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name="README" sheetId="1" state="visible" r:id="rId1"/>
    <sheet name="WeMap_Live_Data" sheetId="2" state="visible" r:id="rId2"/>
    <sheet name="TheNetherlands" sheetId="3" state="visible" r:id="rId3"/>
    <sheet name="Austria" sheetId="4" state="visible" r:id="rId4"/>
    <sheet name="Italy" sheetId="5" state="visible" r:id="rId5"/>
    <sheet name="France" sheetId="6" state="visible" r:id="rId6"/>
    <sheet name="WeMap_Staging" sheetId="7" state="hidden" r:id="rId7"/>
  </sheets>
  <definedNames>
    <definedName name="_xlnm._FilterDatabase" localSheetId="1" hidden="1">'WeMap_Live_Data'!$A$1:$AB$1716</definedName>
    <definedName name="_xlnm._FilterDatabase" localSheetId="3" hidden="1">'Austria'!$A$1:$AC$1000</definedName>
    <definedName name="_xlnm._FilterDatabase" localSheetId="6" hidden="1">'WeMap_Staging'!$A$1:$AN$2081</definedName>
  </definedNames>
  <calcPr calcId="191029" fullCalcOnLoad="1"/>
</workbook>
</file>

<file path=xl/styles.xml><?xml version="1.0" encoding="utf-8"?>
<styleSheet xmlns="http://schemas.openxmlformats.org/spreadsheetml/2006/main">
  <numFmts count="1">
    <numFmt numFmtId="164" formatCode="&quot; &quot;mmm&quot; &quot;d&quot;, &quot;yyyy"/>
  </numFmts>
  <fonts count="17">
    <font>
      <name val="Arial"/>
      <color rgb="FF000000"/>
      <sz val="10"/>
      <scheme val="minor"/>
    </font>
    <font>
      <name val="Arial"/>
      <color theme="1"/>
      <sz val="10"/>
      <scheme val="minor"/>
    </font>
    <font>
      <name val="Arial"/>
      <b val="1"/>
      <color theme="1"/>
      <sz val="13"/>
    </font>
    <font>
      <name val="Arial"/>
      <color theme="1"/>
      <sz val="11"/>
    </font>
    <font>
      <name val="Arial"/>
      <color theme="1"/>
      <sz val="10"/>
    </font>
    <font>
      <name val="Arial"/>
      <b val="1"/>
      <color theme="1"/>
      <sz val="11"/>
    </font>
    <font>
      <name val="Arial"/>
      <color rgb="FF0000FF"/>
      <sz val="11"/>
      <u val="single"/>
    </font>
    <font>
      <name val="Arial"/>
      <color rgb="FF000000"/>
      <sz val="11"/>
    </font>
    <font>
      <name val="Arial"/>
      <color rgb="FF0000FF"/>
      <sz val="10"/>
      <u val="single"/>
    </font>
    <font>
      <name val="Arial"/>
      <color rgb="FF000000"/>
      <sz val="11"/>
      <u val="single"/>
    </font>
    <font>
      <name val="Arial"/>
      <color theme="1"/>
      <sz val="11"/>
      <u val="single"/>
    </font>
    <font>
      <name val="Arial"/>
      <b val="1"/>
      <color theme="1"/>
      <sz val="10"/>
      <scheme val="minor"/>
    </font>
    <font>
      <name val="Arial"/>
      <color rgb="FF0000FF"/>
      <sz val="10"/>
      <u val="single"/>
    </font>
    <font>
      <name val="Arial"/>
      <sz val="11"/>
    </font>
    <font>
      <name val="Arial"/>
      <color rgb="FF1155CC"/>
      <sz val="11"/>
      <u val="single"/>
    </font>
    <font>
      <name val="Arial,sans-serif"/>
      <color rgb="FF1155CC"/>
      <sz val="11"/>
      <u val="single"/>
    </font>
    <font>
      <name val="Arial,sans-serif"/>
      <color rgb="FF000000"/>
      <sz val="11"/>
    </font>
  </fonts>
  <fills count="2">
    <fill>
      <patternFill/>
    </fill>
    <fill>
      <patternFill patternType="gray125"/>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4" fillId="0" borderId="0" pivotButton="0" quotePrefix="0" xfId="0"/>
    <xf numFmtId="0" fontId="5" fillId="0" borderId="0" applyAlignment="1" pivotButton="0" quotePrefix="0" xfId="0">
      <alignment wrapText="1"/>
    </xf>
    <xf numFmtId="14" fontId="1" fillId="0" borderId="0" pivotButton="0" quotePrefix="0" xfId="0"/>
    <xf numFmtId="0" fontId="6" fillId="0" borderId="0" applyAlignment="1" pivotButton="0" quotePrefix="0" xfId="0">
      <alignment wrapText="1"/>
    </xf>
    <xf numFmtId="0" fontId="7" fillId="0" borderId="0" pivotButton="0" quotePrefix="0" xfId="0"/>
    <xf numFmtId="0" fontId="7" fillId="0" borderId="0" applyAlignment="1" pivotButton="0" quotePrefix="0" xfId="0">
      <alignment wrapText="1"/>
    </xf>
    <xf numFmtId="0" fontId="8" fillId="0" borderId="0" pivotButton="0" quotePrefix="0" xfId="0"/>
    <xf numFmtId="0" fontId="9" fillId="0" borderId="0" applyAlignment="1" pivotButton="0" quotePrefix="0" xfId="0">
      <alignment wrapText="1"/>
    </xf>
    <xf numFmtId="0" fontId="10" fillId="0" borderId="0" applyAlignment="1" pivotButton="0" quotePrefix="0" xfId="0">
      <alignment wrapText="1"/>
    </xf>
    <xf numFmtId="0" fontId="11" fillId="0" borderId="0" pivotButton="0" quotePrefix="0" xfId="0"/>
    <xf numFmtId="164" fontId="1" fillId="0" borderId="0" pivotButton="0" quotePrefix="0" xfId="0"/>
    <xf numFmtId="0" fontId="12" fillId="0" borderId="0" pivotButton="0" quotePrefix="0" xfId="0"/>
  </cellXfs>
  <cellStyles count="1">
    <cellStyle name="Normá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google.com/spreadsheets/u/0/d/1SVCDwx4wIr1pfLcGvjNGx2xLy1NeEXw7-CuUCcKDwCk/edit" TargetMode="External" Id="rId1" /><Relationship Type="http://schemas.openxmlformats.org/officeDocument/2006/relationships/hyperlink" Target="http://code.gs/" TargetMode="External" Id="rId2" /><Relationship Type="http://schemas.openxmlformats.org/officeDocument/2006/relationships/hyperlink" Target="https://docs.google.com/spreadsheets/d/1SVCDwx4wIr1pfLcGvjNGx2xLy1NeEXw7-CuUCcKDwCk/edit?usp=sharing" TargetMode="External" Id="rId3" /></Relationships>
</file>

<file path=xl/worksheets/_rels/sheet2.xml.rels><Relationships xmlns="http://schemas.openxmlformats.org/package/2006/relationships"><Relationship Type="http://schemas.openxmlformats.org/officeDocument/2006/relationships/hyperlink" Target="http://www.readspeaker.com/" TargetMode="External" Id="rId1" /><Relationship Type="http://schemas.openxmlformats.org/officeDocument/2006/relationships/hyperlink" Target="https://www.linkedin.com/company/readspeaker/" TargetMode="External" Id="rId2" /><Relationship Type="http://schemas.openxmlformats.org/officeDocument/2006/relationships/hyperlink" Target="https://drive.google.com/uc?export=view&amp;id=1EoXAOyrAChJ2L1USkuThFZzlJENfPDQl" TargetMode="External" Id="rId3" /><Relationship Type="http://schemas.openxmlformats.org/officeDocument/2006/relationships/hyperlink" Target="https://www.rm.com/assessment" TargetMode="External" Id="rId4" /><Relationship Type="http://schemas.openxmlformats.org/officeDocument/2006/relationships/hyperlink" Target="https://www.linkedin.com/company/assessment-from-rm/" TargetMode="External" Id="rId5" /><Relationship Type="http://schemas.openxmlformats.org/officeDocument/2006/relationships/hyperlink" Target="https://drive.google.com/uc?export=view&amp;id=1swdiVSteVfaTfMJH_O2uzZ7Ux33ZPFg9" TargetMode="External" Id="rId6" /><Relationship Type="http://schemas.openxmlformats.org/officeDocument/2006/relationships/hyperlink" Target="http://mappi.ai/" TargetMode="External" Id="rId7" /><Relationship Type="http://schemas.openxmlformats.org/officeDocument/2006/relationships/hyperlink" Target="https://www.linkedin.com/company/mappi-ab/" TargetMode="External" Id="rId8" /><Relationship Type="http://schemas.openxmlformats.org/officeDocument/2006/relationships/hyperlink" Target="https://drive.google.com/uc?export=view&amp;id=1w0trt3dI4DobGqTes3kogcZMRJAewoEl" TargetMode="External" Id="rId9" /><Relationship Type="http://schemas.openxmlformats.org/officeDocument/2006/relationships/hyperlink" Target="http://www.gamifactory.eu/" TargetMode="External" Id="rId10" /><Relationship Type="http://schemas.openxmlformats.org/officeDocument/2006/relationships/hyperlink" Target="https://www.instagram.com/gamifactory.sk/" TargetMode="External" Id="rId11" /><Relationship Type="http://schemas.openxmlformats.org/officeDocument/2006/relationships/hyperlink" Target="https://www.linkedin.com/company/impact-games-eu/?viewAsMember=true" TargetMode="External" Id="rId12" /><Relationship Type="http://schemas.openxmlformats.org/officeDocument/2006/relationships/hyperlink" Target="https://drive.google.com/uc?export=view&amp;id=1mHvSbKO5pkeYTqYnPAnUI8EGtyu3v3Ud" TargetMode="External" Id="rId13" /><Relationship Type="http://schemas.openxmlformats.org/officeDocument/2006/relationships/hyperlink" Target="https://www.facebook.com/gamifactory" TargetMode="External" Id="rId14" /><Relationship Type="http://schemas.openxmlformats.org/officeDocument/2006/relationships/hyperlink" Target="https://www.gaptain.com/" TargetMode="External" Id="rId15" /><Relationship Type="http://schemas.openxmlformats.org/officeDocument/2006/relationships/hyperlink" Target="https://x.com/gaptain_es" TargetMode="External" Id="rId16" /><Relationship Type="http://schemas.openxmlformats.org/officeDocument/2006/relationships/hyperlink" Target="https://www.linkedin.com/company/gaptain/" TargetMode="External" Id="rId17" /><Relationship Type="http://schemas.openxmlformats.org/officeDocument/2006/relationships/hyperlink" Target="https://drive.google.com/uc?export=view&amp;id=1qv6JLxuvHhgUTrGgL-x15UdG-UOzxjwd" TargetMode="External" Id="rId18" /><Relationship Type="http://schemas.openxmlformats.org/officeDocument/2006/relationships/hyperlink" Target="http://www.edtest.se/" TargetMode="External" Id="rId19" /><Relationship Type="http://schemas.openxmlformats.org/officeDocument/2006/relationships/hyperlink" Target="https://www.linkedin.com/company/36990427/" TargetMode="External" Id="rId20" /><Relationship Type="http://schemas.openxmlformats.org/officeDocument/2006/relationships/hyperlink" Target="https://drive.google.com/uc?export=view&amp;id=1cukMspgiP1DtGqXqXD7IpjKHf8trfj7J" TargetMode="External" Id="rId21" /><Relationship Type="http://schemas.openxmlformats.org/officeDocument/2006/relationships/hyperlink" Target="http://ginntech.com/" TargetMode="External" Id="rId22" /><Relationship Type="http://schemas.openxmlformats.org/officeDocument/2006/relationships/hyperlink" Target="https://drive.google.com/uc?export=view&amp;id=1Qw2pCy3j6SVJnkQI4ylpqV81k7oquK-y" TargetMode="External" Id="rId23" /><Relationship Type="http://schemas.openxmlformats.org/officeDocument/2006/relationships/hyperlink" Target="https://swedishedtechindustry.se/" TargetMode="External" Id="rId24" /><Relationship Type="http://schemas.openxmlformats.org/officeDocument/2006/relationships/hyperlink" Target="https://www.linkedin.com/company/16192020" TargetMode="External" Id="rId25" /><Relationship Type="http://schemas.openxmlformats.org/officeDocument/2006/relationships/hyperlink" Target="http://edtechkartan.se/" TargetMode="External" Id="rId26" /><Relationship Type="http://schemas.openxmlformats.org/officeDocument/2006/relationships/hyperlink" Target="https://drive.google.com/uc?export=view&amp;id=1Gmx6dOrRjsFoS8t19Icqm0hQBJj1ywwv" TargetMode="External" Id="rId27" /><Relationship Type="http://schemas.openxmlformats.org/officeDocument/2006/relationships/hyperlink" Target="http://www.seidor.es/" TargetMode="External" Id="rId28" /><Relationship Type="http://schemas.openxmlformats.org/officeDocument/2006/relationships/hyperlink" Target="https://drive.google.com/uc?export=view&amp;id=1P0Vufy_g3qa4ULHMIUOn058E_3962hMh" TargetMode="External" Id="rId29" /><Relationship Type="http://schemas.openxmlformats.org/officeDocument/2006/relationships/hyperlink" Target="https://www.climb2learn.com/" TargetMode="External" Id="rId30" /><Relationship Type="http://schemas.openxmlformats.org/officeDocument/2006/relationships/hyperlink" Target="https://www.linkedin.com/company/climb2learn/posts/?feedView=all" TargetMode="External" Id="rId31" /><Relationship Type="http://schemas.openxmlformats.org/officeDocument/2006/relationships/hyperlink" Target="https://drive.google.com/uc?export=view&amp;id=1r5ES3ZwlkS74wDjc4NLkLGPnQxGvZ08c" TargetMode="External" Id="rId32" /><Relationship Type="http://schemas.openxmlformats.org/officeDocument/2006/relationships/hyperlink" Target="http://www.glifing.com/" TargetMode="External" Id="rId33" /><Relationship Type="http://schemas.openxmlformats.org/officeDocument/2006/relationships/hyperlink" Target="https://www.instagram.com/glifing/" TargetMode="External" Id="rId34" /><Relationship Type="http://schemas.openxmlformats.org/officeDocument/2006/relationships/hyperlink" Target="https://x.com/glifing" TargetMode="External" Id="rId35" /><Relationship Type="http://schemas.openxmlformats.org/officeDocument/2006/relationships/hyperlink" Target="https://www.linkedin.com/company/glifing/posts/?feedView=all" TargetMode="External" Id="rId36" /><Relationship Type="http://schemas.openxmlformats.org/officeDocument/2006/relationships/hyperlink" Target="https://drive.google.com/uc?export=view&amp;id=1BP-iD8dOWKxZ0rR_R_FUp6iO3_mg7QMK" TargetMode="External" Id="rId37" /><Relationship Type="http://schemas.openxmlformats.org/officeDocument/2006/relationships/hyperlink" Target="https://www.facebook.com/glifing" TargetMode="External" Id="rId38" /><Relationship Type="http://schemas.openxmlformats.org/officeDocument/2006/relationships/hyperlink" Target="https://www.labirinth.it/" TargetMode="External" Id="rId39" /><Relationship Type="http://schemas.openxmlformats.org/officeDocument/2006/relationships/hyperlink" Target="https://www.linkedin.com/company/labirinth" TargetMode="External" Id="rId40" /><Relationship Type="http://schemas.openxmlformats.org/officeDocument/2006/relationships/hyperlink" Target="https://drive.google.com/uc?export=view&amp;id=1JOwHJVCkhPDmSAZxn4vHyUHpoaKDitRa" TargetMode="External" Id="rId41" /><Relationship Type="http://schemas.openxmlformats.org/officeDocument/2006/relationships/hyperlink" Target="http://www.smartsymbols.com/" TargetMode="External" Id="rId42" /><Relationship Type="http://schemas.openxmlformats.org/officeDocument/2006/relationships/hyperlink" Target="https://www.instagram.com/smartsymbols/" TargetMode="External" Id="rId43" /><Relationship Type="http://schemas.openxmlformats.org/officeDocument/2006/relationships/hyperlink" Target="https://www.facebook.com/smartsymbols" TargetMode="External" Id="rId44" /><Relationship Type="http://schemas.openxmlformats.org/officeDocument/2006/relationships/hyperlink" Target="https://www.linkedin.com/company/smart-symbols/" TargetMode="External" Id="rId45" /><Relationship Type="http://schemas.openxmlformats.org/officeDocument/2006/relationships/hyperlink" Target="https://drive.google.com/uc?export=view&amp;id=1xOy8U-VZt4mrAlob73djAu7aOgxDnA1R" TargetMode="External" Id="rId46" /><Relationship Type="http://schemas.openxmlformats.org/officeDocument/2006/relationships/hyperlink" Target="https://www.ubicast.eu/" TargetMode="External" Id="rId47" /><Relationship Type="http://schemas.openxmlformats.org/officeDocument/2006/relationships/hyperlink" Target="https://www.instagram.com/ubicast_official/" TargetMode="External" Id="rId48" /><Relationship Type="http://schemas.openxmlformats.org/officeDocument/2006/relationships/hyperlink" Target="https://www.linkedin.com/company/ubicast" TargetMode="External" Id="rId49" /><Relationship Type="http://schemas.openxmlformats.org/officeDocument/2006/relationships/hyperlink" Target="https://drive.google.com/uc?export=view&amp;id=1kBxp-jslfQ-avf9_eMvLk7Wb9zMgy_pK" TargetMode="External" Id="rId50" /><Relationship Type="http://schemas.openxmlformats.org/officeDocument/2006/relationships/hyperlink" Target="http://www.ninefeb.com/" TargetMode="External" Id="rId51" /><Relationship Type="http://schemas.openxmlformats.org/officeDocument/2006/relationships/hyperlink" Target="https://drive.google.com/uc?export=view&amp;id=1qGWZsyCai52rhZbM-MP3xLMqtBUW95Hf" TargetMode="External" Id="rId52" /><Relationship Type="http://schemas.openxmlformats.org/officeDocument/2006/relationships/hyperlink" Target="https://www.littlebridge.com/" TargetMode="External" Id="rId53" /><Relationship Type="http://schemas.openxmlformats.org/officeDocument/2006/relationships/hyperlink" Target="https://www.instagram.com/littlebridgeworld/" TargetMode="External" Id="rId54" /><Relationship Type="http://schemas.openxmlformats.org/officeDocument/2006/relationships/hyperlink" Target="https://x.com/Little_Bridge" TargetMode="External" Id="rId55" /><Relationship Type="http://schemas.openxmlformats.org/officeDocument/2006/relationships/hyperlink" Target="https://www.linkedin.com/company/little-bridge-world" TargetMode="External" Id="rId56" /><Relationship Type="http://schemas.openxmlformats.org/officeDocument/2006/relationships/hyperlink" Target="https://drive.google.com/uc?export=view&amp;id=1lcp9F6wIdmfQO3s2l3kM-059qWwG9YlF" TargetMode="External" Id="rId57" /><Relationship Type="http://schemas.openxmlformats.org/officeDocument/2006/relationships/hyperlink" Target="https://www.facebook.com/LittleBridgeWorld/" TargetMode="External" Id="rId58" /><Relationship Type="http://schemas.openxmlformats.org/officeDocument/2006/relationships/hyperlink" Target="http://www.dokimazo.io/" TargetMode="External" Id="rId59" /><Relationship Type="http://schemas.openxmlformats.org/officeDocument/2006/relationships/hyperlink" Target="https://www.linkedin.com/company/dokimazo" TargetMode="External" Id="rId60" /><Relationship Type="http://schemas.openxmlformats.org/officeDocument/2006/relationships/hyperlink" Target="https://drive.google.com/uc?export=view&amp;id=1l6XrvSusnNphymMofSdddulF5Vn7h67V" TargetMode="External" Id="rId61" /><Relationship Type="http://schemas.openxmlformats.org/officeDocument/2006/relationships/hyperlink" Target="http://www.scoolsy.lt/" TargetMode="External" Id="rId62" /><Relationship Type="http://schemas.openxmlformats.org/officeDocument/2006/relationships/hyperlink" Target="https://www.instagram.com/scoolsy_/" TargetMode="External" Id="rId63" /><Relationship Type="http://schemas.openxmlformats.org/officeDocument/2006/relationships/hyperlink" Target="https://www.linkedin.com/company/77000831/admin/dashboard/" TargetMode="External" Id="rId64" /><Relationship Type="http://schemas.openxmlformats.org/officeDocument/2006/relationships/hyperlink" Target="https://drive.google.com/uc?export=view&amp;id=1mavns124-k1cHq0L_Kvy86e3mnLlqpKd" TargetMode="External" Id="rId65" /><Relationship Type="http://schemas.openxmlformats.org/officeDocument/2006/relationships/hyperlink" Target="https://www.facebook.com/scoolsy" TargetMode="External" Id="rId66" /><Relationship Type="http://schemas.openxmlformats.org/officeDocument/2006/relationships/hyperlink" Target="http://beespeaker.com/" TargetMode="External" Id="rId67" /><Relationship Type="http://schemas.openxmlformats.org/officeDocument/2006/relationships/hyperlink" Target="https://www.instagram.com/beespeakerapp/" TargetMode="External" Id="rId68" /><Relationship Type="http://schemas.openxmlformats.org/officeDocument/2006/relationships/hyperlink" Target="https://pl.linkedin.com/company/beespeaker" TargetMode="External" Id="rId69" /><Relationship Type="http://schemas.openxmlformats.org/officeDocument/2006/relationships/hyperlink" Target="https://drive.google.com/uc?export=view&amp;id=1a1BExb6wEL2mlyQaDBCzrxeP9iq4t0OW" TargetMode="External" Id="rId70" /><Relationship Type="http://schemas.openxmlformats.org/officeDocument/2006/relationships/hyperlink" Target="https://www.facebook.com/people/BeeSpeaker-Learn-to-SPEAK-English/61564122652907/" TargetMode="External" Id="rId71" /><Relationship Type="http://schemas.openxmlformats.org/officeDocument/2006/relationships/hyperlink" Target="http://www.kendirstudios.pt/" TargetMode="External" Id="rId72" /><Relationship Type="http://schemas.openxmlformats.org/officeDocument/2006/relationships/hyperlink" Target="https://www.instagram.com/kendirstudios" TargetMode="External" Id="rId73" /><Relationship Type="http://schemas.openxmlformats.org/officeDocument/2006/relationships/hyperlink" Target="https://www.linkedin.com/company/kendir-studios/" TargetMode="External" Id="rId74" /><Relationship Type="http://schemas.openxmlformats.org/officeDocument/2006/relationships/hyperlink" Target="https://drive.google.com/uc?export=view&amp;id=1iJiEG1O_r9Ed23hGrmkH0WX1yAbeDFA1" TargetMode="External" Id="rId75" /><Relationship Type="http://schemas.openxmlformats.org/officeDocument/2006/relationships/hyperlink" Target="http://www.improovo.com/" TargetMode="External" Id="rId76" /><Relationship Type="http://schemas.openxmlformats.org/officeDocument/2006/relationships/hyperlink" Target="https://www.linkedin.com/company/improovo" TargetMode="External" Id="rId77" /><Relationship Type="http://schemas.openxmlformats.org/officeDocument/2006/relationships/hyperlink" Target="https://drive.google.com/uc?export=view&amp;id=1LSWaFU_g62NZWmAm_Prsev9HdkJS11uP" TargetMode="External" Id="rId78" /><Relationship Type="http://schemas.openxmlformats.org/officeDocument/2006/relationships/hyperlink" Target="http://www.speaktx.com/" TargetMode="External" Id="rId79" /><Relationship Type="http://schemas.openxmlformats.org/officeDocument/2006/relationships/hyperlink" Target="https://www.instagram.com/speak_tx/" TargetMode="External" Id="rId80" /><Relationship Type="http://schemas.openxmlformats.org/officeDocument/2006/relationships/hyperlink" Target="https://www.linkedin.com/company/speaktx/" TargetMode="External" Id="rId81" /><Relationship Type="http://schemas.openxmlformats.org/officeDocument/2006/relationships/hyperlink" Target="http://speaktx.com/" TargetMode="External" Id="rId82" /><Relationship Type="http://schemas.openxmlformats.org/officeDocument/2006/relationships/hyperlink" Target="https://drive.google.com/uc?export=view&amp;id=1csWbMWGhVExj_kk_QWgGWzkgzfmkfryK" TargetMode="External" Id="rId83" /><Relationship Type="http://schemas.openxmlformats.org/officeDocument/2006/relationships/hyperlink" Target="https://www.facebook.com/SpeakTX" TargetMode="External" Id="rId84" /><Relationship Type="http://schemas.openxmlformats.org/officeDocument/2006/relationships/hyperlink" Target="https://www.alfaerdve.lt/" TargetMode="External" Id="rId85" /><Relationship Type="http://schemas.openxmlformats.org/officeDocument/2006/relationships/hyperlink" Target="https://drive.google.com/uc?export=view&amp;id=19gjHJjrE-ML8_2O0f9WxWElM4kyQIQwt" TargetMode="External" Id="rId86" /><Relationship Type="http://schemas.openxmlformats.org/officeDocument/2006/relationships/hyperlink" Target="http://www.global-exam.com/" TargetMode="External" Id="rId87" /><Relationship Type="http://schemas.openxmlformats.org/officeDocument/2006/relationships/hyperlink" Target="https://www.linkedin.com/company/global-exam/" TargetMode="External" Id="rId88" /><Relationship Type="http://schemas.openxmlformats.org/officeDocument/2006/relationships/hyperlink" Target="https://drive.google.com/uc?export=view&amp;id=1m34zCDVjTuvNNAlvXK9eJvYVzVn2eaWi" TargetMode="External" Id="rId89" /><Relationship Type="http://schemas.openxmlformats.org/officeDocument/2006/relationships/hyperlink" Target="https://lablife.video/" TargetMode="External" Id="rId90" /><Relationship Type="http://schemas.openxmlformats.org/officeDocument/2006/relationships/hyperlink" Target="https://www.instagram.com/lablife.video" TargetMode="External" Id="rId91" /><Relationship Type="http://schemas.openxmlformats.org/officeDocument/2006/relationships/hyperlink" Target="https://www.linkedin.com/company/lablife-video" TargetMode="External" Id="rId92" /><Relationship Type="http://schemas.openxmlformats.org/officeDocument/2006/relationships/hyperlink" Target="https://drive.google.com/uc?export=view&amp;id=1a7Yuk6SheSEng9Qy6HNbGtG3ig0-vu-h" TargetMode="External" Id="rId93" /><Relationship Type="http://schemas.openxmlformats.org/officeDocument/2006/relationships/hyperlink" Target="https://www.facebook.com/lablife.video" TargetMode="External" Id="rId94" /><Relationship Type="http://schemas.openxmlformats.org/officeDocument/2006/relationships/hyperlink" Target="https://www.cabuu.app/" TargetMode="External" Id="rId95" /><Relationship Type="http://schemas.openxmlformats.org/officeDocument/2006/relationships/hyperlink" Target="https://www.instagram.com/cabuu_app/" TargetMode="External" Id="rId96" /><Relationship Type="http://schemas.openxmlformats.org/officeDocument/2006/relationships/hyperlink" Target="https://www.linkedin.com/company/cabuugmbh/" TargetMode="External" Id="rId97" /><Relationship Type="http://schemas.openxmlformats.org/officeDocument/2006/relationships/hyperlink" Target="https://drive.google.com/uc?export=view&amp;id=1kMJwiMrniLwvbN9nOAh8W-zerYB4a5od" TargetMode="External" Id="rId98" /><Relationship Type="http://schemas.openxmlformats.org/officeDocument/2006/relationships/hyperlink" Target="https://www.facebook.com/cabuuApp" TargetMode="External" Id="rId99" /><Relationship Type="http://schemas.openxmlformats.org/officeDocument/2006/relationships/hyperlink" Target="http://www.challengeme.online/" TargetMode="External" Id="rId100" /><Relationship Type="http://schemas.openxmlformats.org/officeDocument/2006/relationships/hyperlink" Target="https://fr.linkedin.com/company/challengemesup" TargetMode="External" Id="rId101" /><Relationship Type="http://schemas.openxmlformats.org/officeDocument/2006/relationships/hyperlink" Target="https://drive.google.com/uc?export=view&amp;id=17JwJJioEu5YypSKT2TU-1YXN8IQxLIS9" TargetMode="External" Id="rId102" /><Relationship Type="http://schemas.openxmlformats.org/officeDocument/2006/relationships/hyperlink" Target="https://www.hopspots.dk/en/" TargetMode="External" Id="rId103" /><Relationship Type="http://schemas.openxmlformats.org/officeDocument/2006/relationships/hyperlink" Target="https://www.instagram.com/hopspots/" TargetMode="External" Id="rId104" /><Relationship Type="http://schemas.openxmlformats.org/officeDocument/2006/relationships/hyperlink" Target="https://www.linkedin.com/company/4848854/" TargetMode="External" Id="rId105" /><Relationship Type="http://schemas.openxmlformats.org/officeDocument/2006/relationships/hyperlink" Target="https://drive.google.com/uc?export=view&amp;id=1BFWvHl4kPnQ9QndLQ2FZ0v0NKiLnC5FZ" TargetMode="External" Id="rId106" /><Relationship Type="http://schemas.openxmlformats.org/officeDocument/2006/relationships/hyperlink" Target="https://www.facebook.com/hopspots.tm" TargetMode="External" Id="rId107" /><Relationship Type="http://schemas.openxmlformats.org/officeDocument/2006/relationships/hyperlink" Target="https://ubeeko.com/" TargetMode="External" Id="rId108" /><Relationship Type="http://schemas.openxmlformats.org/officeDocument/2006/relationships/hyperlink" Target="https://linkedin.com/company/ubeeko" TargetMode="External" Id="rId109" /><Relationship Type="http://schemas.openxmlformats.org/officeDocument/2006/relationships/hyperlink" Target="https://drive.google.com/uc?export=view&amp;id=12GhYpnmV3gizaXgo-COIuYi-17b7BxLC" TargetMode="External" Id="rId110" /><Relationship Type="http://schemas.openxmlformats.org/officeDocument/2006/relationships/hyperlink" Target="http://www.springlab.nl/" TargetMode="External" Id="rId111" /><Relationship Type="http://schemas.openxmlformats.org/officeDocument/2006/relationships/hyperlink" Target="https://www.instagram.com/springlabnl/" TargetMode="External" Id="rId112" /><Relationship Type="http://schemas.openxmlformats.org/officeDocument/2006/relationships/hyperlink" Target="https://www.linkedin.com/company/10009167/admin/dashboard/" TargetMode="External" Id="rId113" /><Relationship Type="http://schemas.openxmlformats.org/officeDocument/2006/relationships/hyperlink" Target="https://drive.google.com/uc?export=view&amp;id=14nrXAx90b8CDdNRBaDYoUSdxGVtd5OwS" TargetMode="External" Id="rId114" /><Relationship Type="http://schemas.openxmlformats.org/officeDocument/2006/relationships/hyperlink" Target="https://www.facebook.com/p/Springlab-Learning-61559318542181/" TargetMode="External" Id="rId115" /><Relationship Type="http://schemas.openxmlformats.org/officeDocument/2006/relationships/hyperlink" Target="https://www.2simple.com/" TargetMode="External" Id="rId116" /><Relationship Type="http://schemas.openxmlformats.org/officeDocument/2006/relationships/hyperlink" Target="https://www.instagram.com/2simplesoftware" TargetMode="External" Id="rId117" /><Relationship Type="http://schemas.openxmlformats.org/officeDocument/2006/relationships/hyperlink" Target="https://x.com/2SimpleSoftware" TargetMode="External" Id="rId118" /><Relationship Type="http://schemas.openxmlformats.org/officeDocument/2006/relationships/hyperlink" Target="https://www.linkedin.com/company/2simple" TargetMode="External" Id="rId119" /><Relationship Type="http://schemas.openxmlformats.org/officeDocument/2006/relationships/hyperlink" Target="https://drive.google.com/uc?export=view&amp;id=1mRNNyYfjQ2oeACEModsUp_ep4dSolv0d" TargetMode="External" Id="rId120" /><Relationship Type="http://schemas.openxmlformats.org/officeDocument/2006/relationships/hyperlink" Target="https://www.facebook.com/2Simpleuk" TargetMode="External" Id="rId121" /><Relationship Type="http://schemas.openxmlformats.org/officeDocument/2006/relationships/hyperlink" Target="http://www.rflect.ch/" TargetMode="External" Id="rId122" /><Relationship Type="http://schemas.openxmlformats.org/officeDocument/2006/relationships/hyperlink" Target="https://www.linkedin.com/company/79407274/" TargetMode="External" Id="rId123" /><Relationship Type="http://schemas.openxmlformats.org/officeDocument/2006/relationships/hyperlink" Target="https://drive.google.com/uc?export=view&amp;id=1MtoTpYpsgS5ezHnYGtlZwzhxp5aNBclD" TargetMode="External" Id="rId124" /><Relationship Type="http://schemas.openxmlformats.org/officeDocument/2006/relationships/hyperlink" Target="https://www.instagram.com/bidi.one" TargetMode="External" Id="rId125" /><Relationship Type="http://schemas.openxmlformats.org/officeDocument/2006/relationships/hyperlink" Target="https://www.linkedin.com/company/bidi-one" TargetMode="External" Id="rId126" /><Relationship Type="http://schemas.openxmlformats.org/officeDocument/2006/relationships/hyperlink" Target="https://drive.google.com/uc?export=view&amp;id=1TUzUzF-siG_7-VJpEzOn8XLg9XY-asKv" TargetMode="External" Id="rId127" /><Relationship Type="http://schemas.openxmlformats.org/officeDocument/2006/relationships/hyperlink" Target="https://learnwise.ai/" TargetMode="External" Id="rId128" /><Relationship Type="http://schemas.openxmlformats.org/officeDocument/2006/relationships/hyperlink" Target="https://www.linkedin.com/company/learnwiseai" TargetMode="External" Id="rId129" /><Relationship Type="http://schemas.openxmlformats.org/officeDocument/2006/relationships/hyperlink" Target="https://drive.google.com/uc?export=view&amp;id=1XW5-CsbXDZnSKrFVNFynTIEHKkdUJRvY" TargetMode="External" Id="rId130" /><Relationship Type="http://schemas.openxmlformats.org/officeDocument/2006/relationships/hyperlink" Target="https://scealprod.fr/" TargetMode="External" Id="rId131" /><Relationship Type="http://schemas.openxmlformats.org/officeDocument/2006/relationships/hyperlink" Target="https://www.instagram.com/scealprod.fr" TargetMode="External" Id="rId132" /><Relationship Type="http://schemas.openxmlformats.org/officeDocument/2006/relationships/hyperlink" Target="https://www.linkedin.com/in/hugues-avit-callaud/" TargetMode="External" Id="rId133" /><Relationship Type="http://schemas.openxmlformats.org/officeDocument/2006/relationships/hyperlink" Target="https://drive.google.com/uc?export=view&amp;id=1FG8CD8w8MhntuwRn3BAZIQNA-F_cgyJs" TargetMode="External" Id="rId134" /><Relationship Type="http://schemas.openxmlformats.org/officeDocument/2006/relationships/hyperlink" Target="https://www.facebook.com/scealstudio" TargetMode="External" Id="rId135" /><Relationship Type="http://schemas.openxmlformats.org/officeDocument/2006/relationships/hyperlink" Target="https://www.linkedin.com/company/11260631/admin/analytics/visitors/" TargetMode="External" Id="rId136" /><Relationship Type="http://schemas.openxmlformats.org/officeDocument/2006/relationships/hyperlink" Target="https://drive.google.com/uc?export=view&amp;id=1w3MoT4qficFItp0RwQ_gvgJkBrEV_RpY" TargetMode="External" Id="rId137" /><Relationship Type="http://schemas.openxmlformats.org/officeDocument/2006/relationships/hyperlink" Target="https://www.topworksheets.com/" TargetMode="External" Id="rId138" /><Relationship Type="http://schemas.openxmlformats.org/officeDocument/2006/relationships/hyperlink" Target="https://www.instagram.com/topworksheets_en/" TargetMode="External" Id="rId139" /><Relationship Type="http://schemas.openxmlformats.org/officeDocument/2006/relationships/hyperlink" Target="https://x.com/topworksheetsen" TargetMode="External" Id="rId140" /><Relationship Type="http://schemas.openxmlformats.org/officeDocument/2006/relationships/hyperlink" Target="https://es.linkedin.com/company/topworksheets" TargetMode="External" Id="rId141" /><Relationship Type="http://schemas.openxmlformats.org/officeDocument/2006/relationships/hyperlink" Target="https://drive.google.com/uc?export=view&amp;id=1G4b4LsDZzbr_fAqkrERguKB8Y-kr7h1n" TargetMode="External" Id="rId142" /><Relationship Type="http://schemas.openxmlformats.org/officeDocument/2006/relationships/hyperlink" Target="https://studyflow.nl/" TargetMode="External" Id="rId143" /><Relationship Type="http://schemas.openxmlformats.org/officeDocument/2006/relationships/hyperlink" Target="https://www.linkedin.com/company/studyflow/" TargetMode="External" Id="rId144" /><Relationship Type="http://schemas.openxmlformats.org/officeDocument/2006/relationships/hyperlink" Target="https://drive.google.com/uc?export=view&amp;id=1jOdIHKDaOAz-t0o7gLr_YOJntr3nJixI" TargetMode="External" Id="rId145" /><Relationship Type="http://schemas.openxmlformats.org/officeDocument/2006/relationships/hyperlink" Target="http://bloomcoding.ro/" TargetMode="External" Id="rId146" /><Relationship Type="http://schemas.openxmlformats.org/officeDocument/2006/relationships/hyperlink" Target="https://www.instagram.com/bloomcoding.ro/" TargetMode="External" Id="rId147" /><Relationship Type="http://schemas.openxmlformats.org/officeDocument/2006/relationships/hyperlink" Target="https://www.linkedin.com/company/bloomcoding/posts/?feedView=all" TargetMode="External" Id="rId148" /><Relationship Type="http://schemas.openxmlformats.org/officeDocument/2006/relationships/hyperlink" Target="https://drive.google.com/uc?export=view&amp;id=1wtS_blmrAUsLmLZUJ-DKhfSof1ePnLg3" TargetMode="External" Id="rId149" /><Relationship Type="http://schemas.openxmlformats.org/officeDocument/2006/relationships/hyperlink" Target="https://www.facebook.com/bloomcodingmoldova/" TargetMode="External" Id="rId150" /><Relationship Type="http://schemas.openxmlformats.org/officeDocument/2006/relationships/hyperlink" Target="https://www.linkedin.com/company/10670987/" TargetMode="External" Id="rId151" /><Relationship Type="http://schemas.openxmlformats.org/officeDocument/2006/relationships/hyperlink" Target="https://drive.google.com/uc?export=view&amp;id=1trIalvfArdfxqTIPsGQkiENdZYCpc7nq" TargetMode="External" Id="rId152" /><Relationship Type="http://schemas.openxmlformats.org/officeDocument/2006/relationships/hyperlink" Target="https://www.facebook.com/eliis.international" TargetMode="External" Id="rId153" /><Relationship Type="http://schemas.openxmlformats.org/officeDocument/2006/relationships/hyperlink" Target="https://edventures.ai/" TargetMode="External" Id="rId154" /><Relationship Type="http://schemas.openxmlformats.org/officeDocument/2006/relationships/hyperlink" Target="https://instagram.com/edventures.ai" TargetMode="External" Id="rId155" /><Relationship Type="http://schemas.openxmlformats.org/officeDocument/2006/relationships/hyperlink" Target="https://www.linkedin.com/company/edventuresai" TargetMode="External" Id="rId156" /><Relationship Type="http://schemas.openxmlformats.org/officeDocument/2006/relationships/hyperlink" Target="https://drive.google.com/uc?export=view&amp;id=1gKJol1g_8zz-6kkrrAzBLnEaA3lkCJ3A" TargetMode="External" Id="rId157" /><Relationship Type="http://schemas.openxmlformats.org/officeDocument/2006/relationships/hyperlink" Target="https://www.facebook.com/edventuresai" TargetMode="External" Id="rId158" /><Relationship Type="http://schemas.openxmlformats.org/officeDocument/2006/relationships/hyperlink" Target="http://www.setuniversity.edu.ua/" TargetMode="External" Id="rId159" /><Relationship Type="http://schemas.openxmlformats.org/officeDocument/2006/relationships/hyperlink" Target="http://instagram.com/setuniversity/" TargetMode="External" Id="rId160" /><Relationship Type="http://schemas.openxmlformats.org/officeDocument/2006/relationships/hyperlink" Target="https://www.linkedin.com/company/set-university/" TargetMode="External" Id="rId161" /><Relationship Type="http://schemas.openxmlformats.org/officeDocument/2006/relationships/hyperlink" Target="https://drive.google.com/uc?export=view&amp;id=1JuuyuU2B-dRCEAHqjDddwDB9_iqZz8ck" TargetMode="External" Id="rId162" /><Relationship Type="http://schemas.openxmlformats.org/officeDocument/2006/relationships/hyperlink" Target="https://www.facebook.com/setuniversity.tech" TargetMode="External" Id="rId163" /><Relationship Type="http://schemas.openxmlformats.org/officeDocument/2006/relationships/hyperlink" Target="https://seniorlingua.com/" TargetMode="External" Id="rId164" /><Relationship Type="http://schemas.openxmlformats.org/officeDocument/2006/relationships/hyperlink" Target="https://www.instagram.com/seniorlingua/" TargetMode="External" Id="rId165" /><Relationship Type="http://schemas.openxmlformats.org/officeDocument/2006/relationships/hyperlink" Target="https://x.com/@Senior_Lingua" TargetMode="External" Id="rId166" /><Relationship Type="http://schemas.openxmlformats.org/officeDocument/2006/relationships/hyperlink" Target="https://www.linkedin.com/company/senior-lingua/" TargetMode="External" Id="rId167" /><Relationship Type="http://schemas.openxmlformats.org/officeDocument/2006/relationships/hyperlink" Target="https://drive.google.com/uc?export=view&amp;id=1dRgYQgvZRaYW53c6KHK6UECdwmMhTQ7d" TargetMode="External" Id="rId168" /><Relationship Type="http://schemas.openxmlformats.org/officeDocument/2006/relationships/hyperlink" Target="https://www.facebook.com/Seniorlingua" TargetMode="External" Id="rId169" /><Relationship Type="http://schemas.openxmlformats.org/officeDocument/2006/relationships/hyperlink" Target="https://www.artcentrica.com/" TargetMode="External" Id="rId170" /><Relationship Type="http://schemas.openxmlformats.org/officeDocument/2006/relationships/hyperlink" Target="https://www.instagram.com/artcentrica/" TargetMode="External" Id="rId171" /><Relationship Type="http://schemas.openxmlformats.org/officeDocument/2006/relationships/hyperlink" Target="https://www.linkedin.com/company/artcentrica" TargetMode="External" Id="rId172" /><Relationship Type="http://schemas.openxmlformats.org/officeDocument/2006/relationships/hyperlink" Target="https://drive.google.com/uc?export=view&amp;id=1YtvHoKbpSptFCweYTXU_tUzyyCYwAur0" TargetMode="External" Id="rId173" /><Relationship Type="http://schemas.openxmlformats.org/officeDocument/2006/relationships/hyperlink" Target="https://www.facebook.com/ArtCentricaEDU" TargetMode="External" Id="rId174" /><Relationship Type="http://schemas.openxmlformats.org/officeDocument/2006/relationships/hyperlink" Target="http://www.eonesia.com/" TargetMode="External" Id="rId175" /><Relationship Type="http://schemas.openxmlformats.org/officeDocument/2006/relationships/hyperlink" Target="https://www.linkedin.com/company/eonesia/" TargetMode="External" Id="rId176" /><Relationship Type="http://schemas.openxmlformats.org/officeDocument/2006/relationships/hyperlink" Target="https://drive.google.com/uc?export=view&amp;id=1w07dvcNtGybUXkh1WrMhbWnj6CIeptyJ" TargetMode="External" Id="rId177" /><Relationship Type="http://schemas.openxmlformats.org/officeDocument/2006/relationships/hyperlink" Target="http://www.brightgame.com/" TargetMode="External" Id="rId178" /><Relationship Type="http://schemas.openxmlformats.org/officeDocument/2006/relationships/hyperlink" Target="https://drive.google.com/uc?export=view&amp;id=1z1-TgwQMGhrksvrZxWQo8vf91N92IOWf" TargetMode="External" Id="rId179" /><Relationship Type="http://schemas.openxmlformats.org/officeDocument/2006/relationships/hyperlink" Target="https://magma.app/" TargetMode="External" Id="rId180" /><Relationship Type="http://schemas.openxmlformats.org/officeDocument/2006/relationships/hyperlink" Target="https://www.instagram.com/insidemagma/" TargetMode="External" Id="rId181" /><Relationship Type="http://schemas.openxmlformats.org/officeDocument/2006/relationships/hyperlink" Target="https://www.linkedin.com/company/magmaapp/" TargetMode="External" Id="rId182" /><Relationship Type="http://schemas.openxmlformats.org/officeDocument/2006/relationships/hyperlink" Target="https://drive.google.com/uc?export=view&amp;id=18YC9a1B3Qq2QWEZm4wDKCD_Vf5kdnS7H" TargetMode="External" Id="rId183" /><Relationship Type="http://schemas.openxmlformats.org/officeDocument/2006/relationships/hyperlink" Target="http://thesimulationcrew.com/" TargetMode="External" Id="rId184" /><Relationship Type="http://schemas.openxmlformats.org/officeDocument/2006/relationships/hyperlink" Target="https://www.linkedin.com/company/the-simulation-crew/" TargetMode="External" Id="rId185" /><Relationship Type="http://schemas.openxmlformats.org/officeDocument/2006/relationships/hyperlink" Target="https://drive.google.com/uc?export=view&amp;id=1Yv5qHlxyR3HWPugMr-7X-15nvWNU50My" TargetMode="External" Id="rId186" /><Relationship Type="http://schemas.openxmlformats.org/officeDocument/2006/relationships/hyperlink" Target="http://www.mimbus.com/" TargetMode="External" Id="rId187" /><Relationship Type="http://schemas.openxmlformats.org/officeDocument/2006/relationships/hyperlink" Target="https://drive.google.com/uc?export=view&amp;id=1I5zW4Dd8VyabeRw2_Fi5OJvvUdNMTQ41" TargetMode="External" Id="rId188" /><Relationship Type="http://schemas.openxmlformats.org/officeDocument/2006/relationships/hyperlink" Target="http://www.alteredu.it/" TargetMode="External" Id="rId189" /><Relationship Type="http://schemas.openxmlformats.org/officeDocument/2006/relationships/hyperlink" Target="https://drive.google.com/uc?export=view&amp;id=15fECYvvE62nx_hSNDXX-eIQccg0DrTWp" TargetMode="External" Id="rId190" /><Relationship Type="http://schemas.openxmlformats.org/officeDocument/2006/relationships/hyperlink" Target="https://www.examiner.ch/" TargetMode="External" Id="rId191" /><Relationship Type="http://schemas.openxmlformats.org/officeDocument/2006/relationships/hyperlink" Target="https://www.instagram.com/examiner_official" TargetMode="External" Id="rId192" /><Relationship Type="http://schemas.openxmlformats.org/officeDocument/2006/relationships/hyperlink" Target="https://www.linkedin.com/showcase/examiner" TargetMode="External" Id="rId193" /><Relationship Type="http://schemas.openxmlformats.org/officeDocument/2006/relationships/hyperlink" Target="https://drive.google.com/uc?export=view&amp;id=1Ykfu1dmT6MyuVeI3FBpoIlWIcPC6lNX7" TargetMode="External" Id="rId194" /><Relationship Type="http://schemas.openxmlformats.org/officeDocument/2006/relationships/hyperlink" Target="https://www.mindonsite.com/en/" TargetMode="External" Id="rId195" /><Relationship Type="http://schemas.openxmlformats.org/officeDocument/2006/relationships/hyperlink" Target="https://www.linkedin.com/company/mos-mindonsite/" TargetMode="External" Id="rId196" /><Relationship Type="http://schemas.openxmlformats.org/officeDocument/2006/relationships/hyperlink" Target="https://drive.google.com/uc?export=view&amp;id=1LPr2HuEyJD1OeaIMx7b7yQXHRn0L3SLu" TargetMode="External" Id="rId197" /><Relationship Type="http://schemas.openxmlformats.org/officeDocument/2006/relationships/hyperlink" Target="http://www.axcultures.com/" TargetMode="External" Id="rId198" /><Relationship Type="http://schemas.openxmlformats.org/officeDocument/2006/relationships/hyperlink" Target="http://www.instagram.com/ealteaching/" TargetMode="External" Id="rId199" /><Relationship Type="http://schemas.openxmlformats.org/officeDocument/2006/relationships/hyperlink" Target="http://x.com/eal_teaching" TargetMode="External" Id="rId200" /><Relationship Type="http://schemas.openxmlformats.org/officeDocument/2006/relationships/hyperlink" Target="http://www.linkedin.com/company/axcultures/" TargetMode="External" Id="rId201" /><Relationship Type="http://schemas.openxmlformats.org/officeDocument/2006/relationships/hyperlink" Target="https://drive.google.com/uc?export=view&amp;id=16UWZgMj-_8hJyBhu5eH6ohDC5EhgiOxb" TargetMode="External" Id="rId202" /><Relationship Type="http://schemas.openxmlformats.org/officeDocument/2006/relationships/hyperlink" Target="http://www.facebook.com/ealteaching" TargetMode="External" Id="rId203" /><Relationship Type="http://schemas.openxmlformats.org/officeDocument/2006/relationships/hyperlink" Target="http://3cl.org/" TargetMode="External" Id="rId204" /><Relationship Type="http://schemas.openxmlformats.org/officeDocument/2006/relationships/hyperlink" Target="https://x.com/3CLMT" TargetMode="External" Id="rId205" /><Relationship Type="http://schemas.openxmlformats.org/officeDocument/2006/relationships/hyperlink" Target="https://www.3cl.org/" TargetMode="External" Id="rId206" /><Relationship Type="http://schemas.openxmlformats.org/officeDocument/2006/relationships/hyperlink" Target="https://drive.google.com/uc?export=view&amp;id=1k6p0pkuni8njarBYF9HrfSx9ZtUuAUg4" TargetMode="External" Id="rId207" /><Relationship Type="http://schemas.openxmlformats.org/officeDocument/2006/relationships/hyperlink" Target="http://www.edsyl.ai/" TargetMode="External" Id="rId208" /><Relationship Type="http://schemas.openxmlformats.org/officeDocument/2006/relationships/hyperlink" Target="https://www.instagram.com/edsyl.ai" TargetMode="External" Id="rId209" /><Relationship Type="http://schemas.openxmlformats.org/officeDocument/2006/relationships/hyperlink" Target="https://x.com/edsylai" TargetMode="External" Id="rId210" /><Relationship Type="http://schemas.openxmlformats.org/officeDocument/2006/relationships/hyperlink" Target="https://www.linkedin.com/company/edsyl-ai" TargetMode="External" Id="rId211" /><Relationship Type="http://schemas.openxmlformats.org/officeDocument/2006/relationships/hyperlink" Target="https://drive.google.com/uc?export=view&amp;id=1qF_yEYkDjPr2Bu2Yde5-5CXht29RHw8Y" TargetMode="External" Id="rId212" /><Relationship Type="http://schemas.openxmlformats.org/officeDocument/2006/relationships/hyperlink" Target="https://www.facebook.com/edsyl.edu" TargetMode="External" Id="rId213" /><Relationship Type="http://schemas.openxmlformats.org/officeDocument/2006/relationships/hyperlink" Target="https://www.warchild.net/intervention-cwtl/" TargetMode="External" Id="rId214" /><Relationship Type="http://schemas.openxmlformats.org/officeDocument/2006/relationships/hyperlink" Target="https://www.linkedin.com/showcase/cant-wait-to-learn/posts/?feedView=all" TargetMode="External" Id="rId215" /><Relationship Type="http://schemas.openxmlformats.org/officeDocument/2006/relationships/hyperlink" Target="https://drive.google.com/uc?export=view&amp;id=1Zuz8_AQqUm3EzLHRvXLy_POYn2qMNIX_" TargetMode="External" Id="rId216" /><Relationship Type="http://schemas.openxmlformats.org/officeDocument/2006/relationships/hyperlink" Target="https://www.ludo-vic.com/" TargetMode="External" Id="rId217" /><Relationship Type="http://schemas.openxmlformats.org/officeDocument/2006/relationships/hyperlink" Target="https://www.linkedin.com/company/ludo-vic/?originalSubdomain=fr" TargetMode="External" Id="rId218" /><Relationship Type="http://schemas.openxmlformats.org/officeDocument/2006/relationships/hyperlink" Target="https://drive.google.com/uc?export=view&amp;id=1_ngIySarFNZUMAFisHM1K-t8CRMoipoZ" TargetMode="External" Id="rId219" /><Relationship Type="http://schemas.openxmlformats.org/officeDocument/2006/relationships/hyperlink" Target="https://pharmuni.com/" TargetMode="External" Id="rId220" /><Relationship Type="http://schemas.openxmlformats.org/officeDocument/2006/relationships/hyperlink" Target="https://www.linkedin.com/company/pharmuni" TargetMode="External" Id="rId221" /><Relationship Type="http://schemas.openxmlformats.org/officeDocument/2006/relationships/hyperlink" Target="https://drive.google.com/uc?export=view&amp;id=1uM2CN7jn-3tF2ACwOCabO91vRCL00SAk" TargetMode="External" Id="rId222" /><Relationship Type="http://schemas.openxmlformats.org/officeDocument/2006/relationships/hyperlink" Target="https://www.impactconnecting.education/" TargetMode="External" Id="rId223" /><Relationship Type="http://schemas.openxmlformats.org/officeDocument/2006/relationships/hyperlink" Target="https://www.linkedin.com/company/impactconnecting" TargetMode="External" Id="rId224" /><Relationship Type="http://schemas.openxmlformats.org/officeDocument/2006/relationships/hyperlink" Target="https://drive.google.com/uc?export=view&amp;id=1cSoLFQaqSsOMFv0HgUmEblCgK16_CKHG" TargetMode="External" Id="rId225" /><Relationship Type="http://schemas.openxmlformats.org/officeDocument/2006/relationships/hyperlink" Target="http://www.selfstartglobal.com/" TargetMode="External" Id="rId226" /><Relationship Type="http://schemas.openxmlformats.org/officeDocument/2006/relationships/hyperlink" Target="https://www.instagram.com/selfstartglobal/?hl=en" TargetMode="External" Id="rId227" /><Relationship Type="http://schemas.openxmlformats.org/officeDocument/2006/relationships/hyperlink" Target="https://www.linkedin.com/company/selfstartglobal/" TargetMode="External" Id="rId228" /><Relationship Type="http://schemas.openxmlformats.org/officeDocument/2006/relationships/hyperlink" Target="https://drive.google.com/uc?export=view&amp;id=1dmCHGfpHUkV3WCkWGPKk15INYid5QViz" TargetMode="External" Id="rId229" /><Relationship Type="http://schemas.openxmlformats.org/officeDocument/2006/relationships/hyperlink" Target="http://www.mysynergy.eu/" TargetMode="External" Id="rId230" /><Relationship Type="http://schemas.openxmlformats.org/officeDocument/2006/relationships/hyperlink" Target="https://www.linkedin.com/company/my-synergy/" TargetMode="External" Id="rId231" /><Relationship Type="http://schemas.openxmlformats.org/officeDocument/2006/relationships/hyperlink" Target="https://drive.google.com/uc?export=view&amp;id=1IQ5N3_AAmRpf9ZLvwwh9pZrYXiIyDm9b" TargetMode="External" Id="rId232" /><Relationship Type="http://schemas.openxmlformats.org/officeDocument/2006/relationships/hyperlink" Target="https://www.facebook.com/mysynergybg" TargetMode="External" Id="rId233" /><Relationship Type="http://schemas.openxmlformats.org/officeDocument/2006/relationships/hyperlink" Target="https://short-edition.com/en/" TargetMode="External" Id="rId234" /><Relationship Type="http://schemas.openxmlformats.org/officeDocument/2006/relationships/hyperlink" Target="https://www.linkedin.com/company/shortedition/" TargetMode="External" Id="rId235" /><Relationship Type="http://schemas.openxmlformats.org/officeDocument/2006/relationships/hyperlink" Target="https://drive.google.com/uc?export=view&amp;id=1jwlI1Lx0JqqiTuHmcMtZ3_HG89g08B6M" TargetMode="External" Id="rId236" /><Relationship Type="http://schemas.openxmlformats.org/officeDocument/2006/relationships/hyperlink" Target="http://infomentor.se/" TargetMode="External" Id="rId237" /><Relationship Type="http://schemas.openxmlformats.org/officeDocument/2006/relationships/hyperlink" Target="https://drive.google.com/uc?export=view&amp;id=1RlMZE-ri4cPI48lkNTdojz5E82sVcQjE" TargetMode="External" Id="rId238" /><Relationship Type="http://schemas.openxmlformats.org/officeDocument/2006/relationships/hyperlink" Target="https://www.indicia.sk/english" TargetMode="External" Id="rId239" /><Relationship Type="http://schemas.openxmlformats.org/officeDocument/2006/relationships/hyperlink" Target="https://www.instagram.com/indicia.sk/" TargetMode="External" Id="rId240" /><Relationship Type="http://schemas.openxmlformats.org/officeDocument/2006/relationships/hyperlink" Target="https://www.linkedin.com/company/ind%C3%ADcia/" TargetMode="External" Id="rId241" /><Relationship Type="http://schemas.openxmlformats.org/officeDocument/2006/relationships/hyperlink" Target="https://drive.google.com/uc?export=view&amp;id=1O5HAo1AWzGFpEdXmpaW7-baLeCciN6kk" TargetMode="External" Id="rId242" /><Relationship Type="http://schemas.openxmlformats.org/officeDocument/2006/relationships/hyperlink" Target="https://www.facebook.com/indicia.sk/" TargetMode="External" Id="rId243" /><Relationship Type="http://schemas.openxmlformats.org/officeDocument/2006/relationships/hyperlink" Target="http://www.emraude.com/" TargetMode="External" Id="rId244" /><Relationship Type="http://schemas.openxmlformats.org/officeDocument/2006/relationships/hyperlink" Target="https://fr.linkedin.com/company/emraudeagency" TargetMode="External" Id="rId245" /><Relationship Type="http://schemas.openxmlformats.org/officeDocument/2006/relationships/hyperlink" Target="https://drive.google.com/uc?export=view&amp;id=13ofQrWW3m0jZuNl40tybQmeDvTkOmcF-" TargetMode="External" Id="rId246" /><Relationship Type="http://schemas.openxmlformats.org/officeDocument/2006/relationships/hyperlink" Target="http://www.deepskill.com/" TargetMode="External" Id="rId247" /><Relationship Type="http://schemas.openxmlformats.org/officeDocument/2006/relationships/hyperlink" Target="http://linkedin.com/company/deepskillpeopledevelopment" TargetMode="External" Id="rId248" /><Relationship Type="http://schemas.openxmlformats.org/officeDocument/2006/relationships/hyperlink" Target="https://drive.google.com/uc?export=view&amp;id=1bYYmlYF0LwB8sIaW3SZrYP7M6YsTG1bB" TargetMode="External" Id="rId249" /><Relationship Type="http://schemas.openxmlformats.org/officeDocument/2006/relationships/hyperlink" Target="https://dibl.eu/" TargetMode="External" Id="rId250" /><Relationship Type="http://schemas.openxmlformats.org/officeDocument/2006/relationships/hyperlink" Target="https://www.linkedin.com/company/dibl" TargetMode="External" Id="rId251" /><Relationship Type="http://schemas.openxmlformats.org/officeDocument/2006/relationships/hyperlink" Target="https://drive.google.com/uc?export=view&amp;id=1Kg3IE5kyajgJV6CCM9QjyCOtscIasdlh" TargetMode="External" Id="rId252" /><Relationship Type="http://schemas.openxmlformats.org/officeDocument/2006/relationships/hyperlink" Target="https://www.mama.codes/" TargetMode="External" Id="rId253" /><Relationship Type="http://schemas.openxmlformats.org/officeDocument/2006/relationships/hyperlink" Target="https://drive.google.com/uc?export=view&amp;id=1BlDrMluB82zk2zT09rXfTvM1kmdUaBuE" TargetMode="External" Id="rId254" /><Relationship Type="http://schemas.openxmlformats.org/officeDocument/2006/relationships/hyperlink" Target="https://www.readlax.com/" TargetMode="External" Id="rId255" /><Relationship Type="http://schemas.openxmlformats.org/officeDocument/2006/relationships/hyperlink" Target="https://www.instagram.com/readlax/" TargetMode="External" Id="rId256" /><Relationship Type="http://schemas.openxmlformats.org/officeDocument/2006/relationships/hyperlink" Target="https://x.com/Readlax_Reading" TargetMode="External" Id="rId257" /><Relationship Type="http://schemas.openxmlformats.org/officeDocument/2006/relationships/hyperlink" Target="https://www.linkedin.com/company/readlax/" TargetMode="External" Id="rId258" /><Relationship Type="http://schemas.openxmlformats.org/officeDocument/2006/relationships/hyperlink" Target="https://drive.google.com/uc?export=view&amp;id=1jmPiJ4_I0qMU0PTRySRqYrSires3Mt7x" TargetMode="External" Id="rId259" /><Relationship Type="http://schemas.openxmlformats.org/officeDocument/2006/relationships/hyperlink" Target="https://www.facebook.com/ReadlaxBrainFitness" TargetMode="External" Id="rId260" /><Relationship Type="http://schemas.openxmlformats.org/officeDocument/2006/relationships/hyperlink" Target="http://www.codingpark.io/en" TargetMode="External" Id="rId261" /><Relationship Type="http://schemas.openxmlformats.org/officeDocument/2006/relationships/hyperlink" Target="https://www.instagram.com/coding.park/" TargetMode="External" Id="rId262" /><Relationship Type="http://schemas.openxmlformats.org/officeDocument/2006/relationships/hyperlink" Target="https://x.com/codingpark" TargetMode="External" Id="rId263" /><Relationship Type="http://schemas.openxmlformats.org/officeDocument/2006/relationships/hyperlink" Target="https://www.linkedin.com/company/codingpark" TargetMode="External" Id="rId264" /><Relationship Type="http://schemas.openxmlformats.org/officeDocument/2006/relationships/hyperlink" Target="https://drive.google.com/uc?export=view&amp;id=1sduAWNqCWBa8mIxWzgE76I0WZD-WMwmh" TargetMode="External" Id="rId265" /><Relationship Type="http://schemas.openxmlformats.org/officeDocument/2006/relationships/hyperlink" Target="https://www.facebook.com/codingpark" TargetMode="External" Id="rId266" /><Relationship Type="http://schemas.openxmlformats.org/officeDocument/2006/relationships/hyperlink" Target="http://www.campustore.it/" TargetMode="External" Id="rId267" /><Relationship Type="http://schemas.openxmlformats.org/officeDocument/2006/relationships/hyperlink" Target="https://www.instagram.com/campustore.it/" TargetMode="External" Id="rId268" /><Relationship Type="http://schemas.openxmlformats.org/officeDocument/2006/relationships/hyperlink" Target="https://drive.google.com/uc?export=view&amp;id=1MqDQw_vI1Gpg7WGZyUfK0z7c2wze2CN0" TargetMode="External" Id="rId269" /><Relationship Type="http://schemas.openxmlformats.org/officeDocument/2006/relationships/hyperlink" Target="https://www.facebook.com/CampuStoreIT" TargetMode="External" Id="rId270" /><Relationship Type="http://schemas.openxmlformats.org/officeDocument/2006/relationships/hyperlink" Target="http://www.doctoratehub.com/" TargetMode="External" Id="rId271" /><Relationship Type="http://schemas.openxmlformats.org/officeDocument/2006/relationships/hyperlink" Target="https://www.linkedin.com/company/doctoratehub/" TargetMode="External" Id="rId272" /><Relationship Type="http://schemas.openxmlformats.org/officeDocument/2006/relationships/hyperlink" Target="https://drive.google.com/uc?export=view&amp;id=1q8iROPw_nnHJLJH4hVnwjnnqrhbj-f3g" TargetMode="External" Id="rId273" /><Relationship Type="http://schemas.openxmlformats.org/officeDocument/2006/relationships/hyperlink" Target="https://www.beyond-words-vr.com/" TargetMode="External" Id="rId274" /><Relationship Type="http://schemas.openxmlformats.org/officeDocument/2006/relationships/hyperlink" Target="https://www.linkedin.com/company/103495283" TargetMode="External" Id="rId275" /><Relationship Type="http://schemas.openxmlformats.org/officeDocument/2006/relationships/hyperlink" Target="https://drive.google.com/uc?export=view&amp;id=1Ub6xdMbyHW9gJ3cK5QHGSGkGeGeTBpoC" TargetMode="External" Id="rId276" /><Relationship Type="http://schemas.openxmlformats.org/officeDocument/2006/relationships/hyperlink" Target="http://www.digitallearningassociates.com/" TargetMode="External" Id="rId277" /><Relationship Type="http://schemas.openxmlformats.org/officeDocument/2006/relationships/hyperlink" Target="https://www.linkedin.com/company/11021563/admin/dashboard/" TargetMode="External" Id="rId278" /><Relationship Type="http://schemas.openxmlformats.org/officeDocument/2006/relationships/hyperlink" Target="https://drive.google.com/uc?export=view&amp;id=1AiJq0FT_096KxQJAfi_UZf8_7dq-J-be" TargetMode="External" Id="rId279" /><Relationship Type="http://schemas.openxmlformats.org/officeDocument/2006/relationships/hyperlink" Target="http://www.diotima.ai/" TargetMode="External" Id="rId280" /><Relationship Type="http://schemas.openxmlformats.org/officeDocument/2006/relationships/hyperlink" Target="https://drive.google.com/uc?export=view&amp;id=1ft0POUMKUhH4sqf9z8ZyCpWGKGP4yyJ6" TargetMode="External" Id="rId281" /><Relationship Type="http://schemas.openxmlformats.org/officeDocument/2006/relationships/hyperlink" Target="https://www.qubo.nl/" TargetMode="External" Id="rId282" /><Relationship Type="http://schemas.openxmlformats.org/officeDocument/2006/relationships/hyperlink" Target="https://www.instagram.com/quboonderwijs" TargetMode="External" Id="rId283" /><Relationship Type="http://schemas.openxmlformats.org/officeDocument/2006/relationships/hyperlink" Target="https://www.linkedin.com/company/qubo-onderwijs/" TargetMode="External" Id="rId284" /><Relationship Type="http://schemas.openxmlformats.org/officeDocument/2006/relationships/hyperlink" Target="https://drive.google.com/uc?export=view&amp;id=1Z22JIHvsIA0qqqajx_pdnzjuRIQNGVg_" TargetMode="External" Id="rId285" /><Relationship Type="http://schemas.openxmlformats.org/officeDocument/2006/relationships/hyperlink" Target="https://www.facebook.com/QuboOnderwijs" TargetMode="External" Id="rId286" /><Relationship Type="http://schemas.openxmlformats.org/officeDocument/2006/relationships/hyperlink" Target="http://www.spotiself.com/" TargetMode="External" Id="rId287" /><Relationship Type="http://schemas.openxmlformats.org/officeDocument/2006/relationships/hyperlink" Target="https://www.instagram.com/spotiself/" TargetMode="External" Id="rId288" /><Relationship Type="http://schemas.openxmlformats.org/officeDocument/2006/relationships/hyperlink" Target="https://www.linkedin.com/company/79924424/" TargetMode="External" Id="rId289" /><Relationship Type="http://schemas.openxmlformats.org/officeDocument/2006/relationships/hyperlink" Target="https://drive.google.com/uc?export=view&amp;id=10RZ3zFxPVmkNygXenjAwUpvKAg02j8O7" TargetMode="External" Id="rId290" /><Relationship Type="http://schemas.openxmlformats.org/officeDocument/2006/relationships/hyperlink" Target="https://www.facebook.com/spotiself" TargetMode="External" Id="rId291" /><Relationship Type="http://schemas.openxmlformats.org/officeDocument/2006/relationships/hyperlink" Target="http://www.knoocker.com/" TargetMode="External" Id="rId292" /><Relationship Type="http://schemas.openxmlformats.org/officeDocument/2006/relationships/hyperlink" Target="https://www.linkedin.com/company/knoocker" TargetMode="External" Id="rId293" /><Relationship Type="http://schemas.openxmlformats.org/officeDocument/2006/relationships/hyperlink" Target="https://drive.google.com/uc?export=view&amp;id=15Q5QCJ4oJByURFhTtJAcyc5VwbhaqVeR" TargetMode="External" Id="rId294" /><Relationship Type="http://schemas.openxmlformats.org/officeDocument/2006/relationships/hyperlink" Target="http://thexpa.com/" TargetMode="External" Id="rId295" /><Relationship Type="http://schemas.openxmlformats.org/officeDocument/2006/relationships/hyperlink" Target="https://www.instagram.com/experientialacademyltd/" TargetMode="External" Id="rId296" /><Relationship Type="http://schemas.openxmlformats.org/officeDocument/2006/relationships/hyperlink" Target="https://www.linkedin.com/company/experiential-academy/" TargetMode="External" Id="rId297" /><Relationship Type="http://schemas.openxmlformats.org/officeDocument/2006/relationships/hyperlink" Target="https://drive.google.com/uc?export=view&amp;id=1CErKlSEjgjpiyA-cqrQBx3lte6O0gqsx" TargetMode="External" Id="rId298" /><Relationship Type="http://schemas.openxmlformats.org/officeDocument/2006/relationships/hyperlink" Target="http://www.clairelabs.ai/" TargetMode="External" Id="rId299" /><Relationship Type="http://schemas.openxmlformats.org/officeDocument/2006/relationships/hyperlink" Target="https://drive.google.com/uc?export=view&amp;id=1YejLRnX3y_vRlzHoeMfz3GFYrx9nCCxC" TargetMode="External" Id="rId300" /><Relationship Type="http://schemas.openxmlformats.org/officeDocument/2006/relationships/hyperlink" Target="https://lanura.ai/" TargetMode="External" Id="rId301" /><Relationship Type="http://schemas.openxmlformats.org/officeDocument/2006/relationships/hyperlink" Target="https://www.linkedin.com/company/lanura" TargetMode="External" Id="rId302" /><Relationship Type="http://schemas.openxmlformats.org/officeDocument/2006/relationships/hyperlink" Target="https://drive.google.com/uc?export=view&amp;id=19CqXhx5xMEGc6IqgdTY1V4QN9bhwvloS" TargetMode="External" Id="rId303" /><Relationship Type="http://schemas.openxmlformats.org/officeDocument/2006/relationships/hyperlink" Target="http://www.edf.global/" TargetMode="External" Id="rId304" /><Relationship Type="http://schemas.openxmlformats.org/officeDocument/2006/relationships/hyperlink" Target="https://drive.google.com/uc?export=view&amp;id=1_5FFc0p4GboJDTMh4c41dGsyiuOo62cq" TargetMode="External" Id="rId305" /><Relationship Type="http://schemas.openxmlformats.org/officeDocument/2006/relationships/hyperlink" Target="http://slide-speed.com/" TargetMode="External" Id="rId306" /><Relationship Type="http://schemas.openxmlformats.org/officeDocument/2006/relationships/hyperlink" Target="https://slide-speed.com/" TargetMode="External" Id="rId307" /><Relationship Type="http://schemas.openxmlformats.org/officeDocument/2006/relationships/hyperlink" Target="https://www.linkedin.com/company/101921502/" TargetMode="External" Id="rId308" /><Relationship Type="http://schemas.openxmlformats.org/officeDocument/2006/relationships/hyperlink" Target="http://slide-speed.com/" TargetMode="External" Id="rId309" /><Relationship Type="http://schemas.openxmlformats.org/officeDocument/2006/relationships/hyperlink" Target="https://drive.google.com/uc?export=view&amp;id=1-r-GPRf1nbw6dA7J-2VbYoUrQlIt2SDO" TargetMode="External" Id="rId310" /><Relationship Type="http://schemas.openxmlformats.org/officeDocument/2006/relationships/hyperlink" Target="https://bloom.study/" TargetMode="External" Id="rId311" /><Relationship Type="http://schemas.openxmlformats.org/officeDocument/2006/relationships/hyperlink" Target="http://x.com/BloomAITutor" TargetMode="External" Id="rId312" /><Relationship Type="http://schemas.openxmlformats.org/officeDocument/2006/relationships/hyperlink" Target="https://www.linkedin.com/company/aibloom" TargetMode="External" Id="rId313" /><Relationship Type="http://schemas.openxmlformats.org/officeDocument/2006/relationships/hyperlink" Target="https://drive.google.com/uc?export=view&amp;id=1VUyCiwF_39xVJ1SlgUV2qUcvXLdtAPob" TargetMode="External" Id="rId314" /><Relationship Type="http://schemas.openxmlformats.org/officeDocument/2006/relationships/hyperlink" Target="http://motionstorybooks.com/" TargetMode="External" Id="rId315" /><Relationship Type="http://schemas.openxmlformats.org/officeDocument/2006/relationships/hyperlink" Target="http://www.motionstorybooks.com/" TargetMode="External" Id="rId316" /><Relationship Type="http://schemas.openxmlformats.org/officeDocument/2006/relationships/hyperlink" Target="https://drive.google.com/uc?export=view&amp;id=1HNWtPP2x65WIpINASPC7_BeE9gnUVgcE" TargetMode="External" Id="rId317" /><Relationship Type="http://schemas.openxmlformats.org/officeDocument/2006/relationships/hyperlink" Target="https://www.medexlab.co/explorerrazgar.html" TargetMode="External" Id="rId318" /><Relationship Type="http://schemas.openxmlformats.org/officeDocument/2006/relationships/hyperlink" Target="https://www.linkedin.com/company/medex-lab/" TargetMode="External" Id="rId319" /><Relationship Type="http://schemas.openxmlformats.org/officeDocument/2006/relationships/hyperlink" Target="https://drive.google.com/uc?export=view&amp;id=12HhjDKydLTy0-YGW27FQn84tcSvv3_iU" TargetMode="External" Id="rId320" /><Relationship Type="http://schemas.openxmlformats.org/officeDocument/2006/relationships/hyperlink" Target="http://www.lessonapp.fi/" TargetMode="External" Id="rId321" /><Relationship Type="http://schemas.openxmlformats.org/officeDocument/2006/relationships/hyperlink" Target="https://www.instagram.com/lesson_app/" TargetMode="External" Id="rId322" /><Relationship Type="http://schemas.openxmlformats.org/officeDocument/2006/relationships/hyperlink" Target="https://www.linkedin.com/company/lessonapp-oy/" TargetMode="External" Id="rId323" /><Relationship Type="http://schemas.openxmlformats.org/officeDocument/2006/relationships/hyperlink" Target="https://drive.google.com/uc?export=view&amp;id=16E9joFzZbQCv95wOg9gg647_FA8gwJax" TargetMode="External" Id="rId324" /><Relationship Type="http://schemas.openxmlformats.org/officeDocument/2006/relationships/hyperlink" Target="http://www.levelupacademy.nl/" TargetMode="External" Id="rId325" /><Relationship Type="http://schemas.openxmlformats.org/officeDocument/2006/relationships/hyperlink" Target="https://www.instagram.com/levelupacademynl/" TargetMode="External" Id="rId326" /><Relationship Type="http://schemas.openxmlformats.org/officeDocument/2006/relationships/hyperlink" Target="https://www.linkedin.com/company/level-up-academy-language-school/" TargetMode="External" Id="rId327" /><Relationship Type="http://schemas.openxmlformats.org/officeDocument/2006/relationships/hyperlink" Target="https://drive.google.com/uc?export=view&amp;id=1kr98jna08RnRMWiTK7FeaFbbn4ZbF3zp" TargetMode="External" Id="rId328" /><Relationship Type="http://schemas.openxmlformats.org/officeDocument/2006/relationships/hyperlink" Target="https://www.atermon.nl/" TargetMode="External" Id="rId329" /><Relationship Type="http://schemas.openxmlformats.org/officeDocument/2006/relationships/hyperlink" Target="https://www.linkedin.com/company/atermon-rotterdam" TargetMode="External" Id="rId330" /><Relationship Type="http://schemas.openxmlformats.org/officeDocument/2006/relationships/hyperlink" Target="https://drive.google.com/uc?export=view&amp;id=1LvFjqm729253h5uH_CEIoD_nZh9I_U66" TargetMode="External" Id="rId331" /><Relationship Type="http://schemas.openxmlformats.org/officeDocument/2006/relationships/hyperlink" Target="https://www.instagram.com/atermonnl?igsh=Y2JleXpxcmNrYWN5" TargetMode="External" Id="rId332" /><Relationship Type="http://schemas.openxmlformats.org/officeDocument/2006/relationships/hyperlink" Target="https://datasweep.app/" TargetMode="External" Id="rId333" /><Relationship Type="http://schemas.openxmlformats.org/officeDocument/2006/relationships/hyperlink" Target="https://www.instagram.com/datasweep.app/" TargetMode="External" Id="rId334" /><Relationship Type="http://schemas.openxmlformats.org/officeDocument/2006/relationships/hyperlink" Target="https://www.linkedin.com/company/data-sweep/" TargetMode="External" Id="rId335" /><Relationship Type="http://schemas.openxmlformats.org/officeDocument/2006/relationships/hyperlink" Target="https://drive.google.com/uc?export=view&amp;id=1BAr6DR9Ungz7HdK6w-J6xDDjWSVoxTlI" TargetMode="External" Id="rId336" /><Relationship Type="http://schemas.openxmlformats.org/officeDocument/2006/relationships/hyperlink" Target="https://www.facebook.com/profile.php?id=61558460196916" TargetMode="External" Id="rId337" /><Relationship Type="http://schemas.openxmlformats.org/officeDocument/2006/relationships/hyperlink" Target="http://www.qureca.com/" TargetMode="External" Id="rId338" /><Relationship Type="http://schemas.openxmlformats.org/officeDocument/2006/relationships/hyperlink" Target="https://www.linkedin.com/company/qureca/" TargetMode="External" Id="rId339" /><Relationship Type="http://schemas.openxmlformats.org/officeDocument/2006/relationships/hyperlink" Target="https://drive.google.com/uc?export=view&amp;id=1lFcWRjooXNT56pmDxkhqE41BlbNbPoML" TargetMode="External" Id="rId340" /><Relationship Type="http://schemas.openxmlformats.org/officeDocument/2006/relationships/hyperlink" Target="http://signlab.co/" TargetMode="External" Id="rId341" /><Relationship Type="http://schemas.openxmlformats.org/officeDocument/2006/relationships/hyperlink" Target="https://drive.google.com/uc?export=view&amp;id=1saUjsf9BF5NlKnKdaZChRoEMtsDZOYDD" TargetMode="External" Id="rId342" /><Relationship Type="http://schemas.openxmlformats.org/officeDocument/2006/relationships/hyperlink" Target="https://www.instagram.com/miranda.works/" TargetMode="External" Id="rId343" /><Relationship Type="http://schemas.openxmlformats.org/officeDocument/2006/relationships/hyperlink" Target="https://www.linkedin.com/company/miranda-42/" TargetMode="External" Id="rId344" /><Relationship Type="http://schemas.openxmlformats.org/officeDocument/2006/relationships/hyperlink" Target="https://drive.google.com/uc?export=view&amp;id=1irRSo7kC1lBOb-U5tQyrK-pSeR9Zq1EV" TargetMode="External" Id="rId345" /><Relationship Type="http://schemas.openxmlformats.org/officeDocument/2006/relationships/hyperlink" Target="https://www.facebook.com/profile.php?id=100077751545307" TargetMode="External" Id="rId346" /><Relationship Type="http://schemas.openxmlformats.org/officeDocument/2006/relationships/hyperlink" Target="http://www.digied.si/" TargetMode="External" Id="rId347" /><Relationship Type="http://schemas.openxmlformats.org/officeDocument/2006/relationships/hyperlink" Target="https://www.linkedin.com/company/digied-keep-learning/" TargetMode="External" Id="rId348" /><Relationship Type="http://schemas.openxmlformats.org/officeDocument/2006/relationships/hyperlink" Target="https://drive.google.com/uc?export=view&amp;id=1zVKysMN-1eSsw_H-0iWumVhljG7W6UeZ" TargetMode="External" Id="rId349" /><Relationship Type="http://schemas.openxmlformats.org/officeDocument/2006/relationships/hyperlink" Target="https://inventorio.de/" TargetMode="External" Id="rId350" /><Relationship Type="http://schemas.openxmlformats.org/officeDocument/2006/relationships/hyperlink" Target="https://www.instagram.com/inventorio_edu/" TargetMode="External" Id="rId351" /><Relationship Type="http://schemas.openxmlformats.org/officeDocument/2006/relationships/hyperlink" Target="https://www.linkedin.com/company/inventorio/" TargetMode="External" Id="rId352" /><Relationship Type="http://schemas.openxmlformats.org/officeDocument/2006/relationships/hyperlink" Target="https://drive.google.com/uc?export=view&amp;id=1s11TI5XrrZGgGXsOi_hrmRMiXUn4azmF" TargetMode="External" Id="rId353" /><Relationship Type="http://schemas.openxmlformats.org/officeDocument/2006/relationships/hyperlink" Target="https://www.magicedtech.com/" TargetMode="External" Id="rId354" /><Relationship Type="http://schemas.openxmlformats.org/officeDocument/2006/relationships/hyperlink" Target="https://www.instagram.com/magic_edtech/" TargetMode="External" Id="rId355" /><Relationship Type="http://schemas.openxmlformats.org/officeDocument/2006/relationships/hyperlink" Target="https://www.linkedin.com/company/magic-edtech/posts/?feedView=all" TargetMode="External" Id="rId356" /><Relationship Type="http://schemas.openxmlformats.org/officeDocument/2006/relationships/hyperlink" Target="https://drive.google.com/uc?export=view&amp;id=1sW632izew8MXPUp6d4LHYe4SU99fm8fY" TargetMode="External" Id="rId357" /><Relationship Type="http://schemas.openxmlformats.org/officeDocument/2006/relationships/hyperlink" Target="http://www.learningglass.eu/" TargetMode="External" Id="rId358" /><Relationship Type="http://schemas.openxmlformats.org/officeDocument/2006/relationships/hyperlink" Target="https://www.linkedin.com/company/learning-glass-europe/" TargetMode="External" Id="rId359" /><Relationship Type="http://schemas.openxmlformats.org/officeDocument/2006/relationships/hyperlink" Target="https://drive.google.com/uc?export=view&amp;id=1EqHAkGuHBwTl0erMDeO6TQMYBfmUjTV5" TargetMode="External" Id="rId360" /><Relationship Type="http://schemas.openxmlformats.org/officeDocument/2006/relationships/hyperlink" Target="https://www.habitatlearn.com/" TargetMode="External" Id="rId361" /><Relationship Type="http://schemas.openxmlformats.org/officeDocument/2006/relationships/hyperlink" Target="https://www.linkedin.com/in/habitatlearn/" TargetMode="External" Id="rId362" /><Relationship Type="http://schemas.openxmlformats.org/officeDocument/2006/relationships/hyperlink" Target="https://drive.google.com/uc?export=view&amp;id=110FklqyoCXTSEZO2C_sdzWgMFhrzzAUo" TargetMode="External" Id="rId363" /><Relationship Type="http://schemas.openxmlformats.org/officeDocument/2006/relationships/hyperlink" Target="https://www.ubimaster.com/de/" TargetMode="External" Id="rId364" /><Relationship Type="http://schemas.openxmlformats.org/officeDocument/2006/relationships/hyperlink" Target="https://www.linkedin.com/company/30168127/" TargetMode="External" Id="rId365" /><Relationship Type="http://schemas.openxmlformats.org/officeDocument/2006/relationships/hyperlink" Target="https://drive.google.com/uc?export=view&amp;id=1gEigOctT9xnQYJQKPPH1RKLtIPciV-Jx" TargetMode="External" Id="rId366" /><Relationship Type="http://schemas.openxmlformats.org/officeDocument/2006/relationships/hyperlink" Target="https://www.facebook.com/ubiMasterNachhilfe/" TargetMode="External" Id="rId367" /><Relationship Type="http://schemas.openxmlformats.org/officeDocument/2006/relationships/hyperlink" Target="http://www.lektor.nl/" TargetMode="External" Id="rId368" /><Relationship Type="http://schemas.openxmlformats.org/officeDocument/2006/relationships/hyperlink" Target="https://www.instagram.com/lektor.nl/" TargetMode="External" Id="rId369" /><Relationship Type="http://schemas.openxmlformats.org/officeDocument/2006/relationships/hyperlink" Target="https://www.linkedin.com/company/lektor-nl/" TargetMode="External" Id="rId370" /><Relationship Type="http://schemas.openxmlformats.org/officeDocument/2006/relationships/hyperlink" Target="https://drive.google.com/uc?export=view&amp;id=1Tu9XT6t2LD-hGaNGYfrG-7pqsZ2tBrFq" TargetMode="External" Id="rId371" /><Relationship Type="http://schemas.openxmlformats.org/officeDocument/2006/relationships/hyperlink" Target="https://www.doheglobal.com/" TargetMode="External" Id="rId372" /><Relationship Type="http://schemas.openxmlformats.org/officeDocument/2006/relationships/hyperlink" Target="https://www.linkedin.com/company/dohe/?viewAsMember=true" TargetMode="External" Id="rId373" /><Relationship Type="http://schemas.openxmlformats.org/officeDocument/2006/relationships/hyperlink" Target="https://drive.google.com/uc?export=view&amp;id=1s4AmWun650ghFYBfaw8jwFfPOSHI4WBf" TargetMode="External" Id="rId374" /><Relationship Type="http://schemas.openxmlformats.org/officeDocument/2006/relationships/hyperlink" Target="http://gamsplatform.com/" TargetMode="External" Id="rId375" /><Relationship Type="http://schemas.openxmlformats.org/officeDocument/2006/relationships/hyperlink" Target="https://www.instagram.com/GAMSPlatform/" TargetMode="External" Id="rId376" /><Relationship Type="http://schemas.openxmlformats.org/officeDocument/2006/relationships/hyperlink" Target="https://it.linkedin.com/company/gamsplatform" TargetMode="External" Id="rId377" /><Relationship Type="http://schemas.openxmlformats.org/officeDocument/2006/relationships/hyperlink" Target="https://drive.google.com/uc?export=view&amp;id=1F_A5P5S2_zwTQaXCzAJN9bxRyiPi-0nb" TargetMode="External" Id="rId378" /><Relationship Type="http://schemas.openxmlformats.org/officeDocument/2006/relationships/hyperlink" Target="https://www.facebook.com/GAMSPlatform/" TargetMode="External" Id="rId379" /><Relationship Type="http://schemas.openxmlformats.org/officeDocument/2006/relationships/hyperlink" Target="http://veriable.at/" TargetMode="External" Id="rId380" /><Relationship Type="http://schemas.openxmlformats.org/officeDocument/2006/relationships/hyperlink" Target="https://drive.google.com/uc?export=view&amp;id=1BN9OJF5Juaq106GKb1e6AXvcgLu3YmWE" TargetMode="External" Id="rId381" /><Relationship Type="http://schemas.openxmlformats.org/officeDocument/2006/relationships/hyperlink" Target="http://www.plvsvltra.eu/" TargetMode="External" Id="rId382" /><Relationship Type="http://schemas.openxmlformats.org/officeDocument/2006/relationships/hyperlink" Target="https://www.linkedin.com/company/plvsvltra" TargetMode="External" Id="rId383" /><Relationship Type="http://schemas.openxmlformats.org/officeDocument/2006/relationships/hyperlink" Target="https://drive.google.com/uc?export=view&amp;id=17Ke66KDL60pnSVUlDiUC3sGjWbpiKNpG" TargetMode="External" Id="rId384" /><Relationship Type="http://schemas.openxmlformats.org/officeDocument/2006/relationships/hyperlink" Target="http://www.prowise.com/" TargetMode="External" Id="rId385" /><Relationship Type="http://schemas.openxmlformats.org/officeDocument/2006/relationships/hyperlink" Target="https://www.instagram.com/prowise_nl/" TargetMode="External" Id="rId386" /><Relationship Type="http://schemas.openxmlformats.org/officeDocument/2006/relationships/hyperlink" Target="https://www.linkedin.com/company/prowise-nl/" TargetMode="External" Id="rId387" /><Relationship Type="http://schemas.openxmlformats.org/officeDocument/2006/relationships/hyperlink" Target="https://drive.google.com/uc?export=view&amp;id=17HFmQK-h6ioQCxt9laEm1gDqEDOEWraR" TargetMode="External" Id="rId388" /><Relationship Type="http://schemas.openxmlformats.org/officeDocument/2006/relationships/hyperlink" Target="http://www.sog.gg/" TargetMode="External" Id="rId389" /><Relationship Type="http://schemas.openxmlformats.org/officeDocument/2006/relationships/hyperlink" Target="https://www.instagram.com/sogversum" TargetMode="External" Id="rId390" /><Relationship Type="http://schemas.openxmlformats.org/officeDocument/2006/relationships/hyperlink" Target="https://www.linkedin.com/company/school-of-gaming" TargetMode="External" Id="rId391" /><Relationship Type="http://schemas.openxmlformats.org/officeDocument/2006/relationships/hyperlink" Target="https://drive.google.com/uc?export=view&amp;id=1ABgSkKl-btHRZkgk0RHCbMzeztsWqo3Z" TargetMode="External" Id="rId392" /><Relationship Type="http://schemas.openxmlformats.org/officeDocument/2006/relationships/hyperlink" Target="https://www.facebook.com/sogversum" TargetMode="External" Id="rId393" /><Relationship Type="http://schemas.openxmlformats.org/officeDocument/2006/relationships/hyperlink" Target="http://www.electude.com/" TargetMode="External" Id="rId394" /><Relationship Type="http://schemas.openxmlformats.org/officeDocument/2006/relationships/hyperlink" Target="https://www.instagram.com/electudeinternational/" TargetMode="External" Id="rId395" /><Relationship Type="http://schemas.openxmlformats.org/officeDocument/2006/relationships/hyperlink" Target="https://www.linkedin.com/company/electudeinternational/" TargetMode="External" Id="rId396" /><Relationship Type="http://schemas.openxmlformats.org/officeDocument/2006/relationships/hyperlink" Target="https://drive.google.com/uc?export=view&amp;id=1F5ktQbNj5i1vdnSX8F_SdYNtJLk7gN23" TargetMode="External" Id="rId397" /><Relationship Type="http://schemas.openxmlformats.org/officeDocument/2006/relationships/hyperlink" Target="https://www.facebook.com/electudeinternational" TargetMode="External" Id="rId398" /><Relationship Type="http://schemas.openxmlformats.org/officeDocument/2006/relationships/hyperlink" Target="http://www.reducate.com/" TargetMode="External" Id="rId399" /><Relationship Type="http://schemas.openxmlformats.org/officeDocument/2006/relationships/hyperlink" Target="https://www.linkedin.com/company/reducate" TargetMode="External" Id="rId400" /><Relationship Type="http://schemas.openxmlformats.org/officeDocument/2006/relationships/hyperlink" Target="https://drive.google.com/uc?export=view&amp;id=1ph_qR9AGcEvmgHGTduIQA76BecAgAxwJ" TargetMode="External" Id="rId401" /><Relationship Type="http://schemas.openxmlformats.org/officeDocument/2006/relationships/hyperlink" Target="https://vittascience.com/" TargetMode="External" Id="rId402" /><Relationship Type="http://schemas.openxmlformats.org/officeDocument/2006/relationships/hyperlink" Target="https://drive.google.com/uc?export=view&amp;id=1s4dUBrdKBYzXviTJIfizi3OcYvwmznnh" TargetMode="External" Id="rId403" /><Relationship Type="http://schemas.openxmlformats.org/officeDocument/2006/relationships/hyperlink" Target="http://www.matcha.mobi/" TargetMode="External" Id="rId404" /><Relationship Type="http://schemas.openxmlformats.org/officeDocument/2006/relationships/hyperlink" Target="https://drive.google.com/uc?export=view&amp;id=1fBuMdbLYafOXaY7gSHoh2Jjcw4NOfJW8" TargetMode="External" Id="rId405" /><Relationship Type="http://schemas.openxmlformats.org/officeDocument/2006/relationships/hyperlink" Target="http://www.happykids.ai/" TargetMode="External" Id="rId406" /><Relationship Type="http://schemas.openxmlformats.org/officeDocument/2006/relationships/hyperlink" Target="https://lu.linkedin.com/company/happykids-ai-the-book-of-life" TargetMode="External" Id="rId407" /><Relationship Type="http://schemas.openxmlformats.org/officeDocument/2006/relationships/hyperlink" Target="https://drive.google.com/uc?export=view&amp;id=1SOdb4oi6XSFkgFjGRpoTKIUB2LRDQ8tj" TargetMode="External" Id="rId408" /><Relationship Type="http://schemas.openxmlformats.org/officeDocument/2006/relationships/hyperlink" Target="https://finanzwissen.club/" TargetMode="External" Id="rId409" /><Relationship Type="http://schemas.openxmlformats.org/officeDocument/2006/relationships/hyperlink" Target="https://drive.google.com/uc?export=view&amp;id=18Dcn90NsEdIkbnCVQWGgIQel8nCAPAxx" TargetMode="External" Id="rId410" /><Relationship Type="http://schemas.openxmlformats.org/officeDocument/2006/relationships/hyperlink" Target="https://www.investling.org/" TargetMode="External" Id="rId411" /><Relationship Type="http://schemas.openxmlformats.org/officeDocument/2006/relationships/hyperlink" Target="https://www.linkedin.com/company/investlingedu" TargetMode="External" Id="rId412" /><Relationship Type="http://schemas.openxmlformats.org/officeDocument/2006/relationships/hyperlink" Target="https://drive.google.com/uc?export=view&amp;id=1WW59X-VbdGlZ9ZP9cLsOo22MLYxYDoMp" TargetMode="External" Id="rId413" /><Relationship Type="http://schemas.openxmlformats.org/officeDocument/2006/relationships/hyperlink" Target="https://www.mobidys.com/" TargetMode="External" Id="rId414" /><Relationship Type="http://schemas.openxmlformats.org/officeDocument/2006/relationships/hyperlink" Target="https://drive.google.com/uc?export=view&amp;id=1MeI4x-m8gyZKfSnJMXiXVIA7fLzipoJc" TargetMode="External" Id="rId415" /><Relationship Type="http://schemas.openxmlformats.org/officeDocument/2006/relationships/hyperlink" Target="https://madmagz.com/" TargetMode="External" Id="rId416" /><Relationship Type="http://schemas.openxmlformats.org/officeDocument/2006/relationships/hyperlink" Target="https://www.instagram.com/madmagz.live/" TargetMode="External" Id="rId417" /><Relationship Type="http://schemas.openxmlformats.org/officeDocument/2006/relationships/hyperlink" Target="https://x.com/madmagz" TargetMode="External" Id="rId418" /><Relationship Type="http://schemas.openxmlformats.org/officeDocument/2006/relationships/hyperlink" Target="https://www.linkedin.com/company/949712" TargetMode="External" Id="rId419" /><Relationship Type="http://schemas.openxmlformats.org/officeDocument/2006/relationships/hyperlink" Target="https://drive.google.com/uc?export=view&amp;id=1FJIWR9LmUM8N4YxuB61JBlNHJFYCwOph" TargetMode="External" Id="rId420" /><Relationship Type="http://schemas.openxmlformats.org/officeDocument/2006/relationships/hyperlink" Target="http://www.skribu.pl/" TargetMode="External" Id="rId421" /><Relationship Type="http://schemas.openxmlformats.org/officeDocument/2006/relationships/hyperlink" Target="https://drive.google.com/uc?export=view&amp;id=1mzOrg3CgHSFQVlWJIZmsdq0-Ej8ofjBo" TargetMode="External" Id="rId422" /><Relationship Type="http://schemas.openxmlformats.org/officeDocument/2006/relationships/hyperlink" Target="https://schul.tools/" TargetMode="External" Id="rId423" /><Relationship Type="http://schemas.openxmlformats.org/officeDocument/2006/relationships/hyperlink" Target="https://drive.google.com/uc?export=view&amp;id=1BBVx4jFaYCviovsBSI75OoQculWcwQWk" TargetMode="External" Id="rId424" /><Relationship Type="http://schemas.openxmlformats.org/officeDocument/2006/relationships/hyperlink" Target="https://online-vertretungsstunden.de/" TargetMode="External" Id="rId425" /><Relationship Type="http://schemas.openxmlformats.org/officeDocument/2006/relationships/hyperlink" Target="https://www.instagram.com/online_vertretungsstunden/" TargetMode="External" Id="rId426" /><Relationship Type="http://schemas.openxmlformats.org/officeDocument/2006/relationships/hyperlink" Target="https://www.linkedin.com/company/online-vertretungsstunden" TargetMode="External" Id="rId427" /><Relationship Type="http://schemas.openxmlformats.org/officeDocument/2006/relationships/hyperlink" Target="https://drive.google.com/uc?export=view&amp;id=1725e6LWSJjE_TnG7IyyvFGSTHIdbVyDY" TargetMode="External" Id="rId428" /><Relationship Type="http://schemas.openxmlformats.org/officeDocument/2006/relationships/hyperlink" Target="https://www.facebook.com/onlinevertretungsstunden" TargetMode="External" Id="rId429" /><Relationship Type="http://schemas.openxmlformats.org/officeDocument/2006/relationships/hyperlink" Target="https://paradoxlearning.com/" TargetMode="External" Id="rId430" /><Relationship Type="http://schemas.openxmlformats.org/officeDocument/2006/relationships/hyperlink" Target="https://www.linkedin.com/in/stellal/" TargetMode="External" Id="rId431" /><Relationship Type="http://schemas.openxmlformats.org/officeDocument/2006/relationships/hyperlink" Target="https://drive.google.com/uc?export=view&amp;id=1lxriF7cOtykTwCYM2tcqphwRMe2eZc85" TargetMode="External" Id="rId432" /><Relationship Type="http://schemas.openxmlformats.org/officeDocument/2006/relationships/hyperlink" Target="https://www.edcortex.com/" TargetMode="External" Id="rId433" /><Relationship Type="http://schemas.openxmlformats.org/officeDocument/2006/relationships/hyperlink" Target="https://www.linkedin.com/company/edcortex/?viewAsMember=true" TargetMode="External" Id="rId434" /><Relationship Type="http://schemas.openxmlformats.org/officeDocument/2006/relationships/hyperlink" Target="https://drive.google.com/uc?export=view&amp;id=1QYCY1FiwZbZ6CoiFXQviCoy9nSxXDXCq" TargetMode="External" Id="rId435" /><Relationship Type="http://schemas.openxmlformats.org/officeDocument/2006/relationships/hyperlink" Target="http://www.eduplaces.de/" TargetMode="External" Id="rId436" /><Relationship Type="http://schemas.openxmlformats.org/officeDocument/2006/relationships/hyperlink" Target="https://www.instagram.com/eduplaces_apps/" TargetMode="External" Id="rId437" /><Relationship Type="http://schemas.openxmlformats.org/officeDocument/2006/relationships/hyperlink" Target="https://www.linkedin.com/company/eduplaces" TargetMode="External" Id="rId438" /><Relationship Type="http://schemas.openxmlformats.org/officeDocument/2006/relationships/hyperlink" Target="https://drive.google.com/uc?export=view&amp;id=1rWBjrUeAr1BGlaDHKRO-tn-VzWPHt9k2" TargetMode="External" Id="rId439" /><Relationship Type="http://schemas.openxmlformats.org/officeDocument/2006/relationships/hyperlink" Target="https://www.facebook.com/eduplaces.apps" TargetMode="External" Id="rId440" /><Relationship Type="http://schemas.openxmlformats.org/officeDocument/2006/relationships/hyperlink" Target="https://eduva.ai/" TargetMode="External" Id="rId441" /><Relationship Type="http://schemas.openxmlformats.org/officeDocument/2006/relationships/hyperlink" Target="https://drive.google.com/uc?export=view&amp;id=1HtPQnlQhvX1LIMnd3a1frkP0AkWHrkal" TargetMode="External" Id="rId442" /><Relationship Type="http://schemas.openxmlformats.org/officeDocument/2006/relationships/hyperlink" Target="https://educa360.com/" TargetMode="External" Id="rId443" /><Relationship Type="http://schemas.openxmlformats.org/officeDocument/2006/relationships/hyperlink" Target="https://drive.google.com/uc?export=view&amp;id=1un6L5sA7Yz6VhwYt7BsWsyRxQFmQFNcD" TargetMode="External" Id="rId444" /><Relationship Type="http://schemas.openxmlformats.org/officeDocument/2006/relationships/hyperlink" Target="https://learnademy.com/" TargetMode="External" Id="rId445" /><Relationship Type="http://schemas.openxmlformats.org/officeDocument/2006/relationships/hyperlink" Target="https://x.com/Learnademy" TargetMode="External" Id="rId446" /><Relationship Type="http://schemas.openxmlformats.org/officeDocument/2006/relationships/hyperlink" Target="http://linkedin.com/company/learnademy" TargetMode="External" Id="rId447" /><Relationship Type="http://schemas.openxmlformats.org/officeDocument/2006/relationships/hyperlink" Target="https://drive.google.com/uc?export=view&amp;id=1mc7i_viZt324IwhPVuDrQ-djto9T6D6M" TargetMode="External" Id="rId448" /><Relationship Type="http://schemas.openxmlformats.org/officeDocument/2006/relationships/hyperlink" Target="https://www.facebook.com/Learnademy" TargetMode="External" Id="rId449" /><Relationship Type="http://schemas.openxmlformats.org/officeDocument/2006/relationships/hyperlink" Target="https://www.alpaca-assessment.com/" TargetMode="External" Id="rId450" /><Relationship Type="http://schemas.openxmlformats.org/officeDocument/2006/relationships/hyperlink" Target="https://www.instagram.com/alpaca_learn/" TargetMode="External" Id="rId451" /><Relationship Type="http://schemas.openxmlformats.org/officeDocument/2006/relationships/hyperlink" Target="https://x.com/alpaca_learn" TargetMode="External" Id="rId452" /><Relationship Type="http://schemas.openxmlformats.org/officeDocument/2006/relationships/hyperlink" Target="https://www.linkedin.com/company/alpaca-assessment/" TargetMode="External" Id="rId453" /><Relationship Type="http://schemas.openxmlformats.org/officeDocument/2006/relationships/hyperlink" Target="https://drive.google.com/uc?export=view&amp;id=1GR__JWSzsRThlXEQCdxocuhvLKFJnQ8L" TargetMode="External" Id="rId454" /><Relationship Type="http://schemas.openxmlformats.org/officeDocument/2006/relationships/hyperlink" Target="https://www.facebook.com/alpaca.assessment/" TargetMode="External" Id="rId455" /><Relationship Type="http://schemas.openxmlformats.org/officeDocument/2006/relationships/hyperlink" Target="https://opinoma.dk/" TargetMode="External" Id="rId456" /><Relationship Type="http://schemas.openxmlformats.org/officeDocument/2006/relationships/hyperlink" Target="https://www.linkedin.com/company/opinoma" TargetMode="External" Id="rId457" /><Relationship Type="http://schemas.openxmlformats.org/officeDocument/2006/relationships/hyperlink" Target="https://drive.google.com/uc?export=view&amp;id=1hFuIe5s4kv3giJvjnqpYsfEFWjQnaDJQ" TargetMode="External" Id="rId458" /><Relationship Type="http://schemas.openxmlformats.org/officeDocument/2006/relationships/hyperlink" Target="http://norvalid.com/" TargetMode="External" Id="rId459" /><Relationship Type="http://schemas.openxmlformats.org/officeDocument/2006/relationships/hyperlink" Target="https://www.linkedin.com/company/norvalid" TargetMode="External" Id="rId460" /><Relationship Type="http://schemas.openxmlformats.org/officeDocument/2006/relationships/hyperlink" Target="https://drive.google.com/uc?export=view&amp;id=1Vh_Z8wEcwUfwTPbw42UwagWxZds8m0Y5" TargetMode="External" Id="rId461" /><Relationship Type="http://schemas.openxmlformats.org/officeDocument/2006/relationships/hyperlink" Target="https://www.compilatio.net/en" TargetMode="External" Id="rId462" /><Relationship Type="http://schemas.openxmlformats.org/officeDocument/2006/relationships/hyperlink" Target="https://fr.linkedin.com/company/compilatio" TargetMode="External" Id="rId463" /><Relationship Type="http://schemas.openxmlformats.org/officeDocument/2006/relationships/hyperlink" Target="https://drive.google.com/uc?export=view&amp;id=15ucyQppAtJC6hfnUmxbiWYqUUMQhp7lX" TargetMode="External" Id="rId464" /><Relationship Type="http://schemas.openxmlformats.org/officeDocument/2006/relationships/hyperlink" Target="https://www.facebook.com/compilatio.net/" TargetMode="External" Id="rId465" /><Relationship Type="http://schemas.openxmlformats.org/officeDocument/2006/relationships/hyperlink" Target="http://www.brainly.com/" TargetMode="External" Id="rId466" /><Relationship Type="http://schemas.openxmlformats.org/officeDocument/2006/relationships/hyperlink" Target="https://www.instagram.com/brainly/" TargetMode="External" Id="rId467" /><Relationship Type="http://schemas.openxmlformats.org/officeDocument/2006/relationships/hyperlink" Target="https://www.linkedin.com/company/2745890/" TargetMode="External" Id="rId468" /><Relationship Type="http://schemas.openxmlformats.org/officeDocument/2006/relationships/hyperlink" Target="https://drive.google.com/uc?export=view&amp;id=1qXUu5h1k_3WHPILqs4OFCSn2Mp0bkYco" TargetMode="External" Id="rId469" /><Relationship Type="http://schemas.openxmlformats.org/officeDocument/2006/relationships/hyperlink" Target="https://www.facebook.com/search/top?q=brainly" TargetMode="External" Id="rId470" /><Relationship Type="http://schemas.openxmlformats.org/officeDocument/2006/relationships/hyperlink" Target="http://www.reslocate.net/" TargetMode="External" Id="rId471" /><Relationship Type="http://schemas.openxmlformats.org/officeDocument/2006/relationships/hyperlink" Target="https://www.instagram.com/reslocate" TargetMode="External" Id="rId472" /><Relationship Type="http://schemas.openxmlformats.org/officeDocument/2006/relationships/hyperlink" Target="https://www.linkedin.com/reslocate" TargetMode="External" Id="rId473" /><Relationship Type="http://schemas.openxmlformats.org/officeDocument/2006/relationships/hyperlink" Target="https://drive.google.com/uc?export=view&amp;id=1P7jGRj-Y-_sAB2roxONwjssLWMyol3Hj" TargetMode="External" Id="rId474" /><Relationship Type="http://schemas.openxmlformats.org/officeDocument/2006/relationships/hyperlink" Target="https://www.facebook.com/reslocate" TargetMode="External" Id="rId475" /><Relationship Type="http://schemas.openxmlformats.org/officeDocument/2006/relationships/hyperlink" Target="https://www.adaptemy.com/" TargetMode="External" Id="rId476" /><Relationship Type="http://schemas.openxmlformats.org/officeDocument/2006/relationships/hyperlink" Target="https://x.com/adaptemy" TargetMode="External" Id="rId477" /><Relationship Type="http://schemas.openxmlformats.org/officeDocument/2006/relationships/hyperlink" Target="https://www.linkedin.com/company/adaptemy/" TargetMode="External" Id="rId478" /><Relationship Type="http://schemas.openxmlformats.org/officeDocument/2006/relationships/hyperlink" Target="https://drive.google.com/uc?export=view&amp;id=1m8hIRAJERyB0cNSN6syn26vAd5IWz-63" TargetMode="External" Id="rId479" /><Relationship Type="http://schemas.openxmlformats.org/officeDocument/2006/relationships/hyperlink" Target="https://www.facebook.com/adaptemy/" TargetMode="External" Id="rId480" /><Relationship Type="http://schemas.openxmlformats.org/officeDocument/2006/relationships/hyperlink" Target="http://www.equalteaching.com/" TargetMode="External" Id="rId481" /><Relationship Type="http://schemas.openxmlformats.org/officeDocument/2006/relationships/hyperlink" Target="https://www.linkedin.com/company/equal-teaching/" TargetMode="External" Id="rId482" /><Relationship Type="http://schemas.openxmlformats.org/officeDocument/2006/relationships/hyperlink" Target="https://drive.google.com/uc?export=view&amp;id=1mlTvG2pEQ-RmmnF0Gk7pq18ExVrLG2X6" TargetMode="External" Id="rId483" /><Relationship Type="http://schemas.openxmlformats.org/officeDocument/2006/relationships/hyperlink" Target="http://www.finncaraconsulting.com/" TargetMode="External" Id="rId484" /><Relationship Type="http://schemas.openxmlformats.org/officeDocument/2006/relationships/hyperlink" Target="https://drive.google.com/uc?export=view&amp;id=151CotRLwUK6pHPzRr0mhHN_Ejw0uE0Ti" TargetMode="External" Id="rId485" /><Relationship Type="http://schemas.openxmlformats.org/officeDocument/2006/relationships/hyperlink" Target="https://www.inokufu.com/" TargetMode="External" Id="rId486" /><Relationship Type="http://schemas.openxmlformats.org/officeDocument/2006/relationships/hyperlink" Target="https://www.linkedin.com/company/inokufu/" TargetMode="External" Id="rId487" /><Relationship Type="http://schemas.openxmlformats.org/officeDocument/2006/relationships/hyperlink" Target="https://drive.google.com/uc?export=view&amp;id=1rdcHG-U7xI7377px4SMmXQmfmoFO6UyL" TargetMode="External" Id="rId488" /><Relationship Type="http://schemas.openxmlformats.org/officeDocument/2006/relationships/hyperlink" Target="http://wwwskoltavlan.nu/" TargetMode="External" Id="rId489" /><Relationship Type="http://schemas.openxmlformats.org/officeDocument/2006/relationships/hyperlink" Target="https://www.instagram.com/skoltavlan/" TargetMode="External" Id="rId490" /><Relationship Type="http://schemas.openxmlformats.org/officeDocument/2006/relationships/hyperlink" Target="https://www.linkedin.com/showcase/skoltavlan" TargetMode="External" Id="rId491" /><Relationship Type="http://schemas.openxmlformats.org/officeDocument/2006/relationships/hyperlink" Target="https://drive.google.com/uc?export=view&amp;id=1T-uX_D7vbGqPstxVZ2RiVPronZFMzlm4" TargetMode="External" Id="rId492" /><Relationship Type="http://schemas.openxmlformats.org/officeDocument/2006/relationships/hyperlink" Target="https://www.facebook.com/skoltavlan" TargetMode="External" Id="rId493" /><Relationship Type="http://schemas.openxmlformats.org/officeDocument/2006/relationships/hyperlink" Target="http://www.catwise.com/" TargetMode="External" Id="rId494" /><Relationship Type="http://schemas.openxmlformats.org/officeDocument/2006/relationships/hyperlink" Target="https://www.linkedin.com/company/catwise" TargetMode="External" Id="rId495" /><Relationship Type="http://schemas.openxmlformats.org/officeDocument/2006/relationships/hyperlink" Target="https://drive.google.com/uc?export=view&amp;id=1QPWmAK34ATuMRnhEhDPfWpWR8DDRZA68" TargetMode="External" Id="rId496" /><Relationship Type="http://schemas.openxmlformats.org/officeDocument/2006/relationships/hyperlink" Target="https://cases.media/" TargetMode="External" Id="rId497" /><Relationship Type="http://schemas.openxmlformats.org/officeDocument/2006/relationships/hyperlink" Target="https://www.linkedin.com/company/cases-media/" TargetMode="External" Id="rId498" /><Relationship Type="http://schemas.openxmlformats.org/officeDocument/2006/relationships/hyperlink" Target="https://drive.google.com/uc?export=view&amp;id=1CoxN7dVygrQI9IcXWJo2unPNl6ykmJwE" TargetMode="External" Id="rId499" /><Relationship Type="http://schemas.openxmlformats.org/officeDocument/2006/relationships/hyperlink" Target="http://www.tresipunt.com/" TargetMode="External" Id="rId500" /><Relationship Type="http://schemas.openxmlformats.org/officeDocument/2006/relationships/hyperlink" Target="https://www.linkedin.com/company/tresipunt" TargetMode="External" Id="rId501" /><Relationship Type="http://schemas.openxmlformats.org/officeDocument/2006/relationships/hyperlink" Target="https://drive.google.com/uc?export=view&amp;id=1fbl4Z7zEurlOTJGg_E1vzY_IFz5uHa7u" TargetMode="External" Id="rId502" /><Relationship Type="http://schemas.openxmlformats.org/officeDocument/2006/relationships/hyperlink" Target="https://www.polycular.com/" TargetMode="External" Id="rId503" /><Relationship Type="http://schemas.openxmlformats.org/officeDocument/2006/relationships/hyperlink" Target="https://www.linkedin.com/company/polycular" TargetMode="External" Id="rId504" /><Relationship Type="http://schemas.openxmlformats.org/officeDocument/2006/relationships/hyperlink" Target="https://drive.google.com/uc?export=view&amp;id=1GQS_qov5F8SYBniukGyJQp3JYUO17nK8" TargetMode="External" Id="rId505" /><Relationship Type="http://schemas.openxmlformats.org/officeDocument/2006/relationships/hyperlink" Target="http://learnlab.net/" TargetMode="External" Id="rId506" /><Relationship Type="http://schemas.openxmlformats.org/officeDocument/2006/relationships/hyperlink" Target="https://www.linkedin.com/company/17944144" TargetMode="External" Id="rId507" /><Relationship Type="http://schemas.openxmlformats.org/officeDocument/2006/relationships/hyperlink" Target="https://drive.google.com/uc?export=view&amp;id=1_ICx_y-PM3l1hmd-AdIzAExoL-WdR8f7" TargetMode="External" Id="rId508" /><Relationship Type="http://schemas.openxmlformats.org/officeDocument/2006/relationships/hyperlink" Target="https://www.facebook.com/learnlab1" TargetMode="External" Id="rId509" /><Relationship Type="http://schemas.openxmlformats.org/officeDocument/2006/relationships/hyperlink" Target="https://deutschfuchs.de/" TargetMode="External" Id="rId510" /><Relationship Type="http://schemas.openxmlformats.org/officeDocument/2006/relationships/hyperlink" Target="https://drive.google.com/uc?export=view&amp;id=1K-GsPexYYsXO-dcdm9M5Nuh5G0HXhzPY" TargetMode="External" Id="rId511" /><Relationship Type="http://schemas.openxmlformats.org/officeDocument/2006/relationships/hyperlink" Target="https://authot.com/" TargetMode="External" Id="rId512" /><Relationship Type="http://schemas.openxmlformats.org/officeDocument/2006/relationships/hyperlink" Target="https://www.linkedin.com/company/authot/" TargetMode="External" Id="rId513" /><Relationship Type="http://schemas.openxmlformats.org/officeDocument/2006/relationships/hyperlink" Target="https://drive.google.com/uc?export=view&amp;id=1rbMWHybJOUWJpEvO6hosVdOwXbbJ0tJN" TargetMode="External" Id="rId514" /><Relationship Type="http://schemas.openxmlformats.org/officeDocument/2006/relationships/hyperlink" Target="https://rlconsultora.com/" TargetMode="External" Id="rId515" /><Relationship Type="http://schemas.openxmlformats.org/officeDocument/2006/relationships/hyperlink" Target="http://www.linkedin.com/in/rlconsultoraedtech" TargetMode="External" Id="rId516" /><Relationship Type="http://schemas.openxmlformats.org/officeDocument/2006/relationships/hyperlink" Target="https://drive.google.com/uc?export=view&amp;id=12wUAwmxHqryTMkPS9f_ZsC5KYPkNKzwL" TargetMode="External" Id="rId517" /><Relationship Type="http://schemas.openxmlformats.org/officeDocument/2006/relationships/hyperlink" Target="https://redmenta.com/" TargetMode="External" Id="rId518" /><Relationship Type="http://schemas.openxmlformats.org/officeDocument/2006/relationships/hyperlink" Target="https://www.instagram.com/redmenta.ai" TargetMode="External" Id="rId519" /><Relationship Type="http://schemas.openxmlformats.org/officeDocument/2006/relationships/hyperlink" Target="https://www.linkedin.com/company/redmenta/" TargetMode="External" Id="rId520" /><Relationship Type="http://schemas.openxmlformats.org/officeDocument/2006/relationships/hyperlink" Target="https://drive.google.com/uc?export=view&amp;id=163XKtvUd1ku4CvTen-scXTDbynL0I3PF" TargetMode="External" Id="rId521" /><Relationship Type="http://schemas.openxmlformats.org/officeDocument/2006/relationships/hyperlink" Target="https://www.facebook.com/redmenta" TargetMode="External" Id="rId522" /><Relationship Type="http://schemas.openxmlformats.org/officeDocument/2006/relationships/hyperlink" Target="https://drive.google.com/uc?export=view&amp;id=1JgIYxzwQjcTfn3_gxYipeyiC67WVYKZe" TargetMode="External" Id="rId523" /><Relationship Type="http://schemas.openxmlformats.org/officeDocument/2006/relationships/hyperlink" Target="https://uqualio.com/" TargetMode="External" Id="rId524" /><Relationship Type="http://schemas.openxmlformats.org/officeDocument/2006/relationships/hyperlink" Target="https://www.instagram.com/uqualio/" TargetMode="External" Id="rId525" /><Relationship Type="http://schemas.openxmlformats.org/officeDocument/2006/relationships/hyperlink" Target="https://x.com/uqualio" TargetMode="External" Id="rId526" /><Relationship Type="http://schemas.openxmlformats.org/officeDocument/2006/relationships/hyperlink" Target="https://www.linkedin.com/company/uqualio/" TargetMode="External" Id="rId527" /><Relationship Type="http://schemas.openxmlformats.org/officeDocument/2006/relationships/hyperlink" Target="https://drive.google.com/uc?export=view&amp;id=1KeDm4xsql4-7StUrmUAHfRCtp5c-hLKO" TargetMode="External" Id="rId528" /><Relationship Type="http://schemas.openxmlformats.org/officeDocument/2006/relationships/hyperlink" Target="https://www.facebook.com/uqualio" TargetMode="External" Id="rId529" /><Relationship Type="http://schemas.openxmlformats.org/officeDocument/2006/relationships/hyperlink" Target="http://www.carlboel.be/" TargetMode="External" Id="rId530" /><Relationship Type="http://schemas.openxmlformats.org/officeDocument/2006/relationships/hyperlink" Target="https://www.linkedin.com/in/boelcarl/" TargetMode="External" Id="rId531" /><Relationship Type="http://schemas.openxmlformats.org/officeDocument/2006/relationships/hyperlink" Target="https://drive.google.com/uc?export=view&amp;id=1-WsN-PGvwbWhyzJoMc2G8O7AiEbJNWXZ" TargetMode="External" Id="rId532" /><Relationship Type="http://schemas.openxmlformats.org/officeDocument/2006/relationships/hyperlink" Target="http://www.goinconnect.com/" TargetMode="External" Id="rId533" /><Relationship Type="http://schemas.openxmlformats.org/officeDocument/2006/relationships/hyperlink" Target="https://www.linkedin.com/company/goinconnect/?viewAsMember=true" TargetMode="External" Id="rId534" /><Relationship Type="http://schemas.openxmlformats.org/officeDocument/2006/relationships/hyperlink" Target="https://drive.google.com/uc?export=view&amp;id=1FqSw1mnp4xJiofHRcMFB75HCr-FW9etj" TargetMode="External" Id="rId535" /><Relationship Type="http://schemas.openxmlformats.org/officeDocument/2006/relationships/hyperlink" Target="https://synap.ac/" TargetMode="External" Id="rId536" /><Relationship Type="http://schemas.openxmlformats.org/officeDocument/2006/relationships/hyperlink" Target="https://x.com/synap" TargetMode="External" Id="rId537" /><Relationship Type="http://schemas.openxmlformats.org/officeDocument/2006/relationships/hyperlink" Target="https://www.linkedin.com/company/synap-lms" TargetMode="External" Id="rId538" /><Relationship Type="http://schemas.openxmlformats.org/officeDocument/2006/relationships/hyperlink" Target="https://drive.google.com/uc?export=view&amp;id=18A5fbfNVXyIXMZpdyHAMZq3PTVfPNqBI" TargetMode="External" Id="rId539" /><Relationship Type="http://schemas.openxmlformats.org/officeDocument/2006/relationships/hyperlink" Target="https://anemon.co/" TargetMode="External" Id="rId540" /><Relationship Type="http://schemas.openxmlformats.org/officeDocument/2006/relationships/hyperlink" Target="https://fr.linkedin.com/company/withanemon" TargetMode="External" Id="rId541" /><Relationship Type="http://schemas.openxmlformats.org/officeDocument/2006/relationships/hyperlink" Target="https://drive.google.com/uc?export=view&amp;id=1vHeUFHnB7iAIMvUrZyZfNtJYuDWvSVEh" TargetMode="External" Id="rId542" /><Relationship Type="http://schemas.openxmlformats.org/officeDocument/2006/relationships/hyperlink" Target="http://youforget.me/" TargetMode="External" Id="rId543" /><Relationship Type="http://schemas.openxmlformats.org/officeDocument/2006/relationships/hyperlink" Target="http://www.youforget.me/" TargetMode="External" Id="rId544" /><Relationship Type="http://schemas.openxmlformats.org/officeDocument/2006/relationships/hyperlink" Target="https://drive.google.com/uc?export=view&amp;id=13iZbo3W7k4QpTT6Pfn_tLRaJw0bfJetw" TargetMode="External" Id="rId545" /><Relationship Type="http://schemas.openxmlformats.org/officeDocument/2006/relationships/hyperlink" Target="http://www.forclassmates.com/" TargetMode="External" Id="rId546" /><Relationship Type="http://schemas.openxmlformats.org/officeDocument/2006/relationships/hyperlink" Target="https://www.linkedin.com/company/forclassmates/" TargetMode="External" Id="rId547" /><Relationship Type="http://schemas.openxmlformats.org/officeDocument/2006/relationships/hyperlink" Target="https://drive.google.com/uc?export=view&amp;id=1mx-bi5orSGvVOsKiUb4PC90Cetz3kLAA" TargetMode="External" Id="rId548" /><Relationship Type="http://schemas.openxmlformats.org/officeDocument/2006/relationships/hyperlink" Target="https://sainaptic.com/" TargetMode="External" Id="rId549" /><Relationship Type="http://schemas.openxmlformats.org/officeDocument/2006/relationships/hyperlink" Target="https://www.linkedin.com/company/67557578/admin/dashboard/" TargetMode="External" Id="rId550" /><Relationship Type="http://schemas.openxmlformats.org/officeDocument/2006/relationships/hyperlink" Target="https://drive.google.com/uc?export=view&amp;id=1DhzLDf5vKzaafQ1Fw2UTirhvvAMFFZwH" TargetMode="External" Id="rId551" /><Relationship Type="http://schemas.openxmlformats.org/officeDocument/2006/relationships/hyperlink" Target="http://www.amuze-interactive.com/" TargetMode="External" Id="rId552" /><Relationship Type="http://schemas.openxmlformats.org/officeDocument/2006/relationships/hyperlink" Target="https://drive.google.com/uc?export=view&amp;id=1ube_7AHS-tY4qdUVHBGVPnlcYDSr8wtd" TargetMode="External" Id="rId553" /><Relationship Type="http://schemas.openxmlformats.org/officeDocument/2006/relationships/hyperlink" Target="https://www.rosariosis.org/" TargetMode="External" Id="rId554" /><Relationship Type="http://schemas.openxmlformats.org/officeDocument/2006/relationships/hyperlink" Target="https://drive.google.com/uc?export=view&amp;id=1oT_Sl7MpAWvx9CMW5Dfi1C3ImWV1vQxE" TargetMode="External" Id="rId555" /><Relationship Type="http://schemas.openxmlformats.org/officeDocument/2006/relationships/hyperlink" Target="http://engineeringtrainer.com/" TargetMode="External" Id="rId556" /><Relationship Type="http://schemas.openxmlformats.org/officeDocument/2006/relationships/hyperlink" Target="https://www.linkedin.com/school/12648209/" TargetMode="External" Id="rId557" /><Relationship Type="http://schemas.openxmlformats.org/officeDocument/2006/relationships/hyperlink" Target="https://drive.google.com/uc?export=view&amp;id=1DQCRe50KhT1Ss5FT4WOBWLQR5vA54yFa" TargetMode="External" Id="rId558" /><Relationship Type="http://schemas.openxmlformats.org/officeDocument/2006/relationships/hyperlink" Target="https://ste.education/" TargetMode="External" Id="rId559" /><Relationship Type="http://schemas.openxmlformats.org/officeDocument/2006/relationships/hyperlink" Target="https://www.instagram.com/ste.education/" TargetMode="External" Id="rId560" /><Relationship Type="http://schemas.openxmlformats.org/officeDocument/2006/relationships/hyperlink" Target="https://drive.google.com/uc?export=view&amp;id=1xEAsOt6AHQJZtbzgNlddHPdsoOtOgWtT" TargetMode="External" Id="rId561" /><Relationship Type="http://schemas.openxmlformats.org/officeDocument/2006/relationships/hyperlink" Target="https://www.facebook.com/science.technology.engineering.education/" TargetMode="External" Id="rId562" /><Relationship Type="http://schemas.openxmlformats.org/officeDocument/2006/relationships/hyperlink" Target="http://steamprogramedu.com/" TargetMode="External" Id="rId563" /><Relationship Type="http://schemas.openxmlformats.org/officeDocument/2006/relationships/hyperlink" Target="https://drive.google.com/uc?export=view&amp;id=1vnkWDnS-70JVOMoBWh2U5DdmcIifoNhq" TargetMode="External" Id="rId564" /><Relationship Type="http://schemas.openxmlformats.org/officeDocument/2006/relationships/hyperlink" Target="https://www.facebook.com/profile.php?id=100063712953645" TargetMode="External" Id="rId565" /><Relationship Type="http://schemas.openxmlformats.org/officeDocument/2006/relationships/hyperlink" Target="https://onspect.nl/" TargetMode="External" Id="rId566" /><Relationship Type="http://schemas.openxmlformats.org/officeDocument/2006/relationships/hyperlink" Target="https://www.linkedin.com/company/onspect" TargetMode="External" Id="rId567" /><Relationship Type="http://schemas.openxmlformats.org/officeDocument/2006/relationships/hyperlink" Target="https://drive.google.com/uc?export=view&amp;id=1AU0NzWzHHkGRM43EKQg_qELwdJ8MHZPI" TargetMode="External" Id="rId568" /><Relationship Type="http://schemas.openxmlformats.org/officeDocument/2006/relationships/hyperlink" Target="http://www.lbq.org/" TargetMode="External" Id="rId569" /><Relationship Type="http://schemas.openxmlformats.org/officeDocument/2006/relationships/hyperlink" Target="https://x.com/lbqorg" TargetMode="External" Id="rId570" /><Relationship Type="http://schemas.openxmlformats.org/officeDocument/2006/relationships/hyperlink" Target="https://www.linkedin.com/company/learning-by-questions" TargetMode="External" Id="rId571" /><Relationship Type="http://schemas.openxmlformats.org/officeDocument/2006/relationships/hyperlink" Target="https://drive.google.com/uc?export=view&amp;id=1c2EyY9L3T6lky5RkyKEeD-hrPUtVf4c0" TargetMode="External" Id="rId572" /><Relationship Type="http://schemas.openxmlformats.org/officeDocument/2006/relationships/hyperlink" Target="https://www.facebook.com/LearningbyQuestions" TargetMode="External" Id="rId573" /><Relationship Type="http://schemas.openxmlformats.org/officeDocument/2006/relationships/hyperlink" Target="http://www.desku.fi/" TargetMode="External" Id="rId574" /><Relationship Type="http://schemas.openxmlformats.org/officeDocument/2006/relationships/hyperlink" Target="https://www.linkedin.com/company/opentunti-oy" TargetMode="External" Id="rId575" /><Relationship Type="http://schemas.openxmlformats.org/officeDocument/2006/relationships/hyperlink" Target="https://co-gito.coml/" TargetMode="External" Id="rId576" /><Relationship Type="http://schemas.openxmlformats.org/officeDocument/2006/relationships/hyperlink" Target="https://www.linkedin.com/company/co-gito" TargetMode="External" Id="rId577" /><Relationship Type="http://schemas.openxmlformats.org/officeDocument/2006/relationships/hyperlink" Target="https://drive.google.com/uc?export=view&amp;id=11YmoB_x8Xh0TbjPHSoRb664nIXO_Ur9S" TargetMode="External" Id="rId578" /><Relationship Type="http://schemas.openxmlformats.org/officeDocument/2006/relationships/hyperlink" Target="https://www.pomelabs.com/" TargetMode="External" Id="rId579" /><Relationship Type="http://schemas.openxmlformats.org/officeDocument/2006/relationships/hyperlink" Target="https://www.instagram.com/pome.labs/" TargetMode="External" Id="rId580" /><Relationship Type="http://schemas.openxmlformats.org/officeDocument/2006/relationships/hyperlink" Target="https://www.linkedin.com/company/pomelabs" TargetMode="External" Id="rId581" /><Relationship Type="http://schemas.openxmlformats.org/officeDocument/2006/relationships/hyperlink" Target="https://drive.google.com/uc?export=view&amp;id=1jTenh2OnHwPh3-xtOXPYNR2LStGOerQV" TargetMode="External" Id="rId582" /><Relationship Type="http://schemas.openxmlformats.org/officeDocument/2006/relationships/hyperlink" Target="https://www.linkedin.com/company/1000i" TargetMode="External" Id="rId583" /><Relationship Type="http://schemas.openxmlformats.org/officeDocument/2006/relationships/hyperlink" Target="http://www.edisconet.com/" TargetMode="External" Id="rId584" /><Relationship Type="http://schemas.openxmlformats.org/officeDocument/2006/relationships/hyperlink" Target="https://www.linkedin.com/company/edisconet/" TargetMode="External" Id="rId585" /><Relationship Type="http://schemas.openxmlformats.org/officeDocument/2006/relationships/hyperlink" Target="https://zicklearn.com/" TargetMode="External" Id="rId586" /><Relationship Type="http://schemas.openxmlformats.org/officeDocument/2006/relationships/hyperlink" Target="https://www.linkedin.com/company/zick" TargetMode="External" Id="rId587" /><Relationship Type="http://schemas.openxmlformats.org/officeDocument/2006/relationships/hyperlink" Target="http://www.classroomscreen.com/" TargetMode="External" Id="rId588" /><Relationship Type="http://schemas.openxmlformats.org/officeDocument/2006/relationships/hyperlink" Target="https://www.linkedin.com/company/classroomscreen/" TargetMode="External" Id="rId589" /><Relationship Type="http://schemas.openxmlformats.org/officeDocument/2006/relationships/hyperlink" Target="https://edusign.com/" TargetMode="External" Id="rId590" /><Relationship Type="http://schemas.openxmlformats.org/officeDocument/2006/relationships/hyperlink" Target="https://www.linkedin.com/company/edusign/" TargetMode="External" Id="rId591" /><Relationship Type="http://schemas.openxmlformats.org/officeDocument/2006/relationships/hyperlink" Target="https://www.linkedin.com/company/persona" TargetMode="External" Id="rId592" /><Relationship Type="http://schemas.openxmlformats.org/officeDocument/2006/relationships/hyperlink" Target="https://www.facebook.com/personalifeskills" TargetMode="External" Id="rId593" /><Relationship Type="http://schemas.openxmlformats.org/officeDocument/2006/relationships/hyperlink" Target="http://elever.ch/" TargetMode="External" Id="rId594" /><Relationship Type="http://schemas.openxmlformats.org/officeDocument/2006/relationships/hyperlink" Target="https://www.linkedin.com/company/elever" TargetMode="External" Id="rId595" /><Relationship Type="http://schemas.openxmlformats.org/officeDocument/2006/relationships/hyperlink" Target="https://www.collaborationlaboratory.com/" TargetMode="External" Id="rId596" /><Relationship Type="http://schemas.openxmlformats.org/officeDocument/2006/relationships/hyperlink" Target="https://www.instagram.com/colab_global_/" TargetMode="External" Id="rId597" /><Relationship Type="http://schemas.openxmlformats.org/officeDocument/2006/relationships/hyperlink" Target="https://www.linkedin.com/company/collaboration" TargetMode="External" Id="rId598" /><Relationship Type="http://schemas.openxmlformats.org/officeDocument/2006/relationships/hyperlink" Target="http://ilorobot.com/" TargetMode="External" Id="rId599" /><Relationship Type="http://schemas.openxmlformats.org/officeDocument/2006/relationships/hyperlink" Target="https://www.linkedin.com/company/ilorobot/" TargetMode="External" Id="rId600" /><Relationship Type="http://schemas.openxmlformats.org/officeDocument/2006/relationships/hyperlink" Target="https://www.aiuc.se/" TargetMode="External" Id="rId601" /><Relationship Type="http://schemas.openxmlformats.org/officeDocument/2006/relationships/hyperlink" Target="http://linkedin.com/company/aiucse" TargetMode="External" Id="rId602" /><Relationship Type="http://schemas.openxmlformats.org/officeDocument/2006/relationships/hyperlink" Target="https://about.edumus.org/" TargetMode="External" Id="rId603" /><Relationship Type="http://schemas.openxmlformats.org/officeDocument/2006/relationships/hyperlink" Target="http://www.epistemes-formation.fr/" TargetMode="External" Id="rId604" /><Relationship Type="http://schemas.openxmlformats.org/officeDocument/2006/relationships/hyperlink" Target="https://www.linkedin.com/company/episteme" TargetMode="External" Id="rId605" /><Relationship Type="http://schemas.openxmlformats.org/officeDocument/2006/relationships/hyperlink" Target="http://www.wiris.com/" TargetMode="External" Id="rId606" /><Relationship Type="http://schemas.openxmlformats.org/officeDocument/2006/relationships/hyperlink" Target="https://www.linkedin.com/company/maths" TargetMode="External" Id="rId607" /><Relationship Type="http://schemas.openxmlformats.org/officeDocument/2006/relationships/hyperlink" Target="http://www.memorylab.nl/" TargetMode="External" Id="rId608" /><Relationship Type="http://schemas.openxmlformats.org/officeDocument/2006/relationships/hyperlink" Target="https://eindexamensite.nl/" TargetMode="External" Id="rId609" /><Relationship Type="http://schemas.openxmlformats.org/officeDocument/2006/relationships/hyperlink" Target="https://www.linkedin.com/company/eindexamensite/" TargetMode="External" Id="rId610" /><Relationship Type="http://schemas.openxmlformats.org/officeDocument/2006/relationships/hyperlink" Target="http://exoclass.io/" TargetMode="External" Id="rId611" /><Relationship Type="http://schemas.openxmlformats.org/officeDocument/2006/relationships/hyperlink" Target="https://www.instagram.com/exoclass_com/" TargetMode="External" Id="rId612" /><Relationship Type="http://schemas.openxmlformats.org/officeDocument/2006/relationships/hyperlink" Target="https://www.linkedin.com/company/exoclass" TargetMode="External" Id="rId613" /><Relationship Type="http://schemas.openxmlformats.org/officeDocument/2006/relationships/hyperlink" Target="http://www.01edu.ai/" TargetMode="External" Id="rId614" /><Relationship Type="http://schemas.openxmlformats.org/officeDocument/2006/relationships/hyperlink" Target="https://www.linkedin.com/company/01edu/posts/?feedView=all" TargetMode="External" Id="rId615" /><Relationship Type="http://schemas.openxmlformats.org/officeDocument/2006/relationships/hyperlink" Target="https://slonig.org/" TargetMode="External" Id="rId616" /><Relationship Type="http://schemas.openxmlformats.org/officeDocument/2006/relationships/hyperlink" Target="https://zimsalabim.webflow.io/" TargetMode="External" Id="rId617" /><Relationship Type="http://schemas.openxmlformats.org/officeDocument/2006/relationships/hyperlink" Target="https://www.linkedin.com/in/karel" TargetMode="External" Id="rId618" /><Relationship Type="http://schemas.openxmlformats.org/officeDocument/2006/relationships/hyperlink" Target="https://dfe.org.ua/" TargetMode="External" Id="rId619" /><Relationship Type="http://schemas.openxmlformats.org/officeDocument/2006/relationships/hyperlink" Target="https://www.linkedin.com/in/nataliya" TargetMode="External" Id="rId620" /><Relationship Type="http://schemas.openxmlformats.org/officeDocument/2006/relationships/hyperlink" Target="https://gioschool.com/" TargetMode="External" Id="rId621" /><Relationship Type="http://schemas.openxmlformats.org/officeDocument/2006/relationships/hyperlink" Target="https://www.linkedin.com/company/gios" TargetMode="External" Id="rId622" /><Relationship Type="http://schemas.openxmlformats.org/officeDocument/2006/relationships/hyperlink" Target="https://www.facebook.com/GIOS.school" TargetMode="External" Id="rId623" /><Relationship Type="http://schemas.openxmlformats.org/officeDocument/2006/relationships/hyperlink" Target="http://betterstudy.ch/" TargetMode="External" Id="rId624" /><Relationship Type="http://schemas.openxmlformats.org/officeDocument/2006/relationships/hyperlink" Target="https://www.susydiario.it/" TargetMode="External" Id="rId625" /><Relationship Type="http://schemas.openxmlformats.org/officeDocument/2006/relationships/hyperlink" Target="http://www.fedu.ai/" TargetMode="External" Id="rId626" /><Relationship Type="http://schemas.openxmlformats.org/officeDocument/2006/relationships/hyperlink" Target="https://www.linkedin.com/company/mentalup" TargetMode="External" Id="rId627" /><Relationship Type="http://schemas.openxmlformats.org/officeDocument/2006/relationships/hyperlink" Target="http://www.fortissimo.education/en" TargetMode="External" Id="rId628" /><Relationship Type="http://schemas.openxmlformats.org/officeDocument/2006/relationships/hyperlink" Target="https://www.instagram.com/fortissimo.education" TargetMode="External" Id="rId629" /><Relationship Type="http://schemas.openxmlformats.org/officeDocument/2006/relationships/hyperlink" Target="https://www.linkedin.com/company/fortissimo" TargetMode="External" Id="rId630" /><Relationship Type="http://schemas.openxmlformats.org/officeDocument/2006/relationships/hyperlink" Target="https://www.facebook.com/p/Fortissimo" TargetMode="External" Id="rId631" /><Relationship Type="http://schemas.openxmlformats.org/officeDocument/2006/relationships/hyperlink" Target="http://www.educacode.com/" TargetMode="External" Id="rId632" /><Relationship Type="http://schemas.openxmlformats.org/officeDocument/2006/relationships/hyperlink" Target="https://www.linkedin.com/company/educacode" TargetMode="External" Id="rId633" /><Relationship Type="http://schemas.openxmlformats.org/officeDocument/2006/relationships/hyperlink" Target="http://www.quizzability.com/" TargetMode="External" Id="rId634" /><Relationship Type="http://schemas.openxmlformats.org/officeDocument/2006/relationships/hyperlink" Target="https://pt.linkedin.com/company/quizzability" TargetMode="External" Id="rId635" /><Relationship Type="http://schemas.openxmlformats.org/officeDocument/2006/relationships/hyperlink" Target="https://tgi-platform.com/" TargetMode="External" Id="rId636" /><Relationship Type="http://schemas.openxmlformats.org/officeDocument/2006/relationships/hyperlink" Target="https://www.linkedin.com/in/valya" TargetMode="External" Id="rId637" /><Relationship Type="http://schemas.openxmlformats.org/officeDocument/2006/relationships/hyperlink" Target="https://widid.fr/" TargetMode="External" Id="rId638" /><Relationship Type="http://schemas.openxmlformats.org/officeDocument/2006/relationships/hyperlink" Target="https://www.linkedin.com/company/11763645/" TargetMode="External" Id="rId639" /><Relationship Type="http://schemas.openxmlformats.org/officeDocument/2006/relationships/hyperlink" Target="https://www.facebook.com/TraiNex24" TargetMode="External" Id="rId640" /><Relationship Type="http://schemas.openxmlformats.org/officeDocument/2006/relationships/hyperlink" Target="https://www.ode.systems/" TargetMode="External" Id="rId641" /><Relationship Type="http://schemas.openxmlformats.org/officeDocument/2006/relationships/hyperlink" Target="https://www.linkedin.com/company/odeeasychoice/" TargetMode="External" Id="rId642" /><Relationship Type="http://schemas.openxmlformats.org/officeDocument/2006/relationships/hyperlink" Target="https://www.facebook.com/ODE.systems" TargetMode="External" Id="rId643" /><Relationship Type="http://schemas.openxmlformats.org/officeDocument/2006/relationships/hyperlink" Target="http://unicef.org/" TargetMode="External" Id="rId644" /><Relationship Type="http://schemas.openxmlformats.org/officeDocument/2006/relationships/hyperlink" Target="http://mathscircle.com/" TargetMode="External" Id="rId645" /><Relationship Type="http://schemas.openxmlformats.org/officeDocument/2006/relationships/hyperlink" Target="http://quikwise.ai/" TargetMode="External" Id="rId646" /><Relationship Type="http://schemas.openxmlformats.org/officeDocument/2006/relationships/hyperlink" Target="https://www.instagram.com/quikwise.ai" TargetMode="External" Id="rId647" /><Relationship Type="http://schemas.openxmlformats.org/officeDocument/2006/relationships/hyperlink" Target="https://www.facebook.com/quikwise" TargetMode="External" Id="rId648" /><Relationship Type="http://schemas.openxmlformats.org/officeDocument/2006/relationships/hyperlink" Target="http://www.analytikus.com/" TargetMode="External" Id="rId649" /><Relationship Type="http://schemas.openxmlformats.org/officeDocument/2006/relationships/hyperlink" Target="https://www.linkedin.com/company/analytikus/" TargetMode="External" Id="rId650" /><Relationship Type="http://schemas.openxmlformats.org/officeDocument/2006/relationships/hyperlink" Target="http://corolair.com/" TargetMode="External" Id="rId651" /><Relationship Type="http://schemas.openxmlformats.org/officeDocument/2006/relationships/hyperlink" Target="http://www.brightbook.io/" TargetMode="External" Id="rId652" /><Relationship Type="http://schemas.openxmlformats.org/officeDocument/2006/relationships/hyperlink" Target="https://www.linkedin.com/company/86933752/admin/dashboard/" TargetMode="External" Id="rId653" /><Relationship Type="http://schemas.openxmlformats.org/officeDocument/2006/relationships/hyperlink" Target="https://www.facebook.com/p/Brightbook" TargetMode="External" Id="rId654" /><Relationship Type="http://schemas.openxmlformats.org/officeDocument/2006/relationships/hyperlink" Target="https://wellbased.nl/" TargetMode="External" Id="rId655" /><Relationship Type="http://schemas.openxmlformats.org/officeDocument/2006/relationships/hyperlink" Target="https://beeznest.com/" TargetMode="External" Id="rId656" /><Relationship Type="http://schemas.openxmlformats.org/officeDocument/2006/relationships/hyperlink" Target="https://www.linkedin.com/company/206029/" TargetMode="External" Id="rId657" /><Relationship Type="http://schemas.openxmlformats.org/officeDocument/2006/relationships/hyperlink" Target="http://morphoses.io/" TargetMode="External" Id="rId658" /><Relationship Type="http://schemas.openxmlformats.org/officeDocument/2006/relationships/hyperlink" Target="https://www.linkedin.com/company/74557040" TargetMode="External" Id="rId659" /><Relationship Type="http://schemas.openxmlformats.org/officeDocument/2006/relationships/hyperlink" Target="https://singularity-experts.com/en/" TargetMode="External" Id="rId660" /><Relationship Type="http://schemas.openxmlformats.org/officeDocument/2006/relationships/hyperlink" Target="https://www.linkedin.com/company/singularity" TargetMode="External" Id="rId661" /><Relationship Type="http://schemas.openxmlformats.org/officeDocument/2006/relationships/hyperlink" Target="https://www.snackson.com/" TargetMode="External" Id="rId662" /><Relationship Type="http://schemas.openxmlformats.org/officeDocument/2006/relationships/hyperlink" Target="https://www.linkedin.com/company/snackson/" TargetMode="External" Id="rId663" /><Relationship Type="http://schemas.openxmlformats.org/officeDocument/2006/relationships/hyperlink" Target="http://www.academicsoftware.com/" TargetMode="External" Id="rId664" /><Relationship Type="http://schemas.openxmlformats.org/officeDocument/2006/relationships/hyperlink" Target="http://www.linkedin.com/company/academic" TargetMode="External" Id="rId665" /><Relationship Type="http://schemas.openxmlformats.org/officeDocument/2006/relationships/hyperlink" Target="http://www.eduintel.io/" TargetMode="External" Id="rId666" /><Relationship Type="http://schemas.openxmlformats.org/officeDocument/2006/relationships/hyperlink" Target="http://unowhy.com/" TargetMode="External" Id="rId667" /><Relationship Type="http://schemas.openxmlformats.org/officeDocument/2006/relationships/hyperlink" Target="https://global.exatech-group.com/" TargetMode="External" Id="rId668" /><Relationship Type="http://schemas.openxmlformats.org/officeDocument/2006/relationships/hyperlink" Target="https://x.com/exatechgroup;" TargetMode="External" Id="rId669" /><Relationship Type="http://schemas.openxmlformats.org/officeDocument/2006/relationships/hyperlink" Target="https://fr.linkedin.com/company/exatech" TargetMode="External" Id="rId670" /><Relationship Type="http://schemas.openxmlformats.org/officeDocument/2006/relationships/hyperlink" Target="http://lanterna.com/" TargetMode="External" Id="rId671" /><Relationship Type="http://schemas.openxmlformats.org/officeDocument/2006/relationships/hyperlink" Target="https://www.linkedin.com/company/1227848" TargetMode="External" Id="rId672" /><Relationship Type="http://schemas.openxmlformats.org/officeDocument/2006/relationships/hyperlink" Target="https://www.tempusinfo.se/" TargetMode="External" Id="rId673" /><Relationship Type="http://schemas.openxmlformats.org/officeDocument/2006/relationships/hyperlink" Target="https://www.instagram.com/tempus_information_systems_ab/" TargetMode="External" Id="rId674" /><Relationship Type="http://schemas.openxmlformats.org/officeDocument/2006/relationships/hyperlink" Target="https://www.linkedin.com/company/tempus" TargetMode="External" Id="rId675" /><Relationship Type="http://schemas.openxmlformats.org/officeDocument/2006/relationships/hyperlink" Target="https://www.facebook.com/tempusinfo/" TargetMode="External" Id="rId676" /><Relationship Type="http://schemas.openxmlformats.org/officeDocument/2006/relationships/hyperlink" Target="http://www.myfaba.com/" TargetMode="External" Id="rId677" /><Relationship Type="http://schemas.openxmlformats.org/officeDocument/2006/relationships/hyperlink" Target="https://www.linkedin.com/company/faba" TargetMode="External" Id="rId678" /><Relationship Type="http://schemas.openxmlformats.org/officeDocument/2006/relationships/hyperlink" Target="http://www.reteach.com/" TargetMode="External" Id="rId679" /><Relationship Type="http://schemas.openxmlformats.org/officeDocument/2006/relationships/hyperlink" Target="https://alec-edu.com/" TargetMode="External" Id="rId680" /><Relationship Type="http://schemas.openxmlformats.org/officeDocument/2006/relationships/hyperlink" Target="http://algebrakit.com/" TargetMode="External" Id="rId681" /><Relationship Type="http://schemas.openxmlformats.org/officeDocument/2006/relationships/hyperlink" Target="https://www.linkedin.com/company/algebrakit" TargetMode="External" Id="rId682" /><Relationship Type="http://schemas.openxmlformats.org/officeDocument/2006/relationships/hyperlink" Target="http://www.maxbrain.com/" TargetMode="External" Id="rId683" /><Relationship Type="http://schemas.openxmlformats.org/officeDocument/2006/relationships/hyperlink" Target="https://www.linkedin.com/company/maxbrain" TargetMode="External" Id="rId684" /><Relationship Type="http://schemas.openxmlformats.org/officeDocument/2006/relationships/hyperlink" Target="http://kiwix.org/" TargetMode="External" Id="rId685" /><Relationship Type="http://schemas.openxmlformats.org/officeDocument/2006/relationships/hyperlink" Target="https://www.linkedin.com/company/kiwixoffline" TargetMode="External" Id="rId686" /><Relationship Type="http://schemas.openxmlformats.org/officeDocument/2006/relationships/hyperlink" Target="https://lutz.education/" TargetMode="External" Id="rId687" /><Relationship Type="http://schemas.openxmlformats.org/officeDocument/2006/relationships/hyperlink" Target="https://www.linkedin.com/company/lutz" TargetMode="External" Id="rId688" /><Relationship Type="http://schemas.openxmlformats.org/officeDocument/2006/relationships/hyperlink" Target="http://www.learningstone.com/" TargetMode="External" Id="rId689" /><Relationship Type="http://schemas.openxmlformats.org/officeDocument/2006/relationships/hyperlink" Target="https://www.linkedin.com/company/learningstone" TargetMode="External" Id="rId690" /><Relationship Type="http://schemas.openxmlformats.org/officeDocument/2006/relationships/hyperlink" Target="http://www.edunexis.com/" TargetMode="External" Id="rId691" /><Relationship Type="http://schemas.openxmlformats.org/officeDocument/2006/relationships/hyperlink" Target="https://cards-microlearning.com/" TargetMode="External" Id="rId692" /><Relationship Type="http://schemas.openxmlformats.org/officeDocument/2006/relationships/hyperlink" Target="https://www.linkedin.com/company/cards" TargetMode="External" Id="rId693" /><Relationship Type="http://schemas.openxmlformats.org/officeDocument/2006/relationships/hyperlink" Target="http://www.readmio.com/" TargetMode="External" Id="rId694" /><Relationship Type="http://schemas.openxmlformats.org/officeDocument/2006/relationships/hyperlink" Target="https://www.linkedin.com/company/42912604/admin/dashboard/" TargetMode="External" Id="rId695" /><Relationship Type="http://schemas.openxmlformats.org/officeDocument/2006/relationships/hyperlink" Target="https://humanaitech.com/" TargetMode="External" Id="rId696" /><Relationship Type="http://schemas.openxmlformats.org/officeDocument/2006/relationships/hyperlink" Target="https://www.instagram.com/humanai_tech/" TargetMode="External" Id="rId697" /><Relationship Type="http://schemas.openxmlformats.org/officeDocument/2006/relationships/hyperlink" Target="https://www.linkedin.com/company/aplicaciones" TargetMode="External" Id="rId698" /><Relationship Type="http://schemas.openxmlformats.org/officeDocument/2006/relationships/hyperlink" Target="https://onebonsai.com/" TargetMode="External" Id="rId699" /><Relationship Type="http://schemas.openxmlformats.org/officeDocument/2006/relationships/hyperlink" Target="https://www.linkedin.com/company/onebonsai" TargetMode="External" Id="rId700" /><Relationship Type="http://schemas.openxmlformats.org/officeDocument/2006/relationships/hyperlink" Target="https://business.metalearnapps.com/" TargetMode="External" Id="rId701" /><Relationship Type="http://schemas.openxmlformats.org/officeDocument/2006/relationships/hyperlink" Target="https://www.linkedin.com/company/meta" TargetMode="External" Id="rId702" /><Relationship Type="http://schemas.openxmlformats.org/officeDocument/2006/relationships/hyperlink" Target="https://www.schubu.org/" TargetMode="External" Id="rId703" /><Relationship Type="http://schemas.openxmlformats.org/officeDocument/2006/relationships/hyperlink" Target="https://at.linkedin.com/company/schubuwien" TargetMode="External" Id="rId704" /><Relationship Type="http://schemas.openxmlformats.org/officeDocument/2006/relationships/hyperlink" Target="https://www.kwizie.ai/" TargetMode="External" Id="rId705" /><Relationship Type="http://schemas.openxmlformats.org/officeDocument/2006/relationships/hyperlink" Target="https://www.linkedin.com/company/kwizie/" TargetMode="External" Id="rId706" /><Relationship Type="http://schemas.openxmlformats.org/officeDocument/2006/relationships/hyperlink" Target="https://scenesnap.co/" TargetMode="External" Id="rId707" /><Relationship Type="http://schemas.openxmlformats.org/officeDocument/2006/relationships/hyperlink" Target="https://www.linkedin.com/company/scenesnap/" TargetMode="External" Id="rId708" /><Relationship Type="http://schemas.openxmlformats.org/officeDocument/2006/relationships/hyperlink" Target="http://www.edchild.com/" TargetMode="External" Id="rId709" /><Relationship Type="http://schemas.openxmlformats.org/officeDocument/2006/relationships/hyperlink" Target="https://www.facebook.com/edChildECEAcademy" TargetMode="External" Id="rId710" /><Relationship Type="http://schemas.openxmlformats.org/officeDocument/2006/relationships/hyperlink" Target="https://yournextconcepts.com/" TargetMode="External" Id="rId711" /><Relationship Type="http://schemas.openxmlformats.org/officeDocument/2006/relationships/hyperlink" Target="https://www.linkedin.com/company/yournextconcepts/" TargetMode="External" Id="rId712" /><Relationship Type="http://schemas.openxmlformats.org/officeDocument/2006/relationships/hyperlink" Target="https://redox-interactive.com/" TargetMode="External" Id="rId713" /><Relationship Type="http://schemas.openxmlformats.org/officeDocument/2006/relationships/hyperlink" Target="http://uglyducklinggames.com/" TargetMode="External" Id="rId714" /><Relationship Type="http://schemas.openxmlformats.org/officeDocument/2006/relationships/hyperlink" Target="https://www.linkedin.com/company/uglyducklinggames/" TargetMode="External" Id="rId715" /><Relationship Type="http://schemas.openxmlformats.org/officeDocument/2006/relationships/hyperlink" Target="https://epaportfolio.com/" TargetMode="External" Id="rId716" /><Relationship Type="http://schemas.openxmlformats.org/officeDocument/2006/relationships/hyperlink" Target="https://www.linkedin.com/showcase/epa" TargetMode="External" Id="rId717" /><Relationship Type="http://schemas.openxmlformats.org/officeDocument/2006/relationships/hyperlink" Target="https://braingaze.com/" TargetMode="External" Id="rId718" /><Relationship Type="http://schemas.openxmlformats.org/officeDocument/2006/relationships/hyperlink" Target="https://www.linkedin.com/company/braingaze" TargetMode="External" Id="rId719" /><Relationship Type="http://schemas.openxmlformats.org/officeDocument/2006/relationships/hyperlink" Target="https://www.edruptiva.org/" TargetMode="External" Id="rId720" /><Relationship Type="http://schemas.openxmlformats.org/officeDocument/2006/relationships/hyperlink" Target="https://www.linkedin.com/company/edruptiva/" TargetMode="External" Id="rId721" /><Relationship Type="http://schemas.openxmlformats.org/officeDocument/2006/relationships/hyperlink" Target="https://www.fluxlearning.net/" TargetMode="External" Id="rId722" /><Relationship Type="http://schemas.openxmlformats.org/officeDocument/2006/relationships/hyperlink" Target="https://www.linkedin.com/company/13041153/" TargetMode="External" Id="rId723" /><Relationship Type="http://schemas.openxmlformats.org/officeDocument/2006/relationships/hyperlink" Target="https://www.habitatlearn.com/" TargetMode="External" Id="rId724" /><Relationship Type="http://schemas.openxmlformats.org/officeDocument/2006/relationships/hyperlink" Target="https://www.linkedin.com/in/habitatlearn/" TargetMode="External" Id="rId725" /><Relationship Type="http://schemas.openxmlformats.org/officeDocument/2006/relationships/hyperlink" Target="http://www.conexus.no/" TargetMode="External" Id="rId726" /><Relationship Type="http://schemas.openxmlformats.org/officeDocument/2006/relationships/hyperlink" Target="http://www.robotech.si/" TargetMode="External" Id="rId727" /><Relationship Type="http://schemas.openxmlformats.org/officeDocument/2006/relationships/hyperlink" Target="https://www.linkedin.com/in/obucek/" TargetMode="External" Id="rId728" /><Relationship Type="http://schemas.openxmlformats.org/officeDocument/2006/relationships/hyperlink" Target="http://www.greenscreenbox.eu/" TargetMode="External" Id="rId729" /><Relationship Type="http://schemas.openxmlformats.org/officeDocument/2006/relationships/hyperlink" Target="https://www.instagram.com/greenscreenbox/" TargetMode="External" Id="rId730" /><Relationship Type="http://schemas.openxmlformats.org/officeDocument/2006/relationships/hyperlink" Target="https://nl.linkedin.com/company/monop" TargetMode="External" Id="rId731" /><Relationship Type="http://schemas.openxmlformats.org/officeDocument/2006/relationships/hyperlink" Target="https://www.facebook.com/Greenscreenbox/" TargetMode="External" Id="rId732" /><Relationship Type="http://schemas.openxmlformats.org/officeDocument/2006/relationships/hyperlink" Target="https://happycode.pt/" TargetMode="External" Id="rId733" /><Relationship Type="http://schemas.openxmlformats.org/officeDocument/2006/relationships/hyperlink" Target="https://www.linkedin.com/company/happycodept/" TargetMode="External" Id="rId734" /><Relationship Type="http://schemas.openxmlformats.org/officeDocument/2006/relationships/hyperlink" Target="https://www.x2mobile.net/" TargetMode="External" Id="rId735" /><Relationship Type="http://schemas.openxmlformats.org/officeDocument/2006/relationships/hyperlink" Target="https://www.linkedin.com/company/x2mobile/" TargetMode="External" Id="rId736" /><Relationship Type="http://schemas.openxmlformats.org/officeDocument/2006/relationships/hyperlink" Target="http://www.skillgym.com/" TargetMode="External" Id="rId737" /><Relationship Type="http://schemas.openxmlformats.org/officeDocument/2006/relationships/hyperlink" Target="https://www.linkedin.com/company/skillgym/" TargetMode="External" Id="rId738" /><Relationship Type="http://schemas.openxmlformats.org/officeDocument/2006/relationships/hyperlink" Target="http://www.frontread.com/" TargetMode="External" Id="rId739" /><Relationship Type="http://schemas.openxmlformats.org/officeDocument/2006/relationships/hyperlink" Target="https://www.linkedin.com/company/5352422/admin/dashboard/" TargetMode="External" Id="rId740" /><Relationship Type="http://schemas.openxmlformats.org/officeDocument/2006/relationships/hyperlink" Target="https://www.levebee.com/" TargetMode="External" Id="rId741" /><Relationship Type="http://schemas.openxmlformats.org/officeDocument/2006/relationships/hyperlink" Target="https://x.com/levebeeapp" TargetMode="External" Id="rId742" /><Relationship Type="http://schemas.openxmlformats.org/officeDocument/2006/relationships/hyperlink" Target="https://discentis.it/" TargetMode="External" Id="rId743" /><Relationship Type="http://schemas.openxmlformats.org/officeDocument/2006/relationships/hyperlink" Target="https://www.instagram.com/discentis.it/" TargetMode="External" Id="rId744" /><Relationship Type="http://schemas.openxmlformats.org/officeDocument/2006/relationships/hyperlink" Target="https://www.linkedin.com/company/discentis/" TargetMode="External" Id="rId745" /><Relationship Type="http://schemas.openxmlformats.org/officeDocument/2006/relationships/hyperlink" Target="https://ecwt.eu/" TargetMode="External" Id="rId746" /><Relationship Type="http://schemas.openxmlformats.org/officeDocument/2006/relationships/hyperlink" Target="https://www.linkedin.com/in/womenandtechnology/" TargetMode="External" Id="rId747" /><Relationship Type="http://schemas.openxmlformats.org/officeDocument/2006/relationships/hyperlink" Target="https://www.facebook.com/w4techEU" TargetMode="External" Id="rId748" /><Relationship Type="http://schemas.openxmlformats.org/officeDocument/2006/relationships/hyperlink" Target="http://www.equalmate.it/" TargetMode="External" Id="rId749" /><Relationship Type="http://schemas.openxmlformats.org/officeDocument/2006/relationships/hyperlink" Target="http://genio.co/" TargetMode="External" Id="rId750" /><Relationship Type="http://schemas.openxmlformats.org/officeDocument/2006/relationships/hyperlink" Target="https://www.linkedin.com/company/geniolearn/posts/?feedView=all" TargetMode="External" Id="rId751" /><Relationship Type="http://schemas.openxmlformats.org/officeDocument/2006/relationships/hyperlink" Target="https://www.collaborationlaboratory.com/" TargetMode="External" Id="rId752" /><Relationship Type="http://schemas.openxmlformats.org/officeDocument/2006/relationships/hyperlink" Target="https://www.instagram.com/colab_global_/" TargetMode="External" Id="rId753" /><Relationship Type="http://schemas.openxmlformats.org/officeDocument/2006/relationships/hyperlink" Target="https://www.linkedin.com/company/collaboration-laboratory" TargetMode="External" Id="rId754" /><Relationship Type="http://schemas.openxmlformats.org/officeDocument/2006/relationships/hyperlink" Target="https://drive.google.com/uc?export=view&amp;id=1pp0MjmL9-4UG_ExR4bmn0dL7jzDG9rfh" TargetMode="External" Id="rId755" /><Relationship Type="http://schemas.openxmlformats.org/officeDocument/2006/relationships/hyperlink" Target="https://delenta.com/" TargetMode="External" Id="rId756" /><Relationship Type="http://schemas.openxmlformats.org/officeDocument/2006/relationships/hyperlink" Target="https://x.com/Delentacoaching" TargetMode="External" Id="rId757" /><Relationship Type="http://schemas.openxmlformats.org/officeDocument/2006/relationships/hyperlink" Target="https://www.linkedin.com/company/delenta/" TargetMode="External" Id="rId758" /><Relationship Type="http://schemas.openxmlformats.org/officeDocument/2006/relationships/hyperlink" Target="https://drive.google.com/uc?export=view&amp;id=1Av2BZ8tnQWdhBGiebJMLzkbAfKIxxrQb" TargetMode="External" Id="rId759" /><Relationship Type="http://schemas.openxmlformats.org/officeDocument/2006/relationships/hyperlink" Target="https://decriancaparacrianca.com.br/en/" TargetMode="External" Id="rId760" /><Relationship Type="http://schemas.openxmlformats.org/officeDocument/2006/relationships/hyperlink" Target="https://drive.google.com/uc?export=view&amp;id=1bkq3-JDoXwLUVn21hzq0wRqLJugI4tVN" TargetMode="External" Id="rId761" /><Relationship Type="http://schemas.openxmlformats.org/officeDocument/2006/relationships/hyperlink" Target="https://learngraph.org/" TargetMode="External" Id="rId762" /><Relationship Type="http://schemas.openxmlformats.org/officeDocument/2006/relationships/hyperlink" Target="https://www.instagram.com/learngraph_org/" TargetMode="External" Id="rId763" /><Relationship Type="http://schemas.openxmlformats.org/officeDocument/2006/relationships/hyperlink" Target="https://www.linkedin.com/company/learngraph" TargetMode="External" Id="rId764" /><Relationship Type="http://schemas.openxmlformats.org/officeDocument/2006/relationships/hyperlink" Target="https://drive.google.com/uc?export=view&amp;id=1rDs6ulz-x6nHoolDDj8x-q62ECbHgpPG" TargetMode="External" Id="rId765" /><Relationship Type="http://schemas.openxmlformats.org/officeDocument/2006/relationships/hyperlink" Target="https://niftylearning.io/" TargetMode="External" Id="rId766" /><Relationship Type="http://schemas.openxmlformats.org/officeDocument/2006/relationships/hyperlink" Target="https://www.linkedin.com/company/niftylearning" TargetMode="External" Id="rId767" /><Relationship Type="http://schemas.openxmlformats.org/officeDocument/2006/relationships/hyperlink" Target="https://drive.google.com/uc?export=view&amp;id=1Z0dmTKUX9yTViMacAayWbSSQUqY3KroY" TargetMode="External" Id="rId768" /><Relationship Type="http://schemas.openxmlformats.org/officeDocument/2006/relationships/hyperlink" Target="http://englishtherapy.co.uk/" TargetMode="External" Id="rId769" /><Relationship Type="http://schemas.openxmlformats.org/officeDocument/2006/relationships/hyperlink" Target="https://www.linkedin.com/company/english-learning-therapy" TargetMode="External" Id="rId770" /><Relationship Type="http://schemas.openxmlformats.org/officeDocument/2006/relationships/hyperlink" Target="https://drive.google.com/uc?export=view&amp;id=1XTssh_x714NNGecEqwot8Cfhro1BheCX" TargetMode="External" Id="rId771" /><Relationship Type="http://schemas.openxmlformats.org/officeDocument/2006/relationships/hyperlink" Target="https://www.indipaed.de/" TargetMode="External" Id="rId772" /><Relationship Type="http://schemas.openxmlformats.org/officeDocument/2006/relationships/hyperlink" Target="https://www.instagram.com/indipaed/" TargetMode="External" Id="rId773" /><Relationship Type="http://schemas.openxmlformats.org/officeDocument/2006/relationships/hyperlink" Target="https://x.com/indipaed" TargetMode="External" Id="rId774" /><Relationship Type="http://schemas.openxmlformats.org/officeDocument/2006/relationships/hyperlink" Target="https://www.linkedin.com/company/indipaed/" TargetMode="External" Id="rId775" /><Relationship Type="http://schemas.openxmlformats.org/officeDocument/2006/relationships/hyperlink" Target="https://drive.google.com/uc?export=view&amp;id=1gxzvStaQfeWptb4M8zzRQHyYxVr9xCB5" TargetMode="External" Id="rId776" /><Relationship Type="http://schemas.openxmlformats.org/officeDocument/2006/relationships/hyperlink" Target="http://www.cogniphant.org/" TargetMode="External" Id="rId777" /><Relationship Type="http://schemas.openxmlformats.org/officeDocument/2006/relationships/hyperlink" Target="https://www.linkedin.com/company/cogniphant/" TargetMode="External" Id="rId778" /><Relationship Type="http://schemas.openxmlformats.org/officeDocument/2006/relationships/hyperlink" Target="https://drive.google.com/uc?export=view&amp;id=1tNQQjGpLMpZq0NUXaDWsYG7bQp11K-ex" TargetMode="External" Id="rId779" /><Relationship Type="http://schemas.openxmlformats.org/officeDocument/2006/relationships/hyperlink" Target="https://icobc.net/" TargetMode="External" Id="rId780" /><Relationship Type="http://schemas.openxmlformats.org/officeDocument/2006/relationships/hyperlink" Target="https://www.linkedin.com/groups/2702395/" TargetMode="External" Id="rId781" /><Relationship Type="http://schemas.openxmlformats.org/officeDocument/2006/relationships/hyperlink" Target="https://drive.google.com/uc?export=view&amp;id=17H9DkNZkFru5Crf0tlm584D0e5wZeeVX" TargetMode="External" Id="rId782" /><Relationship Type="http://schemas.openxmlformats.org/officeDocument/2006/relationships/hyperlink" Target="https://www.savremena-osnovna.edu.rs/" TargetMode="External" Id="rId783" /><Relationship Type="http://schemas.openxmlformats.org/officeDocument/2006/relationships/hyperlink" Target="https://drive.google.com/uc?export=view&amp;id=1XejP6Ukcua5ebT53yQlgLv218KZITvbe" TargetMode="External" Id="rId784" /><Relationship Type="http://schemas.openxmlformats.org/officeDocument/2006/relationships/hyperlink" Target="https://www.msq.at/" TargetMode="External" Id="rId785" /><Relationship Type="http://schemas.openxmlformats.org/officeDocument/2006/relationships/hyperlink" Target="https://www.linkedin.com/company/mediasquad/" TargetMode="External" Id="rId786" /><Relationship Type="http://schemas.openxmlformats.org/officeDocument/2006/relationships/hyperlink" Target="https://drive.google.com/uc?export=view&amp;id=1LbiAPO8qu2foB2y5sB157iBfWaQUen8n" TargetMode="External" Id="rId787" /><Relationship Type="http://schemas.openxmlformats.org/officeDocument/2006/relationships/hyperlink" Target="https://lekon.dk/kurser" TargetMode="External" Id="rId788" /><Relationship Type="http://schemas.openxmlformats.org/officeDocument/2006/relationships/hyperlink" Target="https://www.linkedin.com/company/lekon-r-dgivning/" TargetMode="External" Id="rId789" /><Relationship Type="http://schemas.openxmlformats.org/officeDocument/2006/relationships/hyperlink" Target="https://drive.google.com/uc?export=view&amp;id=1SzSXE1GkFxvFgGUY6rVWz18PD140gM_Q" TargetMode="External" Id="rId790" /><Relationship Type="http://schemas.openxmlformats.org/officeDocument/2006/relationships/hyperlink" Target="https://enlightware.ch/" TargetMode="External" Id="rId791" /><Relationship Type="http://schemas.openxmlformats.org/officeDocument/2006/relationships/hyperlink" Target="https://www.instagram.com/candlicreate/" TargetMode="External" Id="rId792" /><Relationship Type="http://schemas.openxmlformats.org/officeDocument/2006/relationships/hyperlink" Target="https://www.linkedin.com/company/enlightware/" TargetMode="External" Id="rId793" /><Relationship Type="http://schemas.openxmlformats.org/officeDocument/2006/relationships/hyperlink" Target="https://drive.google.com/uc?export=view&amp;id=1Igk-3Vp9zFZmQ8R3vq-eBIHQTlnnYo5b" TargetMode="External" Id="rId794" /><Relationship Type="http://schemas.openxmlformats.org/officeDocument/2006/relationships/hyperlink" Target="http://humy.ai/" TargetMode="External" Id="rId795" /><Relationship Type="http://schemas.openxmlformats.org/officeDocument/2006/relationships/hyperlink" Target="http://www.humy.ai/" TargetMode="External" Id="rId796" /><Relationship Type="http://schemas.openxmlformats.org/officeDocument/2006/relationships/hyperlink" Target="https://www.linkedin.com/company/humy-ai" TargetMode="External" Id="rId797" /><Relationship Type="http://schemas.openxmlformats.org/officeDocument/2006/relationships/hyperlink" Target="http://humy.ai/" TargetMode="External" Id="rId798" /><Relationship Type="http://schemas.openxmlformats.org/officeDocument/2006/relationships/hyperlink" Target="https://drive.google.com/uc?export=view&amp;id=1fRQno2W7cdNRA99pWW_RsameowepV7hG" TargetMode="External" Id="rId799" /><Relationship Type="http://schemas.openxmlformats.org/officeDocument/2006/relationships/hyperlink" Target="https://meritus.ai/" TargetMode="External" Id="rId800" /><Relationship Type="http://schemas.openxmlformats.org/officeDocument/2006/relationships/hyperlink" Target="https://www.instagram.com/meritus.ai/" TargetMode="External" Id="rId801" /><Relationship Type="http://schemas.openxmlformats.org/officeDocument/2006/relationships/hyperlink" Target="https://x.com/MeritusAI/status/1881586399260144079" TargetMode="External" Id="rId802" /><Relationship Type="http://schemas.openxmlformats.org/officeDocument/2006/relationships/hyperlink" Target="https://in.linkedin.com/company/meritusai" TargetMode="External" Id="rId803" /><Relationship Type="http://schemas.openxmlformats.org/officeDocument/2006/relationships/hyperlink" Target="https://drive.google.com/uc?export=view&amp;id=16aLvrT2kF38VQQf5z4ooy4zyhc-eUrVW" TargetMode="External" Id="rId804" /><Relationship Type="http://schemas.openxmlformats.org/officeDocument/2006/relationships/hyperlink" Target="https://www.worldhistory.org/" TargetMode="External" Id="rId805" /><Relationship Type="http://schemas.openxmlformats.org/officeDocument/2006/relationships/hyperlink" Target="https://drive.google.com/uc?export=view&amp;id=1PEWxHZqkip7lExnXHsUW-sQZ6WJ4OIop" TargetMode="External" Id="rId806" /><Relationship Type="http://schemas.openxmlformats.org/officeDocument/2006/relationships/hyperlink" Target="https://vergilai.com/" TargetMode="External" Id="rId807" /><Relationship Type="http://schemas.openxmlformats.org/officeDocument/2006/relationships/hyperlink" Target="https://www.linkedin.com/company/103983727" TargetMode="External" Id="rId808" /><Relationship Type="http://schemas.openxmlformats.org/officeDocument/2006/relationships/hyperlink" Target="https://drive.google.com/uc?export=view&amp;id=1eXgfFFfccBmC9EXuMDN_x9QRPlqdkJjn" TargetMode="External" Id="rId809" /><Relationship Type="http://schemas.openxmlformats.org/officeDocument/2006/relationships/hyperlink" Target="http://www.wearelearning.io/" TargetMode="External" Id="rId810" /><Relationship Type="http://schemas.openxmlformats.org/officeDocument/2006/relationships/hyperlink" Target="https://www.linkedin.com/company/83500375/admin/feed/posts/" TargetMode="External" Id="rId811" /><Relationship Type="http://schemas.openxmlformats.org/officeDocument/2006/relationships/hyperlink" Target="https://drive.google.com/uc?export=view&amp;id=1nbBOFp8Nqv3zAjZuJtkckT1fbor7CK2_" TargetMode="External" Id="rId812" /><Relationship Type="http://schemas.openxmlformats.org/officeDocument/2006/relationships/hyperlink" Target="https://fujour.com/" TargetMode="External" Id="rId813" /><Relationship Type="http://schemas.openxmlformats.org/officeDocument/2006/relationships/hyperlink" Target="https://www.instagram.com/fujour_app/" TargetMode="External" Id="rId814" /><Relationship Type="http://schemas.openxmlformats.org/officeDocument/2006/relationships/hyperlink" Target="https://twitter.com/FUJOUR_App" TargetMode="External" Id="rId815" /><Relationship Type="http://schemas.openxmlformats.org/officeDocument/2006/relationships/hyperlink" Target="https://www.linkedin.com/company/98164769" TargetMode="External" Id="rId816" /><Relationship Type="http://schemas.openxmlformats.org/officeDocument/2006/relationships/hyperlink" Target="https://drive.google.com/uc?export=view&amp;id=1C790PtDnC8uXh3_tj4mo2UuS1-eQnriz" TargetMode="External" Id="rId817" /><Relationship Type="http://schemas.openxmlformats.org/officeDocument/2006/relationships/hyperlink" Target="http://www.oursmarttown.de/" TargetMode="External" Id="rId818" /><Relationship Type="http://schemas.openxmlformats.org/officeDocument/2006/relationships/hyperlink" Target="https://www.linkedin.com/company/oursmart-town/" TargetMode="External" Id="rId819" /><Relationship Type="http://schemas.openxmlformats.org/officeDocument/2006/relationships/hyperlink" Target="https://drive.google.com/uc?export=view&amp;id=1syp5wyoPwASgHaNyK-29dG01RGPj8kR-" TargetMode="External" Id="rId820" /><Relationship Type="http://schemas.openxmlformats.org/officeDocument/2006/relationships/hyperlink" Target="http://www.binogi.de/" TargetMode="External" Id="rId821" /><Relationship Type="http://schemas.openxmlformats.org/officeDocument/2006/relationships/hyperlink" Target="https://drive.google.com/uc?export=view&amp;id=1ExBLbD-i887-J2b5qUeRsJBDSYW6oN_J" TargetMode="External" Id="rId822" /><Relationship Type="http://schemas.openxmlformats.org/officeDocument/2006/relationships/hyperlink" Target="https://education.arte.tv/" TargetMode="External" Id="rId823" /><Relationship Type="http://schemas.openxmlformats.org/officeDocument/2006/relationships/hyperlink" Target="https://twitter.com/EducARTEfr" TargetMode="External" Id="rId824" /><Relationship Type="http://schemas.openxmlformats.org/officeDocument/2006/relationships/hyperlink" Target="https://www.linkedin.com/company/arte-education/" TargetMode="External" Id="rId825" /><Relationship Type="http://schemas.openxmlformats.org/officeDocument/2006/relationships/hyperlink" Target="https://drive.google.com/uc?export=view&amp;id=1-jc7-jGrO6YWvJf-2uXwoRZ_M1SmgIKt" TargetMode="External" Id="rId826" /><Relationship Type="http://schemas.openxmlformats.org/officeDocument/2006/relationships/hyperlink" Target="https://www.freeed.com/" TargetMode="External" Id="rId827" /><Relationship Type="http://schemas.openxmlformats.org/officeDocument/2006/relationships/hyperlink" Target="https://www.linkedin.com/company/freeed/" TargetMode="External" Id="rId828" /><Relationship Type="http://schemas.openxmlformats.org/officeDocument/2006/relationships/hyperlink" Target="https://drive.google.com/uc?export=view&amp;id=1nRwl2xwkT9jqH1RxBqf5y_A9c59pzS0i" TargetMode="External" Id="rId829" /><Relationship Type="http://schemas.openxmlformats.org/officeDocument/2006/relationships/hyperlink" Target="https://editor.wix.com/html/editor/web/renderer/edit/9a0d6075-831a-4ec5-b816-f69be1cb10af?metaSiteId=b00b86c7-bb2e-4d0a-af84-75b944f65834" TargetMode="External" Id="rId830" /><Relationship Type="http://schemas.openxmlformats.org/officeDocument/2006/relationships/hyperlink" Target="https://www.linkedin.com/in/mar%C3%ADa-de-los-%C3%A1ngeles-%C3%A1lvarez-laso-39a906a/" TargetMode="External" Id="rId831" /><Relationship Type="http://schemas.openxmlformats.org/officeDocument/2006/relationships/hyperlink" Target="https://drive.google.com/uc?export=view&amp;id=1JGzYVGoxxpYYEtzJAWcolUS5Ec9y8jhZ" TargetMode="External" Id="rId832" /><Relationship Type="http://schemas.openxmlformats.org/officeDocument/2006/relationships/hyperlink" Target="https://fobizz.com/" TargetMode="External" Id="rId833" /><Relationship Type="http://schemas.openxmlformats.org/officeDocument/2006/relationships/hyperlink" Target="https://www.instagram.com/fobizz_com/" TargetMode="External" Id="rId834" /><Relationship Type="http://schemas.openxmlformats.org/officeDocument/2006/relationships/hyperlink" Target="https://twitter.com/fobizz" TargetMode="External" Id="rId835" /><Relationship Type="http://schemas.openxmlformats.org/officeDocument/2006/relationships/hyperlink" Target="https://www.linkedin.com/company/fobizz/" TargetMode="External" Id="rId836" /><Relationship Type="http://schemas.openxmlformats.org/officeDocument/2006/relationships/hyperlink" Target="https://drive.google.com/uc?export=view&amp;id=1Vp-SeLr-OxTerw9CCP6GWnKGyrNG2qfN" TargetMode="External" Id="rId837" /><Relationship Type="http://schemas.openxmlformats.org/officeDocument/2006/relationships/hyperlink" Target="https://www.viewsonic.com/eu/" TargetMode="External" Id="rId838" /><Relationship Type="http://schemas.openxmlformats.org/officeDocument/2006/relationships/hyperlink" Target="https://www.linkedin.com/company/viewsonic" TargetMode="External" Id="rId839" /><Relationship Type="http://schemas.openxmlformats.org/officeDocument/2006/relationships/hyperlink" Target="https://drive.google.com/uc?export=view&amp;id=1CMOe4vD8XWve4uAp-SqJvYo9fSVCAz5h" TargetMode="External" Id="rId840" /><Relationship Type="http://schemas.openxmlformats.org/officeDocument/2006/relationships/hyperlink" Target="https://drive.google.com/uc?export=view&amp;id=1-uX7IgQqyKiQ7EXVfRUpNvgjy4T-HbK8" TargetMode="External" Id="rId841" /><Relationship Type="http://schemas.openxmlformats.org/officeDocument/2006/relationships/hyperlink" Target="https://www.reedu.de/" TargetMode="External" Id="rId842" /><Relationship Type="http://schemas.openxmlformats.org/officeDocument/2006/relationships/hyperlink" Target="https://drive.google.com/uc?export=view&amp;id=1rY4MqTHd467dc4qCsAeBv2MKVAtAazyD" TargetMode="External" Id="rId843" /><Relationship Type="http://schemas.openxmlformats.org/officeDocument/2006/relationships/hyperlink" Target="https://www.salamandersoft.co.uk/" TargetMode="External" Id="rId844" /><Relationship Type="http://schemas.openxmlformats.org/officeDocument/2006/relationships/hyperlink" Target="https://www.linkedin.com/company/salamandersoft" TargetMode="External" Id="rId845" /><Relationship Type="http://schemas.openxmlformats.org/officeDocument/2006/relationships/hyperlink" Target="https://drive.google.com/uc?export=view&amp;id=1rch5litgCLh1OA0p_I3t-JAutjPVSKeN" TargetMode="External" Id="rId846" /><Relationship Type="http://schemas.openxmlformats.org/officeDocument/2006/relationships/hyperlink" Target="http://www.learningladders.info/" TargetMode="External" Id="rId847" /><Relationship Type="http://schemas.openxmlformats.org/officeDocument/2006/relationships/hyperlink" Target="https://twitter.com/LearningLadder5" TargetMode="External" Id="rId848" /><Relationship Type="http://schemas.openxmlformats.org/officeDocument/2006/relationships/hyperlink" Target="https://www.linkedin.com/company/5234901" TargetMode="External" Id="rId849" /><Relationship Type="http://schemas.openxmlformats.org/officeDocument/2006/relationships/hyperlink" Target="https://drive.google.com/uc?export=view&amp;id=1Kdo86D53Gm-hGdx2f19wayRjFepEnJT4" TargetMode="External" Id="rId850" /><Relationship Type="http://schemas.openxmlformats.org/officeDocument/2006/relationships/hyperlink" Target="https://brainyoo.de/" TargetMode="External" Id="rId851" /><Relationship Type="http://schemas.openxmlformats.org/officeDocument/2006/relationships/hyperlink" Target="https://www.instagram.com/brainyoo.lernen/" TargetMode="External" Id="rId852" /><Relationship Type="http://schemas.openxmlformats.org/officeDocument/2006/relationships/hyperlink" Target="https://twitter.com/brainyoo" TargetMode="External" Id="rId853" /><Relationship Type="http://schemas.openxmlformats.org/officeDocument/2006/relationships/hyperlink" Target="https://drive.google.com/uc?export=view&amp;id=1albQ3mmC_TwFTVrvGjFA1ghlH-bAMukT" TargetMode="External" Id="rId854" /><Relationship Type="http://schemas.openxmlformats.org/officeDocument/2006/relationships/hyperlink" Target="https://www.instagram.com/coolcloudwise/" TargetMode="External" Id="rId855" /><Relationship Type="http://schemas.openxmlformats.org/officeDocument/2006/relationships/hyperlink" Target="https://www.linkedin.com/company/64560789/admin/" TargetMode="External" Id="rId856" /><Relationship Type="http://schemas.openxmlformats.org/officeDocument/2006/relationships/hyperlink" Target="https://drive.google.com/uc?export=view&amp;id=1ILaxrDs73EMaq1bq33tkHKLoTmggcbD6" TargetMode="External" Id="rId857" /><Relationship Type="http://schemas.openxmlformats.org/officeDocument/2006/relationships/hyperlink" Target="http://www.learningvillage.net/" TargetMode="External" Id="rId858" /><Relationship Type="http://schemas.openxmlformats.org/officeDocument/2006/relationships/hyperlink" Target="https://drive.google.com/uc?export=view&amp;id=14bnpIju9FVkz3SuiZslenFuaBkjhf1WP" TargetMode="External" Id="rId859" /><Relationship Type="http://schemas.openxmlformats.org/officeDocument/2006/relationships/hyperlink" Target="http://www.ec-play.com/" TargetMode="External" Id="rId860" /><Relationship Type="http://schemas.openxmlformats.org/officeDocument/2006/relationships/hyperlink" Target="https://drive.google.com/uc?export=view&amp;id=12UbLBbJOGaWuGhfZGOMRhKvtTamRnIML" TargetMode="External" Id="rId861" /><Relationship Type="http://schemas.openxmlformats.org/officeDocument/2006/relationships/hyperlink" Target="http://apprend.ly/" TargetMode="External" Id="rId862" /><Relationship Type="http://schemas.openxmlformats.org/officeDocument/2006/relationships/hyperlink" Target="https://www.apprend.ly/" TargetMode="External" Id="rId863" /><Relationship Type="http://schemas.openxmlformats.org/officeDocument/2006/relationships/hyperlink" Target="https://www.instagram.com/apprendly/" TargetMode="External" Id="rId864" /><Relationship Type="http://schemas.openxmlformats.org/officeDocument/2006/relationships/hyperlink" Target="https://twitter.com/apprendly" TargetMode="External" Id="rId865" /><Relationship Type="http://schemas.openxmlformats.org/officeDocument/2006/relationships/hyperlink" Target="https://www.linkedin.com/company/apprend-ly" TargetMode="External" Id="rId866" /><Relationship Type="http://schemas.openxmlformats.org/officeDocument/2006/relationships/hyperlink" Target="http://apprend.ly/" TargetMode="External" Id="rId867" /><Relationship Type="http://schemas.openxmlformats.org/officeDocument/2006/relationships/hyperlink" Target="https://drive.google.com/uc?export=view&amp;id=1v8B93echWXMC1blx4mRZXhqjJ8hJwlOJ" TargetMode="External" Id="rId868" /><Relationship Type="http://schemas.openxmlformats.org/officeDocument/2006/relationships/hyperlink" Target="https://educationai.co.uk/" TargetMode="External" Id="rId869" /><Relationship Type="http://schemas.openxmlformats.org/officeDocument/2006/relationships/hyperlink" Target="https://drive.google.com/uc?export=view&amp;id=1VS8VzrOw56U-jnmmmPncKUAZ-JPcd-pU" TargetMode="External" Id="rId870" /><Relationship Type="http://schemas.openxmlformats.org/officeDocument/2006/relationships/hyperlink" Target="http://www.fictionexpress.com/" TargetMode="External" Id="rId871" /><Relationship Type="http://schemas.openxmlformats.org/officeDocument/2006/relationships/hyperlink" Target="https://www.linkedin.com/company/fictionexpress" TargetMode="External" Id="rId872" /><Relationship Type="http://schemas.openxmlformats.org/officeDocument/2006/relationships/hyperlink" Target="https://drive.google.com/uc?export=view&amp;id=1YEMxIuHxIAzumD-5Gqqkiy750hAd1o-g" TargetMode="External" Id="rId873" /><Relationship Type="http://schemas.openxmlformats.org/officeDocument/2006/relationships/hyperlink" Target="https://moki.health/" TargetMode="External" Id="rId874" /><Relationship Type="http://schemas.openxmlformats.org/officeDocument/2006/relationships/hyperlink" Target="https://twitter.com/moki_health/" TargetMode="External" Id="rId875" /><Relationship Type="http://schemas.openxmlformats.org/officeDocument/2006/relationships/hyperlink" Target="https://www.linkedin.com/company/mokihealth/" TargetMode="External" Id="rId876" /><Relationship Type="http://schemas.openxmlformats.org/officeDocument/2006/relationships/hyperlink" Target="https://drive.google.com/uc?export=view&amp;id=1VUvR_9xfjcV7MIHWOALUndFWTyt-sVl6" TargetMode="External" Id="rId877" /><Relationship Type="http://schemas.openxmlformats.org/officeDocument/2006/relationships/hyperlink" Target="https://natterhub.com/" TargetMode="External" Id="rId878" /><Relationship Type="http://schemas.openxmlformats.org/officeDocument/2006/relationships/hyperlink" Target="https://drive.google.com/uc?export=view&amp;id=1UAhVY1YCtKJvDnSAe66k3shjcKoFaTMJ" TargetMode="External" Id="rId879" /><Relationship Type="http://schemas.openxmlformats.org/officeDocument/2006/relationships/hyperlink" Target="https://www.twinscience.com/" TargetMode="External" Id="rId880" /><Relationship Type="http://schemas.openxmlformats.org/officeDocument/2006/relationships/hyperlink" Target="https://www.instagram.com/twinscience" TargetMode="External" Id="rId881" /><Relationship Type="http://schemas.openxmlformats.org/officeDocument/2006/relationships/hyperlink" Target="https://www.linkedin.com/company/29024499/" TargetMode="External" Id="rId882" /><Relationship Type="http://schemas.openxmlformats.org/officeDocument/2006/relationships/hyperlink" Target="https://drive.google.com/uc?export=view&amp;id=1Bc5bXdGUZG9027zDw_iDGwOtTCaEjnMo" TargetMode="External" Id="rId883" /><Relationship Type="http://schemas.openxmlformats.org/officeDocument/2006/relationships/hyperlink" Target="http://www.worktripp.com/" TargetMode="External" Id="rId884" /><Relationship Type="http://schemas.openxmlformats.org/officeDocument/2006/relationships/hyperlink" Target="https://www.instagram.com/work.tripp/" TargetMode="External" Id="rId885" /><Relationship Type="http://schemas.openxmlformats.org/officeDocument/2006/relationships/hyperlink" Target="https://twitter.com/work_tripp" TargetMode="External" Id="rId886" /><Relationship Type="http://schemas.openxmlformats.org/officeDocument/2006/relationships/hyperlink" Target="https://www.linkedin.com/company/worktripp/" TargetMode="External" Id="rId887" /><Relationship Type="http://schemas.openxmlformats.org/officeDocument/2006/relationships/hyperlink" Target="https://drive.google.com/uc?export=view&amp;id=1h-xeVx118Gx0xIWAVdBTTXJ3ILocN72G" TargetMode="External" Id="rId888" /><Relationship Type="http://schemas.openxmlformats.org/officeDocument/2006/relationships/hyperlink" Target="https://dreamapply.com/" TargetMode="External" Id="rId889" /><Relationship Type="http://schemas.openxmlformats.org/officeDocument/2006/relationships/hyperlink" Target="https://www.linkedin.com/company/dreamapply" TargetMode="External" Id="rId890" /><Relationship Type="http://schemas.openxmlformats.org/officeDocument/2006/relationships/hyperlink" Target="https://drive.google.com/uc?export=view&amp;id=1FMsUk88f4izpSQ0onFxW2ipAbyuZJVXn" TargetMode="External" Id="rId891" /><Relationship Type="http://schemas.openxmlformats.org/officeDocument/2006/relationships/hyperlink" Target="https://www.kortext.com/" TargetMode="External" Id="rId892" /><Relationship Type="http://schemas.openxmlformats.org/officeDocument/2006/relationships/hyperlink" Target="https://twitter.com/Kortext" TargetMode="External" Id="rId893" /><Relationship Type="http://schemas.openxmlformats.org/officeDocument/2006/relationships/hyperlink" Target="https://www.linkedin.com/company/kortext/" TargetMode="External" Id="rId894" /><Relationship Type="http://schemas.openxmlformats.org/officeDocument/2006/relationships/hyperlink" Target="https://drive.google.com/uc?export=view&amp;id=1iDx1dFzc7GiYqFatYkfY-s549Cw1jrp9" TargetMode="External" Id="rId895" /><Relationship Type="http://schemas.openxmlformats.org/officeDocument/2006/relationships/hyperlink" Target="https://mussila.com/" TargetMode="External" Id="rId896" /><Relationship Type="http://schemas.openxmlformats.org/officeDocument/2006/relationships/hyperlink" Target="https://www.instagram.com/mussila_apps/" TargetMode="External" Id="rId897" /><Relationship Type="http://schemas.openxmlformats.org/officeDocument/2006/relationships/hyperlink" Target="https://www.linkedin.com/in/jongunnarthordarson/" TargetMode="External" Id="rId898" /><Relationship Type="http://schemas.openxmlformats.org/officeDocument/2006/relationships/hyperlink" Target="https://drive.google.com/uc?export=view&amp;id=1CugYaWJjQygOychkFnQ7QOmI9Jel0jF1" TargetMode="External" Id="rId899" /><Relationship Type="http://schemas.openxmlformats.org/officeDocument/2006/relationships/hyperlink" Target="https://www.texthelp.com/en-gb/" TargetMode="External" Id="rId900" /><Relationship Type="http://schemas.openxmlformats.org/officeDocument/2006/relationships/hyperlink" Target="https://www.instagram.com/texthelpers/?hl=en" TargetMode="External" Id="rId901" /><Relationship Type="http://schemas.openxmlformats.org/officeDocument/2006/relationships/hyperlink" Target="https://twitter.com/texthelp" TargetMode="External" Id="rId902" /><Relationship Type="http://schemas.openxmlformats.org/officeDocument/2006/relationships/hyperlink" Target="https://www.linkedin.com/company/texthelp/mycompany/" TargetMode="External" Id="rId903" /><Relationship Type="http://schemas.openxmlformats.org/officeDocument/2006/relationships/hyperlink" Target="https://drive.google.com/uc?export=view&amp;id=1IiuEPKZpGt7mOTtPZABGmkr-rWNXWJjG" TargetMode="External" Id="rId904" /><Relationship Type="http://schemas.openxmlformats.org/officeDocument/2006/relationships/hyperlink" Target="http://www.whizzeducation.com/" TargetMode="External" Id="rId905" /><Relationship Type="http://schemas.openxmlformats.org/officeDocument/2006/relationships/hyperlink" Target="https://drive.google.com/uc?export=view&amp;id=1HgiulYJF2Q8dxQSXsFN6vbLdkR9j8Qsg" TargetMode="External" Id="rId906" /><Relationship Type="http://schemas.openxmlformats.org/officeDocument/2006/relationships/hyperlink" Target="http://www.chartlearningsolutions.com/" TargetMode="External" Id="rId907" /><Relationship Type="http://schemas.openxmlformats.org/officeDocument/2006/relationships/hyperlink" Target="https://www.linkedin.com/company/chart-learning-solutions-international/" TargetMode="External" Id="rId908" /><Relationship Type="http://schemas.openxmlformats.org/officeDocument/2006/relationships/hyperlink" Target="https://drive.google.com/uc?export=view&amp;id=1R2pjUni_iEWRJ0PzrcVEI775e2HHlLmy" TargetMode="External" Id="rId909" /><Relationship Type="http://schemas.openxmlformats.org/officeDocument/2006/relationships/hyperlink" Target="https://itslearning.com/global/" TargetMode="External" Id="rId910" /><Relationship Type="http://schemas.openxmlformats.org/officeDocument/2006/relationships/hyperlink" Target="https://twitter.com/itslearning" TargetMode="External" Id="rId911" /><Relationship Type="http://schemas.openxmlformats.org/officeDocument/2006/relationships/hyperlink" Target="https://www.linkedin.com/company/itslearning-as" TargetMode="External" Id="rId912" /><Relationship Type="http://schemas.openxmlformats.org/officeDocument/2006/relationships/hyperlink" Target="https://drive.google.com/uc?export=view&amp;id=1L2ZJs-VbMlvtebHw5l_1nsjxIJ6vY8X8" TargetMode="External" Id="rId913" /><Relationship Type="http://schemas.openxmlformats.org/officeDocument/2006/relationships/hyperlink" Target="http://www.archipel.academy/" TargetMode="External" Id="rId914" /><Relationship Type="http://schemas.openxmlformats.org/officeDocument/2006/relationships/hyperlink" Target="https://www.linkedin.com/company/archipel-academy/" TargetMode="External" Id="rId915" /><Relationship Type="http://schemas.openxmlformats.org/officeDocument/2006/relationships/hyperlink" Target="https://drive.google.com/uc?export=view&amp;id=1jTPXcAwTZj6mGTcn-3xdeT67Ydw8hoWY" TargetMode="External" Id="rId916" /><Relationship Type="http://schemas.openxmlformats.org/officeDocument/2006/relationships/hyperlink" Target="http://www.bool.ie/" TargetMode="External" Id="rId917" /><Relationship Type="http://schemas.openxmlformats.org/officeDocument/2006/relationships/hyperlink" Target="https://drive.google.com/uc?export=view&amp;id=1DZNSVGV5GfJ1_P88ASD3e77QGXgkQFJm" TargetMode="External" Id="rId918" /><Relationship Type="http://schemas.openxmlformats.org/officeDocument/2006/relationships/hyperlink" Target="https://foxeducation.com/" TargetMode="External" Id="rId919" /><Relationship Type="http://schemas.openxmlformats.org/officeDocument/2006/relationships/hyperlink" Target="https://www.instagram.com/foxeducation_dach/" TargetMode="External" Id="rId920" /><Relationship Type="http://schemas.openxmlformats.org/officeDocument/2006/relationships/hyperlink" Target="https://at.linkedin.com/company/schoolfox" TargetMode="External" Id="rId921" /><Relationship Type="http://schemas.openxmlformats.org/officeDocument/2006/relationships/hyperlink" Target="https://drive.google.com/uc?export=view&amp;id=1ykvgwsRTkJKB1TRdhRNy9v1TVafzC9ad" TargetMode="External" Id="rId922" /><Relationship Type="http://schemas.openxmlformats.org/officeDocument/2006/relationships/hyperlink" Target="https://www.classlist.com/" TargetMode="External" Id="rId923" /><Relationship Type="http://schemas.openxmlformats.org/officeDocument/2006/relationships/hyperlink" Target="https://www.instagram.com/classlist/" TargetMode="External" Id="rId924" /><Relationship Type="http://schemas.openxmlformats.org/officeDocument/2006/relationships/hyperlink" Target="https://twitter.com/goClasslist" TargetMode="External" Id="rId925" /><Relationship Type="http://schemas.openxmlformats.org/officeDocument/2006/relationships/hyperlink" Target="https://www.linkedin.com/company/5244730/admin/" TargetMode="External" Id="rId926" /><Relationship Type="http://schemas.openxmlformats.org/officeDocument/2006/relationships/hyperlink" Target="https://drive.google.com/uc?export=view&amp;id=1WbnoXs7lAtAC_HjhkRCZWuSNczy35m9P" TargetMode="External" Id="rId927" /><Relationship Type="http://schemas.openxmlformats.org/officeDocument/2006/relationships/hyperlink" Target="https://www.evolytes.com/" TargetMode="External" Id="rId928" /><Relationship Type="http://schemas.openxmlformats.org/officeDocument/2006/relationships/hyperlink" Target="https://drive.google.com/uc?export=view&amp;id=1fEWMTM4pxdghdnZhmTwZgC7oom6dneqH" TargetMode="External" Id="rId929" /><Relationship Type="http://schemas.openxmlformats.org/officeDocument/2006/relationships/hyperlink" Target="https://developingexperts.com/" TargetMode="External" Id="rId930" /><Relationship Type="http://schemas.openxmlformats.org/officeDocument/2006/relationships/hyperlink" Target="https://drive.google.com/uc?export=view&amp;id=1h_21bBQbP4BO_UAjBkNF0aGp4TQ9Upud" TargetMode="External" Id="rId931" /><Relationship Type="http://schemas.openxmlformats.org/officeDocument/2006/relationships/hyperlink" Target="https://emathstudio.com/" TargetMode="External" Id="rId932" /><Relationship Type="http://schemas.openxmlformats.org/officeDocument/2006/relationships/hyperlink" Target="https://drive.google.com/uc?export=view&amp;id=1RI6o8BHyIE7NwVyGsref3RwDIPvgpqdv" TargetMode="External" Id="rId933" /><Relationship Type="http://schemas.openxmlformats.org/officeDocument/2006/relationships/hyperlink" Target="https://schultech.de/" TargetMode="External" Id="rId934" /><Relationship Type="http://schemas.openxmlformats.org/officeDocument/2006/relationships/hyperlink" Target="https://drive.google.com/uc?export=view&amp;id=1si3RjDN2FziyYQLs-IdFc5LuFgN0V92M" TargetMode="External" Id="rId935" /><Relationship Type="http://schemas.openxmlformats.org/officeDocument/2006/relationships/hyperlink" Target="http://www.bettermarks.com/" TargetMode="External" Id="rId936" /><Relationship Type="http://schemas.openxmlformats.org/officeDocument/2006/relationships/hyperlink" Target="https://www.instagram.com/bettermarks_de/" TargetMode="External" Id="rId937" /><Relationship Type="http://schemas.openxmlformats.org/officeDocument/2006/relationships/hyperlink" Target="https://www.linkedin.com/company/bettermarks-gmbh" TargetMode="External" Id="rId938" /><Relationship Type="http://schemas.openxmlformats.org/officeDocument/2006/relationships/hyperlink" Target="https://drive.google.com/uc?export=view&amp;id=12_SAB9zbqMpaEFmmqU3KLKSZlqshHc4I" TargetMode="External" Id="rId939" /><Relationship Type="http://schemas.openxmlformats.org/officeDocument/2006/relationships/hyperlink" Target="https://chatterstars.co.uk/" TargetMode="External" Id="rId940" /><Relationship Type="http://schemas.openxmlformats.org/officeDocument/2006/relationships/hyperlink" Target="https://www.instagram.com/chatterstarsthevocabapp/?hl=en-gb" TargetMode="External" Id="rId941" /><Relationship Type="http://schemas.openxmlformats.org/officeDocument/2006/relationships/hyperlink" Target="https://twitter.com/ChatterStarsApp" TargetMode="External" Id="rId942" /><Relationship Type="http://schemas.openxmlformats.org/officeDocument/2006/relationships/hyperlink" Target="https://www.linkedin.com/company/chatterstars/?viewAsMember=true" TargetMode="External" Id="rId943" /><Relationship Type="http://schemas.openxmlformats.org/officeDocument/2006/relationships/hyperlink" Target="https://drive.google.com/uc?export=view&amp;id=1BALNGzv5ruw3Nv7Pyc1WWQzmHKvPy13g" TargetMode="External" Id="rId944" /><Relationship Type="http://schemas.openxmlformats.org/officeDocument/2006/relationships/hyperlink" Target="http://www.creaza.com/" TargetMode="External" Id="rId945" /><Relationship Type="http://schemas.openxmlformats.org/officeDocument/2006/relationships/hyperlink" Target="https://www.instagram.com/creazaas/" TargetMode="External" Id="rId946" /><Relationship Type="http://schemas.openxmlformats.org/officeDocument/2006/relationships/hyperlink" Target="https://twitter.com/creazatweet" TargetMode="External" Id="rId947" /><Relationship Type="http://schemas.openxmlformats.org/officeDocument/2006/relationships/hyperlink" Target="https://www.linkedin.com/company/creaza-as/" TargetMode="External" Id="rId948" /><Relationship Type="http://schemas.openxmlformats.org/officeDocument/2006/relationships/hyperlink" Target="https://drive.google.com/uc?export=view&amp;id=1jFoxufYAGNcdzl8wXldllljMQsrtKljA" TargetMode="External" Id="rId949" /><Relationship Type="http://schemas.openxmlformats.org/officeDocument/2006/relationships/hyperlink" Target="https://www.graphogame.com/index.html" TargetMode="External" Id="rId950" /><Relationship Type="http://schemas.openxmlformats.org/officeDocument/2006/relationships/hyperlink" Target="https://www.instagram.com/graphogame/" TargetMode="External" Id="rId951" /><Relationship Type="http://schemas.openxmlformats.org/officeDocument/2006/relationships/hyperlink" Target="https://twitter.com/GraphoGame" TargetMode="External" Id="rId952" /><Relationship Type="http://schemas.openxmlformats.org/officeDocument/2006/relationships/hyperlink" Target="https://www.linkedin.com/company/11290942/" TargetMode="External" Id="rId953" /><Relationship Type="http://schemas.openxmlformats.org/officeDocument/2006/relationships/hyperlink" Target="https://drive.google.com/uc?export=view&amp;id=1OX7G1PdT0jMCXOsQEj-9eGlmOC-X2F5A" TargetMode="External" Id="rId954" /><Relationship Type="http://schemas.openxmlformats.org/officeDocument/2006/relationships/hyperlink" Target="https://www.kaligo-apps.com/" TargetMode="External" Id="rId955" /><Relationship Type="http://schemas.openxmlformats.org/officeDocument/2006/relationships/hyperlink" Target="https://www.instagram.com/kaligoapps_en/" TargetMode="External" Id="rId956" /><Relationship Type="http://schemas.openxmlformats.org/officeDocument/2006/relationships/hyperlink" Target="https://twitter.com/KaligoApps_EN" TargetMode="External" Id="rId957" /><Relationship Type="http://schemas.openxmlformats.org/officeDocument/2006/relationships/hyperlink" Target="https://www.linkedin.com/company/kaligo-uk/" TargetMode="External" Id="rId958" /><Relationship Type="http://schemas.openxmlformats.org/officeDocument/2006/relationships/hyperlink" Target="https://drive.google.com/uc?export=view&amp;id=1BdgBQQvg41LeVdgIMlUt3Mxu2jxAvDRv" TargetMode="External" Id="rId959" /><Relationship Type="http://schemas.openxmlformats.org/officeDocument/2006/relationships/hyperlink" Target="https://imagilabs.com/" TargetMode="External" Id="rId960" /><Relationship Type="http://schemas.openxmlformats.org/officeDocument/2006/relationships/hyperlink" Target="https://drive.google.com/uc?export=view&amp;id=1bM2NWtF-4CPy8GQwfSEvJodSLmwoR1em" TargetMode="External" Id="rId961" /><Relationship Type="http://schemas.openxmlformats.org/officeDocument/2006/relationships/hyperlink" Target="https://www.evidenceb.com/" TargetMode="External" Id="rId962" /><Relationship Type="http://schemas.openxmlformats.org/officeDocument/2006/relationships/hyperlink" Target="https://www.instagram.com/adaptivmath/" TargetMode="External" Id="rId963" /><Relationship Type="http://schemas.openxmlformats.org/officeDocument/2006/relationships/hyperlink" Target="https://twitter.com/T_EvidenceB" TargetMode="External" Id="rId964" /><Relationship Type="http://schemas.openxmlformats.org/officeDocument/2006/relationships/hyperlink" Target="https://www.linkedin.com/company/evidenceb-inside" TargetMode="External" Id="rId965" /><Relationship Type="http://schemas.openxmlformats.org/officeDocument/2006/relationships/hyperlink" Target="https://drive.google.com/uc?export=view&amp;id=1f32KSaOBheKkP9KbCtUGu_nhD6qcnqts" TargetMode="External" Id="rId966" /><Relationship Type="http://schemas.openxmlformats.org/officeDocument/2006/relationships/hyperlink" Target="http://www.good2learn.com/" TargetMode="External" Id="rId967" /><Relationship Type="http://schemas.openxmlformats.org/officeDocument/2006/relationships/hyperlink" Target="https://drive.google.com/uc?export=view&amp;id=1SLTz3Q6pM1s_z-7lmLEcJFDvbrrJgKjJ" TargetMode="External" Id="rId968" /><Relationship Type="http://schemas.openxmlformats.org/officeDocument/2006/relationships/hyperlink" Target="https://www.hypatia-learning.com/" TargetMode="External" Id="rId969" /><Relationship Type="http://schemas.openxmlformats.org/officeDocument/2006/relationships/hyperlink" Target="https://www.instagram.com/hypatialearning/" TargetMode="External" Id="rId970" /><Relationship Type="http://schemas.openxmlformats.org/officeDocument/2006/relationships/hyperlink" Target="https://www.linkedin.com/company/hypatialearning/" TargetMode="External" Id="rId971" /><Relationship Type="http://schemas.openxmlformats.org/officeDocument/2006/relationships/hyperlink" Target="https://drive.google.com/uc?export=view&amp;id=1I5QwkeyEy4LKDT1vkYVANXOWLEsR8KeV" TargetMode="External" Id="rId972" /><Relationship Type="http://schemas.openxmlformats.org/officeDocument/2006/relationships/hyperlink" Target="http://www.phase6.de/" TargetMode="External" Id="rId973" /><Relationship Type="http://schemas.openxmlformats.org/officeDocument/2006/relationships/hyperlink" Target="https://drive.google.com/uc?export=view&amp;id=1HpwGQ0v0w0b08HQ4Xu1Hv2kHv2ie967Q" TargetMode="External" Id="rId974" /><Relationship Type="http://schemas.openxmlformats.org/officeDocument/2006/relationships/hyperlink" Target="http://www.creative-hut.com/" TargetMode="External" Id="rId975" /><Relationship Type="http://schemas.openxmlformats.org/officeDocument/2006/relationships/hyperlink" Target="https://drive.google.com/uc?export=view&amp;id=1ZZY2AIlTDFjH-D-6_u6USIElYG0fiyEx" TargetMode="External" Id="rId976" /><Relationship Type="http://schemas.openxmlformats.org/officeDocument/2006/relationships/hyperlink" Target="http://www.kikora.no/" TargetMode="External" Id="rId977" /><Relationship Type="http://schemas.openxmlformats.org/officeDocument/2006/relationships/hyperlink" Target="https://drive.google.com/uc?export=view&amp;id=1ov4oT-5tAvROXFPJRFOSxeAHqgdMQjnH" TargetMode="External" Id="rId978" /><Relationship Type="http://schemas.openxmlformats.org/officeDocument/2006/relationships/hyperlink" Target="https://ludenso.com/" TargetMode="External" Id="rId979" /><Relationship Type="http://schemas.openxmlformats.org/officeDocument/2006/relationships/hyperlink" Target="https://www.instagram.com/byludenso/?hl=en" TargetMode="External" Id="rId980" /><Relationship Type="http://schemas.openxmlformats.org/officeDocument/2006/relationships/hyperlink" Target="https://twitter.com/ByLudenso" TargetMode="External" Id="rId981" /><Relationship Type="http://schemas.openxmlformats.org/officeDocument/2006/relationships/hyperlink" Target="https://www.linkedin.com/company/11865939/admin/feed/posts/" TargetMode="External" Id="rId982" /><Relationship Type="http://schemas.openxmlformats.org/officeDocument/2006/relationships/hyperlink" Target="https://drive.google.com/uc?export=view&amp;id=1DVzKbCF-0LHGs4q7RsJeIVSAhhMencNj" TargetMode="External" Id="rId983" /><Relationship Type="http://schemas.openxmlformats.org/officeDocument/2006/relationships/hyperlink" Target="http://www.netsupportsoftware.com/" TargetMode="External" Id="rId984" /><Relationship Type="http://schemas.openxmlformats.org/officeDocument/2006/relationships/hyperlink" Target="https://www.instagram.com/netsupportgroup/" TargetMode="External" Id="rId985" /><Relationship Type="http://schemas.openxmlformats.org/officeDocument/2006/relationships/hyperlink" Target="https://twitter.com/NetSupportGroup" TargetMode="External" Id="rId986" /><Relationship Type="http://schemas.openxmlformats.org/officeDocument/2006/relationships/hyperlink" Target="https://www.linkedin.com/company/netsupport-limited" TargetMode="External" Id="rId987" /><Relationship Type="http://schemas.openxmlformats.org/officeDocument/2006/relationships/hyperlink" Target="https://drive.google.com/uc?export=view&amp;id=1eMMfNPHgCkxXpGghUe-hDcdVPmsIYz1O" TargetMode="External" Id="rId988" /><Relationship Type="http://schemas.openxmlformats.org/officeDocument/2006/relationships/hyperlink" Target="https://schoolday.com/" TargetMode="External" Id="rId989" /><Relationship Type="http://schemas.openxmlformats.org/officeDocument/2006/relationships/hyperlink" Target="https://www.instagram.com/schooldaycom/" TargetMode="External" Id="rId990" /><Relationship Type="http://schemas.openxmlformats.org/officeDocument/2006/relationships/hyperlink" Target="https://twitter.com/schooldaycom" TargetMode="External" Id="rId991" /><Relationship Type="http://schemas.openxmlformats.org/officeDocument/2006/relationships/hyperlink" Target="https://www.linkedin.com/company/school-day-finland" TargetMode="External" Id="rId992" /><Relationship Type="http://schemas.openxmlformats.org/officeDocument/2006/relationships/hyperlink" Target="https://drive.google.com/uc?export=view&amp;id=1goqD6_U9g5P0YYzhp8tuO3xcstCF0zPF" TargetMode="External" Id="rId993" /><Relationship Type="http://schemas.openxmlformats.org/officeDocument/2006/relationships/hyperlink" Target="https://twigeducation.com/" TargetMode="External" Id="rId994" /><Relationship Type="http://schemas.openxmlformats.org/officeDocument/2006/relationships/hyperlink" Target="https://drive.google.com/uc?export=view&amp;id=1eSfjJfWhZKB3KKlP6h83gQs3K0EZq9Op" TargetMode="External" Id="rId995" /><Relationship Type="http://schemas.openxmlformats.org/officeDocument/2006/relationships/hyperlink" Target="http://www.studentlitteratur.se/" TargetMode="External" Id="rId996" /><Relationship Type="http://schemas.openxmlformats.org/officeDocument/2006/relationships/hyperlink" Target="https://twitter.com/Studentlitterat" TargetMode="External" Id="rId997" /><Relationship Type="http://schemas.openxmlformats.org/officeDocument/2006/relationships/hyperlink" Target="https://www.linkedin.com/company/studentlitteratur" TargetMode="External" Id="rId998" /><Relationship Type="http://schemas.openxmlformats.org/officeDocument/2006/relationships/hyperlink" Target="https://drive.google.com/uc?export=view&amp;id=1YI85j1TsJqXtkzktcC5bY27csS3YzOt4" TargetMode="External" Id="rId999" /><Relationship Type="http://schemas.openxmlformats.org/officeDocument/2006/relationships/hyperlink" Target="https://www.123chemie.de/" TargetMode="External" Id="rId1000" /><Relationship Type="http://schemas.openxmlformats.org/officeDocument/2006/relationships/hyperlink" Target="https://drive.google.com/uc?export=view&amp;id=1vFSvaLUqKh21Cw2NbHFQv6efYz4RIJUd" TargetMode="External" Id="rId1001" /><Relationship Type="http://schemas.openxmlformats.org/officeDocument/2006/relationships/hyperlink" Target="http://hypocampus.fr/" TargetMode="External" Id="rId1002" /><Relationship Type="http://schemas.openxmlformats.org/officeDocument/2006/relationships/hyperlink" Target="https://www.instagram.com/hypocampus.fr/" TargetMode="External" Id="rId1003" /><Relationship Type="http://schemas.openxmlformats.org/officeDocument/2006/relationships/hyperlink" Target="https://www.linkedin.com/company/hypocampus-ab" TargetMode="External" Id="rId1004" /><Relationship Type="http://schemas.openxmlformats.org/officeDocument/2006/relationships/hyperlink" Target="https://drive.google.com/uc?export=view&amp;id=1tCps8JSGsBupSeghtYCTZRPP53HwAy9L" TargetMode="External" Id="rId1005" /><Relationship Type="http://schemas.openxmlformats.org/officeDocument/2006/relationships/hyperlink" Target="https://www.webweaver.de/" TargetMode="External" Id="rId1006" /><Relationship Type="http://schemas.openxmlformats.org/officeDocument/2006/relationships/hyperlink" Target="https://twitter.com/WebWeaver_DE" TargetMode="External" Id="rId1007" /><Relationship Type="http://schemas.openxmlformats.org/officeDocument/2006/relationships/hyperlink" Target="https://www.linkedin.com/company/digionline-gmbh" TargetMode="External" Id="rId1008" /><Relationship Type="http://schemas.openxmlformats.org/officeDocument/2006/relationships/hyperlink" Target="https://drive.google.com/uc?export=view&amp;id=1P1lg9lrdRe-sgmaVY9m39qJNzldk-m_S" TargetMode="External" Id="rId1009" /><Relationship Type="http://schemas.openxmlformats.org/officeDocument/2006/relationships/hyperlink" Target="http://www.esquirrel.com/" TargetMode="External" Id="rId1010" /><Relationship Type="http://schemas.openxmlformats.org/officeDocument/2006/relationships/hyperlink" Target="https://www.instagram.com/esquirrelapp/" TargetMode="External" Id="rId1011" /><Relationship Type="http://schemas.openxmlformats.org/officeDocument/2006/relationships/hyperlink" Target="https://twitter.com/esquirrelapp" TargetMode="External" Id="rId1012" /><Relationship Type="http://schemas.openxmlformats.org/officeDocument/2006/relationships/hyperlink" Target="https://www.linkedin.com/company/esquirrel/" TargetMode="External" Id="rId1013" /><Relationship Type="http://schemas.openxmlformats.org/officeDocument/2006/relationships/hyperlink" Target="https://drive.google.com/uc?export=view&amp;id=1j7oIooMD7COCTlXxIaeXerlBJUggNYVU" TargetMode="External" Id="rId1014" /><Relationship Type="http://schemas.openxmlformats.org/officeDocument/2006/relationships/hyperlink" Target="https://www.medienlb.de/" TargetMode="External" Id="rId1015" /><Relationship Type="http://schemas.openxmlformats.org/officeDocument/2006/relationships/hyperlink" Target="https://mobile.twitter.com/medienlb" TargetMode="External" Id="rId1016" /><Relationship Type="http://schemas.openxmlformats.org/officeDocument/2006/relationships/hyperlink" Target="https://drive.google.com/uc?export=view&amp;id=1Mr4emRSVu5BmOvihMgDy5HAa4hNjVUFA" TargetMode="External" Id="rId1017" /><Relationship Type="http://schemas.openxmlformats.org/officeDocument/2006/relationships/hyperlink" Target="https://oxedandassessment.com/" TargetMode="External" Id="rId1018" /><Relationship Type="http://schemas.openxmlformats.org/officeDocument/2006/relationships/hyperlink" Target="https://drive.google.com/uc?export=view&amp;id=1X6uAHzsZ90xjGcfWdWp_mMag6_zvXihy" TargetMode="External" Id="rId1019" /><Relationship Type="http://schemas.openxmlformats.org/officeDocument/2006/relationships/hyperlink" Target="http://www.didactmedia.eu/" TargetMode="External" Id="rId1020" /><Relationship Type="http://schemas.openxmlformats.org/officeDocument/2006/relationships/hyperlink" Target="https://drive.google.com/uc?export=view&amp;id=189hh6gcu3MRjjqFzoTLQ5nlYZyjgZgoT" TargetMode="External" Id="rId1021" /><Relationship Type="http://schemas.openxmlformats.org/officeDocument/2006/relationships/hyperlink" Target="http://www.eduversum.de/" TargetMode="External" Id="rId1022" /><Relationship Type="http://schemas.openxmlformats.org/officeDocument/2006/relationships/hyperlink" Target="https://www.instagram.com/lehrer_online/" TargetMode="External" Id="rId1023" /><Relationship Type="http://schemas.openxmlformats.org/officeDocument/2006/relationships/hyperlink" Target="https://twitter.com/lehrer_online/" TargetMode="External" Id="rId1024" /><Relationship Type="http://schemas.openxmlformats.org/officeDocument/2006/relationships/hyperlink" Target="https://www.linkedin.com/company/6994438/admin/" TargetMode="External" Id="rId1025" /><Relationship Type="http://schemas.openxmlformats.org/officeDocument/2006/relationships/hyperlink" Target="https://drive.google.com/uc?export=view&amp;id=1sxJCvbjVoBaZ4FLp21VNZWkmJys561Td" TargetMode="External" Id="rId1026" /><Relationship Type="http://schemas.openxmlformats.org/officeDocument/2006/relationships/hyperlink" Target="http://kidescience.com/" TargetMode="External" Id="rId1027" /><Relationship Type="http://schemas.openxmlformats.org/officeDocument/2006/relationships/hyperlink" Target="https://www.instagram.com/kidescience/" TargetMode="External" Id="rId1028" /><Relationship Type="http://schemas.openxmlformats.org/officeDocument/2006/relationships/hyperlink" Target="https://twitter.com/kidescience" TargetMode="External" Id="rId1029" /><Relationship Type="http://schemas.openxmlformats.org/officeDocument/2006/relationships/hyperlink" Target="https://www.linkedin.com/company/kidescience" TargetMode="External" Id="rId1030" /><Relationship Type="http://schemas.openxmlformats.org/officeDocument/2006/relationships/hyperlink" Target="https://drive.google.com/uc?export=view&amp;id=1ZT4h_fG_NW6YggQEdj8GsiNEAncp5ymh" TargetMode="External" Id="rId1031" /><Relationship Type="http://schemas.openxmlformats.org/officeDocument/2006/relationships/hyperlink" Target="http://learnesy.com/" TargetMode="External" Id="rId1032" /><Relationship Type="http://schemas.openxmlformats.org/officeDocument/2006/relationships/hyperlink" Target="https://www.instagram.com/learnesycom/" TargetMode="External" Id="rId1033" /><Relationship Type="http://schemas.openxmlformats.org/officeDocument/2006/relationships/hyperlink" Target="https://www.linkedin.com/company/learnesy" TargetMode="External" Id="rId1034" /><Relationship Type="http://schemas.openxmlformats.org/officeDocument/2006/relationships/hyperlink" Target="https://drive.google.com/uc?export=view&amp;id=1epfOEeCxm3mBwkuNDYkxL4zTbL3SNozR" TargetMode="External" Id="rId1035" /><Relationship Type="http://schemas.openxmlformats.org/officeDocument/2006/relationships/hyperlink" Target="https://www.canopy.education/" TargetMode="External" Id="rId1036" /><Relationship Type="http://schemas.openxmlformats.org/officeDocument/2006/relationships/hyperlink" Target="https://www.instagram.com/canopyCIC/" TargetMode="External" Id="rId1037" /><Relationship Type="http://schemas.openxmlformats.org/officeDocument/2006/relationships/hyperlink" Target="https://twitter.com/CanopyCIC" TargetMode="External" Id="rId1038" /><Relationship Type="http://schemas.openxmlformats.org/officeDocument/2006/relationships/hyperlink" Target="https://www.linkedin.com/company/canopy-cic/" TargetMode="External" Id="rId1039" /><Relationship Type="http://schemas.openxmlformats.org/officeDocument/2006/relationships/hyperlink" Target="https://drive.google.com/uc?export=view&amp;id=1nClQ2zRx4ICHQCySSWjpCKI4dXBa3Nj4" TargetMode="External" Id="rId1040" /><Relationship Type="http://schemas.openxmlformats.org/officeDocument/2006/relationships/hyperlink" Target="http://www.doodlelearning.com/" TargetMode="External" Id="rId1041" /><Relationship Type="http://schemas.openxmlformats.org/officeDocument/2006/relationships/hyperlink" Target="https://www.instagram.com/doodlelearning_" TargetMode="External" Id="rId1042" /><Relationship Type="http://schemas.openxmlformats.org/officeDocument/2006/relationships/hyperlink" Target="https://twitter.com/doodlelearning" TargetMode="External" Id="rId1043" /><Relationship Type="http://schemas.openxmlformats.org/officeDocument/2006/relationships/hyperlink" Target="https://www.linkedin.com/company/ez-education" TargetMode="External" Id="rId1044" /><Relationship Type="http://schemas.openxmlformats.org/officeDocument/2006/relationships/hyperlink" Target="https://drive.google.com/uc?export=view&amp;id=1Xb-guwRv1ellecf5cssaz0sbwKizGtur" TargetMode="External" Id="rId1045" /><Relationship Type="http://schemas.openxmlformats.org/officeDocument/2006/relationships/hyperlink" Target="https://klett.bg/" TargetMode="External" Id="rId1046" /><Relationship Type="http://schemas.openxmlformats.org/officeDocument/2006/relationships/hyperlink" Target="https://bg.linkedin.com/company/klett-bulgaria-ltd-" TargetMode="External" Id="rId1047" /><Relationship Type="http://schemas.openxmlformats.org/officeDocument/2006/relationships/hyperlink" Target="https://drive.google.com/uc?export=view&amp;id=1faisBA-XFRyH0gPYkLTwiZeaH4qaQSlB" TargetMode="External" Id="rId1048" /><Relationship Type="http://schemas.openxmlformats.org/officeDocument/2006/relationships/hyperlink" Target="https://www.voovostudy.com/" TargetMode="External" Id="rId1049" /><Relationship Type="http://schemas.openxmlformats.org/officeDocument/2006/relationships/hyperlink" Target="https://www.instagram.com/voovo.study/" TargetMode="External" Id="rId1050" /><Relationship Type="http://schemas.openxmlformats.org/officeDocument/2006/relationships/hyperlink" Target="https://www.linkedin.com/company/voovo/" TargetMode="External" Id="rId1051" /><Relationship Type="http://schemas.openxmlformats.org/officeDocument/2006/relationships/hyperlink" Target="https://drive.google.com/uc?export=view&amp;id=10dJftsvR6OavYjXB-_NvpyqUrDQH9BaL" TargetMode="External" Id="rId1052" /><Relationship Type="http://schemas.openxmlformats.org/officeDocument/2006/relationships/hyperlink" Target="https://lablife.video/" TargetMode="External" Id="rId1053" /><Relationship Type="http://schemas.openxmlformats.org/officeDocument/2006/relationships/hyperlink" Target="https://www.instagram.com/lablife.video" TargetMode="External" Id="rId1054" /><Relationship Type="http://schemas.openxmlformats.org/officeDocument/2006/relationships/hyperlink" Target="https://www.linkedin.com/company/lablife-video" TargetMode="External" Id="rId1055" /><Relationship Type="http://schemas.openxmlformats.org/officeDocument/2006/relationships/hyperlink" Target="https://drive.google.com/uc?export=view&amp;id=1fWlurD-Fj05QYhJlZxtCEej2m8z4Z0w3" TargetMode="External" Id="rId1056" /><Relationship Type="http://schemas.openxmlformats.org/officeDocument/2006/relationships/hyperlink" Target="https://teach.supportsquare.io/" TargetMode="External" Id="rId1057" /><Relationship Type="http://schemas.openxmlformats.org/officeDocument/2006/relationships/hyperlink" Target="https://be.linkedin.com/company/supportsquare" TargetMode="External" Id="rId1058" /><Relationship Type="http://schemas.openxmlformats.org/officeDocument/2006/relationships/hyperlink" Target="https://drive.google.com/uc?export=view&amp;id=16gVhWPopyINvEcWTYUIGmZhERhZtdpEt" TargetMode="External" Id="rId1059" /><Relationship Type="http://schemas.openxmlformats.org/officeDocument/2006/relationships/hyperlink" Target="https://docfield.com/" TargetMode="External" Id="rId1060" /><Relationship Type="http://schemas.openxmlformats.org/officeDocument/2006/relationships/hyperlink" Target="https://www.linkedin.com/company/docfield/?viewAsMember=true" TargetMode="External" Id="rId1061" /><Relationship Type="http://schemas.openxmlformats.org/officeDocument/2006/relationships/hyperlink" Target="https://drive.google.com/uc?export=view&amp;id=1RtR1ImCPOfkWTq1DE653TvPdF88gNCu4" TargetMode="External" Id="rId1062" /><Relationship Type="http://schemas.openxmlformats.org/officeDocument/2006/relationships/hyperlink" Target="https://elevatehealth.eu/" TargetMode="External" Id="rId1063" /><Relationship Type="http://schemas.openxmlformats.org/officeDocument/2006/relationships/hyperlink" Target="https://www.linkedin.com/company/elevate-health" TargetMode="External" Id="rId1064" /><Relationship Type="http://schemas.openxmlformats.org/officeDocument/2006/relationships/hyperlink" Target="https://drive.google.com/uc?export=view&amp;id=1xrsBXkj2Qt-smxYvgp_2rDo4sHz6PBC_" TargetMode="External" Id="rId1065" /><Relationship Type="http://schemas.openxmlformats.org/officeDocument/2006/relationships/hyperlink" Target="https://gradebuilder.tech/" TargetMode="External" Id="rId1066" /><Relationship Type="http://schemas.openxmlformats.org/officeDocument/2006/relationships/hyperlink" Target="https://x.com/gradebuildertec" TargetMode="External" Id="rId1067" /><Relationship Type="http://schemas.openxmlformats.org/officeDocument/2006/relationships/hyperlink" Target="https://www.linkedin.com/company/gradebuilder/" TargetMode="External" Id="rId1068" /><Relationship Type="http://schemas.openxmlformats.org/officeDocument/2006/relationships/hyperlink" Target="https://drive.google.com/uc?export=view&amp;id=1Iw2roVLWgYa61t_7ewNalQqq-iJH6y2D" TargetMode="External" Id="rId1069" /><Relationship Type="http://schemas.openxmlformats.org/officeDocument/2006/relationships/hyperlink" Target="http://edavia.se/" TargetMode="External" Id="rId1070" /><Relationship Type="http://schemas.openxmlformats.org/officeDocument/2006/relationships/hyperlink" Target="https://www.linkedin.com/company/edavia" TargetMode="External" Id="rId1071" /><Relationship Type="http://schemas.openxmlformats.org/officeDocument/2006/relationships/hyperlink" Target="http://pluggamatte.se/" TargetMode="External" Id="rId1072" /><Relationship Type="http://schemas.openxmlformats.org/officeDocument/2006/relationships/hyperlink" Target="https://drive.google.com/uc?export=view&amp;id=1h_V6egrH56YualvffdRsgWlBIrAoOlrV" TargetMode="External" Id="rId1073" /><Relationship Type="http://schemas.openxmlformats.org/officeDocument/2006/relationships/hyperlink" Target="http://www.ampliro.com/" TargetMode="External" Id="rId1074" /><Relationship Type="http://schemas.openxmlformats.org/officeDocument/2006/relationships/hyperlink" Target="http://x.com/ampliro" TargetMode="External" Id="rId1075" /><Relationship Type="http://schemas.openxmlformats.org/officeDocument/2006/relationships/hyperlink" Target="http://linkedin.com/company/ampliro" TargetMode="External" Id="rId1076" /><Relationship Type="http://schemas.openxmlformats.org/officeDocument/2006/relationships/hyperlink" Target="https://drive.google.com/uc?export=view&amp;id=1PDemQsPeAvE6tGwxdS0ZWc1ROLWdpBn0" TargetMode="External" Id="rId1077" /><Relationship Type="http://schemas.openxmlformats.org/officeDocument/2006/relationships/hyperlink" Target="https://www.talesofmello.com/" TargetMode="External" Id="rId1078" /><Relationship Type="http://schemas.openxmlformats.org/officeDocument/2006/relationships/hyperlink" Target="https://www.instagram.com/daidream.io/" TargetMode="External" Id="rId1079" /><Relationship Type="http://schemas.openxmlformats.org/officeDocument/2006/relationships/hyperlink" Target="https://www.linkedin.com/company/daidream-io" TargetMode="External" Id="rId1080" /><Relationship Type="http://schemas.openxmlformats.org/officeDocument/2006/relationships/hyperlink" Target="https://drive.google.com/uc?export=view&amp;id=1JOZaRIUNolSpDcQQ9ri9xZGFBbIRKJIf" TargetMode="External" Id="rId1081" /><Relationship Type="http://schemas.openxmlformats.org/officeDocument/2006/relationships/hyperlink" Target="https://kumo-cloud.com/" TargetMode="External" Id="rId1082" /><Relationship Type="http://schemas.openxmlformats.org/officeDocument/2006/relationships/hyperlink" Target="https://www.linkedin.com/company/kumocloud/" TargetMode="External" Id="rId1083" /><Relationship Type="http://schemas.openxmlformats.org/officeDocument/2006/relationships/hyperlink" Target="https://drive.google.com/uc?export=view&amp;id=1s3OGLRI-um-cVDJAKoMk4UcOJQLgsn1W" TargetMode="External" Id="rId1084" /><Relationship Type="http://schemas.openxmlformats.org/officeDocument/2006/relationships/hyperlink" Target="https://lms.contipso.com/" TargetMode="External" Id="rId1085" /><Relationship Type="http://schemas.openxmlformats.org/officeDocument/2006/relationships/hyperlink" Target="https://bg.linkedin.com/company/contipso" TargetMode="External" Id="rId1086" /><Relationship Type="http://schemas.openxmlformats.org/officeDocument/2006/relationships/hyperlink" Target="https://drive.google.com/uc?export=view&amp;id=1voPW9jbG7PNJmAnsFRHwoq4NZog2FX9Y" TargetMode="External" Id="rId1087" /><Relationship Type="http://schemas.openxmlformats.org/officeDocument/2006/relationships/hyperlink" Target="https://uni-sofia.bg/index.php/eng/the_university/faculties/faculty_of_education/faculty_clubs_museums_and_centres/centre_of_educational_technologies" TargetMode="External" Id="rId1088" /><Relationship Type="http://schemas.openxmlformats.org/officeDocument/2006/relationships/hyperlink" Target="https://drive.google.com/uc?export=view&amp;id=1ShSw-bOsMcLviGufDGf9zrLkkNnLtx-2" TargetMode="External" Id="rId1089" /><Relationship Type="http://schemas.openxmlformats.org/officeDocument/2006/relationships/hyperlink" Target="https://www.stem-y.com/" TargetMode="External" Id="rId1090" /><Relationship Type="http://schemas.openxmlformats.org/officeDocument/2006/relationships/hyperlink" Target="https://www.linkedin.com/in/stemy-kids-1724162b2/" TargetMode="External" Id="rId1091" /><Relationship Type="http://schemas.openxmlformats.org/officeDocument/2006/relationships/hyperlink" Target="https://drive.google.com/uc?export=view&amp;id=1sjECQtGKlO7qfiVnU3UapMeCsHOXuR30" TargetMode="External" Id="rId1092" /><Relationship Type="http://schemas.openxmlformats.org/officeDocument/2006/relationships/hyperlink" Target="http://www.skip-institut.de/" TargetMode="External" Id="rId1093" /><Relationship Type="http://schemas.openxmlformats.org/officeDocument/2006/relationships/hyperlink" Target="https://drive.google.com/uc?export=view&amp;id=1e2uz5ktifjh8G1d3nHm5ldBqOIzLFP3C" TargetMode="External" Id="rId1094" /><Relationship Type="http://schemas.openxmlformats.org/officeDocument/2006/relationships/hyperlink" Target="http://www.tbs.tech/" TargetMode="External" Id="rId1095" /><Relationship Type="http://schemas.openxmlformats.org/officeDocument/2006/relationships/hyperlink" Target="https://www.linkedin.com/company/telelink-business-services/posts/?feedView=all" TargetMode="External" Id="rId1096" /><Relationship Type="http://schemas.openxmlformats.org/officeDocument/2006/relationships/hyperlink" Target="https://drive.google.com/uc?export=view&amp;id=1aX4sGAG0rjlxjfZ9YIDtqJw2WWmGVILD" TargetMode="External" Id="rId1097" /><Relationship Type="http://schemas.openxmlformats.org/officeDocument/2006/relationships/hyperlink" Target="http://setuniversity.edu.ua/" TargetMode="External" Id="rId1098" /><Relationship Type="http://schemas.openxmlformats.org/officeDocument/2006/relationships/hyperlink" Target="https://www.linkedin.com/company/set-university/" TargetMode="External" Id="rId1099" /><Relationship Type="http://schemas.openxmlformats.org/officeDocument/2006/relationships/hyperlink" Target="https://x.com/SetUniversity" TargetMode="External" Id="rId1100" /><Relationship Type="http://schemas.openxmlformats.org/officeDocument/2006/relationships/hyperlink" Target="https://www.linkedin.com/company/set-university/" TargetMode="External" Id="rId1101" /><Relationship Type="http://schemas.openxmlformats.org/officeDocument/2006/relationships/hyperlink" Target="https://drive.google.com/uc?export=view&amp;id=1JzN45ABSg914ydPxoeifRXovDQvFSnCV" TargetMode="External" Id="rId1102" /><Relationship Type="http://schemas.openxmlformats.org/officeDocument/2006/relationships/hyperlink" Target="http://www.rollama.com/" TargetMode="External" Id="rId1103" /><Relationship Type="http://schemas.openxmlformats.org/officeDocument/2006/relationships/hyperlink" Target="http://instagram.com/rollama_edu" TargetMode="External" Id="rId1104" /><Relationship Type="http://schemas.openxmlformats.org/officeDocument/2006/relationships/hyperlink" Target="http://www.twitter.com/RollamaEdu" TargetMode="External" Id="rId1105" /><Relationship Type="http://schemas.openxmlformats.org/officeDocument/2006/relationships/hyperlink" Target="https://www.linkedin.com/company/81532461" TargetMode="External" Id="rId1106" /><Relationship Type="http://schemas.openxmlformats.org/officeDocument/2006/relationships/hyperlink" Target="https://drive.google.com/uc?export=view&amp;id=1nh5JWNrnLpafBIWOPt5GQcErQFORchnt" TargetMode="External" Id="rId1107" /><Relationship Type="http://schemas.openxmlformats.org/officeDocument/2006/relationships/hyperlink" Target="https://thecoderz.estate/" TargetMode="External" Id="rId1108" /><Relationship Type="http://schemas.openxmlformats.org/officeDocument/2006/relationships/hyperlink" Target="https://www.instagram.com/thecoderz.estate/" TargetMode="External" Id="rId1109" /><Relationship Type="http://schemas.openxmlformats.org/officeDocument/2006/relationships/hyperlink" Target="https://www.linkedin.com/company/thecoderz" TargetMode="External" Id="rId1110" /><Relationship Type="http://schemas.openxmlformats.org/officeDocument/2006/relationships/hyperlink" Target="https://drive.google.com/uc?export=view&amp;id=1C7lE_PMViq9qCdUuukK7dc8rw7RxA0w4" TargetMode="External" Id="rId1111" /><Relationship Type="http://schemas.openxmlformats.org/officeDocument/2006/relationships/hyperlink" Target="https://greenscreenbox.nl/" TargetMode="External" Id="rId1112" /><Relationship Type="http://schemas.openxmlformats.org/officeDocument/2006/relationships/hyperlink" Target="https://www.instagram.com/greenscreenbox/" TargetMode="External" Id="rId1113" /><Relationship Type="http://schemas.openxmlformats.org/officeDocument/2006/relationships/hyperlink" Target="https://nl.linkedin.com/company/monop-greenscreenbox" TargetMode="External" Id="rId1114" /><Relationship Type="http://schemas.openxmlformats.org/officeDocument/2006/relationships/hyperlink" Target="https://drive.google.com/uc?export=view&amp;id=15VHYoGIclV0qDYbhqVvkwPtb6PCSybbN" TargetMode="External" Id="rId1115" /><Relationship Type="http://schemas.openxmlformats.org/officeDocument/2006/relationships/hyperlink" Target="https://skills4impact.org/" TargetMode="External" Id="rId1116" /><Relationship Type="http://schemas.openxmlformats.org/officeDocument/2006/relationships/hyperlink" Target="https://www.linkedin.com/company/101066262/" TargetMode="External" Id="rId1117" /><Relationship Type="http://schemas.openxmlformats.org/officeDocument/2006/relationships/hyperlink" Target="https://drive.google.com/uc?export=view&amp;id=1G4xV9DzTPEqEGbHZUjiM32zuF9qT4JuB" TargetMode="External" Id="rId1118" /><Relationship Type="http://schemas.openxmlformats.org/officeDocument/2006/relationships/hyperlink" Target="http://www.ubbu.io/" TargetMode="External" Id="rId1119" /><Relationship Type="http://schemas.openxmlformats.org/officeDocument/2006/relationships/hyperlink" Target="https://drive.google.com/uc?export=view&amp;id=1j29iI04XkhEf8bWBFEWn1ltr1PIdI5iB" TargetMode="External" Id="rId1120" /><Relationship Type="http://schemas.openxmlformats.org/officeDocument/2006/relationships/hyperlink" Target="http://ikleeralles.nl/" TargetMode="External" Id="rId1121" /><Relationship Type="http://schemas.openxmlformats.org/officeDocument/2006/relationships/hyperlink" Target="https://ikleeralles.nl/" TargetMode="External" Id="rId1122" /><Relationship Type="http://schemas.openxmlformats.org/officeDocument/2006/relationships/hyperlink" Target="https://www.linkedin.com/company/ikleerallesnl/" TargetMode="External" Id="rId1123" /><Relationship Type="http://schemas.openxmlformats.org/officeDocument/2006/relationships/hyperlink" Target="http://ikleeralles.nl/" TargetMode="External" Id="rId1124" /><Relationship Type="http://schemas.openxmlformats.org/officeDocument/2006/relationships/hyperlink" Target="https://drive.google.com/uc?export=view&amp;id=1TiqSZzyLpcbTsG_4q84WsD2qdweR6kqB" TargetMode="External" Id="rId1125" /><Relationship Type="http://schemas.openxmlformats.org/officeDocument/2006/relationships/hyperlink" Target="http://www.test.de/" TargetMode="External" Id="rId1126" /><Relationship Type="http://schemas.openxmlformats.org/officeDocument/2006/relationships/hyperlink" Target="https://drive.google.com/uc?export=view&amp;id=1PmgMWazcSa1IhCndw7vA8M8Zubt54xxJ" TargetMode="External" Id="rId1127" /><Relationship Type="http://schemas.openxmlformats.org/officeDocument/2006/relationships/hyperlink" Target="http://www.matematcasuperpiatta.it/en" TargetMode="External" Id="rId1128" /><Relationship Type="http://schemas.openxmlformats.org/officeDocument/2006/relationships/hyperlink" Target="https://www.instagram.com/matematica.superpiatta/" TargetMode="External" Id="rId1129" /><Relationship Type="http://schemas.openxmlformats.org/officeDocument/2006/relationships/hyperlink" Target="https://www.linkedin.com/company/90944851" TargetMode="External" Id="rId1130" /><Relationship Type="http://schemas.openxmlformats.org/officeDocument/2006/relationships/hyperlink" Target="https://drive.google.com/uc?export=view&amp;id=1iQlptGSiUdAY0yMZ5XqAV8Y4WOUPuvaj" TargetMode="External" Id="rId1131" /><Relationship Type="http://schemas.openxmlformats.org/officeDocument/2006/relationships/hyperlink" Target="http://www.aryzon.world/" TargetMode="External" Id="rId1132" /><Relationship Type="http://schemas.openxmlformats.org/officeDocument/2006/relationships/hyperlink" Target="https://www.instagram.com/aryzon.world/" TargetMode="External" Id="rId1133" /><Relationship Type="http://schemas.openxmlformats.org/officeDocument/2006/relationships/hyperlink" Target="https://www.linkedin.com/company/aryzon-world/" TargetMode="External" Id="rId1134" /><Relationship Type="http://schemas.openxmlformats.org/officeDocument/2006/relationships/hyperlink" Target="https://drive.google.com/uc?export=view&amp;id=17gGzTxu8z7JDFZhDx6pTXyBkfZB6xsKj" TargetMode="External" Id="rId1135" /><Relationship Type="http://schemas.openxmlformats.org/officeDocument/2006/relationships/hyperlink" Target="https://seniorlingua.com/en" TargetMode="External" Id="rId1136" /><Relationship Type="http://schemas.openxmlformats.org/officeDocument/2006/relationships/hyperlink" Target="https://www.instagram.com/seniorlingua/" TargetMode="External" Id="rId1137" /><Relationship Type="http://schemas.openxmlformats.org/officeDocument/2006/relationships/hyperlink" Target="https://www.linkedin.com/company/senior-lingua/" TargetMode="External" Id="rId1138" /><Relationship Type="http://schemas.openxmlformats.org/officeDocument/2006/relationships/hyperlink" Target="https://drive.google.com/uc?export=view&amp;id=1-i87-HBKuqKykDNFFC45hu1J7-D6F2ka" TargetMode="External" Id="rId1139" /><Relationship Type="http://schemas.openxmlformats.org/officeDocument/2006/relationships/hyperlink" Target="http://codeeasy.io/" TargetMode="External" Id="rId1140" /><Relationship Type="http://schemas.openxmlformats.org/officeDocument/2006/relationships/hyperlink" Target="https://codeeasy.io/" TargetMode="External" Id="rId1141" /><Relationship Type="http://schemas.openxmlformats.org/officeDocument/2006/relationships/hyperlink" Target="https://www.instagram.com/codeeasy.io" TargetMode="External" Id="rId1142" /><Relationship Type="http://schemas.openxmlformats.org/officeDocument/2006/relationships/hyperlink" Target="https://www.linkedin.com/company/codeasy" TargetMode="External" Id="rId1143" /><Relationship Type="http://schemas.openxmlformats.org/officeDocument/2006/relationships/hyperlink" Target="https://drive.google.com/uc?export=view&amp;id=1737Gy13sr1wxQ-piMFje3qVHTzuLYuma" TargetMode="External" Id="rId1144" /><Relationship Type="http://schemas.openxmlformats.org/officeDocument/2006/relationships/hyperlink" Target="http://www.furhatrobotics.com/" TargetMode="External" Id="rId1145" /><Relationship Type="http://schemas.openxmlformats.org/officeDocument/2006/relationships/hyperlink" Target="https://www.instagram.com/furhatrobotics/" TargetMode="External" Id="rId1146" /><Relationship Type="http://schemas.openxmlformats.org/officeDocument/2006/relationships/hyperlink" Target="https://twitter.com/furhatrobotics" TargetMode="External" Id="rId1147" /><Relationship Type="http://schemas.openxmlformats.org/officeDocument/2006/relationships/hyperlink" Target="https://www.linkedin.com/company/furhat-robotics/" TargetMode="External" Id="rId1148" /><Relationship Type="http://schemas.openxmlformats.org/officeDocument/2006/relationships/hyperlink" Target="https://drive.google.com/uc?export=view&amp;id=1J2gXlRTPiN96thhQdpX_p62OHT_DZICI" TargetMode="External" Id="rId1149" /><Relationship Type="http://schemas.openxmlformats.org/officeDocument/2006/relationships/hyperlink" Target="http://publiceringsverkyg.mobilestories.se/" TargetMode="External" Id="rId1150" /><Relationship Type="http://schemas.openxmlformats.org/officeDocument/2006/relationships/hyperlink" Target="https://www.linkedin.com/company/mobile-stories/https:/www.linkedin.com/company/mobile-stories/" TargetMode="External" Id="rId1151" /><Relationship Type="http://schemas.openxmlformats.org/officeDocument/2006/relationships/hyperlink" Target="https://drive.google.com/uc?export=view&amp;id=1UwEw4Amf-Lz2GxT4TLkEQQnwi2jvZH_U" TargetMode="External" Id="rId1152" /><Relationship Type="http://schemas.openxmlformats.org/officeDocument/2006/relationships/hyperlink" Target="https://www.nuiteq.com/" TargetMode="External" Id="rId1153" /><Relationship Type="http://schemas.openxmlformats.org/officeDocument/2006/relationships/hyperlink" Target="https://www.linkedin.com/company/nuiteq/" TargetMode="External" Id="rId1154" /><Relationship Type="http://schemas.openxmlformats.org/officeDocument/2006/relationships/hyperlink" Target="https://drive.google.com/uc?export=view&amp;id=1L645_RcN44Qfw_NjO1NP77PGezF0L5S0" TargetMode="External" Id="rId1155" /><Relationship Type="http://schemas.openxmlformats.org/officeDocument/2006/relationships/hyperlink" Target="https://www.wacano.se/" TargetMode="External" Id="rId1156" /><Relationship Type="http://schemas.openxmlformats.org/officeDocument/2006/relationships/hyperlink" Target="https://twitter.com/WacanoSE" TargetMode="External" Id="rId1157" /><Relationship Type="http://schemas.openxmlformats.org/officeDocument/2006/relationships/hyperlink" Target="https://booksquare.se/" TargetMode="External" Id="rId1158" /><Relationship Type="http://schemas.openxmlformats.org/officeDocument/2006/relationships/hyperlink" Target="https://www.instagram.com/booksquare.se/" TargetMode="External" Id="rId1159" /><Relationship Type="http://schemas.openxmlformats.org/officeDocument/2006/relationships/hyperlink" Target="https://twitter.com/booksquare_se" TargetMode="External" Id="rId1160" /><Relationship Type="http://schemas.openxmlformats.org/officeDocument/2006/relationships/hyperlink" Target="https://www.linkedin.com/company/booksquaresweden" TargetMode="External" Id="rId1161" /><Relationship Type="http://schemas.openxmlformats.org/officeDocument/2006/relationships/hyperlink" Target="https://drive.google.com/uc?export=view&amp;id=1zZsO_Rs9yi_YIDyxQS1AwOQzAaFw3Hw8" TargetMode="External" Id="rId1162" /><Relationship Type="http://schemas.openxmlformats.org/officeDocument/2006/relationships/hyperlink" Target="http://www.baobabooks.com/" TargetMode="External" Id="rId1163" /><Relationship Type="http://schemas.openxmlformats.org/officeDocument/2006/relationships/hyperlink" Target="https://www.instagram.com/baobabooks/" TargetMode="External" Id="rId1164" /><Relationship Type="http://schemas.openxmlformats.org/officeDocument/2006/relationships/hyperlink" Target="https://twitter.com/Baobabooks1" TargetMode="External" Id="rId1165" /><Relationship Type="http://schemas.openxmlformats.org/officeDocument/2006/relationships/hyperlink" Target="https://www.linkedin.com/company/baobabooks/mycompany/" TargetMode="External" Id="rId1166" /><Relationship Type="http://schemas.openxmlformats.org/officeDocument/2006/relationships/hyperlink" Target="http://baobabooks.com/" TargetMode="External" Id="rId1167" /><Relationship Type="http://schemas.openxmlformats.org/officeDocument/2006/relationships/hyperlink" Target="https://drive.google.com/uc?export=view&amp;id=1wUE_3FzSjcwmqUmfAXHJaH6PeErA0M_M" TargetMode="External" Id="rId1168" /><Relationship Type="http://schemas.openxmlformats.org/officeDocument/2006/relationships/hyperlink" Target="https://brainy.gr/" TargetMode="External" Id="rId1169" /><Relationship Type="http://schemas.openxmlformats.org/officeDocument/2006/relationships/hyperlink" Target="https://www.instagram.com/brainy.gr/" TargetMode="External" Id="rId1170" /><Relationship Type="http://schemas.openxmlformats.org/officeDocument/2006/relationships/hyperlink" Target="https://www.linkedin.com/company/brainy-gr/" TargetMode="External" Id="rId1171" /><Relationship Type="http://schemas.openxmlformats.org/officeDocument/2006/relationships/hyperlink" Target="https://drive.google.com/uc?export=view&amp;id=1AUtQaow05e4Omzorl2DvTpmPb82s_8-0" TargetMode="External" Id="rId1172" /><Relationship Type="http://schemas.openxmlformats.org/officeDocument/2006/relationships/hyperlink" Target="https://abstract-technology.de/de" TargetMode="External" Id="rId1173" /><Relationship Type="http://schemas.openxmlformats.org/officeDocument/2006/relationships/hyperlink" Target="https://x.com/abstractGmbH" TargetMode="External" Id="rId1174" /><Relationship Type="http://schemas.openxmlformats.org/officeDocument/2006/relationships/hyperlink" Target="https://www.linkedin.com/company/abstract-technology-gmbh/" TargetMode="External" Id="rId1175" /><Relationship Type="http://schemas.openxmlformats.org/officeDocument/2006/relationships/hyperlink" Target="https://drive.google.com/uc?export=view&amp;id=1QkRC8kOa_-tyPVsRmP5ZgKp8pJ3Wby4h" TargetMode="External" Id="rId1176" /><Relationship Type="http://schemas.openxmlformats.org/officeDocument/2006/relationships/hyperlink" Target="http://music-crab.com/" TargetMode="External" Id="rId1177" /><Relationship Type="http://schemas.openxmlformats.org/officeDocument/2006/relationships/hyperlink" Target="https://drive.google.com/uc?export=view&amp;id=1QmrwTrHQvRjELUHeOStYw9nzi28tEzMp" TargetMode="External" Id="rId1178" /><Relationship Type="http://schemas.openxmlformats.org/officeDocument/2006/relationships/hyperlink" Target="https://orbit8.app/" TargetMode="External" Id="rId1179" /><Relationship Type="http://schemas.openxmlformats.org/officeDocument/2006/relationships/hyperlink" Target="https://www.instagram.com/orbit8_app" TargetMode="External" Id="rId1180" /><Relationship Type="http://schemas.openxmlformats.org/officeDocument/2006/relationships/hyperlink" Target="https://www.linkedin.com/company/orbit8" TargetMode="External" Id="rId1181" /><Relationship Type="http://schemas.openxmlformats.org/officeDocument/2006/relationships/hyperlink" Target="https://drive.google.com/uc?export=view&amp;id=1S-o6oAGOyNyhT2_yR9VWFtHh96doI8Zm" TargetMode="External" Id="rId1182" /><Relationship Type="http://schemas.openxmlformats.org/officeDocument/2006/relationships/hyperlink" Target="http://www.itenlearning.com/" TargetMode="External" Id="rId1183" /><Relationship Type="http://schemas.openxmlformats.org/officeDocument/2006/relationships/hyperlink" Target="https://www.instagram.com/itenlearning_es/" TargetMode="External" Id="rId1184" /><Relationship Type="http://schemas.openxmlformats.org/officeDocument/2006/relationships/hyperlink" Target="https://www.linkedin.com/company/itenlearning/?viewAsMember=true" TargetMode="External" Id="rId1185" /><Relationship Type="http://schemas.openxmlformats.org/officeDocument/2006/relationships/hyperlink" Target="https://drive.google.com/uc?export=view&amp;id=1nzx25kkpfwvU2Kg6a1ai5UBtOQRShJU9" TargetMode="External" Id="rId1186" /><Relationship Type="http://schemas.openxmlformats.org/officeDocument/2006/relationships/hyperlink" Target="http://www.classinthebox.com/" TargetMode="External" Id="rId1187" /><Relationship Type="http://schemas.openxmlformats.org/officeDocument/2006/relationships/hyperlink" Target="https://drive.google.com/uc?export=view&amp;id=1mBKlYZ4EI0W4_wmMvDlMDsNmW7aLVUvH" TargetMode="External" Id="rId1188" /><Relationship Type="http://schemas.openxmlformats.org/officeDocument/2006/relationships/hyperlink" Target="http://www.springlab.nl/" TargetMode="External" Id="rId1189" /><Relationship Type="http://schemas.openxmlformats.org/officeDocument/2006/relationships/hyperlink" Target="https://www.instagram.com/springlabnl/" TargetMode="External" Id="rId1190" /><Relationship Type="http://schemas.openxmlformats.org/officeDocument/2006/relationships/hyperlink" Target="https://www.linkedin.com/company/springlab-nl/" TargetMode="External" Id="rId1191" /><Relationship Type="http://schemas.openxmlformats.org/officeDocument/2006/relationships/hyperlink" Target="https://drive.google.com/uc?export=view&amp;id=1KSkqvo-u2ciar63nVbxtjj-r4lX2kASh" TargetMode="External" Id="rId1192" /><Relationship Type="http://schemas.openxmlformats.org/officeDocument/2006/relationships/hyperlink" Target="http://www.ninefeb.com/" TargetMode="External" Id="rId1193" /><Relationship Type="http://schemas.openxmlformats.org/officeDocument/2006/relationships/hyperlink" Target="https://www.linkedin.com/company/6522826/" TargetMode="External" Id="rId1194" /><Relationship Type="http://schemas.openxmlformats.org/officeDocument/2006/relationships/hyperlink" Target="https://drive.google.com/uc?export=view&amp;id=11R7b7YRJ28NDU3GzDmXVqunBFjZHY6RP" TargetMode="External" Id="rId1195" /><Relationship Type="http://schemas.openxmlformats.org/officeDocument/2006/relationships/hyperlink" Target="https://www.eduvolutionx.com/" TargetMode="External" Id="rId1196" /><Relationship Type="http://schemas.openxmlformats.org/officeDocument/2006/relationships/hyperlink" Target="https://www.linkedin.com/company/eduvolutionx/" TargetMode="External" Id="rId1197" /><Relationship Type="http://schemas.openxmlformats.org/officeDocument/2006/relationships/hyperlink" Target="https://drive.google.com/uc?export=view&amp;id=1-uJgN80nDfAzGxhggOO9sQIJ8cVAERHc" TargetMode="External" Id="rId1198" /><Relationship Type="http://schemas.openxmlformats.org/officeDocument/2006/relationships/hyperlink" Target="https://www.mywizzie.com/" TargetMode="External" Id="rId1199" /><Relationship Type="http://schemas.openxmlformats.org/officeDocument/2006/relationships/hyperlink" Target="https://www.instagram.com/wizzieapp/" TargetMode="External" Id="rId1200" /><Relationship Type="http://schemas.openxmlformats.org/officeDocument/2006/relationships/hyperlink" Target="https://twitter.com/wizzieapp/" TargetMode="External" Id="rId1201" /><Relationship Type="http://schemas.openxmlformats.org/officeDocument/2006/relationships/hyperlink" Target="https://www.linkedin.com/company/wizzieapp/" TargetMode="External" Id="rId1202" /><Relationship Type="http://schemas.openxmlformats.org/officeDocument/2006/relationships/hyperlink" Target="https://drive.google.com/uc?export=view&amp;id=1UJsFCFwMIKbVPwHMUYqvCOCvrzcoRYCY" TargetMode="External" Id="rId1203" /><Relationship Type="http://schemas.openxmlformats.org/officeDocument/2006/relationships/hyperlink" Target="https://piogroup.net/" TargetMode="External" Id="rId1204" /><Relationship Type="http://schemas.openxmlformats.org/officeDocument/2006/relationships/hyperlink" Target="https://www.instagram.com/piogroup_software/" TargetMode="External" Id="rId1205" /><Relationship Type="http://schemas.openxmlformats.org/officeDocument/2006/relationships/hyperlink" Target="https://www.linkedin.com/company/10346147" TargetMode="External" Id="rId1206" /><Relationship Type="http://schemas.openxmlformats.org/officeDocument/2006/relationships/hyperlink" Target="https://drive.google.com/uc?export=view&amp;id=1yNu9dj0CWalapMprBk9pXWyfmWIeERzp" TargetMode="External" Id="rId1207" /><Relationship Type="http://schemas.openxmlformats.org/officeDocument/2006/relationships/hyperlink" Target="https://everyonecodes.io/" TargetMode="External" Id="rId1208" /><Relationship Type="http://schemas.openxmlformats.org/officeDocument/2006/relationships/hyperlink" Target="https://www.linkedin.com/company/everyonecodes" TargetMode="External" Id="rId1209" /><Relationship Type="http://schemas.openxmlformats.org/officeDocument/2006/relationships/hyperlink" Target="https://drive.google.com/uc?export=view&amp;id=192mk0iNtChldVg6kvO3cwrdf7HY1snVY" TargetMode="External" Id="rId1210" /><Relationship Type="http://schemas.openxmlformats.org/officeDocument/2006/relationships/hyperlink" Target="https://www.kialo-edu.com/" TargetMode="External" Id="rId1211" /><Relationship Type="http://schemas.openxmlformats.org/officeDocument/2006/relationships/hyperlink" Target="https://x.com/kialoedu" TargetMode="External" Id="rId1212" /><Relationship Type="http://schemas.openxmlformats.org/officeDocument/2006/relationships/hyperlink" Target="https://www.linkedin.com/company/kialo" TargetMode="External" Id="rId1213" /><Relationship Type="http://schemas.openxmlformats.org/officeDocument/2006/relationships/hyperlink" Target="https://drive.google.com/uc?export=view&amp;id=1qBZSNkvwyTDywYSbXUHzoTr8vKa3pDAZ" TargetMode="External" Id="rId1214" /><Relationship Type="http://schemas.openxmlformats.org/officeDocument/2006/relationships/hyperlink" Target="https://www.omniabuildings.nl/" TargetMode="External" Id="rId1215" /><Relationship Type="http://schemas.openxmlformats.org/officeDocument/2006/relationships/hyperlink" Target="https://www.instagram.com/pleqcampus/" TargetMode="External" Id="rId1216" /><Relationship Type="http://schemas.openxmlformats.org/officeDocument/2006/relationships/hyperlink" Target="https://www.linkedin.com/company/omnia-smartcampus" TargetMode="External" Id="rId1217" /><Relationship Type="http://schemas.openxmlformats.org/officeDocument/2006/relationships/hyperlink" Target="https://drive.google.com/uc?export=view&amp;id=1QNUskMomrN-D6pcAJZrEWNyB-PW1kFUk" TargetMode="External" Id="rId1218" /><Relationship Type="http://schemas.openxmlformats.org/officeDocument/2006/relationships/hyperlink" Target="http://www.kognity.com/" TargetMode="External" Id="rId1219" /><Relationship Type="http://schemas.openxmlformats.org/officeDocument/2006/relationships/hyperlink" Target="https://drive.google.com/uc?export=view&amp;id=167feE1eCXHjsG-MQX51cNOmfbB3CLdWU" TargetMode="External" Id="rId1220" /><Relationship Type="http://schemas.openxmlformats.org/officeDocument/2006/relationships/hyperlink" Target="http://www.beta.vision/" TargetMode="External" Id="rId1221" /><Relationship Type="http://schemas.openxmlformats.org/officeDocument/2006/relationships/hyperlink" Target="https://www.linkedin.com/company/betabusinessinnovation/" TargetMode="External" Id="rId1222" /><Relationship Type="http://schemas.openxmlformats.org/officeDocument/2006/relationships/hyperlink" Target="https://drive.google.com/uc?export=view&amp;id=1X61aJMZlBJT5HelyXP0H9KAMZ3FXbd5s" TargetMode="External" Id="rId1223" /><Relationship Type="http://schemas.openxmlformats.org/officeDocument/2006/relationships/hyperlink" Target="https://www.bitdegree.org/" TargetMode="External" Id="rId1224" /><Relationship Type="http://schemas.openxmlformats.org/officeDocument/2006/relationships/hyperlink" Target="https://www.instagram.com/bitdegree/" TargetMode="External" Id="rId1225" /><Relationship Type="http://schemas.openxmlformats.org/officeDocument/2006/relationships/hyperlink" Target="https://wwww.x.com/BitDegree" TargetMode="External" Id="rId1226" /><Relationship Type="http://schemas.openxmlformats.org/officeDocument/2006/relationships/hyperlink" Target="https://www.linkedin.com/company/bitdegree/" TargetMode="External" Id="rId1227" /><Relationship Type="http://schemas.openxmlformats.org/officeDocument/2006/relationships/hyperlink" Target="https://drive.google.com/uc?export=view&amp;id=1P3zWqrukiddfcpqhqtBcqiqQsZSiD9jK" TargetMode="External" Id="rId1228" /><Relationship Type="http://schemas.openxmlformats.org/officeDocument/2006/relationships/hyperlink" Target="https://www.edtake.com/en" TargetMode="External" Id="rId1229" /><Relationship Type="http://schemas.openxmlformats.org/officeDocument/2006/relationships/hyperlink" Target="https://www.linkedin.com/company/edtake" TargetMode="External" Id="rId1230" /><Relationship Type="http://schemas.openxmlformats.org/officeDocument/2006/relationships/hyperlink" Target="http://edtake.ai/" TargetMode="External" Id="rId1231" /><Relationship Type="http://schemas.openxmlformats.org/officeDocument/2006/relationships/hyperlink" Target="https://drive.google.com/uc?export=view&amp;id=1W837jH_PBeQCejmQDYnqrlBsC2vgSvJC" TargetMode="External" Id="rId1232" /><Relationship Type="http://schemas.openxmlformats.org/officeDocument/2006/relationships/hyperlink" Target="https://micromate.ai/" TargetMode="External" Id="rId1233" /><Relationship Type="http://schemas.openxmlformats.org/officeDocument/2006/relationships/hyperlink" Target="https://www.instagram.com/micromate_learning/" TargetMode="External" Id="rId1234" /><Relationship Type="http://schemas.openxmlformats.org/officeDocument/2006/relationships/hyperlink" Target="https://x.com/Micromate_ai" TargetMode="External" Id="rId1235" /><Relationship Type="http://schemas.openxmlformats.org/officeDocument/2006/relationships/hyperlink" Target="https://www.linkedin.com/company/micromate-learning/" TargetMode="External" Id="rId1236" /><Relationship Type="http://schemas.openxmlformats.org/officeDocument/2006/relationships/hyperlink" Target="https://drive.google.com/uc?export=view&amp;id=1SciFpk85YUHxS9T94o3c5k55XiyDA3vj" TargetMode="External" Id="rId1237" /><Relationship Type="http://schemas.openxmlformats.org/officeDocument/2006/relationships/hyperlink" Target="https://edulia.it/company/" TargetMode="External" Id="rId1238" /><Relationship Type="http://schemas.openxmlformats.org/officeDocument/2006/relationships/hyperlink" Target="https://www.linkedin.com/company/eduliatreccani" TargetMode="External" Id="rId1239" /><Relationship Type="http://schemas.openxmlformats.org/officeDocument/2006/relationships/hyperlink" Target="https://drive.google.com/uc?export=view&amp;id=1TZOr6Iw9uQt6xALwF3Fh--g9WCsMR5VR" TargetMode="External" Id="rId1240" /><Relationship Type="http://schemas.openxmlformats.org/officeDocument/2006/relationships/hyperlink" Target="https://www.lmddc.lu/" TargetMode="External" Id="rId1241" /><Relationship Type="http://schemas.openxmlformats.org/officeDocument/2006/relationships/hyperlink" Target="https://x.com/skilltech_LU" TargetMode="External" Id="rId1242" /><Relationship Type="http://schemas.openxmlformats.org/officeDocument/2006/relationships/hyperlink" Target="https://www.linkedin.com/company/81318169/admin/dashboard/" TargetMode="External" Id="rId1243" /><Relationship Type="http://schemas.openxmlformats.org/officeDocument/2006/relationships/hyperlink" Target="https://drive.google.com/uc?export=view&amp;id=14yRcdY7sOmfImPt84e8ZpwdVqqPvulXK" TargetMode="External" Id="rId1244" /><Relationship Type="http://schemas.openxmlformats.org/officeDocument/2006/relationships/hyperlink" Target="https://astra.si/en/astra-ai/" TargetMode="External" Id="rId1245" /><Relationship Type="http://schemas.openxmlformats.org/officeDocument/2006/relationships/hyperlink" Target="https://www.instagram.com/astra_ai_official/" TargetMode="External" Id="rId1246" /><Relationship Type="http://schemas.openxmlformats.org/officeDocument/2006/relationships/hyperlink" Target="https://www.linkedin.com/company/astra-si/" TargetMode="External" Id="rId1247" /><Relationship Type="http://schemas.openxmlformats.org/officeDocument/2006/relationships/hyperlink" Target="https://drive.google.com/uc?export=view&amp;id=1paK-hsfO4S6AEZyLP000Cdiio1c969Eo" TargetMode="External" Id="rId1248" /><Relationship Type="http://schemas.openxmlformats.org/officeDocument/2006/relationships/hyperlink" Target="http://www.nightzookeeper.com/" TargetMode="External" Id="rId1249" /><Relationship Type="http://schemas.openxmlformats.org/officeDocument/2006/relationships/hyperlink" Target="https://www.instagram.com/nightzookeeper/?hl=en" TargetMode="External" Id="rId1250" /><Relationship Type="http://schemas.openxmlformats.org/officeDocument/2006/relationships/hyperlink" Target="https://x.com/nightzookeeper?lang=en&amp;mx=2" TargetMode="External" Id="rId1251" /><Relationship Type="http://schemas.openxmlformats.org/officeDocument/2006/relationships/hyperlink" Target="https://www.linkedin.com/company/night-zookeeper/?viewAsMember=true" TargetMode="External" Id="rId1252" /><Relationship Type="http://schemas.openxmlformats.org/officeDocument/2006/relationships/hyperlink" Target="https://drive.google.com/uc?export=view&amp;id=1cT2fOYtlYB09QjCpRET3Q5kNmicoP2eU" TargetMode="External" Id="rId1253" /><Relationship Type="http://schemas.openxmlformats.org/officeDocument/2006/relationships/hyperlink" Target="https://exr.education/" TargetMode="External" Id="rId1254" /><Relationship Type="http://schemas.openxmlformats.org/officeDocument/2006/relationships/hyperlink" Target="https://www.linkedin.com/company/exrsolutions/" TargetMode="External" Id="rId1255" /><Relationship Type="http://schemas.openxmlformats.org/officeDocument/2006/relationships/hyperlink" Target="https://drive.google.com/uc?export=view&amp;id=1wv6ERHE1kOQM4b5DqeDX2f1eguka5LIZ" TargetMode="External" Id="rId1256" /><Relationship Type="http://schemas.openxmlformats.org/officeDocument/2006/relationships/hyperlink" Target="https://aktiedysten.dk/" TargetMode="External" Id="rId1257" /><Relationship Type="http://schemas.openxmlformats.org/officeDocument/2006/relationships/hyperlink" Target="https://www.instagram.com/aktiedysten" TargetMode="External" Id="rId1258" /><Relationship Type="http://schemas.openxmlformats.org/officeDocument/2006/relationships/hyperlink" Target="https://www.instagram.com/aktiedysten/" TargetMode="External" Id="rId1259" /><Relationship Type="http://schemas.openxmlformats.org/officeDocument/2006/relationships/hyperlink" Target="https://www.linkedin.com/company/12662458" TargetMode="External" Id="rId1260" /><Relationship Type="http://schemas.openxmlformats.org/officeDocument/2006/relationships/hyperlink" Target="https://drive.google.com/uc?export=view&amp;id=1V5iQ3jqJOhe-NJ0N59xMg0Q9dOz1CeTN" TargetMode="External" Id="rId1261" /><Relationship Type="http://schemas.openxmlformats.org/officeDocument/2006/relationships/hyperlink" Target="https://mydys.app/fr/" TargetMode="External" Id="rId1262" /><Relationship Type="http://schemas.openxmlformats.org/officeDocument/2006/relationships/hyperlink" Target="https://www.instagram.com/facil_iti/" TargetMode="External" Id="rId1263" /><Relationship Type="http://schemas.openxmlformats.org/officeDocument/2006/relationships/hyperlink" Target="https://twitter.com/facil_iti" TargetMode="External" Id="rId1264" /><Relationship Type="http://schemas.openxmlformats.org/officeDocument/2006/relationships/hyperlink" Target="https://www.linkedin.com/company/facil-iti-france/mycompany/" TargetMode="External" Id="rId1265" /><Relationship Type="http://schemas.openxmlformats.org/officeDocument/2006/relationships/hyperlink" Target="https://drive.google.com/uc?export=view&amp;id=1DwKrB6fjFGNMmxGxF89k6T46U5XDWwF8" TargetMode="External" Id="rId1266" /><Relationship Type="http://schemas.openxmlformats.org/officeDocument/2006/relationships/hyperlink" Target="https://acco.be/en/learning-solutions-for-businesses/" TargetMode="External" Id="rId1267" /><Relationship Type="http://schemas.openxmlformats.org/officeDocument/2006/relationships/hyperlink" Target="https://altereyes.com/" TargetMode="External" Id="rId1268" /><Relationship Type="http://schemas.openxmlformats.org/officeDocument/2006/relationships/hyperlink" Target="http://www.cyberneticwalrus.be/" TargetMode="External" Id="rId1269" /><Relationship Type="http://schemas.openxmlformats.org/officeDocument/2006/relationships/hyperlink" Target="https://denkie.com/" TargetMode="External" Id="rId1270" /><Relationship Type="http://schemas.openxmlformats.org/officeDocument/2006/relationships/hyperlink" Target="https://www.diekeure.be/educatief/kabas/" TargetMode="External" Id="rId1271" /><Relationship Type="http://schemas.openxmlformats.org/officeDocument/2006/relationships/hyperlink" Target="https://www.flowsparks.com/" TargetMode="External" Id="rId1272" /><Relationship Type="http://schemas.openxmlformats.org/officeDocument/2006/relationships/hyperlink" Target="https://www.gynzy.com/nl-be" TargetMode="External" Id="rId1273" /><Relationship Type="http://schemas.openxmlformats.org/officeDocument/2006/relationships/hyperlink" Target="https://www.laurea.be/" TargetMode="External" Id="rId1274" /><Relationship Type="http://schemas.openxmlformats.org/officeDocument/2006/relationships/hyperlink" Target="https://lexima.be/" TargetMode="External" Id="rId1275" /><Relationship Type="http://schemas.openxmlformats.org/officeDocument/2006/relationships/hyperlink" Target="https://lexima.nl/" TargetMode="External" Id="rId1276" /><Relationship Type="http://schemas.openxmlformats.org/officeDocument/2006/relationships/hyperlink" Target="https://www.ulia.be/" TargetMode="External" Id="rId1277" /><Relationship Type="http://schemas.openxmlformats.org/officeDocument/2006/relationships/hyperlink" Target="https://uqalify.com/" TargetMode="External" Id="rId1278" /><Relationship Type="http://schemas.openxmlformats.org/officeDocument/2006/relationships/hyperlink" Target="https://neolearning.eu/" TargetMode="External" Id="rId1279" /><Relationship Type="http://schemas.openxmlformats.org/officeDocument/2006/relationships/hyperlink" Target="http://eworking.it/" TargetMode="External" Id="rId1280" /><Relationship Type="http://schemas.openxmlformats.org/officeDocument/2006/relationships/hyperlink" Target="https://www.instagram.com/eworking.it/" TargetMode="External" Id="rId1281" /><Relationship Type="http://schemas.openxmlformats.org/officeDocument/2006/relationships/hyperlink" Target="https://www.linkedin.com/company/eworking/" TargetMode="External" Id="rId1282" /><Relationship Type="http://schemas.openxmlformats.org/officeDocument/2006/relationships/hyperlink" Target="https://drive.google.com/uc?export=view&amp;id=13qNKJfXDG2UBpRQF-FV-xMKaVYU4KrOx" TargetMode="External" Id="rId1283" /><Relationship Type="http://schemas.openxmlformats.org/officeDocument/2006/relationships/hyperlink" Target="https://www.futurehorizonseducation.com/" TargetMode="External" Id="rId1284" /><Relationship Type="http://schemas.openxmlformats.org/officeDocument/2006/relationships/hyperlink" Target="https://x.com/FutureHori56378" TargetMode="External" Id="rId1285" /><Relationship Type="http://schemas.openxmlformats.org/officeDocument/2006/relationships/hyperlink" Target="https://www.linkedin.com/company/future-horizons-education/?viewAsMember=true" TargetMode="External" Id="rId1286" /><Relationship Type="http://schemas.openxmlformats.org/officeDocument/2006/relationships/hyperlink" Target="https://drive.google.com/uc?export=view&amp;id=1bUPEk2zZot9Phg5yrvJ3mCyBwZOZoSEb" TargetMode="External" Id="rId1287" /><Relationship Type="http://schemas.openxmlformats.org/officeDocument/2006/relationships/hyperlink" Target="http://www.sentiraxr.com/" TargetMode="External" Id="rId1288" /><Relationship Type="http://schemas.openxmlformats.org/officeDocument/2006/relationships/hyperlink" Target="https://x.com/SentiraXR" TargetMode="External" Id="rId1289" /><Relationship Type="http://schemas.openxmlformats.org/officeDocument/2006/relationships/hyperlink" Target="https://www.linkedin.com/company/sentira-xr/" TargetMode="External" Id="rId1290" /><Relationship Type="http://schemas.openxmlformats.org/officeDocument/2006/relationships/hyperlink" Target="https://drive.google.com/uc?export=view&amp;id=1bVRbQFiresO2WZ4OysIzVcZFULkiTvrZ" TargetMode="External" Id="rId1291" /><Relationship Type="http://schemas.openxmlformats.org/officeDocument/2006/relationships/hyperlink" Target="https://braincore.swiss/en/" TargetMode="External" Id="rId1292" /><Relationship Type="http://schemas.openxmlformats.org/officeDocument/2006/relationships/hyperlink" Target="https://www.linkedin.com/company/braincore" TargetMode="External" Id="rId1293" /><Relationship Type="http://schemas.openxmlformats.org/officeDocument/2006/relationships/hyperlink" Target="https://drive.google.com/uc?export=view&amp;id=1NusC2PGeYj-w8E-YQ20NrDz0CNjBasyi" TargetMode="External" Id="rId1294" /><Relationship Type="http://schemas.openxmlformats.org/officeDocument/2006/relationships/hyperlink" Target="http://www.peek.app/" TargetMode="External" Id="rId1295" /><Relationship Type="http://schemas.openxmlformats.org/officeDocument/2006/relationships/hyperlink" Target="https://www.linkedin.com/company/67243846" TargetMode="External" Id="rId1296" /><Relationship Type="http://schemas.openxmlformats.org/officeDocument/2006/relationships/hyperlink" Target="https://drive.google.com/uc?export=view&amp;id=1y5UIFYXs4VpmnXEWjQpJLP-JYsoU_O43" TargetMode="External" Id="rId1297" /><Relationship Type="http://schemas.openxmlformats.org/officeDocument/2006/relationships/hyperlink" Target="https://chattutor.io/" TargetMode="External" Id="rId1298" /><Relationship Type="http://schemas.openxmlformats.org/officeDocument/2006/relationships/hyperlink" Target="https://drive.google.com/uc?export=view&amp;id=1xmTXbr2Jqt8Aeq-guApVl_WfW_6NtKyO" TargetMode="External" Id="rId1299" /><Relationship Type="http://schemas.openxmlformats.org/officeDocument/2006/relationships/hyperlink" Target="http://www.jetlearn.com/" TargetMode="External" Id="rId1300" /><Relationship Type="http://schemas.openxmlformats.org/officeDocument/2006/relationships/hyperlink" Target="https://www.linkedin.com/company/jet-learn" TargetMode="External" Id="rId1301" /><Relationship Type="http://schemas.openxmlformats.org/officeDocument/2006/relationships/hyperlink" Target="https://drive.google.com/uc?export=view&amp;id=1u--uHxIjbQgF02WtElFk3ViF4HuWMSIa" TargetMode="External" Id="rId1302" /><Relationship Type="http://schemas.openxmlformats.org/officeDocument/2006/relationships/hyperlink" Target="https://automated.education/" TargetMode="External" Id="rId1303" /><Relationship Type="http://schemas.openxmlformats.org/officeDocument/2006/relationships/hyperlink" Target="https://www.instagram.com/automated.education/" TargetMode="External" Id="rId1304" /><Relationship Type="http://schemas.openxmlformats.org/officeDocument/2006/relationships/hyperlink" Target="https://www.linkedin.com/company/102511543/" TargetMode="External" Id="rId1305" /><Relationship Type="http://schemas.openxmlformats.org/officeDocument/2006/relationships/hyperlink" Target="https://drive.google.com/uc?export=view&amp;id=1NDVO3PpnqAdmtHlJndyfeKhCzAZkLTG3" TargetMode="External" Id="rId1306" /><Relationship Type="http://schemas.openxmlformats.org/officeDocument/2006/relationships/hyperlink" Target="https://gamsplatform.com/" TargetMode="External" Id="rId1307" /><Relationship Type="http://schemas.openxmlformats.org/officeDocument/2006/relationships/hyperlink" Target="https://www.instagram.com/gamsplatform" TargetMode="External" Id="rId1308" /><Relationship Type="http://schemas.openxmlformats.org/officeDocument/2006/relationships/hyperlink" Target="https://www.linkedin.com/company/gamsplatform/" TargetMode="External" Id="rId1309" /><Relationship Type="http://schemas.openxmlformats.org/officeDocument/2006/relationships/hyperlink" Target="https://drive.google.com/uc?export=view&amp;id=1i1-mMnEgGLU3pXOkVVLruKtD8j2x6nxl" TargetMode="External" Id="rId1310" /><Relationship Type="http://schemas.openxmlformats.org/officeDocument/2006/relationships/hyperlink" Target="https://hihaho.com/" TargetMode="External" Id="rId1311" /><Relationship Type="http://schemas.openxmlformats.org/officeDocument/2006/relationships/hyperlink" Target="https://www.linkedin.com/company/hihaho/mycompany/" TargetMode="External" Id="rId1312" /><Relationship Type="http://schemas.openxmlformats.org/officeDocument/2006/relationships/hyperlink" Target="https://drive.google.com/uc?export=view&amp;id=1xZJOt-CBkTwrccfTksl4xvGr3-IUGkRq" TargetMode="External" Id="rId1313" /><Relationship Type="http://schemas.openxmlformats.org/officeDocument/2006/relationships/hyperlink" Target="http://www.brightgame.com/" TargetMode="External" Id="rId1314" /><Relationship Type="http://schemas.openxmlformats.org/officeDocument/2006/relationships/hyperlink" Target="https://www.linkedin.com/company/skillsplay-ltd/" TargetMode="External" Id="rId1315" /><Relationship Type="http://schemas.openxmlformats.org/officeDocument/2006/relationships/hyperlink" Target="https://drive.google.com/uc?export=view&amp;id=1_2paPPiy2gOHouf52PfmtDL5txb3SPJy" TargetMode="External" Id="rId1316" /><Relationship Type="http://schemas.openxmlformats.org/officeDocument/2006/relationships/hyperlink" Target="http://www.dibs-school.com/" TargetMode="External" Id="rId1317" /><Relationship Type="http://schemas.openxmlformats.org/officeDocument/2006/relationships/hyperlink" Target="https://drive.google.com/uc?export=view&amp;id=1enyRbrKQ8mYyOnjJnl_hm6APAsdZEP_s" TargetMode="External" Id="rId1318" /><Relationship Type="http://schemas.openxmlformats.org/officeDocument/2006/relationships/hyperlink" Target="https://eddilake.de/" TargetMode="External" Id="rId1319" /><Relationship Type="http://schemas.openxmlformats.org/officeDocument/2006/relationships/hyperlink" Target="https://www.linkedin.com/company/eddilake" TargetMode="External" Id="rId1320" /><Relationship Type="http://schemas.openxmlformats.org/officeDocument/2006/relationships/hyperlink" Target="https://drive.google.com/uc?export=view&amp;id=1VqLlUTJ3BACoceEolhBv7YdBOm9zNDiq" TargetMode="External" Id="rId1321" /><Relationship Type="http://schemas.openxmlformats.org/officeDocument/2006/relationships/hyperlink" Target="http://brainbite.ai/" TargetMode="External" Id="rId1322" /><Relationship Type="http://schemas.openxmlformats.org/officeDocument/2006/relationships/hyperlink" Target="http://www.brainbite.ai/" TargetMode="External" Id="rId1323" /><Relationship Type="http://schemas.openxmlformats.org/officeDocument/2006/relationships/hyperlink" Target="https://www.instagram.com/brainbiteai/" TargetMode="External" Id="rId1324" /><Relationship Type="http://schemas.openxmlformats.org/officeDocument/2006/relationships/hyperlink" Target="https://www.linkedin.com/company/brainbite/about/" TargetMode="External" Id="rId1325" /><Relationship Type="http://schemas.openxmlformats.org/officeDocument/2006/relationships/hyperlink" Target="http://brainbite.ai/" TargetMode="External" Id="rId1326" /><Relationship Type="http://schemas.openxmlformats.org/officeDocument/2006/relationships/hyperlink" Target="https://drive.google.com/uc?export=view&amp;id=18mp-kr9smhowzLVPVFN12YfYsfzs5ux6" TargetMode="External" Id="rId1327" /><Relationship Type="http://schemas.openxmlformats.org/officeDocument/2006/relationships/hyperlink" Target="http://www.solion.it/" TargetMode="External" Id="rId1328" /><Relationship Type="http://schemas.openxmlformats.org/officeDocument/2006/relationships/hyperlink" Target="https://www.instagram.com/solion.it/" TargetMode="External" Id="rId1329" /><Relationship Type="http://schemas.openxmlformats.org/officeDocument/2006/relationships/hyperlink" Target="https://www.linkedin.com/company/solion/?viewAsMember=true" TargetMode="External" Id="rId1330" /><Relationship Type="http://schemas.openxmlformats.org/officeDocument/2006/relationships/hyperlink" Target="https://drive.google.com/uc?export=view&amp;id=1tAWEyGEvnqjBEa0joButTPJgr3EYYg6d" TargetMode="External" Id="rId1331" /><Relationship Type="http://schemas.openxmlformats.org/officeDocument/2006/relationships/hyperlink" Target="http://classofwonders.com/" TargetMode="External" Id="rId1332" /><Relationship Type="http://schemas.openxmlformats.org/officeDocument/2006/relationships/hyperlink" Target="https://www.linkedin.com/company/class-of-wonders/" TargetMode="External" Id="rId1333" /><Relationship Type="http://schemas.openxmlformats.org/officeDocument/2006/relationships/hyperlink" Target="https://drive.google.com/uc?export=view&amp;id=1VeNfrgrFYc7vecE8BTymFzLiDZH3nAal" TargetMode="External" Id="rId1334" /><Relationship Type="http://schemas.openxmlformats.org/officeDocument/2006/relationships/hyperlink" Target="https://learnosity.com/" TargetMode="External" Id="rId1335" /><Relationship Type="http://schemas.openxmlformats.org/officeDocument/2006/relationships/hyperlink" Target="https://twitter.com/learnosity?ref_src=twsrc%5Egoogle%7Ctwcamp%5Eserp%7Ctwgr%5Eauthor" TargetMode="External" Id="rId1336" /><Relationship Type="http://schemas.openxmlformats.org/officeDocument/2006/relationships/hyperlink" Target="https://ie.linkedin.com/company/learnosity" TargetMode="External" Id="rId1337" /><Relationship Type="http://schemas.openxmlformats.org/officeDocument/2006/relationships/hyperlink" Target="https://drive.google.com/uc?export=view&amp;id=1mYockqmBTtzVjrtxlrfRnwHCO7QEV1P1" TargetMode="External" Id="rId1338" /><Relationship Type="http://schemas.openxmlformats.org/officeDocument/2006/relationships/hyperlink" Target="http://www.skill-full.com/" TargetMode="External" Id="rId1339" /><Relationship Type="http://schemas.openxmlformats.org/officeDocument/2006/relationships/hyperlink" Target="https://www.linkedin.com/company/skillfull-serious-games" TargetMode="External" Id="rId1340" /><Relationship Type="http://schemas.openxmlformats.org/officeDocument/2006/relationships/hyperlink" Target="https://drive.google.com/uc?export=view&amp;id=1El6Sa0FxfPnluinRA8dH8A56fpEL6rPE" TargetMode="External" Id="rId1341" /><Relationship Type="http://schemas.openxmlformats.org/officeDocument/2006/relationships/hyperlink" Target="https://careerfit.com/" TargetMode="External" Id="rId1342" /><Relationship Type="http://schemas.openxmlformats.org/officeDocument/2006/relationships/hyperlink" Target="https://instagram.com/careerfitcom" TargetMode="External" Id="rId1343" /><Relationship Type="http://schemas.openxmlformats.org/officeDocument/2006/relationships/hyperlink" Target="https://www.linkedin.com/company/careerfitcom" TargetMode="External" Id="rId1344" /><Relationship Type="http://schemas.openxmlformats.org/officeDocument/2006/relationships/hyperlink" Target="https://drive.google.com/uc?export=view&amp;id=1Um1Wg56X6JSN2xa0swgBcQolyG9SpW6K" TargetMode="External" Id="rId1345" /><Relationship Type="http://schemas.openxmlformats.org/officeDocument/2006/relationships/hyperlink" Target="http://www.galvia.ai/" TargetMode="External" Id="rId1346" /><Relationship Type="http://schemas.openxmlformats.org/officeDocument/2006/relationships/hyperlink" Target="https://twitter.com/GalviaAI" TargetMode="External" Id="rId1347" /><Relationship Type="http://schemas.openxmlformats.org/officeDocument/2006/relationships/hyperlink" Target="https://www.linkedin.com/company/galviaai/?viewAsMember=true" TargetMode="External" Id="rId1348" /><Relationship Type="http://schemas.openxmlformats.org/officeDocument/2006/relationships/hyperlink" Target="https://drive.google.com/uc?export=view&amp;id=1CU6lOzb65kBDTxNZkpgJsa_ES6MqPFhi" TargetMode="External" Id="rId1349" /><Relationship Type="http://schemas.openxmlformats.org/officeDocument/2006/relationships/hyperlink" Target="https://graasp.org/" TargetMode="External" Id="rId1350" /><Relationship Type="http://schemas.openxmlformats.org/officeDocument/2006/relationships/hyperlink" Target="https://twitter.com/graasp" TargetMode="External" Id="rId1351" /><Relationship Type="http://schemas.openxmlformats.org/officeDocument/2006/relationships/hyperlink" Target="https://www.linkedin.com/company/graasp/" TargetMode="External" Id="rId1352" /><Relationship Type="http://schemas.openxmlformats.org/officeDocument/2006/relationships/hyperlink" Target="https://drive.google.com/uc?export=view&amp;id=1LI1SxQPy-ypu3ewip_D7N0MozzZGR-DB" TargetMode="External" Id="rId1353" /><Relationship Type="http://schemas.openxmlformats.org/officeDocument/2006/relationships/hyperlink" Target="https://www.betterexaminations.com/" TargetMode="External" Id="rId1354" /><Relationship Type="http://schemas.openxmlformats.org/officeDocument/2006/relationships/hyperlink" Target="https://www.linkedin.com/company/betterexaminations/" TargetMode="External" Id="rId1355" /><Relationship Type="http://schemas.openxmlformats.org/officeDocument/2006/relationships/hyperlink" Target="https://drive.google.com/uc?export=view&amp;id=1bI7kDflBEy6QOZrE7cyHsVTRc9jTFU1r" TargetMode="External" Id="rId1356" /><Relationship Type="http://schemas.openxmlformats.org/officeDocument/2006/relationships/hyperlink" Target="https://www.bluetea.eu/" TargetMode="External" Id="rId1357" /><Relationship Type="http://schemas.openxmlformats.org/officeDocument/2006/relationships/hyperlink" Target="https://www.linkedin.com/company/bluetea" TargetMode="External" Id="rId1358" /><Relationship Type="http://schemas.openxmlformats.org/officeDocument/2006/relationships/hyperlink" Target="https://drive.google.com/uc?export=view&amp;id=1rdp8qIMwEmiSJPy8eYMerHQbtg6nXs2u" TargetMode="External" Id="rId1359" /><Relationship Type="http://schemas.openxmlformats.org/officeDocument/2006/relationships/hyperlink" Target="https://www.anywyse.nl/" TargetMode="External" Id="rId1360" /><Relationship Type="http://schemas.openxmlformats.org/officeDocument/2006/relationships/hyperlink" Target="https://www.bodyscratch.academy/index.html" TargetMode="External" Id="rId1361" /><Relationship Type="http://schemas.openxmlformats.org/officeDocument/2006/relationships/hyperlink" Target="https://www.booqio.com/" TargetMode="External" Id="rId1362" /><Relationship Type="http://schemas.openxmlformats.org/officeDocument/2006/relationships/hyperlink" Target="https://cma-science.nl/home-2" TargetMode="External" Id="rId1363" /><Relationship Type="http://schemas.openxmlformats.org/officeDocument/2006/relationships/hyperlink" Target="https://edutrainers.com/" TargetMode="External" Id="rId1364" /><Relationship Type="http://schemas.openxmlformats.org/officeDocument/2006/relationships/hyperlink" Target="http://instagram.com/edutrainersbv/" TargetMode="External" Id="rId1365" /><Relationship Type="http://schemas.openxmlformats.org/officeDocument/2006/relationships/hyperlink" Target="https://twitter.com/EdutrainersNL" TargetMode="External" Id="rId1366" /><Relationship Type="http://schemas.openxmlformats.org/officeDocument/2006/relationships/hyperlink" Target="https://www.linkedin.com/company/edutrainers/" TargetMode="External" Id="rId1367" /><Relationship Type="http://schemas.openxmlformats.org/officeDocument/2006/relationships/hyperlink" Target="https://drive.google.com/uc?export=view&amp;id=1e8jVCYWfoIxgUMSb6NsmNqwTpnMvWc32" TargetMode="External" Id="rId1368" /><Relationship Type="http://schemas.openxmlformats.org/officeDocument/2006/relationships/hyperlink" Target="https://www.holofil.com/" TargetMode="External" Id="rId1369" /><Relationship Type="http://schemas.openxmlformats.org/officeDocument/2006/relationships/hyperlink" Target="http://www.instagram.com/holofil3d" TargetMode="External" Id="rId1370" /><Relationship Type="http://schemas.openxmlformats.org/officeDocument/2006/relationships/hyperlink" Target="http://www.twitter.com/holofil3D" TargetMode="External" Id="rId1371" /><Relationship Type="http://schemas.openxmlformats.org/officeDocument/2006/relationships/hyperlink" Target="https://www.linkedin.com/company/holofil/about/" TargetMode="External" Id="rId1372" /><Relationship Type="http://schemas.openxmlformats.org/officeDocument/2006/relationships/hyperlink" Target="https://drive.google.com/uc?export=view&amp;id=15sjM993yT_E9xKLYxRUi-1GWoqj-Ovx1" TargetMode="External" Id="rId1373" /><Relationship Type="http://schemas.openxmlformats.org/officeDocument/2006/relationships/hyperlink" Target="https://www.komensky.nl/" TargetMode="External" Id="rId1374" /><Relationship Type="http://schemas.openxmlformats.org/officeDocument/2006/relationships/hyperlink" Target="https://www.linkedin.com/company/komensky/" TargetMode="External" Id="rId1375" /><Relationship Type="http://schemas.openxmlformats.org/officeDocument/2006/relationships/hyperlink" Target="https://drive.google.com/uc?export=view&amp;id=1AhM_ClYPoOOB0uvkGFUfvE9k6xMxyS1M" TargetMode="External" Id="rId1376" /><Relationship Type="http://schemas.openxmlformats.org/officeDocument/2006/relationships/hyperlink" Target="https://www.liveryvideo.com/" TargetMode="External" Id="rId1377" /><Relationship Type="http://schemas.openxmlformats.org/officeDocument/2006/relationships/hyperlink" Target="https://www.myndr.nl/" TargetMode="External" Id="rId1378" /><Relationship Type="http://schemas.openxmlformats.org/officeDocument/2006/relationships/hyperlink" Target="https://pluvo.co/" TargetMode="External" Id="rId1379" /><Relationship Type="http://schemas.openxmlformats.org/officeDocument/2006/relationships/hyperlink" Target="https://www.instagram.com/pluvo.nl/" TargetMode="External" Id="rId1380" /><Relationship Type="http://schemas.openxmlformats.org/officeDocument/2006/relationships/hyperlink" Target="https://www.linkedin.com/company/pluvo" TargetMode="External" Id="rId1381" /><Relationship Type="http://schemas.openxmlformats.org/officeDocument/2006/relationships/hyperlink" Target="https://drive.google.com/uc?export=view&amp;id=1UwTw09s7ZTNN09abWtWDyeiUx6KR_sOl" TargetMode="External" Id="rId1382" /><Relationship Type="http://schemas.openxmlformats.org/officeDocument/2006/relationships/hyperlink" Target="https://rakoo.com/" TargetMode="External" Id="rId1383" /><Relationship Type="http://schemas.openxmlformats.org/officeDocument/2006/relationships/hyperlink" Target="https://www.instagram.com/workingatrakoo/" TargetMode="External" Id="rId1384" /><Relationship Type="http://schemas.openxmlformats.org/officeDocument/2006/relationships/hyperlink" Target="https://twitter.com/rakoocom" TargetMode="External" Id="rId1385" /><Relationship Type="http://schemas.openxmlformats.org/officeDocument/2006/relationships/hyperlink" Target="https://www.linkedin.com/company/rakoo" TargetMode="External" Id="rId1386" /><Relationship Type="http://schemas.openxmlformats.org/officeDocument/2006/relationships/hyperlink" Target="https://drive.google.com/uc?export=view&amp;id=1_swJ2f7Of4znvxpsxNXnAK5eTaCGtt7j" TargetMode="External" Id="rId1387" /><Relationship Type="http://schemas.openxmlformats.org/officeDocument/2006/relationships/hyperlink" Target="http://revise.ly/" TargetMode="External" Id="rId1388" /><Relationship Type="http://schemas.openxmlformats.org/officeDocument/2006/relationships/hyperlink" Target="https://www.linkedin.com/company/revisely" TargetMode="External" Id="rId1389" /><Relationship Type="http://schemas.openxmlformats.org/officeDocument/2006/relationships/hyperlink" Target="https://drive.google.com/uc?export=view&amp;id=1qVeM1C7spVg_DT4zpEGi5L8FlVsageFu" TargetMode="External" Id="rId1390" /><Relationship Type="http://schemas.openxmlformats.org/officeDocument/2006/relationships/hyperlink" Target="https://wrts.nl/homepage" TargetMode="External" Id="rId1391" /><Relationship Type="http://schemas.openxmlformats.org/officeDocument/2006/relationships/hyperlink" Target="http://voordeklas.com/" TargetMode="External" Id="rId1392" /><Relationship Type="http://schemas.openxmlformats.org/officeDocument/2006/relationships/hyperlink" Target="https://instagram.com/voordeklas" TargetMode="External" Id="rId1393" /><Relationship Type="http://schemas.openxmlformats.org/officeDocument/2006/relationships/hyperlink" Target="https://drive.google.com/uc?export=view&amp;id=1AaEX-1idixIzvDbxGQPjUqQjkwM0IykB" TargetMode="External" Id="rId1394" /><Relationship Type="http://schemas.openxmlformats.org/officeDocument/2006/relationships/hyperlink" Target="https://vrnederland.nl/" TargetMode="External" Id="rId1395" /><Relationship Type="http://schemas.openxmlformats.org/officeDocument/2006/relationships/hyperlink" Target="https://youngcoders.nl/" TargetMode="External" Id="rId1396" /><Relationship Type="http://schemas.openxmlformats.org/officeDocument/2006/relationships/hyperlink" Target="https://www.linkedin.com/company/youngcoders" TargetMode="External" Id="rId1397" /><Relationship Type="http://schemas.openxmlformats.org/officeDocument/2006/relationships/hyperlink" Target="https://drive.google.com/uc?export=view&amp;id=19Te_Ug2MjPmWAFGQfKj9uADqhSxc0zp4" TargetMode="External" Id="rId1398" /><Relationship Type="http://schemas.openxmlformats.org/officeDocument/2006/relationships/hyperlink" Target="https://escritoriodeeinstein.com/" TargetMode="External" Id="rId1399" /><Relationship Type="http://schemas.openxmlformats.org/officeDocument/2006/relationships/hyperlink" Target="https://www.instagram.com/escritoriodeeinstein/" TargetMode="External" Id="rId1400" /><Relationship Type="http://schemas.openxmlformats.org/officeDocument/2006/relationships/hyperlink" Target="https://www.linkedin.com/company/elescritoriodeeinstein" TargetMode="External" Id="rId1401" /><Relationship Type="http://schemas.openxmlformats.org/officeDocument/2006/relationships/hyperlink" Target="https://drive.google.com/uc?export=view&amp;id=1JZPvT7sKx3iJanbBRUE4Bgan0SqcaWsp" TargetMode="External" Id="rId1402" /><Relationship Type="http://schemas.openxmlformats.org/officeDocument/2006/relationships/hyperlink" Target="http://www.escuelasvisuales.com/" TargetMode="External" Id="rId1403" /><Relationship Type="http://schemas.openxmlformats.org/officeDocument/2006/relationships/hyperlink" Target="https://drive.google.com/uc?export=view&amp;id=1HDwuXEvEurOey4O4ddUewnLkluViiI8V" TargetMode="External" Id="rId1404" /><Relationship Type="http://schemas.openxmlformats.org/officeDocument/2006/relationships/hyperlink" Target="https://www.foxize.com/en/" TargetMode="External" Id="rId1405" /><Relationship Type="http://schemas.openxmlformats.org/officeDocument/2006/relationships/hyperlink" Target="https://twitter.com/foxize" TargetMode="External" Id="rId1406" /><Relationship Type="http://schemas.openxmlformats.org/officeDocument/2006/relationships/hyperlink" Target="https://www.linkedin.com/company/foxize-school" TargetMode="External" Id="rId1407" /><Relationship Type="http://schemas.openxmlformats.org/officeDocument/2006/relationships/hyperlink" Target="https://drive.google.com/uc?export=view&amp;id=1xBbeclGTrARFLeDzyPo2Cxmjn9THMK68" TargetMode="External" Id="rId1408" /><Relationship Type="http://schemas.openxmlformats.org/officeDocument/2006/relationships/hyperlink" Target="https://greatlittlepeople.com/" TargetMode="External" Id="rId1409" /><Relationship Type="http://schemas.openxmlformats.org/officeDocument/2006/relationships/hyperlink" Target="https://www.instagram.com/great_little_people/?hl=es" TargetMode="External" Id="rId1410" /><Relationship Type="http://schemas.openxmlformats.org/officeDocument/2006/relationships/hyperlink" Target="https://www.linkedin.com/company/14058095/admin/feed/posts/" TargetMode="External" Id="rId1411" /><Relationship Type="http://schemas.openxmlformats.org/officeDocument/2006/relationships/hyperlink" Target="https://drive.google.com/uc?export=view&amp;id=1oD5JNu59mqjNTbM4Sz7KQpnao1m9UQzI" TargetMode="External" Id="rId1412" /><Relationship Type="http://schemas.openxmlformats.org/officeDocument/2006/relationships/hyperlink" Target="http://ilike.education/" TargetMode="External" Id="rId1413" /><Relationship Type="http://schemas.openxmlformats.org/officeDocument/2006/relationships/hyperlink" Target="https://www.linkedin.com/company/67935195" TargetMode="External" Id="rId1414" /><Relationship Type="http://schemas.openxmlformats.org/officeDocument/2006/relationships/hyperlink" Target="https://drive.google.com/uc?export=view&amp;id=1mjgpr3RTHqf6DFg96VqeXUO9XXJrdE3F" TargetMode="External" Id="rId1415" /><Relationship Type="http://schemas.openxmlformats.org/officeDocument/2006/relationships/hyperlink" Target="http://www.pupil.ch/" TargetMode="External" Id="rId1416" /><Relationship Type="http://schemas.openxmlformats.org/officeDocument/2006/relationships/hyperlink" Target="https://www.linkedin.com/company/pupil-ag" TargetMode="External" Id="rId1417" /><Relationship Type="http://schemas.openxmlformats.org/officeDocument/2006/relationships/hyperlink" Target="https://drive.google.com/uc?export=view&amp;id=1IFrfUvM7vAdtoZSg7mL-aqelyVeVyDd4" TargetMode="External" Id="rId1418" /><Relationship Type="http://schemas.openxmlformats.org/officeDocument/2006/relationships/hyperlink" Target="https://escuelaturisteach.com/" TargetMode="External" Id="rId1419" /><Relationship Type="http://schemas.openxmlformats.org/officeDocument/2006/relationships/hyperlink" Target="https://www.instagram.com/turisteach/?hl=es" TargetMode="External" Id="rId1420" /><Relationship Type="http://schemas.openxmlformats.org/officeDocument/2006/relationships/hyperlink" Target="https://www.linkedin.com/company/89635760" TargetMode="External" Id="rId1421" /><Relationship Type="http://schemas.openxmlformats.org/officeDocument/2006/relationships/hyperlink" Target="https://drive.google.com/uc?export=view&amp;id=1xa19r25apnM60W3YqUo7D5lppSAJr52K" TargetMode="External" Id="rId1422" /><Relationship Type="http://schemas.openxmlformats.org/officeDocument/2006/relationships/hyperlink" Target="https://4geeksacademy.com/" TargetMode="External" Id="rId1423" /><Relationship Type="http://schemas.openxmlformats.org/officeDocument/2006/relationships/hyperlink" Target="https://instagram.com/4geeksacademyes" TargetMode="External" Id="rId1424" /><Relationship Type="http://schemas.openxmlformats.org/officeDocument/2006/relationships/hyperlink" Target="https://twitter.com/4geeksacademyes" TargetMode="External" Id="rId1425" /><Relationship Type="http://schemas.openxmlformats.org/officeDocument/2006/relationships/hyperlink" Target="https://www.linkedin.com/school/4geeksacademyes/" TargetMode="External" Id="rId1426" /><Relationship Type="http://schemas.openxmlformats.org/officeDocument/2006/relationships/hyperlink" Target="https://drive.google.com/uc?export=view&amp;id=1hGryxjgZt9uqi7LuGcqPN-pZ1p2HryvD" TargetMode="External" Id="rId1427" /><Relationship Type="http://schemas.openxmlformats.org/officeDocument/2006/relationships/hyperlink" Target="https://b-resol.com/" TargetMode="External" Id="rId1428" /><Relationship Type="http://schemas.openxmlformats.org/officeDocument/2006/relationships/hyperlink" Target="https://www.instagram.com/bresolapp/" TargetMode="External" Id="rId1429" /><Relationship Type="http://schemas.openxmlformats.org/officeDocument/2006/relationships/hyperlink" Target="https://twitter.com/b_resol" TargetMode="External" Id="rId1430" /><Relationship Type="http://schemas.openxmlformats.org/officeDocument/2006/relationships/hyperlink" Target="https://es.linkedin.com/company/bcnresol" TargetMode="External" Id="rId1431" /><Relationship Type="http://schemas.openxmlformats.org/officeDocument/2006/relationships/hyperlink" Target="https://drive.google.com/uc?export=view&amp;id=1Y61TtKbIPV4GDR23GBqRwFWTJX0GyqvT" TargetMode="External" Id="rId1432" /><Relationship Type="http://schemas.openxmlformats.org/officeDocument/2006/relationships/hyperlink" Target="http://drumap.com/" TargetMode="External" Id="rId1433" /><Relationship Type="http://schemas.openxmlformats.org/officeDocument/2006/relationships/hyperlink" Target="https://www.instagram.com/drumap.studio/" TargetMode="External" Id="rId1434" /><Relationship Type="http://schemas.openxmlformats.org/officeDocument/2006/relationships/hyperlink" Target="https://www.linkedin.com/company/drumap" TargetMode="External" Id="rId1435" /><Relationship Type="http://schemas.openxmlformats.org/officeDocument/2006/relationships/hyperlink" Target="https://drive.google.com/uc?export=view&amp;id=1PjXf55T1qC6TOgPwumYrMwTYH7I35YlX" TargetMode="External" Id="rId1436" /><Relationship Type="http://schemas.openxmlformats.org/officeDocument/2006/relationships/hyperlink" Target="http://www.elingua.es/" TargetMode="External" Id="rId1437" /><Relationship Type="http://schemas.openxmlformats.org/officeDocument/2006/relationships/hyperlink" Target="https://www.instagram.com/elingua.es/" TargetMode="External" Id="rId1438" /><Relationship Type="http://schemas.openxmlformats.org/officeDocument/2006/relationships/hyperlink" Target="https://twitter.com/Elingua_app" TargetMode="External" Id="rId1439" /><Relationship Type="http://schemas.openxmlformats.org/officeDocument/2006/relationships/hyperlink" Target="https://www.linkedin.com/company/elingua-s.l./" TargetMode="External" Id="rId1440" /><Relationship Type="http://schemas.openxmlformats.org/officeDocument/2006/relationships/hyperlink" Target="https://drive.google.com/uc?export=view&amp;id=1TG56jM5jxE3P0HfbcQD5i80U1wHukWkU" TargetMode="External" Id="rId1441" /><Relationship Type="http://schemas.openxmlformats.org/officeDocument/2006/relationships/hyperlink" Target="https://geekshubsacademy.com/" TargetMode="External" Id="rId1442" /><Relationship Type="http://schemas.openxmlformats.org/officeDocument/2006/relationships/hyperlink" Target="https://www.instagram.com/geekshubs/" TargetMode="External" Id="rId1443" /><Relationship Type="http://schemas.openxmlformats.org/officeDocument/2006/relationships/hyperlink" Target="https://twitter.com/geeks_academy" TargetMode="External" Id="rId1444" /><Relationship Type="http://schemas.openxmlformats.org/officeDocument/2006/relationships/hyperlink" Target="https://www.linkedin.com/school/35548299/admin/feed/posts/" TargetMode="External" Id="rId1445" /><Relationship Type="http://schemas.openxmlformats.org/officeDocument/2006/relationships/hyperlink" Target="https://drive.google.com/uc?export=view&amp;id=18OdKsEPLZ2VYqP8-Vz9TD0gVWv0QbZoH" TargetMode="External" Id="rId1446" /><Relationship Type="http://schemas.openxmlformats.org/officeDocument/2006/relationships/hyperlink" Target="http://www.idiena.com/" TargetMode="External" Id="rId1447" /><Relationship Type="http://schemas.openxmlformats.org/officeDocument/2006/relationships/hyperlink" Target="https://www.linkedin.com/company/56442841/admin/feed/posts/" TargetMode="External" Id="rId1448" /><Relationship Type="http://schemas.openxmlformats.org/officeDocument/2006/relationships/hyperlink" Target="https://drive.google.com/uc?export=view&amp;id=1BXffqO8j52qEsqy_o80C1hvqex1Y7Q2q" TargetMode="External" Id="rId1449" /><Relationship Type="http://schemas.openxmlformats.org/officeDocument/2006/relationships/hyperlink" Target="https://www.langoo.io/" TargetMode="External" Id="rId1450" /><Relationship Type="http://schemas.openxmlformats.org/officeDocument/2006/relationships/hyperlink" Target="https://www.instagram.com/langoo.io/" TargetMode="External" Id="rId1451" /><Relationship Type="http://schemas.openxmlformats.org/officeDocument/2006/relationships/hyperlink" Target="https://twitter.com/LANGOO_IO" TargetMode="External" Id="rId1452" /><Relationship Type="http://schemas.openxmlformats.org/officeDocument/2006/relationships/hyperlink" Target="https://www.linkedin.com/company/langoo-io/" TargetMode="External" Id="rId1453" /><Relationship Type="http://schemas.openxmlformats.org/officeDocument/2006/relationships/hyperlink" Target="https://drive.google.com/uc?export=view&amp;id=10q8XPSHmU3p6i7Ku7aiY60Y7YfbULt7N" TargetMode="External" Id="rId1454" /><Relationship Type="http://schemas.openxmlformats.org/officeDocument/2006/relationships/hyperlink" Target="https://makeandlearn.cat/" TargetMode="External" Id="rId1455" /><Relationship Type="http://schemas.openxmlformats.org/officeDocument/2006/relationships/hyperlink" Target="http://instagram.com/make_and_learn/" TargetMode="External" Id="rId1456" /><Relationship Type="http://schemas.openxmlformats.org/officeDocument/2006/relationships/hyperlink" Target="http://twitter.com/Make_and_Learn" TargetMode="External" Id="rId1457" /><Relationship Type="http://schemas.openxmlformats.org/officeDocument/2006/relationships/hyperlink" Target="http://linkedin.com/company/make-and-learn" TargetMode="External" Id="rId1458" /><Relationship Type="http://schemas.openxmlformats.org/officeDocument/2006/relationships/hyperlink" Target="https://drive.google.com/uc?export=view&amp;id=1U2HDTqjuHfAaGm5ID2OpIxYPoaZZwH69" TargetMode="External" Id="rId1459" /><Relationship Type="http://schemas.openxmlformats.org/officeDocument/2006/relationships/hyperlink" Target="http://www.musescenelab.com/" TargetMode="External" Id="rId1460" /><Relationship Type="http://schemas.openxmlformats.org/officeDocument/2006/relationships/hyperlink" Target="https://www.instagram.com/musescenelab/" TargetMode="External" Id="rId1461" /><Relationship Type="http://schemas.openxmlformats.org/officeDocument/2006/relationships/hyperlink" Target="https://twitter.com/musescenelab" TargetMode="External" Id="rId1462" /><Relationship Type="http://schemas.openxmlformats.org/officeDocument/2006/relationships/hyperlink" Target="https://www.linkedin.com/company/81293308/admin/feed/posts/" TargetMode="External" Id="rId1463" /><Relationship Type="http://schemas.openxmlformats.org/officeDocument/2006/relationships/hyperlink" Target="https://drive.google.com/uc?export=view&amp;id=1qRgejgwovd5_q2cG3YEAZtDv45usPU7n" TargetMode="External" Id="rId1464" /><Relationship Type="http://schemas.openxmlformats.org/officeDocument/2006/relationships/hyperlink" Target="https://www.studi.com/fr" TargetMode="External" Id="rId1465" /><Relationship Type="http://schemas.openxmlformats.org/officeDocument/2006/relationships/hyperlink" Target="https://www.instagram.com/ecole_studi" TargetMode="External" Id="rId1466" /><Relationship Type="http://schemas.openxmlformats.org/officeDocument/2006/relationships/hyperlink" Target="https://twitter.com/ecolestudi" TargetMode="External" Id="rId1467" /><Relationship Type="http://schemas.openxmlformats.org/officeDocument/2006/relationships/hyperlink" Target="https://www.linkedin.com/school/studi-digital-education/" TargetMode="External" Id="rId1468" /><Relationship Type="http://schemas.openxmlformats.org/officeDocument/2006/relationships/hyperlink" Target="https://drive.google.com/uc?export=view&amp;id=1NCla_8DERnRsgd7_FAaJLTZhPFEH9Eu1" TargetMode="External" Id="rId1469" /><Relationship Type="http://schemas.openxmlformats.org/officeDocument/2006/relationships/hyperlink" Target="http://www.itn.co.uk/education" TargetMode="External" Id="rId1470" /><Relationship Type="http://schemas.openxmlformats.org/officeDocument/2006/relationships/hyperlink" Target="https://www.linkedin.com/showcase/itnedu/?viewAsMember=true" TargetMode="External" Id="rId1471" /><Relationship Type="http://schemas.openxmlformats.org/officeDocument/2006/relationships/hyperlink" Target="https://drive.google.com/uc?export=view&amp;id=1bhzZ7kBM3jdzageqvjK9r2b3hl23E8S8" TargetMode="External" Id="rId1472" /><Relationship Type="http://schemas.openxmlformats.org/officeDocument/2006/relationships/hyperlink" Target="http://www.lacasitadeingles.com/" TargetMode="External" Id="rId1473" /><Relationship Type="http://schemas.openxmlformats.org/officeDocument/2006/relationships/hyperlink" Target="https://instagram.com/casitadeingles" TargetMode="External" Id="rId1474" /><Relationship Type="http://schemas.openxmlformats.org/officeDocument/2006/relationships/hyperlink" Target="https://www.linkedin.com/company/casitadeingles/" TargetMode="External" Id="rId1475" /><Relationship Type="http://schemas.openxmlformats.org/officeDocument/2006/relationships/hyperlink" Target="https://drive.google.com/uc?export=view&amp;id=1uM67PzqGbql6IebwWRpSPblYmTJT0P0i" TargetMode="External" Id="rId1476" /><Relationship Type="http://schemas.openxmlformats.org/officeDocument/2006/relationships/hyperlink" Target="http://www.mandatorytrainings.com/" TargetMode="External" Id="rId1477" /><Relationship Type="http://schemas.openxmlformats.org/officeDocument/2006/relationships/hyperlink" Target="https://www.linkedin.com/in/parneetsb" TargetMode="External" Id="rId1478" /><Relationship Type="http://schemas.openxmlformats.org/officeDocument/2006/relationships/hyperlink" Target="https://drive.google.com/uc?export=view&amp;id=1kfn4Hd9j12lC1iLcsjAhGeVkf_ZVcGf5" TargetMode="External" Id="rId1479" /><Relationship Type="http://schemas.openxmlformats.org/officeDocument/2006/relationships/hyperlink" Target="https://www.atermon.nl/" TargetMode="External" Id="rId1480" /><Relationship Type="http://schemas.openxmlformats.org/officeDocument/2006/relationships/hyperlink" Target="https://www.linkedin.com/company/atermon-rotterdam" TargetMode="External" Id="rId1481" /><Relationship Type="http://schemas.openxmlformats.org/officeDocument/2006/relationships/hyperlink" Target="https://drive.google.com/uc?export=view&amp;id=19Vb79HH-Z5obvWMmo3neHJhmjZikg9ME" TargetMode="External" Id="rId1482" /><Relationship Type="http://schemas.openxmlformats.org/officeDocument/2006/relationships/hyperlink" Target="https://math-center.org/" TargetMode="External" Id="rId1483" /><Relationship Type="http://schemas.openxmlformats.org/officeDocument/2006/relationships/hyperlink" Target="https://www.linkedin.com/company/mathcenter/" TargetMode="External" Id="rId1484" /><Relationship Type="http://schemas.openxmlformats.org/officeDocument/2006/relationships/hyperlink" Target="https://drive.google.com/uc?export=view&amp;id=19n47qN8_HvnR6RUzscpDoLtAmlWMP-_a" TargetMode="External" Id="rId1485" /><Relationship Type="http://schemas.openxmlformats.org/officeDocument/2006/relationships/hyperlink" Target="http://www.nanoga.com/" TargetMode="External" Id="rId1486" /><Relationship Type="http://schemas.openxmlformats.org/officeDocument/2006/relationships/hyperlink" Target="https://www.linkedin.com/company/nanoga/?viewAsMember=true" TargetMode="External" Id="rId1487" /><Relationship Type="http://schemas.openxmlformats.org/officeDocument/2006/relationships/hyperlink" Target="https://zoeimmersive.com/" TargetMode="External" Id="rId1488" /><Relationship Type="http://schemas.openxmlformats.org/officeDocument/2006/relationships/hyperlink" Target="https://www.instagram.com/zoeimmersive/?hl=en" TargetMode="External" Id="rId1489" /><Relationship Type="http://schemas.openxmlformats.org/officeDocument/2006/relationships/hyperlink" Target="https://ch.linkedin.com/company/zoe-immersive" TargetMode="External" Id="rId1490" /><Relationship Type="http://schemas.openxmlformats.org/officeDocument/2006/relationships/hyperlink" Target="https://drive.google.com/uc?export=view&amp;id=1QqnTeGTA-or17kmLEMPNMskgH65uj9Vm" TargetMode="External" Id="rId1491" /><Relationship Type="http://schemas.openxmlformats.org/officeDocument/2006/relationships/hyperlink" Target="https://bealink.io/en/" TargetMode="External" Id="rId1492" /><Relationship Type="http://schemas.openxmlformats.org/officeDocument/2006/relationships/hyperlink" Target="https://www.linkedin.com/company/bealink/" TargetMode="External" Id="rId1493" /><Relationship Type="http://schemas.openxmlformats.org/officeDocument/2006/relationships/hyperlink" Target="https://stbv-bremen.de/services/smaletax/" TargetMode="External" Id="rId1494" /><Relationship Type="http://schemas.openxmlformats.org/officeDocument/2006/relationships/hyperlink" Target="https://www.linkedin.com/company/smaletax/" TargetMode="External" Id="rId1495" /><Relationship Type="http://schemas.openxmlformats.org/officeDocument/2006/relationships/hyperlink" Target="https://drive.google.com/uc?export=view&amp;id=1kIXOrzx5eUvGDB0Mhe0pl1dt9xpAWEzs" TargetMode="External" Id="rId1496" /><Relationship Type="http://schemas.openxmlformats.org/officeDocument/2006/relationships/hyperlink" Target="http://www.youniversapp.com/" TargetMode="External" Id="rId1497" /><Relationship Type="http://schemas.openxmlformats.org/officeDocument/2006/relationships/hyperlink" Target="https://www.linkedin.com/company/youniversapp/" TargetMode="External" Id="rId1498" /><Relationship Type="http://schemas.openxmlformats.org/officeDocument/2006/relationships/hyperlink" Target="https://drive.google.com/uc?export=view&amp;id=1sMSwCJn0D06nj710y3LSPJIrNKbL8Uc-" TargetMode="External" Id="rId1499" /><Relationship Type="http://schemas.openxmlformats.org/officeDocument/2006/relationships/hyperlink" Target="http://www.thembakids.com/" TargetMode="External" Id="rId1500" /><Relationship Type="http://schemas.openxmlformats.org/officeDocument/2006/relationships/hyperlink" Target="https://instagram.com/mba_kids" TargetMode="External" Id="rId1501" /><Relationship Type="http://schemas.openxmlformats.org/officeDocument/2006/relationships/hyperlink" Target="https://www.linkedin.com/company/mba-kids/" TargetMode="External" Id="rId1502" /><Relationship Type="http://schemas.openxmlformats.org/officeDocument/2006/relationships/hyperlink" Target="https://drive.google.com/uc?export=view&amp;id=1-LDu6bFvUKENDicvH7oKbW7jer1MhYSf" TargetMode="External" Id="rId1503" /><Relationship Type="http://schemas.openxmlformats.org/officeDocument/2006/relationships/hyperlink" Target="https://www.studentgator.com/" TargetMode="External" Id="rId1504" /><Relationship Type="http://schemas.openxmlformats.org/officeDocument/2006/relationships/hyperlink" Target="https://www.instagram.com/studentgator/" TargetMode="External" Id="rId1505" /><Relationship Type="http://schemas.openxmlformats.org/officeDocument/2006/relationships/hyperlink" Target="https://fr.linkedin.com/company/studentgator" TargetMode="External" Id="rId1506" /><Relationship Type="http://schemas.openxmlformats.org/officeDocument/2006/relationships/hyperlink" Target="https://drive.google.com/uc?export=view&amp;id=1C8XbdzilFmzpteNDid7gINeTIzk0sgBv" TargetMode="External" Id="rId1507" /><Relationship Type="http://schemas.openxmlformats.org/officeDocument/2006/relationships/hyperlink" Target="https://ans.app/landing" TargetMode="External" Id="rId1508" /><Relationship Type="http://schemas.openxmlformats.org/officeDocument/2006/relationships/hyperlink" Target="https://www.linkedin.com/company/ans-exam" TargetMode="External" Id="rId1509" /><Relationship Type="http://schemas.openxmlformats.org/officeDocument/2006/relationships/hyperlink" Target="https://drive.google.com/uc?export=view&amp;id=1jYxeDcgQ59nUKCu4OWNzvlOmUo_XpIKN" TargetMode="External" Id="rId1510" /><Relationship Type="http://schemas.openxmlformats.org/officeDocument/2006/relationships/hyperlink" Target="https://claned.com/" TargetMode="External" Id="rId1511" /><Relationship Type="http://schemas.openxmlformats.org/officeDocument/2006/relationships/hyperlink" Target="https://www.linkedin.com/company/claned-group" TargetMode="External" Id="rId1512" /><Relationship Type="http://schemas.openxmlformats.org/officeDocument/2006/relationships/hyperlink" Target="https://drive.google.com/uc?export=view&amp;id=1pnlI5WeAgXQF1rw00C-bYZQalLXG5VsK" TargetMode="External" Id="rId1513" /><Relationship Type="http://schemas.openxmlformats.org/officeDocument/2006/relationships/hyperlink" Target="https://coursensu.com/" TargetMode="External" Id="rId1514" /><Relationship Type="http://schemas.openxmlformats.org/officeDocument/2006/relationships/hyperlink" Target="https://twitter.com/coursensu" TargetMode="External" Id="rId1515" /><Relationship Type="http://schemas.openxmlformats.org/officeDocument/2006/relationships/hyperlink" Target="https://linkedin.com/company/coursensu" TargetMode="External" Id="rId1516" /><Relationship Type="http://schemas.openxmlformats.org/officeDocument/2006/relationships/hyperlink" Target="https://drive.google.com/uc?export=view&amp;id=1_tZy5H578Ie0VRin5L_dFLPUqjzqYP7S" TargetMode="External" Id="rId1517" /><Relationship Type="http://schemas.openxmlformats.org/officeDocument/2006/relationships/hyperlink" Target="https://linguverse.com/" TargetMode="External" Id="rId1518" /><Relationship Type="http://schemas.openxmlformats.org/officeDocument/2006/relationships/hyperlink" Target="https://www.instagram.com/mangododigital/" TargetMode="External" Id="rId1519" /><Relationship Type="http://schemas.openxmlformats.org/officeDocument/2006/relationships/hyperlink" Target="https://www.linkedin.com/company/mangodo-digital/" TargetMode="External" Id="rId1520" /><Relationship Type="http://schemas.openxmlformats.org/officeDocument/2006/relationships/hyperlink" Target="https://drive.google.com/uc?export=view&amp;id=1nSoDNznA0GLdKwtsnEgt2NEwFe3x2zkI" TargetMode="External" Id="rId1521" /><Relationship Type="http://schemas.openxmlformats.org/officeDocument/2006/relationships/hyperlink" Target="http://pelephant.com/mo" TargetMode="External" Id="rId1522" /><Relationship Type="http://schemas.openxmlformats.org/officeDocument/2006/relationships/hyperlink" Target="https://www.linkedin.com/company/pelephant/" TargetMode="External" Id="rId1523" /><Relationship Type="http://schemas.openxmlformats.org/officeDocument/2006/relationships/hyperlink" Target="https://drive.google.com/uc?export=view&amp;id=1OCQDKvmEYzOXeSV8t_0B8LlFA_B9pz0b" TargetMode="External" Id="rId1524" /><Relationship Type="http://schemas.openxmlformats.org/officeDocument/2006/relationships/hyperlink" Target="http://www.chatlicense.com/" TargetMode="External" Id="rId1525" /><Relationship Type="http://schemas.openxmlformats.org/officeDocument/2006/relationships/hyperlink" Target="https://www.instagram.com/chatlicense" TargetMode="External" Id="rId1526" /><Relationship Type="http://schemas.openxmlformats.org/officeDocument/2006/relationships/hyperlink" Target="https://www.linkedin.com/company/chatlicense/" TargetMode="External" Id="rId1527" /><Relationship Type="http://schemas.openxmlformats.org/officeDocument/2006/relationships/hyperlink" Target="https://drive.google.com/uc?export=view&amp;id=19HMKy6oLFZxKEdC7uEXkiS3-7CQp7vmm" TargetMode="External" Id="rId1528" /><Relationship Type="http://schemas.openxmlformats.org/officeDocument/2006/relationships/hyperlink" Target="https://sparkon.org/" TargetMode="External" Id="rId1529" /><Relationship Type="http://schemas.openxmlformats.org/officeDocument/2006/relationships/hyperlink" Target="https://www.instagram.com/sparkon_org/" TargetMode="External" Id="rId1530" /><Relationship Type="http://schemas.openxmlformats.org/officeDocument/2006/relationships/hyperlink" Target="https://twitter.com/SparkOn_org" TargetMode="External" Id="rId1531" /><Relationship Type="http://schemas.openxmlformats.org/officeDocument/2006/relationships/hyperlink" Target="https://www.linkedin.com/company/spark-on" TargetMode="External" Id="rId1532" /><Relationship Type="http://schemas.openxmlformats.org/officeDocument/2006/relationships/hyperlink" Target="https://drive.google.com/uc?export=view&amp;id=1fanAQlpkGrvrX-axIxK4WUj9hkYG47ST" TargetMode="External" Id="rId1533" /><Relationship Type="http://schemas.openxmlformats.org/officeDocument/2006/relationships/hyperlink" Target="https://teacherspro.com/contacto/" TargetMode="External" Id="rId1534" /><Relationship Type="http://schemas.openxmlformats.org/officeDocument/2006/relationships/hyperlink" Target="https://twitter.com/TeachersPro_Es" TargetMode="External" Id="rId1535" /><Relationship Type="http://schemas.openxmlformats.org/officeDocument/2006/relationships/hyperlink" Target="https://www.linkedin.com/company/teacherspro/" TargetMode="External" Id="rId1536" /><Relationship Type="http://schemas.openxmlformats.org/officeDocument/2006/relationships/hyperlink" Target="https://drive.google.com/uc?export=view&amp;id=1zwCK6yKmNUsOgujDgjy_gqmMsAwz8sCt" TargetMode="External" Id="rId1537" /><Relationship Type="http://schemas.openxmlformats.org/officeDocument/2006/relationships/hyperlink" Target="http://steamprogramedu.com/" TargetMode="External" Id="rId1538" /><Relationship Type="http://schemas.openxmlformats.org/officeDocument/2006/relationships/hyperlink" Target="https://steamprogramedu.com/" TargetMode="External" Id="rId1539" /><Relationship Type="http://schemas.openxmlformats.org/officeDocument/2006/relationships/hyperlink" Target="https://drive.google.com/uc?export=view&amp;id=1DXDkljr6ULI_DAQMXq4E39Bmu4zCw-Gi" TargetMode="External" Id="rId1540" /><Relationship Type="http://schemas.openxmlformats.org/officeDocument/2006/relationships/hyperlink" Target="https://editai.co/" TargetMode="External" Id="rId1541" /><Relationship Type="http://schemas.openxmlformats.org/officeDocument/2006/relationships/hyperlink" Target="https://www.linkedin.com/company/editai/" TargetMode="External" Id="rId1542" /><Relationship Type="http://schemas.openxmlformats.org/officeDocument/2006/relationships/hyperlink" Target="https://drive.google.com/uc?export=view&amp;id=16R8qaQOaegMszn2Nr1smiXRj1kNf9mas" TargetMode="External" Id="rId1543" /><Relationship Type="http://schemas.openxmlformats.org/officeDocument/2006/relationships/hyperlink" Target="http://www.joinacirkel.com/" TargetMode="External" Id="rId1544" /><Relationship Type="http://schemas.openxmlformats.org/officeDocument/2006/relationships/hyperlink" Target="https://drive.google.com/uc?export=view&amp;id=1-hxqjNVZznLRMfLGvxjDwpVr661TWlK6" TargetMode="External" Id="rId1545" /><Relationship Type="http://schemas.openxmlformats.org/officeDocument/2006/relationships/hyperlink" Target="http://www.emeraude-escape.com/en" TargetMode="External" Id="rId1546" /><Relationship Type="http://schemas.openxmlformats.org/officeDocument/2006/relationships/hyperlink" Target="https://twitter.com/EmeraudeEscape" TargetMode="External" Id="rId1547" /><Relationship Type="http://schemas.openxmlformats.org/officeDocument/2006/relationships/hyperlink" Target="https://www.linkedin.com/company/emeraude-escape-game" TargetMode="External" Id="rId1548" /><Relationship Type="http://schemas.openxmlformats.org/officeDocument/2006/relationships/hyperlink" Target="https://drive.google.com/uc?export=view&amp;id=1GIfCjZj49Kfbby7Cj7lbjfyVbC52HUPI" TargetMode="External" Id="rId1549" /><Relationship Type="http://schemas.openxmlformats.org/officeDocument/2006/relationships/hyperlink" Target="http://www.whippy.se/" TargetMode="External" Id="rId1550" /><Relationship Type="http://schemas.openxmlformats.org/officeDocument/2006/relationships/hyperlink" Target="http://www.whippy.se/company/whippyonboarding" TargetMode="External" Id="rId1551" /><Relationship Type="http://schemas.openxmlformats.org/officeDocument/2006/relationships/hyperlink" Target="https://drive.google.com/uc?export=view&amp;id=1VVvCKLhxQEjbwgeQT3rjCkKwV_1clZGX" TargetMode="External" Id="rId1552" /><Relationship Type="http://schemas.openxmlformats.org/officeDocument/2006/relationships/hyperlink" Target="http://www.kurve.nl/" TargetMode="External" Id="rId1553" /><Relationship Type="http://schemas.openxmlformats.org/officeDocument/2006/relationships/hyperlink" Target="https://www.instagram.com/kurve.nl/" TargetMode="External" Id="rId1554" /><Relationship Type="http://schemas.openxmlformats.org/officeDocument/2006/relationships/hyperlink" Target="https://www.linkedin.com/search/results/all/?fetchDeterministicClustersOnly=true&amp;heroEntityKey=urn%3Ali%3Aorganization%3A3090886&amp;keywords=kurve&amp;origin=RICH_QUERY_TYPEAHEAD_HISTORY&amp;position=0&amp;searchId=4f2d41e7-f5e2-453c-bcb3-c6e12091e03a&amp;sid=iZd&amp;spellCorrectionEnabled=true" TargetMode="External" Id="rId1555" /><Relationship Type="http://schemas.openxmlformats.org/officeDocument/2006/relationships/hyperlink" Target="https://drive.google.com/uc?export=view&amp;id=1-rkRNoTzCFTRmkSCR2zqG84E1Sos-fYy" TargetMode="External" Id="rId1556" /><Relationship Type="http://schemas.openxmlformats.org/officeDocument/2006/relationships/hyperlink" Target="http://grpsitic-blanquerna.cat/?page_id=2293" TargetMode="External" Id="rId1557" /><Relationship Type="http://schemas.openxmlformats.org/officeDocument/2006/relationships/hyperlink" Target="https://drive.google.com/uc?export=view&amp;id=1Q0AajItqjoqjXcbqPx6Ncsp_hphjR1ch" TargetMode="External" Id="rId1558" /><Relationship Type="http://schemas.openxmlformats.org/officeDocument/2006/relationships/hyperlink" Target="http://www.lasco.io/" TargetMode="External" Id="rId1559" /><Relationship Type="http://schemas.openxmlformats.org/officeDocument/2006/relationships/hyperlink" Target="https://www.linkedin.com/company/lascosrl/" TargetMode="External" Id="rId1560" /><Relationship Type="http://schemas.openxmlformats.org/officeDocument/2006/relationships/hyperlink" Target="https://drive.google.com/uc?export=view&amp;id=1G2gqzAuU_dScdYSSFvsyDeCBtDu7n2L7" TargetMode="External" Id="rId1561" /><Relationship Type="http://schemas.openxmlformats.org/officeDocument/2006/relationships/hyperlink" Target="https://www.macademia.com/" TargetMode="External" Id="rId1562" /><Relationship Type="http://schemas.openxmlformats.org/officeDocument/2006/relationships/hyperlink" Target="https://www.instagram.com/davincikids_/" TargetMode="External" Id="rId1563" /><Relationship Type="http://schemas.openxmlformats.org/officeDocument/2006/relationships/hyperlink" Target="https://www.linkedin.com/company/da-vinci-kids/global/mycompany/" TargetMode="External" Id="rId1564" /><Relationship Type="http://schemas.openxmlformats.org/officeDocument/2006/relationships/hyperlink" Target="https://drive.google.com/uc?export=view&amp;id=1xRhz6QsQpmva_P0hTp6sEvfMMK2PhF2m" TargetMode="External" Id="rId1565" /><Relationship Type="http://schemas.openxmlformats.org/officeDocument/2006/relationships/hyperlink" Target="https://geevoo.de/" TargetMode="External" Id="rId1566" /><Relationship Type="http://schemas.openxmlformats.org/officeDocument/2006/relationships/hyperlink" Target="https://www.instagram.com/geevoo.de/" TargetMode="External" Id="rId1567" /><Relationship Type="http://schemas.openxmlformats.org/officeDocument/2006/relationships/hyperlink" Target="https://twitter.com/Geevoo_de" TargetMode="External" Id="rId1568" /><Relationship Type="http://schemas.openxmlformats.org/officeDocument/2006/relationships/hyperlink" Target="https://www.linkedin.com/company/geevoo/" TargetMode="External" Id="rId1569" /><Relationship Type="http://schemas.openxmlformats.org/officeDocument/2006/relationships/hyperlink" Target="https://drive.google.com/uc?export=view&amp;id=1YTOOiazMLn-8rnXIqFWyyKwzUdKTaer0" TargetMode="External" Id="rId1570" /><Relationship Type="http://schemas.openxmlformats.org/officeDocument/2006/relationships/hyperlink" Target="https://www.yellowtoad.agency/" TargetMode="External" Id="rId1571" /><Relationship Type="http://schemas.openxmlformats.org/officeDocument/2006/relationships/hyperlink" Target="https://www.linkedin.com/company/98131770/admin/feed/posts/" TargetMode="External" Id="rId1572" /><Relationship Type="http://schemas.openxmlformats.org/officeDocument/2006/relationships/hyperlink" Target="https://drive.google.com/uc?export=view&amp;id=1oZKLrzOj_ejMf89SxKtUcqJt0TThRdNf" TargetMode="External" Id="rId1573" /><Relationship Type="http://schemas.openxmlformats.org/officeDocument/2006/relationships/hyperlink" Target="https://upstrivesystem.com/" TargetMode="External" Id="rId1574" /><Relationship Type="http://schemas.openxmlformats.org/officeDocument/2006/relationships/hyperlink" Target="https://www.linkedin.com/company/upstrive-well-being" TargetMode="External" Id="rId1575" /><Relationship Type="http://schemas.openxmlformats.org/officeDocument/2006/relationships/hyperlink" Target="https://drive.google.com/uc?export=view&amp;id=1W6T8lVwr8EwmuWUZIqR9zmoFMDEpocza" TargetMode="External" Id="rId1576" /><Relationship Type="http://schemas.openxmlformats.org/officeDocument/2006/relationships/hyperlink" Target="https://www.davinci.tv/" TargetMode="External" Id="rId1577" /><Relationship Type="http://schemas.openxmlformats.org/officeDocument/2006/relationships/hyperlink" Target="https://leato.io/" TargetMode="External" Id="rId1578" /><Relationship Type="http://schemas.openxmlformats.org/officeDocument/2006/relationships/hyperlink" Target="https://drive.google.com/uc?export=view&amp;id=1TnzliLUQtG4QgpgshTHilbw-h_hNK_4L" TargetMode="External" Id="rId1579" /><Relationship Type="http://schemas.openxmlformats.org/officeDocument/2006/relationships/hyperlink" Target="https://subschool.us/" TargetMode="External" Id="rId1580" /><Relationship Type="http://schemas.openxmlformats.org/officeDocument/2006/relationships/hyperlink" Target="https://drive.google.com/uc?export=view&amp;id=11YVu7SYOCDeNKgFkXjxiTyd_xLBPofiC" TargetMode="External" Id="rId1581" /><Relationship Type="http://schemas.openxmlformats.org/officeDocument/2006/relationships/hyperlink" Target="http://www.studyhall.ai/" TargetMode="External" Id="rId1582" /><Relationship Type="http://schemas.openxmlformats.org/officeDocument/2006/relationships/hyperlink" Target="https://drive.google.com/uc?export=view&amp;id=1WYrsrSVqPQOKD4P6im9zYwaNrirwHUml" TargetMode="External" Id="rId1583" /><Relationship Type="http://schemas.openxmlformats.org/officeDocument/2006/relationships/hyperlink" Target="http://www.edulyzer.com/en" TargetMode="External" Id="rId1584" /><Relationship Type="http://schemas.openxmlformats.org/officeDocument/2006/relationships/hyperlink" Target="https://drive.google.com/uc?export=view&amp;id=1TODQbxVXmpxGxsC0AhlXsXYyn8pSBB8E" TargetMode="External" Id="rId1585" /><Relationship Type="http://schemas.openxmlformats.org/officeDocument/2006/relationships/hyperlink" Target="http://www.modulu.io/" TargetMode="External" Id="rId1586" /><Relationship Type="http://schemas.openxmlformats.org/officeDocument/2006/relationships/hyperlink" Target="https://drive.google.com/uc?export=view&amp;id=1bl0xvooRC2MeJc_6d5bEhLEsopEVrhEN" TargetMode="External" Id="rId1587" /><Relationship Type="http://schemas.openxmlformats.org/officeDocument/2006/relationships/hyperlink" Target="https://abodoo.com/" TargetMode="External" Id="rId1588" /><Relationship Type="http://schemas.openxmlformats.org/officeDocument/2006/relationships/hyperlink" Target="https://twitter.com/AbodooLtd" TargetMode="External" Id="rId1589" /><Relationship Type="http://schemas.openxmlformats.org/officeDocument/2006/relationships/hyperlink" Target="https://www.linkedin.com/company/abodoo" TargetMode="External" Id="rId1590" /><Relationship Type="http://schemas.openxmlformats.org/officeDocument/2006/relationships/hyperlink" Target="https://drive.google.com/uc?export=view&amp;id=19cU-xdFsCsZ6-hY3nr4J_QyaAfsMkYwA" TargetMode="External" Id="rId1591" /><Relationship Type="http://schemas.openxmlformats.org/officeDocument/2006/relationships/hyperlink" Target="https://bravorimusic.com/" TargetMode="External" Id="rId1592" /><Relationship Type="http://schemas.openxmlformats.org/officeDocument/2006/relationships/hyperlink" Target="https://drive.google.com/uc?export=view&amp;id=1VMpThMhzwnxeTJHeqVjuRi-d7I6v-WHA" TargetMode="External" Id="rId1593" /><Relationship Type="http://schemas.openxmlformats.org/officeDocument/2006/relationships/hyperlink" Target="https://www.careersmarter.com/" TargetMode="External" Id="rId1594" /><Relationship Type="http://schemas.openxmlformats.org/officeDocument/2006/relationships/hyperlink" Target="https://drive.google.com/uc?export=view&amp;id=1AySUL-CPKuo8zTAXo-tX-n7QO43r-anA" TargetMode="External" Id="rId1595" /><Relationship Type="http://schemas.openxmlformats.org/officeDocument/2006/relationships/hyperlink" Target="http://classid.be/" TargetMode="External" Id="rId1596" /><Relationship Type="http://schemas.openxmlformats.org/officeDocument/2006/relationships/hyperlink" Target="https://www.instagram.com/classid_io/" TargetMode="External" Id="rId1597" /><Relationship Type="http://schemas.openxmlformats.org/officeDocument/2006/relationships/hyperlink" Target="https://twitter.com/classid_io" TargetMode="External" Id="rId1598" /><Relationship Type="http://schemas.openxmlformats.org/officeDocument/2006/relationships/hyperlink" Target="https://www.linkedin.com/company/classid/" TargetMode="External" Id="rId1599" /><Relationship Type="http://schemas.openxmlformats.org/officeDocument/2006/relationships/hyperlink" Target="https://drive.google.com/uc?export=view&amp;id=1tLnjp0RlXOypc_KyUNP7Eq_AOGD2GAUB" TargetMode="External" Id="rId1600" /><Relationship Type="http://schemas.openxmlformats.org/officeDocument/2006/relationships/hyperlink" Target="http://www.whizzkids.online/" TargetMode="External" Id="rId1601" /><Relationship Type="http://schemas.openxmlformats.org/officeDocument/2006/relationships/hyperlink" Target="https://www.instagram.com/whizzkidswedstrijd/" TargetMode="External" Id="rId1602" /><Relationship Type="http://schemas.openxmlformats.org/officeDocument/2006/relationships/hyperlink" Target="https://www.linkedin.com/company/vzw-whizzkids/" TargetMode="External" Id="rId1603" /><Relationship Type="http://schemas.openxmlformats.org/officeDocument/2006/relationships/hyperlink" Target="https://drive.google.com/uc?export=view&amp;id=1LxN6KZwVT6AxGlIwhbimJKE9sYGmpzuK" TargetMode="External" Id="rId1604" /><Relationship Type="http://schemas.openxmlformats.org/officeDocument/2006/relationships/hyperlink" Target="http://coyotiv.com/" TargetMode="External" Id="rId1605" /><Relationship Type="http://schemas.openxmlformats.org/officeDocument/2006/relationships/hyperlink" Target="https://www.instagram.com/coyotiv/" TargetMode="External" Id="rId1606" /><Relationship Type="http://schemas.openxmlformats.org/officeDocument/2006/relationships/hyperlink" Target="https://www.linkedin.com/school/coyotiv/" TargetMode="External" Id="rId1607" /><Relationship Type="http://schemas.openxmlformats.org/officeDocument/2006/relationships/hyperlink" Target="https://drive.google.com/uc?export=view&amp;id=1N6TyLJrYNGy1Ih8OL12qvoXwYz2W-Yru" TargetMode="External" Id="rId1608" /><Relationship Type="http://schemas.openxmlformats.org/officeDocument/2006/relationships/hyperlink" Target="http://www.nxtlearning.com/" TargetMode="External" Id="rId1609" /><Relationship Type="http://schemas.openxmlformats.org/officeDocument/2006/relationships/hyperlink" Target="https://drive.google.com/uc?export=view&amp;id=1tMttNEffoM4diplDozFJMAb0QSLuIDcN" TargetMode="External" Id="rId1610" /><Relationship Type="http://schemas.openxmlformats.org/officeDocument/2006/relationships/hyperlink" Target="https://www.openstudycollege.com/" TargetMode="External" Id="rId1611" /><Relationship Type="http://schemas.openxmlformats.org/officeDocument/2006/relationships/hyperlink" Target="https://drive.google.com/uc?export=view&amp;id=1JoHhQme8Q5g-4CS6rzPDK-5yHFmBT_O5" TargetMode="External" Id="rId1612" /><Relationship Type="http://schemas.openxmlformats.org/officeDocument/2006/relationships/hyperlink" Target="http://explorateurdemetiers.tv/" TargetMode="External" Id="rId1613" /><Relationship Type="http://schemas.openxmlformats.org/officeDocument/2006/relationships/hyperlink" Target="https://www.linkedin.com/company/explorateurdemetiers" TargetMode="External" Id="rId1614" /><Relationship Type="http://schemas.openxmlformats.org/officeDocument/2006/relationships/hyperlink" Target="https://drive.google.com/uc?export=view&amp;id=1OQtPL8KyG-bQldMHpJUZEnvcRDONKMWg" TargetMode="External" Id="rId1615" /><Relationship Type="http://schemas.openxmlformats.org/officeDocument/2006/relationships/hyperlink" Target="https://www.egos.co.at/" TargetMode="External" Id="rId1616" /><Relationship Type="http://schemas.openxmlformats.org/officeDocument/2006/relationships/hyperlink" Target="https://www.egos.co.at/seminare/alle/alle" TargetMode="External" Id="rId1617" /><Relationship Type="http://schemas.openxmlformats.org/officeDocument/2006/relationships/hyperlink" Target="https://www.egos.co.at/elearning/lernsoftware" TargetMode="External" Id="rId1618" /><Relationship Type="http://schemas.openxmlformats.org/officeDocument/2006/relationships/hyperlink" Target="https://drive.google.com/uc?export=view&amp;id=1xblqNMVF63cD4JMua2QFSHZXLWMngBj3" TargetMode="External" Id="rId1619" /><Relationship Type="http://schemas.openxmlformats.org/officeDocument/2006/relationships/hyperlink" Target="https://getjobsdone.nl/" TargetMode="External" Id="rId1620" /><Relationship Type="http://schemas.openxmlformats.org/officeDocument/2006/relationships/hyperlink" Target="https://www.instagram.com/getjobsdone.nl/" TargetMode="External" Id="rId1621" /><Relationship Type="http://schemas.openxmlformats.org/officeDocument/2006/relationships/hyperlink" Target="https://www.linkedin.com/company/getjobsdone/" TargetMode="External" Id="rId1622" /><Relationship Type="http://schemas.openxmlformats.org/officeDocument/2006/relationships/hyperlink" Target="https://drive.google.com/uc?export=view&amp;id=17-comaZu1VJH1PN6mwn9WlMkEPyaaQPX" TargetMode="External" Id="rId1623" /><Relationship Type="http://schemas.openxmlformats.org/officeDocument/2006/relationships/hyperlink" Target="https://hejsyv.se/" TargetMode="External" Id="rId1624" /><Relationship Type="http://schemas.openxmlformats.org/officeDocument/2006/relationships/hyperlink" Target="https://hejframtidsval.se/" TargetMode="External" Id="rId1625" /><Relationship Type="http://schemas.openxmlformats.org/officeDocument/2006/relationships/hyperlink" Target="https://drive.google.com/uc?export=view&amp;id=14RyJiS6wNocDJX4OzkpbHpuo9mJXU6Kf" TargetMode="External" Id="rId1626" /><Relationship Type="http://schemas.openxmlformats.org/officeDocument/2006/relationships/hyperlink" Target="https://onevofloor.com/en" TargetMode="External" Id="rId1627" /><Relationship Type="http://schemas.openxmlformats.org/officeDocument/2006/relationships/hyperlink" Target="https://www.instagram.com/onevo_floor" TargetMode="External" Id="rId1628" /><Relationship Type="http://schemas.openxmlformats.org/officeDocument/2006/relationships/hyperlink" Target="https://www.linkedin.com/company/onevo-floor" TargetMode="External" Id="rId1629" /><Relationship Type="http://schemas.openxmlformats.org/officeDocument/2006/relationships/hyperlink" Target="https://drive.google.com/uc?export=view&amp;id=1myDP9D7Ww-TsOgocU5vuYVBEBlOIm2Y_" TargetMode="External" Id="rId1630" /><Relationship Type="http://schemas.openxmlformats.org/officeDocument/2006/relationships/hyperlink" Target="https://www.vars.at/" TargetMode="External" Id="rId1631" /><Relationship Type="http://schemas.openxmlformats.org/officeDocument/2006/relationships/hyperlink" Target="https://www.instagram.com/vr_ar_vienna/?hl=en" TargetMode="External" Id="rId1632" /><Relationship Type="http://schemas.openxmlformats.org/officeDocument/2006/relationships/hyperlink" Target="https://twitter.com/vars_at" TargetMode="External" Id="rId1633" /><Relationship Type="http://schemas.openxmlformats.org/officeDocument/2006/relationships/hyperlink" Target="https://www.linkedin.com/company/vars-vienna/?viewAsMember=true" TargetMode="External" Id="rId1634" /><Relationship Type="http://schemas.openxmlformats.org/officeDocument/2006/relationships/hyperlink" Target="https://drive.google.com/uc?export=view&amp;id=14WuffxMAuUyZPf62hFz4Gk7rNUJYnu5p" TargetMode="External" Id="rId1635" /><Relationship Type="http://schemas.openxmlformats.org/officeDocument/2006/relationships/hyperlink" Target="https://xprtise.com/" TargetMode="External" Id="rId1636" /><Relationship Type="http://schemas.openxmlformats.org/officeDocument/2006/relationships/hyperlink" Target="https://twitter.com/xprtise" TargetMode="External" Id="rId1637" /><Relationship Type="http://schemas.openxmlformats.org/officeDocument/2006/relationships/hyperlink" Target="https://www.linkedin.com/company/7801396/" TargetMode="External" Id="rId1638" /><Relationship Type="http://schemas.openxmlformats.org/officeDocument/2006/relationships/hyperlink" Target="https://drive.google.com/uc?export=view&amp;id=1fO7egaLub0UPf2zDgyTX5lMuv3DwiFOh" TargetMode="External" Id="rId1639" /><Relationship Type="http://schemas.openxmlformats.org/officeDocument/2006/relationships/hyperlink" Target="http://www.robomaniac.at/" TargetMode="External" Id="rId1640" /><Relationship Type="http://schemas.openxmlformats.org/officeDocument/2006/relationships/hyperlink" Target="https://www.linkedin.com/company/robomaniac/" TargetMode="External" Id="rId1641" /><Relationship Type="http://schemas.openxmlformats.org/officeDocument/2006/relationships/hyperlink" Target="https://drive.google.com/uc?export=view&amp;id=1lt_KIEIzlpHdpTh2LVLJe-Iytltj0Vwn" TargetMode="External" Id="rId1642" /><Relationship Type="http://schemas.openxmlformats.org/officeDocument/2006/relationships/hyperlink" Target="https://topicus.nl/sectoren/onderwijs" TargetMode="External" Id="rId1643" /><Relationship Type="http://schemas.openxmlformats.org/officeDocument/2006/relationships/hyperlink" Target="https://www.linkedin.com/company/topicus/" TargetMode="External" Id="rId1644" /><Relationship Type="http://schemas.openxmlformats.org/officeDocument/2006/relationships/hyperlink" Target="https://drive.google.com/uc?export=view&amp;id=1-N_AFzlGLpS3ViFkRQxnkOttsEudMaD1" TargetMode="External" Id="rId1645" /><Relationship Type="http://schemas.openxmlformats.org/officeDocument/2006/relationships/hyperlink" Target="http://www.wincacademy.com/" TargetMode="External" Id="rId1646" /><Relationship Type="http://schemas.openxmlformats.org/officeDocument/2006/relationships/hyperlink" Target="https://www.instagram.com/wincacademy/" TargetMode="External" Id="rId1647" /><Relationship Type="http://schemas.openxmlformats.org/officeDocument/2006/relationships/hyperlink" Target="https://www.linkedin.com/school/wincacademy" TargetMode="External" Id="rId1648" /><Relationship Type="http://schemas.openxmlformats.org/officeDocument/2006/relationships/hyperlink" Target="https://drive.google.com/uc?export=view&amp;id=1uMe6DyDeKNkp26A4a6nRNUGH9e6o0Scq" TargetMode="External" Id="rId1649" /><Relationship Type="http://schemas.openxmlformats.org/officeDocument/2006/relationships/hyperlink" Target="https://eduwerk.acp.at/" TargetMode="External" Id="rId1650" /><Relationship Type="http://schemas.openxmlformats.org/officeDocument/2006/relationships/hyperlink" Target="https://www.instagram.com/acp_eduwerk/" TargetMode="External" Id="rId1651" /><Relationship Type="http://schemas.openxmlformats.org/officeDocument/2006/relationships/hyperlink" Target="https://drive.google.com/uc?export=view&amp;id=1q3ou6J9cU8RCPI97w0ecNrZMxwKxqzr4" TargetMode="External" Id="rId1652" /><Relationship Type="http://schemas.openxmlformats.org/officeDocument/2006/relationships/hyperlink" Target="https://www.jungeroemer.net/" TargetMode="External" Id="rId1653" /><Relationship Type="http://schemas.openxmlformats.org/officeDocument/2006/relationships/hyperlink" Target="https://www.instagram.com/jungeroemerwien/" TargetMode="External" Id="rId1654" /><Relationship Type="http://schemas.openxmlformats.org/officeDocument/2006/relationships/hyperlink" Target="https://twitter.com/jungeroemerwien" TargetMode="External" Id="rId1655" /><Relationship Type="http://schemas.openxmlformats.org/officeDocument/2006/relationships/hyperlink" Target="https://www.linkedin.com/company/jungeroemer-gmbh/" TargetMode="External" Id="rId1656" /><Relationship Type="http://schemas.openxmlformats.org/officeDocument/2006/relationships/hyperlink" Target="https://drive.google.com/uc?export=view&amp;id=1LTOFtAyz5LfA0RCiLu2Ee0h_U2oa28Av" TargetMode="External" Id="rId1657" /><Relationship Type="http://schemas.openxmlformats.org/officeDocument/2006/relationships/hyperlink" Target="http://www.siriusgame.it/" TargetMode="External" Id="rId1658" /><Relationship Type="http://schemas.openxmlformats.org/officeDocument/2006/relationships/hyperlink" Target="https://www.instagram.com/siriusgame_/?hl=en" TargetMode="External" Id="rId1659" /><Relationship Type="http://schemas.openxmlformats.org/officeDocument/2006/relationships/hyperlink" Target="https://www.linkedin.com/company/siriusgame" TargetMode="External" Id="rId1660" /><Relationship Type="http://schemas.openxmlformats.org/officeDocument/2006/relationships/hyperlink" Target="https://drive.google.com/uc?export=view&amp;id=1j4FCMTkSCnYCcps7VWF8AXVyu7SQKcUB" TargetMode="External" Id="rId1661" /><Relationship Type="http://schemas.openxmlformats.org/officeDocument/2006/relationships/hyperlink" Target="http://www.studyly.com/" TargetMode="External" Id="rId1662" /><Relationship Type="http://schemas.openxmlformats.org/officeDocument/2006/relationships/hyperlink" Target="https://drive.google.com/uc?export=view&amp;id=1V8MVoREM-RxXOR7KbjtpIi5wo3HoL4JO" TargetMode="External" Id="rId1663" /><Relationship Type="http://schemas.openxmlformats.org/officeDocument/2006/relationships/hyperlink" Target="https://alfons.education/en" TargetMode="External" Id="rId1664" /><Relationship Type="http://schemas.openxmlformats.org/officeDocument/2006/relationships/hyperlink" Target="https://drive.google.com/uc?export=view&amp;id=1RnipJYMISa1cyLOilmx8csrKA2kMn_76" TargetMode="External" Id="rId1665" /><Relationship Type="http://schemas.openxmlformats.org/officeDocument/2006/relationships/hyperlink" Target="https://beetrootacademy.com/" TargetMode="External" Id="rId1666" /><Relationship Type="http://schemas.openxmlformats.org/officeDocument/2006/relationships/hyperlink" Target="https://www.instagram.com/beetrootacademy.global/" TargetMode="External" Id="rId1667" /><Relationship Type="http://schemas.openxmlformats.org/officeDocument/2006/relationships/hyperlink" Target="https://www.linkedin.com/school/beetrootacademy/mycompany/" TargetMode="External" Id="rId1668" /><Relationship Type="http://schemas.openxmlformats.org/officeDocument/2006/relationships/hyperlink" Target="https://drive.google.com/uc?export=view&amp;id=1OW3vF64h_wKNMaQfQ7DZHH45KYTjhXoZ" TargetMode="External" Id="rId1669" /><Relationship Type="http://schemas.openxmlformats.org/officeDocument/2006/relationships/hyperlink" Target="http://www.common-sense.at/" TargetMode="External" Id="rId1670" /><Relationship Type="http://schemas.openxmlformats.org/officeDocument/2006/relationships/hyperlink" Target="https://www.linkedin.com/company/common-sense-elearning-&amp;-training-consultants" TargetMode="External" Id="rId1671" /><Relationship Type="http://schemas.openxmlformats.org/officeDocument/2006/relationships/hyperlink" Target="https://drive.google.com/uc?export=view&amp;id=1Hq2j5oSVvUpfUO6aY5TLi-roBlGQTIyN" TargetMode="External" Id="rId1672" /><Relationship Type="http://schemas.openxmlformats.org/officeDocument/2006/relationships/hyperlink" Target="https://www.corsmed.com/" TargetMode="External" Id="rId1673" /><Relationship Type="http://schemas.openxmlformats.org/officeDocument/2006/relationships/hyperlink" Target="https://twitter.com/corsmed" TargetMode="External" Id="rId1674" /><Relationship Type="http://schemas.openxmlformats.org/officeDocument/2006/relationships/hyperlink" Target="https://www.linkedin.com/company/corsmed/" TargetMode="External" Id="rId1675" /><Relationship Type="http://schemas.openxmlformats.org/officeDocument/2006/relationships/hyperlink" Target="https://drive.google.com/uc?export=view&amp;id=145eCQ4sqKpWM77IgMlnXGMRPevpuWzDa" TargetMode="External" Id="rId1676" /><Relationship Type="http://schemas.openxmlformats.org/officeDocument/2006/relationships/hyperlink" Target="https://www.easy-business.cc/e-learning" TargetMode="External" Id="rId1677" /><Relationship Type="http://schemas.openxmlformats.org/officeDocument/2006/relationships/hyperlink" Target="https://drive.google.com/uc?export=view&amp;id=1uVHtDu1BXSP-1dpNzSWAgVHVF5KwsNKc" TargetMode="External" Id="rId1678" /><Relationship Type="http://schemas.openxmlformats.org/officeDocument/2006/relationships/hyperlink" Target="https://eddler.se/" TargetMode="External" Id="rId1679" /><Relationship Type="http://schemas.openxmlformats.org/officeDocument/2006/relationships/hyperlink" Target="https://www.instagram.com/eddler.se/" TargetMode="External" Id="rId1680" /><Relationship Type="http://schemas.openxmlformats.org/officeDocument/2006/relationships/hyperlink" Target="https://twitter.com/eddler_se" TargetMode="External" Id="rId1681" /><Relationship Type="http://schemas.openxmlformats.org/officeDocument/2006/relationships/hyperlink" Target="https://www.linkedin.com/company/eddler" TargetMode="External" Id="rId1682" /><Relationship Type="http://schemas.openxmlformats.org/officeDocument/2006/relationships/hyperlink" Target="https://drive.google.com/uc?export=view&amp;id=1XR5dUf6rMlfQfLf228Z71P3lVHcOU_HV" TargetMode="External" Id="rId1683" /><Relationship Type="http://schemas.openxmlformats.org/officeDocument/2006/relationships/hyperlink" Target="https://www.eduexpert.eu/en/" TargetMode="External" Id="rId1684" /><Relationship Type="http://schemas.openxmlformats.org/officeDocument/2006/relationships/hyperlink" Target="https://www.instagram.cm/eduexpert.multimedia/" TargetMode="External" Id="rId1685" /><Relationship Type="http://schemas.openxmlformats.org/officeDocument/2006/relationships/hyperlink" Target="https://drive.google.com/uc?export=view&amp;id=13LGHuZgC71MGwptj3m8v0z1GNvsmAmPD" TargetMode="External" Id="rId1686" /><Relationship Type="http://schemas.openxmlformats.org/officeDocument/2006/relationships/hyperlink" Target="https://esybee-com.webnode.se/" TargetMode="External" Id="rId1687" /><Relationship Type="http://schemas.openxmlformats.org/officeDocument/2006/relationships/hyperlink" Target="https://esybee-com.webnode.se/tjanster/" TargetMode="External" Id="rId1688" /><Relationship Type="http://schemas.openxmlformats.org/officeDocument/2006/relationships/hyperlink" Target="https://drive.google.com/uc?export=view&amp;id=17CCnykQCUeSjmPGxs1VUVHC541kykOY8" TargetMode="External" Id="rId1689" /><Relationship Type="http://schemas.openxmlformats.org/officeDocument/2006/relationships/hyperlink" Target="https://www.eyelearn.at/" TargetMode="External" Id="rId1690" /><Relationship Type="http://schemas.openxmlformats.org/officeDocument/2006/relationships/hyperlink" Target="https://www.instagram.com/eyelearn_/" TargetMode="External" Id="rId1691" /><Relationship Type="http://schemas.openxmlformats.org/officeDocument/2006/relationships/hyperlink" Target="https://www.linkedin.com/company/eyelearn-gmbh/" TargetMode="External" Id="rId1692" /><Relationship Type="http://schemas.openxmlformats.org/officeDocument/2006/relationships/hyperlink" Target="https://drive.google.com/uc?export=view&amp;id=1dbiTReU4JCwGtk6ShEyY4vDzcr8HXiYC" TargetMode="External" Id="rId1693" /><Relationship Type="http://schemas.openxmlformats.org/officeDocument/2006/relationships/hyperlink" Target="http://www.ilteducation.fi/" TargetMode="External" Id="rId1694" /><Relationship Type="http://schemas.openxmlformats.org/officeDocument/2006/relationships/hyperlink" Target="https://www.instagram.com/lukulumo" TargetMode="External" Id="rId1695" /><Relationship Type="http://schemas.openxmlformats.org/officeDocument/2006/relationships/hyperlink" Target="https://www.linkedin.com/company/ilt-education-finland" TargetMode="External" Id="rId1696" /><Relationship Type="http://schemas.openxmlformats.org/officeDocument/2006/relationships/hyperlink" Target="https://drive.google.com/uc?export=view&amp;id=1xkGMVb2gJSombO-gnmK8YfqsvL9vFeAq" TargetMode="External" Id="rId1697" /><Relationship Type="http://schemas.openxmlformats.org/officeDocument/2006/relationships/hyperlink" Target="http://lorugames.com/" TargetMode="External" Id="rId1698" /><Relationship Type="http://schemas.openxmlformats.org/officeDocument/2006/relationships/hyperlink" Target="https://twitter.com/LoruGames?t=w52r4VkuFOBgaRazzl0GvQ&amp;s=09" TargetMode="External" Id="rId1699" /><Relationship Type="http://schemas.openxmlformats.org/officeDocument/2006/relationships/hyperlink" Target="https://www.linkedin.com/company/lorugames/" TargetMode="External" Id="rId1700" /><Relationship Type="http://schemas.openxmlformats.org/officeDocument/2006/relationships/hyperlink" Target="http://lorugames.com/" TargetMode="External" Id="rId1701" /><Relationship Type="http://schemas.openxmlformats.org/officeDocument/2006/relationships/hyperlink" Target="https://drive.google.com/uc?export=view&amp;id=1UsT7BsuNK_lkLbuD4cqVaYQJwHP_OvE2" TargetMode="External" Id="rId1702" /><Relationship Type="http://schemas.openxmlformats.org/officeDocument/2006/relationships/hyperlink" Target="https://nextlearningvalley.com/" TargetMode="External" Id="rId1703" /><Relationship Type="http://schemas.openxmlformats.org/officeDocument/2006/relationships/hyperlink" Target="https://www.instagram.com/nextlearningvalley/" TargetMode="External" Id="rId1704" /><Relationship Type="http://schemas.openxmlformats.org/officeDocument/2006/relationships/hyperlink" Target="https://twitter.com/NLV_LXP" TargetMode="External" Id="rId1705" /><Relationship Type="http://schemas.openxmlformats.org/officeDocument/2006/relationships/hyperlink" Target="https://www.linkedin.com/company/nextlearningvalley/?viewAsMember=true" TargetMode="External" Id="rId1706" /><Relationship Type="http://schemas.openxmlformats.org/officeDocument/2006/relationships/hyperlink" Target="https://drive.google.com/uc?export=view&amp;id=1GJHQwc08-diCyzMa7B_7CMFNGc1_IOiE" TargetMode="External" Id="rId1707" /><Relationship Type="http://schemas.openxmlformats.org/officeDocument/2006/relationships/hyperlink" Target="http://www.mobility-era.com/" TargetMode="External" Id="rId1708" /><Relationship Type="http://schemas.openxmlformats.org/officeDocument/2006/relationships/hyperlink" Target="https://www.linkedin.com/groups/13758292/" TargetMode="External" Id="rId1709" /><Relationship Type="http://schemas.openxmlformats.org/officeDocument/2006/relationships/hyperlink" Target="https://drive.google.com/uc?export=view&amp;id=1Niqqpgvch3XNceic8tK78qMpmbgFYfcb" TargetMode="External" Id="rId1710" /><Relationship Type="http://schemas.openxmlformats.org/officeDocument/2006/relationships/hyperlink" Target="http://www.schoolsoft.se/" TargetMode="External" Id="rId1711" /><Relationship Type="http://schemas.openxmlformats.org/officeDocument/2006/relationships/hyperlink" Target="https://drive.google.com/uc?export=view&amp;id=1rL1Ls6V_WKVsDoDs9Vcy2xIkeokNhDPU" TargetMode="External" Id="rId1712" /><Relationship Type="http://schemas.openxmlformats.org/officeDocument/2006/relationships/hyperlink" Target="http://www.unikum.net/" TargetMode="External" Id="rId1713" /><Relationship Type="http://schemas.openxmlformats.org/officeDocument/2006/relationships/hyperlink" Target="https://www.instagram.com/unikum_net/" TargetMode="External" Id="rId1714" /><Relationship Type="http://schemas.openxmlformats.org/officeDocument/2006/relationships/hyperlink" Target="https://twitter.com/unikum_net" TargetMode="External" Id="rId1715" /><Relationship Type="http://schemas.openxmlformats.org/officeDocument/2006/relationships/hyperlink" Target="https://www.linkedin.com/company/unikum-%E2%80%93-unikt-l%C3%A4rande-f%C3%B6r-unika-barn/" TargetMode="External" Id="rId1716" /><Relationship Type="http://schemas.openxmlformats.org/officeDocument/2006/relationships/hyperlink" Target="https://drive.google.com/uc?export=view&amp;id=1ijaM9pYTlWQEKOkjFkGReJj_Ck09yKq1" TargetMode="External" Id="rId1717" /><Relationship Type="http://schemas.openxmlformats.org/officeDocument/2006/relationships/hyperlink" Target="http://www.vorsen.nl/" TargetMode="External" Id="rId1718" /><Relationship Type="http://schemas.openxmlformats.org/officeDocument/2006/relationships/hyperlink" Target="https://www.linkedin.com/company/vorsen" TargetMode="External" Id="rId1719" /><Relationship Type="http://schemas.openxmlformats.org/officeDocument/2006/relationships/hyperlink" Target="https://drive.google.com/uc?export=view&amp;id=1edyYlGP2wRu5pDxNTi14g4za5UVWVS2y" TargetMode="External" Id="rId1720" /><Relationship Type="http://schemas.openxmlformats.org/officeDocument/2006/relationships/hyperlink" Target="https://skriware.com/" TargetMode="External" Id="rId1721" /><Relationship Type="http://schemas.openxmlformats.org/officeDocument/2006/relationships/hyperlink" Target="https://www.instagram.com/skriware/" TargetMode="External" Id="rId1722" /><Relationship Type="http://schemas.openxmlformats.org/officeDocument/2006/relationships/hyperlink" Target="https://twitter.com/Skriware" TargetMode="External" Id="rId1723" /><Relationship Type="http://schemas.openxmlformats.org/officeDocument/2006/relationships/hyperlink" Target="https://www.linkedin.com/company/skriware/" TargetMode="External" Id="rId1724" /><Relationship Type="http://schemas.openxmlformats.org/officeDocument/2006/relationships/hyperlink" Target="https://wideservices.gr/en/" TargetMode="External" Id="rId1725" /><Relationship Type="http://schemas.openxmlformats.org/officeDocument/2006/relationships/hyperlink" Target="https://www.linkedin.com/company/wide-services-p-c/" TargetMode="External" Id="rId1726" /><Relationship Type="http://schemas.openxmlformats.org/officeDocument/2006/relationships/hyperlink" Target="https://drive.google.com/uc?export=view&amp;id=1Kq7nMzdCA9IOmsFZ5-whWkFjg87h9ERJ" TargetMode="External" Id="rId1727" /><Relationship Type="http://schemas.openxmlformats.org/officeDocument/2006/relationships/hyperlink" Target="http://www.moxliukas.lt/" TargetMode="External" Id="rId1728" /><Relationship Type="http://schemas.openxmlformats.org/officeDocument/2006/relationships/hyperlink" Target="https://www.instagram.com/moxliukas/" TargetMode="External" Id="rId1729" /><Relationship Type="http://schemas.openxmlformats.org/officeDocument/2006/relationships/hyperlink" Target="https://www.linkedin.com/company/moxliukas" TargetMode="External" Id="rId1730" /><Relationship Type="http://schemas.openxmlformats.org/officeDocument/2006/relationships/hyperlink" Target="https://drive.google.com/uc?export=view&amp;id=1jcfesTQdI25lTFtzHbuH81w-XVKX6QIp" TargetMode="External" Id="rId1731" /><Relationship Type="http://schemas.openxmlformats.org/officeDocument/2006/relationships/hyperlink" Target="https://scealprod.fr/" TargetMode="External" Id="rId1732" /><Relationship Type="http://schemas.openxmlformats.org/officeDocument/2006/relationships/hyperlink" Target="https://www.instagram.com/scealprod.fr/" TargetMode="External" Id="rId1733" /><Relationship Type="http://schemas.openxmlformats.org/officeDocument/2006/relationships/hyperlink" Target="https://twitter.com/scealprod/" TargetMode="External" Id="rId1734" /><Relationship Type="http://schemas.openxmlformats.org/officeDocument/2006/relationships/hyperlink" Target="https://www.linkedin.com/company/scealprod/" TargetMode="External" Id="rId1735" /><Relationship Type="http://schemas.openxmlformats.org/officeDocument/2006/relationships/hyperlink" Target="https://drive.google.com/uc?export=view&amp;id=1TLxrujCs0vos9yH_HCQdjFgqxSNz1dwp" TargetMode="External" Id="rId1736" /><Relationship Type="http://schemas.openxmlformats.org/officeDocument/2006/relationships/hyperlink" Target="https://ditto.education/" TargetMode="External" Id="rId1737" /><Relationship Type="http://schemas.openxmlformats.org/officeDocument/2006/relationships/hyperlink" Target="https://www.instagram.com/ditto.educacion/" TargetMode="External" Id="rId1738" /><Relationship Type="http://schemas.openxmlformats.org/officeDocument/2006/relationships/hyperlink" Target="https://www.linkedin.com/company/ditto-education/" TargetMode="External" Id="rId1739" /><Relationship Type="http://schemas.openxmlformats.org/officeDocument/2006/relationships/hyperlink" Target="https://drive.google.com/uc?export=view&amp;id=1A5YCbaAAM6h9BZGNFHUDaDJxJd_ElVSo" TargetMode="External" Id="rId1740" /><Relationship Type="http://schemas.openxmlformats.org/officeDocument/2006/relationships/hyperlink" Target="http://www.tutorhive.co.uk/onehive" TargetMode="External" Id="rId1741" /><Relationship Type="http://schemas.openxmlformats.org/officeDocument/2006/relationships/hyperlink" Target="https://www.instagram.com/tutor.hive/?hl=en" TargetMode="External" Id="rId1742" /><Relationship Type="http://schemas.openxmlformats.org/officeDocument/2006/relationships/hyperlink" Target="https://www.linkedin.com/company/tutorhive/" TargetMode="External" Id="rId1743" /><Relationship Type="http://schemas.openxmlformats.org/officeDocument/2006/relationships/hyperlink" Target="https://drive.google.com/uc?export=view&amp;id=1nE9-qUre7YTzpdJ_tY9ia4SsYaPTDXT8" TargetMode="External" Id="rId1744" /><Relationship Type="http://schemas.openxmlformats.org/officeDocument/2006/relationships/hyperlink" Target="https://www.effency.fr/" TargetMode="External" Id="rId1745" /><Relationship Type="http://schemas.openxmlformats.org/officeDocument/2006/relationships/hyperlink" Target="https://twitter.com/effency_" TargetMode="External" Id="rId1746" /><Relationship Type="http://schemas.openxmlformats.org/officeDocument/2006/relationships/hyperlink" Target="https://www.linkedin.com/company/effency" TargetMode="External" Id="rId1747" /><Relationship Type="http://schemas.openxmlformats.org/officeDocument/2006/relationships/hyperlink" Target="https://drive.google.com/uc?export=view&amp;id=1AVrnhOd2wnDz8wl5TQu5mEK1iY39Syuj" TargetMode="External" Id="rId1748" /><Relationship Type="http://schemas.openxmlformats.org/officeDocument/2006/relationships/hyperlink" Target="http://lexivist.com/" TargetMode="External" Id="rId1749" /><Relationship Type="http://schemas.openxmlformats.org/officeDocument/2006/relationships/hyperlink" Target="https://drive.google.com/uc?export=view&amp;id=1XUxtkZtCV0CK-H2tHTogesPasZmw94pr" TargetMode="External" Id="rId1750" /><Relationship Type="http://schemas.openxmlformats.org/officeDocument/2006/relationships/hyperlink" Target="https://www.whoteach.it/en/" TargetMode="External" Id="rId1751" /><Relationship Type="http://schemas.openxmlformats.org/officeDocument/2006/relationships/hyperlink" Target="https://www.linkedin.com/company/whoteach-it/mycompany/" TargetMode="External" Id="rId1752" /><Relationship Type="http://schemas.openxmlformats.org/officeDocument/2006/relationships/hyperlink" Target="https://drive.google.com/uc?export=view&amp;id=1Z27e4wiFEJLxIT-3KG5wc3YVpLh2wP8X" TargetMode="External" Id="rId1753" /><Relationship Type="http://schemas.openxmlformats.org/officeDocument/2006/relationships/hyperlink" Target="https://thesmartestway.com/" TargetMode="External" Id="rId1754" /><Relationship Type="http://schemas.openxmlformats.org/officeDocument/2006/relationships/hyperlink" Target="https://www.instagram.com/thesmartestwaycom" TargetMode="External" Id="rId1755" /><Relationship Type="http://schemas.openxmlformats.org/officeDocument/2006/relationships/hyperlink" Target="https://www.linkedin.com/company/thesmartestway" TargetMode="External" Id="rId1756" /><Relationship Type="http://schemas.openxmlformats.org/officeDocument/2006/relationships/hyperlink" Target="https://drive.google.com/uc?export=view&amp;id=16WNBf6KDRS84qD54vZ5SpXWuTKtz_TQe" TargetMode="External" Id="rId1757" /><Relationship Type="http://schemas.openxmlformats.org/officeDocument/2006/relationships/hyperlink" Target="https://game.edenauts.com/" TargetMode="External" Id="rId1758" /><Relationship Type="http://schemas.openxmlformats.org/officeDocument/2006/relationships/hyperlink" Target="https://drive.google.com/uc?export=view&amp;id=17vtbrwasu-9HF31FD0Ppqx1RlOSiuqXy" TargetMode="External" Id="rId1759" /><Relationship Type="http://schemas.openxmlformats.org/officeDocument/2006/relationships/hyperlink" Target="https://edulab.work/" TargetMode="External" Id="rId1760" /><Relationship Type="http://schemas.openxmlformats.org/officeDocument/2006/relationships/hyperlink" Target="https://drive.google.com/uc?export=view&amp;id=1IeLO4HBlM5UFJDTGISayJJaZmIITL5O-" TargetMode="External" Id="rId1761" /><Relationship Type="http://schemas.openxmlformats.org/officeDocument/2006/relationships/hyperlink" Target="https://game-learn.com/" TargetMode="External" Id="rId1762" /><Relationship Type="http://schemas.openxmlformats.org/officeDocument/2006/relationships/hyperlink" Target="https://www.instagram.com/gamelearn/" TargetMode="External" Id="rId1763" /><Relationship Type="http://schemas.openxmlformats.org/officeDocument/2006/relationships/hyperlink" Target="https://twitter.com/Gamelearn" TargetMode="External" Id="rId1764" /><Relationship Type="http://schemas.openxmlformats.org/officeDocument/2006/relationships/hyperlink" Target="http://www.linkedin.com/company/gamelearn" TargetMode="External" Id="rId1765" /><Relationship Type="http://schemas.openxmlformats.org/officeDocument/2006/relationships/hyperlink" Target="https://drive.google.com/uc?export=view&amp;id=1cLCGvJeaX0PBIajRQyFkolPVPDfZZS5A" TargetMode="External" Id="rId1766" /><Relationship Type="http://schemas.openxmlformats.org/officeDocument/2006/relationships/hyperlink" Target="http://www.mysoly.nl/" TargetMode="External" Id="rId1767" /><Relationship Type="http://schemas.openxmlformats.org/officeDocument/2006/relationships/hyperlink" Target="https://www.linkedin.com/company/82955558/admin/feed/posts/" TargetMode="External" Id="rId1768" /><Relationship Type="http://schemas.openxmlformats.org/officeDocument/2006/relationships/hyperlink" Target="https://drive.google.com/uc?export=view&amp;id=1eHc5zzooktsrLRbpT-9KtldOoIjnun6g" TargetMode="External" Id="rId1769" /><Relationship Type="http://schemas.openxmlformats.org/officeDocument/2006/relationships/hyperlink" Target="http://blockbook.nl/" TargetMode="External" Id="rId1770" /><Relationship Type="http://schemas.openxmlformats.org/officeDocument/2006/relationships/hyperlink" Target="https://www.linkedin.com/company/98543805/" TargetMode="External" Id="rId1771" /><Relationship Type="http://schemas.openxmlformats.org/officeDocument/2006/relationships/hyperlink" Target="https://drive.google.com/uc?export=view&amp;id=1Yb95an2gddwNJA6A34PnCBIiQv2N2tQv" TargetMode="External" Id="rId1772" /><Relationship Type="http://schemas.openxmlformats.org/officeDocument/2006/relationships/hyperlink" Target="https://studo.com/en/" TargetMode="External" Id="rId1773" /><Relationship Type="http://schemas.openxmlformats.org/officeDocument/2006/relationships/hyperlink" Target="https://www.instagram.com/studoapp/" TargetMode="External" Id="rId1774" /><Relationship Type="http://schemas.openxmlformats.org/officeDocument/2006/relationships/hyperlink" Target="https://twitter.com/studoapp" TargetMode="External" Id="rId1775" /><Relationship Type="http://schemas.openxmlformats.org/officeDocument/2006/relationships/hyperlink" Target="https://www.linkedin.com/company/studo-app" TargetMode="External" Id="rId1776" /><Relationship Type="http://schemas.openxmlformats.org/officeDocument/2006/relationships/hyperlink" Target="https://drive.google.com/uc?export=view&amp;id=1rLQ7gOj9Dc630z6hPEWNld0LmI2kdwB5" TargetMode="External" Id="rId1777" /><Relationship Type="http://schemas.openxmlformats.org/officeDocument/2006/relationships/hyperlink" Target="http://www.wyblo.com/" TargetMode="External" Id="rId1778" /><Relationship Type="http://schemas.openxmlformats.org/officeDocument/2006/relationships/hyperlink" Target="https://www.instagram.com/lifeatwyblo/" TargetMode="External" Id="rId1779" /><Relationship Type="http://schemas.openxmlformats.org/officeDocument/2006/relationships/hyperlink" Target="https://www.linkedin.com/company/wyblo" TargetMode="External" Id="rId1780" /><Relationship Type="http://schemas.openxmlformats.org/officeDocument/2006/relationships/hyperlink" Target="https://drive.google.com/uc?export=view&amp;id=1haqq3swoWn7OZ4SZs1XrGW9u7LMgJQdF" TargetMode="External" Id="rId1781" /><Relationship Type="http://schemas.openxmlformats.org/officeDocument/2006/relationships/hyperlink" Target="http://www.archaeo-now.com/" TargetMode="External" Id="rId1782" /><Relationship Type="http://schemas.openxmlformats.org/officeDocument/2006/relationships/hyperlink" Target="https://www.instagram.com/archaeonow/" TargetMode="External" Id="rId1783" /><Relationship Type="http://schemas.openxmlformats.org/officeDocument/2006/relationships/hyperlink" Target="https://www.linkedin.com/company/archaeonow" TargetMode="External" Id="rId1784" /><Relationship Type="http://schemas.openxmlformats.org/officeDocument/2006/relationships/hyperlink" Target="https://kwark.education/" TargetMode="External" Id="rId1785" /><Relationship Type="http://schemas.openxmlformats.org/officeDocument/2006/relationships/hyperlink" Target="https://twitter.com/KwarkEducation" TargetMode="External" Id="rId1786" /><Relationship Type="http://schemas.openxmlformats.org/officeDocument/2006/relationships/hyperlink" Target="https://www.linkedin.com/company/kwark-education/" TargetMode="External" Id="rId1787" /><Relationship Type="http://schemas.openxmlformats.org/officeDocument/2006/relationships/hyperlink" Target="https://drive.google.com/uc?export=view&amp;id=1410zBmBoNSbyHch5JMwN0KEU_zobv4YT" TargetMode="External" Id="rId1788" /><Relationship Type="http://schemas.openxmlformats.org/officeDocument/2006/relationships/hyperlink" Target="https://www.theia.fr/en/" TargetMode="External" Id="rId1789" /><Relationship Type="http://schemas.openxmlformats.org/officeDocument/2006/relationships/hyperlink" Target="https://twitter.com/edutheia?lang=en" TargetMode="External" Id="rId1790" /><Relationship Type="http://schemas.openxmlformats.org/officeDocument/2006/relationships/hyperlink" Target="https://www.linkedin.com/company/sas-theia/mycompany/verification/?viewAsMember=true" TargetMode="External" Id="rId1791" /><Relationship Type="http://schemas.openxmlformats.org/officeDocument/2006/relationships/hyperlink" Target="https://drive.google.com/uc?export=view&amp;id=1r_9D2exC8AK3L6IrC3NPUe5C0PVGzqcJ" TargetMode="External" Id="rId1792" /><Relationship Type="http://schemas.openxmlformats.org/officeDocument/2006/relationships/hyperlink" Target="https://www.ulys-europe.eu/" TargetMode="External" Id="rId1793" /><Relationship Type="http://schemas.openxmlformats.org/officeDocument/2006/relationships/hyperlink" Target="https://twitter.com/EuropeUlys" TargetMode="External" Id="rId1794" /><Relationship Type="http://schemas.openxmlformats.org/officeDocument/2006/relationships/hyperlink" Target="https://www.ulys-europe.eu/" TargetMode="External" Id="rId1795" /><Relationship Type="http://schemas.openxmlformats.org/officeDocument/2006/relationships/hyperlink" Target="https://drive.google.com/uc?export=view&amp;id=1-TsMHv-6_PhQ_Cfi9mt2zztaSkAzKlCz" TargetMode="External" Id="rId1796" /><Relationship Type="http://schemas.openxmlformats.org/officeDocument/2006/relationships/hyperlink" Target="https://www.limitlessedu.app/" TargetMode="External" Id="rId1797" /><Relationship Type="http://schemas.openxmlformats.org/officeDocument/2006/relationships/hyperlink" Target="https://www.linkedin.com/company/limitlesseduc" TargetMode="External" Id="rId1798" /><Relationship Type="http://schemas.openxmlformats.org/officeDocument/2006/relationships/hyperlink" Target="https://drive.google.com/uc?export=view&amp;id=1yxfYpDFsuliVSw3C8zzXIDSCqu8xEtHC" TargetMode="External" Id="rId1799" /><Relationship Type="http://schemas.openxmlformats.org/officeDocument/2006/relationships/hyperlink" Target="http://www.psyphy.io/" TargetMode="External" Id="rId1800" /><Relationship Type="http://schemas.openxmlformats.org/officeDocument/2006/relationships/hyperlink" Target="https://www.linkedin.com/company/psyphyamsterdam/" TargetMode="External" Id="rId1801" /><Relationship Type="http://schemas.openxmlformats.org/officeDocument/2006/relationships/hyperlink" Target="https://drive.google.com/uc?export=view&amp;id=1VQjEWqy3hX5HdvlDLdcJaIjth0LTaKTS" TargetMode="External" Id="rId1802" /><Relationship Type="http://schemas.openxmlformats.org/officeDocument/2006/relationships/hyperlink" Target="http://www.desku.fi/" TargetMode="External" Id="rId1803" /><Relationship Type="http://schemas.openxmlformats.org/officeDocument/2006/relationships/hyperlink" Target="https://drive.google.com/uc?export=view&amp;id=1u2cRghPZ4KB5LU4WPxrTr1Zckric6s_D" TargetMode="External" Id="rId1804" /><Relationship Type="http://schemas.openxmlformats.org/officeDocument/2006/relationships/hyperlink" Target="http://www.solveitnow.org/" TargetMode="External" Id="rId1805" /><Relationship Type="http://schemas.openxmlformats.org/officeDocument/2006/relationships/hyperlink" Target="https://www.x.com/@hellosolveit" TargetMode="External" Id="rId1806" /><Relationship Type="http://schemas.openxmlformats.org/officeDocument/2006/relationships/hyperlink" Target="https://www.linkedin.com/company/solveitnow-inc" TargetMode="External" Id="rId1807" /><Relationship Type="http://schemas.openxmlformats.org/officeDocument/2006/relationships/hyperlink" Target="https://drive.google.com/uc?export=view&amp;id=1QdrhPwigUTvHxzGuo0VZIRZi-Hem9Pzg" TargetMode="External" Id="rId1808" /><Relationship Type="http://schemas.openxmlformats.org/officeDocument/2006/relationships/hyperlink" Target="https://www.thehub21.com/" TargetMode="External" Id="rId1809" /><Relationship Type="http://schemas.openxmlformats.org/officeDocument/2006/relationships/hyperlink" Target="https://www.instagram.com/thehub.21/" TargetMode="External" Id="rId1810" /><Relationship Type="http://schemas.openxmlformats.org/officeDocument/2006/relationships/hyperlink" Target="https://www.linkedin.com/company/thehub21/" TargetMode="External" Id="rId1811" /><Relationship Type="http://schemas.openxmlformats.org/officeDocument/2006/relationships/hyperlink" Target="https://drive.google.com/uc?export=view&amp;id=18nhXpewqQxL6GXRuSEQW1ZqJjyhSMTx8" TargetMode="External" Id="rId1812" /><Relationship Type="http://schemas.openxmlformats.org/officeDocument/2006/relationships/hyperlink" Target="https://www.kickstart-innovation.com/" TargetMode="External" Id="rId1813" /><Relationship Type="http://schemas.openxmlformats.org/officeDocument/2006/relationships/hyperlink" Target="https://drive.google.com/uc?export=view&amp;id=1dYlK1Jr0nRaW9vaXtUAIPKDN3QpINK4Z" TargetMode="External" Id="rId1814" /><Relationship Type="http://schemas.openxmlformats.org/officeDocument/2006/relationships/hyperlink" Target="https://langly.ai/en/" TargetMode="External" Id="rId1815" /><Relationship Type="http://schemas.openxmlformats.org/officeDocument/2006/relationships/hyperlink" Target="https://www.instagram.com/langly.app/" TargetMode="External" Id="rId1816" /><Relationship Type="http://schemas.openxmlformats.org/officeDocument/2006/relationships/hyperlink" Target="https://twitter.com/langly_inc?s=21&amp;t=c9l-3xJat7s1nB0RAhFVuA" TargetMode="External" Id="rId1817" /><Relationship Type="http://schemas.openxmlformats.org/officeDocument/2006/relationships/hyperlink" Target="https://www.linkedin.com/company/langly/" TargetMode="External" Id="rId1818" /><Relationship Type="http://schemas.openxmlformats.org/officeDocument/2006/relationships/hyperlink" Target="https://drive.google.com/uc?export=view&amp;id=1Qyn5w3tIGIHv_gcqjvEElpEe-lxi2wsC" TargetMode="External" Id="rId1819" /><Relationship Type="http://schemas.openxmlformats.org/officeDocument/2006/relationships/hyperlink" Target="https://puro.education/" TargetMode="External" Id="rId1820" /><Relationship Type="http://schemas.openxmlformats.org/officeDocument/2006/relationships/hyperlink" Target="https://www.instagram.com/puro.education/" TargetMode="External" Id="rId1821" /><Relationship Type="http://schemas.openxmlformats.org/officeDocument/2006/relationships/hyperlink" Target="https://fi.linkedin.com/company/pisara-learning" TargetMode="External" Id="rId1822" /><Relationship Type="http://schemas.openxmlformats.org/officeDocument/2006/relationships/hyperlink" Target="https://drive.google.com/uc?export=view&amp;id=1SHEUQa0-3zT5OC8pKjduKLw2Spw7oTsh" TargetMode="External" Id="rId1823" /><Relationship Type="http://schemas.openxmlformats.org/officeDocument/2006/relationships/hyperlink" Target="https://edneo.de/de/" TargetMode="External" Id="rId1824" /><Relationship Type="http://schemas.openxmlformats.org/officeDocument/2006/relationships/hyperlink" Target="https://www.linkedin.com/company/edneo" TargetMode="External" Id="rId1825" /><Relationship Type="http://schemas.openxmlformats.org/officeDocument/2006/relationships/hyperlink" Target="https://drive.google.com/uc?export=view&amp;id=1w7Cm7cEXN6Ubct8OCoWjnF10Uu_-a4u6" TargetMode="External" Id="rId1826" /><Relationship Type="http://schemas.openxmlformats.org/officeDocument/2006/relationships/hyperlink" Target="https://www.activequiz.com/" TargetMode="External" Id="rId1827" /><Relationship Type="http://schemas.openxmlformats.org/officeDocument/2006/relationships/hyperlink" Target="https://www.linkedin.com/company/10925962/" TargetMode="External" Id="rId1828" /><Relationship Type="http://schemas.openxmlformats.org/officeDocument/2006/relationships/hyperlink" Target="https://drive.google.com/uc?export=view&amp;id=1QkxuS-6Qd_42daMy7NPu1oRPO_SJBm6k" TargetMode="External" Id="rId1829" /><Relationship Type="http://schemas.openxmlformats.org/officeDocument/2006/relationships/hyperlink" Target="http://www.cogknit.io/" TargetMode="External" Id="rId1830" /><Relationship Type="http://schemas.openxmlformats.org/officeDocument/2006/relationships/hyperlink" Target="https://drive.google.com/uc?export=view&amp;id=1apOpji-VeKvbAxJ-jvoGXRb-IGTwlhqG" TargetMode="External" Id="rId1831" /><Relationship Type="http://schemas.openxmlformats.org/officeDocument/2006/relationships/hyperlink" Target="http://www.theenglishquest.com/" TargetMode="External" Id="rId1832" /><Relationship Type="http://schemas.openxmlformats.org/officeDocument/2006/relationships/hyperlink" Target="https://drive.google.com/uc?export=view&amp;id=1AO8egDtgp4ae8j0_eOJTgkMGoLCepFQa" TargetMode="External" Id="rId1833" /><Relationship Type="http://schemas.openxmlformats.org/officeDocument/2006/relationships/hyperlink" Target="http://phrasecat.com/" TargetMode="External" Id="rId1834" /><Relationship Type="http://schemas.openxmlformats.org/officeDocument/2006/relationships/hyperlink" Target="https://www.linkedin.com/company/phrasecat" TargetMode="External" Id="rId1835" /><Relationship Type="http://schemas.openxmlformats.org/officeDocument/2006/relationships/hyperlink" Target="https://drive.google.com/uc?export=view&amp;id=13_o5FgEAJoR_ef4JnohgoH1PCVby8wDG" TargetMode="External" Id="rId1836" /><Relationship Type="http://schemas.openxmlformats.org/officeDocument/2006/relationships/hyperlink" Target="https://www.videocation.no/" TargetMode="External" Id="rId1837" /><Relationship Type="http://schemas.openxmlformats.org/officeDocument/2006/relationships/hyperlink" Target="http://videocation.no/" TargetMode="External" Id="rId1838" /><Relationship Type="http://schemas.openxmlformats.org/officeDocument/2006/relationships/hyperlink" Target="http://videocation.no/" TargetMode="External" Id="rId1839" /><Relationship Type="http://schemas.openxmlformats.org/officeDocument/2006/relationships/hyperlink" Target="https://www.linkedin.com/company/videocation.no/" TargetMode="External" Id="rId1840" /><Relationship Type="http://schemas.openxmlformats.org/officeDocument/2006/relationships/hyperlink" Target="https://drive.google.com/uc?export=view&amp;id=1CHnSGSuqd_FJXQH9rv55xI9zzFHZKDuG" TargetMode="External" Id="rId1841" /><Relationship Type="http://schemas.openxmlformats.org/officeDocument/2006/relationships/hyperlink" Target="http://www.ewink.es/" TargetMode="External" Id="rId1842" /><Relationship Type="http://schemas.openxmlformats.org/officeDocument/2006/relationships/hyperlink" Target="https://www.linkedin.com/company/ewink/?viewAsMember=true" TargetMode="External" Id="rId1843" /><Relationship Type="http://schemas.openxmlformats.org/officeDocument/2006/relationships/hyperlink" Target="http://fast-ai-movies.de/" TargetMode="External" Id="rId1844" /><Relationship Type="http://schemas.openxmlformats.org/officeDocument/2006/relationships/hyperlink" Target="https://www.instagram.com/fast.ai.movies" TargetMode="External" Id="rId1845" /><Relationship Type="http://schemas.openxmlformats.org/officeDocument/2006/relationships/hyperlink" Target="https://www.linkedin.com/company/fast-ai-movies" TargetMode="External" Id="rId1846" /><Relationship Type="http://schemas.openxmlformats.org/officeDocument/2006/relationships/hyperlink" Target="https://drive.google.com/uc?export=view&amp;id=1Epoe16em4hCJovTvlRRSrunnKgZHHftK" TargetMode="External" Id="rId1847" /><Relationship Type="http://schemas.openxmlformats.org/officeDocument/2006/relationships/hyperlink" Target="https://inkubator-kocevje.si/" TargetMode="External" Id="rId1848" /><Relationship Type="http://schemas.openxmlformats.org/officeDocument/2006/relationships/hyperlink" Target="https://www.instagram.com/inkubator_kocevje/" TargetMode="External" Id="rId1849" /><Relationship Type="http://schemas.openxmlformats.org/officeDocument/2006/relationships/hyperlink" Target="https://www.linkedin.com/company/podjetni%C5%A1ki-inkubator-ko%C4%8Devje" TargetMode="External" Id="rId1850" /><Relationship Type="http://schemas.openxmlformats.org/officeDocument/2006/relationships/hyperlink" Target="https://drive.google.com/uc?export=view&amp;id=17AxyioVPLeP4s-WWbiuP9r5u8LE8XLTQ" TargetMode="External" Id="rId1851" /><Relationship Type="http://schemas.openxmlformats.org/officeDocument/2006/relationships/hyperlink" Target="https://www.thelearninghub.be/" TargetMode="External" Id="rId1852" /><Relationship Type="http://schemas.openxmlformats.org/officeDocument/2006/relationships/hyperlink" Target="https://www.instagram.com/thelearninghub.be/" TargetMode="External" Id="rId1853" /><Relationship Type="http://schemas.openxmlformats.org/officeDocument/2006/relationships/hyperlink" Target="https://www.linkedin.com/company/the-learning-hub" TargetMode="External" Id="rId1854" /><Relationship Type="http://schemas.openxmlformats.org/officeDocument/2006/relationships/hyperlink" Target="https://drive.google.com/uc?export=view&amp;id=1llXNwGOGh3atxAT7mvrh_vliV2IPkwzy" TargetMode="External" Id="rId1855" /><Relationship Type="http://schemas.openxmlformats.org/officeDocument/2006/relationships/hyperlink" Target="http://3dcamp.us/" TargetMode="External" Id="rId1856" /><Relationship Type="http://schemas.openxmlformats.org/officeDocument/2006/relationships/hyperlink" Target="https://www.3dcamp.us/" TargetMode="External" Id="rId1857" /><Relationship Type="http://schemas.openxmlformats.org/officeDocument/2006/relationships/hyperlink" Target="https://www.instagram.com/3dcamp.us/" TargetMode="External" Id="rId1858" /><Relationship Type="http://schemas.openxmlformats.org/officeDocument/2006/relationships/hyperlink" Target="https://twitter.com/3dcampus_" TargetMode="External" Id="rId1859" /><Relationship Type="http://schemas.openxmlformats.org/officeDocument/2006/relationships/hyperlink" Target="https://www.linkedin.com/company/3dcampus/" TargetMode="External" Id="rId1860" /><Relationship Type="http://schemas.openxmlformats.org/officeDocument/2006/relationships/hyperlink" Target="http://3dcamp.us/" TargetMode="External" Id="rId1861" /><Relationship Type="http://schemas.openxmlformats.org/officeDocument/2006/relationships/hyperlink" Target="https://drive.google.com/uc?export=view&amp;id=1iETgsNDPB_6UrEYn4K-sFWNaS19epLUe" TargetMode="External" Id="rId1862" /><Relationship Type="http://schemas.openxmlformats.org/officeDocument/2006/relationships/hyperlink" Target="http://www.happycode.com.es/" TargetMode="External" Id="rId1863" /><Relationship Type="http://schemas.openxmlformats.org/officeDocument/2006/relationships/hyperlink" Target="https://www.instagram.com/happycodees/" TargetMode="External" Id="rId1864" /><Relationship Type="http://schemas.openxmlformats.org/officeDocument/2006/relationships/hyperlink" Target="https://twitter.com/HappyCode_ES" TargetMode="External" Id="rId1865" /><Relationship Type="http://schemas.openxmlformats.org/officeDocument/2006/relationships/hyperlink" Target="https://www.linkedin.com/company/happy-code-educacion-espana/?viewAsMember=true" TargetMode="External" Id="rId1866" /><Relationship Type="http://schemas.openxmlformats.org/officeDocument/2006/relationships/hyperlink" Target="https://drive.google.com/uc?export=view&amp;id=1u-f71kF00FaRWDkWwTN234dqiABEbKnP" TargetMode="External" Id="rId1867" /><Relationship Type="http://schemas.openxmlformats.org/officeDocument/2006/relationships/hyperlink" Target="https://www.evolmind.com/" TargetMode="External" Id="rId1868" /><Relationship Type="http://schemas.openxmlformats.org/officeDocument/2006/relationships/hyperlink" Target="https://twitter.com/evolcampus" TargetMode="External" Id="rId1869" /><Relationship Type="http://schemas.openxmlformats.org/officeDocument/2006/relationships/hyperlink" Target="https://www.linkedin.com/company/evolmind/?originalSubdomain=es" TargetMode="External" Id="rId1870" /><Relationship Type="http://schemas.openxmlformats.org/officeDocument/2006/relationships/hyperlink" Target="https://drive.google.com/uc?export=view&amp;id=13_SnqIRpOM2l7VlpKNJ_v4uREcpG67M2" TargetMode="External" Id="rId1871" /><Relationship Type="http://schemas.openxmlformats.org/officeDocument/2006/relationships/hyperlink" Target="https://www.kura-app.com/" TargetMode="External" Id="rId1872" /><Relationship Type="http://schemas.openxmlformats.org/officeDocument/2006/relationships/hyperlink" Target="https://www.linkedin.com/company/kura-app/" TargetMode="External" Id="rId1873" /><Relationship Type="http://schemas.openxmlformats.org/officeDocument/2006/relationships/hyperlink" Target="https://drive.google.com/uc?export=view&amp;id=1_Y-ZMPSQ93OhP6SMS5SmzkUFV5A3H8nB" TargetMode="External" Id="rId1874" /><Relationship Type="http://schemas.openxmlformats.org/officeDocument/2006/relationships/hyperlink" Target="https://myscol.com/" TargetMode="External" Id="rId1875" /><Relationship Type="http://schemas.openxmlformats.org/officeDocument/2006/relationships/hyperlink" Target="https://www.instagram.com/myscol.english/?next=%2F" TargetMode="External" Id="rId1876" /><Relationship Type="http://schemas.openxmlformats.org/officeDocument/2006/relationships/hyperlink" Target="https://twitter.com/MyScolOfficiel" TargetMode="External" Id="rId1877" /><Relationship Type="http://schemas.openxmlformats.org/officeDocument/2006/relationships/hyperlink" Target="https://www.linkedin.com/showcase/myscol/" TargetMode="External" Id="rId1878" /><Relationship Type="http://schemas.openxmlformats.org/officeDocument/2006/relationships/hyperlink" Target="https://drive.google.com/uc?export=view&amp;id=1c42WFAHcbHl_gkrmw7-O3HXwPokOQTZQ" TargetMode="External" Id="rId1879" /><Relationship Type="http://schemas.openxmlformats.org/officeDocument/2006/relationships/hyperlink" Target="https://learneron.net/" TargetMode="External" Id="rId1880" /><Relationship Type="http://schemas.openxmlformats.org/officeDocument/2006/relationships/hyperlink" Target="https://www.linkedin.com/company/learneron-net/" TargetMode="External" Id="rId1881" /><Relationship Type="http://schemas.openxmlformats.org/officeDocument/2006/relationships/hyperlink" Target="https://drive.google.com/uc?export=view&amp;id=1gqUKMY25dfY2gUf9S7vHyXEKvFU2C4-e" TargetMode="External" Id="rId1882" /><Relationship Type="http://schemas.openxmlformats.org/officeDocument/2006/relationships/hyperlink" Target="https://digitalfamily.es/" TargetMode="External" Id="rId1883" /><Relationship Type="http://schemas.openxmlformats.org/officeDocument/2006/relationships/hyperlink" Target="https://www.instagram.com/digitalfamily_es/" TargetMode="External" Id="rId1884" /><Relationship Type="http://schemas.openxmlformats.org/officeDocument/2006/relationships/hyperlink" Target="https://twitter.com/digitalfamilyes" TargetMode="External" Id="rId1885" /><Relationship Type="http://schemas.openxmlformats.org/officeDocument/2006/relationships/hyperlink" Target="https://www.linkedin.com/company/digital-family-espa%C3%B1a" TargetMode="External" Id="rId1886" /><Relationship Type="http://schemas.openxmlformats.org/officeDocument/2006/relationships/hyperlink" Target="https://drive.google.com/uc?export=view&amp;id=1Ms5vZ9oLKJatRj3fDEW1vtsBelmMAR2l" TargetMode="External" Id="rId1887" /><Relationship Type="http://schemas.openxmlformats.org/officeDocument/2006/relationships/hyperlink" Target="http://www.bool.ie/" TargetMode="External" Id="rId1888" /><Relationship Type="http://schemas.openxmlformats.org/officeDocument/2006/relationships/hyperlink" Target="https://www.linkedin.com/company/80011597" TargetMode="External" Id="rId1889" /><Relationship Type="http://schemas.openxmlformats.org/officeDocument/2006/relationships/hyperlink" Target="https://drive.google.com/uc?export=view&amp;id=15dG44nquMlVuA-wY3fuqjkCJUuru1ull" TargetMode="External" Id="rId1890" /><Relationship Type="http://schemas.openxmlformats.org/officeDocument/2006/relationships/hyperlink" Target="http://www.edf.global/" TargetMode="External" Id="rId1891" /><Relationship Type="http://schemas.openxmlformats.org/officeDocument/2006/relationships/hyperlink" Target="https://www.linkedin.com/company/entornosdeformacion" TargetMode="External" Id="rId1892" /><Relationship Type="http://schemas.openxmlformats.org/officeDocument/2006/relationships/hyperlink" Target="https://drive.google.com/uc?export=view&amp;id=1tFQjY9wqdhNQrB-Kd77v9a3arifqxHV-" TargetMode="External" Id="rId1893" /><Relationship Type="http://schemas.openxmlformats.org/officeDocument/2006/relationships/hyperlink" Target="https://www.wiseworld.ai/" TargetMode="External" Id="rId1894" /><Relationship Type="http://schemas.openxmlformats.org/officeDocument/2006/relationships/hyperlink" Target="https://www.instagram.com/wiseworld.ai/https:/www.instagram.com/wiseworld.ai/" TargetMode="External" Id="rId1895" /><Relationship Type="http://schemas.openxmlformats.org/officeDocument/2006/relationships/hyperlink" Target="https://twitter.com/WiseWorldai" TargetMode="External" Id="rId1896" /><Relationship Type="http://schemas.openxmlformats.org/officeDocument/2006/relationships/hyperlink" Target="https://www.linkedin.com/company/wiseworld-ai/https:/www.linkedin.com/company/wiseworld-ai/" TargetMode="External" Id="rId1897" /><Relationship Type="http://schemas.openxmlformats.org/officeDocument/2006/relationships/hyperlink" Target="https://drive.google.com/uc?export=view&amp;id=1nTYiN92m_rGp20blGt8OL5ICLbcw6cPQ" TargetMode="External" Id="rId1898" /><Relationship Type="http://schemas.openxmlformats.org/officeDocument/2006/relationships/hyperlink" Target="http://www.gamifactory.eu/" TargetMode="External" Id="rId1899" /><Relationship Type="http://schemas.openxmlformats.org/officeDocument/2006/relationships/hyperlink" Target="https://www.instagram.com/impactgames.eu/" TargetMode="External" Id="rId1900" /><Relationship Type="http://schemas.openxmlformats.org/officeDocument/2006/relationships/hyperlink" Target="https://www.linkedin.com/company/42421041/admin/feed/posts/" TargetMode="External" Id="rId1901" /><Relationship Type="http://schemas.openxmlformats.org/officeDocument/2006/relationships/hyperlink" Target="https://drive.google.com/uc?export=view&amp;id=1kKC8hcHFRafq_3rfBAmdsG6vsr1Ltr1y" TargetMode="External" Id="rId1902" /><Relationship Type="http://schemas.openxmlformats.org/officeDocument/2006/relationships/hyperlink" Target="http://www.emprendeconmigo.com/" TargetMode="External" Id="rId1903" /><Relationship Type="http://schemas.openxmlformats.org/officeDocument/2006/relationships/hyperlink" Target="https://www.linkedin.com/in/gina-de-echeona/" TargetMode="External" Id="rId1904" /><Relationship Type="http://schemas.openxmlformats.org/officeDocument/2006/relationships/hyperlink" Target="https://drive.google.com/uc?export=view&amp;id=1X8M1f_HbLIdGLVVKo8ItjlgmjBwOGZTP" TargetMode="External" Id="rId1905" /><Relationship Type="http://schemas.openxmlformats.org/officeDocument/2006/relationships/hyperlink" Target="http://www.meloom.com/" TargetMode="External" Id="rId1906" /><Relationship Type="http://schemas.openxmlformats.org/officeDocument/2006/relationships/hyperlink" Target="https://www.instagram.com/meloom_music/?hl=es" TargetMode="External" Id="rId1907" /><Relationship Type="http://schemas.openxmlformats.org/officeDocument/2006/relationships/hyperlink" Target="https://twitter.com/Meloom_Music" TargetMode="External" Id="rId1908" /><Relationship Type="http://schemas.openxmlformats.org/officeDocument/2006/relationships/hyperlink" Target="https://www.linkedin.com/company/meloom/" TargetMode="External" Id="rId1909" /><Relationship Type="http://schemas.openxmlformats.org/officeDocument/2006/relationships/hyperlink" Target="https://drive.google.com/uc?export=view&amp;id=1hqKNKXvhuQ-Bk2k-IB0UJITIKWAmQ6vu" TargetMode="External" Id="rId1910" /><Relationship Type="http://schemas.openxmlformats.org/officeDocument/2006/relationships/hyperlink" Target="https://www.mastercole.com/" TargetMode="External" Id="rId1911" /><Relationship Type="http://schemas.openxmlformats.org/officeDocument/2006/relationships/hyperlink" Target="https://www.instagram.com/mastercoleoficial/" TargetMode="External" Id="rId1912" /><Relationship Type="http://schemas.openxmlformats.org/officeDocument/2006/relationships/hyperlink" Target="https://twitter.com/somosmastercole" TargetMode="External" Id="rId1913" /><Relationship Type="http://schemas.openxmlformats.org/officeDocument/2006/relationships/hyperlink" Target="https://www.linkedin.com/company/MASTERCOLE" TargetMode="External" Id="rId1914" /><Relationship Type="http://schemas.openxmlformats.org/officeDocument/2006/relationships/hyperlink" Target="https://drive.google.com/uc?export=view&amp;id=14N9eZ1U4sXMwL7AeoH3m3lAhZpN26DDi" TargetMode="External" Id="rId1915" /><Relationship Type="http://schemas.openxmlformats.org/officeDocument/2006/relationships/hyperlink" Target="https://denglischdocs.com/" TargetMode="External" Id="rId1916" /><Relationship Type="http://schemas.openxmlformats.org/officeDocument/2006/relationships/hyperlink" Target="https://www.instagram.com/denglisch_docs/" TargetMode="External" Id="rId1917" /><Relationship Type="http://schemas.openxmlformats.org/officeDocument/2006/relationships/hyperlink" Target="https://twitter.com/Denglisch_Docs" TargetMode="External" Id="rId1918" /><Relationship Type="http://schemas.openxmlformats.org/officeDocument/2006/relationships/hyperlink" Target="https://de.linkedin.com/company/denglisch-docs" TargetMode="External" Id="rId1919" /><Relationship Type="http://schemas.openxmlformats.org/officeDocument/2006/relationships/hyperlink" Target="https://drive.google.com/uc?export=view&amp;id=14ybFmUcamVYKavEBHkvH79pIvT4zgTZn" TargetMode="External" Id="rId1920" /><Relationship Type="http://schemas.openxmlformats.org/officeDocument/2006/relationships/hyperlink" Target="https://www.matharena.net/" TargetMode="External" Id="rId1921" /><Relationship Type="http://schemas.openxmlformats.org/officeDocument/2006/relationships/hyperlink" Target="https://www.instagram.com/mathearena/?hl=de" TargetMode="External" Id="rId1922" /><Relationship Type="http://schemas.openxmlformats.org/officeDocument/2006/relationships/hyperlink" Target="https://www.linkedin.com/company/mathearena" TargetMode="External" Id="rId1923" /><Relationship Type="http://schemas.openxmlformats.org/officeDocument/2006/relationships/hyperlink" Target="https://drive.google.com/uc?export=view&amp;id=1UTiovnQvPEPyUN3vBn7jZGxixPzyXgdf" TargetMode="External" Id="rId1924" /><Relationship Type="http://schemas.openxmlformats.org/officeDocument/2006/relationships/hyperlink" Target="http://www.cogniti.es/" TargetMode="External" Id="rId1925" /><Relationship Type="http://schemas.openxmlformats.org/officeDocument/2006/relationships/hyperlink" Target="https://www.instagram.com/cognitiapp/" TargetMode="External" Id="rId1926" /><Relationship Type="http://schemas.openxmlformats.org/officeDocument/2006/relationships/hyperlink" Target="https://www.linkedin.com/company/cognitiapp/" TargetMode="External" Id="rId1927" /><Relationship Type="http://schemas.openxmlformats.org/officeDocument/2006/relationships/hyperlink" Target="https://drive.google.com/uc?export=view&amp;id=1GXC8eV_96hzpnv7j6dseBuU7CLlU9CnO" TargetMode="External" Id="rId1928" /><Relationship Type="http://schemas.openxmlformats.org/officeDocument/2006/relationships/hyperlink" Target="http://lernpfad.ch/" TargetMode="External" Id="rId1929" /><Relationship Type="http://schemas.openxmlformats.org/officeDocument/2006/relationships/hyperlink" Target="https://www.lernpfad.ch/" TargetMode="External" Id="rId1930" /><Relationship Type="http://schemas.openxmlformats.org/officeDocument/2006/relationships/hyperlink" Target="https://www.instagram.com/lernpfad/" TargetMode="External" Id="rId1931" /><Relationship Type="http://schemas.openxmlformats.org/officeDocument/2006/relationships/hyperlink" Target="https://twitter.com/lernpfad" TargetMode="External" Id="rId1932" /><Relationship Type="http://schemas.openxmlformats.org/officeDocument/2006/relationships/hyperlink" Target="https://www.linkedin.com/company/lernpfad/" TargetMode="External" Id="rId1933" /><Relationship Type="http://schemas.openxmlformats.org/officeDocument/2006/relationships/hyperlink" Target="http://lernpfad.ch/" TargetMode="External" Id="rId1934" /><Relationship Type="http://schemas.openxmlformats.org/officeDocument/2006/relationships/hyperlink" Target="https://drive.google.com/uc?export=view&amp;id=1E2fm98KxIYHWBwdTwObKIuZB7WT-_06E" TargetMode="External" Id="rId1935" /><Relationship Type="http://schemas.openxmlformats.org/officeDocument/2006/relationships/hyperlink" Target="https://www.esinstitute.com/" TargetMode="External" Id="rId1936" /><Relationship Type="http://schemas.openxmlformats.org/officeDocument/2006/relationships/hyperlink" Target="https://www.linkedin.com/company/esinstitute/mycompany/?viewAsMember=true" TargetMode="External" Id="rId1937" /><Relationship Type="http://schemas.openxmlformats.org/officeDocument/2006/relationships/hyperlink" Target="https://drive.google.com/uc?export=view&amp;id=1lA79senTrE-MZtML_Bm0JgmdTJdGmE5D" TargetMode="External" Id="rId1938" /><Relationship Type="http://schemas.openxmlformats.org/officeDocument/2006/relationships/hyperlink" Target="http://elai.io/" TargetMode="External" Id="rId1939" /><Relationship Type="http://schemas.openxmlformats.org/officeDocument/2006/relationships/hyperlink" Target="https://elai.io/" TargetMode="External" Id="rId1940" /><Relationship Type="http://schemas.openxmlformats.org/officeDocument/2006/relationships/hyperlink" Target="https://www.linkedin.com/company/elai-io" TargetMode="External" Id="rId1941" /><Relationship Type="http://schemas.openxmlformats.org/officeDocument/2006/relationships/hyperlink" Target="https://drive.google.com/uc?export=view&amp;id=1OlbOgo5DYZoMunuUDmP7aNKEISqJWBtN" TargetMode="External" Id="rId1942" /><Relationship Type="http://schemas.openxmlformats.org/officeDocument/2006/relationships/hyperlink" Target="http://www.askiraski.dk/" TargetMode="External" Id="rId1943" /><Relationship Type="http://schemas.openxmlformats.org/officeDocument/2006/relationships/hyperlink" Target="https://www.instagram.com/askiraskidanmark/" TargetMode="External" Id="rId1944" /><Relationship Type="http://schemas.openxmlformats.org/officeDocument/2006/relationships/hyperlink" Target="https://www.linkedin.com/company/aski-raski-danmark-aps/" TargetMode="External" Id="rId1945" /><Relationship Type="http://schemas.openxmlformats.org/officeDocument/2006/relationships/hyperlink" Target="https://drive.google.com/uc?export=view&amp;id=1_rAjfXUw-ld9XLKhEysP7U2piYRmNEvX" TargetMode="External" Id="rId1946" /><Relationship Type="http://schemas.openxmlformats.org/officeDocument/2006/relationships/hyperlink" Target="https://grammazzle.com/" TargetMode="External" Id="rId1947" /><Relationship Type="http://schemas.openxmlformats.org/officeDocument/2006/relationships/hyperlink" Target="https://www.instagram.com/Grammazzle/" TargetMode="External" Id="rId1948" /><Relationship Type="http://schemas.openxmlformats.org/officeDocument/2006/relationships/hyperlink" Target="https://twitter.com/grammazzle?lang=es" TargetMode="External" Id="rId1949" /><Relationship Type="http://schemas.openxmlformats.org/officeDocument/2006/relationships/hyperlink" Target="https://www.linkedin.com/company/grammazzle/" TargetMode="External" Id="rId1950" /><Relationship Type="http://schemas.openxmlformats.org/officeDocument/2006/relationships/hyperlink" Target="https://drive.google.com/uc?export=view&amp;id=1cc1iOybicJoPeXRCXWAhvoc1GmvXkdki" TargetMode="External" Id="rId1951" /><Relationship Type="http://schemas.openxmlformats.org/officeDocument/2006/relationships/hyperlink" Target="http://mytalents.ai/" TargetMode="External" Id="rId1952" /><Relationship Type="http://schemas.openxmlformats.org/officeDocument/2006/relationships/hyperlink" Target="http://mytalents.ai/" TargetMode="External" Id="rId1953" /><Relationship Type="http://schemas.openxmlformats.org/officeDocument/2006/relationships/hyperlink" Target="http://mytalents.ai/" TargetMode="External" Id="rId1954" /><Relationship Type="http://schemas.openxmlformats.org/officeDocument/2006/relationships/hyperlink" Target="https://www.linkedin.com/company/mytalents-ai" TargetMode="External" Id="rId1955" /><Relationship Type="http://schemas.openxmlformats.org/officeDocument/2006/relationships/hyperlink" Target="https://drive.google.com/uc?export=view&amp;id=1hHmh0ZAqsmkrl_JGY-3IFzOcXoOQEGWZ" TargetMode="External" Id="rId1956" /><Relationship Type="http://schemas.openxmlformats.org/officeDocument/2006/relationships/hyperlink" Target="https://startuplab.neoma-bs.fr/en/neoma-edtech-accelerator-2/" TargetMode="External" Id="rId1957" /><Relationship Type="http://schemas.openxmlformats.org/officeDocument/2006/relationships/hyperlink" Target="https://www.linkedin.com/company/neoma-edtech-accelerator/?viewAsMember=true" TargetMode="External" Id="rId1958" /><Relationship Type="http://schemas.openxmlformats.org/officeDocument/2006/relationships/hyperlink" Target="https://drive.google.com/uc?export=view&amp;id=1serLgfS6N9E9FZvvKCVWomBohU_V92xC" TargetMode="External" Id="rId1959" /><Relationship Type="http://schemas.openxmlformats.org/officeDocument/2006/relationships/hyperlink" Target="https://brainspro.com/" TargetMode="External" Id="rId1960" /><Relationship Type="http://schemas.openxmlformats.org/officeDocument/2006/relationships/hyperlink" Target="https://www.instagram.com/brainsprocom" TargetMode="External" Id="rId1961" /><Relationship Type="http://schemas.openxmlformats.org/officeDocument/2006/relationships/hyperlink" Target="https://www.twitter.com/brainspro" TargetMode="External" Id="rId1962" /><Relationship Type="http://schemas.openxmlformats.org/officeDocument/2006/relationships/hyperlink" Target="https://www.linkedin.com/company/brainspro" TargetMode="External" Id="rId1963" /><Relationship Type="http://schemas.openxmlformats.org/officeDocument/2006/relationships/hyperlink" Target="https://drive.google.com/uc?export=view&amp;id=1LhjpUsyd9K5Ng6bmSdbemsFPUEa4HvYe" TargetMode="External" Id="rId1964" /><Relationship Type="http://schemas.openxmlformats.org/officeDocument/2006/relationships/hyperlink" Target="https://founderz.com/" TargetMode="External" Id="rId1965" /><Relationship Type="http://schemas.openxmlformats.org/officeDocument/2006/relationships/hyperlink" Target="https://www.instagram.com/founderzschool/" TargetMode="External" Id="rId1966" /><Relationship Type="http://schemas.openxmlformats.org/officeDocument/2006/relationships/hyperlink" Target="https://twitter.com/founderz" TargetMode="External" Id="rId1967" /><Relationship Type="http://schemas.openxmlformats.org/officeDocument/2006/relationships/hyperlink" Target="https://www.linkedin.com/school/founderz-digital-business-school/" TargetMode="External" Id="rId1968" /><Relationship Type="http://schemas.openxmlformats.org/officeDocument/2006/relationships/hyperlink" Target="https://drive.google.com/uc?export=view&amp;id=1adVZVlafUKvZZkGM-TCOiL1K-iP-EWw7" TargetMode="External" Id="rId1969" /><Relationship Type="http://schemas.openxmlformats.org/officeDocument/2006/relationships/hyperlink" Target="http://www.learnio.eu/" TargetMode="External" Id="rId1970" /><Relationship Type="http://schemas.openxmlformats.org/officeDocument/2006/relationships/hyperlink" Target="https://www.instagram.com/learnio.eu/" TargetMode="External" Id="rId1971" /><Relationship Type="http://schemas.openxmlformats.org/officeDocument/2006/relationships/hyperlink" Target="http://www.linkedin.com/company/learniodigitalskills" TargetMode="External" Id="rId1972" /><Relationship Type="http://schemas.openxmlformats.org/officeDocument/2006/relationships/hyperlink" Target="https://drive.google.com/uc?export=view&amp;id=172JXXOZAZS7K_0KwHWz0-O_GhuasXhjq" TargetMode="External" Id="rId1973" /><Relationship Type="http://schemas.openxmlformats.org/officeDocument/2006/relationships/hyperlink" Target="http://www.neurekalab.com/" TargetMode="External" Id="rId1974" /><Relationship Type="http://schemas.openxmlformats.org/officeDocument/2006/relationships/hyperlink" Target="https://www.instagram.com/neurekalab_es/" TargetMode="External" Id="rId1975" /><Relationship Type="http://schemas.openxmlformats.org/officeDocument/2006/relationships/hyperlink" Target="https://twitter.com/neurekalab_es" TargetMode="External" Id="rId1976" /><Relationship Type="http://schemas.openxmlformats.org/officeDocument/2006/relationships/hyperlink" Target="https://www.linkedin.com/company/neurekalab" TargetMode="External" Id="rId1977" /><Relationship Type="http://schemas.openxmlformats.org/officeDocument/2006/relationships/hyperlink" Target="https://drive.google.com/uc?export=view&amp;id=1xakJDkEhu7G25MGiUycwzkVbld1CWtG2" TargetMode="External" Id="rId1978" /><Relationship Type="http://schemas.openxmlformats.org/officeDocument/2006/relationships/hyperlink" Target="https://oxinity.com/" TargetMode="External" Id="rId1979" /><Relationship Type="http://schemas.openxmlformats.org/officeDocument/2006/relationships/hyperlink" Target="https://www.instagram.com/oxinitycom/" TargetMode="External" Id="rId1980" /><Relationship Type="http://schemas.openxmlformats.org/officeDocument/2006/relationships/hyperlink" Target="https://twitter.com/OxinityCom" TargetMode="External" Id="rId1981" /><Relationship Type="http://schemas.openxmlformats.org/officeDocument/2006/relationships/hyperlink" Target="https://www.linkedin.com/company/oxinity" TargetMode="External" Id="rId1982" /><Relationship Type="http://schemas.openxmlformats.org/officeDocument/2006/relationships/hyperlink" Target="https://drive.google.com/uc?export=view&amp;id=1ESeX3-vOPt_yAa__kuPHBChZ-rWofShp" TargetMode="External" Id="rId1983" /><Relationship Type="http://schemas.openxmlformats.org/officeDocument/2006/relationships/hyperlink" Target="https://zukunft-digitale-bildung.de/" TargetMode="External" Id="rId1984" /><Relationship Type="http://schemas.openxmlformats.org/officeDocument/2006/relationships/hyperlink" Target="https://www.linkedin.com/company/67175440/admin/feed/posts/" TargetMode="External" Id="rId1985" /><Relationship Type="http://schemas.openxmlformats.org/officeDocument/2006/relationships/hyperlink" Target="https://drive.google.com/uc?export=view&amp;id=1o6WJVUinuKNMp5HuKnvUk3x-2--MkI0D" TargetMode="External" Id="rId1986" /><Relationship Type="http://schemas.openxmlformats.org/officeDocument/2006/relationships/hyperlink" Target="http://www.meitner.se/" TargetMode="External" Id="rId1987" /><Relationship Type="http://schemas.openxmlformats.org/officeDocument/2006/relationships/hyperlink" Target="http://meitner.se/" TargetMode="External" Id="rId1988" /><Relationship Type="http://schemas.openxmlformats.org/officeDocument/2006/relationships/hyperlink" Target="https://www.linkedin.com/company/74203088/admin/" TargetMode="External" Id="rId1989" /><Relationship Type="http://schemas.openxmlformats.org/officeDocument/2006/relationships/hyperlink" Target="https://drive.google.com/uc?export=view&amp;id=1FivRUs-pq3vnt4jLd4OEAH4YQUl8rLEP" TargetMode="External" Id="rId1990" /><Relationship Type="http://schemas.openxmlformats.org/officeDocument/2006/relationships/hyperlink" Target="http://uugot.it/" TargetMode="External" Id="rId1991" /><Relationship Type="http://schemas.openxmlformats.org/officeDocument/2006/relationships/hyperlink" Target="http://www.uugot.it/" TargetMode="External" Id="rId1992" /><Relationship Type="http://schemas.openxmlformats.org/officeDocument/2006/relationships/hyperlink" Target="https://twitter.com/uugot_it" TargetMode="External" Id="rId1993" /><Relationship Type="http://schemas.openxmlformats.org/officeDocument/2006/relationships/hyperlink" Target="https://www.linkedin.com/company/uugot-it" TargetMode="External" Id="rId1994" /><Relationship Type="http://schemas.openxmlformats.org/officeDocument/2006/relationships/hyperlink" Target="https://drive.google.com/uc?export=view&amp;id=1dx_lckXUR1DsidocERH5VR2EGbz4X4Z_" TargetMode="External" Id="rId1995" /><Relationship Type="http://schemas.openxmlformats.org/officeDocument/2006/relationships/hyperlink" Target="https://captic.io/" TargetMode="External" Id="rId1996" /><Relationship Type="http://schemas.openxmlformats.org/officeDocument/2006/relationships/hyperlink" Target="https://twitter.com/capticio" TargetMode="External" Id="rId1997" /><Relationship Type="http://schemas.openxmlformats.org/officeDocument/2006/relationships/hyperlink" Target="https://www.linkedin.com/company/captic-io" TargetMode="External" Id="rId1998" /><Relationship Type="http://schemas.openxmlformats.org/officeDocument/2006/relationships/hyperlink" Target="https://drive.google.com/uc?export=view&amp;id=1UIdTm3wOI0rbYT_a7-SBPrcJUJ301zqg" TargetMode="External" Id="rId1999" /><Relationship Type="http://schemas.openxmlformats.org/officeDocument/2006/relationships/hyperlink" Target="https://www.classonlive.com/" TargetMode="External" Id="rId2000" /><Relationship Type="http://schemas.openxmlformats.org/officeDocument/2006/relationships/hyperlink" Target="https://drive.google.com/uc?export=view&amp;id=17O8dhZxFJRSBOTONVTlo-SX6T-0fQnn6" TargetMode="External" Id="rId2001" /><Relationship Type="http://schemas.openxmlformats.org/officeDocument/2006/relationships/hyperlink" Target="https://epapa.eu/" TargetMode="External" Id="rId2002" /><Relationship Type="http://schemas.openxmlformats.org/officeDocument/2006/relationships/hyperlink" Target="https://www.linkedin.com/company/epapa/" TargetMode="External" Id="rId2003" /><Relationship Type="http://schemas.openxmlformats.org/officeDocument/2006/relationships/hyperlink" Target="https://drive.google.com/uc?export=view&amp;id=1XaN7DHKFzLqIUITkp73VnVPIW52ECw50" TargetMode="External" Id="rId2004" /><Relationship Type="http://schemas.openxmlformats.org/officeDocument/2006/relationships/hyperlink" Target="http://www.lingokids.com/" TargetMode="External" Id="rId2005" /><Relationship Type="http://schemas.openxmlformats.org/officeDocument/2006/relationships/hyperlink" Target="https://www.instagram.com/lingokids/?hl=en" TargetMode="External" Id="rId2006" /><Relationship Type="http://schemas.openxmlformats.org/officeDocument/2006/relationships/hyperlink" Target="https://www.linkedin.com/company/lingokids/mycompany/verification/" TargetMode="External" Id="rId2007" /><Relationship Type="http://schemas.openxmlformats.org/officeDocument/2006/relationships/hyperlink" Target="https://drive.google.com/uc?export=view&amp;id=1VxVY4aXtzo3qAkwZ1wOOTaAtkt-nKHxe" TargetMode="External" Id="rId2008" /><Relationship Type="http://schemas.openxmlformats.org/officeDocument/2006/relationships/hyperlink" Target="http://www.stellia.ai/" TargetMode="External" Id="rId2009" /><Relationship Type="http://schemas.openxmlformats.org/officeDocument/2006/relationships/hyperlink" Target="https://www.linkedin.com/company/professorbob/mycompany/" TargetMode="External" Id="rId2010" /><Relationship Type="http://schemas.openxmlformats.org/officeDocument/2006/relationships/hyperlink" Target="http://www.coesu.com/" TargetMode="External" Id="rId2011" /><Relationship Type="http://schemas.openxmlformats.org/officeDocument/2006/relationships/hyperlink" Target="https://www.linkedin.com/company/10259262/admin/feed/posts/" TargetMode="External" Id="rId2012" /><Relationship Type="http://schemas.openxmlformats.org/officeDocument/2006/relationships/hyperlink" Target="https://drive.google.com/uc?export=view&amp;id=1HePMm4aDs6jCUiZKnCGGLNFO0Gm4b_Vu" TargetMode="External" Id="rId2013" /><Relationship Type="http://schemas.openxmlformats.org/officeDocument/2006/relationships/hyperlink" Target="https://maeducationusa.com/" TargetMode="External" Id="rId2014" /><Relationship Type="http://schemas.openxmlformats.org/officeDocument/2006/relationships/hyperlink" Target="https://www.instagram.com/mae.sports/" TargetMode="External" Id="rId2015" /><Relationship Type="http://schemas.openxmlformats.org/officeDocument/2006/relationships/hyperlink" Target="https://es.linkedin.com/company/mae-sports-education" TargetMode="External" Id="rId2016" /><Relationship Type="http://schemas.openxmlformats.org/officeDocument/2006/relationships/hyperlink" Target="https://drive.google.com/uc?export=view&amp;id=1ojkGYtbsHwKUPyST4-O9rlL6-NgEPd3L" TargetMode="External" Id="rId2017" /><Relationship Type="http://schemas.openxmlformats.org/officeDocument/2006/relationships/hyperlink" Target="https://www.novelingo.com/" TargetMode="External" Id="rId2018" /><Relationship Type="http://schemas.openxmlformats.org/officeDocument/2006/relationships/hyperlink" Target="https://twitter.com/novelingo" TargetMode="External" Id="rId2019" /><Relationship Type="http://schemas.openxmlformats.org/officeDocument/2006/relationships/hyperlink" Target="https://www.linkedin.com/company/novelingo" TargetMode="External" Id="rId2020" /><Relationship Type="http://schemas.openxmlformats.org/officeDocument/2006/relationships/hyperlink" Target="https://drive.google.com/uc?export=view&amp;id=1fwe-91vK9KC-CkHvXb3vGD0469byOpsc" TargetMode="External" Id="rId2021" /><Relationship Type="http://schemas.openxmlformats.org/officeDocument/2006/relationships/hyperlink" Target="http://www.edpuzzle.com/" TargetMode="External" Id="rId2022" /><Relationship Type="http://schemas.openxmlformats.org/officeDocument/2006/relationships/hyperlink" Target="https://www.instagram.com/edpuzzle/" TargetMode="External" Id="rId2023" /><Relationship Type="http://schemas.openxmlformats.org/officeDocument/2006/relationships/hyperlink" Target="https://twitter.com/edpuzzle" TargetMode="External" Id="rId2024" /><Relationship Type="http://schemas.openxmlformats.org/officeDocument/2006/relationships/hyperlink" Target="https://www.linkedin.com/company/edpuzzle-inc-" TargetMode="External" Id="rId2025" /><Relationship Type="http://schemas.openxmlformats.org/officeDocument/2006/relationships/hyperlink" Target="https://sciado.fr/dynamic-learning-solutions/" TargetMode="External" Id="rId2026" /><Relationship Type="http://schemas.openxmlformats.org/officeDocument/2006/relationships/hyperlink" Target="https://www.instagram.com/sciadop/" TargetMode="External" Id="rId2027" /><Relationship Type="http://schemas.openxmlformats.org/officeDocument/2006/relationships/hyperlink" Target="https://twitter.com/SciadoP" TargetMode="External" Id="rId2028" /><Relationship Type="http://schemas.openxmlformats.org/officeDocument/2006/relationships/hyperlink" Target="https://www.linkedin.com/company/22344441/admin/" TargetMode="External" Id="rId2029" /><Relationship Type="http://schemas.openxmlformats.org/officeDocument/2006/relationships/hyperlink" Target="https://drive.google.com/uc?export=view&amp;id=1Sb0BOCYGyjexIsrhcug4FVFrNFZEH6dH" TargetMode="External" Id="rId2030" /><Relationship Type="http://schemas.openxmlformats.org/officeDocument/2006/relationships/hyperlink" Target="https://www.beegup.com/" TargetMode="External" Id="rId2031" /><Relationship Type="http://schemas.openxmlformats.org/officeDocument/2006/relationships/hyperlink" Target="https://instagram.com/beegupeducation?igshid=MzRlODBiNWFlZA==" TargetMode="External" Id="rId2032" /><Relationship Type="http://schemas.openxmlformats.org/officeDocument/2006/relationships/hyperlink" Target="https://www.linkedin.com/company/beegup/" TargetMode="External" Id="rId2033" /><Relationship Type="http://schemas.openxmlformats.org/officeDocument/2006/relationships/hyperlink" Target="https://drive.google.com/uc?export=view&amp;id=1OW2Y8oU09F4R2YkCzqXBauMNCWu4mX6a" TargetMode="External" Id="rId2034" /><Relationship Type="http://schemas.openxmlformats.org/officeDocument/2006/relationships/hyperlink" Target="https://discover.innovamat.com/" TargetMode="External" Id="rId2035" /><Relationship Type="http://schemas.openxmlformats.org/officeDocument/2006/relationships/hyperlink" Target="https://www.instagram.com/innovamat_es/?hl=en" TargetMode="External" Id="rId2036" /><Relationship Type="http://schemas.openxmlformats.org/officeDocument/2006/relationships/hyperlink" Target="https://twitter.com/innovamat_es?lang=en" TargetMode="External" Id="rId2037" /><Relationship Type="http://schemas.openxmlformats.org/officeDocument/2006/relationships/hyperlink" Target="https://www.linkedin.com/company/innovamat-education/" TargetMode="External" Id="rId2038" /><Relationship Type="http://schemas.openxmlformats.org/officeDocument/2006/relationships/hyperlink" Target="https://drive.google.com/uc?export=view&amp;id=1mK3f17BYc7PeRzkU_do1YmDskzzM95sS" TargetMode="External" Id="rId2039" /><Relationship Type="http://schemas.openxmlformats.org/officeDocument/2006/relationships/hyperlink" Target="https://www.happinessplay.com/" TargetMode="External" Id="rId2040" /><Relationship Type="http://schemas.openxmlformats.org/officeDocument/2006/relationships/hyperlink" Target="https://www.instagram.com/Happiness_Play/" TargetMode="External" Id="rId2041" /><Relationship Type="http://schemas.openxmlformats.org/officeDocument/2006/relationships/hyperlink" Target="https://twitter.com/autocoaching" TargetMode="External" Id="rId2042" /><Relationship Type="http://schemas.openxmlformats.org/officeDocument/2006/relationships/hyperlink" Target="http://www.linkedin.com/company/autocoaching" TargetMode="External" Id="rId2043" /><Relationship Type="http://schemas.openxmlformats.org/officeDocument/2006/relationships/hyperlink" Target="https://drive.google.com/uc?export=view&amp;id=1rl_tBauPeclAN9Phi_XPiRRuu5w5VZUR" TargetMode="External" Id="rId2044" /><Relationship Type="http://schemas.openxmlformats.org/officeDocument/2006/relationships/hyperlink" Target="https://eedi.com/" TargetMode="External" Id="rId2045" /><Relationship Type="http://schemas.openxmlformats.org/officeDocument/2006/relationships/hyperlink" Target="https://twitter.com/helloeedi" TargetMode="External" Id="rId2046" /><Relationship Type="http://schemas.openxmlformats.org/officeDocument/2006/relationships/hyperlink" Target="https://uk.linkedin.com/company/eedi" TargetMode="External" Id="rId2047" /><Relationship Type="http://schemas.openxmlformats.org/officeDocument/2006/relationships/hyperlink" Target="https://drive.google.com/uc?export=view&amp;id=1sfchL9URJosLfHDrANZvCUD_IiEeRVby" TargetMode="External" Id="rId2048" /><Relationship Type="http://schemas.openxmlformats.org/officeDocument/2006/relationships/hyperlink" Target="http://www.beebio.net/" TargetMode="External" Id="rId2049" /><Relationship Type="http://schemas.openxmlformats.org/officeDocument/2006/relationships/hyperlink" Target="https://www.linkedin.com/company/beebioedtech" TargetMode="External" Id="rId2050" /><Relationship Type="http://schemas.openxmlformats.org/officeDocument/2006/relationships/hyperlink" Target="https://drive.google.com/uc?export=view&amp;id=1AzL4RFquWwq0r2QKTUhXXGkmyF8eabZq" TargetMode="External" Id="rId2051" /><Relationship Type="http://schemas.openxmlformats.org/officeDocument/2006/relationships/hyperlink" Target="http://www.wooclap.com/" TargetMode="External" Id="rId2052" /><Relationship Type="http://schemas.openxmlformats.org/officeDocument/2006/relationships/hyperlink" Target="https://twitter.com/wooclap" TargetMode="External" Id="rId2053" /><Relationship Type="http://schemas.openxmlformats.org/officeDocument/2006/relationships/hyperlink" Target="https://www.linkedin.com/company/9264419/" TargetMode="External" Id="rId2054" /><Relationship Type="http://schemas.openxmlformats.org/officeDocument/2006/relationships/hyperlink" Target="https://drive.google.com/uc?export=view&amp;id=14xsZpMhFz5HIdqALWh4fin1it2tDFCHe" TargetMode="External" Id="rId2055" /><Relationship Type="http://schemas.openxmlformats.org/officeDocument/2006/relationships/hyperlink" Target="https://schoolwiselearning.com/" TargetMode="External" Id="rId2056" /><Relationship Type="http://schemas.openxmlformats.org/officeDocument/2006/relationships/hyperlink" Target="https://twitter.com/myschoolwise" TargetMode="External" Id="rId2057" /><Relationship Type="http://schemas.openxmlformats.org/officeDocument/2006/relationships/hyperlink" Target="https://ie.linkedin.com/company/schoolwise-learning" TargetMode="External" Id="rId2058" /><Relationship Type="http://schemas.openxmlformats.org/officeDocument/2006/relationships/hyperlink" Target="https://drive.google.com/uc?export=view&amp;id=1AH-7Fz6Q2PulHsALLcq69jlzYAz0u0CO" TargetMode="External" Id="rId2059" /><Relationship Type="http://schemas.openxmlformats.org/officeDocument/2006/relationships/hyperlink" Target="https://www.recursosparaclase.es/" TargetMode="External" Id="rId2060" /><Relationship Type="http://schemas.openxmlformats.org/officeDocument/2006/relationships/hyperlink" Target="https://drive.google.com/uc?export=view&amp;id=1_WJVPwCEfn9_b1KBqpRu0WdnHfFhpdcy" TargetMode="External" Id="rId2061" /><Relationship Type="http://schemas.openxmlformats.org/officeDocument/2006/relationships/hyperlink" Target="https://www.i3-technologies.com/" TargetMode="External" Id="rId2062" /><Relationship Type="http://schemas.openxmlformats.org/officeDocument/2006/relationships/hyperlink" Target="https://www.instagram.com/i3_technologies/" TargetMode="External" Id="rId2063" /><Relationship Type="http://schemas.openxmlformats.org/officeDocument/2006/relationships/hyperlink" Target="https://twitter.com/i3_Technologies" TargetMode="External" Id="rId2064" /><Relationship Type="http://schemas.openxmlformats.org/officeDocument/2006/relationships/hyperlink" Target="https://www.linkedin.com/company/i3technologies/" TargetMode="External" Id="rId2065" /><Relationship Type="http://schemas.openxmlformats.org/officeDocument/2006/relationships/hyperlink" Target="https://drive.google.com/uc?export=view&amp;id=1Pe0hOpqbgIVtAn_UgEDZlTn2OwWjclaV" TargetMode="External" Id="rId2066" /><Relationship Type="http://schemas.openxmlformats.org/officeDocument/2006/relationships/hyperlink" Target="https://www.eduka.lt/" TargetMode="External" Id="rId2067" /><Relationship Type="http://schemas.openxmlformats.org/officeDocument/2006/relationships/hyperlink" Target="https://www.linkedin.com/company/edukaklase/" TargetMode="External" Id="rId2068" /><Relationship Type="http://schemas.openxmlformats.org/officeDocument/2006/relationships/hyperlink" Target="https://drive.google.com/uc?export=view&amp;id=1b_l9fhrsngwomSImaSF0QBdkymxplvKL" TargetMode="External" Id="rId2069" /><Relationship Type="http://schemas.openxmlformats.org/officeDocument/2006/relationships/hyperlink" Target="https://www.tamo.lt/" TargetMode="External" Id="rId2070" /><Relationship Type="http://schemas.openxmlformats.org/officeDocument/2006/relationships/hyperlink" Target="https://www.linkedin.com/company/tavomokykla/mycompany/" TargetMode="External" Id="rId2071" /><Relationship Type="http://schemas.openxmlformats.org/officeDocument/2006/relationships/hyperlink" Target="https://drive.google.com/uc?export=view&amp;id=18f5iXiZTC0A-9NkJpV8Jn79GG5BMY8UB" TargetMode="External" Id="rId2072" /><Relationship Type="http://schemas.openxmlformats.org/officeDocument/2006/relationships/hyperlink" Target="http://joinhyphen.com/" TargetMode="External" Id="rId2073" /><Relationship Type="http://schemas.openxmlformats.org/officeDocument/2006/relationships/hyperlink" Target="https://www.linkedin.com/school/hyphen-/" TargetMode="External" Id="rId2074" /><Relationship Type="http://schemas.openxmlformats.org/officeDocument/2006/relationships/hyperlink" Target="https://drive.google.com/uc?export=view&amp;id=1GbGSJXYGnVVsRV7oLEy9LuXjy_X_DVOJ" TargetMode="External" Id="rId2075" /><Relationship Type="http://schemas.openxmlformats.org/officeDocument/2006/relationships/hyperlink" Target="http://www.academator.com/" TargetMode="External" Id="rId2076" /><Relationship Type="http://schemas.openxmlformats.org/officeDocument/2006/relationships/hyperlink" Target="https://www.linkedin.com/company/academator" TargetMode="External" Id="rId2077" /><Relationship Type="http://schemas.openxmlformats.org/officeDocument/2006/relationships/hyperlink" Target="https://drive.google.com/uc?export=view&amp;id=1Ihmme8abNtP_d_j5O3LTsGs0F49dWOX2" TargetMode="External" Id="rId2078" /><Relationship Type="http://schemas.openxmlformats.org/officeDocument/2006/relationships/hyperlink" Target="https://projectset.com/" TargetMode="External" Id="rId2079" /><Relationship Type="http://schemas.openxmlformats.org/officeDocument/2006/relationships/hyperlink" Target="https://www.instagram.com/project.set/" TargetMode="External" Id="rId2080" /><Relationship Type="http://schemas.openxmlformats.org/officeDocument/2006/relationships/hyperlink" Target="https://twitter.com/ProjectSetUK" TargetMode="External" Id="rId2081" /><Relationship Type="http://schemas.openxmlformats.org/officeDocument/2006/relationships/hyperlink" Target="https://www.linkedin.com/company/projectset" TargetMode="External" Id="rId2082" /><Relationship Type="http://schemas.openxmlformats.org/officeDocument/2006/relationships/hyperlink" Target="https://drive.google.com/uc?export=view&amp;id=18MUSW8Fa5YdMMmquBUz4rdHM53IsMHCc" TargetMode="External" Id="rId2083" /><Relationship Type="http://schemas.openxmlformats.org/officeDocument/2006/relationships/hyperlink" Target="https://www.trezorium.com/" TargetMode="External" Id="rId2084" /><Relationship Type="http://schemas.openxmlformats.org/officeDocument/2006/relationships/hyperlink" Target="https://www.instagram.com/trezorium/" TargetMode="External" Id="rId2085" /><Relationship Type="http://schemas.openxmlformats.org/officeDocument/2006/relationships/hyperlink" Target="https://twitter.com/trezorium" TargetMode="External" Id="rId2086" /><Relationship Type="http://schemas.openxmlformats.org/officeDocument/2006/relationships/hyperlink" Target="https://www.linkedin.com/company/trezorium" TargetMode="External" Id="rId2087" /><Relationship Type="http://schemas.openxmlformats.org/officeDocument/2006/relationships/hyperlink" Target="http://makerium.fr/" TargetMode="External" Id="rId2088" /><Relationship Type="http://schemas.openxmlformats.org/officeDocument/2006/relationships/hyperlink" Target="https://drive.google.com/uc?export=view&amp;id=1VfXIx7UC-5AMX9sgzh53wray6f5ifzhi" TargetMode="External" Id="rId2089" /><Relationship Type="http://schemas.openxmlformats.org/officeDocument/2006/relationships/hyperlink" Target="https://flowley.nl/" TargetMode="External" Id="rId2090" /><Relationship Type="http://schemas.openxmlformats.org/officeDocument/2006/relationships/hyperlink" Target="https://www.linkedin.com/company/flowley/" TargetMode="External" Id="rId2091" /><Relationship Type="http://schemas.openxmlformats.org/officeDocument/2006/relationships/hyperlink" Target="https://drive.google.com/uc?export=view&amp;id=1PNUN4QlQ1H_gG3a5iCZkRRim6upBiIx2" TargetMode="External" Id="rId2092" /><Relationship Type="http://schemas.openxmlformats.org/officeDocument/2006/relationships/hyperlink" Target="http://www.feelandplay.com/" TargetMode="External" Id="rId2093" /><Relationship Type="http://schemas.openxmlformats.org/officeDocument/2006/relationships/hyperlink" Target="https://www.instagram.com/musicfairytales_official/" TargetMode="External" Id="rId2094" /><Relationship Type="http://schemas.openxmlformats.org/officeDocument/2006/relationships/hyperlink" Target="https://www.linkedin.com/company/musicfairytales/" TargetMode="External" Id="rId2095" /><Relationship Type="http://schemas.openxmlformats.org/officeDocument/2006/relationships/hyperlink" Target="https://drive.google.com/uc?export=view&amp;id=1lcAN0Etrc75KAPTRDi3fSTcnGTo8UTtK" TargetMode="External" Id="rId2096" /><Relationship Type="http://schemas.openxmlformats.org/officeDocument/2006/relationships/hyperlink" Target="http://www.mirroco.ch/" TargetMode="External" Id="rId2097" /><Relationship Type="http://schemas.openxmlformats.org/officeDocument/2006/relationships/hyperlink" Target="https://cl.linkedin.com/company/mirroco" TargetMode="External" Id="rId2098" /><Relationship Type="http://schemas.openxmlformats.org/officeDocument/2006/relationships/hyperlink" Target="https://drive.google.com/uc?export=view&amp;id=1I8sFHhKtUk23qZOUzfd4OJEt5GSzC_CF" TargetMode="External" Id="rId2099" /><Relationship Type="http://schemas.openxmlformats.org/officeDocument/2006/relationships/hyperlink" Target="https://liirn.space/" TargetMode="External" Id="rId2100" /><Relationship Type="http://schemas.openxmlformats.org/officeDocument/2006/relationships/hyperlink" Target="https://www.linkedin.com/company/liirn-by-grbll" TargetMode="External" Id="rId2101" /><Relationship Type="http://schemas.openxmlformats.org/officeDocument/2006/relationships/hyperlink" Target="https://drive.google.com/uc?export=view&amp;id=1cy8acoX6GthKWrVuzNLZLQ6DejzhpZjP" TargetMode="External" Id="rId2102" /><Relationship Type="http://schemas.openxmlformats.org/officeDocument/2006/relationships/hyperlink" Target="https://hussaracademy.fr/" TargetMode="External" Id="rId2103" /><Relationship Type="http://schemas.openxmlformats.org/officeDocument/2006/relationships/hyperlink" Target="https://www.instagram.com/accounts/login/?next=/hussaracademy/" TargetMode="External" Id="rId2104" /><Relationship Type="http://schemas.openxmlformats.org/officeDocument/2006/relationships/hyperlink" Target="https://www.linkedin.com/company/hussar-academy" TargetMode="External" Id="rId2105" /><Relationship Type="http://schemas.openxmlformats.org/officeDocument/2006/relationships/hyperlink" Target="https://drive.google.com/uc?export=view&amp;id=1ho0NrSLEGTUlC1EnR723oJOTGWzu9h-6" TargetMode="External" Id="rId2106" /><Relationship Type="http://schemas.openxmlformats.org/officeDocument/2006/relationships/hyperlink" Target="http://www.prorenata.se/" TargetMode="External" Id="rId2107" /><Relationship Type="http://schemas.openxmlformats.org/officeDocument/2006/relationships/hyperlink" Target="https://www.linkedin.com/company/prorenata-ab/" TargetMode="External" Id="rId2108" /><Relationship Type="http://schemas.openxmlformats.org/officeDocument/2006/relationships/hyperlink" Target="https://drive.google.com/uc?export=view&amp;id=1lykj_qNCeVccYOpWuJtzJ9An-uRJfwwo" TargetMode="External" Id="rId2109" /><Relationship Type="http://schemas.openxmlformats.org/officeDocument/2006/relationships/hyperlink" Target="https://gaptain.com/" TargetMode="External" Id="rId2110" /><Relationship Type="http://schemas.openxmlformats.org/officeDocument/2006/relationships/hyperlink" Target="https://twitter.com/gaptain_es" TargetMode="External" Id="rId2111" /><Relationship Type="http://schemas.openxmlformats.org/officeDocument/2006/relationships/hyperlink" Target="https://www.linkedin.com/company/gaptain/" TargetMode="External" Id="rId2112" /><Relationship Type="http://schemas.openxmlformats.org/officeDocument/2006/relationships/hyperlink" Target="https://drive.google.com/uc?export=view&amp;id=1H5ppKG8Zmq4-878ZbnflGTjI_8t5wTpN" TargetMode="External" Id="rId2113" /><Relationship Type="http://schemas.openxmlformats.org/officeDocument/2006/relationships/hyperlink" Target="https://webstrive.be/edtech" TargetMode="External" Id="rId2114" /><Relationship Type="http://schemas.openxmlformats.org/officeDocument/2006/relationships/hyperlink" Target="https://instagram.com/webstrive.be?igshid=MzRlODBiNWFlZA==" TargetMode="External" Id="rId2115" /><Relationship Type="http://schemas.openxmlformats.org/officeDocument/2006/relationships/hyperlink" Target="https://www.linkedin.com/company/webstrive" TargetMode="External" Id="rId2116" /><Relationship Type="http://schemas.openxmlformats.org/officeDocument/2006/relationships/hyperlink" Target="https://drive.google.com/uc?export=view&amp;id=147owgE83rY8f1kJTh_1xSWugbKMjqooh" TargetMode="External" Id="rId2117" /><Relationship Type="http://schemas.openxmlformats.org/officeDocument/2006/relationships/hyperlink" Target="http://app.biakil.com/" TargetMode="External" Id="rId2118" /><Relationship Type="http://schemas.openxmlformats.org/officeDocument/2006/relationships/hyperlink" Target="https://www.instagram.com/biakilapp/" TargetMode="External" Id="rId2119" /><Relationship Type="http://schemas.openxmlformats.org/officeDocument/2006/relationships/hyperlink" Target="https://tr.linkedin.com/company/biakil" TargetMode="External" Id="rId2120" /><Relationship Type="http://schemas.openxmlformats.org/officeDocument/2006/relationships/hyperlink" Target="https://drive.google.com/uc?export=view&amp;id=1GxHliWRODC0EXyrFMrDukl9lfqsDMKv5" TargetMode="External" Id="rId2121" /><Relationship Type="http://schemas.openxmlformats.org/officeDocument/2006/relationships/hyperlink" Target="http://www.rockstepper.com/" TargetMode="External" Id="rId2122" /><Relationship Type="http://schemas.openxmlformats.org/officeDocument/2006/relationships/hyperlink" Target="https://drive.google.com/uc?export=view&amp;id=1OB1RlWPL00Tw8pYe4h74p6ZUgAJ5LF_4" TargetMode="External" Id="rId2123" /><Relationship Type="http://schemas.openxmlformats.org/officeDocument/2006/relationships/hyperlink" Target="http://kids.gamester.com.tr/" TargetMode="External" Id="rId2124" /><Relationship Type="http://schemas.openxmlformats.org/officeDocument/2006/relationships/hyperlink" Target="https://www.instagram.com/tinyminies.en" TargetMode="External" Id="rId2125" /><Relationship Type="http://schemas.openxmlformats.org/officeDocument/2006/relationships/hyperlink" Target="https://www.linkedin.com/company/gamester-kids" TargetMode="External" Id="rId2126" /><Relationship Type="http://schemas.openxmlformats.org/officeDocument/2006/relationships/hyperlink" Target="https://drive.google.com/uc?export=view&amp;id=1GP2ADUPi8oFL8Vd4n-WREMpGx2tyLL5F" TargetMode="External" Id="rId2127" /><Relationship Type="http://schemas.openxmlformats.org/officeDocument/2006/relationships/hyperlink" Target="http://www.cobie.io/" TargetMode="External" Id="rId2128" /><Relationship Type="http://schemas.openxmlformats.org/officeDocument/2006/relationships/hyperlink" Target="https://drive.google.com/uc?export=view&amp;id=1T-b8lhNrHhvGXoL5huQrjfu3kGjWxUbV" TargetMode="External" Id="rId2129" /><Relationship Type="http://schemas.openxmlformats.org/officeDocument/2006/relationships/hyperlink" Target="https://geintegreerd-onderwijs.nl/" TargetMode="External" Id="rId2130" /><Relationship Type="http://schemas.openxmlformats.org/officeDocument/2006/relationships/hyperlink" Target="https://www.instagram.com/leerplatformgo/" TargetMode="External" Id="rId2131" /><Relationship Type="http://schemas.openxmlformats.org/officeDocument/2006/relationships/hyperlink" Target="https://www.linkedin.com/company/leerplatformgo/" TargetMode="External" Id="rId2132" /><Relationship Type="http://schemas.openxmlformats.org/officeDocument/2006/relationships/hyperlink" Target="https://drive.google.com/uc?export=view&amp;id=1cuYVQNevOuFIuEqiuDkSDdEMYoOf0zr3" TargetMode="External" Id="rId2133" /><Relationship Type="http://schemas.openxmlformats.org/officeDocument/2006/relationships/hyperlink" Target="https://mathiasvandermeulen.com/" TargetMode="External" Id="rId2134" /><Relationship Type="http://schemas.openxmlformats.org/officeDocument/2006/relationships/hyperlink" Target="https://www.linkedin.com/in/mathiasvdmeulen/" TargetMode="External" Id="rId2135" /><Relationship Type="http://schemas.openxmlformats.org/officeDocument/2006/relationships/hyperlink" Target="https://drive.google.com/uc?export=view&amp;id=115nRIRHDDeAxCGhTLWx68tnRSYQP6WgW" TargetMode="External" Id="rId2136" /><Relationship Type="http://schemas.openxmlformats.org/officeDocument/2006/relationships/hyperlink" Target="https://bijlesaanhuis.nl/" TargetMode="External" Id="rId2137" /><Relationship Type="http://schemas.openxmlformats.org/officeDocument/2006/relationships/hyperlink" Target="https://www.linkedin.com/company/29026232/" TargetMode="External" Id="rId2138" /><Relationship Type="http://schemas.openxmlformats.org/officeDocument/2006/relationships/hyperlink" Target="https://drive.google.com/uc?export=view&amp;id=1Vef0A8emCDpb6iSeE-9zlmGhiDdTP-t1" TargetMode="External" Id="rId2139" /><Relationship Type="http://schemas.openxmlformats.org/officeDocument/2006/relationships/hyperlink" Target="http://www.discov.ai/" TargetMode="External" Id="rId2140" /><Relationship Type="http://schemas.openxmlformats.org/officeDocument/2006/relationships/hyperlink" Target="https://www.instagram.com/the_discov/?hl=en" TargetMode="External" Id="rId2141" /><Relationship Type="http://schemas.openxmlformats.org/officeDocument/2006/relationships/hyperlink" Target="https://www.linkedin.com/company/the-discov/" TargetMode="External" Id="rId2142" /><Relationship Type="http://schemas.openxmlformats.org/officeDocument/2006/relationships/hyperlink" Target="https://drive.google.com/uc?export=view&amp;id=1tcgy0MoIDy9pWFXi4XbgHG5p9pLv2Rn3" TargetMode="External" Id="rId2143" /><Relationship Type="http://schemas.openxmlformats.org/officeDocument/2006/relationships/hyperlink" Target="https://teo.training/" TargetMode="External" Id="rId2144" /><Relationship Type="http://schemas.openxmlformats.org/officeDocument/2006/relationships/hyperlink" Target="https://www.linkedin.com/company/12650098/" TargetMode="External" Id="rId2145" /><Relationship Type="http://schemas.openxmlformats.org/officeDocument/2006/relationships/hyperlink" Target="https://drive.google.com/uc?export=view&amp;id=1X5wSDb0k_BND9b1OKWPstYfUAquP5nrm" TargetMode="External" Id="rId2146" /><Relationship Type="http://schemas.openxmlformats.org/officeDocument/2006/relationships/hyperlink" Target="http://www.blueskills.nl/" TargetMode="External" Id="rId2147" /><Relationship Type="http://schemas.openxmlformats.org/officeDocument/2006/relationships/hyperlink" Target="https://www.google.com/url?sa=t&amp;rct=j&amp;q=&amp;esrc=s&amp;source=web&amp;cd=&amp;cad=rja&amp;uact=8&amp;ved=2ahUKEwiJnL2ShImBAxUTrKQKHS17CkMQFnoECBYQAQ&amp;url=https%3A%2F%2Fwww.instagram.com%2Fblueskillsnederland%2F&amp;usg=AOvVaw3OCHsS8CbdyCa7rKlrnX6b&amp;opi=89978449" TargetMode="External" Id="rId2148" /><Relationship Type="http://schemas.openxmlformats.org/officeDocument/2006/relationships/hyperlink" Target="https://www.google.com/url?sa=t&amp;rct=j&amp;q=&amp;esrc=s&amp;source=web&amp;cd=&amp;cad=rja&amp;uact=8&amp;ved=2ahUKEwjx_o6IhImBAxUWxQIHHd27A-IQFnoECA0QAQ&amp;url=https%3A%2F%2Fnl.linkedin.com%2Fcompany%2Fblueskills&amp;usg=AOvVaw0fgBQky32Abs-DLGP8oGEV&amp;opi=89978449" TargetMode="External" Id="rId2149" /><Relationship Type="http://schemas.openxmlformats.org/officeDocument/2006/relationships/hyperlink" Target="https://drive.google.com/uc?export=view&amp;id=14JLKp2AkA-4C8Q4RHdBJ-eOHKMZ8IIg-" TargetMode="External" Id="rId2150" /><Relationship Type="http://schemas.openxmlformats.org/officeDocument/2006/relationships/hyperlink" Target="https://pocketcampus.org/" TargetMode="External" Id="rId2151" /><Relationship Type="http://schemas.openxmlformats.org/officeDocument/2006/relationships/hyperlink" Target="https://www.linkedin.com/company/9198942/" TargetMode="External" Id="rId2152" /><Relationship Type="http://schemas.openxmlformats.org/officeDocument/2006/relationships/hyperlink" Target="https://drive.google.com/uc?export=view&amp;id=1Smt2yb_ymHPwkEGK24hKt1nKevh8NqsI" TargetMode="External" Id="rId2153" /><Relationship Type="http://schemas.openxmlformats.org/officeDocument/2006/relationships/hyperlink" Target="https://neuromindset.com/" TargetMode="External" Id="rId2154" /><Relationship Type="http://schemas.openxmlformats.org/officeDocument/2006/relationships/hyperlink" Target="https://www.instagram.com/neuromindset/" TargetMode="External" Id="rId2155" /><Relationship Type="http://schemas.openxmlformats.org/officeDocument/2006/relationships/hyperlink" Target="https://twitter.com/mindsetneuroedu" TargetMode="External" Id="rId2156" /><Relationship Type="http://schemas.openxmlformats.org/officeDocument/2006/relationships/hyperlink" Target="https://www.linkedin.com/company/mindsetneuroeducacion/" TargetMode="External" Id="rId2157" /><Relationship Type="http://schemas.openxmlformats.org/officeDocument/2006/relationships/hyperlink" Target="https://drive.google.com/uc?export=view&amp;id=1zkkgfkZgHtq_3NEbDYsHnd1I-a4nDCCX" TargetMode="External" Id="rId2158" /><Relationship Type="http://schemas.openxmlformats.org/officeDocument/2006/relationships/hyperlink" Target="https://qizify.com/en/" TargetMode="External" Id="rId2159" /><Relationship Type="http://schemas.openxmlformats.org/officeDocument/2006/relationships/hyperlink" Target="https://www.linkedin.com/company/49113282" TargetMode="External" Id="rId2160" /><Relationship Type="http://schemas.openxmlformats.org/officeDocument/2006/relationships/hyperlink" Target="https://drive.google.com/uc?export=view&amp;id=1SKKw6FOwmLm_SAgWiqDrRz-MbV35HDtO" TargetMode="External" Id="rId2161" /><Relationship Type="http://schemas.openxmlformats.org/officeDocument/2006/relationships/hyperlink" Target="https://sparkfore.com/" TargetMode="External" Id="rId2162" /><Relationship Type="http://schemas.openxmlformats.org/officeDocument/2006/relationships/hyperlink" Target="https://www.linkedin.com/company/75495005/" TargetMode="External" Id="rId2163" /><Relationship Type="http://schemas.openxmlformats.org/officeDocument/2006/relationships/hyperlink" Target="https://drive.google.com/uc?export=view&amp;id=13v98nEfi268VwSnqHuHKp9YHbm6NXh7c" TargetMode="External" Id="rId2164" /><Relationship Type="http://schemas.openxmlformats.org/officeDocument/2006/relationships/hyperlink" Target="http://www.thebinaschool.com/" TargetMode="External" Id="rId2165" /><Relationship Type="http://schemas.openxmlformats.org/officeDocument/2006/relationships/hyperlink" Target="https://www.instagram.com/thebinaschool/" TargetMode="External" Id="rId2166" /><Relationship Type="http://schemas.openxmlformats.org/officeDocument/2006/relationships/hyperlink" Target="https://www.linkedin.com/company/42467969/admin/feed/posts/" TargetMode="External" Id="rId2167" /><Relationship Type="http://schemas.openxmlformats.org/officeDocument/2006/relationships/hyperlink" Target="https://eggheads.ai/" TargetMode="External" Id="rId2168" /><Relationship Type="http://schemas.openxmlformats.org/officeDocument/2006/relationships/hyperlink" Target="http://twitter.com/eggheads_ai" TargetMode="External" Id="rId2169" /><Relationship Type="http://schemas.openxmlformats.org/officeDocument/2006/relationships/hyperlink" Target="http://linkedin.com/company/eggheads-ai" TargetMode="External" Id="rId2170" /><Relationship Type="http://schemas.openxmlformats.org/officeDocument/2006/relationships/hyperlink" Target="https://drive.google.com/uc?export=view&amp;id=1MeQC6XRZKLpHJ9avfgCNg4UBYgEo-LJ7" TargetMode="External" Id="rId2171" /><Relationship Type="http://schemas.openxmlformats.org/officeDocument/2006/relationships/hyperlink" Target="https://aschehoug.no/" TargetMode="External" Id="rId2172" /><Relationship Type="http://schemas.openxmlformats.org/officeDocument/2006/relationships/hyperlink" Target="https://www.instagram.com/aunivers.no/" TargetMode="External" Id="rId2173" /><Relationship Type="http://schemas.openxmlformats.org/officeDocument/2006/relationships/hyperlink" Target="https://www.linkedin.com/company/aschehoug/" TargetMode="External" Id="rId2174" /><Relationship Type="http://schemas.openxmlformats.org/officeDocument/2006/relationships/hyperlink" Target="https://drive.google.com/uc?export=view&amp;id=1UkU0hEBVgUcYgMVAJ9K0oAtUcZ3EbnaC" TargetMode="External" Id="rId2175" /><Relationship Type="http://schemas.openxmlformats.org/officeDocument/2006/relationships/hyperlink" Target="https://bitandr.com/" TargetMode="External" Id="rId2176" /><Relationship Type="http://schemas.openxmlformats.org/officeDocument/2006/relationships/hyperlink" Target="https://drive.google.com/uc?export=view&amp;id=179K0T3FoXcA3shqszwPE2LALUh0cOn_0" TargetMode="External" Id="rId2177" /><Relationship Type="http://schemas.openxmlformats.org/officeDocument/2006/relationships/hyperlink" Target="https://www.logic-app.ch/en/" TargetMode="External" Id="rId2178" /><Relationship Type="http://schemas.openxmlformats.org/officeDocument/2006/relationships/hyperlink" Target="https://www.linkedin.com/company/reallience/" TargetMode="External" Id="rId2179" /><Relationship Type="http://schemas.openxmlformats.org/officeDocument/2006/relationships/hyperlink" Target="https://drive.google.com/uc?export=view&amp;id=1nP_SCNAFqXpMC4W1gu4FVr8-AHZIh83x" TargetMode="External" Id="rId2180" /><Relationship Type="http://schemas.openxmlformats.org/officeDocument/2006/relationships/hyperlink" Target="https://sowiso.nl/en/" TargetMode="External" Id="rId2181" /><Relationship Type="http://schemas.openxmlformats.org/officeDocument/2006/relationships/hyperlink" Target="https://twitter.com/sowisobv" TargetMode="External" Id="rId2182" /><Relationship Type="http://schemas.openxmlformats.org/officeDocument/2006/relationships/hyperlink" Target="https://www.linkedin.com/company/sowiso/" TargetMode="External" Id="rId2183" /><Relationship Type="http://schemas.openxmlformats.org/officeDocument/2006/relationships/hyperlink" Target="https://drive.google.com/uc?export=view&amp;id=126DlVncFDmXSQhjYEGvK3Zq6UkeN4RQI" TargetMode="External" Id="rId2184" /><Relationship Type="http://schemas.openxmlformats.org/officeDocument/2006/relationships/hyperlink" Target="https://www.digitalemethode.be/" TargetMode="External" Id="rId2185" /><Relationship Type="http://schemas.openxmlformats.org/officeDocument/2006/relationships/hyperlink" Target="https://drive.google.com/uc?export=view&amp;id=1wPVQobLnkHtCZzX7_yXygdYOrwu1wusT" TargetMode="External" Id="rId2186" /><Relationship Type="http://schemas.openxmlformats.org/officeDocument/2006/relationships/hyperlink" Target="http://www.reducate.com/" TargetMode="External" Id="rId2187" /><Relationship Type="http://schemas.openxmlformats.org/officeDocument/2006/relationships/hyperlink" Target="https://www.linkedin.com/company/reducate/" TargetMode="External" Id="rId2188" /><Relationship Type="http://schemas.openxmlformats.org/officeDocument/2006/relationships/hyperlink" Target="https://drive.google.com/uc?export=view&amp;id=1zYaJfbhr60-aCi9Zs1aJsMrklPRgE_BG" TargetMode="External" Id="rId2189" /><Relationship Type="http://schemas.openxmlformats.org/officeDocument/2006/relationships/hyperlink" Target="https://en.risinguparis.com/" TargetMode="External" Id="rId2190" /><Relationship Type="http://schemas.openxmlformats.org/officeDocument/2006/relationships/hyperlink" Target="https://twitter.com/risinguparis" TargetMode="External" Id="rId2191" /><Relationship Type="http://schemas.openxmlformats.org/officeDocument/2006/relationships/hyperlink" Target="https://www.linkedin.com/company/18324967/admin/" TargetMode="External" Id="rId2192" /><Relationship Type="http://schemas.openxmlformats.org/officeDocument/2006/relationships/hyperlink" Target="https://drive.google.com/uc?export=view&amp;id=1X9Rs-K3iSmEoAAjiAUTjAjVTKoKQ8hx_" TargetMode="External" Id="rId2193" /><Relationship Type="http://schemas.openxmlformats.org/officeDocument/2006/relationships/hyperlink" Target="http://www.communico.nu/" TargetMode="External" Id="rId2194" /><Relationship Type="http://schemas.openxmlformats.org/officeDocument/2006/relationships/hyperlink" Target="https://www.linkedin.com/company/communico-aps" TargetMode="External" Id="rId2195" /><Relationship Type="http://schemas.openxmlformats.org/officeDocument/2006/relationships/hyperlink" Target="https://drive.google.com/uc?export=view&amp;id=1USHO4twK-obtqCcafU931Df1EPRm3NmV" TargetMode="External" Id="rId2196" /><Relationship Type="http://schemas.openxmlformats.org/officeDocument/2006/relationships/hyperlink" Target="http://www.e-wise.com/" TargetMode="External" Id="rId2197" /><Relationship Type="http://schemas.openxmlformats.org/officeDocument/2006/relationships/hyperlink" Target="https://www.linkedin.com/company/100983/admin/feed/posts/" TargetMode="External" Id="rId2198" /><Relationship Type="http://schemas.openxmlformats.org/officeDocument/2006/relationships/hyperlink" Target="https://drive.google.com/uc?export=view&amp;id=1qKSB9-Nc-RyQu42y_rfYmz57JcgDQ3Lr" TargetMode="External" Id="rId2199" /><Relationship Type="http://schemas.openxmlformats.org/officeDocument/2006/relationships/hyperlink" Target="https://www.oscar-campus.com/" TargetMode="External" Id="rId2200" /><Relationship Type="http://schemas.openxmlformats.org/officeDocument/2006/relationships/hyperlink" Target="https://www.linkedin.com/company/oscar-campus-crm/" TargetMode="External" Id="rId2201" /><Relationship Type="http://schemas.openxmlformats.org/officeDocument/2006/relationships/hyperlink" Target="https://drive.google.com/uc?export=view&amp;id=19cgLA5jkLRuqtHGMWOP4lMtAlhw6pkwW" TargetMode="External" Id="rId2202" /><Relationship Type="http://schemas.openxmlformats.org/officeDocument/2006/relationships/hyperlink" Target="http://www.emys.co/" TargetMode="External" Id="rId2203" /><Relationship Type="http://schemas.openxmlformats.org/officeDocument/2006/relationships/hyperlink" Target="https://www.instagram.com/emysrobot/" TargetMode="External" Id="rId2204" /><Relationship Type="http://schemas.openxmlformats.org/officeDocument/2006/relationships/hyperlink" Target="https://www.linkedin.com/company/emysrobot" TargetMode="External" Id="rId2205" /><Relationship Type="http://schemas.openxmlformats.org/officeDocument/2006/relationships/hyperlink" Target="https://drive.google.com/uc?export=view&amp;id=1DGMjRGLEEnKt_1cYd5BIhHEtFqqM7Sda" TargetMode="External" Id="rId2206" /><Relationship Type="http://schemas.openxmlformats.org/officeDocument/2006/relationships/hyperlink" Target="https://visuon.com/" TargetMode="External" Id="rId2207" /><Relationship Type="http://schemas.openxmlformats.org/officeDocument/2006/relationships/hyperlink" Target="https://twitter.com/visuonco" TargetMode="External" Id="rId2208" /><Relationship Type="http://schemas.openxmlformats.org/officeDocument/2006/relationships/hyperlink" Target="https://www.linkedin.com/company/visuon" TargetMode="External" Id="rId2209" /><Relationship Type="http://schemas.openxmlformats.org/officeDocument/2006/relationships/hyperlink" Target="https://drive.google.com/uc?export=view&amp;id=1T3VTfZaIb3JpFJnbapeHEbWIyiC3-2fV" TargetMode="External" Id="rId2210" /><Relationship Type="http://schemas.openxmlformats.org/officeDocument/2006/relationships/hyperlink" Target="http://www.chabadoo.com/" TargetMode="External" Id="rId2211" /><Relationship Type="http://schemas.openxmlformats.org/officeDocument/2006/relationships/hyperlink" Target="https://www.instagram.com/chabadoo_elearning/" TargetMode="External" Id="rId2212" /><Relationship Type="http://schemas.openxmlformats.org/officeDocument/2006/relationships/hyperlink" Target="https://www.linkedin.com/company/chabadoo" TargetMode="External" Id="rId2213" /><Relationship Type="http://schemas.openxmlformats.org/officeDocument/2006/relationships/hyperlink" Target="https://drive.google.com/uc?export=view&amp;id=1XhmU4Qfi53OasTFeA5WzwAil4nDt6jXv" TargetMode="External" Id="rId2214" /><Relationship Type="http://schemas.openxmlformats.org/officeDocument/2006/relationships/hyperlink" Target="https://lernfamilie.at/" TargetMode="External" Id="rId2215" /><Relationship Type="http://schemas.openxmlformats.org/officeDocument/2006/relationships/hyperlink" Target="https://www.instagram.com/lernfamilie/" TargetMode="External" Id="rId2216" /><Relationship Type="http://schemas.openxmlformats.org/officeDocument/2006/relationships/hyperlink" Target="https://twitter.com/LernFamilie/" TargetMode="External" Id="rId2217" /><Relationship Type="http://schemas.openxmlformats.org/officeDocument/2006/relationships/hyperlink" Target="https://lernfamilie.at/nachhilfeinstitut/online/" TargetMode="External" Id="rId2218" /><Relationship Type="http://schemas.openxmlformats.org/officeDocument/2006/relationships/hyperlink" Target="https://drive.google.com/uc?export=view&amp;id=1Y-F33F2SJzlWQXyojY8mF-kWr56kts2e" TargetMode="External" Id="rId2219" /><Relationship Type="http://schemas.openxmlformats.org/officeDocument/2006/relationships/hyperlink" Target="https://lernfamilie.com/" TargetMode="External" Id="rId2220" /><Relationship Type="http://schemas.openxmlformats.org/officeDocument/2006/relationships/hyperlink" Target="https://www.instagram.com/lernfamilie/" TargetMode="External" Id="rId2221" /><Relationship Type="http://schemas.openxmlformats.org/officeDocument/2006/relationships/hyperlink" Target="https://twitter.com/LernFamilie/" TargetMode="External" Id="rId2222" /><Relationship Type="http://schemas.openxmlformats.org/officeDocument/2006/relationships/hyperlink" Target="https://lernfamilie.com/nachhilfeinstitut/online/" TargetMode="External" Id="rId2223" /><Relationship Type="http://schemas.openxmlformats.org/officeDocument/2006/relationships/hyperlink" Target="https://drive.google.com/uc?export=view&amp;id=13CBPLdl5-bT3MCH2Eo4LisE0fz2nP7IK" TargetMode="External" Id="rId2224" /><Relationship Type="http://schemas.openxmlformats.org/officeDocument/2006/relationships/hyperlink" Target="https://www.amoreperilsapere.it/" TargetMode="External" Id="rId2225" /><Relationship Type="http://schemas.openxmlformats.org/officeDocument/2006/relationships/hyperlink" Target="https://drive.google.com/uc?export=view&amp;id=1uDcnOcMJaHRE3ftchN0h8L9waL3OFkt6" TargetMode="External" Id="rId2226" /><Relationship Type="http://schemas.openxmlformats.org/officeDocument/2006/relationships/hyperlink" Target="https://www.edurino.com/" TargetMode="External" Id="rId2227" /><Relationship Type="http://schemas.openxmlformats.org/officeDocument/2006/relationships/hyperlink" Target="https://www.instagram.com/edurino_de/?hl=de" TargetMode="External" Id="rId2228" /><Relationship Type="http://schemas.openxmlformats.org/officeDocument/2006/relationships/hyperlink" Target="https://www.linkedin.com/company/edurinoapp/?originalSubdomain=de" TargetMode="External" Id="rId2229" /><Relationship Type="http://schemas.openxmlformats.org/officeDocument/2006/relationships/hyperlink" Target="https://drive.google.com/uc?export=view&amp;id=1DoLOWL6YKCB37TcagwdHzqXKr3yA243F" TargetMode="External" Id="rId2230" /><Relationship Type="http://schemas.openxmlformats.org/officeDocument/2006/relationships/hyperlink" Target="https://fuel.education/" TargetMode="External" Id="rId2231" /><Relationship Type="http://schemas.openxmlformats.org/officeDocument/2006/relationships/hyperlink" Target="https://www.linkedin.com/company/fuelverse" TargetMode="External" Id="rId2232" /><Relationship Type="http://schemas.openxmlformats.org/officeDocument/2006/relationships/hyperlink" Target="https://drive.google.com/uc?export=view&amp;id=1HqXqyE3a0r86KwZfQ4bTMuEyLwWOa5ep" TargetMode="External" Id="rId2233" /><Relationship Type="http://schemas.openxmlformats.org/officeDocument/2006/relationships/hyperlink" Target="https://www.levooba.com/" TargetMode="External" Id="rId2234" /><Relationship Type="http://schemas.openxmlformats.org/officeDocument/2006/relationships/hyperlink" Target="https://www.instagram.com/levooba_de/" TargetMode="External" Id="rId2235" /><Relationship Type="http://schemas.openxmlformats.org/officeDocument/2006/relationships/hyperlink" Target="https://twitter.com/levooba" TargetMode="External" Id="rId2236" /><Relationship Type="http://schemas.openxmlformats.org/officeDocument/2006/relationships/hyperlink" Target="https://www.linkedin.com/company/levooba" TargetMode="External" Id="rId2237" /><Relationship Type="http://schemas.openxmlformats.org/officeDocument/2006/relationships/hyperlink" Target="https://drive.google.com/uc?export=view&amp;id=1TjdJ-eSGlMTw4EY-Gs0rH7XRNl92h6Ed" TargetMode="External" Id="rId2238" /><Relationship Type="http://schemas.openxmlformats.org/officeDocument/2006/relationships/hyperlink" Target="http://studentpulse.io/" TargetMode="External" Id="rId2239" /><Relationship Type="http://schemas.openxmlformats.org/officeDocument/2006/relationships/hyperlink" Target="https://www.studentpulse.io/" TargetMode="External" Id="rId2240" /><Relationship Type="http://schemas.openxmlformats.org/officeDocument/2006/relationships/hyperlink" Target="https://www.linkedin.com/company/studentpulse-io" TargetMode="External" Id="rId2241" /><Relationship Type="http://schemas.openxmlformats.org/officeDocument/2006/relationships/hyperlink" Target="https://drive.google.com/uc?export=view&amp;id=1KCh1xg-XUHEu5-Xrew7AM_8Q83FzG5HZ" TargetMode="External" Id="rId2242" /><Relationship Type="http://schemas.openxmlformats.org/officeDocument/2006/relationships/hyperlink" Target="https://www.virtual-dawn.com/" TargetMode="External" Id="rId2243" /><Relationship Type="http://schemas.openxmlformats.org/officeDocument/2006/relationships/hyperlink" Target="https://twitter.com/_VirtualDawn_" TargetMode="External" Id="rId2244" /><Relationship Type="http://schemas.openxmlformats.org/officeDocument/2006/relationships/hyperlink" Target="https://fi.linkedin.com/company/virtual-dawn" TargetMode="External" Id="rId2245" /><Relationship Type="http://schemas.openxmlformats.org/officeDocument/2006/relationships/hyperlink" Target="https://drive.google.com/uc?export=view&amp;id=1mYXHddY7hIr6cdz_VYJZnz94TD-hHdjf" TargetMode="External" Id="rId2246" /><Relationship Type="http://schemas.openxmlformats.org/officeDocument/2006/relationships/hyperlink" Target="https://www.skillandyou.com/fr/" TargetMode="External" Id="rId2247" /><Relationship Type="http://schemas.openxmlformats.org/officeDocument/2006/relationships/hyperlink" Target="https://www.linkedin.com/search/results/all/?fetchDeterministicClustersOnly=true&amp;heroEntityKey=urn%3Ali%3Aorganization%3A412793&amp;keywords=skill%20and%20you&amp;origin=RICH_QUERY_SUGGESTION&amp;position=0&amp;searchId=ff2fd2b7-b141-41e8-b187-f5a18ea8605b&amp;sid=Goo" TargetMode="External" Id="rId2248" /><Relationship Type="http://schemas.openxmlformats.org/officeDocument/2006/relationships/hyperlink" Target="https://drive.google.com/uc?export=view&amp;id=1FVTQVdqlW8QVZPZugWJRjsTHhTgAgy7J" TargetMode="External" Id="rId2249" /><Relationship Type="http://schemas.openxmlformats.org/officeDocument/2006/relationships/hyperlink" Target="http://kamusi.org/" TargetMode="External" Id="rId2250" /><Relationship Type="http://schemas.openxmlformats.org/officeDocument/2006/relationships/hyperlink" Target="https://www.linkedin.com/company/kamusi-project-international-usa" TargetMode="External" Id="rId2251" /><Relationship Type="http://schemas.openxmlformats.org/officeDocument/2006/relationships/hyperlink" Target="https://drive.google.com/uc?export=view&amp;id=1_A1LYDzB8x_zZfwF4QPsDNCpmTEJ8P6x" TargetMode="External" Id="rId2252" /><Relationship Type="http://schemas.openxmlformats.org/officeDocument/2006/relationships/hyperlink" Target="http://mobiletic.com/" TargetMode="External" Id="rId2253" /><Relationship Type="http://schemas.openxmlformats.org/officeDocument/2006/relationships/hyperlink" Target="https://mobiletic.com/fr/" TargetMode="External" Id="rId2254" /><Relationship Type="http://schemas.openxmlformats.org/officeDocument/2006/relationships/hyperlink" Target="https://twitter.com/mobileticsarl" TargetMode="External" Id="rId2255" /><Relationship Type="http://schemas.openxmlformats.org/officeDocument/2006/relationships/hyperlink" Target="https://www.linkedin.com/company/mobiletic.com" TargetMode="External" Id="rId2256" /><Relationship Type="http://schemas.openxmlformats.org/officeDocument/2006/relationships/hyperlink" Target="https://drive.google.com/uc?export=view&amp;id=1rAIabn65uu_bW2B11f_s4Ul3VfCOGJ0f" TargetMode="External" Id="rId2257" /><Relationship Type="http://schemas.openxmlformats.org/officeDocument/2006/relationships/hyperlink" Target="https://www.wizenoze.com/" TargetMode="External" Id="rId2258" /><Relationship Type="http://schemas.openxmlformats.org/officeDocument/2006/relationships/hyperlink" Target="https://www.instagram.com/Wizenoze" TargetMode="External" Id="rId2259" /><Relationship Type="http://schemas.openxmlformats.org/officeDocument/2006/relationships/hyperlink" Target="https://twitter.com/wizenoze" TargetMode="External" Id="rId2260" /><Relationship Type="http://schemas.openxmlformats.org/officeDocument/2006/relationships/hyperlink" Target="https://www.linkedin.com/company/wizenoze/?originalSubdomain=nl" TargetMode="External" Id="rId2261" /><Relationship Type="http://schemas.openxmlformats.org/officeDocument/2006/relationships/hyperlink" Target="https://drive.google.com/uc?export=view&amp;id=1tE7CYHHgwwtdq1RoVYEq2VxdQYfR4Gpq" TargetMode="External" Id="rId2262" /><Relationship Type="http://schemas.openxmlformats.org/officeDocument/2006/relationships/hyperlink" Target="https://www.conversationdesigninstitute.com/" TargetMode="External" Id="rId2263" /><Relationship Type="http://schemas.openxmlformats.org/officeDocument/2006/relationships/hyperlink" Target="https://www.instagram.com/accounts/login/?next=/Conversation_Design_Institute/" TargetMode="External" Id="rId2264" /><Relationship Type="http://schemas.openxmlformats.org/officeDocument/2006/relationships/hyperlink" Target="https://twitter.com/CDInstitute_" TargetMode="External" Id="rId2265" /><Relationship Type="http://schemas.openxmlformats.org/officeDocument/2006/relationships/hyperlink" Target="https://www.linkedin.com/company/conversation-design-institute" TargetMode="External" Id="rId2266" /><Relationship Type="http://schemas.openxmlformats.org/officeDocument/2006/relationships/hyperlink" Target="https://drive.google.com/uc?export=view&amp;id=1CD4fkh4Y6Sh2xaBUVvEzVvVW-CWMkB5y" TargetMode="External" Id="rId2267" /><Relationship Type="http://schemas.openxmlformats.org/officeDocument/2006/relationships/hyperlink" Target="http://www.exploringedtech.ie/" TargetMode="External" Id="rId2268" /><Relationship Type="http://schemas.openxmlformats.org/officeDocument/2006/relationships/hyperlink" Target="https://twitter.com/ExploringEdtech" TargetMode="External" Id="rId2269" /><Relationship Type="http://schemas.openxmlformats.org/officeDocument/2006/relationships/hyperlink" Target="https://www.linkedin.com/company/exploringedtech/" TargetMode="External" Id="rId2270" /><Relationship Type="http://schemas.openxmlformats.org/officeDocument/2006/relationships/hyperlink" Target="https://drive.google.com/uc?export=view&amp;id=1dx3F8qD5i8DtRCiO4Cvgi49NbL-23e08" TargetMode="External" Id="rId2271" /><Relationship Type="http://schemas.openxmlformats.org/officeDocument/2006/relationships/hyperlink" Target="http://www.grammerstorf-kubon.com/" TargetMode="External" Id="rId2272" /><Relationship Type="http://schemas.openxmlformats.org/officeDocument/2006/relationships/hyperlink" Target="https://drive.google.com/uc?export=view&amp;id=1WMXAPEz-vUWPBMdvXtgCSk5o--LBxZsd" TargetMode="External" Id="rId2273" /><Relationship Type="http://schemas.openxmlformats.org/officeDocument/2006/relationships/hyperlink" Target="http://mentessa.ai/" TargetMode="External" Id="rId2274" /><Relationship Type="http://schemas.openxmlformats.org/officeDocument/2006/relationships/hyperlink" Target="https://www.linkedin.com/company/mentessa/" TargetMode="External" Id="rId2275" /><Relationship Type="http://schemas.openxmlformats.org/officeDocument/2006/relationships/hyperlink" Target="https://drive.google.com/uc?export=view&amp;id=1jbVqJEZ84TXubvHG-q4Euc3S-8EMk07n" TargetMode="External" Id="rId2276" /><Relationship Type="http://schemas.openxmlformats.org/officeDocument/2006/relationships/hyperlink" Target="https://modco.fr/" TargetMode="External" Id="rId2277" /><Relationship Type="http://schemas.openxmlformats.org/officeDocument/2006/relationships/hyperlink" Target="https://www.linkedin.com/company/modco-mode-college" TargetMode="External" Id="rId2278" /><Relationship Type="http://schemas.openxmlformats.org/officeDocument/2006/relationships/hyperlink" Target="https://drive.google.com/uc?export=view&amp;id=1E1Bgm4pZ-jC0uaHUr2fW9rFtKrL0iLqA" TargetMode="External" Id="rId2279" /><Relationship Type="http://schemas.openxmlformats.org/officeDocument/2006/relationships/hyperlink" Target="https://pivotaledtech.com/" TargetMode="External" Id="rId2280" /><Relationship Type="http://schemas.openxmlformats.org/officeDocument/2006/relationships/hyperlink" Target="https://www.linkedin.com/company/pivotal-edtech" TargetMode="External" Id="rId2281" /><Relationship Type="http://schemas.openxmlformats.org/officeDocument/2006/relationships/hyperlink" Target="https://drive.google.com/uc?export=view&amp;id=1gZJwdJ3UQQeOB2IEO-s4nHW30bY932h3" TargetMode="External" Id="rId2282" /><Relationship Type="http://schemas.openxmlformats.org/officeDocument/2006/relationships/hyperlink" Target="https://rhinox.be/" TargetMode="External" Id="rId2283" /><Relationship Type="http://schemas.openxmlformats.org/officeDocument/2006/relationships/hyperlink" Target="https://www.linkedin.com/company/rhinox-training/" TargetMode="External" Id="rId2284" /><Relationship Type="http://schemas.openxmlformats.org/officeDocument/2006/relationships/hyperlink" Target="https://drive.google.com/uc?export=view&amp;id=1zgqUqa6mNWZ6G45d7JLPj9bHgbKsd28o" TargetMode="External" Id="rId2285" /><Relationship Type="http://schemas.openxmlformats.org/officeDocument/2006/relationships/hyperlink" Target="https://www.oknoname.com/" TargetMode="External" Id="rId2286" /><Relationship Type="http://schemas.openxmlformats.org/officeDocument/2006/relationships/hyperlink" Target="https://www.linkedin.com/company/oknoname" TargetMode="External" Id="rId2287" /><Relationship Type="http://schemas.openxmlformats.org/officeDocument/2006/relationships/hyperlink" Target="https://drive.google.com/uc?export=view&amp;id=1h0KdmwBwC7V3H-Ap8s01lSkOfVVLETBt" TargetMode="External" Id="rId2288" /><Relationship Type="http://schemas.openxmlformats.org/officeDocument/2006/relationships/hyperlink" Target="https://www.3cl.org/" TargetMode="External" Id="rId2289" /><Relationship Type="http://schemas.openxmlformats.org/officeDocument/2006/relationships/hyperlink" Target="https://drive.google.com/uc?export=view&amp;id=1AzE-4qBLTdc3aE13jap8iN0zm4s0QR8I" TargetMode="External" Id="rId2290" /><Relationship Type="http://schemas.openxmlformats.org/officeDocument/2006/relationships/hyperlink" Target="https://cuabi.com/" TargetMode="External" Id="rId2291" /><Relationship Type="http://schemas.openxmlformats.org/officeDocument/2006/relationships/hyperlink" Target="https://instagram.com/cuabi.educa" TargetMode="External" Id="rId2292" /><Relationship Type="http://schemas.openxmlformats.org/officeDocument/2006/relationships/hyperlink" Target="https://es.linkedin.com/company/cuabi" TargetMode="External" Id="rId2293" /><Relationship Type="http://schemas.openxmlformats.org/officeDocument/2006/relationships/hyperlink" Target="https://drive.google.com/uc?export=view&amp;id=1e3k-TgrMAurhMVJoZ_EY8am_j-A2P9cP" TargetMode="External" Id="rId2294" /><Relationship Type="http://schemas.openxmlformats.org/officeDocument/2006/relationships/hyperlink" Target="https://www.htctw.org/" TargetMode="External" Id="rId2295" /><Relationship Type="http://schemas.openxmlformats.org/officeDocument/2006/relationships/hyperlink" Target="https://www.linkedin.com/company/htctw" TargetMode="External" Id="rId2296" /><Relationship Type="http://schemas.openxmlformats.org/officeDocument/2006/relationships/hyperlink" Target="https://drive.google.com/uc?export=view&amp;id=12Z7miOyTApH50j1IAoZrG44YweMW_ci4" TargetMode="External" Id="rId2297" /><Relationship Type="http://schemas.openxmlformats.org/officeDocument/2006/relationships/hyperlink" Target="http://manual.to/" TargetMode="External" Id="rId2298" /><Relationship Type="http://schemas.openxmlformats.org/officeDocument/2006/relationships/hyperlink" Target="https://manual.to/" TargetMode="External" Id="rId2299" /><Relationship Type="http://schemas.openxmlformats.org/officeDocument/2006/relationships/hyperlink" Target="https://www.instagram.com/manual.to/" TargetMode="External" Id="rId2300" /><Relationship Type="http://schemas.openxmlformats.org/officeDocument/2006/relationships/hyperlink" Target="https://twitter.com/manual_to" TargetMode="External" Id="rId2301" /><Relationship Type="http://schemas.openxmlformats.org/officeDocument/2006/relationships/hyperlink" Target="https://linkedin.com/company/manual.to" TargetMode="External" Id="rId2302" /><Relationship Type="http://schemas.openxmlformats.org/officeDocument/2006/relationships/hyperlink" Target="http://manual.to/" TargetMode="External" Id="rId2303" /><Relationship Type="http://schemas.openxmlformats.org/officeDocument/2006/relationships/hyperlink" Target="https://drive.google.com/uc?export=view&amp;id=1Edo0DjlUeOht48soxKOBcXX1V6XHiFQT" TargetMode="External" Id="rId2304" /><Relationship Type="http://schemas.openxmlformats.org/officeDocument/2006/relationships/hyperlink" Target="http://www.wikit.no/" TargetMode="External" Id="rId2305" /><Relationship Type="http://schemas.openxmlformats.org/officeDocument/2006/relationships/hyperlink" Target="https://drive.google.com/uc?export=view&amp;id=1FAZOQHiO9IquKJx9QLw5NUhuHjwksvIG" TargetMode="External" Id="rId2306" /><Relationship Type="http://schemas.openxmlformats.org/officeDocument/2006/relationships/hyperlink" Target="https://nu.education/en/" TargetMode="External" Id="rId2307" /><Relationship Type="http://schemas.openxmlformats.org/officeDocument/2006/relationships/hyperlink" Target="https://ch.linkedin.com/company/nutechnologyag" TargetMode="External" Id="rId2308" /><Relationship Type="http://schemas.openxmlformats.org/officeDocument/2006/relationships/hyperlink" Target="https://drive.google.com/uc?export=view&amp;id=1lZ1yoKy6bYNndybS86Zq6okGiGBwPDFp" TargetMode="External" Id="rId2309" /><Relationship Type="http://schemas.openxmlformats.org/officeDocument/2006/relationships/hyperlink" Target="https://www.itonlinelearning.com/" TargetMode="External" Id="rId2310" /><Relationship Type="http://schemas.openxmlformats.org/officeDocument/2006/relationships/hyperlink" Target="https://drive.google.com/uc?export=view&amp;id=1fSIgWrBfJVoZRdiFw-kIUiW97k6ySVQU" TargetMode="External" Id="rId2311" /><Relationship Type="http://schemas.openxmlformats.org/officeDocument/2006/relationships/hyperlink" Target="https://www.icslearn.co.uk/" TargetMode="External" Id="rId2312" /><Relationship Type="http://schemas.openxmlformats.org/officeDocument/2006/relationships/hyperlink" Target="https://drive.google.com/uc?export=view&amp;id=1aAj9hyIAjm9CsSy_hITU-vPOjjcjfUYo" TargetMode="External" Id="rId2313" /><Relationship Type="http://schemas.openxmlformats.org/officeDocument/2006/relationships/hyperlink" Target="http://www.teamazing.com/" TargetMode="External" Id="rId2314" /><Relationship Type="http://schemas.openxmlformats.org/officeDocument/2006/relationships/hyperlink" Target="https://www.instagram.com/teamazing.events/" TargetMode="External" Id="rId2315" /><Relationship Type="http://schemas.openxmlformats.org/officeDocument/2006/relationships/hyperlink" Target="https://twitter.com/teamazing_com" TargetMode="External" Id="rId2316" /><Relationship Type="http://schemas.openxmlformats.org/officeDocument/2006/relationships/hyperlink" Target="https://www.linkedin.com/company/teamazing-gmbh" TargetMode="External" Id="rId2317" /><Relationship Type="http://schemas.openxmlformats.org/officeDocument/2006/relationships/hyperlink" Target="https://drive.google.com/uc?export=view&amp;id=19swaHVvHb3WCDVuIiIn7Kp016RE0o_Sc" TargetMode="External" Id="rId2318" /><Relationship Type="http://schemas.openxmlformats.org/officeDocument/2006/relationships/hyperlink" Target="https://drive.google.com/uc?export=view&amp;id=1-R51MtZHmElVVSgiZnftLpeFicoOSzFZ" TargetMode="External" Id="rId2319" /><Relationship Type="http://schemas.openxmlformats.org/officeDocument/2006/relationships/hyperlink" Target="https://www.didask.com/" TargetMode="External" Id="rId2320" /><Relationship Type="http://schemas.openxmlformats.org/officeDocument/2006/relationships/hyperlink" Target="https://www.instagram.com/didask_learning/" TargetMode="External" Id="rId2321" /><Relationship Type="http://schemas.openxmlformats.org/officeDocument/2006/relationships/hyperlink" Target="https://twitter.com/Didask" TargetMode="External" Id="rId2322" /><Relationship Type="http://schemas.openxmlformats.org/officeDocument/2006/relationships/hyperlink" Target="https://www.linkedin.com/company/didask/" TargetMode="External" Id="rId2323" /><Relationship Type="http://schemas.openxmlformats.org/officeDocument/2006/relationships/hyperlink" Target="https://drive.google.com/uc?export=view&amp;id=1xUgM2EG9A1C7zxL4RD9iOPBD7r3cBsQs" TargetMode="External" Id="rId2324" /><Relationship Type="http://schemas.openxmlformats.org/officeDocument/2006/relationships/hyperlink" Target="http://life.dk/" TargetMode="External" Id="rId2325" /><Relationship Type="http://schemas.openxmlformats.org/officeDocument/2006/relationships/hyperlink" Target="https://www.instagram.com/life_fonden/" TargetMode="External" Id="rId2326" /><Relationship Type="http://schemas.openxmlformats.org/officeDocument/2006/relationships/hyperlink" Target="https://twitter.com/LIFEFonden" TargetMode="External" Id="rId2327" /><Relationship Type="http://schemas.openxmlformats.org/officeDocument/2006/relationships/hyperlink" Target="https://www.linkedin.com/company/life-fonden/mycompany/" TargetMode="External" Id="rId2328" /><Relationship Type="http://schemas.openxmlformats.org/officeDocument/2006/relationships/hyperlink" Target="https://drive.google.com/uc?export=view&amp;id=1-1qRhU9UQZAsKOszo-QFcgvJmxNLPkLH" TargetMode="External" Id="rId2329" /><Relationship Type="http://schemas.openxmlformats.org/officeDocument/2006/relationships/hyperlink" Target="http://a-mazego.dk/" TargetMode="External" Id="rId2330" /><Relationship Type="http://schemas.openxmlformats.org/officeDocument/2006/relationships/hyperlink" Target="https://www.linkedin.com/company/a-mazeaps/" TargetMode="External" Id="rId2331" /><Relationship Type="http://schemas.openxmlformats.org/officeDocument/2006/relationships/hyperlink" Target="https://drive.google.com/uc?export=view&amp;id=1v9ikIee_AhwJ1kr-o8x42TE2LQq9Pge6" TargetMode="External" Id="rId2332" /><Relationship Type="http://schemas.openxmlformats.org/officeDocument/2006/relationships/hyperlink" Target="https://www.geogebra.org/" TargetMode="External" Id="rId2333" /><Relationship Type="http://schemas.openxmlformats.org/officeDocument/2006/relationships/hyperlink" Target="https://drive.google.com/uc?export=view&amp;id=1sjPEoqb7PgiNAYPPz44P1ZXCykQXm9r2" TargetMode="External" Id="rId2334" /><Relationship Type="http://schemas.openxmlformats.org/officeDocument/2006/relationships/hyperlink" Target="https://app.kumubox.com/" TargetMode="External" Id="rId2335" /><Relationship Type="http://schemas.openxmlformats.org/officeDocument/2006/relationships/hyperlink" Target="https://www.instagram.com/kumubox/" TargetMode="External" Id="rId2336" /><Relationship Type="http://schemas.openxmlformats.org/officeDocument/2006/relationships/hyperlink" Target="https://twitter.com/kumuboxoficial" TargetMode="External" Id="rId2337" /><Relationship Type="http://schemas.openxmlformats.org/officeDocument/2006/relationships/hyperlink" Target="https://es.linkedin.com/company/kumubox" TargetMode="External" Id="rId2338" /><Relationship Type="http://schemas.openxmlformats.org/officeDocument/2006/relationships/hyperlink" Target="https://drive.google.com/uc?export=view&amp;id=1DwzkIMY5C7nuEFTNy9EHXRwJVbp4aWFK" TargetMode="External" Id="rId2339" /><Relationship Type="http://schemas.openxmlformats.org/officeDocument/2006/relationships/hyperlink" Target="https://www.tutory.de/" TargetMode="External" Id="rId2340" /><Relationship Type="http://schemas.openxmlformats.org/officeDocument/2006/relationships/hyperlink" Target="https://www.instagram.com/tutoryde/" TargetMode="External" Id="rId2341" /><Relationship Type="http://schemas.openxmlformats.org/officeDocument/2006/relationships/hyperlink" Target="https://twitter.com/tutoryde" TargetMode="External" Id="rId2342" /><Relationship Type="http://schemas.openxmlformats.org/officeDocument/2006/relationships/hyperlink" Target="https://www.linkedin.com/company/tutory-de/" TargetMode="External" Id="rId2343" /><Relationship Type="http://schemas.openxmlformats.org/officeDocument/2006/relationships/hyperlink" Target="https://drive.google.com/uc?export=view&amp;id=1dlvNSdxBDXg9oikLKHhICwf02gHN12Of" TargetMode="External" Id="rId2344" /><Relationship Type="http://schemas.openxmlformats.org/officeDocument/2006/relationships/hyperlink" Target="https://lingobo.com/" TargetMode="External" Id="rId2345" /><Relationship Type="http://schemas.openxmlformats.org/officeDocument/2006/relationships/hyperlink" Target="https://twitter.com/lingobo_es" TargetMode="External" Id="rId2346" /><Relationship Type="http://schemas.openxmlformats.org/officeDocument/2006/relationships/hyperlink" Target="https://www.linkedin.com/company/lingobo" TargetMode="External" Id="rId2347" /><Relationship Type="http://schemas.openxmlformats.org/officeDocument/2006/relationships/hyperlink" Target="https://drive.google.com/uc?export=view&amp;id=1FqRpqAOWuDawLl4PIUbcgmY3N6nnHPuE" TargetMode="External" Id="rId2348" /><Relationship Type="http://schemas.openxmlformats.org/officeDocument/2006/relationships/hyperlink" Target="http://eo-space.com/" TargetMode="External" Id="rId2349" /><Relationship Type="http://schemas.openxmlformats.org/officeDocument/2006/relationships/hyperlink" Target="https://drive.google.com/uc?export=view&amp;id=1qB6GzmSy5oPKKHQoOGmIo-8pjQA5Jefk" TargetMode="External" Id="rId2350" /><Relationship Type="http://schemas.openxmlformats.org/officeDocument/2006/relationships/hyperlink" Target="https://ste.education/en/" TargetMode="External" Id="rId2351" /><Relationship Type="http://schemas.openxmlformats.org/officeDocument/2006/relationships/hyperlink" Target="https://drive.google.com/uc?export=view&amp;id=1vSmmNno_c5HxQ47ga4u-uBObAzbA7_S_" TargetMode="External" Id="rId2352" /><Relationship Type="http://schemas.openxmlformats.org/officeDocument/2006/relationships/hyperlink" Target="http://www.educabiz.com/" TargetMode="External" Id="rId2353" /><Relationship Type="http://schemas.openxmlformats.org/officeDocument/2006/relationships/hyperlink" Target="https://drive.google.com/uc?export=view&amp;id=1oYZENRaok24WudfC6n64pfNaHsjoMDhQ" TargetMode="External" Id="rId2354" /><Relationship Type="http://schemas.openxmlformats.org/officeDocument/2006/relationships/hyperlink" Target="http://www.skolenfri.dk/" TargetMode="External" Id="rId2355" /><Relationship Type="http://schemas.openxmlformats.org/officeDocument/2006/relationships/hyperlink" Target="https://www.instagram.com/skolenfri/" TargetMode="External" Id="rId2356" /><Relationship Type="http://schemas.openxmlformats.org/officeDocument/2006/relationships/hyperlink" Target="https://www.linkedin.com/company/77617145" TargetMode="External" Id="rId2357" /><Relationship Type="http://schemas.openxmlformats.org/officeDocument/2006/relationships/hyperlink" Target="https://drive.google.com/uc?export=view&amp;id=1cZFJB9wD_vCk1pSkTLsHiWVtW4_ZvYTd" TargetMode="External" Id="rId2358" /><Relationship Type="http://schemas.openxmlformats.org/officeDocument/2006/relationships/hyperlink" Target="https://allcourses.ie/" TargetMode="External" Id="rId2359" /><Relationship Type="http://schemas.openxmlformats.org/officeDocument/2006/relationships/hyperlink" Target="https://drive.google.com/uc?export=view&amp;id=15Q4zvPfU_0Vq87tD9zJWNfQyKKlir97p" TargetMode="External" Id="rId2360" /><Relationship Type="http://schemas.openxmlformats.org/officeDocument/2006/relationships/hyperlink" Target="http://www.robotemil.com/" TargetMode="External" Id="rId2361" /><Relationship Type="http://schemas.openxmlformats.org/officeDocument/2006/relationships/hyperlink" Target="https://drive.google.com/uc?export=view&amp;id=1Ihn_2r98TvoY226YqSIpj8D3EBCRS4VZ" TargetMode="External" Id="rId2362" /><Relationship Type="http://schemas.openxmlformats.org/officeDocument/2006/relationships/hyperlink" Target="https://grupovertice.com/" TargetMode="External" Id="rId2363" /><Relationship Type="http://schemas.openxmlformats.org/officeDocument/2006/relationships/hyperlink" Target="https://drive.google.com/uc?export=view&amp;id=1mJy8rh0q7nBZlB9qjdMAiLpZbJixleeU" TargetMode="External" Id="rId2364" /><Relationship Type="http://schemas.openxmlformats.org/officeDocument/2006/relationships/hyperlink" Target="https://www.gamoteca.com/" TargetMode="External" Id="rId2365" /><Relationship Type="http://schemas.openxmlformats.org/officeDocument/2006/relationships/hyperlink" Target="https://drive.google.com/uc?export=view&amp;id=1YIY0K40cGnCUUtZ0HtjuShn51_07dz5D" TargetMode="External" Id="rId2366" /><Relationship Type="http://schemas.openxmlformats.org/officeDocument/2006/relationships/hyperlink" Target="https://three-cubes.net/" TargetMode="External" Id="rId2367" /><Relationship Type="http://schemas.openxmlformats.org/officeDocument/2006/relationships/hyperlink" Target="https://www.instagram.com/threecubescompany/" TargetMode="External" Id="rId2368" /><Relationship Type="http://schemas.openxmlformats.org/officeDocument/2006/relationships/hyperlink" Target="https://www.linkedin.com/company/three-cubes/" TargetMode="External" Id="rId2369" /><Relationship Type="http://schemas.openxmlformats.org/officeDocument/2006/relationships/hyperlink" Target="https://drive.google.com/uc?export=view&amp;id=1mmzOosgg2TkNlKmk7kFidY7TZjMHTJNL" TargetMode="External" Id="rId2370" /><Relationship Type="http://schemas.openxmlformats.org/officeDocument/2006/relationships/hyperlink" Target="http://www.timelinefy.com/" TargetMode="External" Id="rId2371" /><Relationship Type="http://schemas.openxmlformats.org/officeDocument/2006/relationships/hyperlink" Target="https://drive.google.com/uc?export=view&amp;id=1ff7ez4UHFj29d0-3cukPQCjUBR309QEp" TargetMode="External" Id="rId2372" /><Relationship Type="http://schemas.openxmlformats.org/officeDocument/2006/relationships/hyperlink" Target="http://www.uniwise.co.uk/" TargetMode="External" Id="rId2373" /><Relationship Type="http://schemas.openxmlformats.org/officeDocument/2006/relationships/hyperlink" Target="https://twitter.com/UNIwiseDK" TargetMode="External" Id="rId2374" /><Relationship Type="http://schemas.openxmlformats.org/officeDocument/2006/relationships/hyperlink" Target="https://www.linkedin.com/company/uniwise-aps/" TargetMode="External" Id="rId2375" /><Relationship Type="http://schemas.openxmlformats.org/officeDocument/2006/relationships/hyperlink" Target="https://drive.google.com/uc?export=view&amp;id=1RVBCyR6pERkc5iarVMl1p5lLI-sQr6I3" TargetMode="External" Id="rId2376" /><Relationship Type="http://schemas.openxmlformats.org/officeDocument/2006/relationships/hyperlink" Target="http://smartcoding.se/" TargetMode="External" Id="rId2377" /><Relationship Type="http://schemas.openxmlformats.org/officeDocument/2006/relationships/hyperlink" Target="https://drive.google.com/uc?export=view&amp;id=1s4hOjStIwnkt_0F89dQIv8a4e4gy3RLi" TargetMode="External" Id="rId2378" /><Relationship Type="http://schemas.openxmlformats.org/officeDocument/2006/relationships/hyperlink" Target="https://nualang.com/" TargetMode="External" Id="rId2379" /><Relationship Type="http://schemas.openxmlformats.org/officeDocument/2006/relationships/hyperlink" Target="https://drive.google.com/uc?export=view&amp;id=1dj0dmjDlliLUhJQUJCyjWPAxFZlp8_Zn" TargetMode="External" Id="rId2380" /><Relationship Type="http://schemas.openxmlformats.org/officeDocument/2006/relationships/hyperlink" Target="https://datorium.eu/" TargetMode="External" Id="rId2381" /><Relationship Type="http://schemas.openxmlformats.org/officeDocument/2006/relationships/hyperlink" Target="https://drive.google.com/uc?export=view&amp;id=1ATH7fBNgzG5jtccR774xWsOpHAYYtFqk" TargetMode="External" Id="rId2382" /><Relationship Type="http://schemas.openxmlformats.org/officeDocument/2006/relationships/hyperlink" Target="http://neotica.net/" TargetMode="External" Id="rId2383" /><Relationship Type="http://schemas.openxmlformats.org/officeDocument/2006/relationships/hyperlink" Target="https://twitter.com/neoticasolution?s=20&amp;t=Ok5IOuFs3PMviPFZ2PDQvQ" TargetMode="External" Id="rId2384" /><Relationship Type="http://schemas.openxmlformats.org/officeDocument/2006/relationships/hyperlink" Target="https://www.linkedin.com/company/neotica-solutions/" TargetMode="External" Id="rId2385" /><Relationship Type="http://schemas.openxmlformats.org/officeDocument/2006/relationships/hyperlink" Target="https://drive.google.com/uc?export=view&amp;id=1FzK_HWgbHCWMc0pGFQ0LefHahvhx2-6v" TargetMode="External" Id="rId2386" /><Relationship Type="http://schemas.openxmlformats.org/officeDocument/2006/relationships/hyperlink" Target="https://synergetics.us/" TargetMode="External" Id="rId2387" /><Relationship Type="http://schemas.openxmlformats.org/officeDocument/2006/relationships/hyperlink" Target="https://drive.google.com/uc?export=view&amp;id=1yN8Yrn7LtfYhqQudK2RC_Q9QESOLmIkJ" TargetMode="External" Id="rId2388" /><Relationship Type="http://schemas.openxmlformats.org/officeDocument/2006/relationships/hyperlink" Target="http://spatium.bg/" TargetMode="External" Id="rId2389" /><Relationship Type="http://schemas.openxmlformats.org/officeDocument/2006/relationships/hyperlink" Target="https://spatium.bg/" TargetMode="External" Id="rId2390" /><Relationship Type="http://schemas.openxmlformats.org/officeDocument/2006/relationships/hyperlink" Target="https://drive.google.com/uc?export=view&amp;id=1kgLR5bh9rN9D5WI8QqgWZhahGMXUGaar" TargetMode="External" Id="rId2391" /><Relationship Type="http://schemas.openxmlformats.org/officeDocument/2006/relationships/hyperlink" Target="https://toptutors.dk/" TargetMode="External" Id="rId2392" /><Relationship Type="http://schemas.openxmlformats.org/officeDocument/2006/relationships/hyperlink" Target="https://drive.google.com/uc?export=view&amp;id=1c_RUpubaZy_QmHPx46iXQhy5rUoL92dJ" TargetMode="External" Id="rId2393" /><Relationship Type="http://schemas.openxmlformats.org/officeDocument/2006/relationships/hyperlink" Target="https://aktivtime.dk/" TargetMode="External" Id="rId2394" /><Relationship Type="http://schemas.openxmlformats.org/officeDocument/2006/relationships/hyperlink" Target="https://www.instagram.com/aktivtime.dk/" TargetMode="External" Id="rId2395" /><Relationship Type="http://schemas.openxmlformats.org/officeDocument/2006/relationships/hyperlink" Target="https://www.linkedin.com/company/aktivtime/" TargetMode="External" Id="rId2396" /><Relationship Type="http://schemas.openxmlformats.org/officeDocument/2006/relationships/hyperlink" Target="http://aktivtime.dk/" TargetMode="External" Id="rId2397" /><Relationship Type="http://schemas.openxmlformats.org/officeDocument/2006/relationships/hyperlink" Target="https://drive.google.com/uc?export=view&amp;id=1pi4VHV5nWHpT34pZO0fytTJQxq8COk0q" TargetMode="External" Id="rId2398" /><Relationship Type="http://schemas.openxmlformats.org/officeDocument/2006/relationships/hyperlink" Target="http://www.jeulin.com/" TargetMode="External" Id="rId2399" /><Relationship Type="http://schemas.openxmlformats.org/officeDocument/2006/relationships/hyperlink" Target="https://twitter.com/Jeulin_fr" TargetMode="External" Id="rId2400" /><Relationship Type="http://schemas.openxmlformats.org/officeDocument/2006/relationships/hyperlink" Target="https://drive.google.com/uc?export=view&amp;id=1FqYCzcmA-BNTHznSnWftxBwydxXdgce1" TargetMode="External" Id="rId2401" /><Relationship Type="http://schemas.openxmlformats.org/officeDocument/2006/relationships/hyperlink" Target="https://beespeaker.com/" TargetMode="External" Id="rId2402" /><Relationship Type="http://schemas.openxmlformats.org/officeDocument/2006/relationships/hyperlink" Target="https://www.instagram.com/beespeakerapp" TargetMode="External" Id="rId2403" /><Relationship Type="http://schemas.openxmlformats.org/officeDocument/2006/relationships/hyperlink" Target="https://www.linkedin.com/company/beespeaker/" TargetMode="External" Id="rId2404" /><Relationship Type="http://schemas.openxmlformats.org/officeDocument/2006/relationships/hyperlink" Target="https://drive.google.com/uc?export=view&amp;id=15IOuQQnvl-ZT9cjW7hRqwiuDbMY6L4st" TargetMode="External" Id="rId2405" /><Relationship Type="http://schemas.openxmlformats.org/officeDocument/2006/relationships/hyperlink" Target="https://www.artologik.com/en/survey-report/solutions/schools-universities" TargetMode="External" Id="rId2406" /><Relationship Type="http://schemas.openxmlformats.org/officeDocument/2006/relationships/hyperlink" Target="https://www.linkedin.com/company/artologik" TargetMode="External" Id="rId2407" /><Relationship Type="http://schemas.openxmlformats.org/officeDocument/2006/relationships/hyperlink" Target="https://drive.google.com/uc?export=view&amp;id=1svAe06Bmq8_eIcLyFaIV2yCER4w-aSw2" TargetMode="External" Id="rId2408" /><Relationship Type="http://schemas.openxmlformats.org/officeDocument/2006/relationships/hyperlink" Target="https://avetica.nl/" TargetMode="External" Id="rId2409" /><Relationship Type="http://schemas.openxmlformats.org/officeDocument/2006/relationships/hyperlink" Target="https://drive.google.com/uc?export=view&amp;id=1e-Ep0bWYs2lPGR4xKiPT9HqvutJayA8o" TargetMode="External" Id="rId2410" /><Relationship Type="http://schemas.openxmlformats.org/officeDocument/2006/relationships/hyperlink" Target="http://www.questakids.com/" TargetMode="External" Id="rId2411" /><Relationship Type="http://schemas.openxmlformats.org/officeDocument/2006/relationships/hyperlink" Target="https://drive.google.com/uc?export=view&amp;id=1klwF-uxPHZzKB5UC-syrd0iZpu66XB06" TargetMode="External" Id="rId2412" /><Relationship Type="http://schemas.openxmlformats.org/officeDocument/2006/relationships/hyperlink" Target="https://unitz.biz/en/" TargetMode="External" Id="rId2413" /><Relationship Type="http://schemas.openxmlformats.org/officeDocument/2006/relationships/hyperlink" Target="https://drive.google.com/uc?export=view&amp;id=1sOPDuWAwgDwEzDsTp2C24jlkxJ--8PTH" TargetMode="External" Id="rId2414" /><Relationship Type="http://schemas.openxmlformats.org/officeDocument/2006/relationships/hyperlink" Target="https://www.vuhackathon.lt/" TargetMode="External" Id="rId2415" /><Relationship Type="http://schemas.openxmlformats.org/officeDocument/2006/relationships/hyperlink" Target="https://drive.google.com/uc?export=view&amp;id=1s9AKJ65DnEN5R8ezeRU2-Rwsow5S84mg" TargetMode="External" Id="rId2416" /><Relationship Type="http://schemas.openxmlformats.org/officeDocument/2006/relationships/hyperlink" Target="https://designingeducationprojectlab.notion.site/" TargetMode="External" Id="rId2417" /><Relationship Type="http://schemas.openxmlformats.org/officeDocument/2006/relationships/hyperlink" Target="https://drive.google.com/uc?export=view&amp;id=1Lh5meoBuGuN7jFEGCkmQNLVVgf5ReHuN" TargetMode="External" Id="rId2418" /><Relationship Type="http://schemas.openxmlformats.org/officeDocument/2006/relationships/hyperlink" Target="https://getsourcer.com/" TargetMode="External" Id="rId2419" /><Relationship Type="http://schemas.openxmlformats.org/officeDocument/2006/relationships/hyperlink" Target="https://www.linkedin.com/company/getsourcer" TargetMode="External" Id="rId2420" /><Relationship Type="http://schemas.openxmlformats.org/officeDocument/2006/relationships/hyperlink" Target="https://drive.google.com/uc?export=view&amp;id=1TlwrCKAKn1Iwb5U1q9tav-XBPir2n1VS" TargetMode="External" Id="rId2421" /><Relationship Type="http://schemas.openxmlformats.org/officeDocument/2006/relationships/hyperlink" Target="https://chunkx.net/" TargetMode="External" Id="rId2422" /><Relationship Type="http://schemas.openxmlformats.org/officeDocument/2006/relationships/hyperlink" Target="https://drive.google.com/uc?export=view&amp;id=1KYncQoy4JP9bbNFEFNqcgXOuMDMnoqEU" TargetMode="External" Id="rId2423" /><Relationship Type="http://schemas.openxmlformats.org/officeDocument/2006/relationships/hyperlink" Target="http://www.solutio.app/" TargetMode="External" Id="rId2424" /><Relationship Type="http://schemas.openxmlformats.org/officeDocument/2006/relationships/hyperlink" Target="https://www.instagram.com/solutio.app" TargetMode="External" Id="rId2425" /><Relationship Type="http://schemas.openxmlformats.org/officeDocument/2006/relationships/hyperlink" Target="https://www.linkedin.com/company/solutio-app/" TargetMode="External" Id="rId2426" /><Relationship Type="http://schemas.openxmlformats.org/officeDocument/2006/relationships/hyperlink" Target="https://drive.google.com/uc?export=view&amp;id=1OI7k7ncHnZSEM4NQe69jWfgTV9E8tQC2" TargetMode="External" Id="rId2427" /><Relationship Type="http://schemas.openxmlformats.org/officeDocument/2006/relationships/hyperlink" Target="https://www.squidll.com/" TargetMode="External" Id="rId2428" /><Relationship Type="http://schemas.openxmlformats.org/officeDocument/2006/relationships/hyperlink" Target="https://www.instagram.com/squidll_languagelearning/" TargetMode="External" Id="rId2429" /><Relationship Type="http://schemas.openxmlformats.org/officeDocument/2006/relationships/hyperlink" Target="https://www.linkedin.com/company/squidll" TargetMode="External" Id="rId2430" /><Relationship Type="http://schemas.openxmlformats.org/officeDocument/2006/relationships/hyperlink" Target="https://drive.google.com/uc?export=view&amp;id=1l1Fkx4JqoycVDfhVajMOaqh0pkImtsM0" TargetMode="External" Id="rId2431" /><Relationship Type="http://schemas.openxmlformats.org/officeDocument/2006/relationships/hyperlink" Target="http://www.bookwidgets.com/" TargetMode="External" Id="rId2432" /><Relationship Type="http://schemas.openxmlformats.org/officeDocument/2006/relationships/hyperlink" Target="https://twitter.com/ibookwidgets" TargetMode="External" Id="rId2433" /><Relationship Type="http://schemas.openxmlformats.org/officeDocument/2006/relationships/hyperlink" Target="https://www.linkedin.com/company/bookwidgets/" TargetMode="External" Id="rId2434" /><Relationship Type="http://schemas.openxmlformats.org/officeDocument/2006/relationships/hyperlink" Target="https://drive.google.com/uc?export=view&amp;id=1vPHJvs5pKCIy1msQFUKEn1CP0ZOjfLVY" TargetMode="External" Id="rId2435" /><Relationship Type="http://schemas.openxmlformats.org/officeDocument/2006/relationships/hyperlink" Target="https://www.danberg.org/" TargetMode="External" Id="rId2436" /><Relationship Type="http://schemas.openxmlformats.org/officeDocument/2006/relationships/hyperlink" Target="https://www.linkedin.com/company/82704373/" TargetMode="External" Id="rId2437" /><Relationship Type="http://schemas.openxmlformats.org/officeDocument/2006/relationships/hyperlink" Target="https://drive.google.com/uc?export=view&amp;id=1aIoPSmLQI1jDjZbZPZfFD-3O0wGIs-Rj" TargetMode="External" Id="rId2438" /><Relationship Type="http://schemas.openxmlformats.org/officeDocument/2006/relationships/hyperlink" Target="https://splended.co/" TargetMode="External" Id="rId2439" /><Relationship Type="http://schemas.openxmlformats.org/officeDocument/2006/relationships/hyperlink" Target="https://drive.google.com/uc?export=view&amp;id=1fC6OGmsfLLIUZAVqd0JYpl6TYWWHTdHb" TargetMode="External" Id="rId2440" /><Relationship Type="http://schemas.openxmlformats.org/officeDocument/2006/relationships/hyperlink" Target="https://www.totalymage.com/" TargetMode="External" Id="rId2441" /><Relationship Type="http://schemas.openxmlformats.org/officeDocument/2006/relationships/hyperlink" Target="https://www.linkedin.com/company/totalymage/" TargetMode="External" Id="rId2442" /><Relationship Type="http://schemas.openxmlformats.org/officeDocument/2006/relationships/hyperlink" Target="https://drive.google.com/uc?export=view&amp;id=1lH1ewN-scErwQ5D4ISMxj-LuCIvbPSI5" TargetMode="External" Id="rId2443" /><Relationship Type="http://schemas.openxmlformats.org/officeDocument/2006/relationships/hyperlink" Target="https://betterstudy.ch/" TargetMode="External" Id="rId2444" /><Relationship Type="http://schemas.openxmlformats.org/officeDocument/2006/relationships/hyperlink" Target="https://www.instagram.com/betterstudy_online_course" TargetMode="External" Id="rId2445" /><Relationship Type="http://schemas.openxmlformats.org/officeDocument/2006/relationships/hyperlink" Target="https://www.linkedin.com/school/betterstudy-cours-en-ligne/" TargetMode="External" Id="rId2446" /><Relationship Type="http://schemas.openxmlformats.org/officeDocument/2006/relationships/hyperlink" Target="https://drive.google.com/uc?export=view&amp;id=153eeYwOMnR9XiUKtTshubB1yRtrXy5zv" TargetMode="External" Id="rId2447" /><Relationship Type="http://schemas.openxmlformats.org/officeDocument/2006/relationships/hyperlink" Target="https://www.tralalere.com/" TargetMode="External" Id="rId2448" /><Relationship Type="http://schemas.openxmlformats.org/officeDocument/2006/relationships/hyperlink" Target="https://www.instagram.com/internetsanscrainte/" TargetMode="External" Id="rId2449" /><Relationship Type="http://schemas.openxmlformats.org/officeDocument/2006/relationships/hyperlink" Target="https://twitter.com/tralalere" TargetMode="External" Id="rId2450" /><Relationship Type="http://schemas.openxmlformats.org/officeDocument/2006/relationships/hyperlink" Target="https://linkedin.com/showcase/tralalere" TargetMode="External" Id="rId2451" /><Relationship Type="http://schemas.openxmlformats.org/officeDocument/2006/relationships/hyperlink" Target="https://drive.google.com/uc?export=view&amp;id=1v82qqWW9-G2zQOb-ebl6_0VEWMR2-Trs" TargetMode="External" Id="rId2452" /><Relationship Type="http://schemas.openxmlformats.org/officeDocument/2006/relationships/hyperlink" Target="http://younichoice.com/" TargetMode="External" Id="rId2453" /><Relationship Type="http://schemas.openxmlformats.org/officeDocument/2006/relationships/hyperlink" Target="https://instagram.com/younichoice?igshid=MzRlODBiNWFlZA==" TargetMode="External" Id="rId2454" /><Relationship Type="http://schemas.openxmlformats.org/officeDocument/2006/relationships/hyperlink" Target="https://www.linkedin.com/company/younichoice" TargetMode="External" Id="rId2455" /><Relationship Type="http://schemas.openxmlformats.org/officeDocument/2006/relationships/hyperlink" Target="https://drive.google.com/uc?export=view&amp;id=1P-OeIhNlALtw_mWRRoqF63w8Darlee_0" TargetMode="External" Id="rId2456" /><Relationship Type="http://schemas.openxmlformats.org/officeDocument/2006/relationships/hyperlink" Target="https://lifeteachus.org/" TargetMode="External" Id="rId2457" /><Relationship Type="http://schemas.openxmlformats.org/officeDocument/2006/relationships/hyperlink" Target="https://drive.google.com/uc?export=view&amp;id=1EgXqwnz-Uen_Iza8AA1gRlpjCkD5zSvW" TargetMode="External" Id="rId2458" /><Relationship Type="http://schemas.openxmlformats.org/officeDocument/2006/relationships/hyperlink" Target="https://www.thing.online/" TargetMode="External" Id="rId2459" /><Relationship Type="http://schemas.openxmlformats.org/officeDocument/2006/relationships/hyperlink" Target="https://drive.google.com/uc?export=view&amp;id=1nsjh1wzdW1WIepT09Jxoiu0WGloOL0We" TargetMode="External" Id="rId2460" /><Relationship Type="http://schemas.openxmlformats.org/officeDocument/2006/relationships/hyperlink" Target="http://www.gility.it/" TargetMode="External" Id="rId2461" /><Relationship Type="http://schemas.openxmlformats.org/officeDocument/2006/relationships/hyperlink" Target="https://www.linkedin.com/company/gility-italia/" TargetMode="External" Id="rId2462" /><Relationship Type="http://schemas.openxmlformats.org/officeDocument/2006/relationships/hyperlink" Target="https://drive.google.com/uc?export=view&amp;id=11F5SD1J0H2Gegp816nHzTfnQhjUuiGU2" TargetMode="External" Id="rId2463" /><Relationship Type="http://schemas.openxmlformats.org/officeDocument/2006/relationships/hyperlink" Target="http://etutee.eu/" TargetMode="External" Id="rId2464" /><Relationship Type="http://schemas.openxmlformats.org/officeDocument/2006/relationships/hyperlink" Target="https://drive.google.com/uc?export=view&amp;id=1QY2kDuDqae0K8W4vr5ifz1-7Zs5qoGh7" TargetMode="External" Id="rId2465" /><Relationship Type="http://schemas.openxmlformats.org/officeDocument/2006/relationships/hyperlink" Target="http://www.edcompass.net/" TargetMode="External" Id="rId2466" /><Relationship Type="http://schemas.openxmlformats.org/officeDocument/2006/relationships/hyperlink" Target="https://drive.google.com/uc?export=view&amp;id=1bQD0qP6x513BjDXMQs71GVHkAXz4oXwQ" TargetMode="External" Id="rId2467" /><Relationship Type="http://schemas.openxmlformats.org/officeDocument/2006/relationships/hyperlink" Target="https://digiscovery.de/" TargetMode="External" Id="rId2468" /><Relationship Type="http://schemas.openxmlformats.org/officeDocument/2006/relationships/hyperlink" Target="https://drive.google.com/uc?export=view&amp;id=1iYfS9PxvLej3mZuLJLo_X1YeLkY84BNe" TargetMode="External" Id="rId2469" /><Relationship Type="http://schemas.openxmlformats.org/officeDocument/2006/relationships/hyperlink" Target="http://www.acceleralia.com/" TargetMode="External" Id="rId2470" /><Relationship Type="http://schemas.openxmlformats.org/officeDocument/2006/relationships/hyperlink" Target="https://drive.google.com/uc?export=view&amp;id=1tFPGwgBx9Y5O9LhRqwdc9Na_NFucrdCs" TargetMode="External" Id="rId2471" /><Relationship Type="http://schemas.openxmlformats.org/officeDocument/2006/relationships/hyperlink" Target="http://www.bidi.one/" TargetMode="External" Id="rId2472" /><Relationship Type="http://schemas.openxmlformats.org/officeDocument/2006/relationships/hyperlink" Target="https://drive.google.com/uc?export=view&amp;id=1U4yjI2otexzgkvLalSVRamXMfm2s8fVO" TargetMode="External" Id="rId2473" /><Relationship Type="http://schemas.openxmlformats.org/officeDocument/2006/relationships/hyperlink" Target="https://www.databooster.io/" TargetMode="External" Id="rId2474" /><Relationship Type="http://schemas.openxmlformats.org/officeDocument/2006/relationships/hyperlink" Target="https://www.linkedin.com/company/data-booster" TargetMode="External" Id="rId2475" /><Relationship Type="http://schemas.openxmlformats.org/officeDocument/2006/relationships/hyperlink" Target="https://drive.google.com/uc?export=view&amp;id=1hxKq_gy7X4i88hHpk9PkL-HZfgDVFPAk" TargetMode="External" Id="rId2476" /><Relationship Type="http://schemas.openxmlformats.org/officeDocument/2006/relationships/hyperlink" Target="http://digiep.com/" TargetMode="External" Id="rId2477" /><Relationship Type="http://schemas.openxmlformats.org/officeDocument/2006/relationships/hyperlink" Target="https://drive.google.com/uc?export=view&amp;id=1DA84O7PM3aTBbui_L9NIFttaWsYRQRuB" TargetMode="External" Id="rId2478" /><Relationship Type="http://schemas.openxmlformats.org/officeDocument/2006/relationships/hyperlink" Target="http://www.eccedu.net/" TargetMode="External" Id="rId2479" /><Relationship Type="http://schemas.openxmlformats.org/officeDocument/2006/relationships/hyperlink" Target="https://drive.google.com/uc?export=view&amp;id=1doh5HeaKMY1-T140TCP40egIw-z1sba9" TargetMode="External" Id="rId2480" /><Relationship Type="http://schemas.openxmlformats.org/officeDocument/2006/relationships/hyperlink" Target="http://www.lektionsakuten.com/" TargetMode="External" Id="rId2481" /><Relationship Type="http://schemas.openxmlformats.org/officeDocument/2006/relationships/hyperlink" Target="http://www.instagram.com/lektionsakuten_sverige" TargetMode="External" Id="rId2482" /><Relationship Type="http://schemas.openxmlformats.org/officeDocument/2006/relationships/hyperlink" Target="https://www.linkedin.com/company/lektionsakuten/" TargetMode="External" Id="rId2483" /><Relationship Type="http://schemas.openxmlformats.org/officeDocument/2006/relationships/hyperlink" Target="https://drive.google.com/uc?export=view&amp;id=175VQOERsSyJ0yPCPlyRlFA21REzdD0ad" TargetMode="External" Id="rId2484" /><Relationship Type="http://schemas.openxmlformats.org/officeDocument/2006/relationships/hyperlink" Target="https://skillbest.com/" TargetMode="External" Id="rId2485" /><Relationship Type="http://schemas.openxmlformats.org/officeDocument/2006/relationships/hyperlink" Target="https://www.linkedin.com/company/skillbest/" TargetMode="External" Id="rId2486" /><Relationship Type="http://schemas.openxmlformats.org/officeDocument/2006/relationships/hyperlink" Target="https://drive.google.com/uc?export=view&amp;id=1Hn3ZnqEZa2Bw3qfxP5c2Kr3SYAZkdmOe" TargetMode="External" Id="rId2487" /><Relationship Type="http://schemas.openxmlformats.org/officeDocument/2006/relationships/hyperlink" Target="https://www.wiseshot.io/" TargetMode="External" Id="rId2488" /><Relationship Type="http://schemas.openxmlformats.org/officeDocument/2006/relationships/hyperlink" Target="https://drive.google.com/uc?export=view&amp;id=123X7fO-nyjH0zdgvZ2zirwR7egkYcXsW" TargetMode="External" Id="rId2489" /><Relationship Type="http://schemas.openxmlformats.org/officeDocument/2006/relationships/hyperlink" Target="http://scorionportfolio.com/" TargetMode="External" Id="rId2490" /><Relationship Type="http://schemas.openxmlformats.org/officeDocument/2006/relationships/hyperlink" Target="https://www.linkedin.com/showcase/scorion-nederland/" TargetMode="External" Id="rId2491" /><Relationship Type="http://schemas.openxmlformats.org/officeDocument/2006/relationships/hyperlink" Target="https://drive.google.com/uc?export=view&amp;id=1REP-C_d6joDzOtJ3t0tg0tkoyHk1rh_Y" TargetMode="External" Id="rId2492" /><Relationship Type="http://schemas.openxmlformats.org/officeDocument/2006/relationships/hyperlink" Target="https://www.growify.de/" TargetMode="External" Id="rId2493" /><Relationship Type="http://schemas.openxmlformats.org/officeDocument/2006/relationships/hyperlink" Target="https://drive.google.com/uc?export=view&amp;id=1Q8NtsauMey7bHakZonsAAiQPemAVU3Gd" TargetMode="External" Id="rId2494" /><Relationship Type="http://schemas.openxmlformats.org/officeDocument/2006/relationships/hyperlink" Target="http://www.doquagroup.com/" TargetMode="External" Id="rId2495" /><Relationship Type="http://schemas.openxmlformats.org/officeDocument/2006/relationships/hyperlink" Target="https://es.linkedin.com/company/doqua" TargetMode="External" Id="rId2496" /><Relationship Type="http://schemas.openxmlformats.org/officeDocument/2006/relationships/hyperlink" Target="https://drive.google.com/uc?export=view&amp;id=1yYT_VWAC63ZZmDc1bQkFfzDXVJudcZj6" TargetMode="External" Id="rId2497" /><Relationship Type="http://schemas.openxmlformats.org/officeDocument/2006/relationships/hyperlink" Target="https://onlinekidsacademy.org/" TargetMode="External" Id="rId2498" /><Relationship Type="http://schemas.openxmlformats.org/officeDocument/2006/relationships/hyperlink" Target="https://drive.google.com/uc?export=view&amp;id=1mPLWBnUGuuxQmVcLFbMi6IpEJvNP0nCg" TargetMode="External" Id="rId2499" /><Relationship Type="http://schemas.openxmlformats.org/officeDocument/2006/relationships/hyperlink" Target="https://www.coursesonline.co.uk/" TargetMode="External" Id="rId2500" /><Relationship Type="http://schemas.openxmlformats.org/officeDocument/2006/relationships/hyperlink" Target="https://drive.google.com/uc?export=view&amp;id=1aS02suLdlUJJPOfa7xXW1WubJLAMHsEl" TargetMode="External" Id="rId2501" /><Relationship Type="http://schemas.openxmlformats.org/officeDocument/2006/relationships/hyperlink" Target="https://www.codum.cc/" TargetMode="External" Id="rId2502" /><Relationship Type="http://schemas.openxmlformats.org/officeDocument/2006/relationships/hyperlink" Target="https://drive.google.com/uc?export=view&amp;id=16VgmG-LhxpKU8UEk-7q3_kjq2Ye6wq-T" TargetMode="External" Id="rId2503" /><Relationship Type="http://schemas.openxmlformats.org/officeDocument/2006/relationships/hyperlink" Target="http://robocode.uk/" TargetMode="External" Id="rId2504" /><Relationship Type="http://schemas.openxmlformats.org/officeDocument/2006/relationships/hyperlink" Target="https://drive.google.com/uc?export=view&amp;id=1Em-Y7aLAXPQRKmo0L6qBJ7U67KuxIZya" TargetMode="External" Id="rId2505" /><Relationship Type="http://schemas.openxmlformats.org/officeDocument/2006/relationships/hyperlink" Target="https://scoolsy.com/" TargetMode="External" Id="rId2506" /><Relationship Type="http://schemas.openxmlformats.org/officeDocument/2006/relationships/hyperlink" Target="https://www.linkedin.com/company/scoolsy" TargetMode="External" Id="rId2507" /><Relationship Type="http://schemas.openxmlformats.org/officeDocument/2006/relationships/hyperlink" Target="https://drive.google.com/uc?export=view&amp;id=1KFPffP8UrrwcWkA2pybECVI3ZfRJ_mBL" TargetMode="External" Id="rId2508" /><Relationship Type="http://schemas.openxmlformats.org/officeDocument/2006/relationships/hyperlink" Target="https://drive.google.com/uc?export=view&amp;id=12We5N84tGGc6F_1TB6b_TdW6liFeBBuf" TargetMode="External" Id="rId2509" /><Relationship Type="http://schemas.openxmlformats.org/officeDocument/2006/relationships/hyperlink" Target="https://radicalhr.it/" TargetMode="External" Id="rId2510" /><Relationship Type="http://schemas.openxmlformats.org/officeDocument/2006/relationships/hyperlink" Target="https://www.instagram.com/radical_hr/" TargetMode="External" Id="rId2511" /><Relationship Type="http://schemas.openxmlformats.org/officeDocument/2006/relationships/hyperlink" Target="https://www.linkedin.com/school/radicalhr/?viewAsMember=true" TargetMode="External" Id="rId2512" /><Relationship Type="http://schemas.openxmlformats.org/officeDocument/2006/relationships/hyperlink" Target="https://drive.google.com/uc?export=view&amp;id=15ywo_F2QF6oy5jvXPf0W5yN_1ihPwwQT" TargetMode="External" Id="rId2513" /><Relationship Type="http://schemas.openxmlformats.org/officeDocument/2006/relationships/hyperlink" Target="https://www.linkedin.com/company/skillstown/" TargetMode="External" Id="rId2514" /><Relationship Type="http://schemas.openxmlformats.org/officeDocument/2006/relationships/hyperlink" Target="https://drive.google.com/uc?export=view&amp;id=1cdFaS1LdnPlz1j8V6gV_2FYEhjsSetf1" TargetMode="External" Id="rId2515" /><Relationship Type="http://schemas.openxmlformats.org/officeDocument/2006/relationships/hyperlink" Target="http://www.studentlink.it/" TargetMode="External" Id="rId2516" /><Relationship Type="http://schemas.openxmlformats.org/officeDocument/2006/relationships/hyperlink" Target="https://www.instagram.com/studentlink_ita/" TargetMode="External" Id="rId2517" /><Relationship Type="http://schemas.openxmlformats.org/officeDocument/2006/relationships/hyperlink" Target="https://www.linkedin.com/company/studentlinkita/?viewAsMember=true" TargetMode="External" Id="rId2518" /><Relationship Type="http://schemas.openxmlformats.org/officeDocument/2006/relationships/hyperlink" Target="https://drive.google.com/uc?export=view&amp;id=1Q_s-CMGEQWUlgcRM2GpSqqCb-EILYK-L" TargetMode="External" Id="rId2519" /><Relationship Type="http://schemas.openxmlformats.org/officeDocument/2006/relationships/hyperlink" Target="http://www.omniscol.com/" TargetMode="External" Id="rId2520" /><Relationship Type="http://schemas.openxmlformats.org/officeDocument/2006/relationships/hyperlink" Target="https://www.instagram.com/omniscol/" TargetMode="External" Id="rId2521" /><Relationship Type="http://schemas.openxmlformats.org/officeDocument/2006/relationships/hyperlink" Target="https://twitter.com/omniscol" TargetMode="External" Id="rId2522" /><Relationship Type="http://schemas.openxmlformats.org/officeDocument/2006/relationships/hyperlink" Target="https://www.linkedin.com/company/omniscol" TargetMode="External" Id="rId2523" /><Relationship Type="http://schemas.openxmlformats.org/officeDocument/2006/relationships/hyperlink" Target="https://drive.google.com/uc?export=view&amp;id=1UmzTkbJ0pht1WtBI2g4ZfTpKn9m__Fgd" TargetMode="External" Id="rId2524" /><Relationship Type="http://schemas.openxmlformats.org/officeDocument/2006/relationships/hyperlink" Target="https://www.minnalearn.com/" TargetMode="External" Id="rId2525" /><Relationship Type="http://schemas.openxmlformats.org/officeDocument/2006/relationships/hyperlink" Target="https://drive.google.com/uc?export=view&amp;id=1LWlcMZcH8IAHVrH__vqdI-qNvyWHZZPd" TargetMode="External" Id="rId2526" /><Relationship Type="http://schemas.openxmlformats.org/officeDocument/2006/relationships/hyperlink" Target="https://www.linkedin.com/company/motivum-games/" TargetMode="External" Id="rId2527" /><Relationship Type="http://schemas.openxmlformats.org/officeDocument/2006/relationships/hyperlink" Target="https://drive.google.com/uc?export=view&amp;id=1YGz0APIElIvSE_Sdt7u6RVXgkTwOW__j" TargetMode="External" Id="rId2528" /><Relationship Type="http://schemas.openxmlformats.org/officeDocument/2006/relationships/hyperlink" Target="http://www.neukurs.com/" TargetMode="External" Id="rId2529" /><Relationship Type="http://schemas.openxmlformats.org/officeDocument/2006/relationships/hyperlink" Target="https://www.instagram.com/neukurs/?hl=de" TargetMode="External" Id="rId2530" /><Relationship Type="http://schemas.openxmlformats.org/officeDocument/2006/relationships/hyperlink" Target="https://www.linkedin.com/company/neukurs/" TargetMode="External" Id="rId2531" /><Relationship Type="http://schemas.openxmlformats.org/officeDocument/2006/relationships/hyperlink" Target="https://drive.google.com/uc?export=view&amp;id=1DX0gooIYeIEei_UM52AtLhBtxUMQC6-4" TargetMode="External" Id="rId2532" /><Relationship Type="http://schemas.openxmlformats.org/officeDocument/2006/relationships/hyperlink" Target="http://allright.com/" TargetMode="External" Id="rId2533" /><Relationship Type="http://schemas.openxmlformats.org/officeDocument/2006/relationships/hyperlink" Target="https://www.tomorrow.university/" TargetMode="External" Id="rId2534" /><Relationship Type="http://schemas.openxmlformats.org/officeDocument/2006/relationships/hyperlink" Target="https://drive.google.com/uc?export=view&amp;id=12MQXfLPoWfWwEsopMf8ey1c-wZ2ZSqF4" TargetMode="External" Id="rId2535" /><Relationship Type="http://schemas.openxmlformats.org/officeDocument/2006/relationships/hyperlink" Target="https://www.azumuta.com/en/how-it-works/learning-management-system/" TargetMode="External" Id="rId2536" /><Relationship Type="http://schemas.openxmlformats.org/officeDocument/2006/relationships/hyperlink" Target="https://www.instagram.com/azumuta" TargetMode="External" Id="rId2537" /><Relationship Type="http://schemas.openxmlformats.org/officeDocument/2006/relationships/hyperlink" Target="https://twitter.com/azumuta" TargetMode="External" Id="rId2538" /><Relationship Type="http://schemas.openxmlformats.org/officeDocument/2006/relationships/hyperlink" Target="https://www.linkedin.com/company/azumuta/" TargetMode="External" Id="rId2539" /><Relationship Type="http://schemas.openxmlformats.org/officeDocument/2006/relationships/hyperlink" Target="https://drive.google.com/uc?export=view&amp;id=1c3pBPGmkOwR9Dk3XSQe7ObvfVehdlli9" TargetMode="External" Id="rId2540" /><Relationship Type="http://schemas.openxmlformats.org/officeDocument/2006/relationships/hyperlink" Target="http://www.learnworlds.com/" TargetMode="External" Id="rId2541" /><Relationship Type="http://schemas.openxmlformats.org/officeDocument/2006/relationships/hyperlink" Target="https://automatus.be/" TargetMode="External" Id="rId2542" /><Relationship Type="http://schemas.openxmlformats.org/officeDocument/2006/relationships/hyperlink" Target="https://www.linkedin.com/company/automatus-edu/" TargetMode="External" Id="rId2543" /><Relationship Type="http://schemas.openxmlformats.org/officeDocument/2006/relationships/hyperlink" Target="https://drive.google.com/uc?export=view&amp;id=1drAXtOuKAjv_fNf8QSXIMGJpttPiRC14" TargetMode="External" Id="rId2544" /><Relationship Type="http://schemas.openxmlformats.org/officeDocument/2006/relationships/hyperlink" Target="http://10academy.org/" TargetMode="External" Id="rId2545" /><Relationship Type="http://schemas.openxmlformats.org/officeDocument/2006/relationships/hyperlink" Target="https://drive.google.com/uc?export=view&amp;id=14Li43vYRdPTZpkMIkjsRDYHF43tWKPzV" TargetMode="External" Id="rId2546" /><Relationship Type="http://schemas.openxmlformats.org/officeDocument/2006/relationships/hyperlink" Target="http://www.aoz.studio/" TargetMode="External" Id="rId2547" /><Relationship Type="http://schemas.openxmlformats.org/officeDocument/2006/relationships/hyperlink" Target="https://www.instagram.com/aozstudioofficial/" TargetMode="External" Id="rId2548" /><Relationship Type="http://schemas.openxmlformats.org/officeDocument/2006/relationships/hyperlink" Target="https://twitter.com/aoz_studio" TargetMode="External" Id="rId2549" /><Relationship Type="http://schemas.openxmlformats.org/officeDocument/2006/relationships/hyperlink" Target="https://www.linkedin.com/company/aoz-studio/" TargetMode="External" Id="rId2550" /><Relationship Type="http://schemas.openxmlformats.org/officeDocument/2006/relationships/hyperlink" Target="https://drive.google.com/uc?export=view&amp;id=15_IB2EPsBeULnDx-NXyD9JZyj8FnQ81L" TargetMode="External" Id="rId2551" /><Relationship Type="http://schemas.openxmlformats.org/officeDocument/2006/relationships/hyperlink" Target="https://didactech.nl/" TargetMode="External" Id="rId2552" /><Relationship Type="http://schemas.openxmlformats.org/officeDocument/2006/relationships/hyperlink" Target="https://www.linkedin.com/company/didactechnl/" TargetMode="External" Id="rId2553" /><Relationship Type="http://schemas.openxmlformats.org/officeDocument/2006/relationships/hyperlink" Target="https://drive.google.com/uc?export=view&amp;id=18wr-j_HvN8uM6ZF_ZIQqDsRM3wwulr6J" TargetMode="External" Id="rId2554" /><Relationship Type="http://schemas.openxmlformats.org/officeDocument/2006/relationships/hyperlink" Target="http://www.01talent.com/" TargetMode="External" Id="rId2555" /><Relationship Type="http://schemas.openxmlformats.org/officeDocument/2006/relationships/hyperlink" Target="https://drive.google.com/uc?export=view&amp;id=1oEcSbcBQHOP5Df81ohvQv1XPasW4uuIb" TargetMode="External" Id="rId2556" /><Relationship Type="http://schemas.openxmlformats.org/officeDocument/2006/relationships/hyperlink" Target="https://www.ist.com/no/" TargetMode="External" Id="rId2557" /><Relationship Type="http://schemas.openxmlformats.org/officeDocument/2006/relationships/hyperlink" Target="https://www.linkedin.com/company/509615/admin/" TargetMode="External" Id="rId2558" /><Relationship Type="http://schemas.openxmlformats.org/officeDocument/2006/relationships/hyperlink" Target="http://thirdroom.org/" TargetMode="External" Id="rId2559" /><Relationship Type="http://schemas.openxmlformats.org/officeDocument/2006/relationships/hyperlink" Target="https://drive.google.com/uc?export=view&amp;id=1eJbX5AmZT7uh0wWV-qK3lhTJ6O1YXhg_" TargetMode="External" Id="rId2560" /><Relationship Type="http://schemas.openxmlformats.org/officeDocument/2006/relationships/hyperlink" Target="https://www.doctoratehub.com/" TargetMode="External" Id="rId2561" /><Relationship Type="http://schemas.openxmlformats.org/officeDocument/2006/relationships/hyperlink" Target="https://drive.google.com/uc?export=view&amp;id=11HsBW9G0izPFfixDKJ_edT_Q2Kg2YEyN" TargetMode="External" Id="rId2562" /><Relationship Type="http://schemas.openxmlformats.org/officeDocument/2006/relationships/hyperlink" Target="http://www.signpost.eu/" TargetMode="External" Id="rId2563" /><Relationship Type="http://schemas.openxmlformats.org/officeDocument/2006/relationships/hyperlink" Target="https://www.linkedin.com/company/1739838/admin/notifications/all/" TargetMode="External" Id="rId2564" /><Relationship Type="http://schemas.openxmlformats.org/officeDocument/2006/relationships/hyperlink" Target="https://drive.google.com/uc?export=view&amp;id=15COuXar2WIG37p919rJuC6Q-l5emfWVA" TargetMode="External" Id="rId2565" /><Relationship Type="http://schemas.openxmlformats.org/officeDocument/2006/relationships/hyperlink" Target="https://www.arduino.cc/education" TargetMode="External" Id="rId2566" /><Relationship Type="http://schemas.openxmlformats.org/officeDocument/2006/relationships/hyperlink" Target="https://drive.google.com/uc?export=view&amp;id=1YMDsleMIZD80Z5fzMbzy1uDV335yitYZ" TargetMode="External" Id="rId2567" /><Relationship Type="http://schemas.openxmlformats.org/officeDocument/2006/relationships/hyperlink" Target="https://foxeducation.com/fr" TargetMode="External" Id="rId2568" /><Relationship Type="http://schemas.openxmlformats.org/officeDocument/2006/relationships/hyperlink" Target="https://www.instagram.com/foxeducation_fr/" TargetMode="External" Id="rId2569" /><Relationship Type="http://schemas.openxmlformats.org/officeDocument/2006/relationships/hyperlink" Target="https://www.linkedin.com/company/foxeducation-france/" TargetMode="External" Id="rId2570" /><Relationship Type="http://schemas.openxmlformats.org/officeDocument/2006/relationships/hyperlink" Target="https://drive.google.com/uc?export=view&amp;id=1q_3SDTgatc_qWNB_MCxUNABrcAe9dBjz" TargetMode="External" Id="rId2571" /><Relationship Type="http://schemas.openxmlformats.org/officeDocument/2006/relationships/hyperlink" Target="http://hpappen.se/" TargetMode="External" Id="rId2572" /><Relationship Type="http://schemas.openxmlformats.org/officeDocument/2006/relationships/hyperlink" Target="https://drive.google.com/uc?export=view&amp;id=1NQnIfzFykDi1DSvhIjBsyUJng4L8bkFI" TargetMode="External" Id="rId2573" /><Relationship Type="http://schemas.openxmlformats.org/officeDocument/2006/relationships/hyperlink" Target="http://www.ml-labs.com/" TargetMode="External" Id="rId2574" /><Relationship Type="http://schemas.openxmlformats.org/officeDocument/2006/relationships/hyperlink" Target="https://drive.google.com/uc?export=view&amp;id=1hQpW_3yEuyVf-D2tWTHeTVB_6ovLHOum" TargetMode="External" Id="rId2575" /><Relationship Type="http://schemas.openxmlformats.org/officeDocument/2006/relationships/hyperlink" Target="https://www.adaptiv.me/" TargetMode="External" Id="rId2576" /><Relationship Type="http://schemas.openxmlformats.org/officeDocument/2006/relationships/hyperlink" Target="https://www.instagram.com/adaptiv.me/" TargetMode="External" Id="rId2577" /><Relationship Type="http://schemas.openxmlformats.org/officeDocument/2006/relationships/hyperlink" Target="https://twitter.com/adaptiv_me" TargetMode="External" Id="rId2578" /><Relationship Type="http://schemas.openxmlformats.org/officeDocument/2006/relationships/hyperlink" Target="https://www.linkedin.com/company/adaptiv-me" TargetMode="External" Id="rId2579" /><Relationship Type="http://schemas.openxmlformats.org/officeDocument/2006/relationships/hyperlink" Target="https://drive.google.com/uc?export=view&amp;id=1ZvKT6Z_QgF3m-ji_Emh35Iw1TWAZW2Sf" TargetMode="External" Id="rId2580" /><Relationship Type="http://schemas.openxmlformats.org/officeDocument/2006/relationships/hyperlink" Target="http://www.capitanpomelo.com/" TargetMode="External" Id="rId2581" /><Relationship Type="http://schemas.openxmlformats.org/officeDocument/2006/relationships/hyperlink" Target="https://www.instagram.com/capitan.pomelo/" TargetMode="External" Id="rId2582" /><Relationship Type="http://schemas.openxmlformats.org/officeDocument/2006/relationships/hyperlink" Target="https://www.linkedin.com/in/sanda-luca-939b32140/" TargetMode="External" Id="rId2583" /><Relationship Type="http://schemas.openxmlformats.org/officeDocument/2006/relationships/hyperlink" Target="https://drive.google.com/uc?export=view&amp;id=1ZxTAqVCIHAu44PZoSP1D462Ebi4Se1Dk" TargetMode="External" Id="rId2584" /><Relationship Type="http://schemas.openxmlformats.org/officeDocument/2006/relationships/hyperlink" Target="http://www.findmyprogramme.com/" TargetMode="External" Id="rId2585" /><Relationship Type="http://schemas.openxmlformats.org/officeDocument/2006/relationships/hyperlink" Target="https://drive.google.com/uc?export=view&amp;id=1slKGj5SF0KLAUM7kFDXa-957HEIIRA4v" TargetMode="External" Id="rId2586" /><Relationship Type="http://schemas.openxmlformats.org/officeDocument/2006/relationships/hyperlink" Target="https://cephalus.ai/" TargetMode="External" Id="rId2587" /><Relationship Type="http://schemas.openxmlformats.org/officeDocument/2006/relationships/hyperlink" Target="https://drive.google.com/uc?export=view&amp;id=1wSOF2Mndr2rYocRVnCbYYchVfD1Wyefa" TargetMode="External" Id="rId2588" /><Relationship Type="http://schemas.openxmlformats.org/officeDocument/2006/relationships/hyperlink" Target="https://drive.google.com/uc?export=view&amp;id=1BT-mXZUoOdNTNUdcbqRuQxQ7oucb1x5m" TargetMode="External" Id="rId2589" /><Relationship Type="http://schemas.openxmlformats.org/officeDocument/2006/relationships/hyperlink" Target="https://open-bootcamp.com/" TargetMode="External" Id="rId2590" /><Relationship Type="http://schemas.openxmlformats.org/officeDocument/2006/relationships/hyperlink" Target="https://drive.google.com/uc?export=view&amp;id=1OD0nv1m3JInncAGQqVek24VRoCr3Y9IC" TargetMode="External" Id="rId2591" /><Relationship Type="http://schemas.openxmlformats.org/officeDocument/2006/relationships/hyperlink" Target="http://getsession.com/" TargetMode="External" Id="rId2592" /><Relationship Type="http://schemas.openxmlformats.org/officeDocument/2006/relationships/hyperlink" Target="http://getsession.com/" TargetMode="External" Id="rId2593" /><Relationship Type="http://schemas.openxmlformats.org/officeDocument/2006/relationships/hyperlink" Target="https://www.linkedin.com/company/71248948" TargetMode="External" Id="rId2594" /><Relationship Type="http://schemas.openxmlformats.org/officeDocument/2006/relationships/hyperlink" Target="https://drive.google.com/uc?export=view&amp;id=1Hl_NLJ_KaoYgkg17U1QrM-0s9NU6ktHx" TargetMode="External" Id="rId2595" /><Relationship Type="http://schemas.openxmlformats.org/officeDocument/2006/relationships/hyperlink" Target="https://digitalizap.com/" TargetMode="External" Id="rId2596" /><Relationship Type="http://schemas.openxmlformats.org/officeDocument/2006/relationships/hyperlink" Target="https://www.instagram.com/digitalizap.es/" TargetMode="External" Id="rId2597" /><Relationship Type="http://schemas.openxmlformats.org/officeDocument/2006/relationships/hyperlink" Target="https://www.linkedin.com/company/digitalizap/" TargetMode="External" Id="rId2598" /><Relationship Type="http://schemas.openxmlformats.org/officeDocument/2006/relationships/hyperlink" Target="https://drive.google.com/uc?export=view&amp;id=1g4v0NOlcnSS4t9hK9U70Mare-6IPIe60" TargetMode="External" Id="rId2599" /><Relationship Type="http://schemas.openxmlformats.org/officeDocument/2006/relationships/hyperlink" Target="https://educ8all.com/" TargetMode="External" Id="rId2600" /><Relationship Type="http://schemas.openxmlformats.org/officeDocument/2006/relationships/hyperlink" Target="https://drive.google.com/uc?export=view&amp;id=1xYuFlZ-0FvLfFf1Y5YII4VUiN-teA6-f" TargetMode="External" Id="rId2601" /><Relationship Type="http://schemas.openxmlformats.org/officeDocument/2006/relationships/hyperlink" Target="https://www.independent-together.com/" TargetMode="External" Id="rId2602" /><Relationship Type="http://schemas.openxmlformats.org/officeDocument/2006/relationships/hyperlink" Target="https://drive.google.com/uc?export=view&amp;id=1PMY6h4jIX_XXvo_ySf4kjH1pKHWXjKR_" TargetMode="External" Id="rId2603" /><Relationship Type="http://schemas.openxmlformats.org/officeDocument/2006/relationships/hyperlink" Target="https://foxeducation.com/es/" TargetMode="External" Id="rId2604" /><Relationship Type="http://schemas.openxmlformats.org/officeDocument/2006/relationships/hyperlink" Target="https://www.instagram.com/foxeducation_es/" TargetMode="External" Id="rId2605" /><Relationship Type="http://schemas.openxmlformats.org/officeDocument/2006/relationships/hyperlink" Target="https://www.linkedin.com/company/foxeducation-espana" TargetMode="External" Id="rId2606" /><Relationship Type="http://schemas.openxmlformats.org/officeDocument/2006/relationships/hyperlink" Target="https://drive.google.com/uc?export=view&amp;id=10jSYGqK0qNd3hBVzcdBQFWbn91Zc8saE" TargetMode="External" Id="rId2607" /><Relationship Type="http://schemas.openxmlformats.org/officeDocument/2006/relationships/hyperlink" Target="https://www.intralineas.com/" TargetMode="External" Id="rId2608" /><Relationship Type="http://schemas.openxmlformats.org/officeDocument/2006/relationships/hyperlink" Target="https://drive.google.com/uc?export=view&amp;id=1T-ztAP3TrpHpfeY97B3FssXt2YiScdrZ" TargetMode="External" Id="rId2609" /><Relationship Type="http://schemas.openxmlformats.org/officeDocument/2006/relationships/hyperlink" Target="https://simpleclub.com/" TargetMode="External" Id="rId2610" /><Relationship Type="http://schemas.openxmlformats.org/officeDocument/2006/relationships/hyperlink" Target="https://drive.google.com/uc?export=view&amp;id=1mJ9OZBMs2DTmrPAlAMZ4KyaoGXGXhv3G" TargetMode="External" Id="rId2611" /><Relationship Type="http://schemas.openxmlformats.org/officeDocument/2006/relationships/hyperlink" Target="https://aequaland.com/" TargetMode="External" Id="rId2612" /><Relationship Type="http://schemas.openxmlformats.org/officeDocument/2006/relationships/hyperlink" Target="https://www.instagram.com/aequaland/" TargetMode="External" Id="rId2613" /><Relationship Type="http://schemas.openxmlformats.org/officeDocument/2006/relationships/hyperlink" Target="https://twitter.com/aequaland" TargetMode="External" Id="rId2614" /><Relationship Type="http://schemas.openxmlformats.org/officeDocument/2006/relationships/hyperlink" Target="https://www.linkedin.com/company/equaland" TargetMode="External" Id="rId2615" /><Relationship Type="http://schemas.openxmlformats.org/officeDocument/2006/relationships/hyperlink" Target="https://drive.google.com/uc?export=view&amp;id=1N5Ty4o3b_NDTZ_bP-Uk2ycUv0WIg1Jd5" TargetMode="External" Id="rId2616" /><Relationship Type="http://schemas.openxmlformats.org/officeDocument/2006/relationships/hyperlink" Target="https://edquip.co/" TargetMode="External" Id="rId2617" /><Relationship Type="http://schemas.openxmlformats.org/officeDocument/2006/relationships/hyperlink" Target="https://drive.google.com/uc?export=view&amp;id=1USL7CzgOEfx-k5YxDIm-OI5zYys5ycCD" TargetMode="External" Id="rId2618" /><Relationship Type="http://schemas.openxmlformats.org/officeDocument/2006/relationships/hyperlink" Target="https://poppinswayne.com/" TargetMode="External" Id="rId2619" /><Relationship Type="http://schemas.openxmlformats.org/officeDocument/2006/relationships/hyperlink" Target="https://drive.google.com/uc?export=view&amp;id=1tMglr_S9dNwP6dZCCB3vdoet_hyvcijE" TargetMode="External" Id="rId2620" /><Relationship Type="http://schemas.openxmlformats.org/officeDocument/2006/relationships/hyperlink" Target="https://www.sharelms.com/" TargetMode="External" Id="rId2621" /><Relationship Type="http://schemas.openxmlformats.org/officeDocument/2006/relationships/hyperlink" Target="https://drive.google.com/uc?export=view&amp;id=1VFsBa-nQCPhfA_JZKlWRG3wvEG59EOIl" TargetMode="External" Id="rId2622" /><Relationship Type="http://schemas.openxmlformats.org/officeDocument/2006/relationships/hyperlink" Target="http://www.veritas.at/" TargetMode="External" Id="rId2623" /><Relationship Type="http://schemas.openxmlformats.org/officeDocument/2006/relationships/hyperlink" Target="https://drive.google.com/uc?export=view&amp;id=1LTMtc24WebgNhkVQ2QEN8BCCgK4tL_dV" TargetMode="External" Id="rId2624" /><Relationship Type="http://schemas.openxmlformats.org/officeDocument/2006/relationships/hyperlink" Target="http://www.mytribel.com/" TargetMode="External" Id="rId2625" /><Relationship Type="http://schemas.openxmlformats.org/officeDocument/2006/relationships/hyperlink" Target="https://www.instagram.com/mytribel/" TargetMode="External" Id="rId2626" /><Relationship Type="http://schemas.openxmlformats.org/officeDocument/2006/relationships/hyperlink" Target="https://twitter.com/mytribel" TargetMode="External" Id="rId2627" /><Relationship Type="http://schemas.openxmlformats.org/officeDocument/2006/relationships/hyperlink" Target="https://www.linkedin.com/company/mytribel/" TargetMode="External" Id="rId2628" /><Relationship Type="http://schemas.openxmlformats.org/officeDocument/2006/relationships/hyperlink" Target="https://drive.google.com/uc?export=view&amp;id=1Sb8xQ6F2UwQGU1XyS5BpxS7vWnJX7ye6" TargetMode="External" Id="rId2629" /><Relationship Type="http://schemas.openxmlformats.org/officeDocument/2006/relationships/hyperlink" Target="http://eskills.ch/" TargetMode="External" Id="rId2630" /><Relationship Type="http://schemas.openxmlformats.org/officeDocument/2006/relationships/hyperlink" Target="http://www.eskills.ch/" TargetMode="External" Id="rId2631" /><Relationship Type="http://schemas.openxmlformats.org/officeDocument/2006/relationships/hyperlink" Target="https://www.linkedin.com/company/eskills-ch/" TargetMode="External" Id="rId2632" /><Relationship Type="http://schemas.openxmlformats.org/officeDocument/2006/relationships/hyperlink" Target="https://drive.google.com/uc?export=view&amp;id=1WWC2109rosuyV4AZjIuexozy9AUr9tjo" TargetMode="External" Id="rId2633" /><Relationship Type="http://schemas.openxmlformats.org/officeDocument/2006/relationships/hyperlink" Target="http://www.headstart.technology/" TargetMode="External" Id="rId2634" /><Relationship Type="http://schemas.openxmlformats.org/officeDocument/2006/relationships/hyperlink" Target="https://drive.google.com/uc?export=view&amp;id=1qjOEOlz_VoTxML5M-t7UjwZTbHgNi195" TargetMode="External" Id="rId2635" /><Relationship Type="http://schemas.openxmlformats.org/officeDocument/2006/relationships/hyperlink" Target="https://hielearning.com/" TargetMode="External" Id="rId2636" /><Relationship Type="http://schemas.openxmlformats.org/officeDocument/2006/relationships/hyperlink" Target="https://drive.google.com/uc?export=view&amp;id=1aYTlUjwC-bAGUDScsQdbRWKeB4WMIwHM" TargetMode="External" Id="rId2637" /><Relationship Type="http://schemas.openxmlformats.org/officeDocument/2006/relationships/hyperlink" Target="https://www.writefull.com/" TargetMode="External" Id="rId2638" /><Relationship Type="http://schemas.openxmlformats.org/officeDocument/2006/relationships/hyperlink" Target="https://drive.google.com/uc?export=view&amp;id=1AyeajYUNfakKsLpSY3MM0t-YfPfLMuaz" TargetMode="External" Id="rId2639" /><Relationship Type="http://schemas.openxmlformats.org/officeDocument/2006/relationships/hyperlink" Target="https://gar.ninja/" TargetMode="External" Id="rId2640" /><Relationship Type="http://schemas.openxmlformats.org/officeDocument/2006/relationships/hyperlink" Target="https://twitter.com/gar_ninja" TargetMode="External" Id="rId2641" /><Relationship Type="http://schemas.openxmlformats.org/officeDocument/2006/relationships/hyperlink" Target="https://www.linkedin.com/company/gar-ninja/" TargetMode="External" Id="rId2642" /><Relationship Type="http://schemas.openxmlformats.org/officeDocument/2006/relationships/hyperlink" Target="https://drive.google.com/uc?export=view&amp;id=1yIBqi5xEOThUapSO6uN0TSBW8CPCNIN2" TargetMode="External" Id="rId2643" /><Relationship Type="http://schemas.openxmlformats.org/officeDocument/2006/relationships/hyperlink" Target="https://www.quarterfall.com/" TargetMode="External" Id="rId2644" /><Relationship Type="http://schemas.openxmlformats.org/officeDocument/2006/relationships/hyperlink" Target="https://www.linkedin.com/company/quarterfall" TargetMode="External" Id="rId2645" /><Relationship Type="http://schemas.openxmlformats.org/officeDocument/2006/relationships/hyperlink" Target="https://drive.google.com/uc?export=view&amp;id=1EYpFOzxS-rRqxa0Qgi7fq4llOIRJboe-" TargetMode="External" Id="rId2646" /><Relationship Type="http://schemas.openxmlformats.org/officeDocument/2006/relationships/hyperlink" Target="https://equalifai.com/" TargetMode="External" Id="rId2647" /><Relationship Type="http://schemas.openxmlformats.org/officeDocument/2006/relationships/hyperlink" Target="https://www.instagram.com/equalifai.ro/" TargetMode="External" Id="rId2648" /><Relationship Type="http://schemas.openxmlformats.org/officeDocument/2006/relationships/hyperlink" Target="https://ro.linkedin.com/company/equalifai" TargetMode="External" Id="rId2649" /><Relationship Type="http://schemas.openxmlformats.org/officeDocument/2006/relationships/hyperlink" Target="https://drive.google.com/uc?export=view&amp;id=1pdNh4NdBID3v8lfHWHLfzAx98_17mnIJ" TargetMode="External" Id="rId2650" /><Relationship Type="http://schemas.openxmlformats.org/officeDocument/2006/relationships/hyperlink" Target="https://codetochange.org/" TargetMode="External" Id="rId2651" /><Relationship Type="http://schemas.openxmlformats.org/officeDocument/2006/relationships/hyperlink" Target="https://drive.google.com/uc?export=view&amp;id=1XB6mtDEvoe3lFMcxEqYI8IXVFljm5bRD" TargetMode="External" Id="rId2652" /><Relationship Type="http://schemas.openxmlformats.org/officeDocument/2006/relationships/hyperlink" Target="http://gofenix.io/" TargetMode="External" Id="rId2653" /><Relationship Type="http://schemas.openxmlformats.org/officeDocument/2006/relationships/hyperlink" Target="https://drive.google.com/uc?export=view&amp;id=1cZItaRMVPLUreEGj4-cOHlV544sCCZ5r" TargetMode="External" Id="rId2654" /><Relationship Type="http://schemas.openxmlformats.org/officeDocument/2006/relationships/hyperlink" Target="https://digitalkidz.school/" TargetMode="External" Id="rId2655" /><Relationship Type="http://schemas.openxmlformats.org/officeDocument/2006/relationships/hyperlink" Target="https://drive.google.com/uc?export=view&amp;id=13ng1Gy2F3FycAh_nAOljjTlIZ974jZwP" TargetMode="External" Id="rId2656" /><Relationship Type="http://schemas.openxmlformats.org/officeDocument/2006/relationships/hyperlink" Target="https://www.millionroads.com/" TargetMode="External" Id="rId2657" /><Relationship Type="http://schemas.openxmlformats.org/officeDocument/2006/relationships/hyperlink" Target="https://drive.google.com/uc?export=view&amp;id=1FLLz6eloWGc0PASWNw0OUkydyJ3N-Zhu" TargetMode="External" Id="rId2658" /><Relationship Type="http://schemas.openxmlformats.org/officeDocument/2006/relationships/hyperlink" Target="https://www.matific.com/es/es/home/" TargetMode="External" Id="rId2659" /><Relationship Type="http://schemas.openxmlformats.org/officeDocument/2006/relationships/hyperlink" Target="https://drive.google.com/uc?export=view&amp;id=19bxGe1V5ozPDxqE-YccVuk9jK0QFNLYF" TargetMode="External" Id="rId2660" /><Relationship Type="http://schemas.openxmlformats.org/officeDocument/2006/relationships/hyperlink" Target="https://formacion.ninja/" TargetMode="External" Id="rId2661" /><Relationship Type="http://schemas.openxmlformats.org/officeDocument/2006/relationships/hyperlink" Target="https://www.instagram.com/formacion.ninja/" TargetMode="External" Id="rId2662" /><Relationship Type="http://schemas.openxmlformats.org/officeDocument/2006/relationships/hyperlink" Target="https://twitter.com/FormacionNinja" TargetMode="External" Id="rId2663" /><Relationship Type="http://schemas.openxmlformats.org/officeDocument/2006/relationships/hyperlink" Target="https://www.linkedin.com/company/formacionninja/" TargetMode="External" Id="rId2664" /><Relationship Type="http://schemas.openxmlformats.org/officeDocument/2006/relationships/hyperlink" Target="https://drive.google.com/uc?export=view&amp;id=1pIP0FW4HcJazFElBq996xDg5VGtEIa1o" TargetMode="External" Id="rId2665" /><Relationship Type="http://schemas.openxmlformats.org/officeDocument/2006/relationships/hyperlink" Target="https://ligaderroboter.de/" TargetMode="External" Id="rId2666" /><Relationship Type="http://schemas.openxmlformats.org/officeDocument/2006/relationships/hyperlink" Target="https://opo.land/" TargetMode="External" Id="rId2667" /><Relationship Type="http://schemas.openxmlformats.org/officeDocument/2006/relationships/hyperlink" Target="https://www.instagram.com/opoland_es/" TargetMode="External" Id="rId2668" /><Relationship Type="http://schemas.openxmlformats.org/officeDocument/2006/relationships/hyperlink" Target="https://twitter.com/opoland_es" TargetMode="External" Id="rId2669" /><Relationship Type="http://schemas.openxmlformats.org/officeDocument/2006/relationships/hyperlink" Target="https://www.linkedin.com/company/opo-land" TargetMode="External" Id="rId2670" /><Relationship Type="http://schemas.openxmlformats.org/officeDocument/2006/relationships/hyperlink" Target="https://drive.google.com/uc?export=view&amp;id=1X3PDtnknD38ocVPvzQ2zk1I2mVJL8FLo" TargetMode="External" Id="rId2671" /><Relationship Type="http://schemas.openxmlformats.org/officeDocument/2006/relationships/hyperlink" Target="https://cabri.com/" TargetMode="External" Id="rId2672" /><Relationship Type="http://schemas.openxmlformats.org/officeDocument/2006/relationships/hyperlink" Target="https://www.instagram.com/cabrilog_/" TargetMode="External" Id="rId2673" /><Relationship Type="http://schemas.openxmlformats.org/officeDocument/2006/relationships/hyperlink" Target="https://twitter.com/Cabrilog" TargetMode="External" Id="rId2674" /><Relationship Type="http://schemas.openxmlformats.org/officeDocument/2006/relationships/hyperlink" Target="https://www.linkedin.com/company/cabrilog/" TargetMode="External" Id="rId2675" /><Relationship Type="http://schemas.openxmlformats.org/officeDocument/2006/relationships/hyperlink" Target="https://drive.google.com/uc?export=view&amp;id=1V6uKeA9mVE_k9VmSUWddHTq_byGZF2NA" TargetMode="External" Id="rId2676" /><Relationship Type="http://schemas.openxmlformats.org/officeDocument/2006/relationships/hyperlink" Target="https://nuadu.com/" TargetMode="External" Id="rId2677" /><Relationship Type="http://schemas.openxmlformats.org/officeDocument/2006/relationships/hyperlink" Target="https://drive.google.com/uc?export=view&amp;id=1vE3zxoXfaxMQZm3zTZWZaEOXVmGV9ksp" TargetMode="External" Id="rId2678" /><Relationship Type="http://schemas.openxmlformats.org/officeDocument/2006/relationships/hyperlink" Target="http://www.digitallatam.com/" TargetMode="External" Id="rId2679" /><Relationship Type="http://schemas.openxmlformats.org/officeDocument/2006/relationships/hyperlink" Target="https://drive.google.com/uc?export=view&amp;id=1tbJjEwJwD_IAsCio2updvtJgsvJdbQLz" TargetMode="External" Id="rId2680" /><Relationship Type="http://schemas.openxmlformats.org/officeDocument/2006/relationships/hyperlink" Target="https://www.ironhack.com/en" TargetMode="External" Id="rId2681" /><Relationship Type="http://schemas.openxmlformats.org/officeDocument/2006/relationships/hyperlink" Target="https://drive.google.com/uc?export=view&amp;id=11c_KEW7kPmFpXxFE5mXfU9exo2Rgl34f" TargetMode="External" Id="rId2682" /><Relationship Type="http://schemas.openxmlformats.org/officeDocument/2006/relationships/hyperlink" Target="https://www.readyeducation.com/" TargetMode="External" Id="rId2683" /><Relationship Type="http://schemas.openxmlformats.org/officeDocument/2006/relationships/hyperlink" Target="https://twitter.com/ReadyEducation" TargetMode="External" Id="rId2684" /><Relationship Type="http://schemas.openxmlformats.org/officeDocument/2006/relationships/hyperlink" Target="https://www.linkedin.com/company/ready-education" TargetMode="External" Id="rId2685" /><Relationship Type="http://schemas.openxmlformats.org/officeDocument/2006/relationships/hyperlink" Target="https://drive.google.com/uc?export=view&amp;id=1k9DzdXfLWVxVMZOIGMd2FQKY3MxSLEvu" TargetMode="External" Id="rId2686" /><Relationship Type="http://schemas.openxmlformats.org/officeDocument/2006/relationships/hyperlink" Target="https://www.altissia.org/" TargetMode="External" Id="rId2687" /><Relationship Type="http://schemas.openxmlformats.org/officeDocument/2006/relationships/hyperlink" Target="https://twitter.com/Altissia" TargetMode="External" Id="rId2688" /><Relationship Type="http://schemas.openxmlformats.org/officeDocument/2006/relationships/hyperlink" Target="https://www.linkedin.com/company/altissia/" TargetMode="External" Id="rId2689" /><Relationship Type="http://schemas.openxmlformats.org/officeDocument/2006/relationships/hyperlink" Target="https://drive.google.com/uc?export=view&amp;id=19_AokzBOZUAKkW6Sbf6XKuY4WIG0uppG" TargetMode="External" Id="rId2690" /><Relationship Type="http://schemas.openxmlformats.org/officeDocument/2006/relationships/hyperlink" Target="https://www.cantoo.fr/" TargetMode="External" Id="rId2691" /><Relationship Type="http://schemas.openxmlformats.org/officeDocument/2006/relationships/hyperlink" Target="https://drive.google.com/uc?export=view&amp;id=1ZwrHCsWAKzqlVcCSkMIMXdFWbsQBFtEf" TargetMode="External" Id="rId2692" /><Relationship Type="http://schemas.openxmlformats.org/officeDocument/2006/relationships/hyperlink" Target="http://www.mozaweb.com/" TargetMode="External" Id="rId2693" /><Relationship Type="http://schemas.openxmlformats.org/officeDocument/2006/relationships/hyperlink" Target="https://drive.google.com/uc?export=view&amp;id=1wje3Qp5PKzXTlM-zF5X3f-wWO8IkiuES" TargetMode="External" Id="rId2694" /><Relationship Type="http://schemas.openxmlformats.org/officeDocument/2006/relationships/hyperlink" Target="http://spearcareer.org/" TargetMode="External" Id="rId2695" /><Relationship Type="http://schemas.openxmlformats.org/officeDocument/2006/relationships/hyperlink" Target="http://www.spearcareer.org/" TargetMode="External" Id="rId2696" /><Relationship Type="http://schemas.openxmlformats.org/officeDocument/2006/relationships/hyperlink" Target="https://drive.google.com/uc?export=view&amp;id=1cuYdp6j5W5o1I3pGvGpNc3ZUp9ElXoly" TargetMode="External" Id="rId2697" /><Relationship Type="http://schemas.openxmlformats.org/officeDocument/2006/relationships/hyperlink" Target="https://zcooly.se/" TargetMode="External" Id="rId2698" /><Relationship Type="http://schemas.openxmlformats.org/officeDocument/2006/relationships/hyperlink" Target="http://instagram.com/zcooly" TargetMode="External" Id="rId2699" /><Relationship Type="http://schemas.openxmlformats.org/officeDocument/2006/relationships/hyperlink" Target="https://drive.google.com/uc?export=view&amp;id=1DAYKfW4i6Vu26fOPJ8eLVY-wOP-KyMXa" TargetMode="External" Id="rId2700" /><Relationship Type="http://schemas.openxmlformats.org/officeDocument/2006/relationships/hyperlink" Target="https://www.eduneon.de/" TargetMode="External" Id="rId2701" /><Relationship Type="http://schemas.openxmlformats.org/officeDocument/2006/relationships/hyperlink" Target="https://drive.google.com/uc?export=view&amp;id=1eI0RhO3i792ytEgC2GiKMEcICeOQqw6R" TargetMode="External" Id="rId2702" /><Relationship Type="http://schemas.openxmlformats.org/officeDocument/2006/relationships/hyperlink" Target="https://www.enkeleksamen.no/" TargetMode="External" Id="rId2703" /><Relationship Type="http://schemas.openxmlformats.org/officeDocument/2006/relationships/hyperlink" Target="https://www.instagram.com/enkeleksamen.no/" TargetMode="External" Id="rId2704" /><Relationship Type="http://schemas.openxmlformats.org/officeDocument/2006/relationships/hyperlink" Target="https://www.linkedin.com/company/enkeleksamen/" TargetMode="External" Id="rId2705" /><Relationship Type="http://schemas.openxmlformats.org/officeDocument/2006/relationships/hyperlink" Target="https://drive.google.com/uc?export=view&amp;id=14cH94E6EP642ChVg3kCQbfLX61xby-Pt" TargetMode="External" Id="rId2706" /><Relationship Type="http://schemas.openxmlformats.org/officeDocument/2006/relationships/hyperlink" Target="http://futureready.no/" TargetMode="External" Id="rId2707" /><Relationship Type="http://schemas.openxmlformats.org/officeDocument/2006/relationships/hyperlink" Target="https://drive.google.com/uc?export=view&amp;id=1GaZ5_9j7i_FcOTfMdIlEVCYrMowCRKe2" TargetMode="External" Id="rId2708" /><Relationship Type="http://schemas.openxmlformats.org/officeDocument/2006/relationships/hyperlink" Target="https://laerit.dk/" TargetMode="External" Id="rId2709" /><Relationship Type="http://schemas.openxmlformats.org/officeDocument/2006/relationships/hyperlink" Target="https://drive.google.com/uc?export=view&amp;id=12Mh4UW-MRSu98-6sFNkZjAUcY-l6o0Ex" TargetMode="External" Id="rId2710" /><Relationship Type="http://schemas.openxmlformats.org/officeDocument/2006/relationships/hyperlink" Target="http://www.studytogether.com/" TargetMode="External" Id="rId2711" /><Relationship Type="http://schemas.openxmlformats.org/officeDocument/2006/relationships/hyperlink" Target="https://drive.google.com/uc?export=view&amp;id=1ThSGw85y5wFDVZh-pSvRGJcj8W4o9mWM" TargetMode="External" Id="rId2712" /><Relationship Type="http://schemas.openxmlformats.org/officeDocument/2006/relationships/hyperlink" Target="https://www.tuudo.fi/" TargetMode="External" Id="rId2713" /><Relationship Type="http://schemas.openxmlformats.org/officeDocument/2006/relationships/hyperlink" Target="https://www.instagram.com/tuudoapp/?hl=fi" TargetMode="External" Id="rId2714" /><Relationship Type="http://schemas.openxmlformats.org/officeDocument/2006/relationships/hyperlink" Target="https://twitter.com/tuudo_app?lang=fi" TargetMode="External" Id="rId2715" /><Relationship Type="http://schemas.openxmlformats.org/officeDocument/2006/relationships/hyperlink" Target="https://www.linkedin.com/company/tuudo/" TargetMode="External" Id="rId2716" /><Relationship Type="http://schemas.openxmlformats.org/officeDocument/2006/relationships/hyperlink" Target="https://drive.google.com/uc?export=view&amp;id=1cQJGR9_vGsoMLfncnbMI9zLCxkaARBX2" TargetMode="External" Id="rId2717" /><Relationship Type="http://schemas.openxmlformats.org/officeDocument/2006/relationships/hyperlink" Target="https://www.allaitementpourtous.com/" TargetMode="External" Id="rId2718" /><Relationship Type="http://schemas.openxmlformats.org/officeDocument/2006/relationships/hyperlink" Target="https://www.instagram.com/yongecharlotte/?hl=fr" TargetMode="External" Id="rId2719" /><Relationship Type="http://schemas.openxmlformats.org/officeDocument/2006/relationships/hyperlink" Target="https://www.linkedin.com/in/charlotteyonge/?originalSubdomain=fr" TargetMode="External" Id="rId2720" /><Relationship Type="http://schemas.openxmlformats.org/officeDocument/2006/relationships/hyperlink" Target="https://drive.google.com/uc?export=view&amp;id=1EVtU8Bo_08vPAfmzHNYM1NI3f4xZ6L1X" TargetMode="External" Id="rId2721" /><Relationship Type="http://schemas.openxmlformats.org/officeDocument/2006/relationships/hyperlink" Target="http://www.clic-campus.fr/" TargetMode="External" Id="rId2722" /><Relationship Type="http://schemas.openxmlformats.org/officeDocument/2006/relationships/hyperlink" Target="https://www.linkedin.com/company/71545098/admin/" TargetMode="External" Id="rId2723" /><Relationship Type="http://schemas.openxmlformats.org/officeDocument/2006/relationships/hyperlink" Target="https://drive.google.com/uc?export=view&amp;id=1f0biwlJinANNaZhIl_lKLYoA_KkEFSMQ" TargetMode="External" Id="rId2724" /><Relationship Type="http://schemas.openxmlformats.org/officeDocument/2006/relationships/hyperlink" Target="https://schools.by/" TargetMode="External" Id="rId2725" /><Relationship Type="http://schemas.openxmlformats.org/officeDocument/2006/relationships/hyperlink" Target="https://drive.google.com/uc?export=view&amp;id=18oqMsNnfnUyHAooOaQh0tTTymZutVUxM" TargetMode="External" Id="rId2726" /><Relationship Type="http://schemas.openxmlformats.org/officeDocument/2006/relationships/hyperlink" Target="https://unschooler.me/" TargetMode="External" Id="rId2727" /><Relationship Type="http://schemas.openxmlformats.org/officeDocument/2006/relationships/hyperlink" Target="https://www.instagram.com/unschooler_en/" TargetMode="External" Id="rId2728" /><Relationship Type="http://schemas.openxmlformats.org/officeDocument/2006/relationships/hyperlink" Target="https://twitter.com/unschooler_me" TargetMode="External" Id="rId2729" /><Relationship Type="http://schemas.openxmlformats.org/officeDocument/2006/relationships/hyperlink" Target="https://www.linkedin.com/company/69407492/admin/" TargetMode="External" Id="rId2730" /><Relationship Type="http://schemas.openxmlformats.org/officeDocument/2006/relationships/hyperlink" Target="https://drive.google.com/uc?export=view&amp;id=14u08dmQm9LLJ2hvlOzs-I10rM0W8i0gz" TargetMode="External" Id="rId2731" /><Relationship Type="http://schemas.openxmlformats.org/officeDocument/2006/relationships/hyperlink" Target="http://www.aonia.es/" TargetMode="External" Id="rId2732" /><Relationship Type="http://schemas.openxmlformats.org/officeDocument/2006/relationships/hyperlink" Target="http://besolver.io/" TargetMode="External" Id="rId2733" /><Relationship Type="http://schemas.openxmlformats.org/officeDocument/2006/relationships/hyperlink" Target="https://drive.google.com/uc?export=view&amp;id=1Dlxh2oZGh0bAo2cgbDtE1EC-hgpDy671" TargetMode="External" Id="rId2734" /><Relationship Type="http://schemas.openxmlformats.org/officeDocument/2006/relationships/hyperlink" Target="https://cybeerly.com/" TargetMode="External" Id="rId2735" /><Relationship Type="http://schemas.openxmlformats.org/officeDocument/2006/relationships/hyperlink" Target="https://drive.google.com/uc?export=view&amp;id=1jyM6AWb4T_JqkyUH9dIz6Cx8872G1kqV" TargetMode="External" Id="rId2736" /><Relationship Type="http://schemas.openxmlformats.org/officeDocument/2006/relationships/hyperlink" Target="https://www.etsglobal.org/" TargetMode="External" Id="rId2737" /><Relationship Type="http://schemas.openxmlformats.org/officeDocument/2006/relationships/hyperlink" Target="https://twitter.com/ETSGlobal" TargetMode="External" Id="rId2738" /><Relationship Type="http://schemas.openxmlformats.org/officeDocument/2006/relationships/hyperlink" Target="https://fr.linkedin.com/company/ets-global" TargetMode="External" Id="rId2739" /><Relationship Type="http://schemas.openxmlformats.org/officeDocument/2006/relationships/hyperlink" Target="https://drive.google.com/uc?export=view&amp;id=18GM1R_idr4ybNaNOmn5WWE6jKVrKgi6-" TargetMode="External" Id="rId2740" /><Relationship Type="http://schemas.openxmlformats.org/officeDocument/2006/relationships/hyperlink" Target="https://www.intrepid-stars.club/" TargetMode="External" Id="rId2741" /><Relationship Type="http://schemas.openxmlformats.org/officeDocument/2006/relationships/hyperlink" Target="https://drive.google.com/uc?export=view&amp;id=1Mw8diKUFkYVJ33WWDPU1J5AM7Q9fRVXB" TargetMode="External" Id="rId2742" /><Relationship Type="http://schemas.openxmlformats.org/officeDocument/2006/relationships/hyperlink" Target="http://www.learningtour.nl/" TargetMode="External" Id="rId2743" /><Relationship Type="http://schemas.openxmlformats.org/officeDocument/2006/relationships/hyperlink" Target="https://www.linkedin.com/company/learningtour" TargetMode="External" Id="rId2744" /><Relationship Type="http://schemas.openxmlformats.org/officeDocument/2006/relationships/hyperlink" Target="https://drive.google.com/uc?export=view&amp;id=1TsDz-8LIchFQs71vbcFg_tanRPwU06q1" TargetMode="External" Id="rId2745" /><Relationship Type="http://schemas.openxmlformats.org/officeDocument/2006/relationships/hyperlink" Target="http://www.brainix.org/" TargetMode="External" Id="rId2746" /><Relationship Type="http://schemas.openxmlformats.org/officeDocument/2006/relationships/hyperlink" Target="https://drive.google.com/uc?export=view&amp;id=1vkhIfbLJO8zK4C-O9jo3nalaFb-1dIsL" TargetMode="External" Id="rId2747" /><Relationship Type="http://schemas.openxmlformats.org/officeDocument/2006/relationships/hyperlink" Target="http://www.fuzu.com/" TargetMode="External" Id="rId2748" /><Relationship Type="http://schemas.openxmlformats.org/officeDocument/2006/relationships/hyperlink" Target="https://www.instagram.com/fuzukenya/" TargetMode="External" Id="rId2749" /><Relationship Type="http://schemas.openxmlformats.org/officeDocument/2006/relationships/hyperlink" Target="https://twitter.com/fuzukenya" TargetMode="External" Id="rId2750" /><Relationship Type="http://schemas.openxmlformats.org/officeDocument/2006/relationships/hyperlink" Target="https://www.linkedin.com/company/5007486/admin/" TargetMode="External" Id="rId2751" /><Relationship Type="http://schemas.openxmlformats.org/officeDocument/2006/relationships/hyperlink" Target="https://drive.google.com/uc?export=view&amp;id=1YopbASnpX36MiOheo8pUbw3_nIp8DMjI" TargetMode="External" Id="rId2752" /><Relationship Type="http://schemas.openxmlformats.org/officeDocument/2006/relationships/hyperlink" Target="https://www.hackworthltd.uk/" TargetMode="External" Id="rId2753" /><Relationship Type="http://schemas.openxmlformats.org/officeDocument/2006/relationships/hyperlink" Target="https://drive.google.com/uc?export=view&amp;id=1UF6XJB1eKv2ddV2ioGaCzgesILIZ11rF" TargetMode="External" Id="rId2754" /><Relationship Type="http://schemas.openxmlformats.org/officeDocument/2006/relationships/hyperlink" Target="https://studyflow.nl/" TargetMode="External" Id="rId2755" /><Relationship Type="http://schemas.openxmlformats.org/officeDocument/2006/relationships/hyperlink" Target="https://drive.google.com/uc?export=view&amp;id=1Jap9sCQQreLhMgsDrM9zbr11yG4yvJDC" TargetMode="External" Id="rId2756" /><Relationship Type="http://schemas.openxmlformats.org/officeDocument/2006/relationships/hyperlink" Target="http://www.tinqwise.com/" TargetMode="External" Id="rId2757" /><Relationship Type="http://schemas.openxmlformats.org/officeDocument/2006/relationships/hyperlink" Target="https://drive.google.com/uc?export=view&amp;id=1dXdhCEfUM0FGhnoYSUIT1H7-1d0-CWMa" TargetMode="External" Id="rId2758" /><Relationship Type="http://schemas.openxmlformats.org/officeDocument/2006/relationships/hyperlink" Target="http://www.c-learning.net/" TargetMode="External" Id="rId2759" /><Relationship Type="http://schemas.openxmlformats.org/officeDocument/2006/relationships/hyperlink" Target="https://www.linkedin.com/company/18752801" TargetMode="External" Id="rId2760" /><Relationship Type="http://schemas.openxmlformats.org/officeDocument/2006/relationships/hyperlink" Target="https://drive.google.com/uc?export=view&amp;id=1ZSQl1WN1mPJB9s3Wb3N0WRe1fFoOp4dh" TargetMode="External" Id="rId2761" /><Relationship Type="http://schemas.openxmlformats.org/officeDocument/2006/relationships/hyperlink" Target="https://daxap.no/" TargetMode="External" Id="rId2762" /><Relationship Type="http://schemas.openxmlformats.org/officeDocument/2006/relationships/hyperlink" Target="http://www.drieam.com/" TargetMode="External" Id="rId2763" /><Relationship Type="http://schemas.openxmlformats.org/officeDocument/2006/relationships/hyperlink" Target="https://twitter.com/drieamon?lang=de" TargetMode="External" Id="rId2764" /><Relationship Type="http://schemas.openxmlformats.org/officeDocument/2006/relationships/hyperlink" Target="https://www.linkedin.com/company/drieam/" TargetMode="External" Id="rId2765" /><Relationship Type="http://schemas.openxmlformats.org/officeDocument/2006/relationships/hyperlink" Target="https://drive.google.com/uc?export=view&amp;id=1URlK7vfUsHHbd1O0v7mNpTkAKtCIdyru" TargetMode="External" Id="rId2766" /><Relationship Type="http://schemas.openxmlformats.org/officeDocument/2006/relationships/hyperlink" Target="http://www.prowise.com/" TargetMode="External" Id="rId2767" /><Relationship Type="http://schemas.openxmlformats.org/officeDocument/2006/relationships/hyperlink" Target="https://drive.google.com/uc?export=view&amp;id=1syJzcUP07HK5muKYKGf2KUpW8PDoHgin" TargetMode="External" Id="rId2768" /><Relationship Type="http://schemas.openxmlformats.org/officeDocument/2006/relationships/hyperlink" Target="https://znaj.by/" TargetMode="External" Id="rId2769" /><Relationship Type="http://schemas.openxmlformats.org/officeDocument/2006/relationships/hyperlink" Target="https://drive.google.com/uc?export=view&amp;id=1qKmpOh0qz5tB8e-DCGOQ830A5Rp3zV7G" TargetMode="External" Id="rId2770" /><Relationship Type="http://schemas.openxmlformats.org/officeDocument/2006/relationships/hyperlink" Target="https://alcor.academy/" TargetMode="External" Id="rId2771" /><Relationship Type="http://schemas.openxmlformats.org/officeDocument/2006/relationships/hyperlink" Target="https://drive.google.com/uc?export=view&amp;id=1FphPkwShRm_z-PDB1y0brdwi2wIyzR26" TargetMode="External" Id="rId2772" /><Relationship Type="http://schemas.openxmlformats.org/officeDocument/2006/relationships/hyperlink" Target="http://www.arketiks.com/" TargetMode="External" Id="rId2773" /><Relationship Type="http://schemas.openxmlformats.org/officeDocument/2006/relationships/hyperlink" Target="https://www.linkedin.com/company/arketiks" TargetMode="External" Id="rId2774" /><Relationship Type="http://schemas.openxmlformats.org/officeDocument/2006/relationships/hyperlink" Target="https://drive.google.com/uc?export=view&amp;id=1kZZsy8C0Rbs5Bv52cDwmgrXGYb8w6N5f" TargetMode="External" Id="rId2775" /><Relationship Type="http://schemas.openxmlformats.org/officeDocument/2006/relationships/hyperlink" Target="http://www.artcat.dk/" TargetMode="External" Id="rId2776" /><Relationship Type="http://schemas.openxmlformats.org/officeDocument/2006/relationships/hyperlink" Target="https://www.instagram.com/artcat_dk/?hl=da" TargetMode="External" Id="rId2777" /><Relationship Type="http://schemas.openxmlformats.org/officeDocument/2006/relationships/hyperlink" Target="https://www.linkedin.com/company/artcat-aps" TargetMode="External" Id="rId2778" /><Relationship Type="http://schemas.openxmlformats.org/officeDocument/2006/relationships/hyperlink" Target="https://drive.google.com/uc?export=view&amp;id=1SYhVXDo9Q0dTVbd95Z0Ue9IcgOVnbSoE" TargetMode="External" Id="rId2779" /><Relationship Type="http://schemas.openxmlformats.org/officeDocument/2006/relationships/hyperlink" Target="https://www.ascendia.ro/" TargetMode="External" Id="rId2780" /><Relationship Type="http://schemas.openxmlformats.org/officeDocument/2006/relationships/hyperlink" Target="https://drive.google.com/uc?export=view&amp;id=1R9mfV5J39CnlVSUMk3iZn0z_pKyIsK4G" TargetMode="External" Id="rId2781" /><Relationship Type="http://schemas.openxmlformats.org/officeDocument/2006/relationships/hyperlink" Target="http://www.lmfnetwork.com/" TargetMode="External" Id="rId2782" /><Relationship Type="http://schemas.openxmlformats.org/officeDocument/2006/relationships/hyperlink" Target="https://drive.google.com/uc?export=view&amp;id=1XwCkNbP9z7ICAC_eIw5xZbJH099BXy__" TargetMode="External" Id="rId2783" /><Relationship Type="http://schemas.openxmlformats.org/officeDocument/2006/relationships/hyperlink" Target="http://www.123kid.org/" TargetMode="External" Id="rId2784" /><Relationship Type="http://schemas.openxmlformats.org/officeDocument/2006/relationships/hyperlink" Target="https://www.instagram.com/123kid.club/" TargetMode="External" Id="rId2785" /><Relationship Type="http://schemas.openxmlformats.org/officeDocument/2006/relationships/hyperlink" Target="https://www.linkedin.com/company/123kid/?viewAsMember=true" TargetMode="External" Id="rId2786" /><Relationship Type="http://schemas.openxmlformats.org/officeDocument/2006/relationships/hyperlink" Target="https://drive.google.com/uc?export=view&amp;id=1DJkAf2MqVdnY90t_aXGH3rz4GdM-Jivd" TargetMode="External" Id="rId2787" /><Relationship Type="http://schemas.openxmlformats.org/officeDocument/2006/relationships/hyperlink" Target="http://www.e-numeracy.com/" TargetMode="External" Id="rId2788" /><Relationship Type="http://schemas.openxmlformats.org/officeDocument/2006/relationships/hyperlink" Target="https://drive.google.com/uc?export=view&amp;id=1plqw43FIAqOA6QGvhY_2jkc6s5q7BOG5" TargetMode="External" Id="rId2789" /><Relationship Type="http://schemas.openxmlformats.org/officeDocument/2006/relationships/hyperlink" Target="http://www.eduten.com/" TargetMode="External" Id="rId2790" /><Relationship Type="http://schemas.openxmlformats.org/officeDocument/2006/relationships/hyperlink" Target="https://www.instagram.com/edutenofficial/" TargetMode="External" Id="rId2791" /><Relationship Type="http://schemas.openxmlformats.org/officeDocument/2006/relationships/hyperlink" Target="https://twitter.com/EdutenOfficial" TargetMode="External" Id="rId2792" /><Relationship Type="http://schemas.openxmlformats.org/officeDocument/2006/relationships/hyperlink" Target="https://www.linkedin.com/company/eduten" TargetMode="External" Id="rId2793" /><Relationship Type="http://schemas.openxmlformats.org/officeDocument/2006/relationships/hyperlink" Target="https://drive.google.com/uc?export=view&amp;id=1d6zckjbsYCjm4_Yk8KppZJ5ojhjWQs5G" TargetMode="External" Id="rId2794" /><Relationship Type="http://schemas.openxmlformats.org/officeDocument/2006/relationships/hyperlink" Target="http://www.eyejustread.com/" TargetMode="External" Id="rId2795" /><Relationship Type="http://schemas.openxmlformats.org/officeDocument/2006/relationships/hyperlink" Target="https://www.linkedin.com/company/eyejustread/" TargetMode="External" Id="rId2796" /><Relationship Type="http://schemas.openxmlformats.org/officeDocument/2006/relationships/hyperlink" Target="https://drive.google.com/uc?export=view&amp;id=1PKotzgYYDwWVeWZ-FMwej9N4CrEZ3hXa" TargetMode="External" Id="rId2797" /><Relationship Type="http://schemas.openxmlformats.org/officeDocument/2006/relationships/hyperlink" Target="http://www.playincluded.com/" TargetMode="External" Id="rId2798" /><Relationship Type="http://schemas.openxmlformats.org/officeDocument/2006/relationships/hyperlink" Target="https://drive.google.com/uc?export=view&amp;id=1xvCpqv8CTcRUcsEqgHnaTlM2mzWPl5to" TargetMode="External" Id="rId2799" /><Relationship Type="http://schemas.openxmlformats.org/officeDocument/2006/relationships/hyperlink" Target="https://www.teachis.net/" TargetMode="External" Id="rId2800" /><Relationship Type="http://schemas.openxmlformats.org/officeDocument/2006/relationships/hyperlink" Target="https://www.instagram.com/teachisnet" TargetMode="External" Id="rId2801" /><Relationship Type="http://schemas.openxmlformats.org/officeDocument/2006/relationships/hyperlink" Target="https://twitter.com/TeachisNet" TargetMode="External" Id="rId2802" /><Relationship Type="http://schemas.openxmlformats.org/officeDocument/2006/relationships/hyperlink" Target="https://www.linkedin.com/company/teachis/" TargetMode="External" Id="rId2803" /><Relationship Type="http://schemas.openxmlformats.org/officeDocument/2006/relationships/hyperlink" Target="https://drive.google.com/uc?export=view&amp;id=1XQ9jeYSQMNWPVGfy63hYCc4mxb9PXNll" TargetMode="External" Id="rId2804" /><Relationship Type="http://schemas.openxmlformats.org/officeDocument/2006/relationships/hyperlink" Target="http://tutorize.com/" TargetMode="External" Id="rId2805" /><Relationship Type="http://schemas.openxmlformats.org/officeDocument/2006/relationships/hyperlink" Target="https://drive.google.com/uc?export=view&amp;id=1blUQhduBnzJsjvccg8bLuERy2PzuYHoO" TargetMode="External" Id="rId2806" /><Relationship Type="http://schemas.openxmlformats.org/officeDocument/2006/relationships/hyperlink" Target="https://www.featherbedtales.com/" TargetMode="External" Id="rId2807" /><Relationship Type="http://schemas.openxmlformats.org/officeDocument/2006/relationships/hyperlink" Target="https://drive.google.com/uc?export=view&amp;id=1zEYMAvtlUZ9hmZN0xo8cyTHTVmvtilx6" TargetMode="External" Id="rId2808" /><Relationship Type="http://schemas.openxmlformats.org/officeDocument/2006/relationships/hyperlink" Target="http://www.kinaps.co/" TargetMode="External" Id="rId2809" /><Relationship Type="http://schemas.openxmlformats.org/officeDocument/2006/relationships/hyperlink" Target="https://drive.google.com/uc?export=view&amp;id=1pVoRLjGa2FgSvVPo8zsQ0RmkejF8utfi" TargetMode="External" Id="rId2810" /><Relationship Type="http://schemas.openxmlformats.org/officeDocument/2006/relationships/hyperlink" Target="https://www.geegokids.com/" TargetMode="External" Id="rId2811" /><Relationship Type="http://schemas.openxmlformats.org/officeDocument/2006/relationships/hyperlink" Target="http://www.instagram.com/geegokids" TargetMode="External" Id="rId2812" /><Relationship Type="http://schemas.openxmlformats.org/officeDocument/2006/relationships/hyperlink" Target="https://www.linkedin.com/company/geegokids" TargetMode="External" Id="rId2813" /><Relationship Type="http://schemas.openxmlformats.org/officeDocument/2006/relationships/hyperlink" Target="https://drive.google.com/uc?export=view&amp;id=10a7G3anFZyajIBzXXrue2N8w3uPiZ-n_" TargetMode="External" Id="rId2814" /><Relationship Type="http://schemas.openxmlformats.org/officeDocument/2006/relationships/hyperlink" Target="https://hexlet.io/" TargetMode="External" Id="rId2815" /><Relationship Type="http://schemas.openxmlformats.org/officeDocument/2006/relationships/hyperlink" Target="https://drive.google.com/uc?export=view&amp;id=1-V4ILeRgAqq75BrZ7oolnHbCgFdHALWi" TargetMode="External" Id="rId2816" /><Relationship Type="http://schemas.openxmlformats.org/officeDocument/2006/relationships/hyperlink" Target="http://marq.cc/" TargetMode="External" Id="rId2817" /><Relationship Type="http://schemas.openxmlformats.org/officeDocument/2006/relationships/hyperlink" Target="https://drive.google.com/uc?export=view&amp;id=1KiNv57Pzvt2mH1_2GmN9zMz5Y1OSdHNT" TargetMode="External" Id="rId2818" /><Relationship Type="http://schemas.openxmlformats.org/officeDocument/2006/relationships/hyperlink" Target="https://parents-booking.com/" TargetMode="External" Id="rId2819" /><Relationship Type="http://schemas.openxmlformats.org/officeDocument/2006/relationships/hyperlink" Target="https://drive.google.com/uc?export=view&amp;id=10wv-IP1pHe1YJolykJaJwqcCVlRFiCK-" TargetMode="External" Id="rId2820" /><Relationship Type="http://schemas.openxmlformats.org/officeDocument/2006/relationships/hyperlink" Target="http://www.scoyo.de/" TargetMode="External" Id="rId2821" /><Relationship Type="http://schemas.openxmlformats.org/officeDocument/2006/relationships/hyperlink" Target="https://drive.google.com/uc?export=view&amp;id=13jx19BsdFrrq2yoe0ElNnWX2wr_J_XNT" TargetMode="External" Id="rId2822" /><Relationship Type="http://schemas.openxmlformats.org/officeDocument/2006/relationships/hyperlink" Target="https://soundlily.com/" TargetMode="External" Id="rId2823" /><Relationship Type="http://schemas.openxmlformats.org/officeDocument/2006/relationships/hyperlink" Target="https://drive.google.com/uc?export=view&amp;id=1tJgPfnI5GoghyByY9Mmkfktih631dFiq" TargetMode="External" Id="rId2824" /><Relationship Type="http://schemas.openxmlformats.org/officeDocument/2006/relationships/hyperlink" Target="http://stemstudio.org/" TargetMode="External" Id="rId2825" /><Relationship Type="http://schemas.openxmlformats.org/officeDocument/2006/relationships/hyperlink" Target="https://drive.google.com/uc?export=view&amp;id=1jigST2yCipuVtdQbuiq15awQEeBRwwjl" TargetMode="External" Id="rId2826" /><Relationship Type="http://schemas.openxmlformats.org/officeDocument/2006/relationships/hyperlink" Target="https://www.edtech-collider.ch/" TargetMode="External" Id="rId2827" /><Relationship Type="http://schemas.openxmlformats.org/officeDocument/2006/relationships/hyperlink" Target="https://www.instagram.com/swiss_edtech_collider/?hl=en" TargetMode="External" Id="rId2828" /><Relationship Type="http://schemas.openxmlformats.org/officeDocument/2006/relationships/hyperlink" Target="https://twitter.com/SwissEdTech" TargetMode="External" Id="rId2829" /><Relationship Type="http://schemas.openxmlformats.org/officeDocument/2006/relationships/hyperlink" Target="https://www.linkedin.com/company/swiss-edtech-collider/" TargetMode="External" Id="rId2830" /><Relationship Type="http://schemas.openxmlformats.org/officeDocument/2006/relationships/hyperlink" Target="https://drive.google.com/uc?export=view&amp;id=15ne04hsguRgfh-DsCieNM2FZnEKu-fP0" TargetMode="External" Id="rId2831" /><Relationship Type="http://schemas.openxmlformats.org/officeDocument/2006/relationships/hyperlink" Target="http://www.terrastudy.com/" TargetMode="External" Id="rId2832" /><Relationship Type="http://schemas.openxmlformats.org/officeDocument/2006/relationships/hyperlink" Target="https://drive.google.com/uc?export=view&amp;id=1bor2KKz_-hZWQ-1a2ldBFIXKIP7cHRwi" TargetMode="External" Id="rId2833" /><Relationship Type="http://schemas.openxmlformats.org/officeDocument/2006/relationships/hyperlink" Target="http://www.tutor-platform.com/" TargetMode="External" Id="rId2834" /><Relationship Type="http://schemas.openxmlformats.org/officeDocument/2006/relationships/hyperlink" Target="https://www.linkedin.com/company/tutor-platform/mycompany/" TargetMode="External" Id="rId2835" /><Relationship Type="http://schemas.openxmlformats.org/officeDocument/2006/relationships/hyperlink" Target="https://drive.google.com/uc?export=view&amp;id=1ADYkK0OyR9tPQXcl3gmgPjrvVVaA5h19" TargetMode="External" Id="rId2836" /><Relationship Type="http://schemas.openxmlformats.org/officeDocument/2006/relationships/hyperlink" Target="https://unifit.es/" TargetMode="External" Id="rId2837" /><Relationship Type="http://schemas.openxmlformats.org/officeDocument/2006/relationships/hyperlink" Target="https://www.linkedin.com/company/unifit-sl/?viewAsMember=true" TargetMode="External" Id="rId2838" /><Relationship Type="http://schemas.openxmlformats.org/officeDocument/2006/relationships/hyperlink" Target="https://drive.google.com/uc?export=view&amp;id=14Gw89oiQ_Id00qEPyT1jrDjd0E2KfPmV" TargetMode="External" Id="rId2839" /><Relationship Type="http://schemas.openxmlformats.org/officeDocument/2006/relationships/hyperlink" Target="http://corneille.io/" TargetMode="External" Id="rId2840" /><Relationship Type="http://schemas.openxmlformats.org/officeDocument/2006/relationships/hyperlink" Target="https://www.instagram.com/appcorneille/" TargetMode="External" Id="rId2841" /><Relationship Type="http://schemas.openxmlformats.org/officeDocument/2006/relationships/hyperlink" Target="https://twitter.com/AppCorneille" TargetMode="External" Id="rId2842" /><Relationship Type="http://schemas.openxmlformats.org/officeDocument/2006/relationships/hyperlink" Target="https://www.linkedin.com/company/appcorneille/" TargetMode="External" Id="rId2843" /><Relationship Type="http://schemas.openxmlformats.org/officeDocument/2006/relationships/hyperlink" Target="https://drive.google.com/uc?export=view&amp;id=19LWCgVCGFIkSiKjVemA072ityh1CTwyw" TargetMode="External" Id="rId2844" /><Relationship Type="http://schemas.openxmlformats.org/officeDocument/2006/relationships/hyperlink" Target="https://www.curiose.fr/" TargetMode="External" Id="rId2845" /><Relationship Type="http://schemas.openxmlformats.org/officeDocument/2006/relationships/hyperlink" Target="https://www.linkedin.com/company/curiose/?viewAsMember=true" TargetMode="External" Id="rId2846" /><Relationship Type="http://schemas.openxmlformats.org/officeDocument/2006/relationships/hyperlink" Target="https://drive.google.com/uc?export=view&amp;id=1sFyw71bNVYimApdQP_0SCpr2Cisz6aJl" TargetMode="External" Id="rId2847" /><Relationship Type="http://schemas.openxmlformats.org/officeDocument/2006/relationships/hyperlink" Target="https://elbrusboot.camp/" TargetMode="External" Id="rId2848" /><Relationship Type="http://schemas.openxmlformats.org/officeDocument/2006/relationships/hyperlink" Target="https://drive.google.com/uc?export=view&amp;id=1UPiI7jnF0ATRfi8b0HiYCv_cNYdPzNo8" TargetMode="External" Id="rId2849" /><Relationship Type="http://schemas.openxmlformats.org/officeDocument/2006/relationships/hyperlink" Target="http://www.faculty.nl/" TargetMode="External" Id="rId2850" /><Relationship Type="http://schemas.openxmlformats.org/officeDocument/2006/relationships/hyperlink" Target="https://drive.google.com/uc?export=view&amp;id=1l-7LfDCZTFLfN3OIWMmSCcLYpD0sERY7" TargetMode="External" Id="rId2851" /><Relationship Type="http://schemas.openxmlformats.org/officeDocument/2006/relationships/hyperlink" Target="https://isavelives.nl/" TargetMode="External" Id="rId2852" /><Relationship Type="http://schemas.openxmlformats.org/officeDocument/2006/relationships/hyperlink" Target="https://drive.google.com/uc?export=view&amp;id=1X-iOPTK12k75PUxxms4SnHTeV6EEKP3O" TargetMode="External" Id="rId2853" /><Relationship Type="http://schemas.openxmlformats.org/officeDocument/2006/relationships/hyperlink" Target="https://parlangi.net/" TargetMode="External" Id="rId2854" /><Relationship Type="http://schemas.openxmlformats.org/officeDocument/2006/relationships/hyperlink" Target="https://drive.google.com/uc?export=view&amp;id=1aJJpTRoE-4wQSGynhdTE3v1bOwghMRCr" TargetMode="External" Id="rId2855" /><Relationship Type="http://schemas.openxmlformats.org/officeDocument/2006/relationships/hyperlink" Target="http://www.skillmapper.com/" TargetMode="External" Id="rId2856" /><Relationship Type="http://schemas.openxmlformats.org/officeDocument/2006/relationships/hyperlink" Target="https://drive.google.com/uc?export=view&amp;id=1D7YA-7w9SYQiMcEO6WP0t1OjK5sYVADE" TargetMode="External" Id="rId2857" /><Relationship Type="http://schemas.openxmlformats.org/officeDocument/2006/relationships/hyperlink" Target="http://www.skillsuptraining.org/" TargetMode="External" Id="rId2858" /><Relationship Type="http://schemas.openxmlformats.org/officeDocument/2006/relationships/hyperlink" Target="https://drive.google.com/uc?export=view&amp;id=1iF38OdNi1lc_JnMIhYf7bYqIlUVHXpp_" TargetMode="External" Id="rId2859" /><Relationship Type="http://schemas.openxmlformats.org/officeDocument/2006/relationships/hyperlink" Target="https://sustainabilityunlocked.com/" TargetMode="External" Id="rId2860" /><Relationship Type="http://schemas.openxmlformats.org/officeDocument/2006/relationships/hyperlink" Target="https://drive.google.com/uc?export=view&amp;id=1pwVzxfhCv2CmeZEZzwPWzP8w9_d9kPTa" TargetMode="External" Id="rId2861" /><Relationship Type="http://schemas.openxmlformats.org/officeDocument/2006/relationships/hyperlink" Target="http://www.getacta.com/" TargetMode="External" Id="rId2862" /><Relationship Type="http://schemas.openxmlformats.org/officeDocument/2006/relationships/hyperlink" Target="https://drive.google.com/uc?export=view&amp;id=1pivTBRttSkipIJktb_kBnoDBkc9D_SZb" TargetMode="External" Id="rId2863" /><Relationship Type="http://schemas.openxmlformats.org/officeDocument/2006/relationships/hyperlink" Target="https://arcadia-consulting.it/" TargetMode="External" Id="rId2864" /><Relationship Type="http://schemas.openxmlformats.org/officeDocument/2006/relationships/hyperlink" Target="https://drive.google.com/uc?export=view&amp;id=1odQl3-pFyacJEPlOcjRF1JbyQaaeIQ3A" TargetMode="External" Id="rId2865" /><Relationship Type="http://schemas.openxmlformats.org/officeDocument/2006/relationships/hyperlink" Target="https://bonolab.com/" TargetMode="External" Id="rId2866" /><Relationship Type="http://schemas.openxmlformats.org/officeDocument/2006/relationships/hyperlink" Target="https://www.linkedin.com/company/74605646/" TargetMode="External" Id="rId2867" /><Relationship Type="http://schemas.openxmlformats.org/officeDocument/2006/relationships/hyperlink" Target="https://drive.google.com/uc?export=view&amp;id=1k-vcMbIFdYCm1ca7JS7BmtfyDgOXKPaL" TargetMode="External" Id="rId2868" /><Relationship Type="http://schemas.openxmlformats.org/officeDocument/2006/relationships/hyperlink" Target="https://choice31.com/ua/" TargetMode="External" Id="rId2869" /><Relationship Type="http://schemas.openxmlformats.org/officeDocument/2006/relationships/hyperlink" Target="https://drive.google.com/uc?export=view&amp;id=1iAP7yLas2id1ymUzPozkgwozxjEFxqEn" TargetMode="External" Id="rId2870" /><Relationship Type="http://schemas.openxmlformats.org/officeDocument/2006/relationships/hyperlink" Target="https://codementum.com/" TargetMode="External" Id="rId2871" /><Relationship Type="http://schemas.openxmlformats.org/officeDocument/2006/relationships/hyperlink" Target="https://www.instagram.com/codementumglobal/" TargetMode="External" Id="rId2872" /><Relationship Type="http://schemas.openxmlformats.org/officeDocument/2006/relationships/hyperlink" Target="https://twitter.com/Codementum1" TargetMode="External" Id="rId2873" /><Relationship Type="http://schemas.openxmlformats.org/officeDocument/2006/relationships/hyperlink" Target="https://www.linkedin.com/company/codementum-coding-technologies/" TargetMode="External" Id="rId2874" /><Relationship Type="http://schemas.openxmlformats.org/officeDocument/2006/relationships/hyperlink" Target="https://drive.google.com/uc?export=view&amp;id=1rsOYGezw9rklr6P4SZZjhZlf9XIG7P3N" TargetMode="External" Id="rId2875" /><Relationship Type="http://schemas.openxmlformats.org/officeDocument/2006/relationships/hyperlink" Target="https://www.crocodile-health.com/" TargetMode="External" Id="rId2876" /><Relationship Type="http://schemas.openxmlformats.org/officeDocument/2006/relationships/hyperlink" Target="https://drive.google.com/uc?export=view&amp;id=1MsSzKq69-ZdpOVBrZ0bE6Kar2j1OWfiv" TargetMode="External" Id="rId2877" /><Relationship Type="http://schemas.openxmlformats.org/officeDocument/2006/relationships/hyperlink" Target="http://www.devinsense.com/" TargetMode="External" Id="rId2878" /><Relationship Type="http://schemas.openxmlformats.org/officeDocument/2006/relationships/hyperlink" Target="https://drive.google.com/uc?export=view&amp;id=114YGKkixXTELLDuWBKY8ECOfP73LzZXE" TargetMode="External" Id="rId2879" /><Relationship Type="http://schemas.openxmlformats.org/officeDocument/2006/relationships/hyperlink" Target="https://www.dieschulapp.de/" TargetMode="External" Id="rId2880" /><Relationship Type="http://schemas.openxmlformats.org/officeDocument/2006/relationships/hyperlink" Target="https://drive.google.com/uc?export=view&amp;id=1sAZxbMadn9BTBW35yOCuUngYTWfzYqx6" TargetMode="External" Id="rId2881" /><Relationship Type="http://schemas.openxmlformats.org/officeDocument/2006/relationships/hyperlink" Target="https://edkimo.com/" TargetMode="External" Id="rId2882" /><Relationship Type="http://schemas.openxmlformats.org/officeDocument/2006/relationships/hyperlink" Target="https://drive.google.com/uc?export=view&amp;id=1z9kLKEHcWsuRSlc5PK3Dvlq-hecXFYcX" TargetMode="External" Id="rId2883" /><Relationship Type="http://schemas.openxmlformats.org/officeDocument/2006/relationships/hyperlink" Target="https://www.finalist.nl/" TargetMode="External" Id="rId2884" /><Relationship Type="http://schemas.openxmlformats.org/officeDocument/2006/relationships/hyperlink" Target="https://drive.google.com/uc?export=view&amp;id=1SDPDUpEw2lixPZu60929iGt4cY3U4jUh" TargetMode="External" Id="rId2885" /><Relationship Type="http://schemas.openxmlformats.org/officeDocument/2006/relationships/hyperlink" Target="https://www.freigeist-app.de/" TargetMode="External" Id="rId2886" /><Relationship Type="http://schemas.openxmlformats.org/officeDocument/2006/relationships/hyperlink" Target="https://drive.google.com/uc?export=view&amp;id=17G3JI2mHltRfGRdPWOtYsLZ_aSwy3TGV" TargetMode="External" Id="rId2887" /><Relationship Type="http://schemas.openxmlformats.org/officeDocument/2006/relationships/hyperlink" Target="http://inoteam.io/" TargetMode="External" Id="rId2888" /><Relationship Type="http://schemas.openxmlformats.org/officeDocument/2006/relationships/hyperlink" Target="http://www.inoteam.io/" TargetMode="External" Id="rId2889" /><Relationship Type="http://schemas.openxmlformats.org/officeDocument/2006/relationships/hyperlink" Target="https://drive.google.com/uc?export=view&amp;id=1wn-Jp7aGkD5vEqe9-RflJfVO6KKCmJB9" TargetMode="External" Id="rId2890" /><Relationship Type="http://schemas.openxmlformats.org/officeDocument/2006/relationships/hyperlink" Target="https://www.ismart.org/" TargetMode="External" Id="rId2891" /><Relationship Type="http://schemas.openxmlformats.org/officeDocument/2006/relationships/hyperlink" Target="https://drive.google.com/uc?export=view&amp;id=118E3ksRTgODEbpu1bTm-av3JOnv7soZi" TargetMode="External" Id="rId2892" /><Relationship Type="http://schemas.openxmlformats.org/officeDocument/2006/relationships/hyperlink" Target="http://www.learntoquest.com/" TargetMode="External" Id="rId2893" /><Relationship Type="http://schemas.openxmlformats.org/officeDocument/2006/relationships/hyperlink" Target="https://drive.google.com/uc?export=view&amp;id=17pHTlMvva_nCNSL_GJLYAk_xARH35Sq3" TargetMode="External" Id="rId2894" /><Relationship Type="http://schemas.openxmlformats.org/officeDocument/2006/relationships/hyperlink" Target="http://www.nok.se/" TargetMode="External" Id="rId2895" /><Relationship Type="http://schemas.openxmlformats.org/officeDocument/2006/relationships/hyperlink" Target="https://drive.google.com/uc?export=view&amp;id=1ZfHbthU9ccu-SGdM2i4FLAC9Qf9CdNt0" TargetMode="External" Id="rId2896" /><Relationship Type="http://schemas.openxmlformats.org/officeDocument/2006/relationships/hyperlink" Target="http://www.nextlevelenglish.es/" TargetMode="External" Id="rId2897" /><Relationship Type="http://schemas.openxmlformats.org/officeDocument/2006/relationships/hyperlink" Target="https://drive.google.com/uc?export=view&amp;id=1yK1e7tCPoXMcXcfMss3686qTmAYo2BPx" TargetMode="External" Id="rId2898" /><Relationship Type="http://schemas.openxmlformats.org/officeDocument/2006/relationships/hyperlink" Target="https://pi-tech.gr/" TargetMode="External" Id="rId2899" /><Relationship Type="http://schemas.openxmlformats.org/officeDocument/2006/relationships/hyperlink" Target="https://drive.google.com/uc?export=view&amp;id=1vGnRAHtEt_lCpc_8bS-ZcbnqrQ0VrfvB" TargetMode="External" Id="rId2900" /><Relationship Type="http://schemas.openxmlformats.org/officeDocument/2006/relationships/hyperlink" Target="https://sogesnetwork.eu/" TargetMode="External" Id="rId2901" /><Relationship Type="http://schemas.openxmlformats.org/officeDocument/2006/relationships/hyperlink" Target="https://drive.google.com/uc?export=view&amp;id=10nzIiK-mEFwatKQAbcN-XUC6xdpu1q8f" TargetMode="External" Id="rId2902" /><Relationship Type="http://schemas.openxmlformats.org/officeDocument/2006/relationships/hyperlink" Target="https://thebdschool.com/" TargetMode="External" Id="rId2903" /><Relationship Type="http://schemas.openxmlformats.org/officeDocument/2006/relationships/hyperlink" Target="https://drive.google.com/uc?export=view&amp;id=1XNCmVxaYzYxjStJilI5ChnclHzKKN3EB" TargetMode="External" Id="rId2904" /><Relationship Type="http://schemas.openxmlformats.org/officeDocument/2006/relationships/hyperlink" Target="https://tutorium.ru/" TargetMode="External" Id="rId2905" /><Relationship Type="http://schemas.openxmlformats.org/officeDocument/2006/relationships/hyperlink" Target="https://drive.google.com/uc?export=view&amp;id=1LlveplrOJmWjyBx7gp0bWqg5Oks1XQMO" TargetMode="External" Id="rId2906" /><Relationship Type="http://schemas.openxmlformats.org/officeDocument/2006/relationships/hyperlink" Target="http://www.uni-life.nl/" TargetMode="External" Id="rId2907" /><Relationship Type="http://schemas.openxmlformats.org/officeDocument/2006/relationships/hyperlink" Target="https://www.instagram.com/uni_life.nl/" TargetMode="External" Id="rId2908" /><Relationship Type="http://schemas.openxmlformats.org/officeDocument/2006/relationships/hyperlink" Target="https://www.linkedin.com/company/uni-life/" TargetMode="External" Id="rId2909" /><Relationship Type="http://schemas.openxmlformats.org/officeDocument/2006/relationships/hyperlink" Target="https://drive.google.com/uc?export=view&amp;id=1o9tP7nzRwOBuwW9GnuCxB9aqwgXph-sT" TargetMode="External" Id="rId2910" /><Relationship Type="http://schemas.openxmlformats.org/officeDocument/2006/relationships/hyperlink" Target="https://visionyou.de/" TargetMode="External" Id="rId2911" /><Relationship Type="http://schemas.openxmlformats.org/officeDocument/2006/relationships/hyperlink" Target="https://drive.google.com/uc?export=view&amp;id=18fdVGLg5YLSbrBZg-iTrqnxAUhsmeddP" TargetMode="External" Id="rId2912" /><Relationship Type="http://schemas.openxmlformats.org/officeDocument/2006/relationships/hyperlink" Target="http://www.wuolah.com/" TargetMode="External" Id="rId2913" /><Relationship Type="http://schemas.openxmlformats.org/officeDocument/2006/relationships/hyperlink" Target="https://www.instagram.com/wuolah_apuntes" TargetMode="External" Id="rId2914" /><Relationship Type="http://schemas.openxmlformats.org/officeDocument/2006/relationships/hyperlink" Target="https://twitter.com/Wuolah" TargetMode="External" Id="rId2915" /><Relationship Type="http://schemas.openxmlformats.org/officeDocument/2006/relationships/hyperlink" Target="https://es.linkedin.com/company/wuolah" TargetMode="External" Id="rId2916" /><Relationship Type="http://schemas.openxmlformats.org/officeDocument/2006/relationships/hyperlink" Target="http://www.wuolah.com/" TargetMode="External" Id="rId2917" /><Relationship Type="http://schemas.openxmlformats.org/officeDocument/2006/relationships/hyperlink" Target="https://drive.google.com/uc?export=view&amp;id=1QGps9r7HWir5khPo8gucOTRgsVNMJoX6" TargetMode="External" Id="rId2918" /><Relationship Type="http://schemas.openxmlformats.org/officeDocument/2006/relationships/hyperlink" Target="https://www.anvexeducation.com/" TargetMode="External" Id="rId2919" /><Relationship Type="http://schemas.openxmlformats.org/officeDocument/2006/relationships/hyperlink" Target="https://drive.google.com/uc?export=view&amp;id=14vV3xlmRxPM4ZpVxnSl4dHEttAkfB-26" TargetMode="External" Id="rId2920" /><Relationship Type="http://schemas.openxmlformats.org/officeDocument/2006/relationships/hyperlink" Target="http://www.etwinzacademy.com/" TargetMode="External" Id="rId2921" /><Relationship Type="http://schemas.openxmlformats.org/officeDocument/2006/relationships/hyperlink" Target="https://drive.google.com/uc?export=view&amp;id=1BS4snD3wzgglNXfoZ_0SwlLH104SeuNu" TargetMode="External" Id="rId2922" /><Relationship Type="http://schemas.openxmlformats.org/officeDocument/2006/relationships/hyperlink" Target="https://www.uoc.edu/portal/en/index.html" TargetMode="External" Id="rId2923" /><Relationship Type="http://schemas.openxmlformats.org/officeDocument/2006/relationships/hyperlink" Target="https://www.linkedin.com/school/uoc/about/" TargetMode="External" Id="rId2924" /><Relationship Type="http://schemas.openxmlformats.org/officeDocument/2006/relationships/hyperlink" Target="https://drive.google.com/uc?export=view&amp;id=1XaDjMXTqr-n7EEi3rxEp3ibkbJLMTr94" TargetMode="External" Id="rId2925" /><Relationship Type="http://schemas.openxmlformats.org/officeDocument/2006/relationships/hyperlink" Target="http://www.growthtribe.io/" TargetMode="External" Id="rId2926" /><Relationship Type="http://schemas.openxmlformats.org/officeDocument/2006/relationships/hyperlink" Target="https://www.instagram.com/growthtribe/" TargetMode="External" Id="rId2927" /><Relationship Type="http://schemas.openxmlformats.org/officeDocument/2006/relationships/hyperlink" Target="https://twitter.com/GrowthTribe" TargetMode="External" Id="rId2928" /><Relationship Type="http://schemas.openxmlformats.org/officeDocument/2006/relationships/hyperlink" Target="https://www.linkedin.com/school/growth-tribe/" TargetMode="External" Id="rId2929" /><Relationship Type="http://schemas.openxmlformats.org/officeDocument/2006/relationships/hyperlink" Target="https://drive.google.com/uc?export=view&amp;id=1aDYHmg8ayW68iL46ChG37eUCROnCRR79" TargetMode="External" Id="rId2930" /><Relationship Type="http://schemas.openxmlformats.org/officeDocument/2006/relationships/hyperlink" Target="https://www.mentelista.com/" TargetMode="External" Id="rId2931" /><Relationship Type="http://schemas.openxmlformats.org/officeDocument/2006/relationships/hyperlink" Target="https://drive.google.com/uc?export=view&amp;id=1oSJliEtTyngjWORrpjCz6ldn5kt09K3Z" TargetMode="External" Id="rId2932" /><Relationship Type="http://schemas.openxmlformats.org/officeDocument/2006/relationships/hyperlink" Target="https://naurok.com.ua/" TargetMode="External" Id="rId2933" /><Relationship Type="http://schemas.openxmlformats.org/officeDocument/2006/relationships/hyperlink" Target="https://drive.google.com/uc?export=view&amp;id=1JYal9cYA2u3OwXQ2uESALR1Vr40l08vq" TargetMode="External" Id="rId2934" /><Relationship Type="http://schemas.openxmlformats.org/officeDocument/2006/relationships/hyperlink" Target="http://www.ayudame3d.org/colegios" TargetMode="External" Id="rId2935" /><Relationship Type="http://schemas.openxmlformats.org/officeDocument/2006/relationships/hyperlink" Target="https://drive.google.com/uc?export=view&amp;id=1aismwMvDWm4vlp8ytsu53WzUiO517wCw" TargetMode="External" Id="rId2936" /><Relationship Type="http://schemas.openxmlformats.org/officeDocument/2006/relationships/hyperlink" Target="https://dreamshaper.com/en/" TargetMode="External" Id="rId2937" /><Relationship Type="http://schemas.openxmlformats.org/officeDocument/2006/relationships/hyperlink" Target="https://drive.google.com/uc?export=view&amp;id=1kJEfMZAR9G4VbQJ_p3TFAKi8gW4oLxAA" TargetMode="External" Id="rId2938" /><Relationship Type="http://schemas.openxmlformats.org/officeDocument/2006/relationships/hyperlink" Target="http://www.druidlearning.com/" TargetMode="External" Id="rId2939" /><Relationship Type="http://schemas.openxmlformats.org/officeDocument/2006/relationships/hyperlink" Target="https://www.linkedin.com/company/druid-learning-limited" TargetMode="External" Id="rId2940" /><Relationship Type="http://schemas.openxmlformats.org/officeDocument/2006/relationships/hyperlink" Target="https://drive.google.com/uc?export=view&amp;id=1hhY0L_nDI351gW5coFrtlicmzpxVHK_q" TargetMode="External" Id="rId2941" /><Relationship Type="http://schemas.openxmlformats.org/officeDocument/2006/relationships/hyperlink" Target="https://eglencelibilim.com/" TargetMode="External" Id="rId2942" /><Relationship Type="http://schemas.openxmlformats.org/officeDocument/2006/relationships/hyperlink" Target="https://drive.google.com/uc?export=view&amp;id=1v3_Pps2qRSFmS6KeVZx_wJPDMrG69Syr" TargetMode="External" Id="rId2943" /><Relationship Type="http://schemas.openxmlformats.org/officeDocument/2006/relationships/hyperlink" Target="https://www.strangerskills.com/" TargetMode="External" Id="rId2944" /><Relationship Type="http://schemas.openxmlformats.org/officeDocument/2006/relationships/hyperlink" Target="https://drive.google.com/uc?export=view&amp;id=1_L4YMpSKTSSWVZFBOK5Hjav0U3LvszWn" TargetMode="External" Id="rId2945" /><Relationship Type="http://schemas.openxmlformats.org/officeDocument/2006/relationships/hyperlink" Target="https://tmi.one/" TargetMode="External" Id="rId2946" /><Relationship Type="http://schemas.openxmlformats.org/officeDocument/2006/relationships/hyperlink" Target="https://drive.google.com/uc?export=view&amp;id=1BHvXFoqdrxRE5cXcrIvrmj0yJfnXUOnS" TargetMode="External" Id="rId2947" /><Relationship Type="http://schemas.openxmlformats.org/officeDocument/2006/relationships/hyperlink" Target="https://www.atschool.com.ua/en/" TargetMode="External" Id="rId2948" /><Relationship Type="http://schemas.openxmlformats.org/officeDocument/2006/relationships/hyperlink" Target="https://drive.google.com/uc?export=view&amp;id=13IM4nfdjh8nonsnBQO_Zt3LwxNVuuTiA" TargetMode="External" Id="rId2949" /><Relationship Type="http://schemas.openxmlformats.org/officeDocument/2006/relationships/hyperlink" Target="http://www.blueprintlearning.dk/" TargetMode="External" Id="rId2950" /><Relationship Type="http://schemas.openxmlformats.org/officeDocument/2006/relationships/hyperlink" Target="http://advokurser.dk/" TargetMode="External" Id="rId2951" /><Relationship Type="http://schemas.openxmlformats.org/officeDocument/2006/relationships/hyperlink" Target="http://revikurser.dk/" TargetMode="External" Id="rId2952" /><Relationship Type="http://schemas.openxmlformats.org/officeDocument/2006/relationships/hyperlink" Target="https://drive.google.com/uc?export=view&amp;id=14IDcCPbIPKeiG90XjrQLNdjlF92sWmuG" TargetMode="External" Id="rId2953" /><Relationship Type="http://schemas.openxmlformats.org/officeDocument/2006/relationships/hyperlink" Target="http://www.cood.fr/" TargetMode="External" Id="rId2954" /><Relationship Type="http://schemas.openxmlformats.org/officeDocument/2006/relationships/hyperlink" Target="http://cood.fr/" TargetMode="External" Id="rId2955" /><Relationship Type="http://schemas.openxmlformats.org/officeDocument/2006/relationships/hyperlink" Target="https://www.linkedin.com/company/cood-fr" TargetMode="External" Id="rId2956" /><Relationship Type="http://schemas.openxmlformats.org/officeDocument/2006/relationships/hyperlink" Target="https://drive.google.com/uc?export=view&amp;id=1TLnpgwhOIF9nje3Jk9v7WW0fpzQeodz-" TargetMode="External" Id="rId2957" /><Relationship Type="http://schemas.openxmlformats.org/officeDocument/2006/relationships/hyperlink" Target="https://education.eyepass.tech/" TargetMode="External" Id="rId2958" /><Relationship Type="http://schemas.openxmlformats.org/officeDocument/2006/relationships/hyperlink" Target="https://drive.google.com/uc?export=view&amp;id=1tvUBiyZl68PUmqjaaM9nv0o9ORfHlcM5" TargetMode="External" Id="rId2959" /><Relationship Type="http://schemas.openxmlformats.org/officeDocument/2006/relationships/hyperlink" Target="http://www.kimo.ai/" TargetMode="External" Id="rId2960" /><Relationship Type="http://schemas.openxmlformats.org/officeDocument/2006/relationships/hyperlink" Target="https://drive.google.com/uc?export=view&amp;id=1LSdf7QVbmsgCzmd_1ghdPq_3zHy7OvJj" TargetMode="External" Id="rId2961" /><Relationship Type="http://schemas.openxmlformats.org/officeDocument/2006/relationships/hyperlink" Target="https://sopuacademy.com/" TargetMode="External" Id="rId2962" /><Relationship Type="http://schemas.openxmlformats.org/officeDocument/2006/relationships/hyperlink" Target="https://drive.google.com/uc?export=view&amp;id=1GQFjW1yicQjKY1NEWRPXyFuuiNvFNngI" TargetMode="External" Id="rId2963" /><Relationship Type="http://schemas.openxmlformats.org/officeDocument/2006/relationships/hyperlink" Target="https://talken.cloud/" TargetMode="External" Id="rId2964" /><Relationship Type="http://schemas.openxmlformats.org/officeDocument/2006/relationships/hyperlink" Target="https://drive.google.com/uc?export=view&amp;id=1DhddukPZRSjLCrkuFfdF2LeEjFTbbv5E" TargetMode="External" Id="rId2965" /><Relationship Type="http://schemas.openxmlformats.org/officeDocument/2006/relationships/hyperlink" Target="http://unimuseum.io/" TargetMode="External" Id="rId2966" /><Relationship Type="http://schemas.openxmlformats.org/officeDocument/2006/relationships/hyperlink" Target="https://drive.google.com/uc?export=view&amp;id=1brpejJtKkInrEX2b2rhYM6DagIW3DOoq" TargetMode="External" Id="rId2967" /><Relationship Type="http://schemas.openxmlformats.org/officeDocument/2006/relationships/hyperlink" Target="https://video.wiki/" TargetMode="External" Id="rId2968" /><Relationship Type="http://schemas.openxmlformats.org/officeDocument/2006/relationships/hyperlink" Target="https://drive.google.com/uc?export=view&amp;id=1QrJY7rPO3PMZlNuZbkcQ9FTw2YUjgQxI" TargetMode="External" Id="rId2969" /><Relationship Type="http://schemas.openxmlformats.org/officeDocument/2006/relationships/hyperlink" Target="https://www.altris.ai/oct_education/" TargetMode="External" Id="rId2970" /><Relationship Type="http://schemas.openxmlformats.org/officeDocument/2006/relationships/hyperlink" Target="https://www.linkedin.com/showcase/altris-education-oct" TargetMode="External" Id="rId2971" /><Relationship Type="http://schemas.openxmlformats.org/officeDocument/2006/relationships/hyperlink" Target="https://drive.google.com/uc?export=view&amp;id=1tmrsT1CHNsvJDHj0P6uclIcuN-OpkqbK" TargetMode="External" Id="rId2972" /><Relationship Type="http://schemas.openxmlformats.org/officeDocument/2006/relationships/hyperlink" Target="https://ampli.com.ua/" TargetMode="External" Id="rId2973" /><Relationship Type="http://schemas.openxmlformats.org/officeDocument/2006/relationships/hyperlink" Target="https://drive.google.com/uc?export=view&amp;id=1HZdJc5mdzf4hw4IJG88PUF2mFtA5XmA4" TargetMode="External" Id="rId2974" /><Relationship Type="http://schemas.openxmlformats.org/officeDocument/2006/relationships/hyperlink" Target="https://www.artips-factory.fr/" TargetMode="External" Id="rId2975" /><Relationship Type="http://schemas.openxmlformats.org/officeDocument/2006/relationships/hyperlink" Target="https://twitter.com/artips_fr?lang=en" TargetMode="External" Id="rId2976" /><Relationship Type="http://schemas.openxmlformats.org/officeDocument/2006/relationships/hyperlink" Target="https://www.linkedin.com/company/artips" TargetMode="External" Id="rId2977" /><Relationship Type="http://schemas.openxmlformats.org/officeDocument/2006/relationships/hyperlink" Target="https://drive.google.com/uc?export=view&amp;id=10AyvDvrWVrqwkdQGqnVhMrcD-nfqCwx9" TargetMode="External" Id="rId2978" /><Relationship Type="http://schemas.openxmlformats.org/officeDocument/2006/relationships/hyperlink" Target="http://www.autsera.com/" TargetMode="External" Id="rId2979" /><Relationship Type="http://schemas.openxmlformats.org/officeDocument/2006/relationships/hyperlink" Target="https://drive.google.com/uc?export=view&amp;id=1KCj9VeQnRqV8LZRvr_9etkUdigRfdsAQ" TargetMode="External" Id="rId2980" /><Relationship Type="http://schemas.openxmlformats.org/officeDocument/2006/relationships/hyperlink" Target="https://graffos.es/landing/?lang=en" TargetMode="External" Id="rId2981" /><Relationship Type="http://schemas.openxmlformats.org/officeDocument/2006/relationships/hyperlink" Target="https://drive.google.com/uc?export=view&amp;id=11BBTnA-6UXHSsc_TcnXShE-vcrCd2MVi" TargetMode="External" Id="rId2982" /><Relationship Type="http://schemas.openxmlformats.org/officeDocument/2006/relationships/hyperlink" Target="http://www.boffin.com.ua/" TargetMode="External" Id="rId2983" /><Relationship Type="http://schemas.openxmlformats.org/officeDocument/2006/relationships/hyperlink" Target="https://drive.google.com/uc?export=view&amp;id=1xVEVKyhkWNTFJAR9FFLZYdxvhPaUnlik" TargetMode="External" Id="rId2984" /><Relationship Type="http://schemas.openxmlformats.org/officeDocument/2006/relationships/hyperlink" Target="http://choizy.org/" TargetMode="External" Id="rId2985" /><Relationship Type="http://schemas.openxmlformats.org/officeDocument/2006/relationships/hyperlink" Target="https://drive.google.com/uc?export=view&amp;id=1yC2Ue2eLRGZBZ2S7qqcGU0Tk0s4vPXne" TargetMode="External" Id="rId2986" /><Relationship Type="http://schemas.openxmlformats.org/officeDocument/2006/relationships/hyperlink" Target="https://www.clasee.io/" TargetMode="External" Id="rId2987" /><Relationship Type="http://schemas.openxmlformats.org/officeDocument/2006/relationships/hyperlink" Target="https://drive.google.com/uc?export=view&amp;id=1YBsygqTNw5FLKvaIHGkigHn6p-6egeWo" TargetMode="External" Id="rId2988" /><Relationship Type="http://schemas.openxmlformats.org/officeDocument/2006/relationships/hyperlink" Target="https://play.google.com/store/apps/details?id=com.realestate.cleverashka" TargetMode="External" Id="rId2989" /><Relationship Type="http://schemas.openxmlformats.org/officeDocument/2006/relationships/hyperlink" Target="https://drive.google.com/uc?export=view&amp;id=10qR3l5-dAs9cmV70BC8VCWBI6YysfIR7" TargetMode="External" Id="rId2990" /><Relationship Type="http://schemas.openxmlformats.org/officeDocument/2006/relationships/hyperlink" Target="https://clincasequest.hospital/" TargetMode="External" Id="rId2991" /><Relationship Type="http://schemas.openxmlformats.org/officeDocument/2006/relationships/hyperlink" Target="https://drive.google.com/uc?export=view&amp;id=1JcmbtHrU2Xc1jEvr_0-i_ncYJ1YTvZiO" TargetMode="External" Id="rId2992" /><Relationship Type="http://schemas.openxmlformats.org/officeDocument/2006/relationships/hyperlink" Target="https://creativepractice.com.ua/" TargetMode="External" Id="rId2993" /><Relationship Type="http://schemas.openxmlformats.org/officeDocument/2006/relationships/hyperlink" Target="https://drive.google.com/uc?export=view&amp;id=1T81wsSJsjubYCwfG5iAbFJHQ77GXMaT4" TargetMode="External" Id="rId2994" /><Relationship Type="http://schemas.openxmlformats.org/officeDocument/2006/relationships/hyperlink" Target="http://www.dito.education/" TargetMode="External" Id="rId2995" /><Relationship Type="http://schemas.openxmlformats.org/officeDocument/2006/relationships/hyperlink" Target="https://drive.google.com/uc?export=view&amp;id=1r7X2hfEvMLozy3fHYoWMHXkT7ZpyBwCi" TargetMode="External" Id="rId2996" /><Relationship Type="http://schemas.openxmlformats.org/officeDocument/2006/relationships/hyperlink" Target="https://www.facebook.com/eruditoEd" TargetMode="External" Id="rId2997" /><Relationship Type="http://schemas.openxmlformats.org/officeDocument/2006/relationships/hyperlink" Target="https://drive.google.com/uc?export=view&amp;id=1Jep6x1cXWJNzQli2KCO0tZx16fS0ari2" TargetMode="External" Id="rId2998" /><Relationship Type="http://schemas.openxmlformats.org/officeDocument/2006/relationships/hyperlink" Target="https://esemtia.com/" TargetMode="External" Id="rId2999" /><Relationship Type="http://schemas.openxmlformats.org/officeDocument/2006/relationships/hyperlink" Target="https://twitter.com/esemtia?ref_src=twsrc%5Egoogle%7Ctwcamp%5Eserp%7Ctwgr%5Eauthor" TargetMode="External" Id="rId3000" /><Relationship Type="http://schemas.openxmlformats.org/officeDocument/2006/relationships/hyperlink" Target="https://www.linkedin.com/company/40201048/admin/" TargetMode="External" Id="rId3001" /><Relationship Type="http://schemas.openxmlformats.org/officeDocument/2006/relationships/hyperlink" Target="https://drive.google.com/uc?export=view&amp;id=1Pk_TyKIhJgGNXFhPWaSA-oI0XOqtnyLL" TargetMode="External" Id="rId3002" /><Relationship Type="http://schemas.openxmlformats.org/officeDocument/2006/relationships/hyperlink" Target="https://goit.global/pl/" TargetMode="External" Id="rId3003" /><Relationship Type="http://schemas.openxmlformats.org/officeDocument/2006/relationships/hyperlink" Target="https://drive.google.com/uc?export=view&amp;id=1hlGMPtds9ATxm04H5X_F3AfFEM7AKfHQ" TargetMode="External" Id="rId3004" /><Relationship Type="http://schemas.openxmlformats.org/officeDocument/2006/relationships/hyperlink" Target="https://www.hoobi.fun/" TargetMode="External" Id="rId3005" /><Relationship Type="http://schemas.openxmlformats.org/officeDocument/2006/relationships/hyperlink" Target="https://drive.google.com/uc?export=view&amp;id=1IYtxMRJKDqqHiPnsznoXvXWzt-ycNMsL" TargetMode="External" Id="rId3006" /><Relationship Type="http://schemas.openxmlformats.org/officeDocument/2006/relationships/hyperlink" Target="https://www.humanava.com/" TargetMode="External" Id="rId3007" /><Relationship Type="http://schemas.openxmlformats.org/officeDocument/2006/relationships/hyperlink" Target="https://www.instagram.com/humanava_/" TargetMode="External" Id="rId3008" /><Relationship Type="http://schemas.openxmlformats.org/officeDocument/2006/relationships/hyperlink" Target="https://twitter.com/humanava_" TargetMode="External" Id="rId3009" /><Relationship Type="http://schemas.openxmlformats.org/officeDocument/2006/relationships/hyperlink" Target="https://www.linkedin.com/company/humanava" TargetMode="External" Id="rId3010" /><Relationship Type="http://schemas.openxmlformats.org/officeDocument/2006/relationships/hyperlink" Target="https://drive.google.com/uc?export=view&amp;id=10gp7nwXnnm9PKAHLRDomV7iFRrzZbQ7F" TargetMode="External" Id="rId3011" /><Relationship Type="http://schemas.openxmlformats.org/officeDocument/2006/relationships/hyperlink" Target="https://www.knowmore365.com/" TargetMode="External" Id="rId3012" /><Relationship Type="http://schemas.openxmlformats.org/officeDocument/2006/relationships/hyperlink" Target="https://drive.google.com/uc?export=view&amp;id=1qfoyvCuRTimQ1MbCQ6qPQ6YPIiq3fyKF" TargetMode="External" Id="rId3013" /><Relationship Type="http://schemas.openxmlformats.org/officeDocument/2006/relationships/hyperlink" Target="http://www.mysatkit.com/" TargetMode="External" Id="rId3014" /><Relationship Type="http://schemas.openxmlformats.org/officeDocument/2006/relationships/hyperlink" Target="https://drive.google.com/uc?export=view&amp;id=1BNXJ8UHFyYxGqsaTCcGWCORwgXAD6t8d" TargetMode="External" Id="rId3015" /><Relationship Type="http://schemas.openxmlformats.org/officeDocument/2006/relationships/hyperlink" Target="http://plagiarismcheck.org/" TargetMode="External" Id="rId3016" /><Relationship Type="http://schemas.openxmlformats.org/officeDocument/2006/relationships/hyperlink" Target="https://plagiarismcheck.org/" TargetMode="External" Id="rId3017" /><Relationship Type="http://schemas.openxmlformats.org/officeDocument/2006/relationships/hyperlink" Target="https://drive.google.com/uc?export=view&amp;id=1BAB96eDg5y0TOB1bYmwMW0CB92N14NgQ" TargetMode="External" Id="rId3018" /><Relationship Type="http://schemas.openxmlformats.org/officeDocument/2006/relationships/hyperlink" Target="https://prjctr.com/" TargetMode="External" Id="rId3019" /><Relationship Type="http://schemas.openxmlformats.org/officeDocument/2006/relationships/hyperlink" Target="https://drive.google.com/uc?export=view&amp;id=1qWaaqCDL_0xwrMrXS5sry9LmwZFI6zWW" TargetMode="External" Id="rId3020" /><Relationship Type="http://schemas.openxmlformats.org/officeDocument/2006/relationships/hyperlink" Target="https://www.readlax.com/" TargetMode="External" Id="rId3021" /><Relationship Type="http://schemas.openxmlformats.org/officeDocument/2006/relationships/hyperlink" Target="https://drive.google.com/uc?export=view&amp;id=1Htx1BOPj9fQx9j5FuRZ7nk1qGqzLMBno" TargetMode="External" Id="rId3022" /><Relationship Type="http://schemas.openxmlformats.org/officeDocument/2006/relationships/hyperlink" Target="http://roboriseit.com/" TargetMode="External" Id="rId3023" /><Relationship Type="http://schemas.openxmlformats.org/officeDocument/2006/relationships/hyperlink" Target="https://drive.google.com/uc?export=view&amp;id=1RpxLwsFNwM3_7HoIqyxMgyxIUK_XXM_-" TargetMode="External" Id="rId3024" /><Relationship Type="http://schemas.openxmlformats.org/officeDocument/2006/relationships/hyperlink" Target="http://www.stellkey.com/" TargetMode="External" Id="rId3025" /><Relationship Type="http://schemas.openxmlformats.org/officeDocument/2006/relationships/hyperlink" Target="https://drive.google.com/uc?export=view&amp;id=1lO6Y_PiZ0YIOA9tzxNkGuuz1iuAH5KFj" TargetMode="External" Id="rId3026" /><Relationship Type="http://schemas.openxmlformats.org/officeDocument/2006/relationships/hyperlink" Target="https://drive.google.com/uc?export=view&amp;id=1AKR14Tp8t8FDqPzGd0snr8qh6WOHHfEz" TargetMode="External" Id="rId3027" /><Relationship Type="http://schemas.openxmlformats.org/officeDocument/2006/relationships/hyperlink" Target="http://www.altamar.es/" TargetMode="External" Id="rId3028" /><Relationship Type="http://schemas.openxmlformats.org/officeDocument/2006/relationships/hyperlink" Target="https://www.linkedin.com/company/editorial-altamar-s-l-/" TargetMode="External" Id="rId3029" /><Relationship Type="http://schemas.openxmlformats.org/officeDocument/2006/relationships/hyperlink" Target="https://drive.google.com/uc?export=view&amp;id=1YYthl1XG24kpopftkXKrLM72OLVIA1sF" TargetMode="External" Id="rId3030" /><Relationship Type="http://schemas.openxmlformats.org/officeDocument/2006/relationships/hyperlink" Target="http://www.alternativedigitale.com/" TargetMode="External" Id="rId3031" /><Relationship Type="http://schemas.openxmlformats.org/officeDocument/2006/relationships/hyperlink" Target="https://twitter.com/mydigitt" TargetMode="External" Id="rId3032" /><Relationship Type="http://schemas.openxmlformats.org/officeDocument/2006/relationships/hyperlink" Target="https://www.linkedin.com/company/alternative-digitale/" TargetMode="External" Id="rId3033" /><Relationship Type="http://schemas.openxmlformats.org/officeDocument/2006/relationships/hyperlink" Target="https://drive.google.com/uc?export=view&amp;id=1ddiUoKd_TdVGNRVKufAfDhAhEO5n0Zcl" TargetMode="External" Id="rId3034" /><Relationship Type="http://schemas.openxmlformats.org/officeDocument/2006/relationships/hyperlink" Target="https://educacion.bq.com/" TargetMode="External" Id="rId3035" /><Relationship Type="http://schemas.openxmlformats.org/officeDocument/2006/relationships/hyperlink" Target="https://drive.google.com/uc?export=view&amp;id=1wJuYP6KAalYt9L4ZbIyC0lewQ7h6z2bE" TargetMode="External" Id="rId3036" /><Relationship Type="http://schemas.openxmlformats.org/officeDocument/2006/relationships/hyperlink" Target="https://certifier.me/" TargetMode="External" Id="rId3037" /><Relationship Type="http://schemas.openxmlformats.org/officeDocument/2006/relationships/hyperlink" Target="https://drive.google.com/uc?export=view&amp;id=1g5hD9HBStTupBYpLTPpZ1JTYzE-A-Sk1" TargetMode="External" Id="rId3038" /><Relationship Type="http://schemas.openxmlformats.org/officeDocument/2006/relationships/hyperlink" Target="http://www.emprendeconmigo.com/" TargetMode="External" Id="rId3039" /><Relationship Type="http://schemas.openxmlformats.org/officeDocument/2006/relationships/hyperlink" Target="https://drive.google.com/uc?export=view&amp;id=1TZz0miM3mzZk4BRg06prZdOScbbJa_0r" TargetMode="External" Id="rId3040" /><Relationship Type="http://schemas.openxmlformats.org/officeDocument/2006/relationships/hyperlink" Target="https://gimi.com/sv/" TargetMode="External" Id="rId3041" /><Relationship Type="http://schemas.openxmlformats.org/officeDocument/2006/relationships/hyperlink" Target="https://drive.google.com/uc?export=view&amp;id=1KrCc2XIQuQ_Jsqbg63K4XptZY22X-M55" TargetMode="External" Id="rId3042" /><Relationship Type="http://schemas.openxmlformats.org/officeDocument/2006/relationships/hyperlink" Target="http://www.innobambini.it/" TargetMode="External" Id="rId3043" /><Relationship Type="http://schemas.openxmlformats.org/officeDocument/2006/relationships/hyperlink" Target="https://drive.google.com/uc?export=view&amp;id=1yAgs0RhWpbNnktpmAVQKOCqgsJDxZe7v" TargetMode="External" Id="rId3044" /><Relationship Type="http://schemas.openxmlformats.org/officeDocument/2006/relationships/hyperlink" Target="http://www.jollylearning.co.uk/" TargetMode="External" Id="rId3045" /><Relationship Type="http://schemas.openxmlformats.org/officeDocument/2006/relationships/hyperlink" Target="https://drive.google.com/uc?export=view&amp;id=1Nq-vhycI8ptoSa-MLpCc0_-XczeDOSPG" TargetMode="External" Id="rId3046" /><Relationship Type="http://schemas.openxmlformats.org/officeDocument/2006/relationships/hyperlink" Target="https://www.mailo.com/" TargetMode="External" Id="rId3047" /><Relationship Type="http://schemas.openxmlformats.org/officeDocument/2006/relationships/hyperlink" Target="https://www.instagram.com/hellomailo/" TargetMode="External" Id="rId3048" /><Relationship Type="http://schemas.openxmlformats.org/officeDocument/2006/relationships/hyperlink" Target="https://twitter.com/HELLOMAILO" TargetMode="External" Id="rId3049" /><Relationship Type="http://schemas.openxmlformats.org/officeDocument/2006/relationships/hyperlink" Target="https://fr.linkedin.com/company/mailofr?original_referer=https%3A%2F%2Fwww.google.com%2F" TargetMode="External" Id="rId3050" /><Relationship Type="http://schemas.openxmlformats.org/officeDocument/2006/relationships/hyperlink" Target="https://drive.google.com/uc?export=view&amp;id=1id5DECDQVmqN2uLzb0l5wUL_kejauhXJ" TargetMode="External" Id="rId3051" /><Relationship Type="http://schemas.openxmlformats.org/officeDocument/2006/relationships/hyperlink" Target="http://www.manutan-collectivites.fr/" TargetMode="External" Id="rId3052" /><Relationship Type="http://schemas.openxmlformats.org/officeDocument/2006/relationships/hyperlink" Target="https://drive.google.com/uc?export=view&amp;id=1flWMdRIBhDqOOhp5_ovJjNxDqxsJeZYm" TargetMode="External" Id="rId3053" /><Relationship Type="http://schemas.openxmlformats.org/officeDocument/2006/relationships/hyperlink" Target="https://memimababy.com/" TargetMode="External" Id="rId3054" /><Relationship Type="http://schemas.openxmlformats.org/officeDocument/2006/relationships/hyperlink" Target="https://www.linkedin.com/company/memimababy/" TargetMode="External" Id="rId3055" /><Relationship Type="http://schemas.openxmlformats.org/officeDocument/2006/relationships/hyperlink" Target="https://www.linkedin.com/company/memimababy/" TargetMode="External" Id="rId3056" /><Relationship Type="http://schemas.openxmlformats.org/officeDocument/2006/relationships/hyperlink" Target="https://drive.google.com/uc?export=view&amp;id=1vN2ye37nhonXTji71fFuUOyp8BukmIki" TargetMode="External" Id="rId3057" /><Relationship Type="http://schemas.openxmlformats.org/officeDocument/2006/relationships/hyperlink" Target="http://mersys.io/" TargetMode="External" Id="rId3058" /><Relationship Type="http://schemas.openxmlformats.org/officeDocument/2006/relationships/hyperlink" Target="https://drive.google.com/uc?export=view&amp;id=1ysrz3iV5-0ATDEkOwM6Q5tydS05Jkd29" TargetMode="External" Id="rId3059" /><Relationship Type="http://schemas.openxmlformats.org/officeDocument/2006/relationships/hyperlink" Target="https://lab.mobi/realitymaker" TargetMode="External" Id="rId3060" /><Relationship Type="http://schemas.openxmlformats.org/officeDocument/2006/relationships/hyperlink" Target="https://www.instagram.com/lab.mobi/" TargetMode="External" Id="rId3061" /><Relationship Type="http://schemas.openxmlformats.org/officeDocument/2006/relationships/hyperlink" Target="https://twitter.com/labmobi" TargetMode="External" Id="rId3062" /><Relationship Type="http://schemas.openxmlformats.org/officeDocument/2006/relationships/hyperlink" Target="https://www.linkedin.com/company/mobi-lab/" TargetMode="External" Id="rId3063" /><Relationship Type="http://schemas.openxmlformats.org/officeDocument/2006/relationships/hyperlink" Target="https://drive.google.com/uc?export=view&amp;id=1TNFiNdVPEJONDt_bQIub7B2A1Ksi0j1N" TargetMode="External" Id="rId3064" /><Relationship Type="http://schemas.openxmlformats.org/officeDocument/2006/relationships/hyperlink" Target="http://www.prosfy.com/" TargetMode="External" Id="rId3065" /><Relationship Type="http://schemas.openxmlformats.org/officeDocument/2006/relationships/hyperlink" Target="https://www.linkedin.com/company/prosfy/" TargetMode="External" Id="rId3066" /><Relationship Type="http://schemas.openxmlformats.org/officeDocument/2006/relationships/hyperlink" Target="https://drive.google.com/uc?export=view&amp;id=17BYjOyVvgjxrJ4imQz_SfMlZUmOEtVaK" TargetMode="External" Id="rId3067" /><Relationship Type="http://schemas.openxmlformats.org/officeDocument/2006/relationships/hyperlink" Target="https://www.unihelper.dk/?lang=en" TargetMode="External" Id="rId3068" /><Relationship Type="http://schemas.openxmlformats.org/officeDocument/2006/relationships/hyperlink" Target="https://www.linkedin.com/company/unihelper/?viewAsMember=true" TargetMode="External" Id="rId3069" /><Relationship Type="http://schemas.openxmlformats.org/officeDocument/2006/relationships/hyperlink" Target="https://drive.google.com/uc?export=view&amp;id=1-8P1xcEz6pcTWp9tTeJW8yAe-r41EYpm" TargetMode="External" Id="rId3070" /><Relationship Type="http://schemas.openxmlformats.org/officeDocument/2006/relationships/hyperlink" Target="https://www.uptech.team/" TargetMode="External" Id="rId3071" /><Relationship Type="http://schemas.openxmlformats.org/officeDocument/2006/relationships/hyperlink" Target="https://drive.google.com/uc?export=view&amp;id=1oOqnZkcX7aBkFQNjWldm3AU4x2UajYfS" TargetMode="External" Id="rId3072" /><Relationship Type="http://schemas.openxmlformats.org/officeDocument/2006/relationships/hyperlink" Target="http://www.vicole.de/" TargetMode="External" Id="rId3073" /><Relationship Type="http://schemas.openxmlformats.org/officeDocument/2006/relationships/hyperlink" Target="https://drive.google.com/uc?export=view&amp;id=1druVqdZxywwnjXbePIyQFHw31yN69NnP" TargetMode="External" Id="rId3074" /><Relationship Type="http://schemas.openxmlformats.org/officeDocument/2006/relationships/hyperlink" Target="http://www.woonoz.com/" TargetMode="External" Id="rId3075" /><Relationship Type="http://schemas.openxmlformats.org/officeDocument/2006/relationships/hyperlink" Target="https://twitter.com/woonoz" TargetMode="External" Id="rId3076" /><Relationship Type="http://schemas.openxmlformats.org/officeDocument/2006/relationships/hyperlink" Target="https://www.linkedin.com/company/2967089/" TargetMode="External" Id="rId3077" /><Relationship Type="http://schemas.openxmlformats.org/officeDocument/2006/relationships/hyperlink" Target="https://drive.google.com/uc?export=view&amp;id=1YJcY3evg4ew4L85G9TNh5bNU_YaITTol" TargetMode="External" Id="rId3078" /><Relationship Type="http://schemas.openxmlformats.org/officeDocument/2006/relationships/hyperlink" Target="https://wweeddoo.com/" TargetMode="External" Id="rId3079" /><Relationship Type="http://schemas.openxmlformats.org/officeDocument/2006/relationships/hyperlink" Target="https://www.instagram.com/wweeddoofficiel/" TargetMode="External" Id="rId3080" /><Relationship Type="http://schemas.openxmlformats.org/officeDocument/2006/relationships/hyperlink" Target="https://twitter.com/wweeddoofr" TargetMode="External" Id="rId3081" /><Relationship Type="http://schemas.openxmlformats.org/officeDocument/2006/relationships/hyperlink" Target="https://fr.linkedin.com/company/wweeddoo" TargetMode="External" Id="rId3082" /><Relationship Type="http://schemas.openxmlformats.org/officeDocument/2006/relationships/hyperlink" Target="https://drive.google.com/uc?export=view&amp;id=1ogzsBuw9EnFu1Nypuk_yKa11nus8sI_I" TargetMode="External" Id="rId3083" /><Relationship Type="http://schemas.openxmlformats.org/officeDocument/2006/relationships/hyperlink" Target="https://www.toplinemedia.fi/" TargetMode="External" Id="rId3084" /><Relationship Type="http://schemas.openxmlformats.org/officeDocument/2006/relationships/hyperlink" Target="https://cyberskiller.com/" TargetMode="External" Id="rId3085" /><Relationship Type="http://schemas.openxmlformats.org/officeDocument/2006/relationships/hyperlink" Target="https://drive.google.com/uc?export=view&amp;id=1agrw6x52CK4PL6ILlY7aMYnnliKA-hoo" TargetMode="External" Id="rId3086" /><Relationship Type="http://schemas.openxmlformats.org/officeDocument/2006/relationships/hyperlink" Target="https://grasple.com/" TargetMode="External" Id="rId3087" /><Relationship Type="http://schemas.openxmlformats.org/officeDocument/2006/relationships/hyperlink" Target="https://twitter.com/opengrasple" TargetMode="External" Id="rId3088" /><Relationship Type="http://schemas.openxmlformats.org/officeDocument/2006/relationships/hyperlink" Target="https://www.linkedin.com/company/grasple" TargetMode="External" Id="rId3089" /><Relationship Type="http://schemas.openxmlformats.org/officeDocument/2006/relationships/hyperlink" Target="https://drive.google.com/uc?export=view&amp;id=1_2E3wxPy5209rebyhDsriyK04iQMt25u" TargetMode="External" Id="rId3090" /><Relationship Type="http://schemas.openxmlformats.org/officeDocument/2006/relationships/hyperlink" Target="https://helge.app/" TargetMode="External" Id="rId3091" /><Relationship Type="http://schemas.openxmlformats.org/officeDocument/2006/relationships/hyperlink" Target="https://www.instagram.com/helgeapp/" TargetMode="External" Id="rId3092" /><Relationship Type="http://schemas.openxmlformats.org/officeDocument/2006/relationships/hyperlink" Target="https://twitter.com/helgeapp" TargetMode="External" Id="rId3093" /><Relationship Type="http://schemas.openxmlformats.org/officeDocument/2006/relationships/hyperlink" Target="https://www.linkedin.com/company/helge" TargetMode="External" Id="rId3094" /><Relationship Type="http://schemas.openxmlformats.org/officeDocument/2006/relationships/hyperlink" Target="https://drive.google.com/uc?export=view&amp;id=1uu2NA_E3EdR6CB0SD5aP2OfyY0KHqIGi" TargetMode="External" Id="rId3095" /><Relationship Type="http://schemas.openxmlformats.org/officeDocument/2006/relationships/hyperlink" Target="http://www.leaplearning.com/" TargetMode="External" Id="rId3096" /><Relationship Type="http://schemas.openxmlformats.org/officeDocument/2006/relationships/hyperlink" Target="https://drive.google.com/uc?export=view&amp;id=1DtMh9GMJr9PXombxE6wv0fpZoaHOpKRN" TargetMode="External" Id="rId3097" /><Relationship Type="http://schemas.openxmlformats.org/officeDocument/2006/relationships/hyperlink" Target="https://recitaleyes.com/" TargetMode="External" Id="rId3098" /><Relationship Type="http://schemas.openxmlformats.org/officeDocument/2006/relationships/hyperlink" Target="https://drive.google.com/uc?export=view&amp;id=1-zU2hv-fqMSNVp4RMervJNj0Ojwx4C0r" TargetMode="External" Id="rId3099" /><Relationship Type="http://schemas.openxmlformats.org/officeDocument/2006/relationships/hyperlink" Target="http://www.simulise.com/" TargetMode="External" Id="rId3100" /><Relationship Type="http://schemas.openxmlformats.org/officeDocument/2006/relationships/hyperlink" Target="https://drive.google.com/uc?export=view&amp;id=1J4kX3JLkCh0qXuXQOJjHVQtUJM_52sBc" TargetMode="External" Id="rId3101" /><Relationship Type="http://schemas.openxmlformats.org/officeDocument/2006/relationships/hyperlink" Target="http://tutor.id/" TargetMode="External" Id="rId3102" /><Relationship Type="http://schemas.openxmlformats.org/officeDocument/2006/relationships/hyperlink" Target="https://tutor.id/" TargetMode="External" Id="rId3103" /><Relationship Type="http://schemas.openxmlformats.org/officeDocument/2006/relationships/hyperlink" Target="https://drive.google.com/uc?export=view&amp;id=1IYlwzSNhHShda3-X0G6VQ2-YCIIddWXj" TargetMode="External" Id="rId3104" /><Relationship Type="http://schemas.openxmlformats.org/officeDocument/2006/relationships/hyperlink" Target="http://adaptical.io/" TargetMode="External" Id="rId3105" /><Relationship Type="http://schemas.openxmlformats.org/officeDocument/2006/relationships/hyperlink" Target="https://drive.google.com/uc?export=view&amp;id=1EDV2WX73iI8Xt008pUFSxmgUa12KoO6n" TargetMode="External" Id="rId3106" /><Relationship Type="http://schemas.openxmlformats.org/officeDocument/2006/relationships/hyperlink" Target="https://amanote.com/" TargetMode="External" Id="rId3107" /><Relationship Type="http://schemas.openxmlformats.org/officeDocument/2006/relationships/hyperlink" Target="https://drive.google.com/uc?export=view&amp;id=1Wb8Mafh3FqpUEFpS6lQ9KbD7_IDA-BJL" TargetMode="External" Id="rId3108" /><Relationship Type="http://schemas.openxmlformats.org/officeDocument/2006/relationships/hyperlink" Target="https://checknchoose.com/" TargetMode="External" Id="rId3109" /><Relationship Type="http://schemas.openxmlformats.org/officeDocument/2006/relationships/hyperlink" Target="https://drive.google.com/uc?export=view&amp;id=1kQJulA3SKEMwCI0Uzokl4ibPWFJLKgTs" TargetMode="External" Id="rId3110" /><Relationship Type="http://schemas.openxmlformats.org/officeDocument/2006/relationships/hyperlink" Target="https://cirrusassessment.com/" TargetMode="External" Id="rId3111" /><Relationship Type="http://schemas.openxmlformats.org/officeDocument/2006/relationships/hyperlink" Target="https://drive.google.com/uc?export=view&amp;id=1hpvReY11SzhgaUfWRN_aiiR57aRYrNG6" TargetMode="External" Id="rId3112" /><Relationship Type="http://schemas.openxmlformats.org/officeDocument/2006/relationships/hyperlink" Target="http://cloudedu.es/" TargetMode="External" Id="rId3113" /><Relationship Type="http://schemas.openxmlformats.org/officeDocument/2006/relationships/hyperlink" Target="https://drive.google.com/uc?export=view&amp;id=1yhtZbhm7reZKsLWYmYLJtNbABf2tNjYC" TargetMode="External" Id="rId3114" /><Relationship Type="http://schemas.openxmlformats.org/officeDocument/2006/relationships/hyperlink" Target="http://codedarena.com/" TargetMode="External" Id="rId3115" /><Relationship Type="http://schemas.openxmlformats.org/officeDocument/2006/relationships/hyperlink" Target="https://www.linkedin.com/company/codedarena" TargetMode="External" Id="rId3116" /><Relationship Type="http://schemas.openxmlformats.org/officeDocument/2006/relationships/hyperlink" Target="https://drive.google.com/uc?export=view&amp;id=1oB2pztSx7aVYykOi1jzCqv4AxAFApv8P" TargetMode="External" Id="rId3117" /><Relationship Type="http://schemas.openxmlformats.org/officeDocument/2006/relationships/hyperlink" Target="https://www.culturebuffgames.com/" TargetMode="External" Id="rId3118" /><Relationship Type="http://schemas.openxmlformats.org/officeDocument/2006/relationships/hyperlink" Target="https://www.instagram.com/culturebuffgames/" TargetMode="External" Id="rId3119" /><Relationship Type="http://schemas.openxmlformats.org/officeDocument/2006/relationships/hyperlink" Target="https://twitter.com/cultural_games" TargetMode="External" Id="rId3120" /><Relationship Type="http://schemas.openxmlformats.org/officeDocument/2006/relationships/hyperlink" Target="https://www.linkedin.com/in/lucy-fogarty-76099b8/" TargetMode="External" Id="rId3121" /><Relationship Type="http://schemas.openxmlformats.org/officeDocument/2006/relationships/hyperlink" Target="https://drive.google.com/uc?export=view&amp;id=1oeHgEKvWYqpz6AOB0Ti9oQAwv8-qCkq1" TargetMode="External" Id="rId3122" /><Relationship Type="http://schemas.openxmlformats.org/officeDocument/2006/relationships/hyperlink" Target="https://www.cyberfoxapp.com/" TargetMode="External" Id="rId3123" /><Relationship Type="http://schemas.openxmlformats.org/officeDocument/2006/relationships/hyperlink" Target="https://www.instagram.com/cyberfox_app/" TargetMode="External" Id="rId3124" /><Relationship Type="http://schemas.openxmlformats.org/officeDocument/2006/relationships/hyperlink" Target="https://www.linkedin.com/company/76357258/" TargetMode="External" Id="rId3125" /><Relationship Type="http://schemas.openxmlformats.org/officeDocument/2006/relationships/hyperlink" Target="https://drive.google.com/uc?export=view&amp;id=1YAbgDwIr1UiUvknyZ3apfnhDGA8J-STL" TargetMode="External" Id="rId3126" /><Relationship Type="http://schemas.openxmlformats.org/officeDocument/2006/relationships/hyperlink" Target="https://docendo.co/" TargetMode="External" Id="rId3127" /><Relationship Type="http://schemas.openxmlformats.org/officeDocument/2006/relationships/hyperlink" Target="https://drive.google.com/uc?export=view&amp;id=1n6t5EM3chtGcC82FK4A_KDhPzTZZpeXC" TargetMode="External" Id="rId3128" /><Relationship Type="http://schemas.openxmlformats.org/officeDocument/2006/relationships/hyperlink" Target="http://nickvanbreda.com/hackathon" TargetMode="External" Id="rId3129" /><Relationship Type="http://schemas.openxmlformats.org/officeDocument/2006/relationships/hyperlink" Target="about:blank" TargetMode="External" Id="rId3130" /><Relationship Type="http://schemas.openxmlformats.org/officeDocument/2006/relationships/hyperlink" Target="about:blank" TargetMode="External" Id="rId3131" /><Relationship Type="http://schemas.openxmlformats.org/officeDocument/2006/relationships/hyperlink" Target="http://linkedin.com/in/nickvanbreda" TargetMode="External" Id="rId3132" /><Relationship Type="http://schemas.openxmlformats.org/officeDocument/2006/relationships/hyperlink" Target="https://drive.google.com/uc?export=view&amp;id=1F_tT22xEBdjbuGobmzrCx_N0cMwq00WA" TargetMode="External" Id="rId3133" /><Relationship Type="http://schemas.openxmlformats.org/officeDocument/2006/relationships/hyperlink" Target="https://futuclass.com/" TargetMode="External" Id="rId3134" /><Relationship Type="http://schemas.openxmlformats.org/officeDocument/2006/relationships/hyperlink" Target="https://www.instagram.com/futu_class/" TargetMode="External" Id="rId3135" /><Relationship Type="http://schemas.openxmlformats.org/officeDocument/2006/relationships/hyperlink" Target="https://twitter.com/Futuclass" TargetMode="External" Id="rId3136" /><Relationship Type="http://schemas.openxmlformats.org/officeDocument/2006/relationships/hyperlink" Target="https://www.linkedin.com/company/futuclass/" TargetMode="External" Id="rId3137" /><Relationship Type="http://schemas.openxmlformats.org/officeDocument/2006/relationships/hyperlink" Target="https://drive.google.com/uc?export=view&amp;id=1vxkVRmDgiR3mwejmjGapvKMNlm9XAVkV" TargetMode="External" Id="rId3138" /><Relationship Type="http://schemas.openxmlformats.org/officeDocument/2006/relationships/hyperlink" Target="https://infowijs.nl/" TargetMode="External" Id="rId3139" /><Relationship Type="http://schemas.openxmlformats.org/officeDocument/2006/relationships/hyperlink" Target="https://www.instagram.com/infowijs/" TargetMode="External" Id="rId3140" /><Relationship Type="http://schemas.openxmlformats.org/officeDocument/2006/relationships/hyperlink" Target="https://twitter.com/infowijs" TargetMode="External" Id="rId3141" /><Relationship Type="http://schemas.openxmlformats.org/officeDocument/2006/relationships/hyperlink" Target="https://www.linkedin.com/company/infowijs/" TargetMode="External" Id="rId3142" /><Relationship Type="http://schemas.openxmlformats.org/officeDocument/2006/relationships/hyperlink" Target="https://drive.google.com/uc?export=view&amp;id=1m5Bs1wsPDh0x7EcBY6ui5IMpci7HCtup" TargetMode="External" Id="rId3143" /><Relationship Type="http://schemas.openxmlformats.org/officeDocument/2006/relationships/hyperlink" Target="http://www.ist.com/de" TargetMode="External" Id="rId3144" /><Relationship Type="http://schemas.openxmlformats.org/officeDocument/2006/relationships/hyperlink" Target="https://drive.google.com/uc?export=view&amp;id=1wRMzIpNnbhSHEACMUQzkjZmcGddy5Jj4" TargetMode="External" Id="rId3145" /><Relationship Type="http://schemas.openxmlformats.org/officeDocument/2006/relationships/hyperlink" Target="http://learmcove.com/" TargetMode="External" Id="rId3146" /><Relationship Type="http://schemas.openxmlformats.org/officeDocument/2006/relationships/hyperlink" Target="https://instagram.com/learncove?igshid=YmMyMTA2M2Y=" TargetMode="External" Id="rId3147" /><Relationship Type="http://schemas.openxmlformats.org/officeDocument/2006/relationships/hyperlink" Target="https://www.linkedin.com/company/learncove/" TargetMode="External" Id="rId3148" /><Relationship Type="http://schemas.openxmlformats.org/officeDocument/2006/relationships/hyperlink" Target="https://drive.google.com/uc?export=view&amp;id=1q9ZDMoKOvEscc-CnQwZghZ0_lismnzD6" TargetMode="External" Id="rId3149" /><Relationship Type="http://schemas.openxmlformats.org/officeDocument/2006/relationships/hyperlink" Target="http://leerzelfonline.nl/" TargetMode="External" Id="rId3150" /><Relationship Type="http://schemas.openxmlformats.org/officeDocument/2006/relationships/hyperlink" Target="https://www.instagram.com/steffiehelpt/" TargetMode="External" Id="rId3151" /><Relationship Type="http://schemas.openxmlformats.org/officeDocument/2006/relationships/hyperlink" Target="https://twitter.com/leerzelfonline" TargetMode="External" Id="rId3152" /><Relationship Type="http://schemas.openxmlformats.org/officeDocument/2006/relationships/hyperlink" Target="https://www.linkedin.com/company/10372565/admin/" TargetMode="External" Id="rId3153" /><Relationship Type="http://schemas.openxmlformats.org/officeDocument/2006/relationships/hyperlink" Target="https://drive.google.com/uc?export=view&amp;id=1RxrE5GT7RhcQ1NwkZ07Xw87w3UNG7oW1" TargetMode="External" Id="rId3154" /><Relationship Type="http://schemas.openxmlformats.org/officeDocument/2006/relationships/hyperlink" Target="https://mereos.eu/" TargetMode="External" Id="rId3155" /><Relationship Type="http://schemas.openxmlformats.org/officeDocument/2006/relationships/hyperlink" Target="https://drive.google.com/uc?export=view&amp;id=1MaJou1O684Cuooh5HxLW3gE3JrLkFZCf" TargetMode="External" Id="rId3156" /><Relationship Type="http://schemas.openxmlformats.org/officeDocument/2006/relationships/hyperlink" Target="https://nominis.es/" TargetMode="External" Id="rId3157" /><Relationship Type="http://schemas.openxmlformats.org/officeDocument/2006/relationships/hyperlink" Target="https://drive.google.com/uc?export=view&amp;id=1FRC_djKqUnjYd7I-peVn9gjRY-E8oAXs" TargetMode="External" Id="rId3158" /><Relationship Type="http://schemas.openxmlformats.org/officeDocument/2006/relationships/hyperlink" Target="http://www.pearup.de/" TargetMode="External" Id="rId3159" /><Relationship Type="http://schemas.openxmlformats.org/officeDocument/2006/relationships/hyperlink" Target="https://www.instagram.com/pearup_edu/" TargetMode="External" Id="rId3160" /><Relationship Type="http://schemas.openxmlformats.org/officeDocument/2006/relationships/hyperlink" Target="https://twitter.com/pearup_edu" TargetMode="External" Id="rId3161" /><Relationship Type="http://schemas.openxmlformats.org/officeDocument/2006/relationships/hyperlink" Target="https://www.linkedin.com/company/11718283" TargetMode="External" Id="rId3162" /><Relationship Type="http://schemas.openxmlformats.org/officeDocument/2006/relationships/hyperlink" Target="https://drive.google.com/uc?export=view&amp;id=1ynzuI7VamJj22wIyGKdc0ZgNDr1xXz63" TargetMode="External" Id="rId3163" /><Relationship Type="http://schemas.openxmlformats.org/officeDocument/2006/relationships/hyperlink" Target="http://www.pebblepad.com/" TargetMode="External" Id="rId3164" /><Relationship Type="http://schemas.openxmlformats.org/officeDocument/2006/relationships/hyperlink" Target="https://drive.google.com/uc?export=view&amp;id=1XHo35bAfWcQNKwddSD2vSCuBe0um5hwC" TargetMode="External" Id="rId3165" /><Relationship Type="http://schemas.openxmlformats.org/officeDocument/2006/relationships/hyperlink" Target="https://www.poikilingo.com/" TargetMode="External" Id="rId3166" /><Relationship Type="http://schemas.openxmlformats.org/officeDocument/2006/relationships/hyperlink" Target="https://drive.google.com/uc?export=view&amp;id=1BSjr9gQWpuqlh-FFcGxBOI0LeZEQit5k" TargetMode="External" Id="rId3167" /><Relationship Type="http://schemas.openxmlformats.org/officeDocument/2006/relationships/hyperlink" Target="http://www.scorecard.school/" TargetMode="External" Id="rId3168" /><Relationship Type="http://schemas.openxmlformats.org/officeDocument/2006/relationships/hyperlink" Target="https://www.linkedin.com/company/scorecardsuite/" TargetMode="External" Id="rId3169" /><Relationship Type="http://schemas.openxmlformats.org/officeDocument/2006/relationships/hyperlink" Target="https://drive.google.com/uc?export=view&amp;id=1oPtTBVD5cK6ckhfn0thL0h55f76ohqPs" TargetMode="External" Id="rId3170" /><Relationship Type="http://schemas.openxmlformats.org/officeDocument/2006/relationships/hyperlink" Target="http://seethegood.app/" TargetMode="External" Id="rId3171" /><Relationship Type="http://schemas.openxmlformats.org/officeDocument/2006/relationships/hyperlink" Target="https://drive.google.com/uc?export=view&amp;id=1S5GdT-S514enTnfi5qkIHFGuOauIMLBQ" TargetMode="External" Id="rId3172" /><Relationship Type="http://schemas.openxmlformats.org/officeDocument/2006/relationships/hyperlink" Target="https://www.skillogs.com/" TargetMode="External" Id="rId3173" /><Relationship Type="http://schemas.openxmlformats.org/officeDocument/2006/relationships/hyperlink" Target="https://twitter.com/skillogsacarya" TargetMode="External" Id="rId3174" /><Relationship Type="http://schemas.openxmlformats.org/officeDocument/2006/relationships/hyperlink" Target="https://www.linkedin.com/company/skillogs/" TargetMode="External" Id="rId3175" /><Relationship Type="http://schemas.openxmlformats.org/officeDocument/2006/relationships/hyperlink" Target="https://drive.google.com/uc?export=view&amp;id=17Mw6NyNHr9KMHDR4rOeu-laEzt1VxvDK" TargetMode="External" Id="rId3176" /><Relationship Type="http://schemas.openxmlformats.org/officeDocument/2006/relationships/hyperlink" Target="http://www.smartmicrooptics.com/" TargetMode="External" Id="rId3177" /><Relationship Type="http://schemas.openxmlformats.org/officeDocument/2006/relationships/hyperlink" Target="https://drive.google.com/uc?export=view&amp;id=1VJk6Cntf237suTTIvMcMfwmdEnCEBniD" TargetMode="External" Id="rId3178" /><Relationship Type="http://schemas.openxmlformats.org/officeDocument/2006/relationships/hyperlink" Target="https://www.habiit.io/en" TargetMode="External" Id="rId3179" /><Relationship Type="http://schemas.openxmlformats.org/officeDocument/2006/relationships/hyperlink" Target="https://drive.google.com/uc?export=view&amp;id=1m-BDoKejv_KNvqXZcDAEv9Xxkl2Or2L8" TargetMode="External" Id="rId3180" /><Relationship Type="http://schemas.openxmlformats.org/officeDocument/2006/relationships/hyperlink" Target="http://tutored.me/" TargetMode="External" Id="rId3181" /><Relationship Type="http://schemas.openxmlformats.org/officeDocument/2006/relationships/hyperlink" Target="https://drive.google.com/uc?export=view&amp;id=1O9ew02Zks5fDtiDlgxXrLoUloQKl0MUG" TargetMode="External" Id="rId3182" /><Relationship Type="http://schemas.openxmlformats.org/officeDocument/2006/relationships/hyperlink" Target="https://www.typetastic.com/" TargetMode="External" Id="rId3183" /><Relationship Type="http://schemas.openxmlformats.org/officeDocument/2006/relationships/hyperlink" Target="https://drive.google.com/uc?export=view&amp;id=1zC0BjsbALi1EHz83I3pWTa-rSWlVCUsu" TargetMode="External" Id="rId3184" /><Relationship Type="http://schemas.openxmlformats.org/officeDocument/2006/relationships/hyperlink" Target="https://virtuleap.com/" TargetMode="External" Id="rId3185" /><Relationship Type="http://schemas.openxmlformats.org/officeDocument/2006/relationships/hyperlink" Target="https://drive.google.com/uc?export=view&amp;id=1u3BNYbdWBY54PTDKrxy5Aud74YV7S8kM" TargetMode="External" Id="rId3186" /><Relationship Type="http://schemas.openxmlformats.org/officeDocument/2006/relationships/hyperlink" Target="http://www.3dbear.io/" TargetMode="External" Id="rId3187" /><Relationship Type="http://schemas.openxmlformats.org/officeDocument/2006/relationships/hyperlink" Target="https://drive.google.com/uc?export=view&amp;id=1olng-zvSfFosciqSsSv8-6ASCbpDSzry" TargetMode="External" Id="rId3188" /><Relationship Type="http://schemas.openxmlformats.org/officeDocument/2006/relationships/hyperlink" Target="https://a-dapttraining.com/" TargetMode="External" Id="rId3189" /><Relationship Type="http://schemas.openxmlformats.org/officeDocument/2006/relationships/hyperlink" Target="https://drive.google.com/uc?export=view&amp;id=1x81WWixXtmbuWL1UlAS4QZgy_8D9lP1R" TargetMode="External" Id="rId3190" /><Relationship Type="http://schemas.openxmlformats.org/officeDocument/2006/relationships/hyperlink" Target="https://www.additioapp.com/en" TargetMode="External" Id="rId3191" /><Relationship Type="http://schemas.openxmlformats.org/officeDocument/2006/relationships/hyperlink" Target="https://www.instagram.com/additioapp/" TargetMode="External" Id="rId3192" /><Relationship Type="http://schemas.openxmlformats.org/officeDocument/2006/relationships/hyperlink" Target="https://twitter.com/additioapp_EN" TargetMode="External" Id="rId3193" /><Relationship Type="http://schemas.openxmlformats.org/officeDocument/2006/relationships/hyperlink" Target="https://es.linkedin.com/company/additio-for-schools" TargetMode="External" Id="rId3194" /><Relationship Type="http://schemas.openxmlformats.org/officeDocument/2006/relationships/hyperlink" Target="https://drive.google.com/uc?export=view&amp;id=1pq5o7hkgAkw-2dxHpxVaEYnhDIyzS2BT" TargetMode="External" Id="rId3195" /><Relationship Type="http://schemas.openxmlformats.org/officeDocument/2006/relationships/hyperlink" Target="http://www.adservio.education/" TargetMode="External" Id="rId3196" /><Relationship Type="http://schemas.openxmlformats.org/officeDocument/2006/relationships/hyperlink" Target="https://drive.google.com/uc?export=view&amp;id=1QfpxpWMeGJ86hbTSMo_vmvVPvNcDPg_E" TargetMode="External" Id="rId3197" /><Relationship Type="http://schemas.openxmlformats.org/officeDocument/2006/relationships/hyperlink" Target="http://ahoiii.com/" TargetMode="External" Id="rId3198" /><Relationship Type="http://schemas.openxmlformats.org/officeDocument/2006/relationships/hyperlink" Target="https://drive.google.com/uc?export=view&amp;id=1ldZ47F8A_W7Y-IBF1-pWoP45_ZIyeHyL" TargetMode="External" Id="rId3199" /><Relationship Type="http://schemas.openxmlformats.org/officeDocument/2006/relationships/hyperlink" Target="https://www.alpakids.com/" TargetMode="External" Id="rId3200" /><Relationship Type="http://schemas.openxmlformats.org/officeDocument/2006/relationships/hyperlink" Target="https://www.instagram.com/alpa.kids/" TargetMode="External" Id="rId3201" /><Relationship Type="http://schemas.openxmlformats.org/officeDocument/2006/relationships/hyperlink" Target="https://www.linkedin.com/company/alpa-kids/" TargetMode="External" Id="rId3202" /><Relationship Type="http://schemas.openxmlformats.org/officeDocument/2006/relationships/hyperlink" Target="https://drive.google.com/uc?export=view&amp;id=127OWTAFmzA2FE25qCc6bmEoWdHkAQulf" TargetMode="External" Id="rId3203" /><Relationship Type="http://schemas.openxmlformats.org/officeDocument/2006/relationships/hyperlink" Target="http://altacademy.org/" TargetMode="External" Id="rId3204" /><Relationship Type="http://schemas.openxmlformats.org/officeDocument/2006/relationships/hyperlink" Target="https://drive.google.com/uc?export=view&amp;id=1qD-uidGCpG57CETtTr47HPowqTbetHqz" TargetMode="External" Id="rId3205" /><Relationship Type="http://schemas.openxmlformats.org/officeDocument/2006/relationships/hyperlink" Target="https://www.artsci.fr/" TargetMode="External" Id="rId3206" /><Relationship Type="http://schemas.openxmlformats.org/officeDocument/2006/relationships/hyperlink" Target="https://drive.google.com/uc?export=view&amp;id=1Lma8Z2jhTTmcGMxiMhcLmUE7UGXOBRlc" TargetMode="External" Id="rId3207" /><Relationship Type="http://schemas.openxmlformats.org/officeDocument/2006/relationships/hyperlink" Target="http://www.augmentedclass.com/" TargetMode="External" Id="rId3208" /><Relationship Type="http://schemas.openxmlformats.org/officeDocument/2006/relationships/hyperlink" Target="https://drive.google.com/uc?export=view&amp;id=1WoGxbZ9eDL4JGJ2j7z3R0LbNaJG0mP4I" TargetMode="External" Id="rId3209" /><Relationship Type="http://schemas.openxmlformats.org/officeDocument/2006/relationships/hyperlink" Target="http://www.buya.de/" TargetMode="External" Id="rId3210" /><Relationship Type="http://schemas.openxmlformats.org/officeDocument/2006/relationships/hyperlink" Target="https://drive.google.com/uc?export=view&amp;id=1JTPky2jTGHdQfM19qC-B35BRYYG9LFYg" TargetMode="External" Id="rId3211" /><Relationship Type="http://schemas.openxmlformats.org/officeDocument/2006/relationships/hyperlink" Target="http://www.clickedu.net/" TargetMode="External" Id="rId3212" /><Relationship Type="http://schemas.openxmlformats.org/officeDocument/2006/relationships/hyperlink" Target="https://www.instagram.com/clickedu.eu/" TargetMode="External" Id="rId3213" /><Relationship Type="http://schemas.openxmlformats.org/officeDocument/2006/relationships/hyperlink" Target="https://twitter.com/Clickedu" TargetMode="External" Id="rId3214" /><Relationship Type="http://schemas.openxmlformats.org/officeDocument/2006/relationships/hyperlink" Target="https://www.linkedin.com/company/clickart" TargetMode="External" Id="rId3215" /><Relationship Type="http://schemas.openxmlformats.org/officeDocument/2006/relationships/hyperlink" Target="https://drive.google.com/uc?export=view&amp;id=1qceBVyrs2rT7cz31zEOEnGk-Yqq1n0g_" TargetMode="External" Id="rId3216" /><Relationship Type="http://schemas.openxmlformats.org/officeDocument/2006/relationships/hyperlink" Target="https://cognitivekids.org/" TargetMode="External" Id="rId3217" /><Relationship Type="http://schemas.openxmlformats.org/officeDocument/2006/relationships/hyperlink" Target="https://drive.google.com/uc?export=view&amp;id=1Ngn7mRDTCWb2lroudAxMChbZnSp6LMgm" TargetMode="External" Id="rId3218" /><Relationship Type="http://schemas.openxmlformats.org/officeDocument/2006/relationships/hyperlink" Target="https://www.collegial.com/" TargetMode="External" Id="rId3219" /><Relationship Type="http://schemas.openxmlformats.org/officeDocument/2006/relationships/hyperlink" Target="https://www.linkedin.com/company/collegial" TargetMode="External" Id="rId3220" /><Relationship Type="http://schemas.openxmlformats.org/officeDocument/2006/relationships/hyperlink" Target="https://drive.google.com/uc?export=view&amp;id=1Lqx7jRwazc0Wir5-0OLIP9z1MyGc3D7j" TargetMode="External" Id="rId3221" /><Relationship Type="http://schemas.openxmlformats.org/officeDocument/2006/relationships/hyperlink" Target="https://constel-education.com/" TargetMode="External" Id="rId3222" /><Relationship Type="http://schemas.openxmlformats.org/officeDocument/2006/relationships/hyperlink" Target="http://www.differ.chat/" TargetMode="External" Id="rId3223" /><Relationship Type="http://schemas.openxmlformats.org/officeDocument/2006/relationships/hyperlink" Target="https://www.linkedin.com/company/4858076" TargetMode="External" Id="rId3224" /><Relationship Type="http://schemas.openxmlformats.org/officeDocument/2006/relationships/hyperlink" Target="https://drive.google.com/uc?export=view&amp;id=1_tRAy_FvJ-Ot-YMISHJrw6EZI4U18--j" TargetMode="External" Id="rId3225" /><Relationship Type="http://schemas.openxmlformats.org/officeDocument/2006/relationships/hyperlink" Target="https://dothegap.com/en/" TargetMode="External" Id="rId3226" /><Relationship Type="http://schemas.openxmlformats.org/officeDocument/2006/relationships/hyperlink" Target="https://www.instagram.com/dothegap_/" TargetMode="External" Id="rId3227" /><Relationship Type="http://schemas.openxmlformats.org/officeDocument/2006/relationships/hyperlink" Target="https://twitter.com/dothegap_/" TargetMode="External" Id="rId3228" /><Relationship Type="http://schemas.openxmlformats.org/officeDocument/2006/relationships/hyperlink" Target="https://www.linkedin.com/company/dothegap/" TargetMode="External" Id="rId3229" /><Relationship Type="http://schemas.openxmlformats.org/officeDocument/2006/relationships/hyperlink" Target="https://drive.google.com/uc?export=view&amp;id=1ZVfkYVM2r-wvkHOgxkar9wt90WH1f8vT" TargetMode="External" Id="rId3230" /><Relationship Type="http://schemas.openxmlformats.org/officeDocument/2006/relationships/hyperlink" Target="https://www.edebe.com/" TargetMode="External" Id="rId3231" /><Relationship Type="http://schemas.openxmlformats.org/officeDocument/2006/relationships/hyperlink" Target="https://twitter.com/GRUPOEDEBE" TargetMode="External" Id="rId3232" /><Relationship Type="http://schemas.openxmlformats.org/officeDocument/2006/relationships/hyperlink" Target="https://es.linkedin.com/company/editorial-edebe" TargetMode="External" Id="rId3233" /><Relationship Type="http://schemas.openxmlformats.org/officeDocument/2006/relationships/hyperlink" Target="http://www.educai.io/" TargetMode="External" Id="rId3234" /><Relationship Type="http://schemas.openxmlformats.org/officeDocument/2006/relationships/hyperlink" Target="https://drive.google.com/uc?export=view&amp;id=1LtHl4GHi8mq_z-xUJU8CKwAKA7iO0mT1" TargetMode="External" Id="rId3235" /><Relationship Type="http://schemas.openxmlformats.org/officeDocument/2006/relationships/hyperlink" Target="http://www.education21.eu/" TargetMode="External" Id="rId3236" /><Relationship Type="http://schemas.openxmlformats.org/officeDocument/2006/relationships/hyperlink" Target="https://drive.google.com/uc?export=view&amp;id=1yewQgz9lGIx6vIwBydUvhoSDRH27vgbP" TargetMode="External" Id="rId3237" /><Relationship Type="http://schemas.openxmlformats.org/officeDocument/2006/relationships/hyperlink" Target="http://www.edulai.com/" TargetMode="External" Id="rId3238" /><Relationship Type="http://schemas.openxmlformats.org/officeDocument/2006/relationships/hyperlink" Target="https://www.linkedin.com/company/edulai/?viewAsMember=true" TargetMode="External" Id="rId3239" /><Relationship Type="http://schemas.openxmlformats.org/officeDocument/2006/relationships/hyperlink" Target="https://drive.google.com/uc?export=view&amp;id=1MZcWK6cYNPu312bSWVJNQolzvZJl3gPb" TargetMode="External" Id="rId3240" /><Relationship Type="http://schemas.openxmlformats.org/officeDocument/2006/relationships/hyperlink" Target="https://www.edunity.co/" TargetMode="External" Id="rId3241" /><Relationship Type="http://schemas.openxmlformats.org/officeDocument/2006/relationships/hyperlink" Target="https://drive.google.com/uc?export=view&amp;id=1Xl4iLrsi_HG17hr6iPza5Mh2UTQ-z0VZ" TargetMode="External" Id="rId3242" /><Relationship Type="http://schemas.openxmlformats.org/officeDocument/2006/relationships/hyperlink" Target="https://www.linkedin.com/company/edvisor-finland" TargetMode="External" Id="rId3243" /><Relationship Type="http://schemas.openxmlformats.org/officeDocument/2006/relationships/hyperlink" Target="https://drive.google.com/uc?export=view&amp;id=1sxeT0AR03cWM7ltPrK-AQok2-pYoe0ZZ" TargetMode="External" Id="rId3244" /><Relationship Type="http://schemas.openxmlformats.org/officeDocument/2006/relationships/hyperlink" Target="http://www.edvisto.com/" TargetMode="External" Id="rId3245" /><Relationship Type="http://schemas.openxmlformats.org/officeDocument/2006/relationships/hyperlink" Target="https://drive.google.com/uc?export=view&amp;id=173V9Q6sjBpCD4cCxivSUEwWjnJxnRbvJ" TargetMode="External" Id="rId3246" /><Relationship Type="http://schemas.openxmlformats.org/officeDocument/2006/relationships/hyperlink" Target="http://square.lepreschools.com/" TargetMode="External" Id="rId3247" /><Relationship Type="http://schemas.openxmlformats.org/officeDocument/2006/relationships/hyperlink" Target="https://drive.google.com/uc?export=view&amp;id=1HNwxln9o1bCIFCAmEflCZ9iBrhWsBg3k" TargetMode="External" Id="rId3248" /><Relationship Type="http://schemas.openxmlformats.org/officeDocument/2006/relationships/hyperlink" Target="http://www.evulpo.com/" TargetMode="External" Id="rId3249" /><Relationship Type="http://schemas.openxmlformats.org/officeDocument/2006/relationships/hyperlink" Target="https://drive.google.com/uc?export=view&amp;id=1vAuKQP2l0r89bV89zMzZfeYYFA1Zd-eg" TargetMode="External" Id="rId3250" /><Relationship Type="http://schemas.openxmlformats.org/officeDocument/2006/relationships/hyperlink" Target="https://examsforzoom.com/" TargetMode="External" Id="rId3251" /><Relationship Type="http://schemas.openxmlformats.org/officeDocument/2006/relationships/hyperlink" Target="https://drive.google.com/uc?export=view&amp;id=1cQjKSAkHW43xkuT1CbXedzS81KAOEPZF" TargetMode="External" Id="rId3252" /><Relationship Type="http://schemas.openxmlformats.org/officeDocument/2006/relationships/hyperlink" Target="http://www.fullspektrum.co.uk/" TargetMode="External" Id="rId3253" /><Relationship Type="http://schemas.openxmlformats.org/officeDocument/2006/relationships/hyperlink" Target="https://drive.google.com/uc?export=view&amp;id=1bAvVthCr02Tc_X97oLvmK6WrX7OZeeDv" TargetMode="External" Id="rId3254" /><Relationship Type="http://schemas.openxmlformats.org/officeDocument/2006/relationships/hyperlink" Target="https://www.gamedoo.it/" TargetMode="External" Id="rId3255" /><Relationship Type="http://schemas.openxmlformats.org/officeDocument/2006/relationships/hyperlink" Target="https://www.linkedin.com/company/gamedoo" TargetMode="External" Id="rId3256" /><Relationship Type="http://schemas.openxmlformats.org/officeDocument/2006/relationships/hyperlink" Target="https://drive.google.com/uc?export=view&amp;id=1xjVYpE8jPDaqO1QnCHXKY9SvC2SvzFVa" TargetMode="External" Id="rId3257" /><Relationship Type="http://schemas.openxmlformats.org/officeDocument/2006/relationships/hyperlink" Target="http://www.gten.uk/" TargetMode="External" Id="rId3258" /><Relationship Type="http://schemas.openxmlformats.org/officeDocument/2006/relationships/hyperlink" Target="https://drive.google.com/uc?export=view&amp;id=1jxnCYv5l03Nd5OrW9uo7EKrV0Rrw2ZgD" TargetMode="External" Id="rId3259" /><Relationship Type="http://schemas.openxmlformats.org/officeDocument/2006/relationships/hyperlink" Target="http://www.grave.cool/" TargetMode="External" Id="rId3260" /><Relationship Type="http://schemas.openxmlformats.org/officeDocument/2006/relationships/hyperlink" Target="https://www.linkedin.com/company/grave-cool/" TargetMode="External" Id="rId3261" /><Relationship Type="http://schemas.openxmlformats.org/officeDocument/2006/relationships/hyperlink" Target="https://drive.google.com/uc?export=view&amp;id=1ga3CmUt7yGrbhgfZSJxyrPoGz3KV9ckb" TargetMode="External" Id="rId3262" /><Relationship Type="http://schemas.openxmlformats.org/officeDocument/2006/relationships/hyperlink" Target="http://www.guideeducation.co.uk/" TargetMode="External" Id="rId3263" /><Relationship Type="http://schemas.openxmlformats.org/officeDocument/2006/relationships/hyperlink" Target="https://drive.google.com/uc?export=view&amp;id=19VnHOFBYiRYJUWuLO1HZ0W8x7FB2Sl0P" TargetMode="External" Id="rId3264" /><Relationship Type="http://schemas.openxmlformats.org/officeDocument/2006/relationships/hyperlink" Target="http://www.h4young.it/" TargetMode="External" Id="rId3265" /><Relationship Type="http://schemas.openxmlformats.org/officeDocument/2006/relationships/hyperlink" Target="https://www.linkedin.com/company/h4young" TargetMode="External" Id="rId3266" /><Relationship Type="http://schemas.openxmlformats.org/officeDocument/2006/relationships/hyperlink" Target="https://drive.google.com/uc?export=view&amp;id=1fLoaUuARhF5hJMgNySGm5ze6zpPr2Uvj" TargetMode="External" Id="rId3267" /><Relationship Type="http://schemas.openxmlformats.org/officeDocument/2006/relationships/hyperlink" Target="https://www.hololink.io/" TargetMode="External" Id="rId3268" /><Relationship Type="http://schemas.openxmlformats.org/officeDocument/2006/relationships/hyperlink" Target="https://www.linkedin.com/company/23690079" TargetMode="External" Id="rId3269" /><Relationship Type="http://schemas.openxmlformats.org/officeDocument/2006/relationships/hyperlink" Target="https://drive.google.com/uc?export=view&amp;id=1s8VP7Fqjc7X3U2J0piL-pI5agyT-Fzhn" TargetMode="External" Id="rId3270" /><Relationship Type="http://schemas.openxmlformats.org/officeDocument/2006/relationships/hyperlink" Target="https://www.holyowly.com/" TargetMode="External" Id="rId3271" /><Relationship Type="http://schemas.openxmlformats.org/officeDocument/2006/relationships/hyperlink" Target="https://www.instagram.com/holyowlyapp/?hl=fr" TargetMode="External" Id="rId3272" /><Relationship Type="http://schemas.openxmlformats.org/officeDocument/2006/relationships/hyperlink" Target="https://twitter.com/HolyOwlyApp?ref_src=twsrc%5Egoogle%7Ctwcamp%5Eserp%7Ctwgr%5Eauthor" TargetMode="External" Id="rId3273" /><Relationship Type="http://schemas.openxmlformats.org/officeDocument/2006/relationships/hyperlink" Target="https://www.linkedin.com/company/holy-owly-app/?originalSubdomain=fr" TargetMode="External" Id="rId3274" /><Relationship Type="http://schemas.openxmlformats.org/officeDocument/2006/relationships/hyperlink" Target="https://drive.google.com/uc?export=view&amp;id=1cMaC9znsQMT5AF9twNzp_kFuIBn-3Y0h" TargetMode="External" Id="rId3275" /><Relationship Type="http://schemas.openxmlformats.org/officeDocument/2006/relationships/hyperlink" Target="http://www.huhcorporate.com/" TargetMode="External" Id="rId3276" /><Relationship Type="http://schemas.openxmlformats.org/officeDocument/2006/relationships/hyperlink" Target="https://drive.google.com/uc?export=view&amp;id=1NJUL6eclXUWLh5YZAVoAV8A735aZLHCw" TargetMode="External" Id="rId3277" /><Relationship Type="http://schemas.openxmlformats.org/officeDocument/2006/relationships/hyperlink" Target="https://www.iexa.it/" TargetMode="External" Id="rId3278" /><Relationship Type="http://schemas.openxmlformats.org/officeDocument/2006/relationships/hyperlink" Target="https://drive.google.com/uc?export=view&amp;id=14lMi8IvIfDpc-U1HSyr850-cIRi2ZF0g" TargetMode="External" Id="rId3279" /><Relationship Type="http://schemas.openxmlformats.org/officeDocument/2006/relationships/hyperlink" Target="http://www.imtlazarus.com/" TargetMode="External" Id="rId3280" /><Relationship Type="http://schemas.openxmlformats.org/officeDocument/2006/relationships/hyperlink" Target="https://twitter.com/IMTLazarus_EN" TargetMode="External" Id="rId3281" /><Relationship Type="http://schemas.openxmlformats.org/officeDocument/2006/relationships/hyperlink" Target="https://es.linkedin.com/company/imtlazarus" TargetMode="External" Id="rId3282" /><Relationship Type="http://schemas.openxmlformats.org/officeDocument/2006/relationships/hyperlink" Target="https://drive.google.com/uc?export=view&amp;id=173KfMTzwbhXC9kva11Z4fAZaOcL6S2aP" TargetMode="External" Id="rId3283" /><Relationship Type="http://schemas.openxmlformats.org/officeDocument/2006/relationships/hyperlink" Target="https://www.interfora-ifaip.fr/" TargetMode="External" Id="rId3284" /><Relationship Type="http://schemas.openxmlformats.org/officeDocument/2006/relationships/hyperlink" Target="https://www.instagram.com/interfora_ifaip/" TargetMode="External" Id="rId3285" /><Relationship Type="http://schemas.openxmlformats.org/officeDocument/2006/relationships/hyperlink" Target="https://twitter.com/Interfora_Ifaip" TargetMode="External" Id="rId3286" /><Relationship Type="http://schemas.openxmlformats.org/officeDocument/2006/relationships/hyperlink" Target="https://www.linkedin.com/company/interfora-ifaip/" TargetMode="External" Id="rId3287" /><Relationship Type="http://schemas.openxmlformats.org/officeDocument/2006/relationships/hyperlink" Target="https://drive.google.com/uc?export=view&amp;id=1LOaY9H53U_PbwFFxBCzno9ZLNy9XoUrQ" TargetMode="External" Id="rId3288" /><Relationship Type="http://schemas.openxmlformats.org/officeDocument/2006/relationships/hyperlink" Target="https://www.jungleprogram.com/" TargetMode="External" Id="rId3289" /><Relationship Type="http://schemas.openxmlformats.org/officeDocument/2006/relationships/hyperlink" Target="https://twitter.com/jungleprogram" TargetMode="External" Id="rId3290" /><Relationship Type="http://schemas.openxmlformats.org/officeDocument/2006/relationships/hyperlink" Target="https://www.linkedin.com/school/jungleprogram" TargetMode="External" Id="rId3291" /><Relationship Type="http://schemas.openxmlformats.org/officeDocument/2006/relationships/hyperlink" Target="https://kiron.digital/" TargetMode="External" Id="rId3292" /><Relationship Type="http://schemas.openxmlformats.org/officeDocument/2006/relationships/hyperlink" Target="https://drive.google.com/uc?export=view&amp;id=1LsOoOykKzqrTGROuCPsZETbdb2PRPjFW" TargetMode="External" Id="rId3293" /><Relationship Type="http://schemas.openxmlformats.org/officeDocument/2006/relationships/hyperlink" Target="https://www.kronos.fr/" TargetMode="External" Id="rId3294" /><Relationship Type="http://schemas.openxmlformats.org/officeDocument/2006/relationships/hyperlink" Target="https://drive.google.com/uc?export=view&amp;id=1FEZ6r1CdlG7vxHY_OTIsNF0FnxbHOzPi" TargetMode="External" Id="rId3295" /><Relationship Type="http://schemas.openxmlformats.org/officeDocument/2006/relationships/hyperlink" Target="http://lainnovationkitchen.com/" TargetMode="External" Id="rId3296" /><Relationship Type="http://schemas.openxmlformats.org/officeDocument/2006/relationships/hyperlink" Target="https://drive.google.com/uc?export=view&amp;id=1d0iLg0HA6WZQNwzkpCEa4ROxe7vaKIum" TargetMode="External" Id="rId3297" /><Relationship Type="http://schemas.openxmlformats.org/officeDocument/2006/relationships/hyperlink" Target="http://www.premifarm.com/" TargetMode="External" Id="rId3298" /><Relationship Type="http://schemas.openxmlformats.org/officeDocument/2006/relationships/hyperlink" Target="https://www.instagram.com/premifarm/" TargetMode="External" Id="rId3299" /><Relationship Type="http://schemas.openxmlformats.org/officeDocument/2006/relationships/hyperlink" Target="https://drive.google.com/uc?export=view&amp;id=1l3HxNAWC1AeSIRDqRCDhl5PvB87X5h-A" TargetMode="External" Id="rId3300" /><Relationship Type="http://schemas.openxmlformats.org/officeDocument/2006/relationships/hyperlink" Target="http://labla.net/" TargetMode="External" Id="rId3301" /><Relationship Type="http://schemas.openxmlformats.org/officeDocument/2006/relationships/hyperlink" Target="https://drive.google.com/uc?export=view&amp;id=1rINpLjvPr4ml2VKhJ0lJf_0610NrjaSG" TargetMode="External" Id="rId3302" /><Relationship Type="http://schemas.openxmlformats.org/officeDocument/2006/relationships/hyperlink" Target="http://www.languageteams.com/" TargetMode="External" Id="rId3303" /><Relationship Type="http://schemas.openxmlformats.org/officeDocument/2006/relationships/hyperlink" Target="https://drive.google.com/uc?export=view&amp;id=1hLqxpjqiJEV7fFTAkA2Ptqt-HOTtUclf" TargetMode="External" Id="rId3304" /><Relationship Type="http://schemas.openxmlformats.org/officeDocument/2006/relationships/hyperlink" Target="http://www.learn-more.eu/" TargetMode="External" Id="rId3305" /><Relationship Type="http://schemas.openxmlformats.org/officeDocument/2006/relationships/hyperlink" Target="https://www.linkedin.com/company/learnmore" TargetMode="External" Id="rId3306" /><Relationship Type="http://schemas.openxmlformats.org/officeDocument/2006/relationships/hyperlink" Target="https://drive.google.com/uc?export=view&amp;id=1qvdpm26fbOQ2XTHvWJlKI8FqVmfeFeMc" TargetMode="External" Id="rId3307" /><Relationship Type="http://schemas.openxmlformats.org/officeDocument/2006/relationships/hyperlink" Target="http://www.learnship.com/" TargetMode="External" Id="rId3308" /><Relationship Type="http://schemas.openxmlformats.org/officeDocument/2006/relationships/hyperlink" Target="https://drive.google.com/uc?export=view&amp;id=1En0y1sVPIl3ZcYDdaoHgcj2g8m_9Vcb5" TargetMode="External" Id="rId3309" /><Relationship Type="http://schemas.openxmlformats.org/officeDocument/2006/relationships/hyperlink" Target="http://www.levato.no/" TargetMode="External" Id="rId3310" /><Relationship Type="http://schemas.openxmlformats.org/officeDocument/2006/relationships/hyperlink" Target="https://drive.google.com/uc?export=view&amp;id=1FYPmR5doSU53OFph63hwrdX8hWXg31YL" TargetMode="External" Id="rId3311" /><Relationship Type="http://schemas.openxmlformats.org/officeDocument/2006/relationships/hyperlink" Target="http://lincolnmethod.com/" TargetMode="External" Id="rId3312" /><Relationship Type="http://schemas.openxmlformats.org/officeDocument/2006/relationships/hyperlink" Target="https://drive.google.com/uc?export=view&amp;id=1GlHYV1QGYuGK8K0sr1_Z3swv-sn0FA-x" TargetMode="External" Id="rId3313" /><Relationship Type="http://schemas.openxmlformats.org/officeDocument/2006/relationships/hyperlink" Target="https://www.lingua-amigos.com/" TargetMode="External" Id="rId3314" /><Relationship Type="http://schemas.openxmlformats.org/officeDocument/2006/relationships/hyperlink" Target="https://drive.google.com/uc?export=view&amp;id=1DTQu3aOiOyH7AJmTEnJu0oJwYJASxIhF" TargetMode="External" Id="rId3315" /><Relationship Type="http://schemas.openxmlformats.org/officeDocument/2006/relationships/hyperlink" Target="https://mainbot.me/" TargetMode="External" Id="rId3316" /><Relationship Type="http://schemas.openxmlformats.org/officeDocument/2006/relationships/hyperlink" Target="https://twitter.com/mainbotme" TargetMode="External" Id="rId3317" /><Relationship Type="http://schemas.openxmlformats.org/officeDocument/2006/relationships/hyperlink" Target="https://www.linkedin.com/company/mainbot/mycompany/" TargetMode="External" Id="rId3318" /><Relationship Type="http://schemas.openxmlformats.org/officeDocument/2006/relationships/hyperlink" Target="https://drive.google.com/uc?export=view&amp;id=1keCWKxnVgGNmXPPT0-Z45l2YAZFFCPFC" TargetMode="External" Id="rId3319" /><Relationship Type="http://schemas.openxmlformats.org/officeDocument/2006/relationships/hyperlink" Target="http://masttia.com/" TargetMode="External" Id="rId3320" /><Relationship Type="http://schemas.openxmlformats.org/officeDocument/2006/relationships/hyperlink" Target="https://drive.google.com/uc?export=view&amp;id=1vCgKxCOBQYOE3mSNfoQStmG48H71zuxc" TargetMode="External" Id="rId3321" /><Relationship Type="http://schemas.openxmlformats.org/officeDocument/2006/relationships/hyperlink" Target="http://www.meinunterricht.de/" TargetMode="External" Id="rId3322" /><Relationship Type="http://schemas.openxmlformats.org/officeDocument/2006/relationships/hyperlink" Target="https://drive.google.com/uc?export=view&amp;id=1PMNCTuK9cqjFrG0k_c9E0dOsb8nFFmX1" TargetMode="External" Id="rId3323" /><Relationship Type="http://schemas.openxmlformats.org/officeDocument/2006/relationships/hyperlink" Target="https://company.memby.org/" TargetMode="External" Id="rId3324" /><Relationship Type="http://schemas.openxmlformats.org/officeDocument/2006/relationships/hyperlink" Target="https://drive.google.com/uc?export=view&amp;id=1X_TduXYnN-dDDNEGVi_-xBdx9nu0sS0b" TargetMode="External" Id="rId3325" /><Relationship Type="http://schemas.openxmlformats.org/officeDocument/2006/relationships/hyperlink" Target="https://mentorgoal.com/" TargetMode="External" Id="rId3326" /><Relationship Type="http://schemas.openxmlformats.org/officeDocument/2006/relationships/hyperlink" Target="https://drive.google.com/uc?export=view&amp;id=16hr25lzjVp1OfT9H3e1fvZfHGo6VFdh1" TargetMode="External" Id="rId3327" /><Relationship Type="http://schemas.openxmlformats.org/officeDocument/2006/relationships/hyperlink" Target="https://www.metaed.school/" TargetMode="External" Id="rId3328" /><Relationship Type="http://schemas.openxmlformats.org/officeDocument/2006/relationships/hyperlink" Target="http://www.moipanda.com/" TargetMode="External" Id="rId3329" /><Relationship Type="http://schemas.openxmlformats.org/officeDocument/2006/relationships/hyperlink" Target="https://drive.google.com/uc?export=view&amp;id=191pn5U3stLrtaiCKDnAWz8gNidh9l4Al" TargetMode="External" Id="rId3330" /><Relationship Type="http://schemas.openxmlformats.org/officeDocument/2006/relationships/hyperlink" Target="https://www.mydataprotection.world/" TargetMode="External" Id="rId3331" /><Relationship Type="http://schemas.openxmlformats.org/officeDocument/2006/relationships/hyperlink" Target="https://drive.google.com/uc?export=view&amp;id=1HjHBZOFgbvSAalKajK_KY3ax1MzgBsUi" TargetMode="External" Id="rId3332" /><Relationship Type="http://schemas.openxmlformats.org/officeDocument/2006/relationships/hyperlink" Target="http://naimrod.com/" TargetMode="External" Id="rId3333" /><Relationship Type="http://schemas.openxmlformats.org/officeDocument/2006/relationships/hyperlink" Target="https://drive.google.com/uc?export=view&amp;id=1EEuu_E6NqhcxsCHD4ELZ1DsZ30jLYS3J" TargetMode="External" Id="rId3334" /><Relationship Type="http://schemas.openxmlformats.org/officeDocument/2006/relationships/hyperlink" Target="https://www.novatice.com/" TargetMode="External" Id="rId3335" /><Relationship Type="http://schemas.openxmlformats.org/officeDocument/2006/relationships/hyperlink" Target="https://twitter.com/NovaticeTech" TargetMode="External" Id="rId3336" /><Relationship Type="http://schemas.openxmlformats.org/officeDocument/2006/relationships/hyperlink" Target="https://www.linkedin.com/company/novatice/" TargetMode="External" Id="rId3337" /><Relationship Type="http://schemas.openxmlformats.org/officeDocument/2006/relationships/hyperlink" Target="https://drive.google.com/uc?export=view&amp;id=17CDnpDVWJVNkjXPjxCeYixjOHlaHb61f" TargetMode="External" Id="rId3338" /><Relationship Type="http://schemas.openxmlformats.org/officeDocument/2006/relationships/hyperlink" Target="http://www.oktonine.com/" TargetMode="External" Id="rId3339" /><Relationship Type="http://schemas.openxmlformats.org/officeDocument/2006/relationships/hyperlink" Target="https://www.linkedin.com/company/oktonine" TargetMode="External" Id="rId3340" /><Relationship Type="http://schemas.openxmlformats.org/officeDocument/2006/relationships/hyperlink" Target="https://drive.google.com/uc?export=view&amp;id=1S_WdB3w1Yg5rnjw4irIFDSGEqxosxuMU" TargetMode="External" Id="rId3341" /><Relationship Type="http://schemas.openxmlformats.org/officeDocument/2006/relationships/hyperlink" Target="http://www.placetolearn.fr/" TargetMode="External" Id="rId3342" /><Relationship Type="http://schemas.openxmlformats.org/officeDocument/2006/relationships/hyperlink" Target="https://drive.google.com/uc?export=view&amp;id=1mZzi_c5NfU_h2tdxi6AVtiKwTnfy_l3_" TargetMode="External" Id="rId3343" /><Relationship Type="http://schemas.openxmlformats.org/officeDocument/2006/relationships/hyperlink" Target="https://qlosr.se/skola/" TargetMode="External" Id="rId3344" /><Relationship Type="http://schemas.openxmlformats.org/officeDocument/2006/relationships/hyperlink" Target="https://www.linkedin.com/company/qlosr-ab/mycompany/" TargetMode="External" Id="rId3345" /><Relationship Type="http://schemas.openxmlformats.org/officeDocument/2006/relationships/hyperlink" Target="https://drive.google.com/uc?export=view&amp;id=1WtttCqoXImTMuJLSidez_UBy20amODRP" TargetMode="External" Id="rId3346" /><Relationship Type="http://schemas.openxmlformats.org/officeDocument/2006/relationships/hyperlink" Target="http://www.fullstreet.co/" TargetMode="External" Id="rId3347" /><Relationship Type="http://schemas.openxmlformats.org/officeDocument/2006/relationships/hyperlink" Target="https://www.linkedin.com/company/fullstreet" TargetMode="External" Id="rId3348" /><Relationship Type="http://schemas.openxmlformats.org/officeDocument/2006/relationships/hyperlink" Target="https://drive.google.com/uc?export=view&amp;id=1FrJe0rEBZ3Fcou02KCujv-DNlgjTUfC4" TargetMode="External" Id="rId3349" /><Relationship Type="http://schemas.openxmlformats.org/officeDocument/2006/relationships/hyperlink" Target="http://scobees.com/" TargetMode="External" Id="rId3350" /><Relationship Type="http://schemas.openxmlformats.org/officeDocument/2006/relationships/hyperlink" Target="https://drive.google.com/uc?export=view&amp;id=1OOtFfs3FVMbshDFilyvReyPuDOH0GF_Q" TargetMode="External" Id="rId3351" /><Relationship Type="http://schemas.openxmlformats.org/officeDocument/2006/relationships/hyperlink" Target="https://www.skola24.com/" TargetMode="External" Id="rId3352" /><Relationship Type="http://schemas.openxmlformats.org/officeDocument/2006/relationships/hyperlink" Target="https://www.instagram.com/skola24" TargetMode="External" Id="rId3353" /><Relationship Type="http://schemas.openxmlformats.org/officeDocument/2006/relationships/hyperlink" Target="https://www.linkedin.com/company/skola24/mycompany/?viewAsMember=true" TargetMode="External" Id="rId3354" /><Relationship Type="http://schemas.openxmlformats.org/officeDocument/2006/relationships/hyperlink" Target="https://drive.google.com/uc?export=view&amp;id=1_mYi7St9K0GQSD6pdgL34rwtjLu4myXX" TargetMode="External" Id="rId3355" /><Relationship Type="http://schemas.openxmlformats.org/officeDocument/2006/relationships/hyperlink" Target="https://www.start2impact.com/" TargetMode="External" Id="rId3356" /><Relationship Type="http://schemas.openxmlformats.org/officeDocument/2006/relationships/hyperlink" Target="https://drive.google.com/uc?export=view&amp;id=1jEbBvhLEFTFmQQcyn8D-bJWKTlunt6Ua" TargetMode="External" Id="rId3357" /><Relationship Type="http://schemas.openxmlformats.org/officeDocument/2006/relationships/hyperlink" Target="https://www.startlab-education.com/en" TargetMode="External" Id="rId3358" /><Relationship Type="http://schemas.openxmlformats.org/officeDocument/2006/relationships/hyperlink" Target="https://www.linkedin.com/company/fastlane-education/?viewAsMember=true" TargetMode="External" Id="rId3359" /><Relationship Type="http://schemas.openxmlformats.org/officeDocument/2006/relationships/hyperlink" Target="https://drive.google.com/uc?export=view&amp;id=1miKp0nzXbN-SMhjJKyfAqB215r20D14v" TargetMode="External" Id="rId3360" /><Relationship Type="http://schemas.openxmlformats.org/officeDocument/2006/relationships/hyperlink" Target="https://storyals.com/" TargetMode="External" Id="rId3361" /><Relationship Type="http://schemas.openxmlformats.org/officeDocument/2006/relationships/hyperlink" Target="https://www.instagram.com/storyals_/" TargetMode="External" Id="rId3362" /><Relationship Type="http://schemas.openxmlformats.org/officeDocument/2006/relationships/hyperlink" Target="https://twitter.com/Storyals_" TargetMode="External" Id="rId3363" /><Relationship Type="http://schemas.openxmlformats.org/officeDocument/2006/relationships/hyperlink" Target="https://www.linkedin.com/company/storyals/" TargetMode="External" Id="rId3364" /><Relationship Type="http://schemas.openxmlformats.org/officeDocument/2006/relationships/hyperlink" Target="https://drive.google.com/uc?export=view&amp;id=1vfqEgCbDipVxz0cKRsRo6A0-4j2O0eWP" TargetMode="External" Id="rId3365" /><Relationship Type="http://schemas.openxmlformats.org/officeDocument/2006/relationships/hyperlink" Target="http://www.studycentral.eu/" TargetMode="External" Id="rId3366" /><Relationship Type="http://schemas.openxmlformats.org/officeDocument/2006/relationships/hyperlink" Target="https://drive.google.com/uc?export=view&amp;id=1YSYfnrNgaLtZH5hubpGOBAaUyXQK393Q" TargetMode="External" Id="rId3367" /><Relationship Type="http://schemas.openxmlformats.org/officeDocument/2006/relationships/hyperlink" Target="https://stuudium.com/" TargetMode="External" Id="rId3368" /><Relationship Type="http://schemas.openxmlformats.org/officeDocument/2006/relationships/hyperlink" Target="https://drive.google.com/uc?export=view&amp;id=1nznwHt_LH3nTgLIr6zXkQDYR4ZSCaNqE" TargetMode="External" Id="rId3369" /><Relationship Type="http://schemas.openxmlformats.org/officeDocument/2006/relationships/hyperlink" Target="https://usophy.com/" TargetMode="External" Id="rId3370" /><Relationship Type="http://schemas.openxmlformats.org/officeDocument/2006/relationships/hyperlink" Target="https://www.instagram.com/usophy_books/" TargetMode="External" Id="rId3371" /><Relationship Type="http://schemas.openxmlformats.org/officeDocument/2006/relationships/hyperlink" Target="https://www.linkedin.com/company/usophy" TargetMode="External" Id="rId3372" /><Relationship Type="http://schemas.openxmlformats.org/officeDocument/2006/relationships/hyperlink" Target="https://drive.google.com/uc?export=view&amp;id=1dBnQ0FmUzBP-laXDtmtfx5dtXuUlMKvc" TargetMode="External" Id="rId3373" /><Relationship Type="http://schemas.openxmlformats.org/officeDocument/2006/relationships/hyperlink" Target="https://visiblyhq.com/" TargetMode="External" Id="rId3374" /><Relationship Type="http://schemas.openxmlformats.org/officeDocument/2006/relationships/hyperlink" Target="https://drive.google.com/uc?export=view&amp;id=1UTZF8YwWtwxhOT11z5gDbgymHIVkuX2p" TargetMode="External" Id="rId3375" /><Relationship Type="http://schemas.openxmlformats.org/officeDocument/2006/relationships/hyperlink" Target="https://wibo.app/" TargetMode="External" Id="rId3376" /><Relationship Type="http://schemas.openxmlformats.org/officeDocument/2006/relationships/hyperlink" Target="https://www.instagram.com/wibo.family/" TargetMode="External" Id="rId3377" /><Relationship Type="http://schemas.openxmlformats.org/officeDocument/2006/relationships/hyperlink" Target="https://www.linkedin.com/company/wiboapp/" TargetMode="External" Id="rId3378" /><Relationship Type="http://schemas.openxmlformats.org/officeDocument/2006/relationships/hyperlink" Target="https://drive.google.com/uc?export=view&amp;id=1OAe2L3Xn1xHCy5KMWQsykLWYXs92J1vv" TargetMode="External" Id="rId3379" /><Relationship Type="http://schemas.openxmlformats.org/officeDocument/2006/relationships/hyperlink" Target="https://www.wef.education/" TargetMode="External" Id="rId3380" /><Relationship Type="http://schemas.openxmlformats.org/officeDocument/2006/relationships/hyperlink" Target="https://it.linkedin.com/company/wonderfuleducation" TargetMode="External" Id="rId3381" /><Relationship Type="http://schemas.openxmlformats.org/officeDocument/2006/relationships/hyperlink" Target="https://drive.google.com/uc?export=view&amp;id=1u_ilA_MMlH_8XOOoUrxXAxw81xb5AfUv" TargetMode="External" Id="rId3382" /><Relationship Type="http://schemas.openxmlformats.org/officeDocument/2006/relationships/hyperlink" Target="https://www.ximdex.com/" TargetMode="External" Id="rId3383" /><Relationship Type="http://schemas.openxmlformats.org/officeDocument/2006/relationships/hyperlink" Target="https://twitter.com/ximdex" TargetMode="External" Id="rId3384" /><Relationship Type="http://schemas.openxmlformats.org/officeDocument/2006/relationships/hyperlink" Target="https://www.linkedin.com/company/ximdex" TargetMode="External" Id="rId3385" /><Relationship Type="http://schemas.openxmlformats.org/officeDocument/2006/relationships/hyperlink" Target="https://drive.google.com/uc?export=view&amp;id=1YS76ueaqGBQVwjri4R2Mxg-nC6fNm3Ey" TargetMode="External" Id="rId3386" /><Relationship Type="http://schemas.openxmlformats.org/officeDocument/2006/relationships/hyperlink" Target="http://www.xrconsole.net/" TargetMode="External" Id="rId3387" /><Relationship Type="http://schemas.openxmlformats.org/officeDocument/2006/relationships/hyperlink" Target="https://www.linkedin.com/company/xrconsole" TargetMode="External" Id="rId3388" /><Relationship Type="http://schemas.openxmlformats.org/officeDocument/2006/relationships/hyperlink" Target="https://drive.google.com/uc?export=view&amp;id=1FNlObN3rntGIE_wLr9hXRWcjDrhrHak2" TargetMode="External" Id="rId3389" /><Relationship Type="http://schemas.openxmlformats.org/officeDocument/2006/relationships/hyperlink" Target="http://zapiens.ai/" TargetMode="External" Id="rId3390" /><Relationship Type="http://schemas.openxmlformats.org/officeDocument/2006/relationships/hyperlink" Target="https://zapiens.ai/" TargetMode="External" Id="rId3391" /><Relationship Type="http://schemas.openxmlformats.org/officeDocument/2006/relationships/hyperlink" Target="https://drive.google.com/uc?export=view&amp;id=1Jug6aKOywa74jh867TJJ3qNGBYzluz7Z" TargetMode="External" Id="rId3392" /><Relationship Type="http://schemas.openxmlformats.org/officeDocument/2006/relationships/hyperlink" Target="https://4indata.com/fr/" TargetMode="External" Id="rId3393" /><Relationship Type="http://schemas.openxmlformats.org/officeDocument/2006/relationships/hyperlink" Target="https://drive.google.com/uc?export=view&amp;id=18O4BIdudHf_Cn21RGpL2QCN0tybnoJ19" TargetMode="External" Id="rId3394" /><Relationship Type="http://schemas.openxmlformats.org/officeDocument/2006/relationships/hyperlink" Target="https://www.5miles.nl/" TargetMode="External" Id="rId3395" /><Relationship Type="http://schemas.openxmlformats.org/officeDocument/2006/relationships/hyperlink" Target="https://www.instagram.com/5mileshq/" TargetMode="External" Id="rId3396" /><Relationship Type="http://schemas.openxmlformats.org/officeDocument/2006/relationships/hyperlink" Target="https://twitter.com/5milesHQ/" TargetMode="External" Id="rId3397" /><Relationship Type="http://schemas.openxmlformats.org/officeDocument/2006/relationships/hyperlink" Target="https://www.linkedin.com/company/5miles/" TargetMode="External" Id="rId3398" /><Relationship Type="http://schemas.openxmlformats.org/officeDocument/2006/relationships/hyperlink" Target="https://drive.google.com/uc?export=view&amp;id=1InudfeaVxj--tjRsSJE3W4hhdKVrU1ps" TargetMode="External" Id="rId3399" /><Relationship Type="http://schemas.openxmlformats.org/officeDocument/2006/relationships/hyperlink" Target="https://www.algoreducation.com/" TargetMode="External" Id="rId3400" /><Relationship Type="http://schemas.openxmlformats.org/officeDocument/2006/relationships/hyperlink" Target="https://drive.google.com/uc?export=view&amp;id=1nCgMiupgH6gzSJbHvg0x5KpUQ_i6v3II" TargetMode="External" Id="rId3401" /><Relationship Type="http://schemas.openxmlformats.org/officeDocument/2006/relationships/hyperlink" Target="https://askiraski.no/" TargetMode="External" Id="rId3402" /><Relationship Type="http://schemas.openxmlformats.org/officeDocument/2006/relationships/hyperlink" Target="https://www.instagram.com/askiraskinorge/" TargetMode="External" Id="rId3403" /><Relationship Type="http://schemas.openxmlformats.org/officeDocument/2006/relationships/hyperlink" Target="https://www.linkedin.com/company/aski-raski-as/" TargetMode="External" Id="rId3404" /><Relationship Type="http://schemas.openxmlformats.org/officeDocument/2006/relationships/hyperlink" Target="https://drive.google.com/uc?export=view&amp;id=12ahJ1GmDHL5RsvQf1_BueJp6zLrtwtlE" TargetMode="External" Id="rId3405" /><Relationship Type="http://schemas.openxmlformats.org/officeDocument/2006/relationships/hyperlink" Target="https://www.aupairbutrfly.com/" TargetMode="External" Id="rId3406" /><Relationship Type="http://schemas.openxmlformats.org/officeDocument/2006/relationships/hyperlink" Target="https://drive.google.com/uc?export=view&amp;id=1fl6_hsnV2PD138NPaNgJByG-KFZ1msWS" TargetMode="External" Id="rId3407" /><Relationship Type="http://schemas.openxmlformats.org/officeDocument/2006/relationships/hyperlink" Target="https://beyondthebox.it/" TargetMode="External" Id="rId3408" /><Relationship Type="http://schemas.openxmlformats.org/officeDocument/2006/relationships/hyperlink" Target="https://www.instagram.com/_beyondthebox_/" TargetMode="External" Id="rId3409" /><Relationship Type="http://schemas.openxmlformats.org/officeDocument/2006/relationships/hyperlink" Target="https://www.linkedin.com/company/sharingcompetencies/?viewAsMember=true" TargetMode="External" Id="rId3410" /><Relationship Type="http://schemas.openxmlformats.org/officeDocument/2006/relationships/hyperlink" Target="https://drive.google.com/uc?export=view&amp;id=1eAOStAsEFJzYvdYASrhiWfIeSKuj4Vp-" TargetMode="External" Id="rId3411" /><Relationship Type="http://schemas.openxmlformats.org/officeDocument/2006/relationships/hyperlink" Target="https://boksnok.de/" TargetMode="External" Id="rId3412" /><Relationship Type="http://schemas.openxmlformats.org/officeDocument/2006/relationships/hyperlink" Target="https://drive.google.com/uc?export=view&amp;id=1ciBeCVvmEgHTxhdW7i2O7KVetsC79GxP" TargetMode="External" Id="rId3413" /><Relationship Type="http://schemas.openxmlformats.org/officeDocument/2006/relationships/hyperlink" Target="http://corp.bookrkids.com/" TargetMode="External" Id="rId3414" /><Relationship Type="http://schemas.openxmlformats.org/officeDocument/2006/relationships/hyperlink" Target="https://drive.google.com/uc?export=view&amp;id=1zlDBPLKYwmzyt1x9u41pDB6JqNpoLTqR" TargetMode="External" Id="rId3415" /><Relationship Type="http://schemas.openxmlformats.org/officeDocument/2006/relationships/hyperlink" Target="https://clanbeat.com/" TargetMode="External" Id="rId3416" /><Relationship Type="http://schemas.openxmlformats.org/officeDocument/2006/relationships/hyperlink" Target="https://instagram.com/clanbeat" TargetMode="External" Id="rId3417" /><Relationship Type="http://schemas.openxmlformats.org/officeDocument/2006/relationships/hyperlink" Target="https://twitter.com/ClanbeatApp" TargetMode="External" Id="rId3418" /><Relationship Type="http://schemas.openxmlformats.org/officeDocument/2006/relationships/hyperlink" Target="https://www.linkedin.com/company/clanbeat-education/" TargetMode="External" Id="rId3419" /><Relationship Type="http://schemas.openxmlformats.org/officeDocument/2006/relationships/hyperlink" Target="https://drive.google.com/uc?export=view&amp;id=1yqo5yj5FlZY6wmuVmyMVJhT1ADnV2kAV" TargetMode="External" Id="rId3420" /><Relationship Type="http://schemas.openxmlformats.org/officeDocument/2006/relationships/hyperlink" Target="https://join.courseticket.com/" TargetMode="External" Id="rId3421" /><Relationship Type="http://schemas.openxmlformats.org/officeDocument/2006/relationships/hyperlink" Target="https://www.linkedin.com/company/courseticket-com" TargetMode="External" Id="rId3422" /><Relationship Type="http://schemas.openxmlformats.org/officeDocument/2006/relationships/hyperlink" Target="https://drive.google.com/uc?export=view&amp;id=1E7_a2TFwuEiwZQCppHPJYOnjJupGZQ47" TargetMode="External" Id="rId3423" /><Relationship Type="http://schemas.openxmlformats.org/officeDocument/2006/relationships/hyperlink" Target="https://cyberedu.ro/" TargetMode="External" Id="rId3424" /><Relationship Type="http://schemas.openxmlformats.org/officeDocument/2006/relationships/hyperlink" Target="https://drive.google.com/uc?export=view&amp;id=1Me2Yr-3JYg0rlFMKUX5LvwSPSsVm8rin" TargetMode="External" Id="rId3425" /><Relationship Type="http://schemas.openxmlformats.org/officeDocument/2006/relationships/hyperlink" Target="https://www.digiexam.com/" TargetMode="External" Id="rId3426" /><Relationship Type="http://schemas.openxmlformats.org/officeDocument/2006/relationships/hyperlink" Target="https://twitter.com/DigiExam" TargetMode="External" Id="rId3427" /><Relationship Type="http://schemas.openxmlformats.org/officeDocument/2006/relationships/hyperlink" Target="https://www.linkedin.com/company/digiexams" TargetMode="External" Id="rId3428" /><Relationship Type="http://schemas.openxmlformats.org/officeDocument/2006/relationships/hyperlink" Target="https://drive.google.com/uc?export=view&amp;id=1qvs908scc6Aal-klOcbuahuWnTu1LdLs" TargetMode="External" Id="rId3429" /><Relationship Type="http://schemas.openxmlformats.org/officeDocument/2006/relationships/hyperlink" Target="https://www.educationdigitale.com/" TargetMode="External" Id="rId3430" /><Relationship Type="http://schemas.openxmlformats.org/officeDocument/2006/relationships/hyperlink" Target="https://www.linkedin.com/company/%C3%A9ducation-digitale/" TargetMode="External" Id="rId3431" /><Relationship Type="http://schemas.openxmlformats.org/officeDocument/2006/relationships/hyperlink" Target="https://drive.google.com/uc?export=view&amp;id=1FYhDkLHvQycAP3E_b1nxIpFuP9FrvfVp" TargetMode="External" Id="rId3432" /><Relationship Type="http://schemas.openxmlformats.org/officeDocument/2006/relationships/hyperlink" Target="http://www.edulinxs.club/" TargetMode="External" Id="rId3433" /><Relationship Type="http://schemas.openxmlformats.org/officeDocument/2006/relationships/hyperlink" Target="https://drive.google.com/uc?export=view&amp;id=1MdHnXnvnuV6XXcjUrsDFZIiG1ls7L_dM" TargetMode="External" Id="rId3434" /><Relationship Type="http://schemas.openxmlformats.org/officeDocument/2006/relationships/hyperlink" Target="https://www.eduxim.com/" TargetMode="External" Id="rId3435" /><Relationship Type="http://schemas.openxmlformats.org/officeDocument/2006/relationships/hyperlink" Target="https://twitter.com/eduximapp" TargetMode="External" Id="rId3436" /><Relationship Type="http://schemas.openxmlformats.org/officeDocument/2006/relationships/hyperlink" Target="https://www.linkedin.com/company/eduxim" TargetMode="External" Id="rId3437" /><Relationship Type="http://schemas.openxmlformats.org/officeDocument/2006/relationships/hyperlink" Target="https://drive.google.com/uc?export=view&amp;id=1zwmzypNMh3xWzmnktR4CEVROKUIm4iH4" TargetMode="External" Id="rId3438" /><Relationship Type="http://schemas.openxmlformats.org/officeDocument/2006/relationships/hyperlink" Target="http://www.eisf.fr/" TargetMode="External" Id="rId3439" /><Relationship Type="http://schemas.openxmlformats.org/officeDocument/2006/relationships/hyperlink" Target="https://www.instagram.com/e_i_s_f/" TargetMode="External" Id="rId3440" /><Relationship Type="http://schemas.openxmlformats.org/officeDocument/2006/relationships/hyperlink" Target="https://www.linkedin.com/company/27158557/admin/feed/posts/?feedType=following" TargetMode="External" Id="rId3441" /><Relationship Type="http://schemas.openxmlformats.org/officeDocument/2006/relationships/hyperlink" Target="https://drive.google.com/uc?export=view&amp;id=1CTWyvYoxaPe_FLOGdKKVjHkGRUZoS9um" TargetMode="External" Id="rId3442" /><Relationship Type="http://schemas.openxmlformats.org/officeDocument/2006/relationships/hyperlink" Target="https://farmaleaderstalento.com/" TargetMode="External" Id="rId3443" /><Relationship Type="http://schemas.openxmlformats.org/officeDocument/2006/relationships/hyperlink" Target="https://drive.google.com/uc?export=view&amp;id=1lwRkUIaufzIjvDHq6iULrUvrn3WVZ7-i" TargetMode="External" Id="rId3444" /><Relationship Type="http://schemas.openxmlformats.org/officeDocument/2006/relationships/hyperlink" Target="https://www.frenchlab.io/" TargetMode="External" Id="rId3445" /><Relationship Type="http://schemas.openxmlformats.org/officeDocument/2006/relationships/hyperlink" Target="https://www.linkedin.com/company/french-lab/?viewAsMember=true" TargetMode="External" Id="rId3446" /><Relationship Type="http://schemas.openxmlformats.org/officeDocument/2006/relationships/hyperlink" Target="https://drive.google.com/uc?export=view&amp;id=10zIFETR9VnCQbzphZqFNUseA67Zdj6UO" TargetMode="External" Id="rId3447" /><Relationship Type="http://schemas.openxmlformats.org/officeDocument/2006/relationships/hyperlink" Target="https://halfonse.com/" TargetMode="External" Id="rId3448" /><Relationship Type="http://schemas.openxmlformats.org/officeDocument/2006/relationships/hyperlink" Target="https://twitter.com/GetHalfonse" TargetMode="External" Id="rId3449" /><Relationship Type="http://schemas.openxmlformats.org/officeDocument/2006/relationships/hyperlink" Target="https://www.linkedin.com/company/halfonse" TargetMode="External" Id="rId3450" /><Relationship Type="http://schemas.openxmlformats.org/officeDocument/2006/relationships/hyperlink" Target="https://drive.google.com/uc?export=view&amp;id=1dhZWAW57pRo4MtrONDpYx4V5CxzN81Gn" TargetMode="External" Id="rId3451" /><Relationship Type="http://schemas.openxmlformats.org/officeDocument/2006/relationships/hyperlink" Target="https://www.hellowork-group.com/" TargetMode="External" Id="rId3452" /><Relationship Type="http://schemas.openxmlformats.org/officeDocument/2006/relationships/hyperlink" Target="https://twitter.com/helloworkgroup" TargetMode="External" Id="rId3453" /><Relationship Type="http://schemas.openxmlformats.org/officeDocument/2006/relationships/hyperlink" Target="https://www.linkedin.com/company/helloworkcom/" TargetMode="External" Id="rId3454" /><Relationship Type="http://schemas.openxmlformats.org/officeDocument/2006/relationships/hyperlink" Target="http://maformation.fr/" TargetMode="External" Id="rId3455" /><Relationship Type="http://schemas.openxmlformats.org/officeDocument/2006/relationships/hyperlink" Target="https://drive.google.com/uc?export=view&amp;id=1y1mKcFMyZQAk-Cu9psKnqN9bF75hOfaL" TargetMode="External" Id="rId3456" /><Relationship Type="http://schemas.openxmlformats.org/officeDocument/2006/relationships/hyperlink" Target="http://www.hypnoledge.com/" TargetMode="External" Id="rId3457" /><Relationship Type="http://schemas.openxmlformats.org/officeDocument/2006/relationships/hyperlink" Target="https://www.instagram.com/hypnoledge/" TargetMode="External" Id="rId3458" /><Relationship Type="http://schemas.openxmlformats.org/officeDocument/2006/relationships/hyperlink" Target="https://www.linkedin.com/company/hypnoledge" TargetMode="External" Id="rId3459" /><Relationship Type="http://schemas.openxmlformats.org/officeDocument/2006/relationships/hyperlink" Target="https://drive.google.com/uc?export=view&amp;id=1pRQ55hCd9YswBOb9F2DHaFOPDkdwbZ54" TargetMode="External" Id="rId3460" /><Relationship Type="http://schemas.openxmlformats.org/officeDocument/2006/relationships/hyperlink" Target="https://kobiapp.io/" TargetMode="External" Id="rId3461" /><Relationship Type="http://schemas.openxmlformats.org/officeDocument/2006/relationships/hyperlink" Target="https://drive.google.com/uc?export=view&amp;id=1DKvbZiSfu6NtenK9icr0BAbJfKvTHPqV" TargetMode="External" Id="rId3462" /><Relationship Type="http://schemas.openxmlformats.org/officeDocument/2006/relationships/hyperlink" Target="http://liber.se/" TargetMode="External" Id="rId3463" /><Relationship Type="http://schemas.openxmlformats.org/officeDocument/2006/relationships/hyperlink" Target="https://www.linkedin.com/company/liber-ab" TargetMode="External" Id="rId3464" /><Relationship Type="http://schemas.openxmlformats.org/officeDocument/2006/relationships/hyperlink" Target="https://drive.google.com/uc?export=view&amp;id=1Z0cvhsQA8I_GgnDTJ64_s1PQHJUOwCDV" TargetMode="External" Id="rId3465" /><Relationship Type="http://schemas.openxmlformats.org/officeDocument/2006/relationships/hyperlink" Target="https://lifeed.io/en/" TargetMode="External" Id="rId3466" /><Relationship Type="http://schemas.openxmlformats.org/officeDocument/2006/relationships/hyperlink" Target="https://drive.google.com/uc?export=view&amp;id=14yaaUe2PSEVHUwQi8Zo7gTqTJPpns8xT" TargetMode="External" Id="rId3467" /><Relationship Type="http://schemas.openxmlformats.org/officeDocument/2006/relationships/hyperlink" Target="http://www.meek.ventures/" TargetMode="External" Id="rId3468" /><Relationship Type="http://schemas.openxmlformats.org/officeDocument/2006/relationships/hyperlink" Target="https://drive.google.com/uc?export=view&amp;id=1os1Xez8U30hKK1JTpHDUCvcK-LvrRvtg" TargetMode="External" Id="rId3469" /><Relationship Type="http://schemas.openxmlformats.org/officeDocument/2006/relationships/hyperlink" Target="https://mightifier.com/" TargetMode="External" Id="rId3470" /><Relationship Type="http://schemas.openxmlformats.org/officeDocument/2006/relationships/hyperlink" Target="https://drive.google.com/uc?export=view&amp;id=1BHhnIib2H2NWAc8-XhTTmarNh3YdPwaI" TargetMode="External" Id="rId3471" /><Relationship Type="http://schemas.openxmlformats.org/officeDocument/2006/relationships/hyperlink" Target="https://www.myclassevirtuelle.fr/" TargetMode="External" Id="rId3472" /><Relationship Type="http://schemas.openxmlformats.org/officeDocument/2006/relationships/hyperlink" Target="https://twitter.com/MyVClassroom" TargetMode="External" Id="rId3473" /><Relationship Type="http://schemas.openxmlformats.org/officeDocument/2006/relationships/hyperlink" Target="https://www.linkedin.com/company/my-virtual-classroom/" TargetMode="External" Id="rId3474" /><Relationship Type="http://schemas.openxmlformats.org/officeDocument/2006/relationships/hyperlink" Target="https://drive.google.com/uc?export=view&amp;id=1klq0uLURnL21FWjhjfpJxJhcnzvpB35Q" TargetMode="External" Id="rId3475" /><Relationship Type="http://schemas.openxmlformats.org/officeDocument/2006/relationships/hyperlink" Target="https://nomadeducation.fr/" TargetMode="External" Id="rId3476" /><Relationship Type="http://schemas.openxmlformats.org/officeDocument/2006/relationships/hyperlink" Target="https://www.instagram.com/nomad_education/" TargetMode="External" Id="rId3477" /><Relationship Type="http://schemas.openxmlformats.org/officeDocument/2006/relationships/hyperlink" Target="https://twitter.com/nomadeducation?lang=fr" TargetMode="External" Id="rId3478" /><Relationship Type="http://schemas.openxmlformats.org/officeDocument/2006/relationships/hyperlink" Target="https://www.linkedin.com/company/nomad-education" TargetMode="External" Id="rId3479" /><Relationship Type="http://schemas.openxmlformats.org/officeDocument/2006/relationships/hyperlink" Target="https://drive.google.com/uc?export=view&amp;id=1_wweovvH_7FtaOfaLmIdqqNR4kQ7A276" TargetMode="External" Id="rId3480" /><Relationship Type="http://schemas.openxmlformats.org/officeDocument/2006/relationships/hyperlink" Target="http://www.perfectlyspoken.com/" TargetMode="External" Id="rId3481" /><Relationship Type="http://schemas.openxmlformats.org/officeDocument/2006/relationships/hyperlink" Target="https://drive.google.com/uc?export=view&amp;id=1uKcYx5AuDuhTH0Is6daQe3dj_rD7a7jj" TargetMode="External" Id="rId3482" /><Relationship Type="http://schemas.openxmlformats.org/officeDocument/2006/relationships/hyperlink" Target="http://www.rockbotic.com/" TargetMode="External" Id="rId3483" /><Relationship Type="http://schemas.openxmlformats.org/officeDocument/2006/relationships/hyperlink" Target="https://drive.google.com/uc?export=view&amp;id=1mcTtk7dikufJVG_9_BC-qT47FEHd21nE" TargetMode="External" Id="rId3484" /><Relationship Type="http://schemas.openxmlformats.org/officeDocument/2006/relationships/hyperlink" Target="https://www.simtrade.com/" TargetMode="External" Id="rId3485" /><Relationship Type="http://schemas.openxmlformats.org/officeDocument/2006/relationships/hyperlink" Target="https://drive.google.com/uc?export=view&amp;id=1fKHXcgPf-g0xmCjeuTNRIHN9Z_0juRNC" TargetMode="External" Id="rId3486" /><Relationship Type="http://schemas.openxmlformats.org/officeDocument/2006/relationships/hyperlink" Target="https://www.spxlab.com/" TargetMode="External" Id="rId3487" /><Relationship Type="http://schemas.openxmlformats.org/officeDocument/2006/relationships/hyperlink" Target="https://drive.google.com/uc?export=view&amp;id=1uKSlqxsQEZ1vOH19B0FaL48UwEOAvWBs" TargetMode="External" Id="rId3488" /><Relationship Type="http://schemas.openxmlformats.org/officeDocument/2006/relationships/hyperlink" Target="https://www.stratsys.com/" TargetMode="External" Id="rId3489" /><Relationship Type="http://schemas.openxmlformats.org/officeDocument/2006/relationships/hyperlink" Target="https://www.linkedin.com/company/stratsys/mycompany/verification/" TargetMode="External" Id="rId3490" /><Relationship Type="http://schemas.openxmlformats.org/officeDocument/2006/relationships/hyperlink" Target="https://www.teachonmars.com/" TargetMode="External" Id="rId3491" /><Relationship Type="http://schemas.openxmlformats.org/officeDocument/2006/relationships/hyperlink" Target="https://www.instagram.com/teachonmarsfr/" TargetMode="External" Id="rId3492" /><Relationship Type="http://schemas.openxmlformats.org/officeDocument/2006/relationships/hyperlink" Target="https://twitter.com/TeachonMarsfr" TargetMode="External" Id="rId3493" /><Relationship Type="http://schemas.openxmlformats.org/officeDocument/2006/relationships/hyperlink" Target="https://www.linkedin.com/company/teach-on-mars/" TargetMode="External" Id="rId3494" /><Relationship Type="http://schemas.openxmlformats.org/officeDocument/2006/relationships/hyperlink" Target="https://drive.google.com/uc?export=view&amp;id=1pwL-tiOHYjkp1ORNV9aQtNAF2S90Im14" TargetMode="External" Id="rId3495" /><Relationship Type="http://schemas.openxmlformats.org/officeDocument/2006/relationships/hyperlink" Target="https://www.linkedin.com/company/teachers-lead-tech/mycompany/?viewAsMember=true" TargetMode="External" Id="rId3496" /><Relationship Type="http://schemas.openxmlformats.org/officeDocument/2006/relationships/hyperlink" Target="https://www.linkedin.com/company/teachers-lead-tech/about/?viewAsMember=true" TargetMode="External" Id="rId3497" /><Relationship Type="http://schemas.openxmlformats.org/officeDocument/2006/relationships/hyperlink" Target="https://drive.google.com/uc?export=view&amp;id=1fKPPoRVDCo28EdqAjxHjsTgzJClB4iZ4" TargetMode="External" Id="rId3498" /><Relationship Type="http://schemas.openxmlformats.org/officeDocument/2006/relationships/hyperlink" Target="http://www.twentyoneskills.de/" TargetMode="External" Id="rId3499" /><Relationship Type="http://schemas.openxmlformats.org/officeDocument/2006/relationships/hyperlink" Target="https://drive.google.com/uc?export=view&amp;id=1VzirD7DC1hTZKWXw0vUbkKPoB41CVUik" TargetMode="External" Id="rId3500" /><Relationship Type="http://schemas.openxmlformats.org/officeDocument/2006/relationships/hyperlink" Target="https://www.holavilma.com/" TargetMode="External" Id="rId3501" /><Relationship Type="http://schemas.openxmlformats.org/officeDocument/2006/relationships/hyperlink" Target="https://drive.google.com/uc?export=view&amp;id=1HU9tuKqV6FPahvdKKhpw6vRYIGB-n1s1" TargetMode="External" Id="rId3502" /><Relationship Type="http://schemas.openxmlformats.org/officeDocument/2006/relationships/hyperlink" Target="https://wf3.fr/" TargetMode="External" Id="rId3503" /><Relationship Type="http://schemas.openxmlformats.org/officeDocument/2006/relationships/hyperlink" Target="https://www.instagram.com/webforce3" TargetMode="External" Id="rId3504" /><Relationship Type="http://schemas.openxmlformats.org/officeDocument/2006/relationships/hyperlink" Target="https://twitter.com/WebForce3" TargetMode="External" Id="rId3505" /><Relationship Type="http://schemas.openxmlformats.org/officeDocument/2006/relationships/hyperlink" Target="https://www.linkedin.com/school/webforce3/mycompany/" TargetMode="External" Id="rId3506" /><Relationship Type="http://schemas.openxmlformats.org/officeDocument/2006/relationships/hyperlink" Target="https://drive.google.com/uc?export=view&amp;id=1a19O-fvtUrSnDS6PIVl4Lz3SglmxyVSD" TargetMode="External" Id="rId3507" /><Relationship Type="http://schemas.openxmlformats.org/officeDocument/2006/relationships/hyperlink" Target="http://www.wiloki.com/" TargetMode="External" Id="rId3508" /><Relationship Type="http://schemas.openxmlformats.org/officeDocument/2006/relationships/hyperlink" Target="https://www.instagram.com/wiloki_ai/" TargetMode="External" Id="rId3509" /><Relationship Type="http://schemas.openxmlformats.org/officeDocument/2006/relationships/hyperlink" Target="https://twitter.com/wiloki_ai" TargetMode="External" Id="rId3510" /><Relationship Type="http://schemas.openxmlformats.org/officeDocument/2006/relationships/hyperlink" Target="https://www.linkedin.com/company/wiloki/" TargetMode="External" Id="rId3511" /><Relationship Type="http://schemas.openxmlformats.org/officeDocument/2006/relationships/hyperlink" Target="https://drive.google.com/uc?export=view&amp;id=1aMe-VZ1lnKLVoCBZ34hml29Wb5wOOE98" TargetMode="External" Id="rId3512" /><Relationship Type="http://schemas.openxmlformats.org/officeDocument/2006/relationships/hyperlink" Target="https://www.beedeez.com/" TargetMode="External" Id="rId3513" /><Relationship Type="http://schemas.openxmlformats.org/officeDocument/2006/relationships/hyperlink" Target="https://twitter.com/BeedeezApp" TargetMode="External" Id="rId3514" /><Relationship Type="http://schemas.openxmlformats.org/officeDocument/2006/relationships/hyperlink" Target="https://www.linkedin.com/company/beedeez/" TargetMode="External" Id="rId3515" /><Relationship Type="http://schemas.openxmlformats.org/officeDocument/2006/relationships/hyperlink" Target="https://drive.google.com/uc?export=view&amp;id=1xvGBiT6oTPSfkRGtk8TU6yW5Ynszi0bA" TargetMode="External" Id="rId3516" /><Relationship Type="http://schemas.openxmlformats.org/officeDocument/2006/relationships/hyperlink" Target="http://www.bizexaminer.com/" TargetMode="External" Id="rId3517" /><Relationship Type="http://schemas.openxmlformats.org/officeDocument/2006/relationships/hyperlink" Target="https://www.linkedin.com/company/18919892/" TargetMode="External" Id="rId3518" /><Relationship Type="http://schemas.openxmlformats.org/officeDocument/2006/relationships/hyperlink" Target="https://drive.google.com/uc?export=view&amp;id=1dtutgcB5phIZGSNFjxYvziqprm__qwTd" TargetMode="External" Id="rId3519" /><Relationship Type="http://schemas.openxmlformats.org/officeDocument/2006/relationships/hyperlink" Target="http://www.cec.com/" TargetMode="External" Id="rId3520" /><Relationship Type="http://schemas.openxmlformats.org/officeDocument/2006/relationships/hyperlink" Target="https://drive.google.com/uc?export=view&amp;id=1PUV195jj5VHdsX86t6Pmu28V3H4GiJ4Z" TargetMode="External" Id="rId3521" /><Relationship Type="http://schemas.openxmlformats.org/officeDocument/2006/relationships/hyperlink" Target="http://www.companygame.com/" TargetMode="External" Id="rId3522" /><Relationship Type="http://schemas.openxmlformats.org/officeDocument/2006/relationships/hyperlink" Target="https://www.instagram.com/companygame_simuladores" TargetMode="External" Id="rId3523" /><Relationship Type="http://schemas.openxmlformats.org/officeDocument/2006/relationships/hyperlink" Target="https://twitter.com/companygame" TargetMode="External" Id="rId3524" /><Relationship Type="http://schemas.openxmlformats.org/officeDocument/2006/relationships/hyperlink" Target="https://es.linkedin.com/company/companygame" TargetMode="External" Id="rId3525" /><Relationship Type="http://schemas.openxmlformats.org/officeDocument/2006/relationships/hyperlink" Target="https://drive.google.com/uc?export=view&amp;id=1jrLBtwXWdujkPfQtRF9XAjBZg4n-n_HF" TargetMode="External" Id="rId3526" /><Relationship Type="http://schemas.openxmlformats.org/officeDocument/2006/relationships/hyperlink" Target="https://www.linkedin.cn/company/cultydata" TargetMode="External" Id="rId3527" /><Relationship Type="http://schemas.openxmlformats.org/officeDocument/2006/relationships/hyperlink" Target="https://drive.google.com/uc?export=view&amp;id=1Pb8rf-_bbwpKvcrm2cRyWVgXlUbkiDSn" TargetMode="External" Id="rId3528" /><Relationship Type="http://schemas.openxmlformats.org/officeDocument/2006/relationships/hyperlink" Target="https://www.im-c.com/de/at/" TargetMode="External" Id="rId3529" /><Relationship Type="http://schemas.openxmlformats.org/officeDocument/2006/relationships/hyperlink" Target="https://www.instagram.com/imc_learning/?hl=de" TargetMode="External" Id="rId3530" /><Relationship Type="http://schemas.openxmlformats.org/officeDocument/2006/relationships/hyperlink" Target="https://twitter.com/imc_learning" TargetMode="External" Id="rId3531" /><Relationship Type="http://schemas.openxmlformats.org/officeDocument/2006/relationships/hyperlink" Target="https://www.linkedin.com/company/109738/admin/" TargetMode="External" Id="rId3532" /><Relationship Type="http://schemas.openxmlformats.org/officeDocument/2006/relationships/hyperlink" Target="https://drive.google.com/uc?export=view&amp;id=1gdfZgbJP80bCuX24MmAYHEDY4nxJW2gR" TargetMode="External" Id="rId3533" /><Relationship Type="http://schemas.openxmlformats.org/officeDocument/2006/relationships/hyperlink" Target="http://www.innoduel.com/" TargetMode="External" Id="rId3534" /><Relationship Type="http://schemas.openxmlformats.org/officeDocument/2006/relationships/hyperlink" Target="https://twitter.com/innoduel" TargetMode="External" Id="rId3535" /><Relationship Type="http://schemas.openxmlformats.org/officeDocument/2006/relationships/hyperlink" Target="https://www.linkedin.com/company/innoduel" TargetMode="External" Id="rId3536" /><Relationship Type="http://schemas.openxmlformats.org/officeDocument/2006/relationships/hyperlink" Target="https://drive.google.com/uc?export=view&amp;id=1ED0h_SCTDi4w-wsxOF05RHVTItOfJsvW" TargetMode="External" Id="rId3537" /><Relationship Type="http://schemas.openxmlformats.org/officeDocument/2006/relationships/hyperlink" Target="https://www.lexplore.com/" TargetMode="External" Id="rId3538" /><Relationship Type="http://schemas.openxmlformats.org/officeDocument/2006/relationships/hyperlink" Target="https://instagram.com/lexploreinc" TargetMode="External" Id="rId3539" /><Relationship Type="http://schemas.openxmlformats.org/officeDocument/2006/relationships/hyperlink" Target="https://twitter.com/LexploreInc" TargetMode="External" Id="rId3540" /><Relationship Type="http://schemas.openxmlformats.org/officeDocument/2006/relationships/hyperlink" Target="https://www.linkedin.com/company/lexplore-global/" TargetMode="External" Id="rId3541" /><Relationship Type="http://schemas.openxmlformats.org/officeDocument/2006/relationships/hyperlink" Target="https://drive.google.com/uc?export=view&amp;id=1nRJiw6IGZE4MvGV75zFKV811KhrHJdy3" TargetMode="External" Id="rId3542" /><Relationship Type="http://schemas.openxmlformats.org/officeDocument/2006/relationships/hyperlink" Target="https://www.mrchadd.nl/" TargetMode="External" Id="rId3543" /><Relationship Type="http://schemas.openxmlformats.org/officeDocument/2006/relationships/hyperlink" Target="https://drive.google.com/uc?export=view&amp;id=14fT4FXXZ-YiTbXfbqJFqfnbu1XmeJx8C" TargetMode="External" Id="rId3544" /><Relationship Type="http://schemas.openxmlformats.org/officeDocument/2006/relationships/hyperlink" Target="http://myeducation.company/" TargetMode="External" Id="rId3545" /><Relationship Type="http://schemas.openxmlformats.org/officeDocument/2006/relationships/hyperlink" Target="https://drive.google.com/uc?export=view&amp;id=1DsOMND6IPzIUdf6Fhgw3TD4aVaEdsEnu" TargetMode="External" Id="rId3546" /><Relationship Type="http://schemas.openxmlformats.org/officeDocument/2006/relationships/hyperlink" Target="https://orientoi.fr/" TargetMode="External" Id="rId3547" /><Relationship Type="http://schemas.openxmlformats.org/officeDocument/2006/relationships/hyperlink" Target="https://www.instagram.com/orientoi.fr/" TargetMode="External" Id="rId3548" /><Relationship Type="http://schemas.openxmlformats.org/officeDocument/2006/relationships/hyperlink" Target="https://twitter.com/orientoi" TargetMode="External" Id="rId3549" /><Relationship Type="http://schemas.openxmlformats.org/officeDocument/2006/relationships/hyperlink" Target="https://www.linkedin.com/company/orientoi/" TargetMode="External" Id="rId3550" /><Relationship Type="http://schemas.openxmlformats.org/officeDocument/2006/relationships/hyperlink" Target="https://drive.google.com/uc?export=view&amp;id=17moXERTj1ZGNWUaqGQ6UBPoaHz-va5EF" TargetMode="External" Id="rId3551" /><Relationship Type="http://schemas.openxmlformats.org/officeDocument/2006/relationships/hyperlink" Target="https://www.linkedin.com/company/feedbackbox/" TargetMode="External" Id="rId3552" /><Relationship Type="http://schemas.openxmlformats.org/officeDocument/2006/relationships/hyperlink" Target="https://drive.google.com/uc?export=view&amp;id=1RGRmFCFoZkr1QaDuW2XCqtsw2RiGFA4d" TargetMode="External" Id="rId3553" /><Relationship Type="http://schemas.openxmlformats.org/officeDocument/2006/relationships/hyperlink" Target="http://www.praktikal.ee/en" TargetMode="External" Id="rId3554" /><Relationship Type="http://schemas.openxmlformats.org/officeDocument/2006/relationships/hyperlink" Target="https://www.instagram.com/praktikal_edu/" TargetMode="External" Id="rId3555" /><Relationship Type="http://schemas.openxmlformats.org/officeDocument/2006/relationships/hyperlink" Target="https://www.linkedin.com/company/74497960" TargetMode="External" Id="rId3556" /><Relationship Type="http://schemas.openxmlformats.org/officeDocument/2006/relationships/hyperlink" Target="https://drive.google.com/uc?export=view&amp;id=1DahPExhIF6iqK5-ftiAVwq9CGfTBMOOF" TargetMode="External" Id="rId3557" /><Relationship Type="http://schemas.openxmlformats.org/officeDocument/2006/relationships/hyperlink" Target="http://www.qubs.toys/" TargetMode="External" Id="rId3558" /><Relationship Type="http://schemas.openxmlformats.org/officeDocument/2006/relationships/hyperlink" Target="https://drive.google.com/uc?export=view&amp;id=18G2xDI5-8mV4ir5tfLVViKDuERCKjdF7" TargetMode="External" Id="rId3559" /><Relationship Type="http://schemas.openxmlformats.org/officeDocument/2006/relationships/hyperlink" Target="https://re-l.network/" TargetMode="External" Id="rId3560" /><Relationship Type="http://schemas.openxmlformats.org/officeDocument/2006/relationships/hyperlink" Target="https://drive.google.com/uc?export=view&amp;id=1Rl0kN3f3VuTBY5fY2ahciCgSG7vkgaaP" TargetMode="External" Id="rId3561" /><Relationship Type="http://schemas.openxmlformats.org/officeDocument/2006/relationships/hyperlink" Target="https://www.skolengo.com/en/" TargetMode="External" Id="rId3562" /><Relationship Type="http://schemas.openxmlformats.org/officeDocument/2006/relationships/hyperlink" Target="https://twitter.com/skolengo" TargetMode="External" Id="rId3563" /><Relationship Type="http://schemas.openxmlformats.org/officeDocument/2006/relationships/hyperlink" Target="https://drive.google.com/uc?export=view&amp;id=1Fr4xey2vcvAVdqnR9bN2y88ZENlS6Spc" TargetMode="External" Id="rId3564" /><Relationship Type="http://schemas.openxmlformats.org/officeDocument/2006/relationships/hyperlink" Target="https://skolon.com/" TargetMode="External" Id="rId3565" /><Relationship Type="http://schemas.openxmlformats.org/officeDocument/2006/relationships/hyperlink" Target="https://www.instagram.com/skolonsverige/?hl=en" TargetMode="External" Id="rId3566" /><Relationship Type="http://schemas.openxmlformats.org/officeDocument/2006/relationships/hyperlink" Target="https://www.linkedin.com/company/skolon/mycompany/" TargetMode="External" Id="rId3567" /><Relationship Type="http://schemas.openxmlformats.org/officeDocument/2006/relationships/hyperlink" Target="https://drive.google.com/uc?export=view&amp;id=1rgxspV0aJxBpygfV6i_6NJHZN9vRBHEU" TargetMode="External" Id="rId3568" /><Relationship Type="http://schemas.openxmlformats.org/officeDocument/2006/relationships/hyperlink" Target="https://assessmentq.com/?lang=en" TargetMode="External" Id="rId3569" /><Relationship Type="http://schemas.openxmlformats.org/officeDocument/2006/relationships/hyperlink" Target="https://drive.google.com/uc?export=view&amp;id=1JROZxNsm7AVJVqIsOsqAzx0nd97mn14k" TargetMode="External" Id="rId3570" /><Relationship Type="http://schemas.openxmlformats.org/officeDocument/2006/relationships/hyperlink" Target="https://themis.eu/" TargetMode="External" Id="rId3571" /><Relationship Type="http://schemas.openxmlformats.org/officeDocument/2006/relationships/hyperlink" Target="https://drive.google.com/uc?export=view&amp;id=1nlVzrTtyGmWy6H-gb8Jp30AwQQWArBiA" TargetMode="External" Id="rId3572" /><Relationship Type="http://schemas.openxmlformats.org/officeDocument/2006/relationships/hyperlink" Target="http://www.vividbooks.com/" TargetMode="External" Id="rId3573" /><Relationship Type="http://schemas.openxmlformats.org/officeDocument/2006/relationships/hyperlink" Target="https://drive.google.com/uc?export=view&amp;id=19kCFsDgYXiSDplXrz0QLBPeOW8Fm6ulA" TargetMode="External" Id="rId3574" /><Relationship Type="http://schemas.openxmlformats.org/officeDocument/2006/relationships/hyperlink" Target="https://altrifiumi.com/" TargetMode="External" Id="rId3575" /><Relationship Type="http://schemas.openxmlformats.org/officeDocument/2006/relationships/hyperlink" Target="https://drive.google.com/uc?export=view&amp;id=1eVPKvX4rFBGdpsV_nVFgQLD7-IW_MxbQ" TargetMode="External" Id="rId3576" /><Relationship Type="http://schemas.openxmlformats.org/officeDocument/2006/relationships/hyperlink" Target="http://simbound.com/" TargetMode="External" Id="rId3577" /><Relationship Type="http://schemas.openxmlformats.org/officeDocument/2006/relationships/hyperlink" Target="https://drive.google.com/uc?export=view&amp;id=1s4OZ7a7GYnpUhRSEZzRrEsNlrBbOoumR" TargetMode="External" Id="rId3578" /><Relationship Type="http://schemas.openxmlformats.org/officeDocument/2006/relationships/hyperlink" Target="https://www.astrideducation.com/" TargetMode="External" Id="rId3579" /><Relationship Type="http://schemas.openxmlformats.org/officeDocument/2006/relationships/hyperlink" Target="https://www.instagram.com/astrideducation/" TargetMode="External" Id="rId3580" /><Relationship Type="http://schemas.openxmlformats.org/officeDocument/2006/relationships/hyperlink" Target="https://twitter.com/astrideducation" TargetMode="External" Id="rId3581" /><Relationship Type="http://schemas.openxmlformats.org/officeDocument/2006/relationships/hyperlink" Target="https://www.linkedin.com/company/astrid-education" TargetMode="External" Id="rId3582" /><Relationship Type="http://schemas.openxmlformats.org/officeDocument/2006/relationships/hyperlink" Target="https://drive.google.com/uc?export=view&amp;id=13lP_0bfeg62-5ZCqTLTk3wnzQv1XKwBw" TargetMode="External" Id="rId3583" /><Relationship Type="http://schemas.openxmlformats.org/officeDocument/2006/relationships/hyperlink" Target="http://aulab.it/" TargetMode="External" Id="rId3584" /><Relationship Type="http://schemas.openxmlformats.org/officeDocument/2006/relationships/hyperlink" Target="https://www.bcdiploma.com/" TargetMode="External" Id="rId3585" /><Relationship Type="http://schemas.openxmlformats.org/officeDocument/2006/relationships/hyperlink" Target="https://twitter.com/BCDiploma" TargetMode="External" Id="rId3586" /><Relationship Type="http://schemas.openxmlformats.org/officeDocument/2006/relationships/hyperlink" Target="https://www.linkedin.com/company/blockchaincertifieddata" TargetMode="External" Id="rId3587" /><Relationship Type="http://schemas.openxmlformats.org/officeDocument/2006/relationships/hyperlink" Target="https://drive.google.com/uc?export=view&amp;id=1jgF-5lSUcH-u8WXqMzbtjbOqyoKtdIns" TargetMode="External" Id="rId3588" /><Relationship Type="http://schemas.openxmlformats.org/officeDocument/2006/relationships/hyperlink" Target="https://bizplay.ee/" TargetMode="External" Id="rId3589" /><Relationship Type="http://schemas.openxmlformats.org/officeDocument/2006/relationships/hyperlink" Target="https://www.linkedin.com/company/bizplay-o%C3%BC" TargetMode="External" Id="rId3590" /><Relationship Type="http://schemas.openxmlformats.org/officeDocument/2006/relationships/hyperlink" Target="https://drive.google.com/uc?export=view&amp;id=1JlPAvMlMYFYX5A0Bwxvo2YEnp47hgQfy" TargetMode="External" Id="rId3591" /><Relationship Type="http://schemas.openxmlformats.org/officeDocument/2006/relationships/hyperlink" Target="https://www.dokki.app/" TargetMode="External" Id="rId3592" /><Relationship Type="http://schemas.openxmlformats.org/officeDocument/2006/relationships/hyperlink" Target="https://www.instagram.com/dokkiapp" TargetMode="External" Id="rId3593" /><Relationship Type="http://schemas.openxmlformats.org/officeDocument/2006/relationships/hyperlink" Target="https://twitter.com/dokkiapp" TargetMode="External" Id="rId3594" /><Relationship Type="http://schemas.openxmlformats.org/officeDocument/2006/relationships/hyperlink" Target="https://www.linkedin.com/company/dokki" TargetMode="External" Id="rId3595" /><Relationship Type="http://schemas.openxmlformats.org/officeDocument/2006/relationships/hyperlink" Target="https://drive.google.com/uc?export=view&amp;id=1uFPKRU_mc0lOZWYzTkgtx16m4eGYXeF4" TargetMode="External" Id="rId3596" /><Relationship Type="http://schemas.openxmlformats.org/officeDocument/2006/relationships/hyperlink" Target="https://www.dynseo.com/en" TargetMode="External" Id="rId3597" /><Relationship Type="http://schemas.openxmlformats.org/officeDocument/2006/relationships/hyperlink" Target="https://www.instagram.com/coco_educationalgames/" TargetMode="External" Id="rId3598" /><Relationship Type="http://schemas.openxmlformats.org/officeDocument/2006/relationships/hyperlink" Target="https://www.linkedin.com/company/dynseo" TargetMode="External" Id="rId3599" /><Relationship Type="http://schemas.openxmlformats.org/officeDocument/2006/relationships/hyperlink" Target="https://drive.google.com/uc?export=view&amp;id=1bV1NLlGEtI69C60Koyh8oEFV7ei_SYTK" TargetMode="External" Id="rId3600" /><Relationship Type="http://schemas.openxmlformats.org/officeDocument/2006/relationships/hyperlink" Target="http://www.e-pitinglish.com/" TargetMode="External" Id="rId3601" /><Relationship Type="http://schemas.openxmlformats.org/officeDocument/2006/relationships/hyperlink" Target="https://drive.google.com/uc?export=view&amp;id=1z3_EfMU529IcyDjE6sICyEfO1KjnSH0C" TargetMode="External" Id="rId3602" /><Relationship Type="http://schemas.openxmlformats.org/officeDocument/2006/relationships/hyperlink" Target="http://www.edukare.fr/" TargetMode="External" Id="rId3603" /><Relationship Type="http://schemas.openxmlformats.org/officeDocument/2006/relationships/hyperlink" Target="https://drive.google.com/uc?export=view&amp;id=1ZV-gB3H0L106StF9dx07y077PVx0mQlJ" TargetMode="External" Id="rId3604" /><Relationship Type="http://schemas.openxmlformats.org/officeDocument/2006/relationships/hyperlink" Target="https://www.edumundo.com/home" TargetMode="External" Id="rId3605" /><Relationship Type="http://schemas.openxmlformats.org/officeDocument/2006/relationships/hyperlink" Target="https://drive.google.com/uc?export=view&amp;id=1_6JWyTz8R897Uo0FOjgZGG1X_jgpfLiY" TargetMode="External" Id="rId3606" /><Relationship Type="http://schemas.openxmlformats.org/officeDocument/2006/relationships/hyperlink" Target="http://www.evolutiel.com/" TargetMode="External" Id="rId3607" /><Relationship Type="http://schemas.openxmlformats.org/officeDocument/2006/relationships/hyperlink" Target="https://drive.google.com/uc?export=view&amp;id=1h7QWrA0dCXYIurTvpeD5ViaF6R_-9k8A" TargetMode="External" Id="rId3608" /><Relationship Type="http://schemas.openxmlformats.org/officeDocument/2006/relationships/hyperlink" Target="http://www.golearn.dk/" TargetMode="External" Id="rId3609" /><Relationship Type="http://schemas.openxmlformats.org/officeDocument/2006/relationships/hyperlink" Target="https://drive.google.com/uc?export=view&amp;id=1cyhB5pk1v9YEuEI-IKFPFWyNGDfTmH4L" TargetMode="External" Id="rId3610" /><Relationship Type="http://schemas.openxmlformats.org/officeDocument/2006/relationships/hyperlink" Target="http://howdou.net/" TargetMode="External" Id="rId3611" /><Relationship Type="http://schemas.openxmlformats.org/officeDocument/2006/relationships/hyperlink" Target="https://www.linkedin.com/company/evalve/" TargetMode="External" Id="rId3612" /><Relationship Type="http://schemas.openxmlformats.org/officeDocument/2006/relationships/hyperlink" Target="https://drive.google.com/uc?export=view&amp;id=1Fdo-da9NJNiDtDsNWYwwb2D_0_qirjCC" TargetMode="External" Id="rId3613" /><Relationship Type="http://schemas.openxmlformats.org/officeDocument/2006/relationships/hyperlink" Target="http://www.ist.com/" TargetMode="External" Id="rId3614" /><Relationship Type="http://schemas.openxmlformats.org/officeDocument/2006/relationships/hyperlink" Target="https://www.linkedin.com/company/ist-sverige-ab/" TargetMode="External" Id="rId3615" /><Relationship Type="http://schemas.openxmlformats.org/officeDocument/2006/relationships/hyperlink" Target="https://drive.google.com/uc?export=view&amp;id=1k2TYA4Q6roUCv7_UjExGyhoYLs24gVI1" TargetMode="External" Id="rId3616" /><Relationship Type="http://schemas.openxmlformats.org/officeDocument/2006/relationships/hyperlink" Target="https://www.kalyzee.com/en/" TargetMode="External" Id="rId3617" /><Relationship Type="http://schemas.openxmlformats.org/officeDocument/2006/relationships/hyperlink" Target="https://twitter.com/Kalyzee" TargetMode="External" Id="rId3618" /><Relationship Type="http://schemas.openxmlformats.org/officeDocument/2006/relationships/hyperlink" Target="https://www.linkedin.com/company/kalyz-e" TargetMode="External" Id="rId3619" /><Relationship Type="http://schemas.openxmlformats.org/officeDocument/2006/relationships/hyperlink" Target="https://drive.google.com/uc?export=view&amp;id=1B0Hi93eIeepsnwKKq_10us1Gsf78lf7W" TargetMode="External" Id="rId3620" /><Relationship Type="http://schemas.openxmlformats.org/officeDocument/2006/relationships/hyperlink" Target="http://www.kumullus.com/" TargetMode="External" Id="rId3621" /><Relationship Type="http://schemas.openxmlformats.org/officeDocument/2006/relationships/hyperlink" Target="https://drive.google.com/uc?export=view&amp;id=1U-EDrwZld5aZcySe-kRXjQmXTy9b9F3s" TargetMode="External" Id="rId3622" /><Relationship Type="http://schemas.openxmlformats.org/officeDocument/2006/relationships/hyperlink" Target="https://language-clubhouse.com/" TargetMode="External" Id="rId3623" /><Relationship Type="http://schemas.openxmlformats.org/officeDocument/2006/relationships/hyperlink" Target="https://www.instagram.com/language_clubhouse/" TargetMode="External" Id="rId3624" /><Relationship Type="http://schemas.openxmlformats.org/officeDocument/2006/relationships/hyperlink" Target="https://www.linkedin.com/company/language-clubhouse/?viewAsMember=true" TargetMode="External" Id="rId3625" /><Relationship Type="http://schemas.openxmlformats.org/officeDocument/2006/relationships/hyperlink" Target="https://drive.google.com/uc?export=view&amp;id=17tPygsG-MVINQNzYMvlgjJQcKDCybL7L" TargetMode="External" Id="rId3626" /><Relationship Type="http://schemas.openxmlformats.org/officeDocument/2006/relationships/hyperlink" Target="https://www.facebook.com/profile.php?id=100075119155258" TargetMode="External" Id="rId3627" /><Relationship Type="http://schemas.openxmlformats.org/officeDocument/2006/relationships/hyperlink" Target="https://drive.google.com/uc?export=view&amp;id=1gYiwJlyjv64UmVy316dVNgGXmJnLuY9S" TargetMode="External" Id="rId3628" /><Relationship Type="http://schemas.openxmlformats.org/officeDocument/2006/relationships/hyperlink" Target="https://marbotic.com/" TargetMode="External" Id="rId3629" /><Relationship Type="http://schemas.openxmlformats.org/officeDocument/2006/relationships/hyperlink" Target="https://www.instagram.com/marbotic/" TargetMode="External" Id="rId3630" /><Relationship Type="http://schemas.openxmlformats.org/officeDocument/2006/relationships/hyperlink" Target="https://twitter.com/marbotic" TargetMode="External" Id="rId3631" /><Relationship Type="http://schemas.openxmlformats.org/officeDocument/2006/relationships/hyperlink" Target="https://www.linkedin.com/company/marbotic" TargetMode="External" Id="rId3632" /><Relationship Type="http://schemas.openxmlformats.org/officeDocument/2006/relationships/hyperlink" Target="https://drive.google.com/uc?export=view&amp;id=1UlKnqcBY5rAjnfV7bY9JsHDlVtEEU1zX" TargetMode="External" Id="rId3633" /><Relationship Type="http://schemas.openxmlformats.org/officeDocument/2006/relationships/hyperlink" Target="https://www.mathquizily.com/" TargetMode="External" Id="rId3634" /><Relationship Type="http://schemas.openxmlformats.org/officeDocument/2006/relationships/hyperlink" Target="https://drive.google.com/uc?export=view&amp;id=1JaM1pBKfA-ru9EnLsTTnFNh-InnHjsLO" TargetMode="External" Id="rId3635" /><Relationship Type="http://schemas.openxmlformats.org/officeDocument/2006/relationships/hyperlink" Target="http://www.myjobglasses.com/" TargetMode="External" Id="rId3636" /><Relationship Type="http://schemas.openxmlformats.org/officeDocument/2006/relationships/hyperlink" Target="https://www.instagram.com/myjobglasses/" TargetMode="External" Id="rId3637" /><Relationship Type="http://schemas.openxmlformats.org/officeDocument/2006/relationships/hyperlink" Target="https://twitter.com/myjobglasses" TargetMode="External" Id="rId3638" /><Relationship Type="http://schemas.openxmlformats.org/officeDocument/2006/relationships/hyperlink" Target="https://www.linkedin.com/company/7585486" TargetMode="External" Id="rId3639" /><Relationship Type="http://schemas.openxmlformats.org/officeDocument/2006/relationships/hyperlink" Target="https://niryo.com/" TargetMode="External" Id="rId3640" /><Relationship Type="http://schemas.openxmlformats.org/officeDocument/2006/relationships/hyperlink" Target="https://drive.google.com/uc?export=view&amp;id=143_HP-7vU8twA5aAtNgJ9f6-tE0ifHJ_" TargetMode="External" Id="rId3641" /><Relationship Type="http://schemas.openxmlformats.org/officeDocument/2006/relationships/hyperlink" Target="https://www.nxus.eu/" TargetMode="External" Id="rId3642" /><Relationship Type="http://schemas.openxmlformats.org/officeDocument/2006/relationships/hyperlink" Target="https://drive.google.com/uc?export=view&amp;id=1ln8KY8MxUUdo2gxLavfnA-a_BfCWOyhY" TargetMode="External" Id="rId3643" /><Relationship Type="http://schemas.openxmlformats.org/officeDocument/2006/relationships/hyperlink" Target="https://prepmyfuture.com/fr" TargetMode="External" Id="rId3644" /><Relationship Type="http://schemas.openxmlformats.org/officeDocument/2006/relationships/hyperlink" Target="https://www.instagram.com/prepmyfuture/" TargetMode="External" Id="rId3645" /><Relationship Type="http://schemas.openxmlformats.org/officeDocument/2006/relationships/hyperlink" Target="https://www.linkedin.com/company/prepmyfuture/?viewAsMember=true" TargetMode="External" Id="rId3646" /><Relationship Type="http://schemas.openxmlformats.org/officeDocument/2006/relationships/hyperlink" Target="https://drive.google.com/uc?export=view&amp;id=1zC0a8h5oU_oAvnI9CmYEKRcbxJlw2IZx" TargetMode="External" Id="rId3647" /><Relationship Type="http://schemas.openxmlformats.org/officeDocument/2006/relationships/hyperlink" Target="https://www.simskills.io/" TargetMode="External" Id="rId3648" /><Relationship Type="http://schemas.openxmlformats.org/officeDocument/2006/relationships/hyperlink" Target="https://drive.google.com/uc?export=view&amp;id=14mzZMCXdARQ978N9OXmW7fBZB7xirp7m" TargetMode="External" Id="rId3649" /><Relationship Type="http://schemas.openxmlformats.org/officeDocument/2006/relationships/hyperlink" Target="https://www.watura.fr/" TargetMode="External" Id="rId3650" /><Relationship Type="http://schemas.openxmlformats.org/officeDocument/2006/relationships/hyperlink" Target="https://drive.google.com/uc?export=view&amp;id=1U6G9KqTp9IkN7UHVWcSl4lOKpg8syK0d" TargetMode="External" Id="rId3651" /><Relationship Type="http://schemas.openxmlformats.org/officeDocument/2006/relationships/hyperlink" Target="http://www.cleverbooks.eu/" TargetMode="External" Id="rId3652" /><Relationship Type="http://schemas.openxmlformats.org/officeDocument/2006/relationships/hyperlink" Target="https://drive.google.com/uc?export=view&amp;id=1Iqh7csED_6gKOfTTjJqV4nq6QiJ4G7ib" TargetMode="External" Id="rId3653" /><Relationship Type="http://schemas.openxmlformats.org/officeDocument/2006/relationships/hyperlink" Target="https://www.eurekasimulations.com/" TargetMode="External" Id="rId3654" /><Relationship Type="http://schemas.openxmlformats.org/officeDocument/2006/relationships/hyperlink" Target="https://drive.google.com/uc?export=view&amp;id=15Ro0uAN97JFc7ZXn7bL6ozpgXvZHZF0o" TargetMode="External" Id="rId3655" /><Relationship Type="http://schemas.openxmlformats.org/officeDocument/2006/relationships/hyperlink" Target="http://www.flexudy.com/" TargetMode="External" Id="rId3656" /><Relationship Type="http://schemas.openxmlformats.org/officeDocument/2006/relationships/hyperlink" Target="https://drive.google.com/uc?export=view&amp;id=1nvH_MPgfOj__RaxgKqCDTVGk5CZcqRY_" TargetMode="External" Id="rId3657" /><Relationship Type="http://schemas.openxmlformats.org/officeDocument/2006/relationships/hyperlink" Target="https://www.lewagon.com/" TargetMode="External" Id="rId3658" /><Relationship Type="http://schemas.openxmlformats.org/officeDocument/2006/relationships/hyperlink" Target="https://www.instagram.com/lewagonparis" TargetMode="External" Id="rId3659" /><Relationship Type="http://schemas.openxmlformats.org/officeDocument/2006/relationships/hyperlink" Target="https://twitter.com/Lewagonparis/" TargetMode="External" Id="rId3660" /><Relationship Type="http://schemas.openxmlformats.org/officeDocument/2006/relationships/hyperlink" Target="https://www.linkedin.com/school/le-wagon/" TargetMode="External" Id="rId3661" /><Relationship Type="http://schemas.openxmlformats.org/officeDocument/2006/relationships/hyperlink" Target="https://drive.google.com/uc?export=view&amp;id=1FCUNWhvhtjLFtJG5N46qPsg0vZq_gRWo" TargetMode="External" Id="rId3662" /><Relationship Type="http://schemas.openxmlformats.org/officeDocument/2006/relationships/hyperlink" Target="https://lesapprentisdev.fr/" TargetMode="External" Id="rId3663" /><Relationship Type="http://schemas.openxmlformats.org/officeDocument/2006/relationships/hyperlink" Target="https://drive.google.com/uc?export=view&amp;id=1TqAQTQvH2Js4KTC0QHHkalZl88rqt0lx" TargetMode="External" Id="rId3664" /><Relationship Type="http://schemas.openxmlformats.org/officeDocument/2006/relationships/hyperlink" Target="http://www.miralearn.com/" TargetMode="External" Id="rId3665" /><Relationship Type="http://schemas.openxmlformats.org/officeDocument/2006/relationships/hyperlink" Target="https://www.instagram.com/miralearn_com/" TargetMode="External" Id="rId3666" /><Relationship Type="http://schemas.openxmlformats.org/officeDocument/2006/relationships/hyperlink" Target="https://www.linkedin.com/company/miralearn" TargetMode="External" Id="rId3667" /><Relationship Type="http://schemas.openxmlformats.org/officeDocument/2006/relationships/hyperlink" Target="https://drive.google.com/uc?export=view&amp;id=1SHUzG4dkFvGpN2PyKVU1mFc6kJhwxiaG" TargetMode="External" Id="rId3668" /><Relationship Type="http://schemas.openxmlformats.org/officeDocument/2006/relationships/hyperlink" Target="http://profe.com/" TargetMode="External" Id="rId3669" /><Relationship Type="http://schemas.openxmlformats.org/officeDocument/2006/relationships/hyperlink" Target="https://www.profe.com/" TargetMode="External" Id="rId3670" /><Relationship Type="http://schemas.openxmlformats.org/officeDocument/2006/relationships/hyperlink" Target="https://drive.google.com/uc?export=view&amp;id=1PlOcLgjfLgqiiVU5ipq-wKU60Eax-X_d" TargetMode="External" Id="rId3671" /><Relationship Type="http://schemas.openxmlformats.org/officeDocument/2006/relationships/hyperlink" Target="https://www.aiedus.io/" TargetMode="External" Id="rId3672" /><Relationship Type="http://schemas.openxmlformats.org/officeDocument/2006/relationships/hyperlink" Target="https://drive.google.com/uc?export=view&amp;id=1BqR_ddLLbHHt7J5yZynQHOjo0OB5Yy3Z" TargetMode="External" Id="rId3673" /><Relationship Type="http://schemas.openxmlformats.org/officeDocument/2006/relationships/hyperlink" Target="https://www.linguineo.com/" TargetMode="External" Id="rId3674" /><Relationship Type="http://schemas.openxmlformats.org/officeDocument/2006/relationships/hyperlink" Target="https://drive.google.com/uc?export=view&amp;id=1i8f0e2ouKQNHCpIh8bVuuP6eByYFJ15g" TargetMode="External" Id="rId3675" /><Relationship Type="http://schemas.openxmlformats.org/officeDocument/2006/relationships/hyperlink" Target="https://www.pictoescritura.com/" TargetMode="External" Id="rId3676" /><Relationship Type="http://schemas.openxmlformats.org/officeDocument/2006/relationships/hyperlink" Target="http://www.alinebetter.com/" TargetMode="External" Id="rId3677" /><Relationship Type="http://schemas.openxmlformats.org/officeDocument/2006/relationships/hyperlink" Target="https://drive.google.com/uc?export=view&amp;id=17JNUsn2pNnxIwBAEa9Gd3ya6XKjcb65c" TargetMode="External" Id="rId3678" /><Relationship Type="http://schemas.openxmlformats.org/officeDocument/2006/relationships/hyperlink" Target="https://www.becquerel.es/" TargetMode="External" Id="rId3679" /><Relationship Type="http://schemas.openxmlformats.org/officeDocument/2006/relationships/hyperlink" Target="https://drive.google.com/uc?export=view&amp;id=1xpw2qFPjf_Onmwkpf7LPSKbZi-Lrz61r" TargetMode="External" Id="rId3680" /><Relationship Type="http://schemas.openxmlformats.org/officeDocument/2006/relationships/hyperlink" Target="http://bloomsights.com/" TargetMode="External" Id="rId3681" /><Relationship Type="http://schemas.openxmlformats.org/officeDocument/2006/relationships/hyperlink" Target="https://drive.google.com/uc?export=view&amp;id=1r8WZSHmZGHV4m-NRrfGiGMQlnjMALDpK" TargetMode="External" Id="rId3682" /><Relationship Type="http://schemas.openxmlformats.org/officeDocument/2006/relationships/hyperlink" Target="https://www.clio.me/dk/" TargetMode="External" Id="rId3683" /><Relationship Type="http://schemas.openxmlformats.org/officeDocument/2006/relationships/hyperlink" Target="https://www.linkedin.com/company/clio-me/mycompany/verification/" TargetMode="External" Id="rId3684" /><Relationship Type="http://schemas.openxmlformats.org/officeDocument/2006/relationships/hyperlink" Target="https://drive.google.com/uc?export=view&amp;id=1Ln_pHCAuCUN3KMvvObRYs0eH2z3PyQee" TargetMode="External" Id="rId3685" /><Relationship Type="http://schemas.openxmlformats.org/officeDocument/2006/relationships/hyperlink" Target="http://www.dotbite.at/" TargetMode="External" Id="rId3686" /><Relationship Type="http://schemas.openxmlformats.org/officeDocument/2006/relationships/hyperlink" Target="https://drive.google.com/uc?export=view&amp;id=14hbTScBNlVPFVPqIi1M61DMnbJdsZ4iN" TargetMode="External" Id="rId3687" /><Relationship Type="http://schemas.openxmlformats.org/officeDocument/2006/relationships/hyperlink" Target="https://www.educaria.com/" TargetMode="External" Id="rId3688" /><Relationship Type="http://schemas.openxmlformats.org/officeDocument/2006/relationships/hyperlink" Target="https://www.linkedin.com/company/educaria-euro/" TargetMode="External" Id="rId3689" /><Relationship Type="http://schemas.openxmlformats.org/officeDocument/2006/relationships/hyperlink" Target="https://drive.google.com/uc?export=view&amp;id=1RXUF60jwgI4jSpZ-ixCr6JN1Fz5fPwtU" TargetMode="External" Id="rId3690" /><Relationship Type="http://schemas.openxmlformats.org/officeDocument/2006/relationships/hyperlink" Target="https://www.educlever.com/" TargetMode="External" Id="rId3691" /><Relationship Type="http://schemas.openxmlformats.org/officeDocument/2006/relationships/hyperlink" Target="https://twitter.com/educlever" TargetMode="External" Id="rId3692" /><Relationship Type="http://schemas.openxmlformats.org/officeDocument/2006/relationships/hyperlink" Target="https://www.linkedin.com/company/educlever" TargetMode="External" Id="rId3693" /><Relationship Type="http://schemas.openxmlformats.org/officeDocument/2006/relationships/hyperlink" Target="https://drive.google.com/uc?export=view&amp;id=16yB5zNqchKLEqwXPYbc0f2S2H4h0-ZeR" TargetMode="External" Id="rId3694" /><Relationship Type="http://schemas.openxmlformats.org/officeDocument/2006/relationships/hyperlink" Target="https://www.funtechrocket.education/" TargetMode="External" Id="rId3695" /><Relationship Type="http://schemas.openxmlformats.org/officeDocument/2006/relationships/hyperlink" Target="https://drive.google.com/uc?export=view&amp;id=1DsfRSls4Rt0Dt0T8YISohN3XRJS54XYC" TargetMode="External" Id="rId3696" /><Relationship Type="http://schemas.openxmlformats.org/officeDocument/2006/relationships/hyperlink" Target="http://www.geds.eu/" TargetMode="External" Id="rId3697" /><Relationship Type="http://schemas.openxmlformats.org/officeDocument/2006/relationships/hyperlink" Target="https://drive.google.com/uc?export=view&amp;id=18ei3Uow6vWmoq8TIdUP7L33Y2hA6SXWB" TargetMode="External" Id="rId3698" /><Relationship Type="http://schemas.openxmlformats.org/officeDocument/2006/relationships/hyperlink" Target="https://www.gleechi.com/" TargetMode="External" Id="rId3699" /><Relationship Type="http://schemas.openxmlformats.org/officeDocument/2006/relationships/hyperlink" Target="https://www.linkedin.com/company/gleechi" TargetMode="External" Id="rId3700" /><Relationship Type="http://schemas.openxmlformats.org/officeDocument/2006/relationships/hyperlink" Target="https://drive.google.com/uc?export=view&amp;id=1efK9du1CESB3KJK_qp7Dm3BAKQy7D9iY" TargetMode="External" Id="rId3701" /><Relationship Type="http://schemas.openxmlformats.org/officeDocument/2006/relationships/hyperlink" Target="https://www.instructure.com/en-gb" TargetMode="External" Id="rId3702" /><Relationship Type="http://schemas.openxmlformats.org/officeDocument/2006/relationships/hyperlink" Target="https://drive.google.com/uc?export=view&amp;id=1A6rcLa-VqlOz2nEshbdpXB4xM64g7zU8" TargetMode="External" Id="rId3703" /><Relationship Type="http://schemas.openxmlformats.org/officeDocument/2006/relationships/hyperlink" Target="https://drive.google.com/uc?export=view&amp;id=1H1umrveXjDwdmFwqudd8y248oRSi-3hm" TargetMode="External" Id="rId3704" /><Relationship Type="http://schemas.openxmlformats.org/officeDocument/2006/relationships/hyperlink" Target="https://mima-campus.com/" TargetMode="External" Id="rId3705" /><Relationship Type="http://schemas.openxmlformats.org/officeDocument/2006/relationships/hyperlink" Target="https://www.linkedin.com/company/mima-campus" TargetMode="External" Id="rId3706" /><Relationship Type="http://schemas.openxmlformats.org/officeDocument/2006/relationships/hyperlink" Target="https://drive.google.com/uc?export=view&amp;id=1ovsluXIcFcfBK8NChkreSxAX9Kn5FUku" TargetMode="External" Id="rId3707" /><Relationship Type="http://schemas.openxmlformats.org/officeDocument/2006/relationships/hyperlink" Target="http://www.mootion.fr/" TargetMode="External" Id="rId3708" /><Relationship Type="http://schemas.openxmlformats.org/officeDocument/2006/relationships/hyperlink" Target="https://drive.google.com/uc?export=view&amp;id=1XzzKcjRiNkr8eThaUjE3EVkcBpXGLtjY" TargetMode="External" Id="rId3709" /><Relationship Type="http://schemas.openxmlformats.org/officeDocument/2006/relationships/hyperlink" Target="https://www.sanomautbildning.se/" TargetMode="External" Id="rId3710" /><Relationship Type="http://schemas.openxmlformats.org/officeDocument/2006/relationships/hyperlink" Target="https://www.instagram.com/sanoma_utbildning/" TargetMode="External" Id="rId3711" /><Relationship Type="http://schemas.openxmlformats.org/officeDocument/2006/relationships/hyperlink" Target="https://www.linkedin.com/company/sanoma-utbildning/" TargetMode="External" Id="rId3712" /><Relationship Type="http://schemas.openxmlformats.org/officeDocument/2006/relationships/hyperlink" Target="https://drive.google.com/uc?export=view&amp;id=1890FeLf1stHnwdtQv2JrgtOz4gJd4SqV" TargetMode="External" Id="rId3713" /><Relationship Type="http://schemas.openxmlformats.org/officeDocument/2006/relationships/hyperlink" Target="https://teachwithseedling.com/" TargetMode="External" Id="rId3714" /><Relationship Type="http://schemas.openxmlformats.org/officeDocument/2006/relationships/hyperlink" Target="https://drive.google.com/uc?export=view&amp;id=1xyOn6ajqpvQVC82irrLTbdhEwIACfv1o" TargetMode="External" Id="rId3715" /><Relationship Type="http://schemas.openxmlformats.org/officeDocument/2006/relationships/hyperlink" Target="http://simbel.fr/" TargetMode="External" Id="rId3716" /><Relationship Type="http://schemas.openxmlformats.org/officeDocument/2006/relationships/hyperlink" Target="https://www.linkedin.com/company/71783451/admin/feed/posts/" TargetMode="External" Id="rId3717" /><Relationship Type="http://schemas.openxmlformats.org/officeDocument/2006/relationships/hyperlink" Target="https://drive.google.com/uc?export=view&amp;id=14xNPUjN_F1jF6zo9kxdfB9vVwoHbLQ3q" TargetMode="External" Id="rId3718" /><Relationship Type="http://schemas.openxmlformats.org/officeDocument/2006/relationships/hyperlink" Target="https://www.skolenonline.dk/" TargetMode="External" Id="rId3719" /><Relationship Type="http://schemas.openxmlformats.org/officeDocument/2006/relationships/hyperlink" Target="https://www.instagram.com/skolenonline/" TargetMode="External" Id="rId3720" /><Relationship Type="http://schemas.openxmlformats.org/officeDocument/2006/relationships/hyperlink" Target="https://www.linkedin.com/company/skolen-online" TargetMode="External" Id="rId3721" /><Relationship Type="http://schemas.openxmlformats.org/officeDocument/2006/relationships/hyperlink" Target="https://drive.google.com/uc?export=view&amp;id=1OQppT-C4ZfD0gsbXuUEBkXLiELaoFvSB" TargetMode="External" Id="rId3722" /><Relationship Type="http://schemas.openxmlformats.org/officeDocument/2006/relationships/hyperlink" Target="http://www.supermood.com/" TargetMode="External" Id="rId3723" /><Relationship Type="http://schemas.openxmlformats.org/officeDocument/2006/relationships/hyperlink" Target="https://drive.google.com/uc?export=view&amp;id=1nOoKGPesbFM76tucOE-aWKXpQ-Z2LyJh" TargetMode="External" Id="rId3724" /><Relationship Type="http://schemas.openxmlformats.org/officeDocument/2006/relationships/hyperlink" Target="https://www.symbaloo.com/" TargetMode="External" Id="rId3725" /><Relationship Type="http://schemas.openxmlformats.org/officeDocument/2006/relationships/hyperlink" Target="https://drive.google.com/uc?export=view&amp;id=1eE--0NXX_cPLmxzHsOLWML-hxE2qYwjt" TargetMode="External" Id="rId3726" /><Relationship Type="http://schemas.openxmlformats.org/officeDocument/2006/relationships/hyperlink" Target="http://www.wipergaming.com/" TargetMode="External" Id="rId3727" /><Relationship Type="http://schemas.openxmlformats.org/officeDocument/2006/relationships/hyperlink" Target="https://drive.google.com/uc?export=view&amp;id=1XgWsF2POgCIcBQLvHykU1qKU3jydWOiS" TargetMode="External" Id="rId3728" /><Relationship Type="http://schemas.openxmlformats.org/officeDocument/2006/relationships/hyperlink" Target="http://www.33trucs.com/" TargetMode="External" Id="rId3729" /><Relationship Type="http://schemas.openxmlformats.org/officeDocument/2006/relationships/hyperlink" Target="https://drive.google.com/uc?export=view&amp;id=1egkE2tJl_FZPJDXSWvnYCBZYfyjGhD6C" TargetMode="External" Id="rId3730" /><Relationship Type="http://schemas.openxmlformats.org/officeDocument/2006/relationships/hyperlink" Target="http://www.aprendicesvisuales.com/" TargetMode="External" Id="rId3731" /><Relationship Type="http://schemas.openxmlformats.org/officeDocument/2006/relationships/hyperlink" Target="https://drive.google.com/uc?export=view&amp;id=17s7pCJkdQN8ia8fN46zfgiiSqE0a-iLy" TargetMode="External" Id="rId3732" /><Relationship Type="http://schemas.openxmlformats.org/officeDocument/2006/relationships/hyperlink" Target="https://atlasprimer.com/" TargetMode="External" Id="rId3733" /><Relationship Type="http://schemas.openxmlformats.org/officeDocument/2006/relationships/hyperlink" Target="https://drive.google.com/uc?export=view&amp;id=1UowCD2-3pfVbNsDLoSA1WJGYLH00jHJj" TargetMode="External" Id="rId3734" /><Relationship Type="http://schemas.openxmlformats.org/officeDocument/2006/relationships/hyperlink" Target="https://scottiego.com/en/" TargetMode="External" Id="rId3735" /><Relationship Type="http://schemas.openxmlformats.org/officeDocument/2006/relationships/hyperlink" Target="https://www.linkedin.com/company/becreo-technologies/mycompany/" TargetMode="External" Id="rId3736" /><Relationship Type="http://schemas.openxmlformats.org/officeDocument/2006/relationships/hyperlink" Target="https://drive.google.com/uc?export=view&amp;id=1NKCYYOFUTViJyTZPcB0rre6WXOm6THFd" TargetMode="External" Id="rId3737" /><Relationship Type="http://schemas.openxmlformats.org/officeDocument/2006/relationships/hyperlink" Target="https://caira.io/" TargetMode="External" Id="rId3738" /><Relationship Type="http://schemas.openxmlformats.org/officeDocument/2006/relationships/hyperlink" Target="https://drive.google.com/uc?export=view&amp;id=1sfr5Y0nH1hvxkczEjzC9mfGbtU-m5swr" TargetMode="External" Id="rId3739" /><Relationship Type="http://schemas.openxmlformats.org/officeDocument/2006/relationships/hyperlink" Target="https://www.coorpacademy.com/" TargetMode="External" Id="rId3740" /><Relationship Type="http://schemas.openxmlformats.org/officeDocument/2006/relationships/hyperlink" Target="https://drive.google.com/uc?export=view&amp;id=1U7quaYZAC0Qu15iU_FwQd7QtjocSjYli" TargetMode="External" Id="rId3741" /><Relationship Type="http://schemas.openxmlformats.org/officeDocument/2006/relationships/hyperlink" Target="https://dccs-edu.at/" TargetMode="External" Id="rId3742" /><Relationship Type="http://schemas.openxmlformats.org/officeDocument/2006/relationships/hyperlink" Target="https://drive.google.com/uc?export=view&amp;id=1BPQztl38z9iZDNXwiQiL_pFQhtSWKzX2" TargetMode="External" Id="rId3743" /><Relationship Type="http://schemas.openxmlformats.org/officeDocument/2006/relationships/hyperlink" Target="http://www.dugga.com/" TargetMode="External" Id="rId3744" /><Relationship Type="http://schemas.openxmlformats.org/officeDocument/2006/relationships/hyperlink" Target="https://www.instagram.com/dugga.assessment/" TargetMode="External" Id="rId3745" /><Relationship Type="http://schemas.openxmlformats.org/officeDocument/2006/relationships/hyperlink" Target="https://twitter.com/DuggaAssessment" TargetMode="External" Id="rId3746" /><Relationship Type="http://schemas.openxmlformats.org/officeDocument/2006/relationships/hyperlink" Target="https://www.linkedin.com/company/dugga-assessment/" TargetMode="External" Id="rId3747" /><Relationship Type="http://schemas.openxmlformats.org/officeDocument/2006/relationships/hyperlink" Target="https://drive.google.com/uc?export=view&amp;id=1iiJjMEiwVXUY8LML9w64_PunY1O48wnu" TargetMode="External" Id="rId3748" /><Relationship Type="http://schemas.openxmlformats.org/officeDocument/2006/relationships/hyperlink" Target="http://www.edunao.com/" TargetMode="External" Id="rId3749" /><Relationship Type="http://schemas.openxmlformats.org/officeDocument/2006/relationships/hyperlink" Target="https://twitter.com/edunao?lang=fr" TargetMode="External" Id="rId3750" /><Relationship Type="http://schemas.openxmlformats.org/officeDocument/2006/relationships/hyperlink" Target="https://fr.linkedin.com/company/edunao" TargetMode="External" Id="rId3751" /><Relationship Type="http://schemas.openxmlformats.org/officeDocument/2006/relationships/hyperlink" Target="https://drive.google.com/uc?export=view&amp;id=1Go2AHjjJOHYhHuD2bi6SEWNk95FRiJ0X" TargetMode="External" Id="rId3752" /><Relationship Type="http://schemas.openxmlformats.org/officeDocument/2006/relationships/hyperlink" Target="https://emplab.org/" TargetMode="External" Id="rId3753" /><Relationship Type="http://schemas.openxmlformats.org/officeDocument/2006/relationships/hyperlink" Target="https://www.instagram.com/accounts/login/?next=/empowermentlab/" TargetMode="External" Id="rId3754" /><Relationship Type="http://schemas.openxmlformats.org/officeDocument/2006/relationships/hyperlink" Target="https://www.linkedin.com/company/28668673/admin/" TargetMode="External" Id="rId3755" /><Relationship Type="http://schemas.openxmlformats.org/officeDocument/2006/relationships/hyperlink" Target="https://drive.google.com/uc?export=view&amp;id=1MjHUoQVGgMvy84uk35oI_tHrWkiRZFnG" TargetMode="External" Id="rId3756" /><Relationship Type="http://schemas.openxmlformats.org/officeDocument/2006/relationships/hyperlink" Target="http://www.feedtheirminds.com/" TargetMode="External" Id="rId3757" /><Relationship Type="http://schemas.openxmlformats.org/officeDocument/2006/relationships/hyperlink" Target="https://www.instagram.com/feed_their_minds/" TargetMode="External" Id="rId3758" /><Relationship Type="http://schemas.openxmlformats.org/officeDocument/2006/relationships/hyperlink" Target="https://www.linkedin.com/company/72175751/admin/" TargetMode="External" Id="rId3759" /><Relationship Type="http://schemas.openxmlformats.org/officeDocument/2006/relationships/hyperlink" Target="https://drive.google.com/uc?export=view&amp;id=19nE234U2T_wjywyQ42JQkTheNgpTpvsX" TargetMode="External" Id="rId3760" /><Relationship Type="http://schemas.openxmlformats.org/officeDocument/2006/relationships/hyperlink" Target="https://www.gapsmoov.com/en/" TargetMode="External" Id="rId3761" /><Relationship Type="http://schemas.openxmlformats.org/officeDocument/2006/relationships/hyperlink" Target="https://drive.google.com/uc?export=view&amp;id=1kIND2YSP2zKwNi_tdbuFkZV3fzbxXXa0" TargetMode="External" Id="rId3762" /><Relationship Type="http://schemas.openxmlformats.org/officeDocument/2006/relationships/hyperlink" Target="https://www.houseofeducation.com/" TargetMode="External" Id="rId3763" /><Relationship Type="http://schemas.openxmlformats.org/officeDocument/2006/relationships/hyperlink" Target="https://drive.google.com/uc?export=view&amp;id=1yBF636V4XR0ryJTh_wCVUWRVPOiwBBJR" TargetMode="External" Id="rId3764" /><Relationship Type="http://schemas.openxmlformats.org/officeDocument/2006/relationships/hyperlink" Target="http://lemonlearning.com/" TargetMode="External" Id="rId3765" /><Relationship Type="http://schemas.openxmlformats.org/officeDocument/2006/relationships/hyperlink" Target="https://twitter.com/Lemon_Learning" TargetMode="External" Id="rId3766" /><Relationship Type="http://schemas.openxmlformats.org/officeDocument/2006/relationships/hyperlink" Target="https://www.linkedin.com/company/lemon-learning/" TargetMode="External" Id="rId3767" /><Relationship Type="http://schemas.openxmlformats.org/officeDocument/2006/relationships/hyperlink" Target="https://drive.google.com/uc?export=view&amp;id=10HWr1Jn58jCiai9JJaqORe5yTZBW27O-" TargetMode="External" Id="rId3768" /><Relationship Type="http://schemas.openxmlformats.org/officeDocument/2006/relationships/hyperlink" Target="https://www.ludo-vic.com/" TargetMode="External" Id="rId3769" /><Relationship Type="http://schemas.openxmlformats.org/officeDocument/2006/relationships/hyperlink" Target="https://www.linkedin.com/in/jack-amberg-23b18512/?originalSubdomain=fr" TargetMode="External" Id="rId3770" /><Relationship Type="http://schemas.openxmlformats.org/officeDocument/2006/relationships/hyperlink" Target="https://drive.google.com/uc?export=view&amp;id=1CHGvbFVENSsXDWEsobdzldfsSYQiY-A7" TargetMode="External" Id="rId3771" /><Relationship Type="http://schemas.openxmlformats.org/officeDocument/2006/relationships/hyperlink" Target="http://memory-path.com/" TargetMode="External" Id="rId3772" /><Relationship Type="http://schemas.openxmlformats.org/officeDocument/2006/relationships/hyperlink" Target="https://instagram.com/memory__path" TargetMode="External" Id="rId3773" /><Relationship Type="http://schemas.openxmlformats.org/officeDocument/2006/relationships/hyperlink" Target="https://twitter.com/PathMemory" TargetMode="External" Id="rId3774" /><Relationship Type="http://schemas.openxmlformats.org/officeDocument/2006/relationships/hyperlink" Target="https://de.linkedin.com/company/memory-path" TargetMode="External" Id="rId3775" /><Relationship Type="http://schemas.openxmlformats.org/officeDocument/2006/relationships/hyperlink" Target="https://drive.google.com/uc?export=view&amp;id=1bcSYu_DBFkKTmbgceevdN80txjL3f8rh" TargetMode="External" Id="rId3776" /><Relationship Type="http://schemas.openxmlformats.org/officeDocument/2006/relationships/hyperlink" Target="http://www.moneymasters.app/" TargetMode="External" Id="rId3777" /><Relationship Type="http://schemas.openxmlformats.org/officeDocument/2006/relationships/hyperlink" Target="https://drive.google.com/uc?export=view&amp;id=1UNoWMPXsk3vE9Pt9sOR1lUWD5jCiKpPK" TargetMode="External" Id="rId3778" /><Relationship Type="http://schemas.openxmlformats.org/officeDocument/2006/relationships/hyperlink" Target="https://www.moominls.com/" TargetMode="External" Id="rId3779" /><Relationship Type="http://schemas.openxmlformats.org/officeDocument/2006/relationships/hyperlink" Target="https://www.instagram.com/moominls/" TargetMode="External" Id="rId3780" /><Relationship Type="http://schemas.openxmlformats.org/officeDocument/2006/relationships/hyperlink" Target="https://twitter.com/moominls" TargetMode="External" Id="rId3781" /><Relationship Type="http://schemas.openxmlformats.org/officeDocument/2006/relationships/hyperlink" Target="https://www.linkedin.com/company/playvation" TargetMode="External" Id="rId3782" /><Relationship Type="http://schemas.openxmlformats.org/officeDocument/2006/relationships/hyperlink" Target="https://drive.google.com/uc?export=view&amp;id=174Et9G6TtkXVIbzq8dqxbmrIBvoWGxE-" TargetMode="External" Id="rId3783" /><Relationship Type="http://schemas.openxmlformats.org/officeDocument/2006/relationships/hyperlink" Target="http://www.naotic.fr/" TargetMode="External" Id="rId3784" /><Relationship Type="http://schemas.openxmlformats.org/officeDocument/2006/relationships/hyperlink" Target="https://twitter.com/NaoticFR" TargetMode="External" Id="rId3785" /><Relationship Type="http://schemas.openxmlformats.org/officeDocument/2006/relationships/hyperlink" Target="https://www.linkedin.com/company/naotic" TargetMode="External" Id="rId3786" /><Relationship Type="http://schemas.openxmlformats.org/officeDocument/2006/relationships/hyperlink" Target="https://drive.google.com/uc?export=view&amp;id=19fUOeZqHmdJThOw2ef1SXSoSrqDzTteE" TargetMode="External" Id="rId3787" /><Relationship Type="http://schemas.openxmlformats.org/officeDocument/2006/relationships/hyperlink" Target="https://getnate.io/" TargetMode="External" Id="rId3788" /><Relationship Type="http://schemas.openxmlformats.org/officeDocument/2006/relationships/hyperlink" Target="https://drive.google.com/uc?export=view&amp;id=1HjpA7O-tYOaVsQBBljBl5fycNEHYuY48" TargetMode="External" Id="rId3789" /><Relationship Type="http://schemas.openxmlformats.org/officeDocument/2006/relationships/hyperlink" Target="https://www.odilo.es/workplace/?gclid=CjwKCAjw9qiTBhBbEiwAp-GE0cPP8txaza_iW_A08wBTK0NGQKLnzpuOAxmgzTsafh0wPixrNAOfDRoCh80QAvD_BwE" TargetMode="External" Id="rId3790" /><Relationship Type="http://schemas.openxmlformats.org/officeDocument/2006/relationships/hyperlink" Target="https://drive.google.com/uc?export=view&amp;id=1iFVB7MZA3EDO5gJQQP8GLaxNYeLdOLX6" TargetMode="External" Id="rId3791" /><Relationship Type="http://schemas.openxmlformats.org/officeDocument/2006/relationships/hyperlink" Target="http://www.oxsico.com/" TargetMode="External" Id="rId3792" /><Relationship Type="http://schemas.openxmlformats.org/officeDocument/2006/relationships/hyperlink" Target="https://drive.google.com/uc?export=view&amp;id=1E3Fyn3-LCXW3Y77Hc-ocH9JXvYNVa276" TargetMode="External" Id="rId3793" /><Relationship Type="http://schemas.openxmlformats.org/officeDocument/2006/relationships/hyperlink" Target="https://photon.education/" TargetMode="External" Id="rId3794" /><Relationship Type="http://schemas.openxmlformats.org/officeDocument/2006/relationships/hyperlink" Target="https://www.instagram.com/photoneducation/" TargetMode="External" Id="rId3795" /><Relationship Type="http://schemas.openxmlformats.org/officeDocument/2006/relationships/hyperlink" Target="https://twitter.com/Photon_Official" TargetMode="External" Id="rId3796" /><Relationship Type="http://schemas.openxmlformats.org/officeDocument/2006/relationships/hyperlink" Target="https://www.linkedin.com/company/photon-entertainment-sp--z-o-o-/mycompany/" TargetMode="External" Id="rId3797" /><Relationship Type="http://schemas.openxmlformats.org/officeDocument/2006/relationships/hyperlink" Target="https://drive.google.com/uc?export=view&amp;id=1JaEsNjXJYoeue8G5kTxt_1mD9UhsLrUX" TargetMode="External" Id="rId3798" /><Relationship Type="http://schemas.openxmlformats.org/officeDocument/2006/relationships/hyperlink" Target="http://www.remotion.live/" TargetMode="External" Id="rId3799" /><Relationship Type="http://schemas.openxmlformats.org/officeDocument/2006/relationships/hyperlink" Target="https://drive.google.com/uc?export=view&amp;id=1pKVC9DdZ2fJRiGp5HXn8UukB3AByde2V" TargetMode="External" Id="rId3800" /><Relationship Type="http://schemas.openxmlformats.org/officeDocument/2006/relationships/hyperlink" Target="http://strikeplagiarism.com/" TargetMode="External" Id="rId3801" /><Relationship Type="http://schemas.openxmlformats.org/officeDocument/2006/relationships/hyperlink" Target="https://strikeplagiarism.com/" TargetMode="External" Id="rId3802" /><Relationship Type="http://schemas.openxmlformats.org/officeDocument/2006/relationships/hyperlink" Target="https://drive.google.com/uc?export=view&amp;id=1mDhSSPOzJp9PEJ6-5YDYHwx7KypM-Lyb" TargetMode="External" Id="rId3803" /><Relationship Type="http://schemas.openxmlformats.org/officeDocument/2006/relationships/hyperlink" Target="https://www.technext.fr/" TargetMode="External" Id="rId3804" /><Relationship Type="http://schemas.openxmlformats.org/officeDocument/2006/relationships/hyperlink" Target="https://drive.google.com/uc?export=view&amp;id=1oMfLUe1X7HpAghr8-H3mZM-KvR5_g1Vv" TargetMode="External" Id="rId3805" /><Relationship Type="http://schemas.openxmlformats.org/officeDocument/2006/relationships/hyperlink" Target="https://www.tenors.fr/" TargetMode="External" Id="rId3806" /><Relationship Type="http://schemas.openxmlformats.org/officeDocument/2006/relationships/hyperlink" Target="https://twitter.com/TenorsFrance" TargetMode="External" Id="rId3807" /><Relationship Type="http://schemas.openxmlformats.org/officeDocument/2006/relationships/hyperlink" Target="https://www.linkedin.com/company/68142561/" TargetMode="External" Id="rId3808" /><Relationship Type="http://schemas.openxmlformats.org/officeDocument/2006/relationships/hyperlink" Target="http://www.vigilo.no/" TargetMode="External" Id="rId3809" /><Relationship Type="http://schemas.openxmlformats.org/officeDocument/2006/relationships/hyperlink" Target="https://www.instagram.com/vigilooas/" TargetMode="External" Id="rId3810" /><Relationship Type="http://schemas.openxmlformats.org/officeDocument/2006/relationships/hyperlink" Target="http://www.linkedin.com/company/vigilo-as/" TargetMode="External" Id="rId3811" /><Relationship Type="http://schemas.openxmlformats.org/officeDocument/2006/relationships/hyperlink" Target="https://drive.google.com/uc?export=view&amp;id=1ftgcCVzwNHGBsELjyU1tPyCfQ4rR_F7Z" TargetMode="External" Id="rId3812" /><Relationship Type="http://schemas.openxmlformats.org/officeDocument/2006/relationships/hyperlink" Target="http://www.amazyf.com/" TargetMode="External" Id="rId3813" /><Relationship Type="http://schemas.openxmlformats.org/officeDocument/2006/relationships/hyperlink" Target="https://drive.google.com/uc?export=view&amp;id=19z95nPJbzIE1wzeq2rLUCqrNAkUtdA7I" TargetMode="External" Id="rId3814" /><Relationship Type="http://schemas.openxmlformats.org/officeDocument/2006/relationships/hyperlink" Target="https://www.brainshakers.es/" TargetMode="External" Id="rId3815" /><Relationship Type="http://schemas.openxmlformats.org/officeDocument/2006/relationships/hyperlink" Target="https://drive.google.com/uc?export=view&amp;id=1zrB_KifjeHG9JtYZa5mm01Yvdm5h4Tts" TargetMode="External" Id="rId3816" /><Relationship Type="http://schemas.openxmlformats.org/officeDocument/2006/relationships/hyperlink" Target="http://www.deeploai.com/" TargetMode="External" Id="rId3817" /><Relationship Type="http://schemas.openxmlformats.org/officeDocument/2006/relationships/hyperlink" Target="https://www.linkedin.com/company/deeplo-ai/" TargetMode="External" Id="rId3818" /><Relationship Type="http://schemas.openxmlformats.org/officeDocument/2006/relationships/hyperlink" Target="https://drive.google.com/uc?export=view&amp;id=1n2i0BCc2eWCS95Z2tQAImk0zbX49YPD9" TargetMode="External" Id="rId3819" /><Relationship Type="http://schemas.openxmlformats.org/officeDocument/2006/relationships/hyperlink" Target="https://emaze.me/diginnovative" TargetMode="External" Id="rId3820" /><Relationship Type="http://schemas.openxmlformats.org/officeDocument/2006/relationships/hyperlink" Target="https://www.linkedin.com/company/diginnovative/" TargetMode="External" Id="rId3821" /><Relationship Type="http://schemas.openxmlformats.org/officeDocument/2006/relationships/hyperlink" Target="https://drive.google.com/uc?export=view&amp;id=1sVCt5FzqQy0xVl_xu0vRuh3DVa5TlMTE" TargetMode="External" Id="rId3822" /><Relationship Type="http://schemas.openxmlformats.org/officeDocument/2006/relationships/hyperlink" Target="http://edflex.com/en" TargetMode="External" Id="rId3823" /><Relationship Type="http://schemas.openxmlformats.org/officeDocument/2006/relationships/hyperlink" Target="https://www.instagram.com/edflex_fr" TargetMode="External" Id="rId3824" /><Relationship Type="http://schemas.openxmlformats.org/officeDocument/2006/relationships/hyperlink" Target="https://twitter.com/edflex_fr" TargetMode="External" Id="rId3825" /><Relationship Type="http://schemas.openxmlformats.org/officeDocument/2006/relationships/hyperlink" Target="https://www.linkedin.com/company/edflex-hq" TargetMode="External" Id="rId3826" /><Relationship Type="http://schemas.openxmlformats.org/officeDocument/2006/relationships/hyperlink" Target="https://drive.google.com/uc?export=view&amp;id=1oqMbYQMdeDegGd1CtvU_nhKKmPiWwj9k" TargetMode="External" Id="rId3827" /><Relationship Type="http://schemas.openxmlformats.org/officeDocument/2006/relationships/hyperlink" Target="https://edita.fi/" TargetMode="External" Id="rId3828" /><Relationship Type="http://schemas.openxmlformats.org/officeDocument/2006/relationships/hyperlink" Target="https://www.instagram.com/edita_oppiminen/?hl=fi" TargetMode="External" Id="rId3829" /><Relationship Type="http://schemas.openxmlformats.org/officeDocument/2006/relationships/hyperlink" Target="https://twitter.com/editaoppiminen" TargetMode="External" Id="rId3830" /><Relationship Type="http://schemas.openxmlformats.org/officeDocument/2006/relationships/hyperlink" Target="https://www.linkedin.com/company/edita-oppiminen?originalSubdomain=fi" TargetMode="External" Id="rId3831" /><Relationship Type="http://schemas.openxmlformats.org/officeDocument/2006/relationships/hyperlink" Target="https://drive.google.com/uc?export=view&amp;id=1bdGHUz7GG9taDwratfC6lAFQxObaIVq2" TargetMode="External" Id="rId3832" /><Relationship Type="http://schemas.openxmlformats.org/officeDocument/2006/relationships/hyperlink" Target="https://www.educom.at/" TargetMode="External" Id="rId3833" /><Relationship Type="http://schemas.openxmlformats.org/officeDocument/2006/relationships/hyperlink" Target="https://www.instagram.com/educom.at/" TargetMode="External" Id="rId3834" /><Relationship Type="http://schemas.openxmlformats.org/officeDocument/2006/relationships/hyperlink" Target="https://at.linkedin.com/company/educom-at" TargetMode="External" Id="rId3835" /><Relationship Type="http://schemas.openxmlformats.org/officeDocument/2006/relationships/hyperlink" Target="https://www.elendi.ai/" TargetMode="External" Id="rId3836" /><Relationship Type="http://schemas.openxmlformats.org/officeDocument/2006/relationships/hyperlink" Target="https://drive.google.com/uc?export=view&amp;id=16QcgDUU64kqpCbdBvmWkSB-ju3w_zp2n" TargetMode="External" Id="rId3837" /><Relationship Type="http://schemas.openxmlformats.org/officeDocument/2006/relationships/hyperlink" Target="http://www.examiner.ch/" TargetMode="External" Id="rId3838" /><Relationship Type="http://schemas.openxmlformats.org/officeDocument/2006/relationships/hyperlink" Target="https://www.linkedin.com/company/examiner" TargetMode="External" Id="rId3839" /><Relationship Type="http://schemas.openxmlformats.org/officeDocument/2006/relationships/hyperlink" Target="https://drive.google.com/uc?export=view&amp;id=1WoMAkPAMR9AJFz6YGzNohmcGZatRC_4C" TargetMode="External" Id="rId3840" /><Relationship Type="http://schemas.openxmlformats.org/officeDocument/2006/relationships/hyperlink" Target="https://www.funzi.fi/" TargetMode="External" Id="rId3841" /><Relationship Type="http://schemas.openxmlformats.org/officeDocument/2006/relationships/hyperlink" Target="https://www.instagram.com/funzimobi/" TargetMode="External" Id="rId3842" /><Relationship Type="http://schemas.openxmlformats.org/officeDocument/2006/relationships/hyperlink" Target="https://twitter.com/funzi" TargetMode="External" Id="rId3843" /><Relationship Type="http://schemas.openxmlformats.org/officeDocument/2006/relationships/hyperlink" Target="https://www.linkedin.com/company/funzi/" TargetMode="External" Id="rId3844" /><Relationship Type="http://schemas.openxmlformats.org/officeDocument/2006/relationships/hyperlink" Target="http://funzi.mobi/" TargetMode="External" Id="rId3845" /><Relationship Type="http://schemas.openxmlformats.org/officeDocument/2006/relationships/hyperlink" Target="https://drive.google.com/uc?export=view&amp;id=1FMsZNqP0LSnIOfNdjIV8P-sHJV8XE4i6" TargetMode="External" Id="rId3846" /><Relationship Type="http://schemas.openxmlformats.org/officeDocument/2006/relationships/hyperlink" Target="https://makemymusik.fr/" TargetMode="External" Id="rId3847" /><Relationship Type="http://schemas.openxmlformats.org/officeDocument/2006/relationships/hyperlink" Target="https://drive.google.com/uc?export=view&amp;id=1b4713yqA-ZbenOGmkNSR261gRoA1OYwC" TargetMode="External" Id="rId3848" /><Relationship Type="http://schemas.openxmlformats.org/officeDocument/2006/relationships/hyperlink" Target="http://www.marshmallow-games.com/" TargetMode="External" Id="rId3849" /><Relationship Type="http://schemas.openxmlformats.org/officeDocument/2006/relationships/hyperlink" Target="https://drive.google.com/uc?export=view&amp;id=1ysUqfmQggAvfVH48LH5yVy2pexegM-cQ" TargetMode="External" Id="rId3850" /><Relationship Type="http://schemas.openxmlformats.org/officeDocument/2006/relationships/hyperlink" Target="https://nocodehackers.es/" TargetMode="External" Id="rId3851" /><Relationship Type="http://schemas.openxmlformats.org/officeDocument/2006/relationships/hyperlink" Target="https://drive.google.com/uc?export=view&amp;id=1dRnaAgzUVM7yOcWex99wbNVWUdBA5IdC" TargetMode="External" Id="rId3852" /><Relationship Type="http://schemas.openxmlformats.org/officeDocument/2006/relationships/hyperlink" Target="http://www.novo3d.fr/" TargetMode="External" Id="rId3853" /><Relationship Type="http://schemas.openxmlformats.org/officeDocument/2006/relationships/hyperlink" Target="https://drive.google.com/uc?export=view&amp;id=1DC6kA7WaS4aFcSYz8nYrVGHtdfIdCY50" TargetMode="External" Id="rId3854" /><Relationship Type="http://schemas.openxmlformats.org/officeDocument/2006/relationships/hyperlink" Target="https://www.taotesting.com/" TargetMode="External" Id="rId3855" /><Relationship Type="http://schemas.openxmlformats.org/officeDocument/2006/relationships/hyperlink" Target="https://twitter.com/TAOTesting/" TargetMode="External" Id="rId3856" /><Relationship Type="http://schemas.openxmlformats.org/officeDocument/2006/relationships/hyperlink" Target="https://www.linkedin.com/company/open-assessment-technologies-s-a-/" TargetMode="External" Id="rId3857" /><Relationship Type="http://schemas.openxmlformats.org/officeDocument/2006/relationships/hyperlink" Target="https://drive.google.com/uc?export=view&amp;id=1rPb2uf02C55S5F8wLOgSUtu-U7Bs9vML" TargetMode="External" Id="rId3858" /><Relationship Type="http://schemas.openxmlformats.org/officeDocument/2006/relationships/hyperlink" Target="http://www.papua.app/" TargetMode="External" Id="rId3859" /><Relationship Type="http://schemas.openxmlformats.org/officeDocument/2006/relationships/hyperlink" Target="https://www.projet-voltaire.fr/?utm_source=site&amp;utm_medium=referral_partner&amp;utm_campaign=edtech_map" TargetMode="External" Id="rId3860" /><Relationship Type="http://schemas.openxmlformats.org/officeDocument/2006/relationships/hyperlink" Target="https://www.twitter.com/projet_Voltaire" TargetMode="External" Id="rId3861" /><Relationship Type="http://schemas.openxmlformats.org/officeDocument/2006/relationships/hyperlink" Target="https://www.linkedin.com/company/projet-voltaire/" TargetMode="External" Id="rId3862" /><Relationship Type="http://schemas.openxmlformats.org/officeDocument/2006/relationships/hyperlink" Target="https://drive.google.com/uc?export=view&amp;id=1kD27KIuc1xvAflU1BogUqrB9ZmHzPSIB" TargetMode="External" Id="rId3863" /><Relationship Type="http://schemas.openxmlformats.org/officeDocument/2006/relationships/hyperlink" Target="https://rainmakersociety.de/" TargetMode="External" Id="rId3864" /><Relationship Type="http://schemas.openxmlformats.org/officeDocument/2006/relationships/hyperlink" Target="https://drive.google.com/uc?export=view&amp;id=1BwZUf1hHXXHstkUa7vWvUgjcLKuhT0oL" TargetMode="External" Id="rId3865" /><Relationship Type="http://schemas.openxmlformats.org/officeDocument/2006/relationships/hyperlink" Target="https://www.riseup.ai/" TargetMode="External" Id="rId3866" /><Relationship Type="http://schemas.openxmlformats.org/officeDocument/2006/relationships/hyperlink" Target="https://www.instagram.com/riseup.ai/" TargetMode="External" Id="rId3867" /><Relationship Type="http://schemas.openxmlformats.org/officeDocument/2006/relationships/hyperlink" Target="https://twitter.com/RiseUpAI" TargetMode="External" Id="rId3868" /><Relationship Type="http://schemas.openxmlformats.org/officeDocument/2006/relationships/hyperlink" Target="https://www.linkedin.com/company/rise-up-ai-france/" TargetMode="External" Id="rId3869" /><Relationship Type="http://schemas.openxmlformats.org/officeDocument/2006/relationships/hyperlink" Target="https://drive.google.com/uc?export=view&amp;id=1D5-AmnQ8dY0D9XO9SILfD4ZQeSc-3edu" TargetMode="External" Id="rId3870" /><Relationship Type="http://schemas.openxmlformats.org/officeDocument/2006/relationships/hyperlink" Target="https://siltaeducation.com/silta-for-companies/" TargetMode="External" Id="rId3871" /><Relationship Type="http://schemas.openxmlformats.org/officeDocument/2006/relationships/hyperlink" Target="https://www.linkedin.com/company/silta-education/" TargetMode="External" Id="rId3872" /><Relationship Type="http://schemas.openxmlformats.org/officeDocument/2006/relationships/hyperlink" Target="https://drive.google.com/uc?export=view&amp;id=1G-8_9A9AguU55tqxoSqhH1CFqqJqwlDa" TargetMode="External" Id="rId3873" /><Relationship Type="http://schemas.openxmlformats.org/officeDocument/2006/relationships/hyperlink" Target="https://simango.fr/" TargetMode="External" Id="rId3874" /><Relationship Type="http://schemas.openxmlformats.org/officeDocument/2006/relationships/hyperlink" Target="https://twitter.com/simangosante" TargetMode="External" Id="rId3875" /><Relationship Type="http://schemas.openxmlformats.org/officeDocument/2006/relationships/hyperlink" Target="https://www.linkedin.com/company/simango/" TargetMode="External" Id="rId3876" /><Relationship Type="http://schemas.openxmlformats.org/officeDocument/2006/relationships/hyperlink" Target="https://drive.google.com/uc?export=view&amp;id=1NK4JXnUUy7l_aux-msT6OrjYPsfOiKwq" TargetMode="External" Id="rId3877" /><Relationship Type="http://schemas.openxmlformats.org/officeDocument/2006/relationships/hyperlink" Target="https://www.smarteo.co/" TargetMode="External" Id="rId3878" /><Relationship Type="http://schemas.openxmlformats.org/officeDocument/2006/relationships/hyperlink" Target="https://www.instagram.com/smarteo.co" TargetMode="External" Id="rId3879" /><Relationship Type="http://schemas.openxmlformats.org/officeDocument/2006/relationships/hyperlink" Target="https://twitter.com/smarteo_co" TargetMode="External" Id="rId3880" /><Relationship Type="http://schemas.openxmlformats.org/officeDocument/2006/relationships/hyperlink" Target="https://www.linkedin.com/company/smarteo-co/" TargetMode="External" Id="rId3881" /><Relationship Type="http://schemas.openxmlformats.org/officeDocument/2006/relationships/hyperlink" Target="https://drive.google.com/uc?export=view&amp;id=1HPqZa_ok6oQZ1p_a5i7QEnsE2D9gpEuw" TargetMode="External" Id="rId3882" /><Relationship Type="http://schemas.openxmlformats.org/officeDocument/2006/relationships/hyperlink" Target="http://www.splashtop.com/" TargetMode="External" Id="rId3883" /><Relationship Type="http://schemas.openxmlformats.org/officeDocument/2006/relationships/hyperlink" Target="https://drive.google.com/uc?export=view&amp;id=1sjcwwsCR2fLzzwarvVIassgWUQGLBd72" TargetMode="External" Id="rId3884" /><Relationship Type="http://schemas.openxmlformats.org/officeDocument/2006/relationships/hyperlink" Target="https://studinventive.com/" TargetMode="External" Id="rId3885" /><Relationship Type="http://schemas.openxmlformats.org/officeDocument/2006/relationships/hyperlink" Target="https://drive.google.com/uc?export=view&amp;id=1Z-LiKVWiV1z3GmBa0XWoQvl2VzWlYQsF" TargetMode="External" Id="rId3886" /><Relationship Type="http://schemas.openxmlformats.org/officeDocument/2006/relationships/hyperlink" Target="https://www.taskbase.com/" TargetMode="External" Id="rId3887" /><Relationship Type="http://schemas.openxmlformats.org/officeDocument/2006/relationships/hyperlink" Target="https://www.linkedin.com/company/taskbase/" TargetMode="External" Id="rId3888" /><Relationship Type="http://schemas.openxmlformats.org/officeDocument/2006/relationships/hyperlink" Target="https://drive.google.com/uc?export=view&amp;id=1iVeObtlTKykrJDkxj1TnO9-zCTG28e_-" TargetMode="External" Id="rId3889" /><Relationship Type="http://schemas.openxmlformats.org/officeDocument/2006/relationships/hyperlink" Target="https://www.tecive.co.uk/" TargetMode="External" Id="rId3890" /><Relationship Type="http://schemas.openxmlformats.org/officeDocument/2006/relationships/hyperlink" Target="https://drive.google.com/uc?export=view&amp;id=1oNvt5HyELhHouUQ_x0t26UtJtA3ovKN4" TargetMode="External" Id="rId3891" /><Relationship Type="http://schemas.openxmlformats.org/officeDocument/2006/relationships/hyperlink" Target="https://www.tinyapp.biz/" TargetMode="External" Id="rId3892" /><Relationship Type="http://schemas.openxmlformats.org/officeDocument/2006/relationships/hyperlink" Target="https://www.instagram.com/tinyappes/" TargetMode="External" Id="rId3893" /><Relationship Type="http://schemas.openxmlformats.org/officeDocument/2006/relationships/hyperlink" Target="https://www.linkedin.com/company/tinyapp/" TargetMode="External" Id="rId3894" /><Relationship Type="http://schemas.openxmlformats.org/officeDocument/2006/relationships/hyperlink" Target="https://drive.google.com/uc?export=view&amp;id=1fxtJ2a5U2p0E57z1j80c5smXst2SE569" TargetMode="External" Id="rId3895" /><Relationship Type="http://schemas.openxmlformats.org/officeDocument/2006/relationships/hyperlink" Target="http://tuto.com/" TargetMode="External" Id="rId3896" /><Relationship Type="http://schemas.openxmlformats.org/officeDocument/2006/relationships/hyperlink" Target="https://fr.tuto.com/" TargetMode="External" Id="rId3897" /><Relationship Type="http://schemas.openxmlformats.org/officeDocument/2006/relationships/hyperlink" Target="https://drive.google.com/uc?export=view&amp;id=1U_41NJP9Vk5YGjSXGHUBTafxvAvWHWZD" TargetMode="External" Id="rId3898" /><Relationship Type="http://schemas.openxmlformats.org/officeDocument/2006/relationships/hyperlink" Target="https://www.aimaira.fr/" TargetMode="External" Id="rId3899" /><Relationship Type="http://schemas.openxmlformats.org/officeDocument/2006/relationships/hyperlink" Target="https://twitter.com/aimaira_erp" TargetMode="External" Id="rId3900" /><Relationship Type="http://schemas.openxmlformats.org/officeDocument/2006/relationships/hyperlink" Target="https://www.linkedin.com/company/aimaira/" TargetMode="External" Id="rId3901" /><Relationship Type="http://schemas.openxmlformats.org/officeDocument/2006/relationships/hyperlink" Target="https://drive.google.com/uc?export=view&amp;id=1hFYJVHg1WicHtdtRKW8y4s6uN2pNSpZ_" TargetMode="External" Id="rId3902" /><Relationship Type="http://schemas.openxmlformats.org/officeDocument/2006/relationships/hyperlink" Target="https://altusform.fr/" TargetMode="External" Id="rId3903" /><Relationship Type="http://schemas.openxmlformats.org/officeDocument/2006/relationships/hyperlink" Target="https://www.linkedin.com/company/altusform" TargetMode="External" Id="rId3904" /><Relationship Type="http://schemas.openxmlformats.org/officeDocument/2006/relationships/hyperlink" Target="https://drive.google.com/uc?export=view&amp;id=1r4CC6FXNc3WjBP9m5ocW05SW04WmeoxA" TargetMode="External" Id="rId3905" /><Relationship Type="http://schemas.openxmlformats.org/officeDocument/2006/relationships/hyperlink" Target="http://www.aqueduto.com/" TargetMode="External" Id="rId3906" /><Relationship Type="http://schemas.openxmlformats.org/officeDocument/2006/relationships/hyperlink" Target="https://drive.google.com/uc?export=view&amp;id=1SvTjU7nQHCZnLmY3tFDzWf7lsk_6qPl7" TargetMode="External" Id="rId3907" /><Relationship Type="http://schemas.openxmlformats.org/officeDocument/2006/relationships/hyperlink" Target="http://www.attender.uk/" TargetMode="External" Id="rId3908" /><Relationship Type="http://schemas.openxmlformats.org/officeDocument/2006/relationships/hyperlink" Target="https://drive.google.com/uc?export=view&amp;id=1_mS3n6n6zPp3FKoXsIJ1NMwxvMkJNKlM" TargetMode="External" Id="rId3909" /><Relationship Type="http://schemas.openxmlformats.org/officeDocument/2006/relationships/hyperlink" Target="https://beyondeducation.tech/" TargetMode="External" Id="rId3910" /><Relationship Type="http://schemas.openxmlformats.org/officeDocument/2006/relationships/hyperlink" Target="https://www.instagram.com/beyondeducation21st/" TargetMode="External" Id="rId3911" /><Relationship Type="http://schemas.openxmlformats.org/officeDocument/2006/relationships/hyperlink" Target="https://www.linkedin.com/company/be-beyond-education-company/?viewAsMember=true" TargetMode="External" Id="rId3912" /><Relationship Type="http://schemas.openxmlformats.org/officeDocument/2006/relationships/hyperlink" Target="https://drive.google.com/uc?export=view&amp;id=1wv-QoJp0POrGv7U4efqchrGaBeznFR8V" TargetMode="External" Id="rId3913" /><Relationship Type="http://schemas.openxmlformats.org/officeDocument/2006/relationships/hyperlink" Target="https://bodyswaps.co/" TargetMode="External" Id="rId3914" /><Relationship Type="http://schemas.openxmlformats.org/officeDocument/2006/relationships/hyperlink" Target="https://drive.google.com/uc?export=view&amp;id=1PDDXU8RtDlnZcK0p1xp5t_BYdg2svavC" TargetMode="External" Id="rId3915" /><Relationship Type="http://schemas.openxmlformats.org/officeDocument/2006/relationships/hyperlink" Target="https://www.cambridgeinternational.academy/" TargetMode="External" Id="rId3916" /><Relationship Type="http://schemas.openxmlformats.org/officeDocument/2006/relationships/hyperlink" Target="https://drive.google.com/uc?export=view&amp;id=1PO0oPl0fU1tfhRv0BsjS7hsYj16UMFvT" TargetMode="External" Id="rId3917" /><Relationship Type="http://schemas.openxmlformats.org/officeDocument/2006/relationships/hyperlink" Target="http://www.civinc.co/" TargetMode="External" Id="rId3918" /><Relationship Type="http://schemas.openxmlformats.org/officeDocument/2006/relationships/hyperlink" Target="https://www.linkedin.com/company/civinc" TargetMode="External" Id="rId3919" /><Relationship Type="http://schemas.openxmlformats.org/officeDocument/2006/relationships/hyperlink" Target="https://drive.google.com/uc?export=view&amp;id=1PUYazmoVsGKYvCrAxXUu4x0JpALZmURc" TargetMode="External" Id="rId3920" /><Relationship Type="http://schemas.openxmlformats.org/officeDocument/2006/relationships/hyperlink" Target="https://www.classlife.education/" TargetMode="External" Id="rId3921" /><Relationship Type="http://schemas.openxmlformats.org/officeDocument/2006/relationships/hyperlink" Target="https://drive.google.com/uc?export=view&amp;id=1KwtNLU1apZdqBSlpxD-EimE7CPxBFit1" TargetMode="External" Id="rId3922" /><Relationship Type="http://schemas.openxmlformats.org/officeDocument/2006/relationships/hyperlink" Target="https://comproved.com/en/" TargetMode="External" Id="rId3923" /><Relationship Type="http://schemas.openxmlformats.org/officeDocument/2006/relationships/hyperlink" Target="https://drive.google.com/uc?export=view&amp;id=1C1o3QWFEkCDG1usz6Jq7z5NpaGjwjeWN" TargetMode="External" Id="rId3924" /><Relationship Type="http://schemas.openxmlformats.org/officeDocument/2006/relationships/hyperlink" Target="https://www.cornelsen-gruppe.de/en" TargetMode="External" Id="rId3925" /><Relationship Type="http://schemas.openxmlformats.org/officeDocument/2006/relationships/hyperlink" Target="https://drive.google.com/uc?export=view&amp;id=19ypDvnjn_4Z12rPjDnNL5MxmdYWeA0l8" TargetMode="External" Id="rId3926" /><Relationship Type="http://schemas.openxmlformats.org/officeDocument/2006/relationships/hyperlink" Target="https://www.craft.ai/" TargetMode="External" Id="rId3927" /><Relationship Type="http://schemas.openxmlformats.org/officeDocument/2006/relationships/hyperlink" Target="https://twitter.com/craft_ai" TargetMode="External" Id="rId3928" /><Relationship Type="http://schemas.openxmlformats.org/officeDocument/2006/relationships/hyperlink" Target="https://www.linkedin.com/company/9460012/" TargetMode="External" Id="rId3929" /><Relationship Type="http://schemas.openxmlformats.org/officeDocument/2006/relationships/hyperlink" Target="https://drive.google.com/uc?export=view&amp;id=1GyQym391kyXn4a89-MetLQTbml6Ycm6N" TargetMode="External" Id="rId3930" /><Relationship Type="http://schemas.openxmlformats.org/officeDocument/2006/relationships/hyperlink" Target="http://www.dokeos.com/" TargetMode="External" Id="rId3931" /><Relationship Type="http://schemas.openxmlformats.org/officeDocument/2006/relationships/hyperlink" Target="https://www.instagram.com/dokeoslms/?hl=fr" TargetMode="External" Id="rId3932" /><Relationship Type="http://schemas.openxmlformats.org/officeDocument/2006/relationships/hyperlink" Target="https://twitter.com/dokeos" TargetMode="External" Id="rId3933" /><Relationship Type="http://schemas.openxmlformats.org/officeDocument/2006/relationships/hyperlink" Target="https://www.linkedin.com/company/dokeos" TargetMode="External" Id="rId3934" /><Relationship Type="http://schemas.openxmlformats.org/officeDocument/2006/relationships/hyperlink" Target="https://drive.google.com/uc?export=view&amp;id=1xGugivr8_wiL4QT2_aSQHWNhkSVjI78X" TargetMode="External" Id="rId3935" /><Relationship Type="http://schemas.openxmlformats.org/officeDocument/2006/relationships/hyperlink" Target="https://www.fasterclass.fr/" TargetMode="External" Id="rId3936" /><Relationship Type="http://schemas.openxmlformats.org/officeDocument/2006/relationships/hyperlink" Target="https://www.linkedin.com/company/10414242" TargetMode="External" Id="rId3937" /><Relationship Type="http://schemas.openxmlformats.org/officeDocument/2006/relationships/hyperlink" Target="https://drive.google.com/uc?export=view&amp;id=1xLZfCI4xD4uQitugXFJz9gmwak0uXHAb" TargetMode="External" Id="rId3938" /><Relationship Type="http://schemas.openxmlformats.org/officeDocument/2006/relationships/hyperlink" Target="https://grimp.io/" TargetMode="External" Id="rId3939" /><Relationship Type="http://schemas.openxmlformats.org/officeDocument/2006/relationships/hyperlink" Target="http://grimp.io/" TargetMode="External" Id="rId3940" /><Relationship Type="http://schemas.openxmlformats.org/officeDocument/2006/relationships/hyperlink" Target="https://twitter.com/grimphq" TargetMode="External" Id="rId3941" /><Relationship Type="http://schemas.openxmlformats.org/officeDocument/2006/relationships/hyperlink" Target="https://www.linkedin.com/company/grimp-hq" TargetMode="External" Id="rId3942" /><Relationship Type="http://schemas.openxmlformats.org/officeDocument/2006/relationships/hyperlink" Target="https://drive.google.com/uc?export=view&amp;id=1lhWB8mgqr3GhKCYp4p7hbREDRcUzAKMi" TargetMode="External" Id="rId3943" /><Relationship Type="http://schemas.openxmlformats.org/officeDocument/2006/relationships/hyperlink" Target="https://www.gymglish.com/" TargetMode="External" Id="rId3944" /><Relationship Type="http://schemas.openxmlformats.org/officeDocument/2006/relationships/hyperlink" Target="https://www.instagram.com/gymglish/" TargetMode="External" Id="rId3945" /><Relationship Type="http://schemas.openxmlformats.org/officeDocument/2006/relationships/hyperlink" Target="https://twitter.com/GymGlish" TargetMode="External" Id="rId3946" /><Relationship Type="http://schemas.openxmlformats.org/officeDocument/2006/relationships/hyperlink" Target="https://www.linkedin.com/company/gymglish/" TargetMode="External" Id="rId3947" /><Relationship Type="http://schemas.openxmlformats.org/officeDocument/2006/relationships/hyperlink" Target="https://drive.google.com/uc?export=view&amp;id=1MdCvkj9qbbjR5gLNr3SUDEyDvjBXRcOe" TargetMode="External" Id="rId3948" /><Relationship Type="http://schemas.openxmlformats.org/officeDocument/2006/relationships/hyperlink" Target="https://www.hopspots.dk/" TargetMode="External" Id="rId3949" /><Relationship Type="http://schemas.openxmlformats.org/officeDocument/2006/relationships/hyperlink" Target="https://www.instagram.com/hopspots/" TargetMode="External" Id="rId3950" /><Relationship Type="http://schemas.openxmlformats.org/officeDocument/2006/relationships/hyperlink" Target="https://www.linkedin.com/company/cxd--child-experience-design" TargetMode="External" Id="rId3951" /><Relationship Type="http://schemas.openxmlformats.org/officeDocument/2006/relationships/hyperlink" Target="https://drive.google.com/uc?export=view&amp;id=1avebXazKPl3R0ZemfcD5OxGhaXfQ5-yM" TargetMode="External" Id="rId3952" /><Relationship Type="http://schemas.openxmlformats.org/officeDocument/2006/relationships/hyperlink" Target="https://www.icdlfrance.org/" TargetMode="External" Id="rId3953" /><Relationship Type="http://schemas.openxmlformats.org/officeDocument/2006/relationships/hyperlink" Target="https://www.instagram.com/icdl_france/" TargetMode="External" Id="rId3954" /><Relationship Type="http://schemas.openxmlformats.org/officeDocument/2006/relationships/hyperlink" Target="https://mobile.twitter.com/icdlfrance" TargetMode="External" Id="rId3955" /><Relationship Type="http://schemas.openxmlformats.org/officeDocument/2006/relationships/hyperlink" Target="https://www.linkedin.com/company/pcie---icdl" TargetMode="External" Id="rId3956" /><Relationship Type="http://schemas.openxmlformats.org/officeDocument/2006/relationships/hyperlink" Target="https://drive.google.com/uc?export=view&amp;id=1PVXqrYKHZ7gh0jjLFg7Nu0BnvNbzAFY6" TargetMode="External" Id="rId3957" /><Relationship Type="http://schemas.openxmlformats.org/officeDocument/2006/relationships/hyperlink" Target="https://idruide.com/" TargetMode="External" Id="rId3958" /><Relationship Type="http://schemas.openxmlformats.org/officeDocument/2006/relationships/hyperlink" Target="https://twitter.com/idruide" TargetMode="External" Id="rId3959" /><Relationship Type="http://schemas.openxmlformats.org/officeDocument/2006/relationships/hyperlink" Target="https://www.linkedin.com/company/idruide/" TargetMode="External" Id="rId3960" /><Relationship Type="http://schemas.openxmlformats.org/officeDocument/2006/relationships/hyperlink" Target="https://drive.google.com/uc?export=view&amp;id=1Ybwksx-d4kZqR5fjglqp-cOFGqFYMfiI" TargetMode="External" Id="rId3961" /><Relationship Type="http://schemas.openxmlformats.org/officeDocument/2006/relationships/hyperlink" Target="https://investoryapp.com/" TargetMode="External" Id="rId3962" /><Relationship Type="http://schemas.openxmlformats.org/officeDocument/2006/relationships/hyperlink" Target="https://drive.google.com/uc?export=view&amp;id=18abHIP-8RZNT_W0-Xyy8BYLrPvL_NbDi" TargetMode="External" Id="rId3963" /><Relationship Type="http://schemas.openxmlformats.org/officeDocument/2006/relationships/hyperlink" Target="https://iteach.world/" TargetMode="External" Id="rId3964" /><Relationship Type="http://schemas.openxmlformats.org/officeDocument/2006/relationships/hyperlink" Target="https://www.facebook.com/Iteachworld" TargetMode="External" Id="rId3965" /><Relationship Type="http://schemas.openxmlformats.org/officeDocument/2006/relationships/hyperlink" Target="https://www.linkedin.com/company/iteach-world/" TargetMode="External" Id="rId3966" /><Relationship Type="http://schemas.openxmlformats.org/officeDocument/2006/relationships/hyperlink" Target="https://drive.google.com/uc?export=view&amp;id=1RQ-FvR9rMM2WaL5ZYatyvb3lpTbL4QUu" TargetMode="External" Id="rId3967" /><Relationship Type="http://schemas.openxmlformats.org/officeDocument/2006/relationships/hyperlink" Target="http://www.itorium.org/" TargetMode="External" Id="rId3968" /><Relationship Type="http://schemas.openxmlformats.org/officeDocument/2006/relationships/hyperlink" Target="https://www.linkedin.com/company/itorium/" TargetMode="External" Id="rId3969" /><Relationship Type="http://schemas.openxmlformats.org/officeDocument/2006/relationships/hyperlink" Target="https://drive.google.com/uc?export=view&amp;id=172KbpIJyhObW9VNZCgHSi2J8l5LiNMx6" TargetMode="External" Id="rId3970" /><Relationship Type="http://schemas.openxmlformats.org/officeDocument/2006/relationships/hyperlink" Target="http://www.kalivi.fr/" TargetMode="External" Id="rId3971" /><Relationship Type="http://schemas.openxmlformats.org/officeDocument/2006/relationships/hyperlink" Target="https://drive.google.com/uc?export=view&amp;id=19V-c6Vx-zsyibAB_Acb9xWXSDpknN66j" TargetMode="External" Id="rId3972" /><Relationship Type="http://schemas.openxmlformats.org/officeDocument/2006/relationships/hyperlink" Target="https://www.kingpact.fr/" TargetMode="External" Id="rId3973" /><Relationship Type="http://schemas.openxmlformats.org/officeDocument/2006/relationships/hyperlink" Target="https://www.instagram.com/king_pact/?hl=en" TargetMode="External" Id="rId3974" /><Relationship Type="http://schemas.openxmlformats.org/officeDocument/2006/relationships/hyperlink" Target="https://www.linkedin.com/company/kingpact" TargetMode="External" Id="rId3975" /><Relationship Type="http://schemas.openxmlformats.org/officeDocument/2006/relationships/hyperlink" Target="https://drive.google.com/uc?export=view&amp;id=1rxycs4aClc-rsFUADSHbP3UvYqQ2ILsZ" TargetMode="External" Id="rId3976" /><Relationship Type="http://schemas.openxmlformats.org/officeDocument/2006/relationships/hyperlink" Target="http://www.atelierdeschefs.fr/" TargetMode="External" Id="rId3977" /><Relationship Type="http://schemas.openxmlformats.org/officeDocument/2006/relationships/hyperlink" Target="https://www.instagram.com/atelierdeschefs/?hl=fr" TargetMode="External" Id="rId3978" /><Relationship Type="http://schemas.openxmlformats.org/officeDocument/2006/relationships/hyperlink" Target="https://www.linkedin.com/school/91825/admin/" TargetMode="External" Id="rId3979" /><Relationship Type="http://schemas.openxmlformats.org/officeDocument/2006/relationships/hyperlink" Target="https://drive.google.com/uc?export=view&amp;id=1LDxZPlc9z0_2a_kYkGKR-OE3lfa9_raG" TargetMode="External" Id="rId3980" /><Relationship Type="http://schemas.openxmlformats.org/officeDocument/2006/relationships/hyperlink" Target="http://www.ladante-in-cambridge.org/" TargetMode="External" Id="rId3981" /><Relationship Type="http://schemas.openxmlformats.org/officeDocument/2006/relationships/hyperlink" Target="https://drive.google.com/uc?export=view&amp;id=15dWE7_Jkm0qikbnfw6A3MS6r5NGCXBGC" TargetMode="External" Id="rId3982" /><Relationship Type="http://schemas.openxmlformats.org/officeDocument/2006/relationships/hyperlink" Target="https://www.lesadultesdedemain.com/" TargetMode="External" Id="rId3983" /><Relationship Type="http://schemas.openxmlformats.org/officeDocument/2006/relationships/hyperlink" Target="https://drive.google.com/uc?export=view&amp;id=1XsrIJPCpnCsiEMCc-ffZqiD5ji-O_RuH" TargetMode="External" Id="rId3984" /><Relationship Type="http://schemas.openxmlformats.org/officeDocument/2006/relationships/hyperlink" Target="http://www.lili.cool/" TargetMode="External" Id="rId3985" /><Relationship Type="http://schemas.openxmlformats.org/officeDocument/2006/relationships/hyperlink" Target="https://www.instagram.com/lili.cool.app/" TargetMode="External" Id="rId3986" /><Relationship Type="http://schemas.openxmlformats.org/officeDocument/2006/relationships/hyperlink" Target="https://www.linkedin.com/company/lili-cool-app/" TargetMode="External" Id="rId3987" /><Relationship Type="http://schemas.openxmlformats.org/officeDocument/2006/relationships/hyperlink" Target="https://drive.google.com/uc?export=view&amp;id=1WDZQ9Ue3Ry14i48aH2z38cWeGK56QnNs" TargetMode="External" Id="rId3988" /><Relationship Type="http://schemas.openxmlformats.org/officeDocument/2006/relationships/hyperlink" Target="https://www.lillup.com/" TargetMode="External" Id="rId3989" /><Relationship Type="http://schemas.openxmlformats.org/officeDocument/2006/relationships/hyperlink" Target="https://drive.google.com/uc?export=view&amp;id=10jfcbMIxHCWCuPijkl7kdwdYlL3S-Z8M" TargetMode="External" Id="rId3990" /><Relationship Type="http://schemas.openxmlformats.org/officeDocument/2006/relationships/hyperlink" Target="https://maitrelucas.fr/" TargetMode="External" Id="rId3991" /><Relationship Type="http://schemas.openxmlformats.org/officeDocument/2006/relationships/hyperlink" Target="https://www.instagram.com/maitre_lucas_officiel/" TargetMode="External" Id="rId3992" /><Relationship Type="http://schemas.openxmlformats.org/officeDocument/2006/relationships/hyperlink" Target="https://drive.google.com/uc?export=view&amp;id=1q8FAdIKhIs1konGHCutwoDRTv9W4Q6ke" TargetMode="External" Id="rId3993" /><Relationship Type="http://schemas.openxmlformats.org/officeDocument/2006/relationships/hyperlink" Target="https://massiveimmersive.com/" TargetMode="External" Id="rId3994" /><Relationship Type="http://schemas.openxmlformats.org/officeDocument/2006/relationships/hyperlink" Target="https://www.instagram.com/massive_immersive/" TargetMode="External" Id="rId3995" /><Relationship Type="http://schemas.openxmlformats.org/officeDocument/2006/relationships/hyperlink" Target="https://twitter.com/Mass_Immersive" TargetMode="External" Id="rId3996" /><Relationship Type="http://schemas.openxmlformats.org/officeDocument/2006/relationships/hyperlink" Target="https://www.linkedin.com/company/massive-immersive/" TargetMode="External" Id="rId3997" /><Relationship Type="http://schemas.openxmlformats.org/officeDocument/2006/relationships/hyperlink" Target="https://drive.google.com/uc?export=view&amp;id=1WaFFO26j0-v6HF_oMXt2iTxt3nD46tb4" TargetMode="External" Id="rId3998" /><Relationship Type="http://schemas.openxmlformats.org/officeDocument/2006/relationships/hyperlink" Target="http://mavoie.org/" TargetMode="External" Id="rId3999" /><Relationship Type="http://schemas.openxmlformats.org/officeDocument/2006/relationships/hyperlink" Target="http://www.mavoie.org/" TargetMode="External" Id="rId4000" /><Relationship Type="http://schemas.openxmlformats.org/officeDocument/2006/relationships/hyperlink" Target="https://www.instagram.com/mavoieorg/" TargetMode="External" Id="rId4001" /><Relationship Type="http://schemas.openxmlformats.org/officeDocument/2006/relationships/hyperlink" Target="https://twitter.com/mavoie_org" TargetMode="External" Id="rId4002" /><Relationship Type="http://schemas.openxmlformats.org/officeDocument/2006/relationships/hyperlink" Target="https://www.linkedin.com/company/mavoie-org" TargetMode="External" Id="rId4003" /><Relationship Type="http://schemas.openxmlformats.org/officeDocument/2006/relationships/hyperlink" Target="https://drive.google.com/uc?export=view&amp;id=1W3ho_mVXPZGwmLvx0PxB1B_JNdKfvZIs" TargetMode="External" Id="rId4004" /><Relationship Type="http://schemas.openxmlformats.org/officeDocument/2006/relationships/hyperlink" Target="https://mysalesacademy.fr/" TargetMode="External" Id="rId4005" /><Relationship Type="http://schemas.openxmlformats.org/officeDocument/2006/relationships/hyperlink" Target="https://www.linkedin.com/company/my-sales-academy-lyon/?viewAsMember=true" TargetMode="External" Id="rId4006" /><Relationship Type="http://schemas.openxmlformats.org/officeDocument/2006/relationships/hyperlink" Target="http://www.nabook.co/" TargetMode="External" Id="rId4007" /><Relationship Type="http://schemas.openxmlformats.org/officeDocument/2006/relationships/hyperlink" Target="https://www.instagram.com/nabook_app" TargetMode="External" Id="rId4008" /><Relationship Type="http://schemas.openxmlformats.org/officeDocument/2006/relationships/hyperlink" Target="https://twitter.com/nabook_app" TargetMode="External" Id="rId4009" /><Relationship Type="http://schemas.openxmlformats.org/officeDocument/2006/relationships/hyperlink" Target="https://www.linkedin.com/company/14454529/" TargetMode="External" Id="rId4010" /><Relationship Type="http://schemas.openxmlformats.org/officeDocument/2006/relationships/hyperlink" Target="https://drive.google.com/uc?export=view&amp;id=1e5U0t5OzR3bqBfXsaSt6nh_bprodcnuE" TargetMode="External" Id="rId4011" /><Relationship Type="http://schemas.openxmlformats.org/officeDocument/2006/relationships/hyperlink" Target="https://labpossible.com/" TargetMode="External" Id="rId4012" /><Relationship Type="http://schemas.openxmlformats.org/officeDocument/2006/relationships/hyperlink" Target="https://drive.google.com/uc?export=view&amp;id=1fqIjAMqQw84zXYqcKLZwfaYlMkmPSGRU" TargetMode="External" Id="rId4013" /><Relationship Type="http://schemas.openxmlformats.org/officeDocument/2006/relationships/hyperlink" Target="https://ww.pro-pulsar.com/" TargetMode="External" Id="rId4014" /><Relationship Type="http://schemas.openxmlformats.org/officeDocument/2006/relationships/hyperlink" Target="https://www.prosoon.eu/" TargetMode="External" Id="rId4015" /><Relationship Type="http://schemas.openxmlformats.org/officeDocument/2006/relationships/hyperlink" Target="https://www.linkedin.com/company/prosoon/?viewAsMember=true" TargetMode="External" Id="rId4016" /><Relationship Type="http://schemas.openxmlformats.org/officeDocument/2006/relationships/hyperlink" Target="https://drive.google.com/uc?export=view&amp;id=124cnukxbkZeszRLLSs9MGjeT7Ld7q5qG" TargetMode="External" Id="rId4017" /><Relationship Type="http://schemas.openxmlformats.org/officeDocument/2006/relationships/hyperlink" Target="https://www.readyforred.com/" TargetMode="External" Id="rId4018" /><Relationship Type="http://schemas.openxmlformats.org/officeDocument/2006/relationships/hyperlink" Target="https://www.instagram.com/erdbeerwoche_/" TargetMode="External" Id="rId4019" /><Relationship Type="http://schemas.openxmlformats.org/officeDocument/2006/relationships/hyperlink" Target="https://drive.google.com/uc?export=view&amp;id=1sp0ZYfzfMeCQSgRadItFh_B0vtcD3Z1j" TargetMode="External" Id="rId4020" /><Relationship Type="http://schemas.openxmlformats.org/officeDocument/2006/relationships/hyperlink" Target="https://www.relevancelearning.com/" TargetMode="External" Id="rId4021" /><Relationship Type="http://schemas.openxmlformats.org/officeDocument/2006/relationships/hyperlink" Target="https://www.linkedin.com/company/relevance-learning/" TargetMode="External" Id="rId4022" /><Relationship Type="http://schemas.openxmlformats.org/officeDocument/2006/relationships/hyperlink" Target="https://drive.google.com/uc?export=view&amp;id=1mbyM4wNtVWoaxfdrBEuYlchV3r4-AZvE" TargetMode="External" Id="rId4023" /><Relationship Type="http://schemas.openxmlformats.org/officeDocument/2006/relationships/hyperlink" Target="http://www.ro-botica.com/" TargetMode="External" Id="rId4024" /><Relationship Type="http://schemas.openxmlformats.org/officeDocument/2006/relationships/hyperlink" Target="https://drive.google.com/uc?export=view&amp;id=1uA0VCcxLClpMRsq5xY3lgTYwBqEskUWt" TargetMode="External" Id="rId4025" /><Relationship Type="http://schemas.openxmlformats.org/officeDocument/2006/relationships/hyperlink" Target="https://skilit.io/" TargetMode="External" Id="rId4026" /><Relationship Type="http://schemas.openxmlformats.org/officeDocument/2006/relationships/hyperlink" Target="https://www.linkedin.com/company/skilit-io" TargetMode="External" Id="rId4027" /><Relationship Type="http://schemas.openxmlformats.org/officeDocument/2006/relationships/hyperlink" Target="https://drive.google.com/uc?export=view&amp;id=1KKddj_0VgeVWOzVFYEHLzraeeOjynugb" TargetMode="External" Id="rId4028" /><Relationship Type="http://schemas.openxmlformats.org/officeDocument/2006/relationships/hyperlink" Target="https://www.skilmi.fr/" TargetMode="External" Id="rId4029" /><Relationship Type="http://schemas.openxmlformats.org/officeDocument/2006/relationships/hyperlink" Target="https://www.instagram.com/skilmi.fr/" TargetMode="External" Id="rId4030" /><Relationship Type="http://schemas.openxmlformats.org/officeDocument/2006/relationships/hyperlink" Target="https://twitter.com/skilmi_fr" TargetMode="External" Id="rId4031" /><Relationship Type="http://schemas.openxmlformats.org/officeDocument/2006/relationships/hyperlink" Target="https://www.linkedin.com/company/skilmi/?viewAsMember=true" TargetMode="External" Id="rId4032" /><Relationship Type="http://schemas.openxmlformats.org/officeDocument/2006/relationships/hyperlink" Target="https://drive.google.com/uc?export=view&amp;id=1BBWOQ1HPN0JNV9lOFCbdkCjDTOcjaGAJ" TargetMode="External" Id="rId4033" /><Relationship Type="http://schemas.openxmlformats.org/officeDocument/2006/relationships/hyperlink" Target="http://www.smileandlearn.com/" TargetMode="External" Id="rId4034" /><Relationship Type="http://schemas.openxmlformats.org/officeDocument/2006/relationships/hyperlink" Target="https://www.linkedin.com/company/9408157" TargetMode="External" Id="rId4035" /><Relationship Type="http://schemas.openxmlformats.org/officeDocument/2006/relationships/hyperlink" Target="https://drive.google.com/uc?export=view&amp;id=11EHEP7cc7jGMuFzjvwFcNhWSWrAtbLOd" TargetMode="External" Id="rId4036" /><Relationship Type="http://schemas.openxmlformats.org/officeDocument/2006/relationships/hyperlink" Target="http://www.smowl.net/" TargetMode="External" Id="rId4037" /><Relationship Type="http://schemas.openxmlformats.org/officeDocument/2006/relationships/hyperlink" Target="http://www.societycollege.nl/" TargetMode="External" Id="rId4038" /><Relationship Type="http://schemas.openxmlformats.org/officeDocument/2006/relationships/hyperlink" Target="https://nl.linkedin.com/company/society-college" TargetMode="External" Id="rId4039" /><Relationship Type="http://schemas.openxmlformats.org/officeDocument/2006/relationships/hyperlink" Target="https://drive.google.com/uc?export=view&amp;id=1JVjRBSyCS61RMCCu8cRo_OUozBmoPII-" TargetMode="External" Id="rId4040" /><Relationship Type="http://schemas.openxmlformats.org/officeDocument/2006/relationships/hyperlink" Target="https://www.sparted.com/" TargetMode="External" Id="rId4041" /><Relationship Type="http://schemas.openxmlformats.org/officeDocument/2006/relationships/hyperlink" Target="https://drive.google.com/uc?export=view&amp;id=1OUPEQEnOoA0u_eX_5n8RNxiV2t-juSp8" TargetMode="External" Id="rId4042" /><Relationship Type="http://schemas.openxmlformats.org/officeDocument/2006/relationships/hyperlink" Target="https://sylexapp.com/" TargetMode="External" Id="rId4043" /><Relationship Type="http://schemas.openxmlformats.org/officeDocument/2006/relationships/hyperlink" Target="https://www.instagram.com/sylexapp/" TargetMode="External" Id="rId4044" /><Relationship Type="http://schemas.openxmlformats.org/officeDocument/2006/relationships/hyperlink" Target="https://twitter.com/sylexapp" TargetMode="External" Id="rId4045" /><Relationship Type="http://schemas.openxmlformats.org/officeDocument/2006/relationships/hyperlink" Target="https://www.linkedin.com/company/76330568" TargetMode="External" Id="rId4046" /><Relationship Type="http://schemas.openxmlformats.org/officeDocument/2006/relationships/hyperlink" Target="https://drive.google.com/uc?export=view&amp;id=1Uo900LSpwcy0Z-vbp6zejgdb6llCdtqJ" TargetMode="External" Id="rId4047" /><Relationship Type="http://schemas.openxmlformats.org/officeDocument/2006/relationships/hyperlink" Target="http://syntagmadigital.com/" TargetMode="External" Id="rId4048" /><Relationship Type="http://schemas.openxmlformats.org/officeDocument/2006/relationships/hyperlink" Target="https://www.instagram.com/syntagma_analizador_sintactico/" TargetMode="External" Id="rId4049" /><Relationship Type="http://schemas.openxmlformats.org/officeDocument/2006/relationships/hyperlink" Target="https://twitter.com/SyntagmaD" TargetMode="External" Id="rId4050" /><Relationship Type="http://schemas.openxmlformats.org/officeDocument/2006/relationships/hyperlink" Target="https://www.linkedin.com/company/syntagmadigital" TargetMode="External" Id="rId4051" /><Relationship Type="http://schemas.openxmlformats.org/officeDocument/2006/relationships/hyperlink" Target="https://drive.google.com/uc?export=view&amp;id=1GIzpBDb_x7x10sHJ4_EL8XKZGi5BPHka" TargetMode="External" Id="rId4052" /><Relationship Type="http://schemas.openxmlformats.org/officeDocument/2006/relationships/hyperlink" Target="https://takk.app/" TargetMode="External" Id="rId4053" /><Relationship Type="http://schemas.openxmlformats.org/officeDocument/2006/relationships/hyperlink" Target="https://drive.google.com/uc?export=view&amp;id=15CsNMUfypfn7y2BlBmahS1h7EhY_wi13" TargetMode="External" Id="rId4054" /><Relationship Type="http://schemas.openxmlformats.org/officeDocument/2006/relationships/hyperlink" Target="https://www.talanddev.com/" TargetMode="External" Id="rId4055" /><Relationship Type="http://schemas.openxmlformats.org/officeDocument/2006/relationships/hyperlink" Target="https://drive.google.com/uc?export=view&amp;id=1uTk_qyJPZMFsWiW-vLD_vg1Kptk13cOo" TargetMode="External" Id="rId4056" /><Relationship Type="http://schemas.openxmlformats.org/officeDocument/2006/relationships/hyperlink" Target="http://techkidsacademy.com/" TargetMode="External" Id="rId4057" /><Relationship Type="http://schemas.openxmlformats.org/officeDocument/2006/relationships/hyperlink" Target="https://www.instagram.com/techkidsacademy/" TargetMode="External" Id="rId4058" /><Relationship Type="http://schemas.openxmlformats.org/officeDocument/2006/relationships/hyperlink" Target="https://twitter.com/techkidsacademy" TargetMode="External" Id="rId4059" /><Relationship Type="http://schemas.openxmlformats.org/officeDocument/2006/relationships/hyperlink" Target="https://www.linkedin.com/company/45964857/" TargetMode="External" Id="rId4060" /><Relationship Type="http://schemas.openxmlformats.org/officeDocument/2006/relationships/hyperlink" Target="https://drive.google.com/uc?export=view&amp;id=1Te0XaUR4-3wgcmPhqlAwtClFPBJ2cNMn" TargetMode="External" Id="rId4061" /><Relationship Type="http://schemas.openxmlformats.org/officeDocument/2006/relationships/hyperlink" Target="https://testwe.eu/en/" TargetMode="External" Id="rId4062" /><Relationship Type="http://schemas.openxmlformats.org/officeDocument/2006/relationships/hyperlink" Target="https://www.instagram.com/testwe_eu/" TargetMode="External" Id="rId4063" /><Relationship Type="http://schemas.openxmlformats.org/officeDocument/2006/relationships/hyperlink" Target="https://twitter.com/testwe_eu" TargetMode="External" Id="rId4064" /><Relationship Type="http://schemas.openxmlformats.org/officeDocument/2006/relationships/hyperlink" Target="https://www.linkedin.com/company/testwe" TargetMode="External" Id="rId4065" /><Relationship Type="http://schemas.openxmlformats.org/officeDocument/2006/relationships/hyperlink" Target="https://drive.google.com/uc?export=view&amp;id=1iEVw_HadK7sPYKIj1otl8chfgGpbuiFV" TargetMode="External" Id="rId4066" /><Relationship Type="http://schemas.openxmlformats.org/officeDocument/2006/relationships/hyperlink" Target="http://www.thephotoacademy.com/" TargetMode="External" Id="rId4067" /><Relationship Type="http://schemas.openxmlformats.org/officeDocument/2006/relationships/hyperlink" Target="https://drive.google.com/uc?export=view&amp;id=1a9Gs_i2bv-KsdeNnDQsb4Lm0yWvDVIF3" TargetMode="External" Id="rId4068" /><Relationship Type="http://schemas.openxmlformats.org/officeDocument/2006/relationships/hyperlink" Target="http://toddl.co/" TargetMode="External" Id="rId4069" /><Relationship Type="http://schemas.openxmlformats.org/officeDocument/2006/relationships/hyperlink" Target="http://www.toddl.co/" TargetMode="External" Id="rId4070" /><Relationship Type="http://schemas.openxmlformats.org/officeDocument/2006/relationships/hyperlink" Target="https://www.tosa.org/EN/index" TargetMode="External" Id="rId4071" /><Relationship Type="http://schemas.openxmlformats.org/officeDocument/2006/relationships/hyperlink" Target="https://www.linkedin.com/company/tosacertifications/" TargetMode="External" Id="rId4072" /><Relationship Type="http://schemas.openxmlformats.org/officeDocument/2006/relationships/hyperlink" Target="https://drive.google.com/uc?export=view&amp;id=16TJ0KiiE1Fu1-OeWrfghjROa8pbt_KKG" TargetMode="External" Id="rId4073" /><Relationship Type="http://schemas.openxmlformats.org/officeDocument/2006/relationships/hyperlink" Target="https://unly.org/" TargetMode="External" Id="rId4074" /><Relationship Type="http://schemas.openxmlformats.org/officeDocument/2006/relationships/hyperlink" Target="https://www.instagram.com/propulseo/" TargetMode="External" Id="rId4075" /><Relationship Type="http://schemas.openxmlformats.org/officeDocument/2006/relationships/hyperlink" Target="https://twitter.com/unlyed" TargetMode="External" Id="rId4076" /><Relationship Type="http://schemas.openxmlformats.org/officeDocument/2006/relationships/hyperlink" Target="https://www.linkedin.com/company/unly/" TargetMode="External" Id="rId4077" /><Relationship Type="http://schemas.openxmlformats.org/officeDocument/2006/relationships/hyperlink" Target="https://drive.google.com/uc?export=view&amp;id=1xliyHvm-rirbaW4SkkXooG2ouNpBrCl0" TargetMode="External" Id="rId4078" /><Relationship Type="http://schemas.openxmlformats.org/officeDocument/2006/relationships/hyperlink" Target="http://upskyld.com/" TargetMode="External" Id="rId4079" /><Relationship Type="http://schemas.openxmlformats.org/officeDocument/2006/relationships/hyperlink" Target="https://www.linkedin.com/company/84367156/" TargetMode="External" Id="rId4080" /><Relationship Type="http://schemas.openxmlformats.org/officeDocument/2006/relationships/hyperlink" Target="https://drive.google.com/uc?export=view&amp;id=1Xzopr91dmMwctfgSfU4v-O8hqe2GTrjr" TargetMode="External" Id="rId4081" /><Relationship Type="http://schemas.openxmlformats.org/officeDocument/2006/relationships/hyperlink" Target="https://www.vbuddies.world/" TargetMode="External" Id="rId4082" /><Relationship Type="http://schemas.openxmlformats.org/officeDocument/2006/relationships/hyperlink" Target="https://drive.google.com/uc?export=view&amp;id=10i9jLilfNja6oiGYWjSn4mxhYbB7_55O" TargetMode="External" Id="rId4083" /><Relationship Type="http://schemas.openxmlformats.org/officeDocument/2006/relationships/hyperlink" Target="http://verifyed.io/" TargetMode="External" Id="rId4084" /><Relationship Type="http://schemas.openxmlformats.org/officeDocument/2006/relationships/hyperlink" Target="https://drive.google.com/uc?export=view&amp;id=1pHCmazhqzvaA7TrkPFo6jXqqaA7vX16C" TargetMode="External" Id="rId4085" /><Relationship Type="http://schemas.openxmlformats.org/officeDocument/2006/relationships/hyperlink" Target="http://weeki.io/" TargetMode="External" Id="rId4086" /><Relationship Type="http://schemas.openxmlformats.org/officeDocument/2006/relationships/hyperlink" Target="https://drive.google.com/uc?export=view&amp;id=1WyeJb8cH6GRodx1C35_AgaVsCU2aTXOu" TargetMode="External" Id="rId4087" /><Relationship Type="http://schemas.openxmlformats.org/officeDocument/2006/relationships/hyperlink" Target="https://www.weschool.com/en" TargetMode="External" Id="rId4088" /><Relationship Type="http://schemas.openxmlformats.org/officeDocument/2006/relationships/hyperlink" Target="https://www.instagram.com/weschool_it/" TargetMode="External" Id="rId4089" /><Relationship Type="http://schemas.openxmlformats.org/officeDocument/2006/relationships/hyperlink" Target="https://twitter.com/_weschool" TargetMode="External" Id="rId4090" /><Relationship Type="http://schemas.openxmlformats.org/officeDocument/2006/relationships/hyperlink" Target="https://www.linkedin.com/company/weschool" TargetMode="External" Id="rId4091" /><Relationship Type="http://schemas.openxmlformats.org/officeDocument/2006/relationships/hyperlink" Target="https://whaller.com/" TargetMode="External" Id="rId4092" /><Relationship Type="http://schemas.openxmlformats.org/officeDocument/2006/relationships/hyperlink" Target="https://twitter.com/whaller_en" TargetMode="External" Id="rId4093" /><Relationship Type="http://schemas.openxmlformats.org/officeDocument/2006/relationships/hyperlink" Target="https://www.linkedin.com/company/whaller" TargetMode="External" Id="rId4094" /><Relationship Type="http://schemas.openxmlformats.org/officeDocument/2006/relationships/hyperlink" Target="https://drive.google.com/uc?export=view&amp;id=1rXK3BL3xTvEp6YnOoCvY4uKcofHyRN1m" TargetMode="External" Id="rId4095" /><Relationship Type="http://schemas.openxmlformats.org/officeDocument/2006/relationships/hyperlink" Target="https://academa.de/" TargetMode="External" Id="rId4096" /><Relationship Type="http://schemas.openxmlformats.org/officeDocument/2006/relationships/hyperlink" Target="https://drive.google.com/uc?export=view&amp;id=1AQgpgCyLZeGulCay7lylWpMPdiT_xw-u" TargetMode="External" Id="rId4097" /><Relationship Type="http://schemas.openxmlformats.org/officeDocument/2006/relationships/hyperlink" Target="http://www.admentum.se/" TargetMode="External" Id="rId4098" /><Relationship Type="http://schemas.openxmlformats.org/officeDocument/2006/relationships/hyperlink" Target="https://www.linkedin.com/company/skolplattformen" TargetMode="External" Id="rId4099" /><Relationship Type="http://schemas.openxmlformats.org/officeDocument/2006/relationships/hyperlink" Target="https://drive.google.com/uc?export=view&amp;id=129cHBdnzZ35rpshNhMzjImatpP0vUtiG" TargetMode="External" Id="rId4100" /><Relationship Type="http://schemas.openxmlformats.org/officeDocument/2006/relationships/hyperlink" Target="http://www.area9lyceum.com/" TargetMode="External" Id="rId4101" /><Relationship Type="http://schemas.openxmlformats.org/officeDocument/2006/relationships/hyperlink" Target="https://twitter.com/area9lyceum" TargetMode="External" Id="rId4102" /><Relationship Type="http://schemas.openxmlformats.org/officeDocument/2006/relationships/hyperlink" Target="https://www.linkedin.com/company/area9lyceum" TargetMode="External" Id="rId4103" /><Relationship Type="http://schemas.openxmlformats.org/officeDocument/2006/relationships/hyperlink" Target="https://drive.google.com/uc?export=view&amp;id=1p5SxfRPj34o-oHh8fNB7bBDFC4G6dqB_" TargetMode="External" Id="rId4104" /><Relationship Type="http://schemas.openxmlformats.org/officeDocument/2006/relationships/hyperlink" Target="https://codegrade.com/" TargetMode="External" Id="rId4105" /><Relationship Type="http://schemas.openxmlformats.org/officeDocument/2006/relationships/hyperlink" Target="https://twitter.com/CodeGradeCom" TargetMode="External" Id="rId4106" /><Relationship Type="http://schemas.openxmlformats.org/officeDocument/2006/relationships/hyperlink" Target="https://www.linkedin.com/company/codegrade/" TargetMode="External" Id="rId4107" /><Relationship Type="http://schemas.openxmlformats.org/officeDocument/2006/relationships/hyperlink" Target="https://drive.google.com/uc?export=view&amp;id=13iLT4uxN7ff9vwuvbhxw4GGGXhTIjn92" TargetMode="External" Id="rId4108" /><Relationship Type="http://schemas.openxmlformats.org/officeDocument/2006/relationships/hyperlink" Target="https://globalcoss.com/" TargetMode="External" Id="rId4109" /><Relationship Type="http://schemas.openxmlformats.org/officeDocument/2006/relationships/hyperlink" Target="https://drive.google.com/uc?export=view&amp;id=1mR3HjV2Ubt8jIBhiTSGgwHBfr15aRgaL" TargetMode="External" Id="rId4110" /><Relationship Type="http://schemas.openxmlformats.org/officeDocument/2006/relationships/hyperlink" Target="https://www.digleefy.no/" TargetMode="External" Id="rId4111" /><Relationship Type="http://schemas.openxmlformats.org/officeDocument/2006/relationships/hyperlink" Target="https://eduki.com/" TargetMode="External" Id="rId4112" /><Relationship Type="http://schemas.openxmlformats.org/officeDocument/2006/relationships/hyperlink" Target="https://drive.google.com/uc?export=view&amp;id=1iqds_j-_bNpFZ4qyiPP_03OWWmOH1_Dl" TargetMode="External" Id="rId4113" /><Relationship Type="http://schemas.openxmlformats.org/officeDocument/2006/relationships/hyperlink" Target="http://www.emotionhack.com/" TargetMode="External" Id="rId4114" /><Relationship Type="http://schemas.openxmlformats.org/officeDocument/2006/relationships/hyperlink" Target="https://drive.google.com/uc?export=view&amp;id=1hUDH8ZIJeJAo_8423Be-94k00zOCS1dW" TargetMode="External" Id="rId4115" /><Relationship Type="http://schemas.openxmlformats.org/officeDocument/2006/relationships/hyperlink" Target="https://www.funacademy.org/" TargetMode="External" Id="rId4116" /><Relationship Type="http://schemas.openxmlformats.org/officeDocument/2006/relationships/hyperlink" Target="https://www.linkedin.com/search/results/all/?keywords=fun%20academy&amp;origin=GLOBAL_SEARCH_HEADER&amp;sid=u*2" TargetMode="External" Id="rId4117" /><Relationship Type="http://schemas.openxmlformats.org/officeDocument/2006/relationships/hyperlink" Target="https://drive.google.com/uc?export=view&amp;id=1DrJgMqXiFPJZnBm-JHUntmb6taLWtvYR" TargetMode="External" Id="rId4118" /><Relationship Type="http://schemas.openxmlformats.org/officeDocument/2006/relationships/hyperlink" Target="https://heroapp.ai/" TargetMode="External" Id="rId4119" /><Relationship Type="http://schemas.openxmlformats.org/officeDocument/2006/relationships/hyperlink" Target="https://drive.google.com/uc?export=view&amp;id=18OoJhR33MvPz61Kpabv7xY6RjXTFGLdm" TargetMode="External" Id="rId4120" /><Relationship Type="http://schemas.openxmlformats.org/officeDocument/2006/relationships/hyperlink" Target="http://kings.lt/" TargetMode="External" Id="rId4121" /><Relationship Type="http://schemas.openxmlformats.org/officeDocument/2006/relationships/hyperlink" Target="https://drive.google.com/uc?export=view&amp;id=15z9REUQowvXlWBZVxxidwFesMKeaVOUn" TargetMode="External" Id="rId4122" /><Relationship Type="http://schemas.openxmlformats.org/officeDocument/2006/relationships/hyperlink" Target="https://www.lingio.com/en" TargetMode="External" Id="rId4123" /><Relationship Type="http://schemas.openxmlformats.org/officeDocument/2006/relationships/hyperlink" Target="https://www.linkedin.com/company/lingio" TargetMode="External" Id="rId4124" /><Relationship Type="http://schemas.openxmlformats.org/officeDocument/2006/relationships/hyperlink" Target="https://drive.google.com/uc?export=view&amp;id=1UC5IHoaTV757dxz8n9nFVJ_so690SL0z" TargetMode="External" Id="rId4125" /><Relationship Type="http://schemas.openxmlformats.org/officeDocument/2006/relationships/hyperlink" Target="https://www.magmalearning.com/" TargetMode="External" Id="rId4126" /><Relationship Type="http://schemas.openxmlformats.org/officeDocument/2006/relationships/hyperlink" Target="https://www.linkedin.com/company/magma-learning" TargetMode="External" Id="rId4127" /><Relationship Type="http://schemas.openxmlformats.org/officeDocument/2006/relationships/hyperlink" Target="https://drive.google.com/uc?export=view&amp;id=1u31TDPk-Ut4ct4gTzRgG76gMBrDMOCNw" TargetMode="External" Id="rId4128" /><Relationship Type="http://schemas.openxmlformats.org/officeDocument/2006/relationships/hyperlink" Target="http://www.magmamath.com/" TargetMode="External" Id="rId4129" /><Relationship Type="http://schemas.openxmlformats.org/officeDocument/2006/relationships/hyperlink" Target="http://instagram.com/magma_math" TargetMode="External" Id="rId4130" /><Relationship Type="http://schemas.openxmlformats.org/officeDocument/2006/relationships/hyperlink" Target="http://twitter.com/magmamath" TargetMode="External" Id="rId4131" /><Relationship Type="http://schemas.openxmlformats.org/officeDocument/2006/relationships/hyperlink" Target="https://www.linkedin.com/company/magma-math" TargetMode="External" Id="rId4132" /><Relationship Type="http://schemas.openxmlformats.org/officeDocument/2006/relationships/hyperlink" Target="https://drive.google.com/uc?export=view&amp;id=1KawoERUFQfFikHlRSnMKFNbiaUuZL6xz" TargetMode="External" Id="rId4133" /><Relationship Type="http://schemas.openxmlformats.org/officeDocument/2006/relationships/hyperlink" Target="https://www.meebook.org/" TargetMode="External" Id="rId4134" /><Relationship Type="http://schemas.openxmlformats.org/officeDocument/2006/relationships/hyperlink" Target="https://drive.google.com/uc?export=view&amp;id=1fh3eyiLhJMGGQ4oj8NqA7nVBIL8hCj5L" TargetMode="External" Id="rId4135" /><Relationship Type="http://schemas.openxmlformats.org/officeDocument/2006/relationships/hyperlink" Target="https://www.mobietrain.com/" TargetMode="External" Id="rId4136" /><Relationship Type="http://schemas.openxmlformats.org/officeDocument/2006/relationships/hyperlink" Target="https://drive.google.com/uc?export=view&amp;id=1cZjFsdmcGZsygV0t8hzOKS31SRL_Y1BF" TargetMode="External" Id="rId4137" /><Relationship Type="http://schemas.openxmlformats.org/officeDocument/2006/relationships/hyperlink" Target="http://www.noobe.es/" TargetMode="External" Id="rId4138" /><Relationship Type="http://schemas.openxmlformats.org/officeDocument/2006/relationships/hyperlink" Target="https://www.instagram.com/noobeagilelearning/" TargetMode="External" Id="rId4139" /><Relationship Type="http://schemas.openxmlformats.org/officeDocument/2006/relationships/hyperlink" Target="https://twitter.com/Noobe_AL" TargetMode="External" Id="rId4140" /><Relationship Type="http://schemas.openxmlformats.org/officeDocument/2006/relationships/hyperlink" Target="https://www.linkedin.com/company/noobeeducation/" TargetMode="External" Id="rId4141" /><Relationship Type="http://schemas.openxmlformats.org/officeDocument/2006/relationships/hyperlink" Target="https://drive.google.com/uc?export=view&amp;id=1iKwNLIl1olsJV47PftqjWuIMn13cqmS2" TargetMode="External" Id="rId4142" /><Relationship Type="http://schemas.openxmlformats.org/officeDocument/2006/relationships/hyperlink" Target="http://www.paideialondon.com/" TargetMode="External" Id="rId4143" /><Relationship Type="http://schemas.openxmlformats.org/officeDocument/2006/relationships/hyperlink" Target="https://drive.google.com/uc?export=view&amp;id=10TjOvjGvEVQQ9XiSsjaKtz3Qja5zanBi" TargetMode="External" Id="rId4144" /><Relationship Type="http://schemas.openxmlformats.org/officeDocument/2006/relationships/hyperlink" Target="https://www.pitchboy.sc/" TargetMode="External" Id="rId4145" /><Relationship Type="http://schemas.openxmlformats.org/officeDocument/2006/relationships/hyperlink" Target="https://twitter.com/PitchboyVR" TargetMode="External" Id="rId4146" /><Relationship Type="http://schemas.openxmlformats.org/officeDocument/2006/relationships/hyperlink" Target="https://www.linkedin.com/company/pitchboy/" TargetMode="External" Id="rId4147" /><Relationship Type="http://schemas.openxmlformats.org/officeDocument/2006/relationships/hyperlink" Target="https://tunteetjataidot.fi/en/home/" TargetMode="External" Id="rId4148" /><Relationship Type="http://schemas.openxmlformats.org/officeDocument/2006/relationships/hyperlink" Target="https://drive.google.com/uc?export=view&amp;id=1wpWc5yzNVib6tyQsHwtXaw7z4-7OuqQW" TargetMode="External" Id="rId4149" /><Relationship Type="http://schemas.openxmlformats.org/officeDocument/2006/relationships/hyperlink" Target="https://www.schoolparrot.co.uk/" TargetMode="External" Id="rId4150" /><Relationship Type="http://schemas.openxmlformats.org/officeDocument/2006/relationships/hyperlink" Target="https://www.instagram.com/schoolparrot/" TargetMode="External" Id="rId4151" /><Relationship Type="http://schemas.openxmlformats.org/officeDocument/2006/relationships/hyperlink" Target="https://twitter.com/schoolparrotoff" TargetMode="External" Id="rId4152" /><Relationship Type="http://schemas.openxmlformats.org/officeDocument/2006/relationships/hyperlink" Target="https://www.linkedin.com/company/schoolparrot" TargetMode="External" Id="rId4153" /><Relationship Type="http://schemas.openxmlformats.org/officeDocument/2006/relationships/hyperlink" Target="https://drive.google.com/uc?export=view&amp;id=1v7_UPnE7zhHHqGRBk5PN-tTUGg-ooEC8" TargetMode="External" Id="rId4154" /><Relationship Type="http://schemas.openxmlformats.org/officeDocument/2006/relationships/hyperlink" Target="http://www.siliconhagen.com/" TargetMode="External" Id="rId4155" /><Relationship Type="http://schemas.openxmlformats.org/officeDocument/2006/relationships/hyperlink" Target="https://drive.google.com/uc?export=view&amp;id=1X6vPeqda-H7oxzAQDy45wLVGIVRRYTLy" TargetMode="External" Id="rId4156" /><Relationship Type="http://schemas.openxmlformats.org/officeDocument/2006/relationships/hyperlink" Target="https://startsteps.org/" TargetMode="External" Id="rId4157" /><Relationship Type="http://schemas.openxmlformats.org/officeDocument/2006/relationships/hyperlink" Target="https://drive.google.com/uc?export=view&amp;id=1OHeulynBf601ThHWH1sW_LWaRC6Tcmc1" TargetMode="External" Id="rId4158" /><Relationship Type="http://schemas.openxmlformats.org/officeDocument/2006/relationships/hyperlink" Target="http://www.swisslearninghub.com/" TargetMode="External" Id="rId4159" /><Relationship Type="http://schemas.openxmlformats.org/officeDocument/2006/relationships/hyperlink" Target="https://drive.google.com/uc?export=view&amp;id=1Jbip0Ecr93LrAqFNM0R14EqRBN1t4XQc" TargetMode="External" Id="rId4160" /><Relationship Type="http://schemas.openxmlformats.org/officeDocument/2006/relationships/hyperlink" Target="http://www.vrplatformen.dk/platform/xpandr/" TargetMode="External" Id="rId4161" /><Relationship Type="http://schemas.openxmlformats.org/officeDocument/2006/relationships/hyperlink" Target="https://www.linkedin.com/company/takeawalkvr" TargetMode="External" Id="rId4162" /><Relationship Type="http://schemas.openxmlformats.org/officeDocument/2006/relationships/hyperlink" Target="https://drive.google.com/uc?export=view&amp;id=1lVtHWRaC-b84Wzm8aDA_mxZ0jOtXABOP" TargetMode="External" Id="rId4163" /><Relationship Type="http://schemas.openxmlformats.org/officeDocument/2006/relationships/hyperlink" Target="https://tiny-coaching.com/index.php/en/tinycoaching-le-coach-virtuel-english/" TargetMode="External" Id="rId4164" /><Relationship Type="http://schemas.openxmlformats.org/officeDocument/2006/relationships/hyperlink" Target="https://drive.google.com/uc?export=view&amp;id=1Yxtxp--q-tMpwRcecGXpcTEGIbo6MKTf" TargetMode="External" Id="rId4165" /><Relationship Type="http://schemas.openxmlformats.org/officeDocument/2006/relationships/hyperlink" Target="https://www.tokeyfinance.com/home" TargetMode="External" Id="rId4166" /><Relationship Type="http://schemas.openxmlformats.org/officeDocument/2006/relationships/hyperlink" Target="https://drive.google.com/uc?export=view&amp;id=18OGAQXEQSJEJx9k3URZP1fYcKiZWtQjT" TargetMode="External" Id="rId4167" /><Relationship Type="http://schemas.openxmlformats.org/officeDocument/2006/relationships/hyperlink" Target="http://www.valamonacademy.com/" TargetMode="External" Id="rId4168" /><Relationship Type="http://schemas.openxmlformats.org/officeDocument/2006/relationships/hyperlink" Target="https://drive.google.com/uc?export=view&amp;id=1bRCKsMWAJeasqV_c_PpH3-MrJ35Mu6cO" TargetMode="External" Id="rId4169" /><Relationship Type="http://schemas.openxmlformats.org/officeDocument/2006/relationships/hyperlink" Target="http://www.learnmatch.com/" TargetMode="External" Id="rId4170" /><Relationship Type="http://schemas.openxmlformats.org/officeDocument/2006/relationships/hyperlink" Target="https://www.linkedin.com/company/11433216/" TargetMode="External" Id="rId4171" /><Relationship Type="http://schemas.openxmlformats.org/officeDocument/2006/relationships/hyperlink" Target="https://drive.google.com/uc?export=view&amp;id=1-0lZ4gMZAUKZ-peL7fBS4rQZFZdT_1Zl" TargetMode="External" Id="rId4172" /><Relationship Type="http://schemas.openxmlformats.org/officeDocument/2006/relationships/hyperlink" Target="http://www.weirdsciencelab.com/" TargetMode="External" Id="rId4173" /><Relationship Type="http://schemas.openxmlformats.org/officeDocument/2006/relationships/hyperlink" Target="https://drive.google.com/uc?export=view&amp;id=1F7PJijQCKUSeVbq51Il8BWpA9NxcEaoz" TargetMode="External" Id="rId4174" /><Relationship Type="http://schemas.openxmlformats.org/officeDocument/2006/relationships/hyperlink" Target="http://www.wryte.io/" TargetMode="External" Id="rId4175" /><Relationship Type="http://schemas.openxmlformats.org/officeDocument/2006/relationships/hyperlink" Target="https://drive.google.com/uc?export=view&amp;id=1UDmjwmSea9PdNQaL3wzAOugIJunRxHhx" TargetMode="External" Id="rId4176" /><Relationship Type="http://schemas.openxmlformats.org/officeDocument/2006/relationships/hyperlink" Target="http://jenseigne.fr/" TargetMode="External" Id="rId4177" /><Relationship Type="http://schemas.openxmlformats.org/officeDocument/2006/relationships/hyperlink" Target="https://www.jenseigne.fr/" TargetMode="External" Id="rId4178" /><Relationship Type="http://schemas.openxmlformats.org/officeDocument/2006/relationships/hyperlink" Target="http://jenseigne.fr/" TargetMode="External" Id="rId4179" /><Relationship Type="http://schemas.openxmlformats.org/officeDocument/2006/relationships/hyperlink" Target="http://meseleves.fr/" TargetMode="External" Id="rId4180" /><Relationship Type="http://schemas.openxmlformats.org/officeDocument/2006/relationships/hyperlink" Target="https://leemons.io/" TargetMode="External" Id="rId4181" /><Relationship Type="http://schemas.openxmlformats.org/officeDocument/2006/relationships/hyperlink" Target="https://drive.google.com/uc?export=view&amp;id=1V8OozST_kd9ag9oPJFfAA-e6h54WhTpI" TargetMode="External" Id="rId4182" /><Relationship Type="http://schemas.openxmlformats.org/officeDocument/2006/relationships/hyperlink" Target="http://wingup.io/" TargetMode="External" Id="rId4183" /><Relationship Type="http://schemas.openxmlformats.org/officeDocument/2006/relationships/hyperlink" Target="https://comodinuniversitario.com/" TargetMode="External" Id="rId4184" /><Relationship Type="http://schemas.openxmlformats.org/officeDocument/2006/relationships/hyperlink" Target="https://www.linkedin.com/in/%C3%B3liver-n%C3%BA%C3%B1ez-rozas-84a15681/" TargetMode="External" Id="rId4185" /><Relationship Type="http://schemas.openxmlformats.org/officeDocument/2006/relationships/hyperlink" Target="https://drive.google.com/uc?export=view&amp;id=1kXUrFXEOjMgnLtQamvmp00s7RjS74IB5" TargetMode="External" Id="rId4186" /><Relationship Type="http://schemas.openxmlformats.org/officeDocument/2006/relationships/hyperlink" Target="http://www.moveen.eu/" TargetMode="External" Id="rId4187" /><Relationship Type="http://schemas.openxmlformats.org/officeDocument/2006/relationships/hyperlink" Target="https://www.paragin.com/" TargetMode="External" Id="rId4188" /><Relationship Type="http://schemas.openxmlformats.org/officeDocument/2006/relationships/hyperlink" Target="https://nl.linkedin.com/company/paragin" TargetMode="External" Id="rId4189" /><Relationship Type="http://schemas.openxmlformats.org/officeDocument/2006/relationships/hyperlink" Target="https://drive.google.com/uc?export=view&amp;id=1qddC_-Ncj4F8miS5vBoVknxYiN2ChOlR" TargetMode="External" Id="rId4190" /><Relationship Type="http://schemas.openxmlformats.org/officeDocument/2006/relationships/hyperlink" Target="http://voluta.coop/" TargetMode="External" Id="rId4191" /><Relationship Type="http://schemas.openxmlformats.org/officeDocument/2006/relationships/hyperlink" Target="https://www.voluta.coop/" TargetMode="External" Id="rId4192" /><Relationship Type="http://schemas.openxmlformats.org/officeDocument/2006/relationships/hyperlink" Target="https://drive.google.com/uc?export=view&amp;id=1HxQu0nO916M7ioS3S-K4xMDcGUjcLiyU" TargetMode="External" Id="rId4193" /><Relationship Type="http://schemas.openxmlformats.org/officeDocument/2006/relationships/hyperlink" Target="http://www.wowplayexperience.com/" TargetMode="External" Id="rId4194" /><Relationship Type="http://schemas.openxmlformats.org/officeDocument/2006/relationships/hyperlink" Target="https://www.linkedin.com/company/wowplayexperience/" TargetMode="External" Id="rId4195" /><Relationship Type="http://schemas.openxmlformats.org/officeDocument/2006/relationships/hyperlink" Target="https://drive.google.com/uc?export=view&amp;id=1sK6JVXdKrAhvJ-XQ_8iiAkd_lZ5XoFeS" TargetMode="External" Id="rId4196" /><Relationship Type="http://schemas.openxmlformats.org/officeDocument/2006/relationships/hyperlink" Target="https://abstract-technology.com/" TargetMode="External" Id="rId4197" /><Relationship Type="http://schemas.openxmlformats.org/officeDocument/2006/relationships/hyperlink" Target="https://azav-pilot.de/" TargetMode="External" Id="rId4198" /><Relationship Type="http://schemas.openxmlformats.org/officeDocument/2006/relationships/hyperlink" Target="https://drive.google.com/uc?export=view&amp;id=1rORReOctkTPBqaGDRxb5BGhjJEaWl52B" TargetMode="External" Id="rId4199" /><Relationship Type="http://schemas.openxmlformats.org/officeDocument/2006/relationships/hyperlink" Target="https://beedle.co/" TargetMode="External" Id="rId4200" /><Relationship Type="http://schemas.openxmlformats.org/officeDocument/2006/relationships/hyperlink" Target="https://drive.google.com/uc?export=view&amp;id=1VLbgHPxO0KpFMX-NHHO-K5X6xke2ezCq" TargetMode="External" Id="rId4201" /><Relationship Type="http://schemas.openxmlformats.org/officeDocument/2006/relationships/hyperlink" Target="http://buku.io/" TargetMode="External" Id="rId4202" /><Relationship Type="http://schemas.openxmlformats.org/officeDocument/2006/relationships/hyperlink" Target="https://www.linkedin.com/company/buku-world/mycompany/" TargetMode="External" Id="rId4203" /><Relationship Type="http://schemas.openxmlformats.org/officeDocument/2006/relationships/hyperlink" Target="https://drive.google.com/uc?export=view&amp;id=1MODGVJgpEACpQssCBm0hG-9lD8osuEL2" TargetMode="External" Id="rId4204" /><Relationship Type="http://schemas.openxmlformats.org/officeDocument/2006/relationships/hyperlink" Target="http://cresory.com/" TargetMode="External" Id="rId4205" /><Relationship Type="http://schemas.openxmlformats.org/officeDocument/2006/relationships/hyperlink" Target="https://drive.google.com/uc?export=view&amp;id=1QqCfUZo9pe3nBaemrIsGNNVgrFTT-we9" TargetMode="External" Id="rId4206" /><Relationship Type="http://schemas.openxmlformats.org/officeDocument/2006/relationships/hyperlink" Target="https://www.d-teachschool.com/" TargetMode="External" Id="rId4207" /><Relationship Type="http://schemas.openxmlformats.org/officeDocument/2006/relationships/hyperlink" Target="https://www.linkedin.com/company/d-teach/about/?viewAsMember=true" TargetMode="External" Id="rId4208" /><Relationship Type="http://schemas.openxmlformats.org/officeDocument/2006/relationships/hyperlink" Target="https://drive.google.com/uc?export=view&amp;id=1JTlv8QkiVUaMk8CjNnATToDcSB-XWhkU" TargetMode="External" Id="rId4209" /><Relationship Type="http://schemas.openxmlformats.org/officeDocument/2006/relationships/hyperlink" Target="https://d-teachtraining.com/" TargetMode="External" Id="rId4210" /><Relationship Type="http://schemas.openxmlformats.org/officeDocument/2006/relationships/hyperlink" Target="https://www.linkedin.com/company/d-teach-training/about/" TargetMode="External" Id="rId4211" /><Relationship Type="http://schemas.openxmlformats.org/officeDocument/2006/relationships/hyperlink" Target="https://drive.google.com/uc?export=view&amp;id=1sgAjrqKrYUVr2gSXwJcoS5WH-w12U4E3" TargetMode="External" Id="rId4212" /><Relationship Type="http://schemas.openxmlformats.org/officeDocument/2006/relationships/hyperlink" Target="https://www.docsity.com/" TargetMode="External" Id="rId4213" /><Relationship Type="http://schemas.openxmlformats.org/officeDocument/2006/relationships/hyperlink" Target="https://drive.google.com/uc?export=view&amp;id=1w22Va9WYBnhGKivKrRUb8C0jllWQpiNQ" TargetMode="External" Id="rId4214" /><Relationship Type="http://schemas.openxmlformats.org/officeDocument/2006/relationships/hyperlink" Target="http://www.edaider.com/" TargetMode="External" Id="rId4215" /><Relationship Type="http://schemas.openxmlformats.org/officeDocument/2006/relationships/hyperlink" Target="http://www.linkedin.com/ed-aider" TargetMode="External" Id="rId4216" /><Relationship Type="http://schemas.openxmlformats.org/officeDocument/2006/relationships/hyperlink" Target="https://drive.google.com/uc?export=view&amp;id=155jqeHP5qMATmq3awUm7FFDJqW3RGbNs" TargetMode="External" Id="rId4217" /><Relationship Type="http://schemas.openxmlformats.org/officeDocument/2006/relationships/hyperlink" Target="http://www.edberry.digital/" TargetMode="External" Id="rId4218" /><Relationship Type="http://schemas.openxmlformats.org/officeDocument/2006/relationships/hyperlink" Target="https://drive.google.com/uc?export=view&amp;id=1k8e_m0fJVs_g9-h13MDxxSnoEywRk1xP" TargetMode="External" Id="rId4219" /><Relationship Type="http://schemas.openxmlformats.org/officeDocument/2006/relationships/hyperlink" Target="http://educat.study/" TargetMode="External" Id="rId4220" /><Relationship Type="http://schemas.openxmlformats.org/officeDocument/2006/relationships/hyperlink" Target="https://drive.google.com/uc?export=view&amp;id=12SX9CETeukP7HRtY2QHJeHuT7yZrotcN" TargetMode="External" Id="rId4221" /><Relationship Type="http://schemas.openxmlformats.org/officeDocument/2006/relationships/hyperlink" Target="http://www.edusiia.com/" TargetMode="External" Id="rId4222" /><Relationship Type="http://schemas.openxmlformats.org/officeDocument/2006/relationships/hyperlink" Target="https://drive.google.com/uc?export=view&amp;id=18ytvzXk_6I7cdviy4NET-6T-kyzYKjX5" TargetMode="External" Id="rId4223" /><Relationship Type="http://schemas.openxmlformats.org/officeDocument/2006/relationships/hyperlink" Target="http://www.edutec.one/" TargetMode="External" Id="rId4224" /><Relationship Type="http://schemas.openxmlformats.org/officeDocument/2006/relationships/hyperlink" Target="https://drive.google.com/uc?export=view&amp;id=1bv2tYMM1vow-4NBuzGzU1pA3b6_aGh-q" TargetMode="External" Id="rId4225" /><Relationship Type="http://schemas.openxmlformats.org/officeDocument/2006/relationships/hyperlink" Target="http://www.endurae.com/" TargetMode="External" Id="rId4226" /><Relationship Type="http://schemas.openxmlformats.org/officeDocument/2006/relationships/hyperlink" Target="https://drive.google.com/uc?export=view&amp;id=1qU9572SbPFpzBNxo9OFgcu15ZRY4QHk2" TargetMode="External" Id="rId4227" /><Relationship Type="http://schemas.openxmlformats.org/officeDocument/2006/relationships/hyperlink" Target="https://www.enzima12.com/home-enzima12" TargetMode="External" Id="rId4228" /><Relationship Type="http://schemas.openxmlformats.org/officeDocument/2006/relationships/hyperlink" Target="https://drive.google.com/uc?export=view&amp;id=18GZqFcjfZQbp02K-gHONI5uHu8O_F2p2" TargetMode="External" Id="rId4229" /><Relationship Type="http://schemas.openxmlformats.org/officeDocument/2006/relationships/hyperlink" Target="https://financeunlocked.com/" TargetMode="External" Id="rId4230" /><Relationship Type="http://schemas.openxmlformats.org/officeDocument/2006/relationships/hyperlink" Target="https://drive.google.com/uc?export=view&amp;id=1F40JV5OzRdvbu3jMoqGJqGOyF8tvr1dp" TargetMode="External" Id="rId4231" /><Relationship Type="http://schemas.openxmlformats.org/officeDocument/2006/relationships/hyperlink" Target="http://genyusschool.com/" TargetMode="External" Id="rId4232" /><Relationship Type="http://schemas.openxmlformats.org/officeDocument/2006/relationships/hyperlink" Target="https://www.instagram.com/genyusschool/" TargetMode="External" Id="rId4233" /><Relationship Type="http://schemas.openxmlformats.org/officeDocument/2006/relationships/hyperlink" Target="https://twitter.com/GenyusSchool" TargetMode="External" Id="rId4234" /><Relationship Type="http://schemas.openxmlformats.org/officeDocument/2006/relationships/hyperlink" Target="https://www.linkedin.com/company/genyusschool" TargetMode="External" Id="rId4235" /><Relationship Type="http://schemas.openxmlformats.org/officeDocument/2006/relationships/hyperlink" Target="https://drive.google.com/uc?export=view&amp;id=1S3d3GBJlnaUutwUhf6Q_4jCXH0IlBkuI" TargetMode="External" Id="rId4236" /><Relationship Type="http://schemas.openxmlformats.org/officeDocument/2006/relationships/hyperlink" Target="https://www.gomapped.com/" TargetMode="External" Id="rId4237" /><Relationship Type="http://schemas.openxmlformats.org/officeDocument/2006/relationships/hyperlink" Target="https://twitter.com/GoMappED" TargetMode="External" Id="rId4238" /><Relationship Type="http://schemas.openxmlformats.org/officeDocument/2006/relationships/hyperlink" Target="https://ie.linkedin.com/company/gomappedlimited" TargetMode="External" Id="rId4239" /><Relationship Type="http://schemas.openxmlformats.org/officeDocument/2006/relationships/hyperlink" Target="https://drive.google.com/uc?export=view&amp;id=1cT2mqK0gPXNkX816R_YXwDO7ElNoaB8W" TargetMode="External" Id="rId4240" /><Relationship Type="http://schemas.openxmlformats.org/officeDocument/2006/relationships/hyperlink" Target="https://www.guilds42.com/" TargetMode="External" Id="rId4241" /><Relationship Type="http://schemas.openxmlformats.org/officeDocument/2006/relationships/hyperlink" Target="https://drive.google.com/uc?export=view&amp;id=1cyqxkHlMBWUyzpqaKUmxdfeUeU6O4Ina" TargetMode="External" Id="rId4242" /><Relationship Type="http://schemas.openxmlformats.org/officeDocument/2006/relationships/hyperlink" Target="https://www.hostudents.com/" TargetMode="External" Id="rId4243" /><Relationship Type="http://schemas.openxmlformats.org/officeDocument/2006/relationships/hyperlink" Target="https://drive.google.com/uc?export=view&amp;id=1DkNYHB9dy5hUiUlafMB6E1OlEvbsaz7d" TargetMode="External" Id="rId4244" /><Relationship Type="http://schemas.openxmlformats.org/officeDocument/2006/relationships/hyperlink" Target="https://www.impactschool.org.ls/" TargetMode="External" Id="rId4245" /><Relationship Type="http://schemas.openxmlformats.org/officeDocument/2006/relationships/hyperlink" Target="https://drive.google.com/uc?export=view&amp;id=18g_v4eJjlefBjRhSqKW_KekZ8KL-hBCN" TargetMode="External" Id="rId4246" /><Relationship Type="http://schemas.openxmlformats.org/officeDocument/2006/relationships/hyperlink" Target="https://www.edukimple.com/" TargetMode="External" Id="rId4247" /><Relationship Type="http://schemas.openxmlformats.org/officeDocument/2006/relationships/hyperlink" Target="https://www.linkedin.com/company/kimple-education" TargetMode="External" Id="rId4248" /><Relationship Type="http://schemas.openxmlformats.org/officeDocument/2006/relationships/hyperlink" Target="https://drive.google.com/uc?export=view&amp;id=1GXpKDGRSJkHyaIrRrK6hayOpeVcWiAzT" TargetMode="External" Id="rId4249" /><Relationship Type="http://schemas.openxmlformats.org/officeDocument/2006/relationships/hyperlink" Target="http://www.learnster.com/?utm_source=european_edtech_map&amp;utm_medium=banner&amp;utm_campaign=profile" TargetMode="External" Id="rId4250" /><Relationship Type="http://schemas.openxmlformats.org/officeDocument/2006/relationships/hyperlink" Target="https://drive.google.com/uc?export=view&amp;id=1iEqsTf-0-k7DNzKuGL1jnSTTIGG7RMZ7" TargetMode="External" Id="rId4251" /><Relationship Type="http://schemas.openxmlformats.org/officeDocument/2006/relationships/hyperlink" Target="http://www.makersredbox.com/" TargetMode="External" Id="rId4252" /><Relationship Type="http://schemas.openxmlformats.org/officeDocument/2006/relationships/hyperlink" Target="http://www.mysnapshot.co/" TargetMode="External" Id="rId4253" /><Relationship Type="http://schemas.openxmlformats.org/officeDocument/2006/relationships/hyperlink" Target="http://nauczeni.pl/" TargetMode="External" Id="rId4254" /><Relationship Type="http://schemas.openxmlformats.org/officeDocument/2006/relationships/hyperlink" Target="https://www.nauczeni.pl/" TargetMode="External" Id="rId4255" /><Relationship Type="http://schemas.openxmlformats.org/officeDocument/2006/relationships/hyperlink" Target="https://drive.google.com/uc?export=view&amp;id=1vJPvZ3q_jaKPCrSbJTtg49byxy8I9rQa" TargetMode="External" Id="rId4256" /><Relationship Type="http://schemas.openxmlformats.org/officeDocument/2006/relationships/hyperlink" Target="http://www.ne.se/" TargetMode="External" Id="rId4257" /><Relationship Type="http://schemas.openxmlformats.org/officeDocument/2006/relationships/hyperlink" Target="https://drive.google.com/uc?export=view&amp;id=1yU1VBj0VTtBKOCyTkSG_LEq3TlJVz2z6" TargetMode="External" Id="rId4258" /><Relationship Type="http://schemas.openxmlformats.org/officeDocument/2006/relationships/hyperlink" Target="http://www.neddux.com/" TargetMode="External" Id="rId4259" /><Relationship Type="http://schemas.openxmlformats.org/officeDocument/2006/relationships/hyperlink" Target="https://drive.google.com/uc?export=view&amp;id=1uIwIYtLckEWZOje3PQgPJ9-oi3u_452y" TargetMode="External" Id="rId4260" /><Relationship Type="http://schemas.openxmlformats.org/officeDocument/2006/relationships/hyperlink" Target="http://www.proyectoa.es/" TargetMode="External" Id="rId4261" /><Relationship Type="http://schemas.openxmlformats.org/officeDocument/2006/relationships/hyperlink" Target="https://drive.google.com/uc?export=view&amp;id=1qXxbwMbwim-nC9YTV91qI-toCWm0ebRg" TargetMode="External" Id="rId4262" /><Relationship Type="http://schemas.openxmlformats.org/officeDocument/2006/relationships/hyperlink" Target="http://quaestiones.com/" TargetMode="External" Id="rId4263" /><Relationship Type="http://schemas.openxmlformats.org/officeDocument/2006/relationships/hyperlink" Target="http://www.quaestiones.com/" TargetMode="External" Id="rId4264" /><Relationship Type="http://schemas.openxmlformats.org/officeDocument/2006/relationships/hyperlink" Target="https://drive.google.com/uc?export=view&amp;id=1Ax8xlb8ujECvfwfEi9oDqx0pCOtV-25W" TargetMode="External" Id="rId4265" /><Relationship Type="http://schemas.openxmlformats.org/officeDocument/2006/relationships/hyperlink" Target="http://www.smartest.io/" TargetMode="External" Id="rId4266" /><Relationship Type="http://schemas.openxmlformats.org/officeDocument/2006/relationships/hyperlink" Target="https://www.linkedin.com/company/smartestlearning/" TargetMode="External" Id="rId4267" /><Relationship Type="http://schemas.openxmlformats.org/officeDocument/2006/relationships/hyperlink" Target="https://drive.google.com/uc?export=view&amp;id=1P-EbPZSLEDTcW4L-OYzmlcSW4PQH7Tdg" TargetMode="External" Id="rId4268" /><Relationship Type="http://schemas.openxmlformats.org/officeDocument/2006/relationships/hyperlink" Target="https://www.sonant.fi/" TargetMode="External" Id="rId4269" /><Relationship Type="http://schemas.openxmlformats.org/officeDocument/2006/relationships/hyperlink" Target="https://www.linkedin.com/company/sonant-oy/" TargetMode="External" Id="rId4270" /><Relationship Type="http://schemas.openxmlformats.org/officeDocument/2006/relationships/hyperlink" Target="https://drive.google.com/uc?export=view&amp;id=1Hi9nNl9BQ-tHqIGRceyUDUnMLIjYC4wE" TargetMode="External" Id="rId4271" /><Relationship Type="http://schemas.openxmlformats.org/officeDocument/2006/relationships/hyperlink" Target="https://www.sparkademy.com/" TargetMode="External" Id="rId4272" /><Relationship Type="http://schemas.openxmlformats.org/officeDocument/2006/relationships/hyperlink" Target="https://drive.google.com/uc?export=view&amp;id=1QFNLwwwBRmTBan6CH8wyZhFVlONmlj64" TargetMode="External" Id="rId4273" /><Relationship Type="http://schemas.openxmlformats.org/officeDocument/2006/relationships/hyperlink" Target="http://www.studyhelp.de/" TargetMode="External" Id="rId4274" /><Relationship Type="http://schemas.openxmlformats.org/officeDocument/2006/relationships/hyperlink" Target="https://drive.google.com/uc?export=view&amp;id=17U4chQ7FRs1Ivkv4z9sEuBThx3_fhFFX" TargetMode="External" Id="rId4275" /><Relationship Type="http://schemas.openxmlformats.org/officeDocument/2006/relationships/hyperlink" Target="https://studyportals.com/" TargetMode="External" Id="rId4276" /><Relationship Type="http://schemas.openxmlformats.org/officeDocument/2006/relationships/hyperlink" Target="https://www.linkedin.com/company/studyportals" TargetMode="External" Id="rId4277" /><Relationship Type="http://schemas.openxmlformats.org/officeDocument/2006/relationships/hyperlink" Target="https://drive.google.com/uc?export=view&amp;id=10XymHp0LQLleQBefZZeP6AtwAPBT847V" TargetMode="External" Id="rId4278" /><Relationship Type="http://schemas.openxmlformats.org/officeDocument/2006/relationships/hyperlink" Target="https://teachup.com/" TargetMode="External" Id="rId4279" /><Relationship Type="http://schemas.openxmlformats.org/officeDocument/2006/relationships/hyperlink" Target="http://www.instagram.com/teachup_inside/" TargetMode="External" Id="rId4280" /><Relationship Type="http://schemas.openxmlformats.org/officeDocument/2006/relationships/hyperlink" Target="http://twitter.com/teachup_france?lang=fr" TargetMode="External" Id="rId4281" /><Relationship Type="http://schemas.openxmlformats.org/officeDocument/2006/relationships/hyperlink" Target="http://www.linkedin.com/company/teachup.com" TargetMode="External" Id="rId4282" /><Relationship Type="http://schemas.openxmlformats.org/officeDocument/2006/relationships/hyperlink" Target="https://drive.google.com/uc?export=view&amp;id=1A0ZBEoqgjhz4nipxx5RUsSNNnvHCysEa" TargetMode="External" Id="rId4283" /><Relationship Type="http://schemas.openxmlformats.org/officeDocument/2006/relationships/hyperlink" Target="https://www.tekmaneducation.com/" TargetMode="External" Id="rId4284" /><Relationship Type="http://schemas.openxmlformats.org/officeDocument/2006/relationships/hyperlink" Target="https://www.linkedin.com/company/tekman-education" TargetMode="External" Id="rId4285" /><Relationship Type="http://schemas.openxmlformats.org/officeDocument/2006/relationships/hyperlink" Target="https://drive.google.com/uc?export=view&amp;id=1sT-_S4FRxtWXjYZD5pSJ8-jyK2fLb8O7" TargetMode="External" Id="rId4286" /><Relationship Type="http://schemas.openxmlformats.org/officeDocument/2006/relationships/hyperlink" Target="https://academicrouteplanner.com/" TargetMode="External" Id="rId4287" /><Relationship Type="http://schemas.openxmlformats.org/officeDocument/2006/relationships/hyperlink" Target="https://drive.google.com/uc?export=view&amp;id=1ePDqr8rU1cldb5f6A06ge_uWfctBBXMF" TargetMode="External" Id="rId4288" /><Relationship Type="http://schemas.openxmlformats.org/officeDocument/2006/relationships/hyperlink" Target="https://www.atlanticdevices.com/" TargetMode="External" Id="rId4289" /><Relationship Type="http://schemas.openxmlformats.org/officeDocument/2006/relationships/hyperlink" Target="https://www.instagram.com/atlanticdevices/" TargetMode="External" Id="rId4290" /><Relationship Type="http://schemas.openxmlformats.org/officeDocument/2006/relationships/hyperlink" Target="https://twitter.com/AtlanticDevices" TargetMode="External" Id="rId4291" /><Relationship Type="http://schemas.openxmlformats.org/officeDocument/2006/relationships/hyperlink" Target="https://www.linkedin.com/company/1026890/admin/" TargetMode="External" Id="rId4292" /><Relationship Type="http://schemas.openxmlformats.org/officeDocument/2006/relationships/hyperlink" Target="https://drive.google.com/uc?export=view&amp;id=1R8wB57vDL7CWaFCFpRI5PbCp69Fn4sWk" TargetMode="External" Id="rId4293" /><Relationship Type="http://schemas.openxmlformats.org/officeDocument/2006/relationships/hyperlink" Target="http://www.babbu.co.uk/" TargetMode="External" Id="rId4294" /><Relationship Type="http://schemas.openxmlformats.org/officeDocument/2006/relationships/hyperlink" Target="https://drive.google.com/uc?export=view&amp;id=1_nlNi-HeOsNsnpOokZUdfwQpqxdrzB0i" TargetMode="External" Id="rId4295" /><Relationship Type="http://schemas.openxmlformats.org/officeDocument/2006/relationships/hyperlink" Target="http://www.bsmartlabs.com/" TargetMode="External" Id="rId4296" /><Relationship Type="http://schemas.openxmlformats.org/officeDocument/2006/relationships/hyperlink" Target="https://drive.google.com/uc?export=view&amp;id=1AnYa065fnserEze0s9ml1AUPJmi2phTQ" TargetMode="External" Id="rId4297" /><Relationship Type="http://schemas.openxmlformats.org/officeDocument/2006/relationships/hyperlink" Target="https://www.chalkboard.education/" TargetMode="External" Id="rId4298" /><Relationship Type="http://schemas.openxmlformats.org/officeDocument/2006/relationships/hyperlink" Target="https://twitter.com/TeamChalkboard" TargetMode="External" Id="rId4299" /><Relationship Type="http://schemas.openxmlformats.org/officeDocument/2006/relationships/hyperlink" Target="https://www.linkedin.com/company/chalkboard-education/" TargetMode="External" Id="rId4300" /><Relationship Type="http://schemas.openxmlformats.org/officeDocument/2006/relationships/hyperlink" Target="https://drive.google.com/uc?export=view&amp;id=14q5GQkHObB8spjFVbRHkcLHvSUEW5PjZ" TargetMode="External" Id="rId4301" /><Relationship Type="http://schemas.openxmlformats.org/officeDocument/2006/relationships/hyperlink" Target="http://www.classtime.com/" TargetMode="External" Id="rId4302" /><Relationship Type="http://schemas.openxmlformats.org/officeDocument/2006/relationships/hyperlink" Target="https://www.instagram.com/classtimecom/" TargetMode="External" Id="rId4303" /><Relationship Type="http://schemas.openxmlformats.org/officeDocument/2006/relationships/hyperlink" Target="https://twitter.com/classtimecom" TargetMode="External" Id="rId4304" /><Relationship Type="http://schemas.openxmlformats.org/officeDocument/2006/relationships/hyperlink" Target="https://www.linkedin.com/company/classtime/mycompany/verification/?viewAsMember=true" TargetMode="External" Id="rId4305" /><Relationship Type="http://schemas.openxmlformats.org/officeDocument/2006/relationships/hyperlink" Target="https://drive.google.com/uc?export=view&amp;id=1nR39oqfyoWty5RxWbkqMqjp3B9m3NBkc" TargetMode="External" Id="rId4306" /><Relationship Type="http://schemas.openxmlformats.org/officeDocument/2006/relationships/hyperlink" Target="http://www.codeschool.fi/" TargetMode="External" Id="rId4307" /><Relationship Type="http://schemas.openxmlformats.org/officeDocument/2006/relationships/hyperlink" Target="https://www.linkedin.com/company/codeschoolfinland/" TargetMode="External" Id="rId4308" /><Relationship Type="http://schemas.openxmlformats.org/officeDocument/2006/relationships/hyperlink" Target="https://drive.google.com/uc?export=view&amp;id=1gs6lHJKYDepBwXxzYj68682CfV15AfFS" TargetMode="External" Id="rId4309" /><Relationship Type="http://schemas.openxmlformats.org/officeDocument/2006/relationships/hyperlink" Target="http://www.clc-learning.de/" TargetMode="External" Id="rId4310" /><Relationship Type="http://schemas.openxmlformats.org/officeDocument/2006/relationships/hyperlink" Target="https://drive.google.com/uc?export=view&amp;id=1MQhH0BwAL92G4hg-R4GYCupwI8wMaiuX" TargetMode="External" Id="rId4311" /><Relationship Type="http://schemas.openxmlformats.org/officeDocument/2006/relationships/hyperlink" Target="http://www.dialoguetrainer.com/" TargetMode="External" Id="rId4312" /><Relationship Type="http://schemas.openxmlformats.org/officeDocument/2006/relationships/hyperlink" Target="https://drive.google.com/uc?export=view&amp;id=1fbbzEf-0XNnqB1hRYxvrq2HgVCWqxSjK" TargetMode="External" Id="rId4313" /><Relationship Type="http://schemas.openxmlformats.org/officeDocument/2006/relationships/hyperlink" Target="https://www.digitalpioneers.co/" TargetMode="External" Id="rId4314" /><Relationship Type="http://schemas.openxmlformats.org/officeDocument/2006/relationships/hyperlink" Target="https://drive.google.com/uc?export=view&amp;id=15C0KNOwjPLBWydHyYP3jwCZoGyTzG-OW" TargetMode="External" Id="rId4315" /><Relationship Type="http://schemas.openxmlformats.org/officeDocument/2006/relationships/hyperlink" Target="http://www.easyeducation.se/" TargetMode="External" Id="rId4316" /><Relationship Type="http://schemas.openxmlformats.org/officeDocument/2006/relationships/hyperlink" Target="https://www.linkedin.com/company/easy-education-sweden-ab/?viewAsMember=true" TargetMode="External" Id="rId4317" /><Relationship Type="http://schemas.openxmlformats.org/officeDocument/2006/relationships/hyperlink" Target="https://drive.google.com/uc?export=view&amp;id=11XC3qZjGpnOlJgeoShDG6Wb9CqxDOshn" TargetMode="External" Id="rId4318" /><Relationship Type="http://schemas.openxmlformats.org/officeDocument/2006/relationships/hyperlink" Target="http://www.edds-education.org/" TargetMode="External" Id="rId4319" /><Relationship Type="http://schemas.openxmlformats.org/officeDocument/2006/relationships/hyperlink" Target="https://drive.google.com/uc?export=view&amp;id=1vuDdsLuyNRiinUt3mhCkgHEUgzWR3nN9" TargetMode="External" Id="rId4320" /><Relationship Type="http://schemas.openxmlformats.org/officeDocument/2006/relationships/hyperlink" Target="http://www.edu-suite.com/" TargetMode="External" Id="rId4321" /><Relationship Type="http://schemas.openxmlformats.org/officeDocument/2006/relationships/hyperlink" Target="https://www.instagram.com/edu_suite_/" TargetMode="External" Id="rId4322" /><Relationship Type="http://schemas.openxmlformats.org/officeDocument/2006/relationships/hyperlink" Target="https://www.linkedin.com/company/edu-suite/?viewAsMember=true" TargetMode="External" Id="rId4323" /><Relationship Type="http://schemas.openxmlformats.org/officeDocument/2006/relationships/hyperlink" Target="https://drive.google.com/uc?export=view&amp;id=1ZOmfUKQ-hetRm1Nh7NP7vEvWQ2SmmLQt" TargetMode="External" Id="rId4324" /><Relationship Type="http://schemas.openxmlformats.org/officeDocument/2006/relationships/hyperlink" Target="https://www.educaplay.com/" TargetMode="External" Id="rId4325" /><Relationship Type="http://schemas.openxmlformats.org/officeDocument/2006/relationships/hyperlink" Target="https://drive.google.com/uc?export=view&amp;id=1USZTeSaV-qGDNpk43W1IT_dafUK2zgzo" TargetMode="External" Id="rId4326" /><Relationship Type="http://schemas.openxmlformats.org/officeDocument/2006/relationships/hyperlink" Target="https://edugamitec.com/" TargetMode="External" Id="rId4327" /><Relationship Type="http://schemas.openxmlformats.org/officeDocument/2006/relationships/hyperlink" Target="https://drive.google.com/uc?export=view&amp;id=1lqUpw_gwVqF-BM0G93ANz22xd7a_dNmE" TargetMode="External" Id="rId4328" /><Relationship Type="http://schemas.openxmlformats.org/officeDocument/2006/relationships/hyperlink" Target="https://edumentors.co.uk/" TargetMode="External" Id="rId4329" /><Relationship Type="http://schemas.openxmlformats.org/officeDocument/2006/relationships/hyperlink" Target="https://www.instagram.com/edumentors.co.uk/" TargetMode="External" Id="rId4330" /><Relationship Type="http://schemas.openxmlformats.org/officeDocument/2006/relationships/hyperlink" Target="https://twitter.com/TEdumentors" TargetMode="External" Id="rId4331" /><Relationship Type="http://schemas.openxmlformats.org/officeDocument/2006/relationships/hyperlink" Target="https://www.linkedin.com/company/edumentorsuk/" TargetMode="External" Id="rId4332" /><Relationship Type="http://schemas.openxmlformats.org/officeDocument/2006/relationships/hyperlink" Target="https://drive.google.com/uc?export=view&amp;id=1TIPhJjPN6yGSisiG0DCFpVEi9KIHuZ5b" TargetMode="External" Id="rId4333" /><Relationship Type="http://schemas.openxmlformats.org/officeDocument/2006/relationships/hyperlink" Target="https://www.ekidz.eu/" TargetMode="External" Id="rId4334" /><Relationship Type="http://schemas.openxmlformats.org/officeDocument/2006/relationships/hyperlink" Target="https://www.instagram.com/ekidz.eu/" TargetMode="External" Id="rId4335" /><Relationship Type="http://schemas.openxmlformats.org/officeDocument/2006/relationships/hyperlink" Target="https://twitter.com/eKidz_eu" TargetMode="External" Id="rId4336" /><Relationship Type="http://schemas.openxmlformats.org/officeDocument/2006/relationships/hyperlink" Target="https://www.linkedin.com/company/17961410/admin/" TargetMode="External" Id="rId4337" /><Relationship Type="http://schemas.openxmlformats.org/officeDocument/2006/relationships/hyperlink" Target="https://drive.google.com/uc?export=view&amp;id=1GDSlTxv2_UqA8HQbwfG8hs0L1OdjHRwl" TargetMode="External" Id="rId4338" /><Relationship Type="http://schemas.openxmlformats.org/officeDocument/2006/relationships/hyperlink" Target="https://enlighted.app/" TargetMode="External" Id="rId4339" /><Relationship Type="http://schemas.openxmlformats.org/officeDocument/2006/relationships/hyperlink" Target="https://drive.google.com/uc?export=view&amp;id=1Tvo__8cEngfyPIdylpneeTwrGRLdjog9" TargetMode="External" Id="rId4340" /><Relationship Type="http://schemas.openxmlformats.org/officeDocument/2006/relationships/hyperlink" Target="https://www.evrlearn.ch/" TargetMode="External" Id="rId4341" /><Relationship Type="http://schemas.openxmlformats.org/officeDocument/2006/relationships/hyperlink" Target="https://drive.google.com/uc?export=view&amp;id=1dMugZR0fP8uORhsyOBfLBnYwn1Li_eL6" TargetMode="External" Id="rId4342" /><Relationship Type="http://schemas.openxmlformats.org/officeDocument/2006/relationships/hyperlink" Target="http://exam.net/" TargetMode="External" Id="rId4343" /><Relationship Type="http://schemas.openxmlformats.org/officeDocument/2006/relationships/hyperlink" Target="https://exam.net/" TargetMode="External" Id="rId4344" /><Relationship Type="http://schemas.openxmlformats.org/officeDocument/2006/relationships/hyperlink" Target="https://drive.google.com/uc?export=view&amp;id=1r4zx5Dt9TBtRxJGSWVGP3dhERXMiabIL" TargetMode="External" Id="rId4345" /><Relationship Type="http://schemas.openxmlformats.org/officeDocument/2006/relationships/hyperlink" Target="http://eximiatutor.com/" TargetMode="External" Id="rId4346" /><Relationship Type="http://schemas.openxmlformats.org/officeDocument/2006/relationships/hyperlink" Target="https://www.instagram.com/valmennustiimi_eximia/channel/?hl=fi" TargetMode="External" Id="rId4347" /><Relationship Type="http://schemas.openxmlformats.org/officeDocument/2006/relationships/hyperlink" Target="https://www.linkedin.com/company/valmennustiimi-eximia/mycompany/?viewAsMember=true" TargetMode="External" Id="rId4348" /><Relationship Type="http://schemas.openxmlformats.org/officeDocument/2006/relationships/hyperlink" Target="http://eximiatutor.com/" TargetMode="External" Id="rId4349" /><Relationship Type="http://schemas.openxmlformats.org/officeDocument/2006/relationships/hyperlink" Target="https://feedbackfruits.com/" TargetMode="External" Id="rId4350" /><Relationship Type="http://schemas.openxmlformats.org/officeDocument/2006/relationships/hyperlink" Target="https://www.instagram.com/feedbackfruits" TargetMode="External" Id="rId4351" /><Relationship Type="http://schemas.openxmlformats.org/officeDocument/2006/relationships/hyperlink" Target="https://www.twitter.com/feedbackfruits" TargetMode="External" Id="rId4352" /><Relationship Type="http://schemas.openxmlformats.org/officeDocument/2006/relationships/hyperlink" Target="https://www.linkedin.com/company/feedbackfruits" TargetMode="External" Id="rId4353" /><Relationship Type="http://schemas.openxmlformats.org/officeDocument/2006/relationships/hyperlink" Target="https://drive.google.com/uc?export=view&amp;id=1zJTM2wgDxCMGc2Slc2310Q3G4OE7rsFo" TargetMode="External" Id="rId4354" /><Relationship Type="http://schemas.openxmlformats.org/officeDocument/2006/relationships/hyperlink" Target="https://www.funnifin.com/" TargetMode="External" Id="rId4355" /><Relationship Type="http://schemas.openxmlformats.org/officeDocument/2006/relationships/hyperlink" Target="https://instagram.com/funnifin_app?igshid=MzRlODBiNWFlZA==" TargetMode="External" Id="rId4356" /><Relationship Type="http://schemas.openxmlformats.org/officeDocument/2006/relationships/hyperlink" Target="https://www.linkedin.com/company/funnifin/?viewAsMember=true" TargetMode="External" Id="rId4357" /><Relationship Type="http://schemas.openxmlformats.org/officeDocument/2006/relationships/hyperlink" Target="https://drive.google.com/uc?export=view&amp;id=1teAsuFWEpm3Uk29BFk140S5AigUEdQBU" TargetMode="External" Id="rId4358" /><Relationship Type="http://schemas.openxmlformats.org/officeDocument/2006/relationships/hyperlink" Target="https://genially.com/?utm_source=EuropeanEdtechAllianceMap&amp;utm_medium=web&amp;utm_campaign=EdTechMap" TargetMode="External" Id="rId4359" /><Relationship Type="http://schemas.openxmlformats.org/officeDocument/2006/relationships/hyperlink" Target="https://www.instagram.com/genially_official/" TargetMode="External" Id="rId4360" /><Relationship Type="http://schemas.openxmlformats.org/officeDocument/2006/relationships/hyperlink" Target="https://twitter.com/genially" TargetMode="External" Id="rId4361" /><Relationship Type="http://schemas.openxmlformats.org/officeDocument/2006/relationships/hyperlink" Target="https://www.linkedin.com/company/geniallyofficial/" TargetMode="External" Id="rId4362" /><Relationship Type="http://schemas.openxmlformats.org/officeDocument/2006/relationships/hyperlink" Target="https://drive.google.com/uc?export=view&amp;id=1ItOWzrqzN816-Lt2ezVugBj7CswsK9fD" TargetMode="External" Id="rId4363" /><Relationship Type="http://schemas.openxmlformats.org/officeDocument/2006/relationships/hyperlink" Target="https://ginntech.com/" TargetMode="External" Id="rId4364" /><Relationship Type="http://schemas.openxmlformats.org/officeDocument/2006/relationships/hyperlink" Target="https://drive.google.com/uc?export=view&amp;id=1xTlyWrmVQp73geQm72KLEsNfMyc4yEMt" TargetMode="External" Id="rId4365" /><Relationship Type="http://schemas.openxmlformats.org/officeDocument/2006/relationships/hyperlink" Target="http://www.go4clic.com/" TargetMode="External" Id="rId4366" /><Relationship Type="http://schemas.openxmlformats.org/officeDocument/2006/relationships/hyperlink" Target="https://drive.google.com/uc?export=view&amp;id=1ENjkokpe4MYR0tJlreJ8UMynWgPy-yK9" TargetMode="External" Id="rId4367" /><Relationship Type="http://schemas.openxmlformats.org/officeDocument/2006/relationships/hyperlink" Target="https://www.growthroad.org/" TargetMode="External" Id="rId4368" /><Relationship Type="http://schemas.openxmlformats.org/officeDocument/2006/relationships/hyperlink" Target="https://drive.google.com/uc?export=view&amp;id=1R267LQA-4rFGbFVLj4B_iP_z2QGxp3II" TargetMode="External" Id="rId4369" /><Relationship Type="http://schemas.openxmlformats.org/officeDocument/2006/relationships/hyperlink" Target="https://www.healthinnovationacademy.com/home-en" TargetMode="External" Id="rId4370" /><Relationship Type="http://schemas.openxmlformats.org/officeDocument/2006/relationships/hyperlink" Target="https://drive.google.com/uc?export=view&amp;id=1Ytwl4rIf7A4GqxIaDgRdN1NDJnsEyIPv" TargetMode="External" Id="rId4371" /><Relationship Type="http://schemas.openxmlformats.org/officeDocument/2006/relationships/hyperlink" Target="https://imedu.io/" TargetMode="External" Id="rId4372" /><Relationship Type="http://schemas.openxmlformats.org/officeDocument/2006/relationships/hyperlink" Target="https://www.linkedin.com/company/imedu" TargetMode="External" Id="rId4373" /><Relationship Type="http://schemas.openxmlformats.org/officeDocument/2006/relationships/hyperlink" Target="https://drive.google.com/uc?export=view&amp;id=1PkcolxNXpA_Dx2BWLb18ZcFtqfmjMRqh" TargetMode="External" Id="rId4374" /><Relationship Type="http://schemas.openxmlformats.org/officeDocument/2006/relationships/hyperlink" Target="http://www.jicki.de/" TargetMode="External" Id="rId4375" /><Relationship Type="http://schemas.openxmlformats.org/officeDocument/2006/relationships/hyperlink" Target="https://drive.google.com/uc?export=view&amp;id=1RUoE2kDYdk6IJCNsGpLonkx_2hi7q8QM" TargetMode="External" Id="rId4376" /><Relationship Type="http://schemas.openxmlformats.org/officeDocument/2006/relationships/hyperlink" Target="https://www.kondeor.at/de/portfolio/aus-und-weiterbildung/marktforschungskurse/" TargetMode="External" Id="rId4377" /><Relationship Type="http://schemas.openxmlformats.org/officeDocument/2006/relationships/hyperlink" Target="https://twitter.com/kondeor" TargetMode="External" Id="rId4378" /><Relationship Type="http://schemas.openxmlformats.org/officeDocument/2006/relationships/hyperlink" Target="https://www.linkedin.com/in/kepplinger/" TargetMode="External" Id="rId4379" /><Relationship Type="http://schemas.openxmlformats.org/officeDocument/2006/relationships/hyperlink" Target="https://drive.google.com/uc?export=view&amp;id=15aecDF6p63MQgQjoKim1fmM6NOrLqap7" TargetMode="External" Id="rId4380" /><Relationship Type="http://schemas.openxmlformats.org/officeDocument/2006/relationships/hyperlink" Target="https://www.kendirstudios.org/" TargetMode="External" Id="rId4381" /><Relationship Type="http://schemas.openxmlformats.org/officeDocument/2006/relationships/hyperlink" Target="https://drive.google.com/uc?export=view&amp;id=13PwNUObND0mQGoJRqKChaAD5plhH_9JM" TargetMode="External" Id="rId4382" /><Relationship Type="http://schemas.openxmlformats.org/officeDocument/2006/relationships/hyperlink" Target="http://www.laromedia.se/" TargetMode="External" Id="rId4383" /><Relationship Type="http://schemas.openxmlformats.org/officeDocument/2006/relationships/hyperlink" Target="https://drive.google.com/uc?export=view&amp;id=1q4JmcEeiDB2q1L0fvsX94iiqUqgSmjsO" TargetMode="External" Id="rId4384" /><Relationship Type="http://schemas.openxmlformats.org/officeDocument/2006/relationships/hyperlink" Target="http://lingua-attack.com/" TargetMode="External" Id="rId4385" /><Relationship Type="http://schemas.openxmlformats.org/officeDocument/2006/relationships/hyperlink" Target="https://www.linkedin.com/company/lingua-attack/" TargetMode="External" Id="rId4386" /><Relationship Type="http://schemas.openxmlformats.org/officeDocument/2006/relationships/hyperlink" Target="https://drive.google.com/uc?export=view&amp;id=1srh1zwB-21F_sdzJtB1lH18eUecucIuz" TargetMode="External" Id="rId4387" /><Relationship Type="http://schemas.openxmlformats.org/officeDocument/2006/relationships/hyperlink" Target="http://www.linguaphone.fr/" TargetMode="External" Id="rId4388" /><Relationship Type="http://schemas.openxmlformats.org/officeDocument/2006/relationships/hyperlink" Target="https://www.linkedin.com/company/linguaphone-france" TargetMode="External" Id="rId4389" /><Relationship Type="http://schemas.openxmlformats.org/officeDocument/2006/relationships/hyperlink" Target="https://drive.google.com/uc?export=view&amp;id=1fQm6YxvQ-DCsRZiwFjw18xmSOJV5_TmL" TargetMode="External" Id="rId4390" /><Relationship Type="http://schemas.openxmlformats.org/officeDocument/2006/relationships/hyperlink" Target="https://www.mapiblocks.com/" TargetMode="External" Id="rId4391" /><Relationship Type="http://schemas.openxmlformats.org/officeDocument/2006/relationships/hyperlink" Target="https://drive.google.com/uc?export=view&amp;id=1JLFoOueAh46f8GUOFccVCBqoThKJqjg2" TargetMode="External" Id="rId4392" /><Relationship Type="http://schemas.openxmlformats.org/officeDocument/2006/relationships/hyperlink" Target="https://masterchallenge.me/" TargetMode="External" Id="rId4393" /><Relationship Type="http://schemas.openxmlformats.org/officeDocument/2006/relationships/hyperlink" Target="https://drive.google.com/uc?export=view&amp;id=1L9zOfzbeIMzLAon3SOpqgLeGAapOmrfq" TargetMode="External" Id="rId4394" /><Relationship Type="http://schemas.openxmlformats.org/officeDocument/2006/relationships/hyperlink" Target="https://www.mentalup.co/" TargetMode="External" Id="rId4395" /><Relationship Type="http://schemas.openxmlformats.org/officeDocument/2006/relationships/hyperlink" Target="https://drive.google.com/uc?export=view&amp;id=1jGBP8RYZMnAxJ-soARIsaan7-14PRCt5" TargetMode="External" Id="rId4396" /><Relationship Type="http://schemas.openxmlformats.org/officeDocument/2006/relationships/hyperlink" Target="https://nextus.global/en" TargetMode="External" Id="rId4397" /><Relationship Type="http://schemas.openxmlformats.org/officeDocument/2006/relationships/hyperlink" Target="https://www.instagram.com/nextus_glob/" TargetMode="External" Id="rId4398" /><Relationship Type="http://schemas.openxmlformats.org/officeDocument/2006/relationships/hyperlink" Target="https://twitter.com/nextus_global" TargetMode="External" Id="rId4399" /><Relationship Type="http://schemas.openxmlformats.org/officeDocument/2006/relationships/hyperlink" Target="https://www.linkedin.com/company/nextusglobal" TargetMode="External" Id="rId4400" /><Relationship Type="http://schemas.openxmlformats.org/officeDocument/2006/relationships/hyperlink" Target="https://drive.google.com/uc?export=view&amp;id=15sXLk9yDs64Zjr-oZi2z63zawKzG0_Vq" TargetMode="External" Id="rId4401" /><Relationship Type="http://schemas.openxmlformats.org/officeDocument/2006/relationships/hyperlink" Target="https://www.onlineacademy.nl/" TargetMode="External" Id="rId4402" /><Relationship Type="http://schemas.openxmlformats.org/officeDocument/2006/relationships/hyperlink" Target="https://www.linkedin.com/school/onlineacademy" TargetMode="External" Id="rId4403" /><Relationship Type="http://schemas.openxmlformats.org/officeDocument/2006/relationships/hyperlink" Target="https://drive.google.com/uc?export=view&amp;id=1iIdA7xUkMvfR7pRlyWbpCJ2fsgNsQTNU" TargetMode="External" Id="rId4404" /><Relationship Type="http://schemas.openxmlformats.org/officeDocument/2006/relationships/hyperlink" Target="https://openskool.be/" TargetMode="External" Id="rId4405" /><Relationship Type="http://schemas.openxmlformats.org/officeDocument/2006/relationships/hyperlink" Target="https://drive.google.com/uc?export=view&amp;id=1uY-WcQt4KctZXyYgOe9t58FzzYy3MnQT" TargetMode="External" Id="rId4406" /><Relationship Type="http://schemas.openxmlformats.org/officeDocument/2006/relationships/hyperlink" Target="https://ovos.at/en/" TargetMode="External" Id="rId4407" /><Relationship Type="http://schemas.openxmlformats.org/officeDocument/2006/relationships/hyperlink" Target="https://drive.google.com/uc?export=view&amp;id=149yM4qSBX5oPD2QRBAL05Cjxn5LY4Aqg" TargetMode="External" Id="rId4408" /><Relationship Type="http://schemas.openxmlformats.org/officeDocument/2006/relationships/hyperlink" Target="http://www.playit.training/" TargetMode="External" Id="rId4409" /><Relationship Type="http://schemas.openxmlformats.org/officeDocument/2006/relationships/hyperlink" Target="https://www.linkedin.com/company/playitsafe" TargetMode="External" Id="rId4410" /><Relationship Type="http://schemas.openxmlformats.org/officeDocument/2006/relationships/hyperlink" Target="https://drive.google.com/uc?export=view&amp;id=13Ch-wtltvzv2sEl8hcl_zphtSoy7-Qfl" TargetMode="External" Id="rId4411" /><Relationship Type="http://schemas.openxmlformats.org/officeDocument/2006/relationships/hyperlink" Target="https://quizco.de/" TargetMode="External" Id="rId4412" /><Relationship Type="http://schemas.openxmlformats.org/officeDocument/2006/relationships/hyperlink" Target="https://drive.google.com/uc?export=view&amp;id=1VotAlKN_fdF5VfUNLn5O9-L0I1klWNGi" TargetMode="External" Id="rId4413" /><Relationship Type="http://schemas.openxmlformats.org/officeDocument/2006/relationships/hyperlink" Target="http://www.quofox.com/" TargetMode="External" Id="rId4414" /><Relationship Type="http://schemas.openxmlformats.org/officeDocument/2006/relationships/hyperlink" Target="https://drive.google.com/uc?export=view&amp;id=1UaCY2OOs6xc26pw9Oq_Oz-q-F-eve03X" TargetMode="External" Id="rId4415" /><Relationship Type="http://schemas.openxmlformats.org/officeDocument/2006/relationships/hyperlink" Target="about:blank" TargetMode="External" Id="rId4416" /><Relationship Type="http://schemas.openxmlformats.org/officeDocument/2006/relationships/hyperlink" Target="https://www.instagram.com/reactoredcom/?hl=fi" TargetMode="External" Id="rId4417" /><Relationship Type="http://schemas.openxmlformats.org/officeDocument/2006/relationships/hyperlink" Target="https://twitter.com/reactoredcom" TargetMode="External" Id="rId4418" /><Relationship Type="http://schemas.openxmlformats.org/officeDocument/2006/relationships/hyperlink" Target="https://www.linkedin.com/company/reactored" TargetMode="External" Id="rId4419" /><Relationship Type="http://schemas.openxmlformats.org/officeDocument/2006/relationships/hyperlink" Target="https://drive.google.com/uc?export=view&amp;id=1DWYjoUOP_g6fmJ0dXHhK85a0l9wwZvIB" TargetMode="External" Id="rId4420" /><Relationship Type="http://schemas.openxmlformats.org/officeDocument/2006/relationships/hyperlink" Target="https://rimud.com/" TargetMode="External" Id="rId4421" /><Relationship Type="http://schemas.openxmlformats.org/officeDocument/2006/relationships/hyperlink" Target="https://drive.google.com/uc?export=view&amp;id=1QAO8BT1DX9V9Fv3GSZint0jbCj2Hq4-0" TargetMode="External" Id="rId4422" /><Relationship Type="http://schemas.openxmlformats.org/officeDocument/2006/relationships/hyperlink" Target="https://schoolr.net/it" TargetMode="External" Id="rId4423" /><Relationship Type="http://schemas.openxmlformats.org/officeDocument/2006/relationships/hyperlink" Target="https://www.instagram.com/schoolrhq/" TargetMode="External" Id="rId4424" /><Relationship Type="http://schemas.openxmlformats.org/officeDocument/2006/relationships/hyperlink" Target="https://twitter.com/SchoolrHQ" TargetMode="External" Id="rId4425" /><Relationship Type="http://schemas.openxmlformats.org/officeDocument/2006/relationships/hyperlink" Target="https://www.linkedin.com/company/schoolr/" TargetMode="External" Id="rId4426" /><Relationship Type="http://schemas.openxmlformats.org/officeDocument/2006/relationships/hyperlink" Target="https://drive.google.com/uc?export=view&amp;id=10HfIkY9FC-lenOAg1xioEJ7rHrOkyjlV" TargetMode="External" Id="rId4427" /><Relationship Type="http://schemas.openxmlformats.org/officeDocument/2006/relationships/hyperlink" Target="https://seppo.io/" TargetMode="External" Id="rId4428" /><Relationship Type="http://schemas.openxmlformats.org/officeDocument/2006/relationships/hyperlink" Target="http://seppo.io/" TargetMode="External" Id="rId4429" /><Relationship Type="http://schemas.openxmlformats.org/officeDocument/2006/relationships/hyperlink" Target="https://www.linkedin.com/company/seppo" TargetMode="External" Id="rId4430" /><Relationship Type="http://schemas.openxmlformats.org/officeDocument/2006/relationships/hyperlink" Target="https://drive.google.com/uc?export=view&amp;id=1p1G6ywGxGOfd9WLu5YCsDHt0FWywNQLF" TargetMode="External" Id="rId4431" /><Relationship Type="http://schemas.openxmlformats.org/officeDocument/2006/relationships/hyperlink" Target="http://www.skoledu.dk/" TargetMode="External" Id="rId4432" /><Relationship Type="http://schemas.openxmlformats.org/officeDocument/2006/relationships/hyperlink" Target="https://drive.google.com/uc?export=view&amp;id=1P833_KJPmmF9-WiTfnL4hchDBMZNhbTD" TargetMode="External" Id="rId4433" /><Relationship Type="http://schemas.openxmlformats.org/officeDocument/2006/relationships/hyperlink" Target="http://www.snabbfoting.com/" TargetMode="External" Id="rId4434" /><Relationship Type="http://schemas.openxmlformats.org/officeDocument/2006/relationships/hyperlink" Target="https://www.instagram.com/snabbfoting/" TargetMode="External" Id="rId4435" /><Relationship Type="http://schemas.openxmlformats.org/officeDocument/2006/relationships/hyperlink" Target="https://www.linkedin.com/company/snabbfoting" TargetMode="External" Id="rId4436" /><Relationship Type="http://schemas.openxmlformats.org/officeDocument/2006/relationships/hyperlink" Target="http://www.squla.nl/" TargetMode="External" Id="rId4437" /><Relationship Type="http://schemas.openxmlformats.org/officeDocument/2006/relationships/hyperlink" Target="https://drive.google.com/uc?export=view&amp;id=1AXssrq2h0C-kIWHUW6mEuaAzZkg5ieGz" TargetMode="External" Id="rId4438" /><Relationship Type="http://schemas.openxmlformats.org/officeDocument/2006/relationships/hyperlink" Target="https://www.sylva.ac/" TargetMode="External" Id="rId4439" /><Relationship Type="http://schemas.openxmlformats.org/officeDocument/2006/relationships/hyperlink" Target="https://www.linkedin.com/company/sylva-education" TargetMode="External" Id="rId4440" /><Relationship Type="http://schemas.openxmlformats.org/officeDocument/2006/relationships/hyperlink" Target="https://drive.google.com/uc?export=view&amp;id=1IKhOJxR1Vn7EU4srf04yBuQPJ9lbC-YZ" TargetMode="External" Id="rId4441" /><Relationship Type="http://schemas.openxmlformats.org/officeDocument/2006/relationships/hyperlink" Target="https://www.teachremote.ch/" TargetMode="External" Id="rId4442" /><Relationship Type="http://schemas.openxmlformats.org/officeDocument/2006/relationships/hyperlink" Target="https://twitter.com/teachremote?s=20" TargetMode="External" Id="rId4443" /><Relationship Type="http://schemas.openxmlformats.org/officeDocument/2006/relationships/hyperlink" Target="https://www.linkedin.com/in/teach-remote/" TargetMode="External" Id="rId4444" /><Relationship Type="http://schemas.openxmlformats.org/officeDocument/2006/relationships/hyperlink" Target="https://drive.google.com/uc?export=view&amp;id=1tbhYSMRBCY-NhVZSwg2bXQzDz-gdSdTs" TargetMode="External" Id="rId4445" /><Relationship Type="http://schemas.openxmlformats.org/officeDocument/2006/relationships/hyperlink" Target="https://teenit.app/" TargetMode="External" Id="rId4446" /><Relationship Type="http://schemas.openxmlformats.org/officeDocument/2006/relationships/hyperlink" Target="https://www.linkedin.com/company/74991718/" TargetMode="External" Id="rId4447" /><Relationship Type="http://schemas.openxmlformats.org/officeDocument/2006/relationships/hyperlink" Target="https://drive.google.com/uc?export=view&amp;id=18ZIYf9ZH3CzDZiyytiQ_hU9hDoeTjYfW" TargetMode="External" Id="rId4448" /><Relationship Type="http://schemas.openxmlformats.org/officeDocument/2006/relationships/hyperlink" Target="http://www.rentcompany.be/" TargetMode="External" Id="rId4449" /><Relationship Type="http://schemas.openxmlformats.org/officeDocument/2006/relationships/hyperlink" Target="https://drive.google.com/uc?export=view&amp;id=1v3aUVV6BldpdEGy1SqY0Fjn0XuuNH4sl" TargetMode="External" Id="rId4450" /><Relationship Type="http://schemas.openxmlformats.org/officeDocument/2006/relationships/hyperlink" Target="https://trueoriginal.com/" TargetMode="External" Id="rId4451" /><Relationship Type="http://schemas.openxmlformats.org/officeDocument/2006/relationships/hyperlink" Target="https://www.instagram.com/truedocuments/" TargetMode="External" Id="rId4452" /><Relationship Type="http://schemas.openxmlformats.org/officeDocument/2006/relationships/hyperlink" Target="https://twitter.com/TrueDocuments" TargetMode="External" Id="rId4453" /><Relationship Type="http://schemas.openxmlformats.org/officeDocument/2006/relationships/hyperlink" Target="https://www.linkedin.com/company/37549025/" TargetMode="External" Id="rId4454" /><Relationship Type="http://schemas.openxmlformats.org/officeDocument/2006/relationships/hyperlink" Target="https://drive.google.com/uc?export=view&amp;id=1Hp6dlsWPf6xPtqF8gi9OWhaeb8qK-a28" TargetMode="External" Id="rId4455" /><Relationship Type="http://schemas.openxmlformats.org/officeDocument/2006/relationships/hyperlink" Target="https://uchronic.ch/" TargetMode="External" Id="rId4456" /><Relationship Type="http://schemas.openxmlformats.org/officeDocument/2006/relationships/hyperlink" Target="https://www.instagram.com/uchronic.geneve/" TargetMode="External" Id="rId4457" /><Relationship Type="http://schemas.openxmlformats.org/officeDocument/2006/relationships/hyperlink" Target="https://www.linkedin.com/company/uchronicsarl" TargetMode="External" Id="rId4458" /><Relationship Type="http://schemas.openxmlformats.org/officeDocument/2006/relationships/hyperlink" Target="https://drive.google.com/uc?export=view&amp;id=1haAf6-SyxjdUsiKU2YJNX8RM0vwZ5maL" TargetMode="External" Id="rId4459" /><Relationship Type="http://schemas.openxmlformats.org/officeDocument/2006/relationships/hyperlink" Target="https://www.upgrowz.com/" TargetMode="External" Id="rId4460" /><Relationship Type="http://schemas.openxmlformats.org/officeDocument/2006/relationships/hyperlink" Target="https://drive.google.com/uc?export=view&amp;id=1Kv5BTo0NOQBzTzrcR1_EFXZFdI3ww_MH" TargetMode="External" Id="rId4461" /><Relationship Type="http://schemas.openxmlformats.org/officeDocument/2006/relationships/hyperlink" Target="https://videobit.io/" TargetMode="External" Id="rId4462" /><Relationship Type="http://schemas.openxmlformats.org/officeDocument/2006/relationships/hyperlink" Target="https://www.linkedin.com/company/videobit" TargetMode="External" Id="rId4463" /><Relationship Type="http://schemas.openxmlformats.org/officeDocument/2006/relationships/hyperlink" Target="https://drive.google.com/uc?export=view&amp;id=1AGSL3grrb1zF7lt5ju-NsVHIZJd8Xltd" TargetMode="External" Id="rId4464" /><Relationship Type="http://schemas.openxmlformats.org/officeDocument/2006/relationships/hyperlink" Target="http://wecoplay.com/" TargetMode="External" Id="rId4465" /><Relationship Type="http://schemas.openxmlformats.org/officeDocument/2006/relationships/hyperlink" Target="https://www.linkedin.com/company/wecoplay/" TargetMode="External" Id="rId4466" /><Relationship Type="http://schemas.openxmlformats.org/officeDocument/2006/relationships/hyperlink" Target="https://drive.google.com/uc?export=view&amp;id=1IxYDWHRgK-yvLdtAnOy9tTGbnsjvxWg5" TargetMode="External" Id="rId4467" /><Relationship Type="http://schemas.openxmlformats.org/officeDocument/2006/relationships/hyperlink" Target="https://www.wixar.io/" TargetMode="External" Id="rId4468" /><Relationship Type="http://schemas.openxmlformats.org/officeDocument/2006/relationships/hyperlink" Target="https://www.instagram.com/wixar360/" TargetMode="External" Id="rId4469" /><Relationship Type="http://schemas.openxmlformats.org/officeDocument/2006/relationships/hyperlink" Target="https://twitter.com/WiXar360" TargetMode="External" Id="rId4470" /><Relationship Type="http://schemas.openxmlformats.org/officeDocument/2006/relationships/hyperlink" Target="https://www.linkedin.com/company/wixar" TargetMode="External" Id="rId4471" /><Relationship Type="http://schemas.openxmlformats.org/officeDocument/2006/relationships/hyperlink" Target="https://drive.google.com/uc?export=view&amp;id=1RzbLMc7JnxU4pxFCgq9ZAZ-8WWYRm4rh" TargetMode="External" Id="rId4472" /><Relationship Type="http://schemas.openxmlformats.org/officeDocument/2006/relationships/hyperlink" Target="https://theworkademy.com/" TargetMode="External" Id="rId4473" /><Relationship Type="http://schemas.openxmlformats.org/officeDocument/2006/relationships/hyperlink" Target="https://drive.google.com/uc?export=view&amp;id=1syQPPcsf4Z4jDM07FG6AwpRrbKit7qZj" TargetMode="External" Id="rId4474" /><Relationship Type="http://schemas.openxmlformats.org/officeDocument/2006/relationships/hyperlink" Target="http://www.alteredu.it/" TargetMode="External" Id="rId4475" /><Relationship Type="http://schemas.openxmlformats.org/officeDocument/2006/relationships/hyperlink" Target="https://www.instagram.com/alteredu.it/" TargetMode="External" Id="rId4476" /><Relationship Type="http://schemas.openxmlformats.org/officeDocument/2006/relationships/hyperlink" Target="https://www.linkedin.com/company/alteredu" TargetMode="External" Id="rId4477" /><Relationship Type="http://schemas.openxmlformats.org/officeDocument/2006/relationships/hyperlink" Target="https://drive.google.com/uc?export=view&amp;id=1bmUU4AfeT64l2Rq26L3nxHbTkPZKKnBP" TargetMode="External" Id="rId4478" /><Relationship Type="http://schemas.openxmlformats.org/officeDocument/2006/relationships/hyperlink" Target="https://alumnelms.com/" TargetMode="External" Id="rId4479" /><Relationship Type="http://schemas.openxmlformats.org/officeDocument/2006/relationships/hyperlink" Target="https://twitter.com/alumneelearning" TargetMode="External" Id="rId4480" /><Relationship Type="http://schemas.openxmlformats.org/officeDocument/2006/relationships/hyperlink" Target="https://www.linkedin.com/company/alumneelearning/" TargetMode="External" Id="rId4481" /><Relationship Type="http://schemas.openxmlformats.org/officeDocument/2006/relationships/hyperlink" Target="https://drive.google.com/uc?export=view&amp;id=1qvOYvCGScY7oQtnk9qg2GLDet42ATM2k" TargetMode="External" Id="rId4482" /><Relationship Type="http://schemas.openxmlformats.org/officeDocument/2006/relationships/hyperlink" Target="https://www.atea.se/digitalisering-i-skolan/" TargetMode="External" Id="rId4483" /><Relationship Type="http://schemas.openxmlformats.org/officeDocument/2006/relationships/hyperlink" Target="https://www.instagram.com/atea_skola/" TargetMode="External" Id="rId4484" /><Relationship Type="http://schemas.openxmlformats.org/officeDocument/2006/relationships/hyperlink" Target="https://www.linkedin.com/company/atea-sverige/" TargetMode="External" Id="rId4485" /><Relationship Type="http://schemas.openxmlformats.org/officeDocument/2006/relationships/hyperlink" Target="https://drive.google.com/uc?export=view&amp;id=1f-dNT9meTB5j-0SsbDqSckMqQcVubXeo" TargetMode="External" Id="rId4486" /><Relationship Type="http://schemas.openxmlformats.org/officeDocument/2006/relationships/hyperlink" Target="https://batonroute.com/en/" TargetMode="External" Id="rId4487" /><Relationship Type="http://schemas.openxmlformats.org/officeDocument/2006/relationships/hyperlink" Target="https://drive.google.com/uc?export=view&amp;id=1ltkX9NQcR_doiTboT2H1jG-0kz3mopQf" TargetMode="External" Id="rId4488" /><Relationship Type="http://schemas.openxmlformats.org/officeDocument/2006/relationships/hyperlink" Target="https://be-skiller.com/" TargetMode="External" Id="rId4489" /><Relationship Type="http://schemas.openxmlformats.org/officeDocument/2006/relationships/hyperlink" Target="https://drive.google.com/uc?export=view&amp;id=16yqCsgbQk5a5Tk8U1K6wQl0V4fNMdb5_" TargetMode="External" Id="rId4490" /><Relationship Type="http://schemas.openxmlformats.org/officeDocument/2006/relationships/hyperlink" Target="https://bioprofe.com/" TargetMode="External" Id="rId4491" /><Relationship Type="http://schemas.openxmlformats.org/officeDocument/2006/relationships/hyperlink" Target="https://www.linkedin.com/company/bioprofe" TargetMode="External" Id="rId4492" /><Relationship Type="http://schemas.openxmlformats.org/officeDocument/2006/relationships/hyperlink" Target="https://drive.google.com/uc?export=view&amp;id=1FF_kCQ2iRJvoo91Hly1RWppIEaZU9Cqn" TargetMode="External" Id="rId4493" /><Relationship Type="http://schemas.openxmlformats.org/officeDocument/2006/relationships/hyperlink" Target="https://www.cns-edu.com/" TargetMode="External" Id="rId4494" /><Relationship Type="http://schemas.openxmlformats.org/officeDocument/2006/relationships/hyperlink" Target="https://drive.google.com/uc?export=view&amp;id=14SDVazfE5ddoJ9U-32V9w4sI-r57_sRo" TargetMode="External" Id="rId4495" /><Relationship Type="http://schemas.openxmlformats.org/officeDocument/2006/relationships/hyperlink" Target="https://www.cifraeducacion.com/" TargetMode="External" Id="rId4496" /><Relationship Type="http://schemas.openxmlformats.org/officeDocument/2006/relationships/hyperlink" Target="https://drive.google.com/uc?export=view&amp;id=1hpzgWAWbWoJZpu04Ot3F1dlyxwq9lJrm" TargetMode="External" Id="rId4497" /><Relationship Type="http://schemas.openxmlformats.org/officeDocument/2006/relationships/hyperlink" Target="https://www.edulib.fr/" TargetMode="External" Id="rId4498" /><Relationship Type="http://schemas.openxmlformats.org/officeDocument/2006/relationships/hyperlink" Target="https://drive.google.com/uc?export=view&amp;id=1Zty4eoxgO4vUxWIOUvksJg747t-Z9LIn" TargetMode="External" Id="rId4499" /><Relationship Type="http://schemas.openxmlformats.org/officeDocument/2006/relationships/hyperlink" Target="http://www.etrivium.es/" TargetMode="External" Id="rId4500" /><Relationship Type="http://schemas.openxmlformats.org/officeDocument/2006/relationships/hyperlink" Target="https://drive.google.com/uc?export=view&amp;id=1Nd9ed9C5yEtOPAt2RLC0K1FGYI7aFGz7" TargetMode="External" Id="rId4501" /><Relationship Type="http://schemas.openxmlformats.org/officeDocument/2006/relationships/hyperlink" Target="https://www.forabetterworld.es/" TargetMode="External" Id="rId4502" /><Relationship Type="http://schemas.openxmlformats.org/officeDocument/2006/relationships/hyperlink" Target="https://drive.google.com/uc?export=view&amp;id=1dKlWE6998UG98nASQ2hZ00BezZpRZKF8" TargetMode="External" Id="rId4503" /><Relationship Type="http://schemas.openxmlformats.org/officeDocument/2006/relationships/hyperlink" Target="https://www.hazu.io/" TargetMode="External" Id="rId4504" /><Relationship Type="http://schemas.openxmlformats.org/officeDocument/2006/relationships/hyperlink" Target="https://www.linkedin.com/company/hazu" TargetMode="External" Id="rId4505" /><Relationship Type="http://schemas.openxmlformats.org/officeDocument/2006/relationships/hyperlink" Target="https://drive.google.com/uc?export=view&amp;id=1uvFzUGUxKkvHALoAF2gsmtT3oj5RS0je" TargetMode="External" Id="rId4506" /><Relationship Type="http://schemas.openxmlformats.org/officeDocument/2006/relationships/hyperlink" Target="https://kjuicer.com/" TargetMode="External" Id="rId4507" /><Relationship Type="http://schemas.openxmlformats.org/officeDocument/2006/relationships/hyperlink" Target="https://twitter.com/KnowledgeJuicer" TargetMode="External" Id="rId4508" /><Relationship Type="http://schemas.openxmlformats.org/officeDocument/2006/relationships/hyperlink" Target="https://www.linkedin.com/company/10288288" TargetMode="External" Id="rId4509" /><Relationship Type="http://schemas.openxmlformats.org/officeDocument/2006/relationships/hyperlink" Target="https://drive.google.com/uc?export=view&amp;id=1iHy94ihTeZQeW_yBVB8Z5GHtJ2mYB9wc" TargetMode="External" Id="rId4510" /><Relationship Type="http://schemas.openxmlformats.org/officeDocument/2006/relationships/hyperlink" Target="https://legiland.club/" TargetMode="External" Id="rId4511" /><Relationship Type="http://schemas.openxmlformats.org/officeDocument/2006/relationships/hyperlink" Target="https://drive.google.com/uc?export=view&amp;id=1P4-lWlL6mBUUR0-d195aIhMLWHju0Fz1" TargetMode="External" Id="rId4512" /><Relationship Type="http://schemas.openxmlformats.org/officeDocument/2006/relationships/hyperlink" Target="https://www.makercamp.it/" TargetMode="External" Id="rId4513" /><Relationship Type="http://schemas.openxmlformats.org/officeDocument/2006/relationships/hyperlink" Target="https://drive.google.com/uc?export=view&amp;id=1L1-YzOVHTOMSWyQWcZ0daqekwbk2-aQG" TargetMode="External" Id="rId4514" /><Relationship Type="http://schemas.openxmlformats.org/officeDocument/2006/relationships/hyperlink" Target="https://www.micole.net/" TargetMode="External" Id="rId4515" /><Relationship Type="http://schemas.openxmlformats.org/officeDocument/2006/relationships/hyperlink" Target="https://www.instagram.com/micoleoficial/" TargetMode="External" Id="rId4516" /><Relationship Type="http://schemas.openxmlformats.org/officeDocument/2006/relationships/hyperlink" Target="https://www.linkedin.com/company/micole" TargetMode="External" Id="rId4517" /><Relationship Type="http://schemas.openxmlformats.org/officeDocument/2006/relationships/hyperlink" Target="https://drive.google.com/uc?export=view&amp;id=1S5IOCUyYAgAYRQabwWLvULfLjDIZRfRm" TargetMode="External" Id="rId4518" /><Relationship Type="http://schemas.openxmlformats.org/officeDocument/2006/relationships/hyperlink" Target="http://www.mil-edu.es/" TargetMode="External" Id="rId4519" /><Relationship Type="http://schemas.openxmlformats.org/officeDocument/2006/relationships/hyperlink" Target="https://drive.google.com/uc?export=view&amp;id=1Fi5KfX9sXAA7Q_TP84huK4UyOh3uu11K" TargetMode="External" Id="rId4520" /><Relationship Type="http://schemas.openxmlformats.org/officeDocument/2006/relationships/hyperlink" Target="http://www.professorfilm.eu/" TargetMode="External" Id="rId4521" /><Relationship Type="http://schemas.openxmlformats.org/officeDocument/2006/relationships/hyperlink" Target="https://drive.google.com/uc?export=view&amp;id=1wFMPtDowA1IpyMcLckUsHMETf_DOCQ8B" TargetMode="External" Id="rId4522" /><Relationship Type="http://schemas.openxmlformats.org/officeDocument/2006/relationships/hyperlink" Target="https://www.seidor.com/es-es/industrias/educacion" TargetMode="External" Id="rId4523" /><Relationship Type="http://schemas.openxmlformats.org/officeDocument/2006/relationships/hyperlink" Target="https://www.linkedin.com/company/seidor/mycompany/verification/" TargetMode="External" Id="rId4524" /><Relationship Type="http://schemas.openxmlformats.org/officeDocument/2006/relationships/hyperlink" Target="https://drive.google.com/uc?export=view&amp;id=1VzIVXhrczyEw2JMDGU-8KmMuWHDD9NGx" TargetMode="External" Id="rId4525" /><Relationship Type="http://schemas.openxmlformats.org/officeDocument/2006/relationships/hyperlink" Target="https://www.linkedin.com/company/studentsuccessapp/" TargetMode="External" Id="rId4526" /><Relationship Type="http://schemas.openxmlformats.org/officeDocument/2006/relationships/hyperlink" Target="https://drive.google.com/uc?export=view&amp;id=1kSqDPn_fn-Q9DU2lGr6A4wu0WCCYGtZc" TargetMode="External" Id="rId4527" /><Relationship Type="http://schemas.openxmlformats.org/officeDocument/2006/relationships/hyperlink" Target="http://systematic.com/sverige" TargetMode="External" Id="rId4528" /><Relationship Type="http://schemas.openxmlformats.org/officeDocument/2006/relationships/hyperlink" Target="https://twitter.com/SystematicGroup" TargetMode="External" Id="rId4529" /><Relationship Type="http://schemas.openxmlformats.org/officeDocument/2006/relationships/hyperlink" Target="https://www.linkedin.com/company/systematic/" TargetMode="External" Id="rId4530" /><Relationship Type="http://schemas.openxmlformats.org/officeDocument/2006/relationships/hyperlink" Target="https://drive.google.com/uc?export=view&amp;id=1Z8c4wyb7v8522EdFeTIhWmugJNN5UDUR" TargetMode="External" Id="rId4531" /><Relationship Type="http://schemas.openxmlformats.org/officeDocument/2006/relationships/hyperlink" Target="https://www.talky-app.com/" TargetMode="External" Id="rId4532" /><Relationship Type="http://schemas.openxmlformats.org/officeDocument/2006/relationships/hyperlink" Target="https://drive.google.com/uc?export=view&amp;id=1bbLWaQlGZO7_PH9s4PaloX9UKWyt6R5d" TargetMode="External" Id="rId4533" /><Relationship Type="http://schemas.openxmlformats.org/officeDocument/2006/relationships/hyperlink" Target="http://thepowermba.com/" TargetMode="External" Id="rId4534" /><Relationship Type="http://schemas.openxmlformats.org/officeDocument/2006/relationships/hyperlink" Target="http://tietoevry.com/" TargetMode="External" Id="rId4535" /><Relationship Type="http://schemas.openxmlformats.org/officeDocument/2006/relationships/hyperlink" Target="https://www.linkedin.com/company/tietoevry" TargetMode="External" Id="rId4536" /><Relationship Type="http://schemas.openxmlformats.org/officeDocument/2006/relationships/hyperlink" Target="https://drive.google.com/uc?export=view&amp;id=1-EbNcCFHwSzb_NpxNpwCAhRZTcDNyzxm" TargetMode="External" Id="rId4537" /><Relationship Type="http://schemas.openxmlformats.org/officeDocument/2006/relationships/hyperlink" Target="http://www.tracker-apps.com/" TargetMode="External" Id="rId4538" /><Relationship Type="http://schemas.openxmlformats.org/officeDocument/2006/relationships/hyperlink" Target="https://www.linkedin.com/company/trackerapps/" TargetMode="External" Id="rId4539" /><Relationship Type="http://schemas.openxmlformats.org/officeDocument/2006/relationships/hyperlink" Target="https://drive.google.com/uc?export=view&amp;id=1bIENNpUnO9giupb46Y4QZUNtTBKd3KHS" TargetMode="External" Id="rId4540" /><Relationship Type="http://schemas.openxmlformats.org/officeDocument/2006/relationships/hyperlink" Target="https://ucademy.es/" TargetMode="External" Id="rId4541" /><Relationship Type="http://schemas.openxmlformats.org/officeDocument/2006/relationships/hyperlink" Target="https://drive.google.com/uc?export=view&amp;id=1lnuKVdhfvGKvlDX1qOFWcWBuscPDnpt3" TargetMode="External" Id="rId4542" /><Relationship Type="http://schemas.openxmlformats.org/officeDocument/2006/relationships/hyperlink" Target="https://www.wisepath.ai/" TargetMode="External" Id="rId4543" /><Relationship Type="http://schemas.openxmlformats.org/officeDocument/2006/relationships/hyperlink" Target="https://www.linkedin.com/company/79811623/admin/" TargetMode="External" Id="rId4544" /><Relationship Type="http://schemas.openxmlformats.org/officeDocument/2006/relationships/hyperlink" Target="https://drive.google.com/uc?export=view&amp;id=1SciQqwd3YGqSf_PAKBCu6Ao_ZYyUZDPK" TargetMode="External" Id="rId4545" /><Relationship Type="http://schemas.openxmlformats.org/officeDocument/2006/relationships/hyperlink" Target="https://www.yourstep.ai/" TargetMode="External" Id="rId4546" /><Relationship Type="http://schemas.openxmlformats.org/officeDocument/2006/relationships/hyperlink" Target="https://drive.google.com/uc?export=view&amp;id=1ZEN0-h3BgttKje0kFyAkga-GjFAk1wDJ" TargetMode="External" Id="rId4547" /><Relationship Type="http://schemas.openxmlformats.org/officeDocument/2006/relationships/hyperlink" Target="https://1to1progress.fr/" TargetMode="External" Id="rId4548" /><Relationship Type="http://schemas.openxmlformats.org/officeDocument/2006/relationships/hyperlink" Target="https://fr.linkedin.com/company/1to1progress" TargetMode="External" Id="rId4549" /><Relationship Type="http://schemas.openxmlformats.org/officeDocument/2006/relationships/hyperlink" Target="https://drive.google.com/uc?export=view&amp;id=1h2ZgRt6qY-A_4AHdskLkIaHQrlIxsV9y" TargetMode="External" Id="rId4550" /><Relationship Type="http://schemas.openxmlformats.org/officeDocument/2006/relationships/hyperlink" Target="https://aulasteam.com/" TargetMode="External" Id="rId4551" /><Relationship Type="http://schemas.openxmlformats.org/officeDocument/2006/relationships/hyperlink" Target="https://drive.google.com/uc?export=view&amp;id=1e3CM-y6mNhzmnWuVKYZGkZ1lIZfomlAy" TargetMode="External" Id="rId4552" /><Relationship Type="http://schemas.openxmlformats.org/officeDocument/2006/relationships/hyperlink" Target="https://www.beunicoos.com/" TargetMode="External" Id="rId4553" /><Relationship Type="http://schemas.openxmlformats.org/officeDocument/2006/relationships/hyperlink" Target="https://drive.google.com/uc?export=view&amp;id=18WUxnxQhTvwoSwJxM54qKdNKxpNXkpnN" TargetMode="External" Id="rId4554" /><Relationship Type="http://schemas.openxmlformats.org/officeDocument/2006/relationships/hyperlink" Target="http://www.ethafa.com/" TargetMode="External" Id="rId4555" /><Relationship Type="http://schemas.openxmlformats.org/officeDocument/2006/relationships/hyperlink" Target="https://twitter.com/ethafakit" TargetMode="External" Id="rId4556" /><Relationship Type="http://schemas.openxmlformats.org/officeDocument/2006/relationships/hyperlink" Target="https://www.linkedin.com/company/38148290/admin/" TargetMode="External" Id="rId4557" /><Relationship Type="http://schemas.openxmlformats.org/officeDocument/2006/relationships/hyperlink" Target="https://drive.google.com/uc?export=view&amp;id=1j0ccBGU1Mc9rNJRSM3c_RMj5zsRK0IHW" TargetMode="External" Id="rId4558" /><Relationship Type="http://schemas.openxmlformats.org/officeDocument/2006/relationships/hyperlink" Target="https://www.eventful.se/" TargetMode="External" Id="rId4559" /><Relationship Type="http://schemas.openxmlformats.org/officeDocument/2006/relationships/hyperlink" Target="https://www.linkedin.com/company/eventful-ab" TargetMode="External" Id="rId4560" /><Relationship Type="http://schemas.openxmlformats.org/officeDocument/2006/relationships/hyperlink" Target="https://drive.google.com/uc?export=view&amp;id=1t8NOBcYHZUCax5OgnSJebxH_dI2l4Rbg" TargetMode="External" Id="rId4561" /><Relationship Type="http://schemas.openxmlformats.org/officeDocument/2006/relationships/hyperlink" Target="http://www.friendbase.com/" TargetMode="External" Id="rId4562" /><Relationship Type="http://schemas.openxmlformats.org/officeDocument/2006/relationships/hyperlink" Target="https://instagram.com/friendbase.official" TargetMode="External" Id="rId4563" /><Relationship Type="http://schemas.openxmlformats.org/officeDocument/2006/relationships/hyperlink" Target="https://www.linkedin.com/company/friendbase-ab/" TargetMode="External" Id="rId4564" /><Relationship Type="http://schemas.openxmlformats.org/officeDocument/2006/relationships/hyperlink" Target="https://drive.google.com/uc?export=view&amp;id=1EqWvpbJojOr4-HOabS10_go69bu4byuf" TargetMode="External" Id="rId4565" /><Relationship Type="http://schemas.openxmlformats.org/officeDocument/2006/relationships/hyperlink" Target="https://hackrocks.com/" TargetMode="External" Id="rId4566" /><Relationship Type="http://schemas.openxmlformats.org/officeDocument/2006/relationships/hyperlink" Target="https://drive.google.com/uc?export=view&amp;id=1lbCroNa_vVFrL638ElmpzH8V2-F4jNO1" TargetMode="External" Id="rId4567" /><Relationship Type="http://schemas.openxmlformats.org/officeDocument/2006/relationships/hyperlink" Target="http://www.ikurius.com/" TargetMode="External" Id="rId4568" /><Relationship Type="http://schemas.openxmlformats.org/officeDocument/2006/relationships/hyperlink" Target="https://drive.google.com/uc?export=view&amp;id=1UfVeizSejTh_Cz2yTKrkHbXsWu_t-kFD" TargetMode="External" Id="rId4569" /><Relationship Type="http://schemas.openxmlformats.org/officeDocument/2006/relationships/hyperlink" Target="https://www.inspera.com/" TargetMode="External" Id="rId4570" /><Relationship Type="http://schemas.openxmlformats.org/officeDocument/2006/relationships/hyperlink" Target="https://www.linkedin.com/company/inspera/mycompany/verification/" TargetMode="External" Id="rId4571" /><Relationship Type="http://schemas.openxmlformats.org/officeDocument/2006/relationships/hyperlink" Target="https://drive.google.com/uc?export=view&amp;id=12JBGKFla4CfMtQ6gahyPpeCVHcvUhI1n" TargetMode="External" Id="rId4572" /><Relationship Type="http://schemas.openxmlformats.org/officeDocument/2006/relationships/hyperlink" Target="https://www.intermatia.com/" TargetMode="External" Id="rId4573" /><Relationship Type="http://schemas.openxmlformats.org/officeDocument/2006/relationships/hyperlink" Target="https://drive.google.com/uc?export=view&amp;id=1jEkm6rbgbElk0RItewx0nqlYYbIVLWLI" TargetMode="External" Id="rId4574" /><Relationship Type="http://schemas.openxmlformats.org/officeDocument/2006/relationships/hyperlink" Target="http://www.jvsp.io/" TargetMode="External" Id="rId4575" /><Relationship Type="http://schemas.openxmlformats.org/officeDocument/2006/relationships/hyperlink" Target="https://drive.google.com/uc?export=view&amp;id=1D1XsV6F3U7A6J7aSzM9bXpRnXJ1MfyNJ" TargetMode="External" Id="rId4576" /><Relationship Type="http://schemas.openxmlformats.org/officeDocument/2006/relationships/hyperlink" Target="https://labsland.com/" TargetMode="External" Id="rId4577" /><Relationship Type="http://schemas.openxmlformats.org/officeDocument/2006/relationships/hyperlink" Target="https://drive.google.com/uc?export=view&amp;id=1pGYfGSnBWbO09DrPvqgNwxXSoRPjVGnB" TargetMode="External" Id="rId4578" /><Relationship Type="http://schemas.openxmlformats.org/officeDocument/2006/relationships/hyperlink" Target="http://learnetic.com/" TargetMode="External" Id="rId4579" /><Relationship Type="http://schemas.openxmlformats.org/officeDocument/2006/relationships/hyperlink" Target="https://www.linkedin.com/company/learnetic" TargetMode="External" Id="rId4580" /><Relationship Type="http://schemas.openxmlformats.org/officeDocument/2006/relationships/hyperlink" Target="https://drive.google.com/uc?export=view&amp;id=10-cWWf6p64z0dCc7L3Lq7nKABUZE85Io" TargetMode="External" Id="rId4581" /><Relationship Type="http://schemas.openxmlformats.org/officeDocument/2006/relationships/hyperlink" Target="https://www.leialtechnologies.com/" TargetMode="External" Id="rId4582" /><Relationship Type="http://schemas.openxmlformats.org/officeDocument/2006/relationships/hyperlink" Target="https://drive.google.com/uc?export=view&amp;id=1jXVc3cvQPrmw3c-hTXD68WYawMa_n6Bx" TargetMode="External" Id="rId4583" /><Relationship Type="http://schemas.openxmlformats.org/officeDocument/2006/relationships/hyperlink" Target="http://masquelearning.com/" TargetMode="External" Id="rId4584" /><Relationship Type="http://schemas.openxmlformats.org/officeDocument/2006/relationships/hyperlink" Target="https://www.instagram.com/masquelearning/?hl=es" TargetMode="External" Id="rId4585" /><Relationship Type="http://schemas.openxmlformats.org/officeDocument/2006/relationships/hyperlink" Target="https://twitter.com/MasQueLearning" TargetMode="External" Id="rId4586" /><Relationship Type="http://schemas.openxmlformats.org/officeDocument/2006/relationships/hyperlink" Target="https://es.linkedin.com/company/mqlplay" TargetMode="External" Id="rId4587" /><Relationship Type="http://schemas.openxmlformats.org/officeDocument/2006/relationships/hyperlink" Target="https://drive.google.com/uc?export=view&amp;id=1D7vaiwp4PWexcF_2EBUHmlqv54u8PMpH" TargetMode="External" Id="rId4588" /><Relationship Type="http://schemas.openxmlformats.org/officeDocument/2006/relationships/hyperlink" Target="https://quodus.ai/" TargetMode="External" Id="rId4589" /><Relationship Type="http://schemas.openxmlformats.org/officeDocument/2006/relationships/hyperlink" Target="https://drive.google.com/uc?export=view&amp;id=1Nij2ibAzNi8pUTJLIEzH953hcsVRMfn2" TargetMode="External" Id="rId4590" /><Relationship Type="http://schemas.openxmlformats.org/officeDocument/2006/relationships/hyperlink" Target="https://rbean.io/" TargetMode="External" Id="rId4591" /><Relationship Type="http://schemas.openxmlformats.org/officeDocument/2006/relationships/hyperlink" Target="https://www.linkedin.com/company/30967711/" TargetMode="External" Id="rId4592" /><Relationship Type="http://schemas.openxmlformats.org/officeDocument/2006/relationships/hyperlink" Target="https://drive.google.com/uc?export=view&amp;id=1tFTIKiXgS7IteYSGw21rFR2mHqdgXn-n" TargetMode="External" Id="rId4593" /><Relationship Type="http://schemas.openxmlformats.org/officeDocument/2006/relationships/hyperlink" Target="https://reconcept.nl/" TargetMode="External" Id="rId4594" /><Relationship Type="http://schemas.openxmlformats.org/officeDocument/2006/relationships/hyperlink" Target="https://www.linkedin.com/company/reconcept-it" TargetMode="External" Id="rId4595" /><Relationship Type="http://schemas.openxmlformats.org/officeDocument/2006/relationships/hyperlink" Target="https://drive.google.com/uc?export=view&amp;id=1-QdWXem9dKa6dhy9DV2Ra8cDMGiDBzT4" TargetMode="External" Id="rId4596" /><Relationship Type="http://schemas.openxmlformats.org/officeDocument/2006/relationships/hyperlink" Target="https://robokidsrobotica.com/" TargetMode="External" Id="rId4597" /><Relationship Type="http://schemas.openxmlformats.org/officeDocument/2006/relationships/hyperlink" Target="https://drive.google.com/uc?export=view&amp;id=1l8Lpxo4xv8-MEcnjJ6F6ZsSk2lRevtCH" TargetMode="External" Id="rId4598" /><Relationship Type="http://schemas.openxmlformats.org/officeDocument/2006/relationships/hyperlink" Target="https://royalschedule.com/" TargetMode="External" Id="rId4599" /><Relationship Type="http://schemas.openxmlformats.org/officeDocument/2006/relationships/hyperlink" Target="https://www.linkedin.com/company/royalschedule" TargetMode="External" Id="rId4600" /><Relationship Type="http://schemas.openxmlformats.org/officeDocument/2006/relationships/hyperlink" Target="https://drive.google.com/uc?export=view&amp;id=1whNpUOMWu7fdOFaS_lOl8JeOV66igEMr" TargetMode="External" Id="rId4601" /><Relationship Type="http://schemas.openxmlformats.org/officeDocument/2006/relationships/hyperlink" Target="https://www.spacetechies.com/" TargetMode="External" Id="rId4602" /><Relationship Type="http://schemas.openxmlformats.org/officeDocument/2006/relationships/hyperlink" Target="https://drive.google.com/uc?export=view&amp;id=1ON1eu7XSyuNfHhKcmFhjZZr1JE5nxSGf" TargetMode="External" Id="rId4603" /><Relationship Type="http://schemas.openxmlformats.org/officeDocument/2006/relationships/hyperlink" Target="https://www.spuernasenecke.com/" TargetMode="External" Id="rId4604" /><Relationship Type="http://schemas.openxmlformats.org/officeDocument/2006/relationships/hyperlink" Target="http://www.untis.at/" TargetMode="External" Id="rId4605" /><Relationship Type="http://schemas.openxmlformats.org/officeDocument/2006/relationships/hyperlink" Target="https://drive.google.com/uc?export=view&amp;id=1tTgCwOtIBd-WISdDO0cFGJ-sdhIC5FK7" TargetMode="External" Id="rId4606" /><Relationship Type="http://schemas.openxmlformats.org/officeDocument/2006/relationships/hyperlink" Target="https://www.judicia.app/" TargetMode="External" Id="rId4607" /><Relationship Type="http://schemas.openxmlformats.org/officeDocument/2006/relationships/hyperlink" Target="https://drive.google.com/uc?export=view&amp;id=1OobHUoE1398omjrJuU_Jjy2mxrcb_GAA" TargetMode="External" Id="rId4608" /><Relationship Type="http://schemas.openxmlformats.org/officeDocument/2006/relationships/hyperlink" Target="https://www.7speaking.com/" TargetMode="External" Id="rId4609" /><Relationship Type="http://schemas.openxmlformats.org/officeDocument/2006/relationships/hyperlink" Target="https://drive.google.com/uc?export=view&amp;id=1NHaUxnWKf23_Y2ZK_TjavMimWylrYNmv" TargetMode="External" Id="rId4610" /><Relationship Type="http://schemas.openxmlformats.org/officeDocument/2006/relationships/hyperlink" Target="https://colori.education/" TargetMode="External" Id="rId4611" /><Relationship Type="http://schemas.openxmlformats.org/officeDocument/2006/relationships/hyperlink" Target="https://www.instagram.com/colori.officiel/" TargetMode="External" Id="rId4612" /><Relationship Type="http://schemas.openxmlformats.org/officeDocument/2006/relationships/hyperlink" Target="https://twitter.com/COLORIeducation" TargetMode="External" Id="rId4613" /><Relationship Type="http://schemas.openxmlformats.org/officeDocument/2006/relationships/hyperlink" Target="https://www.linkedin.com/company/colori-montessori" TargetMode="External" Id="rId4614" /><Relationship Type="http://schemas.openxmlformats.org/officeDocument/2006/relationships/hyperlink" Target="https://drive.google.com/uc?export=view&amp;id=1b7XVmp7dwOIwtZwFFqOBbnGrm1bkPF4D" TargetMode="External" Id="rId4615" /><Relationship Type="http://schemas.openxmlformats.org/officeDocument/2006/relationships/hyperlink" Target="https://evaluo.eu/" TargetMode="External" Id="rId4616" /><Relationship Type="http://schemas.openxmlformats.org/officeDocument/2006/relationships/hyperlink" Target="https://twitter.com/evaluo20" TargetMode="External" Id="rId4617" /><Relationship Type="http://schemas.openxmlformats.org/officeDocument/2006/relationships/hyperlink" Target="https://www.linkedin.com/company/e-valuo/?viewAsMember=true" TargetMode="External" Id="rId4618" /><Relationship Type="http://schemas.openxmlformats.org/officeDocument/2006/relationships/hyperlink" Target="https://drive.google.com/uc?export=view&amp;id=14Ba0fXAI1cuNvOLDuQ_FShFSG1YeO6zR" TargetMode="External" Id="rId4619" /><Relationship Type="http://schemas.openxmlformats.org/officeDocument/2006/relationships/hyperlink" Target="http://impala.in/" TargetMode="External" Id="rId4620" /><Relationship Type="http://schemas.openxmlformats.org/officeDocument/2006/relationships/hyperlink" Target="https://twitter.com/ImpalaEdu" TargetMode="External" Id="rId4621" /><Relationship Type="http://schemas.openxmlformats.org/officeDocument/2006/relationships/hyperlink" Target="https://www.linkedin.com/company/10779330/" TargetMode="External" Id="rId4622" /><Relationship Type="http://schemas.openxmlformats.org/officeDocument/2006/relationships/hyperlink" Target="https://drive.google.com/uc?export=view&amp;id=1yE96NIiFdV0L9XjQ05QgNUQGTPd-wZyJ" TargetMode="External" Id="rId4623" /><Relationship Type="http://schemas.openxmlformats.org/officeDocument/2006/relationships/hyperlink" Target="https://kirae.io/" TargetMode="External" Id="rId4624" /><Relationship Type="http://schemas.openxmlformats.org/officeDocument/2006/relationships/hyperlink" Target="https://www.instagram.com/kirae.learning/" TargetMode="External" Id="rId4625" /><Relationship Type="http://schemas.openxmlformats.org/officeDocument/2006/relationships/hyperlink" Target="https://twitter.com/kiraelearning" TargetMode="External" Id="rId4626" /><Relationship Type="http://schemas.openxmlformats.org/officeDocument/2006/relationships/hyperlink" Target="https://www.linkedin.com/company/kirae/" TargetMode="External" Id="rId4627" /><Relationship Type="http://schemas.openxmlformats.org/officeDocument/2006/relationships/hyperlink" Target="https://drive.google.com/uc?export=view&amp;id=1bsx5yJvwRECNfXqdsZiocslTVHdYJ9yr" TargetMode="External" Id="rId4628" /><Relationship Type="http://schemas.openxmlformats.org/officeDocument/2006/relationships/hyperlink" Target="https://kokorolingua.com/" TargetMode="External" Id="rId4629" /><Relationship Type="http://schemas.openxmlformats.org/officeDocument/2006/relationships/hyperlink" Target="https://www.instagram.com/kokorolingua/" TargetMode="External" Id="rId4630" /><Relationship Type="http://schemas.openxmlformats.org/officeDocument/2006/relationships/hyperlink" Target="https://twitter.com/kokoro_lingua" TargetMode="External" Id="rId4631" /><Relationship Type="http://schemas.openxmlformats.org/officeDocument/2006/relationships/hyperlink" Target="https://www.linkedin.com/company/18446476/" TargetMode="External" Id="rId4632" /><Relationship Type="http://schemas.openxmlformats.org/officeDocument/2006/relationships/hyperlink" Target="https://drive.google.com/uc?export=view&amp;id=1XxNXGt-hAyt3oUc1YliLBIKxWi5q2kEl" TargetMode="External" Id="rId4633" /><Relationship Type="http://schemas.openxmlformats.org/officeDocument/2006/relationships/hyperlink" Target="http://myracle.io/" TargetMode="External" Id="rId4634" /><Relationship Type="http://schemas.openxmlformats.org/officeDocument/2006/relationships/hyperlink" Target="https://myracle.io/" TargetMode="External" Id="rId4635" /><Relationship Type="http://schemas.openxmlformats.org/officeDocument/2006/relationships/hyperlink" Target="https://drive.google.com/uc?export=view&amp;id=1K91tzrcCUGRzk61bkCztQqhMIlKjmNiT" TargetMode="External" Id="rId4636" /><Relationship Type="http://schemas.openxmlformats.org/officeDocument/2006/relationships/hyperlink" Target="http://www.ipesland.com/" TargetMode="External" Id="rId4637" /><Relationship Type="http://schemas.openxmlformats.org/officeDocument/2006/relationships/hyperlink" Target="https://drive.google.com/uc?export=view&amp;id=1_LHB4kmfWswxuwLURNe2O4US1JyMmNEr" TargetMode="External" Id="rId4638" /><Relationship Type="http://schemas.openxmlformats.org/officeDocument/2006/relationships/hyperlink" Target="http://www.kharty.com/" TargetMode="External" Id="rId4639" /><Relationship Type="http://schemas.openxmlformats.org/officeDocument/2006/relationships/hyperlink" Target="https://www.linkedin.com/company/kharty" TargetMode="External" Id="rId4640" /><Relationship Type="http://schemas.openxmlformats.org/officeDocument/2006/relationships/hyperlink" Target="https://drive.google.com/uc?export=view&amp;id=1KNKPweaMO0jPR7UpNasVC6kXyYRq2qaK" TargetMode="External" Id="rId4641" /><Relationship Type="http://schemas.openxmlformats.org/officeDocument/2006/relationships/hyperlink" Target="http://www.learnenjoy.com/" TargetMode="External" Id="rId4642" /><Relationship Type="http://schemas.openxmlformats.org/officeDocument/2006/relationships/hyperlink" Target="https://twitter.com/learnenjoy" TargetMode="External" Id="rId4643" /><Relationship Type="http://schemas.openxmlformats.org/officeDocument/2006/relationships/hyperlink" Target="https://www.linkedin.com/company/learnenjoy/mycompany/" TargetMode="External" Id="rId4644" /><Relationship Type="http://schemas.openxmlformats.org/officeDocument/2006/relationships/hyperlink" Target="https://drive.google.com/uc?export=view&amp;id=1lbQk3vPTUH5MT1DgN1OpgR5RetNEKAFz" TargetMode="External" Id="rId4645" /><Relationship Type="http://schemas.openxmlformats.org/officeDocument/2006/relationships/hyperlink" Target="https://opendigitaleducation.com/index.php?lang=en" TargetMode="External" Id="rId4646" /><Relationship Type="http://schemas.openxmlformats.org/officeDocument/2006/relationships/hyperlink" Target="https://twitter.com/OpenDigitEduc" TargetMode="External" Id="rId4647" /><Relationship Type="http://schemas.openxmlformats.org/officeDocument/2006/relationships/hyperlink" Target="https://fr.linkedin.com/company/open-digital-education" TargetMode="External" Id="rId4648" /><Relationship Type="http://schemas.openxmlformats.org/officeDocument/2006/relationships/hyperlink" Target="https://drive.google.com/uc?export=view&amp;id=1v-6iY4N9DA3hgoR68othaWTvbHHaMkTd" TargetMode="External" Id="rId4649" /><Relationship Type="http://schemas.openxmlformats.org/officeDocument/2006/relationships/hyperlink" Target="https://rapidmooc.com/" TargetMode="External" Id="rId4650" /><Relationship Type="http://schemas.openxmlformats.org/officeDocument/2006/relationships/hyperlink" Target="https://twitter.com/rapidmooc" TargetMode="External" Id="rId4651" /><Relationship Type="http://schemas.openxmlformats.org/officeDocument/2006/relationships/hyperlink" Target="https://www.linkedin.com/company/rapidmooc/" TargetMode="External" Id="rId4652" /><Relationship Type="http://schemas.openxmlformats.org/officeDocument/2006/relationships/hyperlink" Target="https://drive.google.com/uc?export=view&amp;id=1kZeQu4tt7k_ZJiH40UHm5QmTgaLwisVR" TargetMode="External" Id="rId4653" /><Relationship Type="http://schemas.openxmlformats.org/officeDocument/2006/relationships/hyperlink" Target="https://unigow.com/" TargetMode="External" Id="rId4654" /><Relationship Type="http://schemas.openxmlformats.org/officeDocument/2006/relationships/hyperlink" Target="https://drive.google.com/uc?export=view&amp;id=1GT65GYanEK3HhnNv33ZzqP1GPpZidMgd" TargetMode="External" Id="rId4655" /><Relationship Type="http://schemas.openxmlformats.org/officeDocument/2006/relationships/hyperlink" Target="http://8bitcade.com/" TargetMode="External" Id="rId4656" /><Relationship Type="http://schemas.openxmlformats.org/officeDocument/2006/relationships/hyperlink" Target="https://drive.google.com/uc?export=view&amp;id=14PMhKKlBCnoendBakvE4Szwkjylmz5qj" TargetMode="External" Id="rId4657" /><Relationship Type="http://schemas.openxmlformats.org/officeDocument/2006/relationships/hyperlink" Target="https://apolearn.com/" TargetMode="External" Id="rId4658" /><Relationship Type="http://schemas.openxmlformats.org/officeDocument/2006/relationships/hyperlink" Target="https://twitter.com/apolearn" TargetMode="External" Id="rId4659" /><Relationship Type="http://schemas.openxmlformats.org/officeDocument/2006/relationships/hyperlink" Target="https://www.linkedin.com/company/apolearn" TargetMode="External" Id="rId4660" /><Relationship Type="http://schemas.openxmlformats.org/officeDocument/2006/relationships/hyperlink" Target="https://drive.google.com/uc?export=view&amp;id=13xT1Ii3usn9h_dHWUs7-6Zbm7EJzBnJL" TargetMode="External" Id="rId4661" /><Relationship Type="http://schemas.openxmlformats.org/officeDocument/2006/relationships/hyperlink" Target="https://artivive.com/" TargetMode="External" Id="rId4662" /><Relationship Type="http://schemas.openxmlformats.org/officeDocument/2006/relationships/hyperlink" Target="https://www.instagram.com/artiviveapp/" TargetMode="External" Id="rId4663" /><Relationship Type="http://schemas.openxmlformats.org/officeDocument/2006/relationships/hyperlink" Target="https://twitter.com/ArtiviveApp" TargetMode="External" Id="rId4664" /><Relationship Type="http://schemas.openxmlformats.org/officeDocument/2006/relationships/hyperlink" Target="https://www.linkedin.com/company/artivive/" TargetMode="External" Id="rId4665" /><Relationship Type="http://schemas.openxmlformats.org/officeDocument/2006/relationships/hyperlink" Target="https://drive.google.com/uc?export=view&amp;id=1_-TdzL8HNcwYMRN8js9pXwwbfBa8sxXH" TargetMode="External" Id="rId4666" /><Relationship Type="http://schemas.openxmlformats.org/officeDocument/2006/relationships/hyperlink" Target="https://beekee.ch/" TargetMode="External" Id="rId4667" /><Relationship Type="http://schemas.openxmlformats.org/officeDocument/2006/relationships/hyperlink" Target="https://twitter.com/beekee_ch" TargetMode="External" Id="rId4668" /><Relationship Type="http://schemas.openxmlformats.org/officeDocument/2006/relationships/hyperlink" Target="https://www.linkedin.com/company/beekee/" TargetMode="External" Id="rId4669" /><Relationship Type="http://schemas.openxmlformats.org/officeDocument/2006/relationships/hyperlink" Target="https://drive.google.com/uc?export=view&amp;id=1ZfxM41Op9Ykoa9z2v1uPL3Y7bLyQI839" TargetMode="External" Id="rId4670" /><Relationship Type="http://schemas.openxmlformats.org/officeDocument/2006/relationships/hyperlink" Target="https://calerga.com/" TargetMode="External" Id="rId4671" /><Relationship Type="http://schemas.openxmlformats.org/officeDocument/2006/relationships/hyperlink" Target="https://drive.google.com/uc?export=view&amp;id=1_5X_I5RCltPHZ5-iFP1HKKVSA3NWQ3He" TargetMode="External" Id="rId4672" /><Relationship Type="http://schemas.openxmlformats.org/officeDocument/2006/relationships/hyperlink" Target="https://www.doubleyoukids.com/" TargetMode="External" Id="rId4673" /><Relationship Type="http://schemas.openxmlformats.org/officeDocument/2006/relationships/hyperlink" Target="https://twitter.com/DoubleyouKids" TargetMode="External" Id="rId4674" /><Relationship Type="http://schemas.openxmlformats.org/officeDocument/2006/relationships/hyperlink" Target="https://www.linkedin.com/company/doubleyoukids/" TargetMode="External" Id="rId4675" /><Relationship Type="http://schemas.openxmlformats.org/officeDocument/2006/relationships/hyperlink" Target="https://drive.google.com/uc?export=view&amp;id=1lx8pg1yp2BYUVOxzrIW2AgMAPn3TUTqQ" TargetMode="External" Id="rId4676" /><Relationship Type="http://schemas.openxmlformats.org/officeDocument/2006/relationships/hyperlink" Target="http://www.edufactory.com/" TargetMode="External" Id="rId4677" /><Relationship Type="http://schemas.openxmlformats.org/officeDocument/2006/relationships/hyperlink" Target="https://www.instagram.com/_edufactory/?hl=fr" TargetMode="External" Id="rId4678" /><Relationship Type="http://schemas.openxmlformats.org/officeDocument/2006/relationships/hyperlink" Target="https://twitter.com/_edufactory" TargetMode="External" Id="rId4679" /><Relationship Type="http://schemas.openxmlformats.org/officeDocument/2006/relationships/hyperlink" Target="https://www.linkedin.com/company/edufactory" TargetMode="External" Id="rId4680" /><Relationship Type="http://schemas.openxmlformats.org/officeDocument/2006/relationships/hyperlink" Target="https://drive.google.com/uc?export=view&amp;id=1Cf92a3a8jsgjm5jq7fx2liJwKsWzXxB6" TargetMode="External" Id="rId4681" /><Relationship Type="http://schemas.openxmlformats.org/officeDocument/2006/relationships/hyperlink" Target="http://www.fifty.do/" TargetMode="External" Id="rId4682" /><Relationship Type="http://schemas.openxmlformats.org/officeDocument/2006/relationships/hyperlink" Target="https://www.linkedin.com/company/fifty-edoing/" TargetMode="External" Id="rId4683" /><Relationship Type="http://schemas.openxmlformats.org/officeDocument/2006/relationships/hyperlink" Target="https://drive.google.com/uc?export=view&amp;id=1x2IVAax4UqTXsiajtvTJ-3jSJo-euwEp" TargetMode="External" Id="rId4684" /><Relationship Type="http://schemas.openxmlformats.org/officeDocument/2006/relationships/hyperlink" Target="https://hellorse.fr/" TargetMode="External" Id="rId4685" /><Relationship Type="http://schemas.openxmlformats.org/officeDocument/2006/relationships/hyperlink" Target="https://www.linkedin.com/company/hellorse/mycompany/?viewAsMember=true" TargetMode="External" Id="rId4686" /><Relationship Type="http://schemas.openxmlformats.org/officeDocument/2006/relationships/hyperlink" Target="https://drive.google.com/uc?export=view&amp;id=1w_aq8VOojnCK8o31ME7BdTHvAnoaEHuN" TargetMode="External" Id="rId4687" /><Relationship Type="http://schemas.openxmlformats.org/officeDocument/2006/relationships/hyperlink" Target="http://www.iamprogrez.com/" TargetMode="External" Id="rId4688" /><Relationship Type="http://schemas.openxmlformats.org/officeDocument/2006/relationships/hyperlink" Target="https://twitter.com/IamProgrez" TargetMode="External" Id="rId4689" /><Relationship Type="http://schemas.openxmlformats.org/officeDocument/2006/relationships/hyperlink" Target="https://www.linkedin.com/company/5102576/admin/" TargetMode="External" Id="rId4690" /><Relationship Type="http://schemas.openxmlformats.org/officeDocument/2006/relationships/hyperlink" Target="https://drive.google.com/uc?export=view&amp;id=1us57gsY4-z0ACSO2K_jYut24iok0oeFi" TargetMode="External" Id="rId4691" /><Relationship Type="http://schemas.openxmlformats.org/officeDocument/2006/relationships/hyperlink" Target="https://www.isicrunch.com/" TargetMode="External" Id="rId4692" /><Relationship Type="http://schemas.openxmlformats.org/officeDocument/2006/relationships/hyperlink" Target="https://twitter.com/ISIcrunch" TargetMode="External" Id="rId4693" /><Relationship Type="http://schemas.openxmlformats.org/officeDocument/2006/relationships/hyperlink" Target="https://www.linkedin.com/in/vincentwartelle/" TargetMode="External" Id="rId4694" /><Relationship Type="http://schemas.openxmlformats.org/officeDocument/2006/relationships/hyperlink" Target="https://drive.google.com/uc?export=view&amp;id=1sfm4HtYWhkhcaNfO0Z8NjUlFSnGP1XDO" TargetMode="External" Id="rId4695" /><Relationship Type="http://schemas.openxmlformats.org/officeDocument/2006/relationships/hyperlink" Target="https://www.learning-boost.com/" TargetMode="External" Id="rId4696" /><Relationship Type="http://schemas.openxmlformats.org/officeDocument/2006/relationships/hyperlink" Target="https://twitter.com/Learning_Boost" TargetMode="External" Id="rId4697" /><Relationship Type="http://schemas.openxmlformats.org/officeDocument/2006/relationships/hyperlink" Target="https://www.linkedin.com/showcase/learningboost/" TargetMode="External" Id="rId4698" /><Relationship Type="http://schemas.openxmlformats.org/officeDocument/2006/relationships/hyperlink" Target="https://drive.google.com/uc?export=view&amp;id=1LynT39ezg8vDMQvCO437rPsI3Z8SWH3V" TargetMode="External" Id="rId4699" /><Relationship Type="http://schemas.openxmlformats.org/officeDocument/2006/relationships/hyperlink" Target="https://www.lynxeducate.com/" TargetMode="External" Id="rId4700" /><Relationship Type="http://schemas.openxmlformats.org/officeDocument/2006/relationships/hyperlink" Target="https://www.instagram.com/lynxeducate/" TargetMode="External" Id="rId4701" /><Relationship Type="http://schemas.openxmlformats.org/officeDocument/2006/relationships/hyperlink" Target="https://twitter.com/LynxEducate" TargetMode="External" Id="rId4702" /><Relationship Type="http://schemas.openxmlformats.org/officeDocument/2006/relationships/hyperlink" Target="https://www.linkedin.com/company/lynxeducate/" TargetMode="External" Id="rId4703" /><Relationship Type="http://schemas.openxmlformats.org/officeDocument/2006/relationships/hyperlink" Target="https://drive.google.com/uc?export=view&amp;id=1wU9PXCp2dSGAEvNRIuWTFQU7x8xnA32K" TargetMode="External" Id="rId4704" /><Relationship Type="http://schemas.openxmlformats.org/officeDocument/2006/relationships/hyperlink" Target="http://mokosi.lt/" TargetMode="External" Id="rId4705" /><Relationship Type="http://schemas.openxmlformats.org/officeDocument/2006/relationships/hyperlink" Target="http://www.mokosi.lt/" TargetMode="External" Id="rId4706" /><Relationship Type="http://schemas.openxmlformats.org/officeDocument/2006/relationships/hyperlink" Target="https://www.instagram.com/mokosi.lt/" TargetMode="External" Id="rId4707" /><Relationship Type="http://schemas.openxmlformats.org/officeDocument/2006/relationships/hyperlink" Target="https://www.linkedin.com/search/results/all/?keywords=mokosi&amp;origin=RICH_QUERY_SUGGESTION&amp;position=0&amp;searchId=5d3a9742-42b3-415a-859d-77bcebf2982b&amp;sid=3K0" TargetMode="External" Id="rId4708" /><Relationship Type="http://schemas.openxmlformats.org/officeDocument/2006/relationships/hyperlink" Target="http://mokosi.lt/" TargetMode="External" Id="rId4709" /><Relationship Type="http://schemas.openxmlformats.org/officeDocument/2006/relationships/hyperlink" Target="https://drive.google.com/uc?export=view&amp;id=18an0fgPkiqoP-l5zPehiyE3TED94W9Wk" TargetMode="External" Id="rId4710" /><Relationship Type="http://schemas.openxmlformats.org/officeDocument/2006/relationships/hyperlink" Target="http://www.mygreentrainingbox.com/" TargetMode="External" Id="rId4711" /><Relationship Type="http://schemas.openxmlformats.org/officeDocument/2006/relationships/hyperlink" Target="https://drive.google.com/uc?export=view&amp;id=1IGNvwyYjuTQeDJDDkA9zqH8l3l95Jv69" TargetMode="External" Id="rId4712" /><Relationship Type="http://schemas.openxmlformats.org/officeDocument/2006/relationships/hyperlink" Target="http://www.neocosmo.de/" TargetMode="External" Id="rId4713" /><Relationship Type="http://schemas.openxmlformats.org/officeDocument/2006/relationships/hyperlink" Target="https://mobile.twitter.com/neocosmo_" TargetMode="External" Id="rId4714" /><Relationship Type="http://schemas.openxmlformats.org/officeDocument/2006/relationships/hyperlink" Target="https://www.linkedin.com/company/neocosmo" TargetMode="External" Id="rId4715" /><Relationship Type="http://schemas.openxmlformats.org/officeDocument/2006/relationships/hyperlink" Target="https://drive.google.com/uc?export=view&amp;id=1ATZrm0Rq2tmemNqG1-vOmPl-MBXbAi_u" TargetMode="External" Id="rId4716" /><Relationship Type="http://schemas.openxmlformats.org/officeDocument/2006/relationships/hyperlink" Target="http://www.pingpong.se/" TargetMode="External" Id="rId4717" /><Relationship Type="http://schemas.openxmlformats.org/officeDocument/2006/relationships/hyperlink" Target="https://www.linkedin.com/company/ping-pong-ab/" TargetMode="External" Id="rId4718" /><Relationship Type="http://schemas.openxmlformats.org/officeDocument/2006/relationships/hyperlink" Target="https://drive.google.com/uc?export=view&amp;id=1rIezXc_54H737IYf4NlvTIyg_lNk1bWo" TargetMode="External" Id="rId4719" /><Relationship Type="http://schemas.openxmlformats.org/officeDocument/2006/relationships/hyperlink" Target="http://www.plume-app.co/" TargetMode="External" Id="rId4720" /><Relationship Type="http://schemas.openxmlformats.org/officeDocument/2006/relationships/hyperlink" Target="https://www.instagram.com/plume_app" TargetMode="External" Id="rId4721" /><Relationship Type="http://schemas.openxmlformats.org/officeDocument/2006/relationships/hyperlink" Target="https://twitter.com/plume_app" TargetMode="External" Id="rId4722" /><Relationship Type="http://schemas.openxmlformats.org/officeDocument/2006/relationships/hyperlink" Target="https://www.linkedin.com/company/plume-app" TargetMode="External" Id="rId4723" /><Relationship Type="http://schemas.openxmlformats.org/officeDocument/2006/relationships/hyperlink" Target="https://drive.google.com/uc?export=view&amp;id=184wKg7zOcr7rU8Qkuu3VM2bqyXDhKln2" TargetMode="External" Id="rId4724" /><Relationship Type="http://schemas.openxmlformats.org/officeDocument/2006/relationships/hyperlink" Target="about:blank" TargetMode="External" Id="rId4725" /><Relationship Type="http://schemas.openxmlformats.org/officeDocument/2006/relationships/hyperlink" Target="https://www.instagram.com/powerz.official/" TargetMode="External" Id="rId4726" /><Relationship Type="http://schemas.openxmlformats.org/officeDocument/2006/relationships/hyperlink" Target="https://twitter.com/PowerZ_official" TargetMode="External" Id="rId4727" /><Relationship Type="http://schemas.openxmlformats.org/officeDocument/2006/relationships/hyperlink" Target="https://www.linkedin.com/company/powerz/" TargetMode="External" Id="rId4728" /><Relationship Type="http://schemas.openxmlformats.org/officeDocument/2006/relationships/hyperlink" Target="https://drive.google.com/uc?export=view&amp;id=12hGQ7P-tEKOt3HPdZLVGyJ8dpkn0WXsa" TargetMode="External" Id="rId4729" /><Relationship Type="http://schemas.openxmlformats.org/officeDocument/2006/relationships/hyperlink" Target="http://www.reflectus.eu/" TargetMode="External" Id="rId4730" /><Relationship Type="http://schemas.openxmlformats.org/officeDocument/2006/relationships/hyperlink" Target="https://www.instagram.com/reflectus.lt/" TargetMode="External" Id="rId4731" /><Relationship Type="http://schemas.openxmlformats.org/officeDocument/2006/relationships/hyperlink" Target="https://www.linkedin.com/company/reflectus-lt/" TargetMode="External" Id="rId4732" /><Relationship Type="http://schemas.openxmlformats.org/officeDocument/2006/relationships/hyperlink" Target="https://drive.google.com/uc?export=view&amp;id=1t-1eurjLCjufBLFY9VGynI07XlYWkJRZ" TargetMode="External" Id="rId4733" /><Relationship Type="http://schemas.openxmlformats.org/officeDocument/2006/relationships/hyperlink" Target="https://sproof.io/" TargetMode="External" Id="rId4734" /><Relationship Type="http://schemas.openxmlformats.org/officeDocument/2006/relationships/hyperlink" Target="http://www.linkedin.com/company/sproof" TargetMode="External" Id="rId4735" /><Relationship Type="http://schemas.openxmlformats.org/officeDocument/2006/relationships/hyperlink" Target="https://drive.google.com/uc?export=view&amp;id=1UOop4R32NgNdfohuWNkiWTrjzmCwUZGw" TargetMode="External" Id="rId4736" /><Relationship Type="http://schemas.openxmlformats.org/officeDocument/2006/relationships/hyperlink" Target="http://traindy.io/" TargetMode="External" Id="rId4737" /><Relationship Type="http://schemas.openxmlformats.org/officeDocument/2006/relationships/hyperlink" Target="https://drive.google.com/uc?export=view&amp;id=1-UNejTA3R8cJvZCBIvrxqsYC7QJhg4HK" TargetMode="External" Id="rId4738" /><Relationship Type="http://schemas.openxmlformats.org/officeDocument/2006/relationships/hyperlink" Target="https://www.tridan.tech/" TargetMode="External" Id="rId4739" /><Relationship Type="http://schemas.openxmlformats.org/officeDocument/2006/relationships/hyperlink" Target="https://twitter.com/tridan_test" TargetMode="External" Id="rId4740" /><Relationship Type="http://schemas.openxmlformats.org/officeDocument/2006/relationships/hyperlink" Target="https://www.linkedin.com/company/tridan-test" TargetMode="External" Id="rId4741" /><Relationship Type="http://schemas.openxmlformats.org/officeDocument/2006/relationships/hyperlink" Target="https://drive.google.com/uc?export=view&amp;id=1qb7HZ-a9t40qD5db8d2_SVHIbizLNJup" TargetMode="External" Id="rId4742" /><Relationship Type="http://schemas.openxmlformats.org/officeDocument/2006/relationships/hyperlink" Target="https://vextur.com/" TargetMode="External" Id="rId4743" /><Relationship Type="http://schemas.openxmlformats.org/officeDocument/2006/relationships/hyperlink" Target="https://www.linkedin.com/company/vextur" TargetMode="External" Id="rId4744" /><Relationship Type="http://schemas.openxmlformats.org/officeDocument/2006/relationships/hyperlink" Target="https://drive.google.com/uc?export=view&amp;id=1KTmjupBPRQ4o4Wue9gd9kPBAus666k-m" TargetMode="External" Id="rId4745" /><Relationship Type="http://schemas.openxmlformats.org/officeDocument/2006/relationships/hyperlink" Target="https://www.alumnforce.com/" TargetMode="External" Id="rId4746" /><Relationship Type="http://schemas.openxmlformats.org/officeDocument/2006/relationships/hyperlink" Target="https://twitter.com/AlumnForce" TargetMode="External" Id="rId4747" /><Relationship Type="http://schemas.openxmlformats.org/officeDocument/2006/relationships/hyperlink" Target="https://www.linkedin.com/company/alumnforce-alumni-success-platform/" TargetMode="External" Id="rId4748" /><Relationship Type="http://schemas.openxmlformats.org/officeDocument/2006/relationships/hyperlink" Target="https://drive.google.com/uc?export=view&amp;id=1IBGpek4F-8bPP3TbN8NTTeEuDNuLZ0KE" TargetMode="External" Id="rId4749" /><Relationship Type="http://schemas.openxmlformats.org/officeDocument/2006/relationships/hyperlink" Target="http://www.appscapes.com/" TargetMode="External" Id="rId4750" /><Relationship Type="http://schemas.openxmlformats.org/officeDocument/2006/relationships/hyperlink" Target="https://drive.google.com/uc?export=view&amp;id=1jq3TfUnlbKQQ_62vXpvGFO7cD_O0qkOw" TargetMode="External" Id="rId4751" /><Relationship Type="http://schemas.openxmlformats.org/officeDocument/2006/relationships/hyperlink" Target="https://areeka.net/" TargetMode="External" Id="rId4752" /><Relationship Type="http://schemas.openxmlformats.org/officeDocument/2006/relationships/hyperlink" Target="https://drive.google.com/uc?export=view&amp;id=1e3FvGcHIv9khtbOKZDb4kOBpw4AcO_lr" TargetMode="External" Id="rId4753" /><Relationship Type="http://schemas.openxmlformats.org/officeDocument/2006/relationships/hyperlink" Target="https://areneducation.com/en/" TargetMode="External" Id="rId4754" /><Relationship Type="http://schemas.openxmlformats.org/officeDocument/2006/relationships/hyperlink" Target="https://www.linkedin.com/company/36144549/admin/feed/posts/" TargetMode="External" Id="rId4755" /><Relationship Type="http://schemas.openxmlformats.org/officeDocument/2006/relationships/hyperlink" Target="https://drive.google.com/uc?export=view&amp;id=1FNV-tXlhxHr375OgON_e9NsZmHSzXf7T" TargetMode="External" Id="rId4756" /><Relationship Type="http://schemas.openxmlformats.org/officeDocument/2006/relationships/hyperlink" Target="http://www.asbpublishing.com/" TargetMode="External" Id="rId4757" /><Relationship Type="http://schemas.openxmlformats.org/officeDocument/2006/relationships/hyperlink" Target="https://drive.google.com/uc?export=view&amp;id=1WeC4JVjBzZs-QTbEVlTn5bEQat-WEFQH" TargetMode="External" Id="rId4758" /><Relationship Type="http://schemas.openxmlformats.org/officeDocument/2006/relationships/hyperlink" Target="https://balio.app/" TargetMode="External" Id="rId4759" /><Relationship Type="http://schemas.openxmlformats.org/officeDocument/2006/relationships/hyperlink" Target="https://www.instagram.com/balioapp/" TargetMode="External" Id="rId4760" /><Relationship Type="http://schemas.openxmlformats.org/officeDocument/2006/relationships/hyperlink" Target="https://twitter.com/Balio" TargetMode="External" Id="rId4761" /><Relationship Type="http://schemas.openxmlformats.org/officeDocument/2006/relationships/hyperlink" Target="https://www.linkedin.com/company/balio" TargetMode="External" Id="rId4762" /><Relationship Type="http://schemas.openxmlformats.org/officeDocument/2006/relationships/hyperlink" Target="https://drive.google.com/uc?export=view&amp;id=1OsQikp6yK5hKG8chxyaL2blyiMqfyU_e" TargetMode="External" Id="rId4763" /><Relationship Type="http://schemas.openxmlformats.org/officeDocument/2006/relationships/hyperlink" Target="https://bitmark-association.org/" TargetMode="External" Id="rId4764" /><Relationship Type="http://schemas.openxmlformats.org/officeDocument/2006/relationships/hyperlink" Target="https://twitter.com/bitmarkstandard" TargetMode="External" Id="rId4765" /><Relationship Type="http://schemas.openxmlformats.org/officeDocument/2006/relationships/hyperlink" Target="https://www.linkedin.com/company/bitmark-association" TargetMode="External" Id="rId4766" /><Relationship Type="http://schemas.openxmlformats.org/officeDocument/2006/relationships/hyperlink" Target="https://drive.google.com/uc?export=view&amp;id=1UPRJH_FA9-7pmBTmX5ZqzGNhjvnB4PwC" TargetMode="External" Id="rId4767" /><Relationship Type="http://schemas.openxmlformats.org/officeDocument/2006/relationships/hyperlink" Target="http://www.bluefrogrobotics.com/" TargetMode="External" Id="rId4768" /><Relationship Type="http://schemas.openxmlformats.org/officeDocument/2006/relationships/hyperlink" Target="https://www.linkedin.com/company/bluefrogrobotics" TargetMode="External" Id="rId4769" /><Relationship Type="http://schemas.openxmlformats.org/officeDocument/2006/relationships/hyperlink" Target="https://drive.google.com/uc?export=view&amp;id=1Xx2VlMDxUvQFP6UnoWkOwU94zFq29uQF" TargetMode="External" Id="rId4770" /><Relationship Type="http://schemas.openxmlformats.org/officeDocument/2006/relationships/hyperlink" Target="https://www.catnclever.com/" TargetMode="External" Id="rId4771" /><Relationship Type="http://schemas.openxmlformats.org/officeDocument/2006/relationships/hyperlink" Target="https://drive.google.com/uc?export=view&amp;id=1c4JCwPFoK0AHTcC_qoTR4hC9pH9JuSe4" TargetMode="External" Id="rId4772" /><Relationship Type="http://schemas.openxmlformats.org/officeDocument/2006/relationships/hyperlink" Target="https://www.classninjas.com/" TargetMode="External" Id="rId4773" /><Relationship Type="http://schemas.openxmlformats.org/officeDocument/2006/relationships/hyperlink" Target="https://www.linkedin.com/company/classninjas/" TargetMode="External" Id="rId4774" /><Relationship Type="http://schemas.openxmlformats.org/officeDocument/2006/relationships/hyperlink" Target="https://drive.google.com/uc?export=view&amp;id=1qColL1Ml0T535yc1xwANJoJnsUXZ_RKF" TargetMode="External" Id="rId4775" /><Relationship Type="http://schemas.openxmlformats.org/officeDocument/2006/relationships/hyperlink" Target="http://www.crocosgodigital.com/" TargetMode="External" Id="rId4776" /><Relationship Type="http://schemas.openxmlformats.org/officeDocument/2006/relationships/hyperlink" Target="https://drive.google.com/uc?export=view&amp;id=1U9D7pPksCKxNCt4rVcObuAHPr1FwhqgV" TargetMode="External" Id="rId4777" /><Relationship Type="http://schemas.openxmlformats.org/officeDocument/2006/relationships/hyperlink" Target="http://www.materdoppiodiploma.it/" TargetMode="External" Id="rId4778" /><Relationship Type="http://schemas.openxmlformats.org/officeDocument/2006/relationships/hyperlink" Target="https://drive.google.com/uc?export=view&amp;id=1LlR2LOyAudD4-PexIkGLcnfH3sqGaZvA" TargetMode="External" Id="rId4779" /><Relationship Type="http://schemas.openxmlformats.org/officeDocument/2006/relationships/hyperlink" Target="http://www.docendum.it/" TargetMode="External" Id="rId4780" /><Relationship Type="http://schemas.openxmlformats.org/officeDocument/2006/relationships/hyperlink" Target="https://www.instagram.com/docendum/" TargetMode="External" Id="rId4781" /><Relationship Type="http://schemas.openxmlformats.org/officeDocument/2006/relationships/hyperlink" Target="https://www.linkedin.com/company/10153088/" TargetMode="External" Id="rId4782" /><Relationship Type="http://schemas.openxmlformats.org/officeDocument/2006/relationships/hyperlink" Target="https://drive.google.com/uc?export=view&amp;id=1ebK1zFh7dTJzTbCVy3VhL6rj5HU7Vo5r" TargetMode="External" Id="rId4783" /><Relationship Type="http://schemas.openxmlformats.org/officeDocument/2006/relationships/hyperlink" Target="http://www.escuelab.es/" TargetMode="External" Id="rId4784" /><Relationship Type="http://schemas.openxmlformats.org/officeDocument/2006/relationships/hyperlink" Target="https://instagram.com/escuelab.innov.educ" TargetMode="External" Id="rId4785" /><Relationship Type="http://schemas.openxmlformats.org/officeDocument/2006/relationships/hyperlink" Target="https://twitter.com/EscuelabMadrid" TargetMode="External" Id="rId4786" /><Relationship Type="http://schemas.openxmlformats.org/officeDocument/2006/relationships/hyperlink" Target="https://www.linkedin.com/company/escuelab" TargetMode="External" Id="rId4787" /><Relationship Type="http://schemas.openxmlformats.org/officeDocument/2006/relationships/hyperlink" Target="https://drive.google.com/uc?export=view&amp;id=18WlyZcBQJkaprvVmBc9z-tIkxQT5m6QK" TargetMode="External" Id="rId4788" /><Relationship Type="http://schemas.openxmlformats.org/officeDocument/2006/relationships/hyperlink" Target="http://www.fabula-games.de/" TargetMode="External" Id="rId4789" /><Relationship Type="http://schemas.openxmlformats.org/officeDocument/2006/relationships/hyperlink" Target="https://drive.google.com/uc?export=view&amp;id=1cFXdTTOM9S5GxHNs3gjwJhZEFtFCXz7A" TargetMode="External" Id="rId4790" /><Relationship Type="http://schemas.openxmlformats.org/officeDocument/2006/relationships/hyperlink" Target="https://www.feamzy.com/" TargetMode="External" Id="rId4791" /><Relationship Type="http://schemas.openxmlformats.org/officeDocument/2006/relationships/hyperlink" Target="https://www.instagram.com/feamzy_application/" TargetMode="External" Id="rId4792" /><Relationship Type="http://schemas.openxmlformats.org/officeDocument/2006/relationships/hyperlink" Target="https://twitter.com/MarieLewin_18" TargetMode="External" Id="rId4793" /><Relationship Type="http://schemas.openxmlformats.org/officeDocument/2006/relationships/hyperlink" Target="https://www.linkedin.com/company/34700226" TargetMode="External" Id="rId4794" /><Relationship Type="http://schemas.openxmlformats.org/officeDocument/2006/relationships/hyperlink" Target="https://drive.google.com/uc?export=view&amp;id=1-VbH4MZSNFHc5B_dXwRZ8HexdC-Kvo0X" TargetMode="External" Id="rId4795" /><Relationship Type="http://schemas.openxmlformats.org/officeDocument/2006/relationships/hyperlink" Target="https://flowchase.app/" TargetMode="External" Id="rId4796" /><Relationship Type="http://schemas.openxmlformats.org/officeDocument/2006/relationships/hyperlink" Target="https://www.instagram.com/flowchase.app/" TargetMode="External" Id="rId4797" /><Relationship Type="http://schemas.openxmlformats.org/officeDocument/2006/relationships/hyperlink" Target="https://www.linkedin.com/company/flowchase/" TargetMode="External" Id="rId4798" /><Relationship Type="http://schemas.openxmlformats.org/officeDocument/2006/relationships/hyperlink" Target="https://drive.google.com/uc?export=view&amp;id=1soQN9VQYUkJcmbEJUpE08ojeIlslJ1rL" TargetMode="External" Id="rId4799" /><Relationship Type="http://schemas.openxmlformats.org/officeDocument/2006/relationships/hyperlink" Target="https://www.getmorebrain.com/" TargetMode="External" Id="rId4800" /><Relationship Type="http://schemas.openxmlformats.org/officeDocument/2006/relationships/hyperlink" Target="https://www.instagram.com/getmorebraindevs" TargetMode="External" Id="rId4801" /><Relationship Type="http://schemas.openxmlformats.org/officeDocument/2006/relationships/hyperlink" Target="https://www.linkedin.com/company/getmorebrain" TargetMode="External" Id="rId4802" /><Relationship Type="http://schemas.openxmlformats.org/officeDocument/2006/relationships/hyperlink" Target="https://drive.google.com/uc?export=view&amp;id=1kn21N-Bw4ty4pT6Ke9ZK4TNYVtVxdbqp" TargetMode="External" Id="rId4803" /><Relationship Type="http://schemas.openxmlformats.org/officeDocument/2006/relationships/hyperlink" Target="http://www.gostudent.org/" TargetMode="External" Id="rId4804" /><Relationship Type="http://schemas.openxmlformats.org/officeDocument/2006/relationships/hyperlink" Target="https://www.instagram.com/gostudent_life" TargetMode="External" Id="rId4805" /><Relationship Type="http://schemas.openxmlformats.org/officeDocument/2006/relationships/hyperlink" Target="https://twitter.com/gostudent1" TargetMode="External" Id="rId4806" /><Relationship Type="http://schemas.openxmlformats.org/officeDocument/2006/relationships/hyperlink" Target="https://www.linkedin.com/company/gostudent-gmbh" TargetMode="External" Id="rId4807" /><Relationship Type="http://schemas.openxmlformats.org/officeDocument/2006/relationships/hyperlink" Target="https://drive.google.com/uc?export=view&amp;id=1ZcMYf4OPYAAb7Su3QzoA3S63ejEFsWjw" TargetMode="External" Id="rId4808" /><Relationship Type="http://schemas.openxmlformats.org/officeDocument/2006/relationships/hyperlink" Target="https://habilitatem.com/" TargetMode="External" Id="rId4809" /><Relationship Type="http://schemas.openxmlformats.org/officeDocument/2006/relationships/hyperlink" Target="https://drive.google.com/uc?export=view&amp;id=1AoAHbMKLdRaz2anYunxKy93W8ULZN3_x" TargetMode="External" Id="rId4810" /><Relationship Type="http://schemas.openxmlformats.org/officeDocument/2006/relationships/hyperlink" Target="http://www.isdicrm.com/fr" TargetMode="External" Id="rId4811" /><Relationship Type="http://schemas.openxmlformats.org/officeDocument/2006/relationships/hyperlink" Target="https://www.linkedin.com/company/19200104" TargetMode="External" Id="rId4812" /><Relationship Type="http://schemas.openxmlformats.org/officeDocument/2006/relationships/hyperlink" Target="https://drive.google.com/uc?export=view&amp;id=15-1OvEuONOoqHE3fI56KXsvUB0R5503v" TargetMode="External" Id="rId4813" /><Relationship Type="http://schemas.openxmlformats.org/officeDocument/2006/relationships/hyperlink" Target="https://www.jeuxandco.com/" TargetMode="External" Id="rId4814" /><Relationship Type="http://schemas.openxmlformats.org/officeDocument/2006/relationships/hyperlink" Target="https://drive.google.com/uc?export=view&amp;id=1VKsJ4X0o00-xlzLv84e1LgZxCKkWe_U3" TargetMode="External" Id="rId4815" /><Relationship Type="http://schemas.openxmlformats.org/officeDocument/2006/relationships/hyperlink" Target="https://www.kalea-formation.com/" TargetMode="External" Id="rId4816" /><Relationship Type="http://schemas.openxmlformats.org/officeDocument/2006/relationships/hyperlink" Target="https://www.linkedin.com/company/877277" TargetMode="External" Id="rId4817" /><Relationship Type="http://schemas.openxmlformats.org/officeDocument/2006/relationships/hyperlink" Target="https://drive.google.com/uc?export=view&amp;id=1ptLDTYiraAtR98N3agT-Y4-IaVehKEjI" TargetMode="External" Id="rId4818" /><Relationship Type="http://schemas.openxmlformats.org/officeDocument/2006/relationships/hyperlink" Target="http://www.lawebox.com/" TargetMode="External" Id="rId4819" /><Relationship Type="http://schemas.openxmlformats.org/officeDocument/2006/relationships/hyperlink" Target="https://www.instagram.com/lawebox/?hl=fr" TargetMode="External" Id="rId4820" /><Relationship Type="http://schemas.openxmlformats.org/officeDocument/2006/relationships/hyperlink" Target="https://mobile.twitter.com/adebernardy" TargetMode="External" Id="rId4821" /><Relationship Type="http://schemas.openxmlformats.org/officeDocument/2006/relationships/hyperlink" Target="https://www.linkedin.com/company/18363081/admin/" TargetMode="External" Id="rId4822" /><Relationship Type="http://schemas.openxmlformats.org/officeDocument/2006/relationships/hyperlink" Target="https://drive.google.com/uc?export=view&amp;id=1btGQlVTjZ3akbFF6Z9bJGeFP_VLP3ili" TargetMode="External" Id="rId4823" /><Relationship Type="http://schemas.openxmlformats.org/officeDocument/2006/relationships/hyperlink" Target="http://www.lawstar.at/" TargetMode="External" Id="rId4824" /><Relationship Type="http://schemas.openxmlformats.org/officeDocument/2006/relationships/hyperlink" Target="https://drive.google.com/uc?export=view&amp;id=1P2GVMc3kitRyEuwnimfored0CbyyPwF8" TargetMode="External" Id="rId4825" /><Relationship Type="http://schemas.openxmlformats.org/officeDocument/2006/relationships/hyperlink" Target="https://le-bahut.com/" TargetMode="External" Id="rId4826" /><Relationship Type="http://schemas.openxmlformats.org/officeDocument/2006/relationships/hyperlink" Target="https://twitter.com/sydopedago" TargetMode="External" Id="rId4827" /><Relationship Type="http://schemas.openxmlformats.org/officeDocument/2006/relationships/hyperlink" Target="https://www.linkedin.com/school/le-bahut-lyon/" TargetMode="External" Id="rId4828" /><Relationship Type="http://schemas.openxmlformats.org/officeDocument/2006/relationships/hyperlink" Target="https://drive.google.com/uc?export=view&amp;id=18yCtVW8hwBti0HkRjnCog_NtZV5K4aCT" TargetMode="External" Id="rId4829" /><Relationship Type="http://schemas.openxmlformats.org/officeDocument/2006/relationships/hyperlink" Target="http://www.lecoinduprof.fr/" TargetMode="External" Id="rId4830" /><Relationship Type="http://schemas.openxmlformats.org/officeDocument/2006/relationships/hyperlink" Target="https://www.linkedin.com/company/le-coin-du-prof/" TargetMode="External" Id="rId4831" /><Relationship Type="http://schemas.openxmlformats.org/officeDocument/2006/relationships/hyperlink" Target="https://drive.google.com/uc?export=view&amp;id=13nG-7BeWGwwRxgF81WIn8SqgPkE8WPcL" TargetMode="External" Id="rId4832" /><Relationship Type="http://schemas.openxmlformats.org/officeDocument/2006/relationships/hyperlink" Target="https://www.lereacteur.io/" TargetMode="External" Id="rId4833" /><Relationship Type="http://schemas.openxmlformats.org/officeDocument/2006/relationships/hyperlink" Target="https://www.instagram.com/lereacteur.io" TargetMode="External" Id="rId4834" /><Relationship Type="http://schemas.openxmlformats.org/officeDocument/2006/relationships/hyperlink" Target="https://twitter.com/LeReacteurIO" TargetMode="External" Id="rId4835" /><Relationship Type="http://schemas.openxmlformats.org/officeDocument/2006/relationships/hyperlink" Target="https://www.linkedin.com/school/13211127/admin/" TargetMode="External" Id="rId4836" /><Relationship Type="http://schemas.openxmlformats.org/officeDocument/2006/relationships/hyperlink" Target="https://drive.google.com/uc?export=view&amp;id=1JJs9LwYrFPgU0cS00mS_G0Ovw5G2HgkW" TargetMode="External" Id="rId4837" /><Relationship Type="http://schemas.openxmlformats.org/officeDocument/2006/relationships/hyperlink" Target="https://www.mariaschools.com/" TargetMode="External" Id="rId4838" /><Relationship Type="http://schemas.openxmlformats.org/officeDocument/2006/relationships/hyperlink" Target="https://drive.google.com/uc?export=view&amp;id=19lPxeoZ7D003S5ClcJ2bcpKIEZOj_nIo" TargetMode="External" Id="rId4839" /><Relationship Type="http://schemas.openxmlformats.org/officeDocument/2006/relationships/hyperlink" Target="https://mathlive.fr/" TargetMode="External" Id="rId4840" /><Relationship Type="http://schemas.openxmlformats.org/officeDocument/2006/relationships/hyperlink" Target="https://twitter.com/MathliveFR" TargetMode="External" Id="rId4841" /><Relationship Type="http://schemas.openxmlformats.org/officeDocument/2006/relationships/hyperlink" Target="https://www.linkedin.com/company/75763624" TargetMode="External" Id="rId4842" /><Relationship Type="http://schemas.openxmlformats.org/officeDocument/2006/relationships/hyperlink" Target="https://drive.google.com/uc?export=view&amp;id=1HXR6Sz5qrmYrebZcVo7i07Uq6L3nhhYJ" TargetMode="External" Id="rId4843" /><Relationship Type="http://schemas.openxmlformats.org/officeDocument/2006/relationships/hyperlink" Target="http://pro.meetyourschool.com/" TargetMode="External" Id="rId4844" /><Relationship Type="http://schemas.openxmlformats.org/officeDocument/2006/relationships/hyperlink" Target="https://drive.google.com/uc?export=view&amp;id=1LbvM2sfuK6q7TjO7DYYiabYdR47a9OPj" TargetMode="External" Id="rId4845" /><Relationship Type="http://schemas.openxmlformats.org/officeDocument/2006/relationships/hyperlink" Target="https://merci-ecommerce.fr/" TargetMode="External" Id="rId4846" /><Relationship Type="http://schemas.openxmlformats.org/officeDocument/2006/relationships/hyperlink" Target="https://www.instagram.com/merciecommerce/?hl=fr" TargetMode="External" Id="rId4847" /><Relationship Type="http://schemas.openxmlformats.org/officeDocument/2006/relationships/hyperlink" Target="https://www.linkedin.com/company/merci-e-commerce" TargetMode="External" Id="rId4848" /><Relationship Type="http://schemas.openxmlformats.org/officeDocument/2006/relationships/hyperlink" Target="https://drive.google.com/uc?export=view&amp;id=1G0mfPbvyDjqDX8SSUVosRRaDO5-JPV4C" TargetMode="External" Id="rId4849" /><Relationship Type="http://schemas.openxmlformats.org/officeDocument/2006/relationships/hyperlink" Target="http://mescahiersnumeriques.com/" TargetMode="External" Id="rId4850" /><Relationship Type="http://schemas.openxmlformats.org/officeDocument/2006/relationships/hyperlink" Target="http://www.mescahiersnumeriques.com/" TargetMode="External" Id="rId4851" /><Relationship Type="http://schemas.openxmlformats.org/officeDocument/2006/relationships/hyperlink" Target="https://www.instagram.com/mescahiersnumeriques/" TargetMode="External" Id="rId4852" /><Relationship Type="http://schemas.openxmlformats.org/officeDocument/2006/relationships/hyperlink" Target="https://www.linkedin.com/company/mes-cahiers-num%C3%A9riques/?viewAsMember=true" TargetMode="External" Id="rId4853" /><Relationship Type="http://schemas.openxmlformats.org/officeDocument/2006/relationships/hyperlink" Target="http://mescahiersdevacances.com/" TargetMode="External" Id="rId4854" /><Relationship Type="http://schemas.openxmlformats.org/officeDocument/2006/relationships/hyperlink" Target="http://mescahiersderevisions.com/" TargetMode="External" Id="rId4855" /><Relationship Type="http://schemas.openxmlformats.org/officeDocument/2006/relationships/hyperlink" Target="https://drive.google.com/uc?export=view&amp;id=1IhJxNiTdw-yDp_nRpPYkXq7EYdzLtOeG" TargetMode="External" Id="rId4856" /><Relationship Type="http://schemas.openxmlformats.org/officeDocument/2006/relationships/hyperlink" Target="https://ofcourse.me/" TargetMode="External" Id="rId4857" /><Relationship Type="http://schemas.openxmlformats.org/officeDocument/2006/relationships/hyperlink" Target="https://twitter.com/Of_Course_Me" TargetMode="External" Id="rId4858" /><Relationship Type="http://schemas.openxmlformats.org/officeDocument/2006/relationships/hyperlink" Target="https://www.linkedin.com/company/ofcourseme-official/mycompany/?viewAsMember=true" TargetMode="External" Id="rId4859" /><Relationship Type="http://schemas.openxmlformats.org/officeDocument/2006/relationships/hyperlink" Target="https://drive.google.com/uc?export=view&amp;id=15iM05Bj7uP4drIB-p5gzQJdRZYnZFIgz" TargetMode="External" Id="rId4860" /><Relationship Type="http://schemas.openxmlformats.org/officeDocument/2006/relationships/hyperlink" Target="https://www.pipplet.com/" TargetMode="External" Id="rId4861" /><Relationship Type="http://schemas.openxmlformats.org/officeDocument/2006/relationships/hyperlink" Target="https://twitter.com/pipplet" TargetMode="External" Id="rId4862" /><Relationship Type="http://schemas.openxmlformats.org/officeDocument/2006/relationships/hyperlink" Target="https://fr.linkedin.com/company/pipplet" TargetMode="External" Id="rId4863" /><Relationship Type="http://schemas.openxmlformats.org/officeDocument/2006/relationships/hyperlink" Target="https://drive.google.com/uc?export=view&amp;id=1dVY7kcaZ3aEfEgJZzkOw12IO-5BAfVuj" TargetMode="External" Id="rId4864" /><Relationship Type="http://schemas.openxmlformats.org/officeDocument/2006/relationships/hyperlink" Target="http://www.reality-academy.fr/" TargetMode="External" Id="rId4865" /><Relationship Type="http://schemas.openxmlformats.org/officeDocument/2006/relationships/hyperlink" Target="https://twitter.com/realityacademyf" TargetMode="External" Id="rId4866" /><Relationship Type="http://schemas.openxmlformats.org/officeDocument/2006/relationships/hyperlink" Target="https://www.linkedin.com/company/reality-academy" TargetMode="External" Id="rId4867" /><Relationship Type="http://schemas.openxmlformats.org/officeDocument/2006/relationships/hyperlink" Target="https://drive.google.com/uc?export=view&amp;id=1TVBy94oBak8NOpKYf99jIy20Mbb6l-Hi" TargetMode="External" Id="rId4868" /><Relationship Type="http://schemas.openxmlformats.org/officeDocument/2006/relationships/hyperlink" Target="http://www.robotikosakademija.lt/" TargetMode="External" Id="rId4869" /><Relationship Type="http://schemas.openxmlformats.org/officeDocument/2006/relationships/hyperlink" Target="https://www.instagram.com/robotikosakademija/?hl=en" TargetMode="External" Id="rId4870" /><Relationship Type="http://schemas.openxmlformats.org/officeDocument/2006/relationships/hyperlink" Target="https://www.linkedin.com/company/robotikosakademija" TargetMode="External" Id="rId4871" /><Relationship Type="http://schemas.openxmlformats.org/officeDocument/2006/relationships/hyperlink" Target="https://drive.google.com/uc?export=view&amp;id=1dZlGDvBJ_hyyophdqlQbsbDRaE6SWRYS" TargetMode="External" Id="rId4872" /><Relationship Type="http://schemas.openxmlformats.org/officeDocument/2006/relationships/hyperlink" Target="https://sharingacademy.com/" TargetMode="External" Id="rId4873" /><Relationship Type="http://schemas.openxmlformats.org/officeDocument/2006/relationships/hyperlink" Target="https://www.instagram.com/sharingacademy/" TargetMode="External" Id="rId4874" /><Relationship Type="http://schemas.openxmlformats.org/officeDocument/2006/relationships/hyperlink" Target="https://twitter.com/SharingAcademy" TargetMode="External" Id="rId4875" /><Relationship Type="http://schemas.openxmlformats.org/officeDocument/2006/relationships/hyperlink" Target="https://www.linkedin.com/company/5217616/admin/" TargetMode="External" Id="rId4876" /><Relationship Type="http://schemas.openxmlformats.org/officeDocument/2006/relationships/hyperlink" Target="https://drive.google.com/uc?export=view&amp;id=1QOI7WEQov6DsbAG_qIVpJ7ZZBClCoZ_J" TargetMode="External" Id="rId4877" /><Relationship Type="http://schemas.openxmlformats.org/officeDocument/2006/relationships/hyperlink" Target="https://www.sight-o.io/" TargetMode="External" Id="rId4878" /><Relationship Type="http://schemas.openxmlformats.org/officeDocument/2006/relationships/hyperlink" Target="https://www.instagram.com/sighto.io/" TargetMode="External" Id="rId4879" /><Relationship Type="http://schemas.openxmlformats.org/officeDocument/2006/relationships/hyperlink" Target="https://twitter.com/sighto_io" TargetMode="External" Id="rId4880" /><Relationship Type="http://schemas.openxmlformats.org/officeDocument/2006/relationships/hyperlink" Target="https://fr.linkedin.com/company/sight-o" TargetMode="External" Id="rId4881" /><Relationship Type="http://schemas.openxmlformats.org/officeDocument/2006/relationships/hyperlink" Target="https://drive.google.com/uc?export=view&amp;id=1RVw34vAkgVRdFhXUNtikn3V2lfUG0bC_" TargetMode="External" Id="rId4882" /><Relationship Type="http://schemas.openxmlformats.org/officeDocument/2006/relationships/hyperlink" Target="https://www.globalknowledge.com/fr-fr/" TargetMode="External" Id="rId4883" /><Relationship Type="http://schemas.openxmlformats.org/officeDocument/2006/relationships/hyperlink" Target="https://www.linkedin.com/company/global-knowledge-training/" TargetMode="External" Id="rId4884" /><Relationship Type="http://schemas.openxmlformats.org/officeDocument/2006/relationships/hyperlink" Target="http://www.smartch.fr/" TargetMode="External" Id="rId4885" /><Relationship Type="http://schemas.openxmlformats.org/officeDocument/2006/relationships/hyperlink" Target="https://www.linkedin.com/company/smartch/" TargetMode="External" Id="rId4886" /><Relationship Type="http://schemas.openxmlformats.org/officeDocument/2006/relationships/hyperlink" Target="https://drive.google.com/uc?export=view&amp;id=1dGNT6OLhI8APNt83gu61_YvR09aTKfgC" TargetMode="External" Id="rId4887" /><Relationship Type="http://schemas.openxmlformats.org/officeDocument/2006/relationships/hyperlink" Target="https://www.softkids.net/en/home/" TargetMode="External" Id="rId4888" /><Relationship Type="http://schemas.openxmlformats.org/officeDocument/2006/relationships/hyperlink" Target="https://www.instagram.com/soft_kids_apps/?hl=fr" TargetMode="External" Id="rId4889" /><Relationship Type="http://schemas.openxmlformats.org/officeDocument/2006/relationships/hyperlink" Target="https://twitter.com/kids_soft" TargetMode="External" Id="rId4890" /><Relationship Type="http://schemas.openxmlformats.org/officeDocument/2006/relationships/hyperlink" Target="https://www.linkedin.com/company/soft-kids/?viewAsMember=true" TargetMode="External" Id="rId4891" /><Relationship Type="http://schemas.openxmlformats.org/officeDocument/2006/relationships/hyperlink" Target="https://drive.google.com/uc?export=view&amp;id=1DKOaVlm6LkveEnlDJqMknO58jsVr95NQ" TargetMode="External" Id="rId4892" /><Relationship Type="http://schemas.openxmlformats.org/officeDocument/2006/relationships/hyperlink" Target="https://sowesign.com/" TargetMode="External" Id="rId4893" /><Relationship Type="http://schemas.openxmlformats.org/officeDocument/2006/relationships/hyperlink" Target="https://www.instagram.com/sws_sowesign/" TargetMode="External" Id="rId4894" /><Relationship Type="http://schemas.openxmlformats.org/officeDocument/2006/relationships/hyperlink" Target="https://twitter.com/SoWeSign" TargetMode="External" Id="rId4895" /><Relationship Type="http://schemas.openxmlformats.org/officeDocument/2006/relationships/hyperlink" Target="https://www.linkedin.com/company/sowesign-1" TargetMode="External" Id="rId4896" /><Relationship Type="http://schemas.openxmlformats.org/officeDocument/2006/relationships/hyperlink" Target="https://theexperienceaccelerator.com/" TargetMode="External" Id="rId4897" /><Relationship Type="http://schemas.openxmlformats.org/officeDocument/2006/relationships/hyperlink" Target="https://www.instagram.com/theexperienceaccelerator/" TargetMode="External" Id="rId4898" /><Relationship Type="http://schemas.openxmlformats.org/officeDocument/2006/relationships/hyperlink" Target="https://twitter.com/ExpAccelerator" TargetMode="External" Id="rId4899" /><Relationship Type="http://schemas.openxmlformats.org/officeDocument/2006/relationships/hyperlink" Target="https://www.linkedin.com/company/theexperienceaccelerator/" TargetMode="External" Id="rId4900" /><Relationship Type="http://schemas.openxmlformats.org/officeDocument/2006/relationships/hyperlink" Target="https://drive.google.com/uc?export=view&amp;id=1xlUbPMvPt_BewbYbx-cOd4HtPkAln8KI" TargetMode="External" Id="rId4901" /><Relationship Type="http://schemas.openxmlformats.org/officeDocument/2006/relationships/hyperlink" Target="http://www.theinventors.io/" TargetMode="External" Id="rId4902" /><Relationship Type="http://schemas.openxmlformats.org/officeDocument/2006/relationships/hyperlink" Target="https://drive.google.com/uc?export=view&amp;id=1Cs8HfXzEoKFvcvQQQ4-u2IngO50Cy820" TargetMode="External" Id="rId4903" /><Relationship Type="http://schemas.openxmlformats.org/officeDocument/2006/relationships/hyperlink" Target="http://thelongfingercompany.com/" TargetMode="External" Id="rId4904" /><Relationship Type="http://schemas.openxmlformats.org/officeDocument/2006/relationships/hyperlink" Target="https://drive.google.com/uc?export=view&amp;id=12X4t1M7K82mJQM9LgkeX4GezMu-zN5D6" TargetMode="External" Id="rId4905" /><Relationship Type="http://schemas.openxmlformats.org/officeDocument/2006/relationships/hyperlink" Target="https://vocacoach.fr/" TargetMode="External" Id="rId4906" /><Relationship Type="http://schemas.openxmlformats.org/officeDocument/2006/relationships/hyperlink" Target="https://www.instagram.com/vocacoach/" TargetMode="External" Id="rId4907" /><Relationship Type="http://schemas.openxmlformats.org/officeDocument/2006/relationships/hyperlink" Target="https://twitter.com/VocaCoach" TargetMode="External" Id="rId4908" /><Relationship Type="http://schemas.openxmlformats.org/officeDocument/2006/relationships/hyperlink" Target="https://www.linkedin.com/company/30675854/" TargetMode="External" Id="rId4909" /><Relationship Type="http://schemas.openxmlformats.org/officeDocument/2006/relationships/hyperlink" Target="https://drive.google.com/uc?export=view&amp;id=1_Mmk7mWmDwzqwjH3g6jMT5yAQ3KxAxpM" TargetMode="External" Id="rId4910" /><Relationship Type="http://schemas.openxmlformats.org/officeDocument/2006/relationships/hyperlink" Target="http://www.vyturys.lt/" TargetMode="External" Id="rId4911" /><Relationship Type="http://schemas.openxmlformats.org/officeDocument/2006/relationships/hyperlink" Target="https://drive.google.com/uc?export=view&amp;id=1-DFqfCDhLkHCxoNsYaQJ4dYF8IqfHH8G" TargetMode="External" Id="rId4912" /><Relationship Type="http://schemas.openxmlformats.org/officeDocument/2006/relationships/hyperlink" Target="https://kinescope.io/" TargetMode="External" Id="rId4913" /><Relationship Type="http://schemas.openxmlformats.org/officeDocument/2006/relationships/hyperlink" Target="https://www.linkedin.com/company/kinescopeio/" TargetMode="External" Id="rId4914" /><Relationship Type="http://schemas.openxmlformats.org/officeDocument/2006/relationships/hyperlink" Target="https://drive.google.com/uc?export=view&amp;id=1WyulEauxUCtISAhVhbxFjxDKtB9zXX-A" TargetMode="External" Id="rId4915" /><Relationship Type="http://schemas.openxmlformats.org/officeDocument/2006/relationships/hyperlink" Target="https://www.accento.app/" TargetMode="External" Id="rId4916" /><Relationship Type="http://schemas.openxmlformats.org/officeDocument/2006/relationships/hyperlink" Target="https://twitter.com/AccentoApp" TargetMode="External" Id="rId4917" /><Relationship Type="http://schemas.openxmlformats.org/officeDocument/2006/relationships/hyperlink" Target="https://www.linkedin.com/company/bacco-software-systems" TargetMode="External" Id="rId4918" /><Relationship Type="http://schemas.openxmlformats.org/officeDocument/2006/relationships/hyperlink" Target="https://drive.google.com/uc?export=view&amp;id=19XZ0KipXO_51Tb6ojZ13DTogUG6eJecc" TargetMode="External" Id="rId4919" /><Relationship Type="http://schemas.openxmlformats.org/officeDocument/2006/relationships/hyperlink" Target="https://mystudyweb.com/corporate/" TargetMode="External" Id="rId4920" /><Relationship Type="http://schemas.openxmlformats.org/officeDocument/2006/relationships/hyperlink" Target="https://www.instagram.com/mystudyweb" TargetMode="External" Id="rId4921" /><Relationship Type="http://schemas.openxmlformats.org/officeDocument/2006/relationships/hyperlink" Target="https://www.linkedin.com/company/mystudyweb-sweden-ab" TargetMode="External" Id="rId4922" /><Relationship Type="http://schemas.openxmlformats.org/officeDocument/2006/relationships/hyperlink" Target="https://drive.google.com/uc?export=view&amp;id=16BQz96vGyusEltAkDCnaSrGGqflZJcBJ" TargetMode="External" Id="rId4923" /><Relationship Type="http://schemas.openxmlformats.org/officeDocument/2006/relationships/hyperlink" Target="https://edutech.recrout.com/" TargetMode="External" Id="rId4924" /><Relationship Type="http://schemas.openxmlformats.org/officeDocument/2006/relationships/hyperlink" Target="https://twitter.com/recrout" TargetMode="External" Id="rId4925" /><Relationship Type="http://schemas.openxmlformats.org/officeDocument/2006/relationships/hyperlink" Target="https://twitter.com/recrout" TargetMode="External" Id="rId4926" /><Relationship Type="http://schemas.openxmlformats.org/officeDocument/2006/relationships/hyperlink" Target="https://www.linkedin.com/company/recrout/" TargetMode="External" Id="rId4927" /><Relationship Type="http://schemas.openxmlformats.org/officeDocument/2006/relationships/hyperlink" Target="https://drive.google.com/uc?export=view&amp;id=1nMDHfWuE6BgutaO69ojv2JarV_z27m8f" TargetMode="External" Id="rId4928" /><Relationship Type="http://schemas.openxmlformats.org/officeDocument/2006/relationships/hyperlink" Target="https://www.warpvr.com/" TargetMode="External" Id="rId4929" /><Relationship Type="http://schemas.openxmlformats.org/officeDocument/2006/relationships/hyperlink" Target="https://www.instagram.com/warp_vr/" TargetMode="External" Id="rId4930" /><Relationship Type="http://schemas.openxmlformats.org/officeDocument/2006/relationships/hyperlink" Target="https://twitter.com/WarpVR" TargetMode="External" Id="rId4931" /><Relationship Type="http://schemas.openxmlformats.org/officeDocument/2006/relationships/hyperlink" Target="https://www.linkedin.com/company/warpvr/" TargetMode="External" Id="rId4932" /><Relationship Type="http://schemas.openxmlformats.org/officeDocument/2006/relationships/hyperlink" Target="https://drive.google.com/uc?export=view&amp;id=1iHLsHQmvi6CMrUAS4EjrNtw8-wa943zh" TargetMode="External" Id="rId4933" /><Relationship Type="http://schemas.openxmlformats.org/officeDocument/2006/relationships/hyperlink" Target="https://annieadvisor.com/" TargetMode="External" Id="rId4934" /><Relationship Type="http://schemas.openxmlformats.org/officeDocument/2006/relationships/hyperlink" Target="https://www.instagram.com/annieadvisor/" TargetMode="External" Id="rId4935" /><Relationship Type="http://schemas.openxmlformats.org/officeDocument/2006/relationships/hyperlink" Target="https://twitter.com/advisor_annie" TargetMode="External" Id="rId4936" /><Relationship Type="http://schemas.openxmlformats.org/officeDocument/2006/relationships/hyperlink" Target="https://www.linkedin.com/company/annie-advisor" TargetMode="External" Id="rId4937" /><Relationship Type="http://schemas.openxmlformats.org/officeDocument/2006/relationships/hyperlink" Target="https://drive.google.com/uc?export=view&amp;id=1uaf-f_GtQBvh7Jv8nqewNe1iwd2LmEbr" TargetMode="External" Id="rId4938" /><Relationship Type="http://schemas.openxmlformats.org/officeDocument/2006/relationships/hyperlink" Target="https://sdui.de/" TargetMode="External" Id="rId4939" /><Relationship Type="http://schemas.openxmlformats.org/officeDocument/2006/relationships/hyperlink" Target="https://drive.google.com/uc?export=view&amp;id=1jAklF2tlq7qW761LQaC6EW9dsp_noXHl" TargetMode="External" Id="rId4940" /><Relationship Type="http://schemas.openxmlformats.org/officeDocument/2006/relationships/hyperlink" Target="https://www.conurse.net/" TargetMode="External" Id="rId4941" /><Relationship Type="http://schemas.openxmlformats.org/officeDocument/2006/relationships/hyperlink" Target="https://www.instagram.com/conurse_app/" TargetMode="External" Id="rId4942" /><Relationship Type="http://schemas.openxmlformats.org/officeDocument/2006/relationships/hyperlink" Target="https://www.linkedin.com/company/conurseapp/" TargetMode="External" Id="rId4943" /><Relationship Type="http://schemas.openxmlformats.org/officeDocument/2006/relationships/hyperlink" Target="https://drive.google.com/uc?export=view&amp;id=1XITi5nGcUd-p8dgV_AtMufVnZlrEk2Zq" TargetMode="External" Id="rId4944" /><Relationship Type="http://schemas.openxmlformats.org/officeDocument/2006/relationships/hyperlink" Target="https://jeeni.ai/" TargetMode="External" Id="rId4945" /><Relationship Type="http://schemas.openxmlformats.org/officeDocument/2006/relationships/hyperlink" Target="https://drive.google.com/uc?export=view&amp;id=1ZzILKXiBNvuFCsdU4HTO5kMNWjEV5Du7" TargetMode="External" Id="rId4946" /><Relationship Type="http://schemas.openxmlformats.org/officeDocument/2006/relationships/hyperlink" Target="https://recruither.co.uk/" TargetMode="External" Id="rId4947" /><Relationship Type="http://schemas.openxmlformats.org/officeDocument/2006/relationships/hyperlink" Target="https://www.instagram.com/recruit_her_uk/" TargetMode="External" Id="rId4948" /><Relationship Type="http://schemas.openxmlformats.org/officeDocument/2006/relationships/hyperlink" Target="https://www.linkedin.com/company/recruither-consulting/" TargetMode="External" Id="rId4949" /><Relationship Type="http://schemas.openxmlformats.org/officeDocument/2006/relationships/hyperlink" Target="https://drive.google.com/uc?export=view&amp;id=15qpCI4JeZVZ8Qa_mXesuP2dfzELmkyh3" TargetMode="External" Id="rId4950" /><Relationship Type="http://schemas.openxmlformats.org/officeDocument/2006/relationships/hyperlink" Target="http://eduzone.ai/" TargetMode="External" Id="rId4951" /><Relationship Type="http://schemas.openxmlformats.org/officeDocument/2006/relationships/hyperlink" Target="https://www.eduzone.ai/" TargetMode="External" Id="rId4952" /><Relationship Type="http://schemas.openxmlformats.org/officeDocument/2006/relationships/hyperlink" Target="https://www.linkedin.com/company/eduzone-ai" TargetMode="External" Id="rId4953" /><Relationship Type="http://schemas.openxmlformats.org/officeDocument/2006/relationships/hyperlink" Target="http://eduzone.ai/" TargetMode="External" Id="rId4954" /><Relationship Type="http://schemas.openxmlformats.org/officeDocument/2006/relationships/hyperlink" Target="https://drive.google.com/uc?export=view&amp;id=1ty4U9VEFG-Z0TQ35sMHG2E2MeCOWcfwE" TargetMode="External" Id="rId4955" /><Relationship Type="http://schemas.openxmlformats.org/officeDocument/2006/relationships/hyperlink" Target="https://zihinlerfora.com/" TargetMode="External" Id="rId4956" /><Relationship Type="http://schemas.openxmlformats.org/officeDocument/2006/relationships/hyperlink" Target="https://drive.google.com/uc?export=view&amp;id=1POOxX5IiZFezvU0KVvfqt4nh-LqTqYUX" TargetMode="External" Id="rId4957" /><Relationship Type="http://schemas.openxmlformats.org/officeDocument/2006/relationships/hyperlink" Target="http://www.swissmentor.com/" TargetMode="External" Id="rId4958" /><Relationship Type="http://schemas.openxmlformats.org/officeDocument/2006/relationships/hyperlink" Target="https://www.linkedin.com/company/swissmentor" TargetMode="External" Id="rId4959" /><Relationship Type="http://schemas.openxmlformats.org/officeDocument/2006/relationships/hyperlink" Target="https://drive.google.com/uc?export=view&amp;id=1ay57RweT3yd5eZp6rwr2uLO4bkB0OrN3" TargetMode="External" Id="rId4960" /><Relationship Type="http://schemas.openxmlformats.org/officeDocument/2006/relationships/hyperlink" Target="http://miltoneducation.com/" TargetMode="External" Id="rId4961" /><Relationship Type="http://schemas.openxmlformats.org/officeDocument/2006/relationships/hyperlink" Target="https://www.instagram.com/miltonenglishteachers" TargetMode="External" Id="rId4962" /><Relationship Type="http://schemas.openxmlformats.org/officeDocument/2006/relationships/hyperlink" Target="https://x.com/MiltonEducation" TargetMode="External" Id="rId4963" /><Relationship Type="http://schemas.openxmlformats.org/officeDocument/2006/relationships/hyperlink" Target="https://www.linkedin.com/company" TargetMode="External" Id="rId4964" /><Relationship Type="http://schemas.openxmlformats.org/officeDocument/2006/relationships/hyperlink" Target="https://drive.google.com/uc?export=view&amp;id=1E9ZhRuyPTk2j9YDta1rH6Aln-0ruSYk-" TargetMode="External" Id="rId4965" /><Relationship Type="http://schemas.openxmlformats.org/officeDocument/2006/relationships/hyperlink" Target="https://www.facebook.com/educationmilton" TargetMode="External" Id="rId4966" /><Relationship Type="http://schemas.openxmlformats.org/officeDocument/2006/relationships/hyperlink" Target="https://academysmart.com/" TargetMode="External" Id="rId4967" /><Relationship Type="http://schemas.openxmlformats.org/officeDocument/2006/relationships/hyperlink" Target="https://www.instagram.com/academysmart.team/" TargetMode="External" Id="rId4968" /><Relationship Type="http://schemas.openxmlformats.org/officeDocument/2006/relationships/hyperlink" Target="https://www.linkedin.com/company/academy-smart-ltd-/" TargetMode="External" Id="rId4969" /><Relationship Type="http://schemas.openxmlformats.org/officeDocument/2006/relationships/hyperlink" Target="https://drive.google.com/uc?export=view&amp;id=138gwu4ntlUssSwNjaCqfiENP4pcAVqIT" TargetMode="External" Id="rId4970" /><Relationship Type="http://schemas.openxmlformats.org/officeDocument/2006/relationships/hyperlink" Target="https://www.facebook.com/academysmart.com.ua" TargetMode="External" Id="rId4971" /><Relationship Type="http://schemas.openxmlformats.org/officeDocument/2006/relationships/hyperlink" Target="https://www.lessonup.com/" TargetMode="External" Id="rId4972" /><Relationship Type="http://schemas.openxmlformats.org/officeDocument/2006/relationships/hyperlink" Target="https://www.instagram.com/_lessonup" TargetMode="External" Id="rId4973" /><Relationship Type="http://schemas.openxmlformats.org/officeDocument/2006/relationships/hyperlink" Target="https://x.com/lessonup" TargetMode="External" Id="rId4974" /><Relationship Type="http://schemas.openxmlformats.org/officeDocument/2006/relationships/hyperlink" Target="https://www.linkedin.com/company/lessonupnl" TargetMode="External" Id="rId4975" /><Relationship Type="http://schemas.openxmlformats.org/officeDocument/2006/relationships/hyperlink" Target="https://drive.google.com/uc?export=view&amp;id=1KsUAway5y5G1kJk-nypzbf3ee1F939s5" TargetMode="External" Id="rId4976" /><Relationship Type="http://schemas.openxmlformats.org/officeDocument/2006/relationships/hyperlink" Target="https://www.facebook.com/lessonup" TargetMode="External" Id="rId4977" /><Relationship Type="http://schemas.openxmlformats.org/officeDocument/2006/relationships/hyperlink" Target="https://www.simoneetlesrobots.com/" TargetMode="External" Id="rId4978" /><Relationship Type="http://schemas.openxmlformats.org/officeDocument/2006/relationships/hyperlink" Target="https://www.instagram.com/simoneetlesrobots/?hl=fr" TargetMode="External" Id="rId4979" /><Relationship Type="http://schemas.openxmlformats.org/officeDocument/2006/relationships/hyperlink" Target="https://fr.linkedin.com/company/simone-et-les-robots" TargetMode="External" Id="rId4980" /><Relationship Type="http://schemas.openxmlformats.org/officeDocument/2006/relationships/hyperlink" Target="https://drive.google.com/uc?export=view&amp;id=13wXCRW7cvNc_PsJXd5i_y4QfKA5kKOx4" TargetMode="External" Id="rId4981" /><Relationship Type="http://schemas.openxmlformats.org/officeDocument/2006/relationships/hyperlink" Target="http://www.abdn.ac.uk/education" TargetMode="External" Id="rId4982" /><Relationship Type="http://schemas.openxmlformats.org/officeDocument/2006/relationships/hyperlink" Target="http://linkedin.com/school/university-of-aberdeen" TargetMode="External" Id="rId4983" /><Relationship Type="http://schemas.openxmlformats.org/officeDocument/2006/relationships/hyperlink" Target="https://drive.google.com/uc?export=view&amp;id=1IIqU782MVMSjBi7mLgI3ySNtgh4kXnNV" TargetMode="External" Id="rId4984" /><Relationship Type="http://schemas.openxmlformats.org/officeDocument/2006/relationships/hyperlink" Target="http://www.classigogo.com/" TargetMode="External" Id="rId4985" /><Relationship Type="http://schemas.openxmlformats.org/officeDocument/2006/relationships/hyperlink" Target="https://www.instagram.com/classigogo" TargetMode="External" Id="rId4986" /><Relationship Type="http://schemas.openxmlformats.org/officeDocument/2006/relationships/hyperlink" Target="https://www.linkedin.com/company/classigogo/" TargetMode="External" Id="rId4987" /><Relationship Type="http://schemas.openxmlformats.org/officeDocument/2006/relationships/hyperlink" Target="https://drive.google.com/uc?export=view&amp;id=1ie3LH2eboxquj8zmqCFmFFA0Nt3mL-ao" TargetMode="External" Id="rId4988" /><Relationship Type="http://schemas.openxmlformats.org/officeDocument/2006/relationships/hyperlink" Target="http://www.copernia.eu/" TargetMode="External" Id="rId4989" /><Relationship Type="http://schemas.openxmlformats.org/officeDocument/2006/relationships/hyperlink" Target="https://www.linkedin.com/school/coperniaedu/" TargetMode="External" Id="rId4990" /><Relationship Type="http://schemas.openxmlformats.org/officeDocument/2006/relationships/hyperlink" Target="https://drive.google.com/uc?export=view&amp;id=1TJXbzJ0VQVnxHUY_tWGmuuJjLYvlHMRF" TargetMode="External" Id="rId4991" /><Relationship Type="http://schemas.openxmlformats.org/officeDocument/2006/relationships/hyperlink" Target="https://abstract-technology.de/" TargetMode="External" Id="rId4992" /><Relationship Type="http://schemas.openxmlformats.org/officeDocument/2006/relationships/hyperlink" Target="https://www.linkedin.com/company/abstract-technology-gmbh/" TargetMode="External" Id="rId4993" /><Relationship Type="http://schemas.openxmlformats.org/officeDocument/2006/relationships/hyperlink" Target="https://drive.google.com/uc?export=view&amp;id=17rDOWvX1OJ62DWNtyUuTEDXqX3L03NNm" TargetMode="External" Id="rId4994" /><Relationship Type="http://schemas.openxmlformats.org/officeDocument/2006/relationships/hyperlink" Target="http://www.edgetutor.co/" TargetMode="External" Id="rId4995" /><Relationship Type="http://schemas.openxmlformats.org/officeDocument/2006/relationships/hyperlink" Target="https://www.linkedin.com/company/edge-tutor-international/" TargetMode="External" Id="rId4996" /><Relationship Type="http://schemas.openxmlformats.org/officeDocument/2006/relationships/hyperlink" Target="https://drive.google.com/uc?export=view&amp;id=1QWlTsipFr7qK0CSHrzNrpalSg64Cl-ow" TargetMode="External" Id="rId4997" /><Relationship Type="http://schemas.openxmlformats.org/officeDocument/2006/relationships/hyperlink" Target="https://www.thinglink.com/" TargetMode="External" Id="rId4998" /><Relationship Type="http://schemas.openxmlformats.org/officeDocument/2006/relationships/hyperlink" Target="https://www.instagram.com/thinglink/" TargetMode="External" Id="rId4999" /><Relationship Type="http://schemas.openxmlformats.org/officeDocument/2006/relationships/hyperlink" Target="https://x.com/ThingLink" TargetMode="External" Id="rId5000" /><Relationship Type="http://schemas.openxmlformats.org/officeDocument/2006/relationships/hyperlink" Target="https://www.linkedin.com/groups/9054683/" TargetMode="External" Id="rId5001" /><Relationship Type="http://schemas.openxmlformats.org/officeDocument/2006/relationships/hyperlink" Target="https://drive.google.com/uc?export=view&amp;id=1TWfLk2INUjFBxwFJofeM53FKFWmxh79W" TargetMode="External" Id="rId5002" /><Relationship Type="http://schemas.openxmlformats.org/officeDocument/2006/relationships/hyperlink" Target="https://www.facebook.com/ThingLink/" TargetMode="External" Id="rId5003" /><Relationship Type="http://schemas.openxmlformats.org/officeDocument/2006/relationships/hyperlink" Target="http://www.open-cpd.com/" TargetMode="External" Id="rId5004" /><Relationship Type="http://schemas.openxmlformats.org/officeDocument/2006/relationships/hyperlink" Target="https://www.instagram.com/@open_cpd" TargetMode="External" Id="rId5005" /><Relationship Type="http://schemas.openxmlformats.org/officeDocument/2006/relationships/hyperlink" Target="https://www.linkedin.com/company/open-cpd/" TargetMode="External" Id="rId5006" /><Relationship Type="http://schemas.openxmlformats.org/officeDocument/2006/relationships/hyperlink" Target="https://drive.google.com/uc?export=view&amp;id=1ZZrzP4b8B0qrqFZT_6l4UqmJutPHiP3x" TargetMode="External" Id="rId5007" /><Relationship Type="http://schemas.openxmlformats.org/officeDocument/2006/relationships/hyperlink" Target="https://www.facebook.com/open.cpd.w3/" TargetMode="External" Id="rId5008" /><Relationship Type="http://schemas.openxmlformats.org/officeDocument/2006/relationships/hyperlink" Target="https://www.zexsoft.eu/" TargetMode="External" Id="rId5009" /><Relationship Type="http://schemas.openxmlformats.org/officeDocument/2006/relationships/hyperlink" Target="https://www.instagram.com/zexsoft/" TargetMode="External" Id="rId5010" /><Relationship Type="http://schemas.openxmlformats.org/officeDocument/2006/relationships/hyperlink" Target="https://twitter.com/zexsoft" TargetMode="External" Id="rId5011" /><Relationship Type="http://schemas.openxmlformats.org/officeDocument/2006/relationships/hyperlink" Target="https://www.linkedin.com/company/zexsoft" TargetMode="External" Id="rId5012" /><Relationship Type="http://schemas.openxmlformats.org/officeDocument/2006/relationships/hyperlink" Target="https://drive.google.com/uc?export=view&amp;id=1M6u6pMjBfsk_wHyST6m3PbNKkGa31dpm" TargetMode="External" Id="rId5013" /><Relationship Type="http://schemas.openxmlformats.org/officeDocument/2006/relationships/hyperlink" Target="https://www.facebook.com/zexsoft/" TargetMode="External" Id="rId5014" /><Relationship Type="http://schemas.openxmlformats.org/officeDocument/2006/relationships/hyperlink" Target="https://x.com/stacshq" TargetMode="External" Id="rId5015" /><Relationship Type="http://schemas.openxmlformats.org/officeDocument/2006/relationships/hyperlink" Target="https://www.linkedin.com/company/stacshq" TargetMode="External" Id="rId5016" /><Relationship Type="http://schemas.openxmlformats.org/officeDocument/2006/relationships/hyperlink" Target="https://drive.google.com/uc?export=view&amp;id=1M0uLV-YTG_060pOCln1umBvR3uJy2FVo" TargetMode="External" Id="rId5017" /><Relationship Type="http://schemas.openxmlformats.org/officeDocument/2006/relationships/hyperlink" Target="https://x.com/dresscodehq" TargetMode="External" Id="rId5018" /><Relationship Type="http://schemas.openxmlformats.org/officeDocument/2006/relationships/hyperlink" Target="https://www.linkedin.com/company/dresscodehq" TargetMode="External" Id="rId5019" /><Relationship Type="http://schemas.openxmlformats.org/officeDocument/2006/relationships/hyperlink" Target="https://drive.google.com/uc?export=view&amp;id=1ktD5oIYyX3DVhJfD_lcGd24MeeNY8tpx" TargetMode="External" Id="rId5020" /><Relationship Type="http://schemas.openxmlformats.org/officeDocument/2006/relationships/hyperlink" Target="http://www.klapp.pro/" TargetMode="External" Id="rId5021" /><Relationship Type="http://schemas.openxmlformats.org/officeDocument/2006/relationships/hyperlink" Target="https://www.instagram.com/klappgmbh/" TargetMode="External" Id="rId5022" /><Relationship Type="http://schemas.openxmlformats.org/officeDocument/2006/relationships/hyperlink" Target="https://x.com/KlappInfo" TargetMode="External" Id="rId5023" /><Relationship Type="http://schemas.openxmlformats.org/officeDocument/2006/relationships/hyperlink" Target="https://ch.linkedin.com/company/klapp-eg" TargetMode="External" Id="rId5024" /><Relationship Type="http://schemas.openxmlformats.org/officeDocument/2006/relationships/hyperlink" Target="https://drive.google.com/uc?export=view&amp;id=1FxQfooMPIR8ExYyRHKfjR1sf7PV1pakC" TargetMode="External" Id="rId5025" /><Relationship Type="http://schemas.openxmlformats.org/officeDocument/2006/relationships/hyperlink" Target="https://www.facebook.com/klapp.pro" TargetMode="External" Id="rId5026" /><Relationship Type="http://schemas.openxmlformats.org/officeDocument/2006/relationships/hyperlink" Target="http://www.learntechunleashed.com/" TargetMode="External" Id="rId5027" /><Relationship Type="http://schemas.openxmlformats.org/officeDocument/2006/relationships/hyperlink" Target="https://drive.google.com/uc?export=view&amp;id=1O6MpxCiaRtdVRhSIYd0Q-WgcuQnncorD" TargetMode="External" Id="rId5028" /><Relationship Type="http://schemas.openxmlformats.org/officeDocument/2006/relationships/hyperlink" Target="https://technologyreadiness.org/" TargetMode="External" Id="rId5029" /><Relationship Type="http://schemas.openxmlformats.org/officeDocument/2006/relationships/hyperlink" Target="https://www.linkedin.com/company/thetrc" TargetMode="External" Id="rId5030" /><Relationship Type="http://schemas.openxmlformats.org/officeDocument/2006/relationships/hyperlink" Target="https://drive.google.com/uc?export=view&amp;id=178NZuuh_CXxDwT6V72miO4W9EmMttOGu" TargetMode="External" Id="rId5031" /><Relationship Type="http://schemas.openxmlformats.org/officeDocument/2006/relationships/hyperlink" Target="http://www.my-serious-game.com/" TargetMode="External" Id="rId5032" /><Relationship Type="http://schemas.openxmlformats.org/officeDocument/2006/relationships/hyperlink" Target="https://www.linkedin.com/company/my-serious-game" TargetMode="External" Id="rId5033" /><Relationship Type="http://schemas.openxmlformats.org/officeDocument/2006/relationships/hyperlink" Target="https://drive.google.com/uc?export=view&amp;id=18UlZVFAkLBFx_AfzI1tZJIp_lTP-1TNp" TargetMode="External" Id="rId5034" /><Relationship Type="http://schemas.openxmlformats.org/officeDocument/2006/relationships/hyperlink" Target="https://www.tutornow.it/" TargetMode="External" Id="rId5035" /><Relationship Type="http://schemas.openxmlformats.org/officeDocument/2006/relationships/hyperlink" Target="https://drive.google.com/uc?export=view&amp;id=1A4__9BviFXTlk46iZrXWdrRwXWY1TblH" TargetMode="External" Id="rId5036" /><Relationship Type="http://schemas.openxmlformats.org/officeDocument/2006/relationships/hyperlink" Target="http://zamizen.fr/" TargetMode="External" Id="rId5037" /><Relationship Type="http://schemas.openxmlformats.org/officeDocument/2006/relationships/hyperlink" Target="https://www.instagram.com/leszamizen/?hl=fr" TargetMode="External" Id="rId5038" /><Relationship Type="http://schemas.openxmlformats.org/officeDocument/2006/relationships/hyperlink" Target="https://www.linkedin.com/company" TargetMode="External" Id="rId5039" /><Relationship Type="http://schemas.openxmlformats.org/officeDocument/2006/relationships/hyperlink" Target="https://drive.google.com/uc?export=view&amp;id=1oTFX4Ef-8TyosUaL3Tsf04l0xXK03nxG" TargetMode="External" Id="rId5040" /><Relationship Type="http://schemas.openxmlformats.org/officeDocument/2006/relationships/hyperlink" Target="https://www.facebook.com/leszamizen" TargetMode="External" Id="rId5041" /><Relationship Type="http://schemas.openxmlformats.org/officeDocument/2006/relationships/hyperlink" Target="http://www.mygreentraningbox.com/" TargetMode="External" Id="rId5042" /><Relationship Type="http://schemas.openxmlformats.org/officeDocument/2006/relationships/hyperlink" Target="https://www.linkedin.com/showcase/mygreentrainingbox/?viewAsMember=true" TargetMode="External" Id="rId5043" /><Relationship Type="http://schemas.openxmlformats.org/officeDocument/2006/relationships/hyperlink" Target="https://drive.google.com/uc?export=view&amp;id=1bhvlXqXjUTrt2Yx0yta5gD_izlVlRYay" TargetMode="External" Id="rId5044" /><Relationship Type="http://schemas.openxmlformats.org/officeDocument/2006/relationships/hyperlink" Target="http://www.develhope.co/" TargetMode="External" Id="rId5045" /><Relationship Type="http://schemas.openxmlformats.org/officeDocument/2006/relationships/hyperlink" Target="https://www.instagram.com/devel.hope/" TargetMode="External" Id="rId5046" /><Relationship Type="http://schemas.openxmlformats.org/officeDocument/2006/relationships/hyperlink" Target="https://www.linkedin.com/school/develhope/" TargetMode="External" Id="rId5047" /><Relationship Type="http://schemas.openxmlformats.org/officeDocument/2006/relationships/hyperlink" Target="https://drive.google.com/uc?export=view&amp;id=1c8XkAHEU7gpWuRNLkTkUqhmdtPX59FBR" TargetMode="External" Id="rId5048" /><Relationship Type="http://schemas.openxmlformats.org/officeDocument/2006/relationships/hyperlink" Target="https://www.facebook.com/go.develhope" TargetMode="External" Id="rId5049" /><Relationship Type="http://schemas.openxmlformats.org/officeDocument/2006/relationships/hyperlink" Target="https://abilous.com/" TargetMode="External" Id="rId5050" /><Relationship Type="http://schemas.openxmlformats.org/officeDocument/2006/relationships/hyperlink" Target="https://www.instagram.com/abilousapp/" TargetMode="External" Id="rId5051" /><Relationship Type="http://schemas.openxmlformats.org/officeDocument/2006/relationships/hyperlink" Target="https://www.linkedin.com/company/abilous" TargetMode="External" Id="rId5052" /><Relationship Type="http://schemas.openxmlformats.org/officeDocument/2006/relationships/hyperlink" Target="https://drive.google.com/uc?export=view&amp;id=1Xk-k5BbAib1-M5-O7j8Us4aggKUZArmU" TargetMode="External" Id="rId5053" /><Relationship Type="http://schemas.openxmlformats.org/officeDocument/2006/relationships/hyperlink" Target="https://www.facebook.com/abilousfb" TargetMode="External" Id="rId5054" /><Relationship Type="http://schemas.openxmlformats.org/officeDocument/2006/relationships/hyperlink" Target="http://www.godeal.ai/" TargetMode="External" Id="rId5055" /><Relationship Type="http://schemas.openxmlformats.org/officeDocument/2006/relationships/hyperlink" Target="https://www.linkedin.com/company/godeal-ai" TargetMode="External" Id="rId5056" /><Relationship Type="http://schemas.openxmlformats.org/officeDocument/2006/relationships/hyperlink" Target="https://drive.google.com/uc?export=view&amp;id=1EzZogNy1ydfk279hF6B-04Wpj2hnrZpN" TargetMode="External" Id="rId5057" /><Relationship Type="http://schemas.openxmlformats.org/officeDocument/2006/relationships/hyperlink" Target="http://exeko.ai/" TargetMode="External" Id="rId5058" /><Relationship Type="http://schemas.openxmlformats.org/officeDocument/2006/relationships/hyperlink" Target="https://www.linkedin.com/company/exeko-ai" TargetMode="External" Id="rId5059" /><Relationship Type="http://schemas.openxmlformats.org/officeDocument/2006/relationships/hyperlink" Target="https://drive.google.com/uc?export=view&amp;id=1xS1W0egYTDkosl0LN0CymOEMd3gwevaw" TargetMode="External" Id="rId5060" /><Relationship Type="http://schemas.openxmlformats.org/officeDocument/2006/relationships/hyperlink" Target="https://uipathfoundation.com/" TargetMode="External" Id="rId5061" /><Relationship Type="http://schemas.openxmlformats.org/officeDocument/2006/relationships/hyperlink" Target="https://www.linkedin.com/company/uipathfoundation/posts/?feedView=all" TargetMode="External" Id="rId5062" /><Relationship Type="http://schemas.openxmlformats.org/officeDocument/2006/relationships/hyperlink" Target="https://drive.google.com/uc?export=view&amp;id=1yIURW1NGa1yRiayEZEVVBa9kK-QwmDUx" TargetMode="External" Id="rId5063" /><Relationship Type="http://schemas.openxmlformats.org/officeDocument/2006/relationships/hyperlink" Target="https://www.revas.online/" TargetMode="External" Id="rId5064" /><Relationship Type="http://schemas.openxmlformats.org/officeDocument/2006/relationships/hyperlink" Target="https://www.linkedin.com/company/revas-business-simulation-gamesfac" TargetMode="External" Id="rId5065" /><Relationship Type="http://schemas.openxmlformats.org/officeDocument/2006/relationships/hyperlink" Target="https://drive.google.com/uc?export=view&amp;id=1CjSkXMNgfUvIo3ZtmAPIrtbMhy5lju2T" TargetMode="External" Id="rId5066" /><Relationship Type="http://schemas.openxmlformats.org/officeDocument/2006/relationships/hyperlink" Target="https://www.facebook.com/revaspl" TargetMode="External" Id="rId5067" /><Relationship Type="http://schemas.openxmlformats.org/officeDocument/2006/relationships/hyperlink" Target="https://dutchedtech.com/" TargetMode="External" Id="rId5068" /><Relationship Type="http://schemas.openxmlformats.org/officeDocument/2006/relationships/hyperlink" Target="https://www.linkedin.com/company/dutchedtech/" TargetMode="External" Id="rId5069" /><Relationship Type="http://schemas.openxmlformats.org/officeDocument/2006/relationships/hyperlink" Target="https://drive.google.com/uc?export=view&amp;id=1rNeXmXLJRbfM1B_wu40EDoQLVmnYpKsO" TargetMode="External" Id="rId5070" /><Relationship Type="http://schemas.openxmlformats.org/officeDocument/2006/relationships/hyperlink" Target="https://haldoredu.com/" TargetMode="External" Id="rId5071" /><Relationship Type="http://schemas.openxmlformats.org/officeDocument/2006/relationships/hyperlink" Target="https://www.instagram.com/haldoredu/" TargetMode="External" Id="rId5072" /><Relationship Type="http://schemas.openxmlformats.org/officeDocument/2006/relationships/hyperlink" Target="https://x.com/HaldorEdu" TargetMode="External" Id="rId5073" /><Relationship Type="http://schemas.openxmlformats.org/officeDocument/2006/relationships/hyperlink" Target="https://www.linkedin.com/company/17880084/" TargetMode="External" Id="rId5074" /><Relationship Type="http://schemas.openxmlformats.org/officeDocument/2006/relationships/hyperlink" Target="https://drive.google.com/uc?export=view&amp;id=1llqrht6eDgXQlStVT1Kui7MPeT0Q52Fd" TargetMode="External" Id="rId5075" /><Relationship Type="http://schemas.openxmlformats.org/officeDocument/2006/relationships/hyperlink" Target="https://www.facebook.com/HaldorEducation/" TargetMode="External" Id="rId5076" /><Relationship Type="http://schemas.openxmlformats.org/officeDocument/2006/relationships/hyperlink" Target="https://mysoly.nl/learning/" TargetMode="External" Id="rId5077" /><Relationship Type="http://schemas.openxmlformats.org/officeDocument/2006/relationships/hyperlink" Target="https://www.instagram.com/mysoly_nl/?hl=en" TargetMode="External" Id="rId5078" /><Relationship Type="http://schemas.openxmlformats.org/officeDocument/2006/relationships/hyperlink" Target="https://www.linkedin.com/company/82955558/" TargetMode="External" Id="rId5079" /><Relationship Type="http://schemas.openxmlformats.org/officeDocument/2006/relationships/hyperlink" Target="http://nt2campus.nl/" TargetMode="External" Id="rId5080" /><Relationship Type="http://schemas.openxmlformats.org/officeDocument/2006/relationships/hyperlink" Target="http://testgerman.de/" TargetMode="External" Id="rId5081" /><Relationship Type="http://schemas.openxmlformats.org/officeDocument/2006/relationships/hyperlink" Target="https://drive.google.com/uc?export=view&amp;id=1AqQiAOb1-xQdvWNhiTk2zDSzKC4LZxGT" TargetMode="External" Id="rId5082" /><Relationship Type="http://schemas.openxmlformats.org/officeDocument/2006/relationships/hyperlink" Target="https://www.facebook.com/mysoly.nl/" TargetMode="External" Id="rId5083" /><Relationship Type="http://schemas.openxmlformats.org/officeDocument/2006/relationships/hyperlink" Target="http://enablr-ai.com/" TargetMode="External" Id="rId5084" /><Relationship Type="http://schemas.openxmlformats.org/officeDocument/2006/relationships/hyperlink" Target="https://www.linkedin.com/company/enablrai/" TargetMode="External" Id="rId5085" /><Relationship Type="http://schemas.openxmlformats.org/officeDocument/2006/relationships/hyperlink" Target="https://drive.google.com/uc?export=view&amp;id=1st1LLgi8wCygQbFdxIhSKrewOTohE2V5" TargetMode="External" Id="rId5086" /><Relationship Type="http://schemas.openxmlformats.org/officeDocument/2006/relationships/hyperlink" Target="http://www.lalilo.com/" TargetMode="External" Id="rId5087" /><Relationship Type="http://schemas.openxmlformats.org/officeDocument/2006/relationships/hyperlink" Target="https://drive.google.com/uc?export=view&amp;id=1FO6cnJ2yNeLsw9OY0ouPnXQq2S4Q9EU7" TargetMode="External" Id="rId5088" /><Relationship Type="http://schemas.openxmlformats.org/officeDocument/2006/relationships/hyperlink" Target="https://formulearn.org/" TargetMode="External" Id="rId5089" /><Relationship Type="http://schemas.openxmlformats.org/officeDocument/2006/relationships/hyperlink" Target="https://www.linkedin.com/company/formulearn" TargetMode="External" Id="rId5090" /><Relationship Type="http://schemas.openxmlformats.org/officeDocument/2006/relationships/hyperlink" Target="https://drive.google.com/uc?export=view&amp;id=1iJIIceIO_n57DrpRgRR96i4yhbWcfj4a" TargetMode="External" Id="rId5091" /><Relationship Type="http://schemas.openxmlformats.org/officeDocument/2006/relationships/hyperlink" Target="http://www.lessonslearnt.eu/" TargetMode="External" Id="rId5092" /><Relationship Type="http://schemas.openxmlformats.org/officeDocument/2006/relationships/hyperlink" Target="https://www.linkedin.com/company/lessonslearnt-eu/" TargetMode="External" Id="rId5093" /><Relationship Type="http://schemas.openxmlformats.org/officeDocument/2006/relationships/hyperlink" Target="https://drive.google.com/uc?export=view&amp;id=1Ec-EBrHrC7Tiql8taqzYIbynL7uPKQkT" TargetMode="External" Id="rId5094" /><Relationship Type="http://schemas.openxmlformats.org/officeDocument/2006/relationships/hyperlink" Target="http://www.edulai.com/" TargetMode="External" Id="rId5095" /><Relationship Type="http://schemas.openxmlformats.org/officeDocument/2006/relationships/hyperlink" Target="https://www.linkedin.com/company/edulai/?viewAsMember=true" TargetMode="External" Id="rId5096" /><Relationship Type="http://schemas.openxmlformats.org/officeDocument/2006/relationships/hyperlink" Target="https://drive.google.com/uc?export=view&amp;id=1lcsxF1OaNHii4HBLSErw-rW_SfY1441c" TargetMode="External" Id="rId5097" /><Relationship Type="http://schemas.openxmlformats.org/officeDocument/2006/relationships/hyperlink" Target="https://www.facebook.com/edulaismarthink" TargetMode="External" Id="rId5098" /><Relationship Type="http://schemas.openxmlformats.org/officeDocument/2006/relationships/hyperlink" Target="https://www.scolnet.com/" TargetMode="External" Id="rId5099" /><Relationship Type="http://schemas.openxmlformats.org/officeDocument/2006/relationships/hyperlink" Target="https://www.instagram.com/scolnetapp/" TargetMode="External" Id="rId5100" /><Relationship Type="http://schemas.openxmlformats.org/officeDocument/2006/relationships/hyperlink" Target="https://x.com/scolnetapp" TargetMode="External" Id="rId5101" /><Relationship Type="http://schemas.openxmlformats.org/officeDocument/2006/relationships/hyperlink" Target="https://linkedin.com/company/scolnet" TargetMode="External" Id="rId5102" /><Relationship Type="http://schemas.openxmlformats.org/officeDocument/2006/relationships/hyperlink" Target="https://drive.google.com/uc?export=view&amp;id=1svyXQGScFnYMsdC-dV_T-NlvJmZ-AX5l" TargetMode="External" Id="rId5103" /><Relationship Type="http://schemas.openxmlformats.org/officeDocument/2006/relationships/hyperlink" Target="https://www.facebook.com/ScolnetApp" TargetMode="External" Id="rId5104" /><Relationship Type="http://schemas.openxmlformats.org/officeDocument/2006/relationships/hyperlink" Target="https://skillbeam.fr/" TargetMode="External" Id="rId5105" /><Relationship Type="http://schemas.openxmlformats.org/officeDocument/2006/relationships/hyperlink" Target="https://www.linkedin.com/company/skilbeam/" TargetMode="External" Id="rId5106" /><Relationship Type="http://schemas.openxmlformats.org/officeDocument/2006/relationships/hyperlink" Target="https://drive.google.com/uc?export=view&amp;id=18SmANAyEvXEcsVuY7azfW0WXzGT5MwBY" TargetMode="External" Id="rId5107" /><Relationship Type="http://schemas.openxmlformats.org/officeDocument/2006/relationships/hyperlink" Target="http://www.steamminds.org/" TargetMode="External" Id="rId5108" /><Relationship Type="http://schemas.openxmlformats.org/officeDocument/2006/relationships/hyperlink" Target="https://drive.google.com/uc?export=view&amp;id=15T_daYE9ONj31IbgNxuiVd1RQAxdph7e" TargetMode="External" Id="rId5109" /><Relationship Type="http://schemas.openxmlformats.org/officeDocument/2006/relationships/hyperlink" Target="https://fernstudium.study/" TargetMode="External" Id="rId5110" /><Relationship Type="http://schemas.openxmlformats.org/officeDocument/2006/relationships/hyperlink" Target="https://www.instagram.com/e_learning_group/" TargetMode="External" Id="rId5111" /><Relationship Type="http://schemas.openxmlformats.org/officeDocument/2006/relationships/hyperlink" Target="https://www.linkedin.com/school/elc-e-learning-consulting-gmbh/" TargetMode="External" Id="rId5112" /><Relationship Type="http://schemas.openxmlformats.org/officeDocument/2006/relationships/hyperlink" Target="https://drive.google.com/uc?export=view&amp;id=11TQRxIXZm-w1pj9UFkXenR12AIX_HPZH" TargetMode="External" Id="rId5113" /><Relationship Type="http://schemas.openxmlformats.org/officeDocument/2006/relationships/hyperlink" Target="http://socialshuffle.com/" TargetMode="External" Id="rId5114" /><Relationship Type="http://schemas.openxmlformats.org/officeDocument/2006/relationships/hyperlink" Target="https://www.instagram.com/_socialshuffle/" TargetMode="External" Id="rId5115" /><Relationship Type="http://schemas.openxmlformats.org/officeDocument/2006/relationships/hyperlink" Target="https://www.linkedin.com/company/socialshuffle" TargetMode="External" Id="rId5116" /><Relationship Type="http://schemas.openxmlformats.org/officeDocument/2006/relationships/hyperlink" Target="https://drive.google.com/uc?export=view&amp;id=16ik9xvsSLuzkGrK95J5TRPkD-LLcWGZ_" TargetMode="External" Id="rId5117" /><Relationship Type="http://schemas.openxmlformats.org/officeDocument/2006/relationships/hyperlink" Target="https://datamasters.it/" TargetMode="External" Id="rId5118" /><Relationship Type="http://schemas.openxmlformats.org/officeDocument/2006/relationships/hyperlink" Target="https://www.instagram.com/datamasters.it/" TargetMode="External" Id="rId5119" /><Relationship Type="http://schemas.openxmlformats.org/officeDocument/2006/relationships/hyperlink" Target="https://www.linkedin.com/school/datamasters-it/" TargetMode="External" Id="rId5120" /><Relationship Type="http://schemas.openxmlformats.org/officeDocument/2006/relationships/hyperlink" Target="https://drive.google.com/uc?export=view&amp;id=1BittYd8GqOk7O8QXOmKKxE9sVS-PD0Id" TargetMode="External" Id="rId5121" /><Relationship Type="http://schemas.openxmlformats.org/officeDocument/2006/relationships/hyperlink" Target="https://www.facebook.com/datamasters" TargetMode="External" Id="rId5122" /><Relationship Type="http://schemas.openxmlformats.org/officeDocument/2006/relationships/hyperlink" Target="http://www.studystash.com/" TargetMode="External" Id="rId5123" /><Relationship Type="http://schemas.openxmlformats.org/officeDocument/2006/relationships/hyperlink" Target="https://www.linkedin.com/company/studystash" TargetMode="External" Id="rId5124" /><Relationship Type="http://schemas.openxmlformats.org/officeDocument/2006/relationships/hyperlink" Target="https://drive.google.com/uc?export=view&amp;id=1M_lk7hkqSITsyM-EMNGPYFY7EXbA0Ae9" TargetMode="External" Id="rId5125" /><Relationship Type="http://schemas.openxmlformats.org/officeDocument/2006/relationships/hyperlink" Target="https://macenta.com.tr/" TargetMode="External" Id="rId5126" /><Relationship Type="http://schemas.openxmlformats.org/officeDocument/2006/relationships/hyperlink" Target="https://www.linkedin.com/company/macenta-publishing-digital-solutions/posts/?feedView=all" TargetMode="External" Id="rId5127" /><Relationship Type="http://schemas.openxmlformats.org/officeDocument/2006/relationships/hyperlink" Target="https://drive.google.com/uc?export=view&amp;id=1_LHqebcoy3RkEZKN41slkVw6jom7v06_" TargetMode="External" Id="rId5128" /><Relationship Type="http://schemas.openxmlformats.org/officeDocument/2006/relationships/hyperlink" Target="https://global.kingsolympiad.com/" TargetMode="External" Id="rId5129" /><Relationship Type="http://schemas.openxmlformats.org/officeDocument/2006/relationships/hyperlink" Target="https://www.linkedin.com/company/kingseducation/" TargetMode="External" Id="rId5130" /><Relationship Type="http://schemas.openxmlformats.org/officeDocument/2006/relationships/hyperlink" Target="https://drive.google.com/uc?export=view&amp;id=14WzQutFrXWr6fyLHmQB56BW6UYvfLn-7" TargetMode="External" Id="rId5131" /><Relationship Type="http://schemas.openxmlformats.org/officeDocument/2006/relationships/hyperlink" Target="http://www.sapered.com/" TargetMode="External" Id="rId5132" /><Relationship Type="http://schemas.openxmlformats.org/officeDocument/2006/relationships/hyperlink" Target="https://www.instagram.com/sapered_gmbh/?hl=de" TargetMode="External" Id="rId5133" /><Relationship Type="http://schemas.openxmlformats.org/officeDocument/2006/relationships/hyperlink" Target="https://de.linkedin.com/company/sapered" TargetMode="External" Id="rId5134" /><Relationship Type="http://schemas.openxmlformats.org/officeDocument/2006/relationships/hyperlink" Target="https://drive.google.com/uc?export=view&amp;id=1EDdkSefV1M5nedW6ZI_ZZAlxTQDaWx3a" TargetMode="External" Id="rId5135" /><Relationship Type="http://schemas.openxmlformats.org/officeDocument/2006/relationships/hyperlink" Target="https://web2learn.eu/" TargetMode="External" Id="rId5136" /><Relationship Type="http://schemas.openxmlformats.org/officeDocument/2006/relationships/hyperlink" Target="https://www.instagram.com/web2learn_eu/" TargetMode="External" Id="rId5137" /><Relationship Type="http://schemas.openxmlformats.org/officeDocument/2006/relationships/hyperlink" Target="https://www.linkedin.com/company/web2learn/" TargetMode="External" Id="rId5138" /><Relationship Type="http://schemas.openxmlformats.org/officeDocument/2006/relationships/hyperlink" Target="https://drive.google.com/uc?export=view&amp;id=1KunglAI4FAjeBvJxINUt1NX4vmTih-d9" TargetMode="External" Id="rId5139" /><Relationship Type="http://schemas.openxmlformats.org/officeDocument/2006/relationships/hyperlink" Target="https://www.buzzgage.org/" TargetMode="External" Id="rId5140" /><Relationship Type="http://schemas.openxmlformats.org/officeDocument/2006/relationships/hyperlink" Target="https://www.linkedin.com/company/buzzgage" TargetMode="External" Id="rId5141" /><Relationship Type="http://schemas.openxmlformats.org/officeDocument/2006/relationships/hyperlink" Target="https://drive.google.com/uc?export=view&amp;id=1o25hnd1mj80lZdigDLYPCG71gZ1lYOsW" TargetMode="External" Id="rId5142" /><Relationship Type="http://schemas.openxmlformats.org/officeDocument/2006/relationships/hyperlink" Target="http://nolej.io/" TargetMode="External" Id="rId5143" /><Relationship Type="http://schemas.openxmlformats.org/officeDocument/2006/relationships/hyperlink" Target="https://drive.google.com/uc?export=view&amp;id=1qMr7ygDY_E7SDE66NsKuGIo0Fovg9H4n" TargetMode="External" Id="rId5144" /><Relationship Type="http://schemas.openxmlformats.org/officeDocument/2006/relationships/hyperlink" Target="http://www.websitex5.com/" TargetMode="External" Id="rId5145" /><Relationship Type="http://schemas.openxmlformats.org/officeDocument/2006/relationships/hyperlink" Target="https://x.com/Incomedia" TargetMode="External" Id="rId5146" /><Relationship Type="http://schemas.openxmlformats.org/officeDocument/2006/relationships/hyperlink" Target="https://it.linkedin.com/company/incomedia" TargetMode="External" Id="rId5147" /><Relationship Type="http://schemas.openxmlformats.org/officeDocument/2006/relationships/hyperlink" Target="https://drive.google.com/uc?export=view&amp;id=1mbKSMizlAEMemGand1s4Y6IWUEPcUvNG" TargetMode="External" Id="rId5148" /><Relationship Type="http://schemas.openxmlformats.org/officeDocument/2006/relationships/hyperlink" Target="https://www.facebook.com/Incomedia/" TargetMode="External" Id="rId5149" /><Relationship Type="http://schemas.openxmlformats.org/officeDocument/2006/relationships/hyperlink" Target="https://www.brainlane.nl/" TargetMode="External" Id="rId5150" /><Relationship Type="http://schemas.openxmlformats.org/officeDocument/2006/relationships/hyperlink" Target="https://www.instagram.com/brainlanehq/" TargetMode="External" Id="rId5151" /><Relationship Type="http://schemas.openxmlformats.org/officeDocument/2006/relationships/hyperlink" Target="https://www.linkedin.com/company/brainlanehq/" TargetMode="External" Id="rId5152" /><Relationship Type="http://schemas.openxmlformats.org/officeDocument/2006/relationships/hyperlink" Target="https://drive.google.com/uc?export=view&amp;id=1Hzz1yEpCOVVhwdnKN5a5MPd6MrRmYwG6" TargetMode="External" Id="rId5153" /><Relationship Type="http://schemas.openxmlformats.org/officeDocument/2006/relationships/hyperlink" Target="https://www.facebook.com/BrainlaneHQ/" TargetMode="External" Id="rId5154" /><Relationship Type="http://schemas.openxmlformats.org/officeDocument/2006/relationships/hyperlink" Target="https://www.gamindo.com/" TargetMode="External" Id="rId5155" /><Relationship Type="http://schemas.openxmlformats.org/officeDocument/2006/relationships/hyperlink" Target="https://www.linkedin.com/company/gamindo/" TargetMode="External" Id="rId5156" /><Relationship Type="http://schemas.openxmlformats.org/officeDocument/2006/relationships/hyperlink" Target="https://drive.google.com/uc?export=view&amp;id=19FEF2Yk180DCdJz-Ny-8kGTc9r69px-r" TargetMode="External" Id="rId5157" /><Relationship Type="http://schemas.openxmlformats.org/officeDocument/2006/relationships/hyperlink" Target="https://www.beeapro.academy/" TargetMode="External" Id="rId5158" /><Relationship Type="http://schemas.openxmlformats.org/officeDocument/2006/relationships/hyperlink" Target="https://www.linkedin.com/company/beeapro/" TargetMode="External" Id="rId5159" /><Relationship Type="http://schemas.openxmlformats.org/officeDocument/2006/relationships/hyperlink" Target="https://drive.google.com/uc?export=view&amp;id=1hNAY0CtMriEQatjx1Aaf_xMnP-YSJhuK" TargetMode="External" Id="rId5160" /><Relationship Type="http://schemas.openxmlformats.org/officeDocument/2006/relationships/hyperlink" Target="https://www.univerbal.app/" TargetMode="External" Id="rId5161" /><Relationship Type="http://schemas.openxmlformats.org/officeDocument/2006/relationships/hyperlink" Target="https://www.instagram.com/univerbalapp/" TargetMode="External" Id="rId5162" /><Relationship Type="http://schemas.openxmlformats.org/officeDocument/2006/relationships/hyperlink" Target="https://www.linkedin.com/company/univerbalapp/" TargetMode="External" Id="rId5163" /><Relationship Type="http://schemas.openxmlformats.org/officeDocument/2006/relationships/hyperlink" Target="https://drive.google.com/uc?export=view&amp;id=1CKOwL2hXw4kjLZqd3aWxUJW_NEsQoRi7" TargetMode="External" Id="rId5164" /><Relationship Type="http://schemas.openxmlformats.org/officeDocument/2006/relationships/hyperlink" Target="https://techtitans.cloud/" TargetMode="External" Id="rId5165" /><Relationship Type="http://schemas.openxmlformats.org/officeDocument/2006/relationships/hyperlink" Target="https://www.instagram.com/techtitans_creativetechnology" TargetMode="External" Id="rId5166" /><Relationship Type="http://schemas.openxmlformats.org/officeDocument/2006/relationships/hyperlink" Target="https://x.com/TechTitanshub" TargetMode="External" Id="rId5167" /><Relationship Type="http://schemas.openxmlformats.org/officeDocument/2006/relationships/hyperlink" Target="https://www.linkedin.com/company/techtitanscreativetechnologyhub" TargetMode="External" Id="rId5168" /><Relationship Type="http://schemas.openxmlformats.org/officeDocument/2006/relationships/hyperlink" Target="https://drive.google.com/uc?export=view&amp;id=1NeqWDoMCfouaLjLOj_fFYaUzsVfjprhC" TargetMode="External" Id="rId5169" /><Relationship Type="http://schemas.openxmlformats.org/officeDocument/2006/relationships/hyperlink" Target="https://www.facebook.com/techtitans.creativetechnology" TargetMode="External" Id="rId5170" /><Relationship Type="http://schemas.openxmlformats.org/officeDocument/2006/relationships/hyperlink" Target="https://www.ampullarium.app/" TargetMode="External" Id="rId5171" /><Relationship Type="http://schemas.openxmlformats.org/officeDocument/2006/relationships/hyperlink" Target="https://www.instagram.com/team_ampullarium/?hl=de" TargetMode="External" Id="rId5172" /><Relationship Type="http://schemas.openxmlformats.org/officeDocument/2006/relationships/hyperlink" Target="https://drive.google.com/uc?export=view&amp;id=1Mg44z7Gip-e32zguojj6cEyKdd9x87m0" TargetMode="External" Id="rId5173" /><Relationship Type="http://schemas.openxmlformats.org/officeDocument/2006/relationships/hyperlink" Target="https://www.blify.co/" TargetMode="External" Id="rId5174" /><Relationship Type="http://schemas.openxmlformats.org/officeDocument/2006/relationships/hyperlink" Target="https://x.com/blifyapp" TargetMode="External" Id="rId5175" /><Relationship Type="http://schemas.openxmlformats.org/officeDocument/2006/relationships/hyperlink" Target="https://www.linkedin.com/company/blify/" TargetMode="External" Id="rId5176" /><Relationship Type="http://schemas.openxmlformats.org/officeDocument/2006/relationships/hyperlink" Target="https://drive.google.com/uc?export=view&amp;id=1_JH2F4Bw6DXFNcIkkd_7Vw_MW7vpzLw9" TargetMode="External" Id="rId5177" /><Relationship Type="http://schemas.openxmlformats.org/officeDocument/2006/relationships/hyperlink" Target="http://coachello.ai/" TargetMode="External" Id="rId5178" /><Relationship Type="http://schemas.openxmlformats.org/officeDocument/2006/relationships/hyperlink" Target="http://fr.linkedin.com/company/coachello-ai-coaching-platform" TargetMode="External" Id="rId5179" /><Relationship Type="http://schemas.openxmlformats.org/officeDocument/2006/relationships/hyperlink" Target="https://drive.google.com/uc?export=view&amp;id=1O89FJBuxVxn8mkOo4QzBgoxcD1dR2fWY" TargetMode="External" Id="rId5180" /><Relationship Type="http://schemas.openxmlformats.org/officeDocument/2006/relationships/hyperlink" Target="http://expliq.fr/" TargetMode="External" Id="rId5181" /><Relationship Type="http://schemas.openxmlformats.org/officeDocument/2006/relationships/hyperlink" Target="https://www.instagram.com/mathena_education/" TargetMode="External" Id="rId5182" /><Relationship Type="http://schemas.openxmlformats.org/officeDocument/2006/relationships/hyperlink" Target="https://www.linkedin.com/company/108908457" TargetMode="External" Id="rId5183" /><Relationship Type="http://schemas.openxmlformats.org/officeDocument/2006/relationships/hyperlink" Target="https://drive.google.com/uc?export=view&amp;id=10px5gYRAai8tk2xzzB1sPT2EFpif2v7e" TargetMode="External" Id="rId5184" /><Relationship Type="http://schemas.openxmlformats.org/officeDocument/2006/relationships/hyperlink" Target="http://primeprofs.fr/" TargetMode="External" Id="rId5185" /><Relationship Type="http://schemas.openxmlformats.org/officeDocument/2006/relationships/hyperlink" Target="https://www.linkedin.com/company/prime-profs/?viewAsMember=true" TargetMode="External" Id="rId5186" /><Relationship Type="http://schemas.openxmlformats.org/officeDocument/2006/relationships/hyperlink" Target="https://drive.google.com/uc?export=view&amp;id=1S7-nZ4zFlFWDGpIcElqRMyNxm_H1uvk7" TargetMode="External" Id="rId5187" /><Relationship Type="http://schemas.openxmlformats.org/officeDocument/2006/relationships/hyperlink" Target="https://www.mybookinou.com/" TargetMode="External" Id="rId5188" /><Relationship Type="http://schemas.openxmlformats.org/officeDocument/2006/relationships/hyperlink" Target="https://www.instagram.com/bookinou/?hl=fr" TargetMode="External" Id="rId5189" /><Relationship Type="http://schemas.openxmlformats.org/officeDocument/2006/relationships/hyperlink" Target="https://x.com/mybookinou" TargetMode="External" Id="rId5190" /><Relationship Type="http://schemas.openxmlformats.org/officeDocument/2006/relationships/hyperlink" Target="https://www.linkedin.com/company/bookinou" TargetMode="External" Id="rId5191" /><Relationship Type="http://schemas.openxmlformats.org/officeDocument/2006/relationships/hyperlink" Target="https://drive.google.com/uc?export=view&amp;id=1or7a4dwWWjQ2Looq7WMMDyC06BmU4bpg" TargetMode="External" Id="rId5192" /><Relationship Type="http://schemas.openxmlformats.org/officeDocument/2006/relationships/hyperlink" Target="https://www.aptilink.com/" TargetMode="External" Id="rId5193" /><Relationship Type="http://schemas.openxmlformats.org/officeDocument/2006/relationships/hyperlink" Target="https://www.linkedin.com/company/aptilink/" TargetMode="External" Id="rId5194" /><Relationship Type="http://schemas.openxmlformats.org/officeDocument/2006/relationships/hyperlink" Target="https://drive.google.com/uc?export=view&amp;id=1Z6h2ofQORfeT-rCL5_Jo1DxR1FuvAw9-" TargetMode="External" Id="rId5195" /><Relationship Type="http://schemas.openxmlformats.org/officeDocument/2006/relationships/hyperlink" Target="https://www.beedeez.com/fr/" TargetMode="External" Id="rId5196" /><Relationship Type="http://schemas.openxmlformats.org/officeDocument/2006/relationships/hyperlink" Target="https://www.linkedin.com/company/beedeez/posts/?feedView=all" TargetMode="External" Id="rId5197" /><Relationship Type="http://schemas.openxmlformats.org/officeDocument/2006/relationships/hyperlink" Target="https://drive.google.com/uc?export=view&amp;id=15dYoEAn7Jf0GiVopuIHGhqCBBuobiA4H" TargetMode="External" Id="rId5198" /><Relationship Type="http://schemas.openxmlformats.org/officeDocument/2006/relationships/hyperlink" Target="http://www.hopteo.com/" TargetMode="External" Id="rId5199" /><Relationship Type="http://schemas.openxmlformats.org/officeDocument/2006/relationships/hyperlink" Target="https://www.instagram.com/hopteo_app/" TargetMode="External" Id="rId5200" /><Relationship Type="http://schemas.openxmlformats.org/officeDocument/2006/relationships/hyperlink" Target="https://www.linkedin.com/company/hopteo" TargetMode="External" Id="rId5201" /><Relationship Type="http://schemas.openxmlformats.org/officeDocument/2006/relationships/hyperlink" Target="https://drive.google.com/uc?export=view&amp;id=1PG0epXFvC-fNUDOafNtApPcJ2kcNQY97" TargetMode="External" Id="rId5202" /><Relationship Type="http://schemas.openxmlformats.org/officeDocument/2006/relationships/hyperlink" Target="https://www.facebook.com/p/Hopteo-100092716956707/" TargetMode="External" Id="rId5203" /><Relationship Type="http://schemas.openxmlformats.org/officeDocument/2006/relationships/hyperlink" Target="https://www.facil-iti.fr/" TargetMode="External" Id="rId5204" /><Relationship Type="http://schemas.openxmlformats.org/officeDocument/2006/relationships/hyperlink" Target="https://www.instagram.com/facil_iti/" TargetMode="External" Id="rId5205" /><Relationship Type="http://schemas.openxmlformats.org/officeDocument/2006/relationships/hyperlink" Target="https://twitter.com/facil_iti" TargetMode="External" Id="rId5206" /><Relationship Type="http://schemas.openxmlformats.org/officeDocument/2006/relationships/hyperlink" Target="https://www.linkedin.com/company/facil-iti-france/" TargetMode="External" Id="rId5207" /><Relationship Type="http://schemas.openxmlformats.org/officeDocument/2006/relationships/hyperlink" Target="https://drive.google.com/uc?export=view&amp;id=1S7LL3RxuHou84CrNHPGMAtFAIdZLkbyD" TargetMode="External" Id="rId5208" /><Relationship Type="http://schemas.openxmlformats.org/officeDocument/2006/relationships/hyperlink" Target="https://fr-fr.facebook.com/solutionfaciliti/" TargetMode="External" Id="rId5209" /><Relationship Type="http://schemas.openxmlformats.org/officeDocument/2006/relationships/hyperlink" Target="https://www.youscribe.com/" TargetMode="External" Id="rId5210" /><Relationship Type="http://schemas.openxmlformats.org/officeDocument/2006/relationships/hyperlink" Target="https://www.linkedin.com/company/youscribe/?originalSubdomain=fr" TargetMode="External" Id="rId5211" /><Relationship Type="http://schemas.openxmlformats.org/officeDocument/2006/relationships/hyperlink" Target="https://drive.google.com/uc?export=view&amp;id=1dB8TqyBB-DSd4IIF0GfMH9knkRXsBbJ4" TargetMode="External" Id="rId5212" /><Relationship Type="http://schemas.openxmlformats.org/officeDocument/2006/relationships/hyperlink" Target="https://sankliche.org/" TargetMode="External" Id="rId5213" /><Relationship Type="http://schemas.openxmlformats.org/officeDocument/2006/relationships/hyperlink" Target="https://drive.google.com/uc?export=view&amp;id=1zH8AQ3ZNmeioci_BTBJkJVwi2d4UEnub" TargetMode="External" Id="rId5214" /><Relationship Type="http://schemas.openxmlformats.org/officeDocument/2006/relationships/hyperlink" Target="https://acadeclic.fr/" TargetMode="External" Id="rId5215" /><Relationship Type="http://schemas.openxmlformats.org/officeDocument/2006/relationships/hyperlink" Target="https://www.instagram.com/acadeclic_france/" TargetMode="External" Id="rId5216" /><Relationship Type="http://schemas.openxmlformats.org/officeDocument/2006/relationships/hyperlink" Target="https://twitter.com/acadeclic" TargetMode="External" Id="rId5217" /><Relationship Type="http://schemas.openxmlformats.org/officeDocument/2006/relationships/hyperlink" Target="https://www.linkedin.com/company/acadeclic" TargetMode="External" Id="rId5218" /><Relationship Type="http://schemas.openxmlformats.org/officeDocument/2006/relationships/hyperlink" Target="https://drive.google.com/uc?export=view&amp;id=1CQJU4TNVQySNVaS_8qJdMDDci_5w99bq" TargetMode="External" Id="rId5219" /><Relationship Type="http://schemas.openxmlformats.org/officeDocument/2006/relationships/hyperlink" Target="https://www.facebook.com/Acadeclic/" TargetMode="External" Id="rId5220" /><Relationship Type="http://schemas.openxmlformats.org/officeDocument/2006/relationships/hyperlink" Target="https://www.adesoft.com/" TargetMode="External" Id="rId5221" /><Relationship Type="http://schemas.openxmlformats.org/officeDocument/2006/relationships/hyperlink" Target="https://www.linkedin.com/company/adesoft/" TargetMode="External" Id="rId5222" /><Relationship Type="http://schemas.openxmlformats.org/officeDocument/2006/relationships/hyperlink" Target="https://drive.google.com/uc?export=view&amp;id=1C4e1_s_bva05yGJP3Woah_jAdssB7FlU" TargetMode="External" Id="rId5223" /><Relationship Type="http://schemas.openxmlformats.org/officeDocument/2006/relationships/hyperlink" Target="http://edviatec.com/" TargetMode="External" Id="rId5224" /><Relationship Type="http://schemas.openxmlformats.org/officeDocument/2006/relationships/hyperlink" Target="https://www.linkedin.com/company/edviatec/" TargetMode="External" Id="rId5225" /><Relationship Type="http://schemas.openxmlformats.org/officeDocument/2006/relationships/hyperlink" Target="https://drive.google.com/uc?export=view&amp;id=1b35qc_viPcam870c1JqkVQDJuG9pNlQj" TargetMode="External" Id="rId5226" /><Relationship Type="http://schemas.openxmlformats.org/officeDocument/2006/relationships/hyperlink" Target="http://www.snapplify.com/" TargetMode="External" Id="rId5227" /><Relationship Type="http://schemas.openxmlformats.org/officeDocument/2006/relationships/hyperlink" Target="https://www.linkedin.com/company/snapplify/about/?viewAsMember=true" TargetMode="External" Id="rId5228" /><Relationship Type="http://schemas.openxmlformats.org/officeDocument/2006/relationships/hyperlink" Target="https://drive.google.com/uc?export=view&amp;id=13nxBF61BEdYrB-vAwStF95eyTlJ5QmdG" TargetMode="External" Id="rId5229" /><Relationship Type="http://schemas.openxmlformats.org/officeDocument/2006/relationships/hyperlink" Target="https://anotherbrick.it/" TargetMode="External" Id="rId5230" /><Relationship Type="http://schemas.openxmlformats.org/officeDocument/2006/relationships/hyperlink" Target="https://www.linkedin.com/company/another-brick/" TargetMode="External" Id="rId5231" /><Relationship Type="http://schemas.openxmlformats.org/officeDocument/2006/relationships/hyperlink" Target="https://drive.google.com/uc?export=view&amp;id=1n9DI21cdA4_DKaTNP85uLwd-Jp4QHV9S" TargetMode="External" Id="rId5232" /><Relationship Type="http://schemas.openxmlformats.org/officeDocument/2006/relationships/hyperlink" Target="http://leazy.net/" TargetMode="External" Id="rId5233" /><Relationship Type="http://schemas.openxmlformats.org/officeDocument/2006/relationships/hyperlink" Target="https://www.linkedin.com/company/leazy-edu/" TargetMode="External" Id="rId5234" /><Relationship Type="http://schemas.openxmlformats.org/officeDocument/2006/relationships/hyperlink" Target="https://drive.google.com/uc?export=view&amp;id=1lo1enbPy3wY58mXH9dh9YAEwRxNWzd4s" TargetMode="External" Id="rId5235" /><Relationship Type="http://schemas.openxmlformats.org/officeDocument/2006/relationships/hyperlink" Target="https://marschallenge.space/" TargetMode="External" Id="rId5236" /><Relationship Type="http://schemas.openxmlformats.org/officeDocument/2006/relationships/hyperlink" Target="https://www.linkedin.com/company/marschallenge" TargetMode="External" Id="rId5237" /><Relationship Type="http://schemas.openxmlformats.org/officeDocument/2006/relationships/hyperlink" Target="https://drive.google.com/uc?export=view&amp;id=1Hp39nL5D9218k9J0Cgew9ho67v2OPCal" TargetMode="External" Id="rId5238" /><Relationship Type="http://schemas.openxmlformats.org/officeDocument/2006/relationships/hyperlink" Target="http://www.chess-junior.com/" TargetMode="External" Id="rId5239" /><Relationship Type="http://schemas.openxmlformats.org/officeDocument/2006/relationships/hyperlink" Target="https://www.linkedin.com/company/cubes-art-chess-innovations" TargetMode="External" Id="rId5240" /><Relationship Type="http://schemas.openxmlformats.org/officeDocument/2006/relationships/hyperlink" Target="https://drive.google.com/uc?export=view&amp;id=1mt9zvcekHbUvbwz88R42mbcAsR26aQGt" TargetMode="External" Id="rId5241" /><Relationship Type="http://schemas.openxmlformats.org/officeDocument/2006/relationships/hyperlink" Target="https://www.egitimgpt.com/" TargetMode="External" Id="rId5242" /><Relationship Type="http://schemas.openxmlformats.org/officeDocument/2006/relationships/hyperlink" Target="https://drive.google.com/uc?export=view&amp;id=1vDumgN3Lhn0yjYyc2kTqcn3_GlIlzZac" TargetMode="External" Id="rId5243" /><Relationship Type="http://schemas.openxmlformats.org/officeDocument/2006/relationships/hyperlink" Target="https://askowlo.com/?ref=edtech-map" TargetMode="External" Id="rId5244" /><Relationship Type="http://schemas.openxmlformats.org/officeDocument/2006/relationships/hyperlink" Target="https://www.instagram.com/ask.owlo" TargetMode="External" Id="rId5245" /><Relationship Type="http://schemas.openxmlformats.org/officeDocument/2006/relationships/hyperlink" Target="https://x.com/askowlo" TargetMode="External" Id="rId5246" /><Relationship Type="http://schemas.openxmlformats.org/officeDocument/2006/relationships/hyperlink" Target="https://www.linkedin.com/company/askowlo/" TargetMode="External" Id="rId5247" /><Relationship Type="http://schemas.openxmlformats.org/officeDocument/2006/relationships/hyperlink" Target="https://drive.google.com/uc?export=view&amp;id=1PRZm-cwATShgTOKyeaESlzJTlWFSBB6w" TargetMode="External" Id="rId5248" /><Relationship Type="http://schemas.openxmlformats.org/officeDocument/2006/relationships/hyperlink" Target="https://www.facebook.com/profile.php?id=61576192206238" TargetMode="External" Id="rId5249" /><Relationship Type="http://schemas.openxmlformats.org/officeDocument/2006/relationships/hyperlink" Target="http://www.kindiedays.com/" TargetMode="External" Id="rId5250" /><Relationship Type="http://schemas.openxmlformats.org/officeDocument/2006/relationships/hyperlink" Target="https://www.instagram.com/kindiedays" TargetMode="External" Id="rId5251" /><Relationship Type="http://schemas.openxmlformats.org/officeDocument/2006/relationships/hyperlink" Target="https://www.facebook.com/kindiedays" TargetMode="External" Id="rId5252" /><Relationship Type="http://schemas.openxmlformats.org/officeDocument/2006/relationships/hyperlink" Target="https://www.linkedin.com/company/kindiedays" TargetMode="External" Id="rId5253" /><Relationship Type="http://schemas.openxmlformats.org/officeDocument/2006/relationships/hyperlink" Target="https://drive.google.com/uc?export=view&amp;id=1nXe9zRSj79SfUXbuaLZiDhM7AwG57ToT" TargetMode="External" Id="rId5254" /><Relationship Type="http://schemas.openxmlformats.org/officeDocument/2006/relationships/hyperlink" Target="https://www.chemmedia.de/" TargetMode="External" Id="rId5255" /><Relationship Type="http://schemas.openxmlformats.org/officeDocument/2006/relationships/hyperlink" Target="https://www.instagram.com/chemmedia_ag/" TargetMode="External" Id="rId5256" /><Relationship Type="http://schemas.openxmlformats.org/officeDocument/2006/relationships/hyperlink" Target="https://www.linkedin.com/company/chemmedia-ag/" TargetMode="External" Id="rId5257" /><Relationship Type="http://schemas.openxmlformats.org/officeDocument/2006/relationships/hyperlink" Target="https://drive.google.com/uc?export=view&amp;id=1DvEkGqSUlMuVZotESevBbRUbgkog7fAU" TargetMode="External" Id="rId5258" /><Relationship Type="http://schemas.openxmlformats.org/officeDocument/2006/relationships/hyperlink" Target="https://jojoschool.nl/" TargetMode="External" Id="rId5259" /><Relationship Type="http://schemas.openxmlformats.org/officeDocument/2006/relationships/hyperlink" Target="https://www.instagram.com/jojoschoolnl/" TargetMode="External" Id="rId5260" /><Relationship Type="http://schemas.openxmlformats.org/officeDocument/2006/relationships/hyperlink" Target="https://nl.linkedin.com/company/jojoschool" TargetMode="External" Id="rId5261" /><Relationship Type="http://schemas.openxmlformats.org/officeDocument/2006/relationships/hyperlink" Target="https://drive.google.com/uc?export=view&amp;id=1MMvR2KiX9FCqI16OwwTFSh_7rZuC_F3a" TargetMode="External" Id="rId5262" /><Relationship Type="http://schemas.openxmlformats.org/officeDocument/2006/relationships/hyperlink" Target="https://arlicious.com/" TargetMode="External" Id="rId5263" /><Relationship Type="http://schemas.openxmlformats.org/officeDocument/2006/relationships/hyperlink" Target="https://drive.google.com/uc?export=view&amp;id=1oB4tdTA37tIggrE0Cks81kD5gWDw0WqY" TargetMode="External" Id="rId5264" /><Relationship Type="http://schemas.openxmlformats.org/officeDocument/2006/relationships/hyperlink" Target="https://www.checkademia.de/" TargetMode="External" Id="rId5265" /><Relationship Type="http://schemas.openxmlformats.org/officeDocument/2006/relationships/hyperlink" Target="https://www.instagram.com/checkademia/" TargetMode="External" Id="rId5266" /><Relationship Type="http://schemas.openxmlformats.org/officeDocument/2006/relationships/hyperlink" Target="https://www.linkedin.com/company/checkademia/" TargetMode="External" Id="rId5267" /><Relationship Type="http://schemas.openxmlformats.org/officeDocument/2006/relationships/hyperlink" Target="https://drive.google.com/uc?export=view&amp;id=1VUEQZUczy5DRHD3u-2hODdqrqKcpPp3B" TargetMode="External" Id="rId5268" /><Relationship Type="http://schemas.openxmlformats.org/officeDocument/2006/relationships/hyperlink" Target="https://www.aidevsolutions.dk/" TargetMode="External" Id="rId5269" /><Relationship Type="http://schemas.openxmlformats.org/officeDocument/2006/relationships/hyperlink" Target="https://drive.google.com/uc?export=view&amp;id=1vb2wKuf8UFE9C71lFC2-3rtCKrkwJH0Q" TargetMode="External" Id="rId5270" /><Relationship Type="http://schemas.openxmlformats.org/officeDocument/2006/relationships/hyperlink" Target="http://www.tokichat.fr/" TargetMode="External" Id="rId5271" /><Relationship Type="http://schemas.openxmlformats.org/officeDocument/2006/relationships/hyperlink" Target="https://www.linkedin.com/showcase/tokichat" TargetMode="External" Id="rId5272" /><Relationship Type="http://schemas.openxmlformats.org/officeDocument/2006/relationships/hyperlink" Target="https://drive.google.com/uc?export=view&amp;id=1-nJ1im3j1M_lknK-HXEGSJN_UqAYIAV5" TargetMode="External" Id="rId5273" /><Relationship Type="http://schemas.openxmlformats.org/officeDocument/2006/relationships/hyperlink" Target="http://www.arlls.com/" TargetMode="External" Id="rId5274" /><Relationship Type="http://schemas.openxmlformats.org/officeDocument/2006/relationships/hyperlink" Target="https://www.instagram.com/arlls_official/" TargetMode="External" Id="rId5275" /><Relationship Type="http://schemas.openxmlformats.org/officeDocument/2006/relationships/hyperlink" Target="https://www.linkedin.com/company/arlls" TargetMode="External" Id="rId5276" /><Relationship Type="http://schemas.openxmlformats.org/officeDocument/2006/relationships/hyperlink" Target="https://drive.google.com/uc?export=view&amp;id=14H_JHeRiCc0KNc2GkwYkzSXAEip427lq" TargetMode="External" Id="rId5277" /><Relationship Type="http://schemas.openxmlformats.org/officeDocument/2006/relationships/hyperlink" Target="http://www.fullfabric.com/" TargetMode="External" Id="rId5278" /><Relationship Type="http://schemas.openxmlformats.org/officeDocument/2006/relationships/hyperlink" Target="https://www.instagram.com/full_fabric/" TargetMode="External" Id="rId5279" /><Relationship Type="http://schemas.openxmlformats.org/officeDocument/2006/relationships/hyperlink" Target="https://www.linkedin.com/company/fullfabric/" TargetMode="External" Id="rId5280" /><Relationship Type="http://schemas.openxmlformats.org/officeDocument/2006/relationships/hyperlink" Target="https://drive.google.com/uc?export=view&amp;id=1yQnfX_rCO-uKJR4DNku53U7-xKJAKxyI" TargetMode="External" Id="rId5281" /><Relationship Type="http://schemas.openxmlformats.org/officeDocument/2006/relationships/hyperlink" Target="https://www.facebook.com/fullfabriccrm" TargetMode="External" Id="rId5282" /><Relationship Type="http://schemas.openxmlformats.org/officeDocument/2006/relationships/hyperlink" Target="http://www.zmudri.sk/" TargetMode="External" Id="rId5283" /><Relationship Type="http://schemas.openxmlformats.org/officeDocument/2006/relationships/hyperlink" Target="http://www.instagram.com/zmudri_g" TargetMode="External" Id="rId5284" /><Relationship Type="http://schemas.openxmlformats.org/officeDocument/2006/relationships/hyperlink" Target="https://www.linkedin.com/company/zmudri/" TargetMode="External" Id="rId5285" /><Relationship Type="http://schemas.openxmlformats.org/officeDocument/2006/relationships/hyperlink" Target="https://drive.google.com/uc?export=view&amp;id=1QtRVNxaB-XiljYVBffV1CS5_gP1lISQo" TargetMode="External" Id="rId5286" /><Relationship Type="http://schemas.openxmlformats.org/officeDocument/2006/relationships/hyperlink" Target="https://www.facebook.com/zmudri.sk" TargetMode="External" Id="rId5287" /><Relationship Type="http://schemas.openxmlformats.org/officeDocument/2006/relationships/hyperlink" Target="https://procraft.dk/" TargetMode="External" Id="rId5288" /><Relationship Type="http://schemas.openxmlformats.org/officeDocument/2006/relationships/hyperlink" Target="https://www.instagram.com/procraft.dk/" TargetMode="External" Id="rId5289" /><Relationship Type="http://schemas.openxmlformats.org/officeDocument/2006/relationships/hyperlink" Target="https://www.linkedin.com/company/procraft/" TargetMode="External" Id="rId5290" /><Relationship Type="http://schemas.openxmlformats.org/officeDocument/2006/relationships/hyperlink" Target="https://drive.google.com/uc?export=view&amp;id=1mqqE8kLNgeOoi8sGAEnfG_cv3pCttH4k" TargetMode="External" Id="rId5291" /><Relationship Type="http://schemas.openxmlformats.org/officeDocument/2006/relationships/hyperlink" Target="https://www.facebook.com/ProcraftAps" TargetMode="External" Id="rId5292" /><Relationship Type="http://schemas.openxmlformats.org/officeDocument/2006/relationships/hyperlink" Target="https://eu-track.eu/" TargetMode="External" Id="rId5293" /><Relationship Type="http://schemas.openxmlformats.org/officeDocument/2006/relationships/hyperlink" Target="https://www.instagram.com/eutrack/?hl=en" TargetMode="External" Id="rId5294" /><Relationship Type="http://schemas.openxmlformats.org/officeDocument/2006/relationships/hyperlink" Target="https://it.linkedin.com/company/eu-track" TargetMode="External" Id="rId5295" /><Relationship Type="http://schemas.openxmlformats.org/officeDocument/2006/relationships/hyperlink" Target="https://drive.google.com/uc?export=view&amp;id=1ixEvsHRd8ZC-gb3PEyuG1DL_w0gEgsU_" TargetMode="External" Id="rId5296" /><Relationship Type="http://schemas.openxmlformats.org/officeDocument/2006/relationships/hyperlink" Target="https://www.facebook.com/eu.track/" TargetMode="External" Id="rId5297" /></Relationships>
</file>

<file path=xl/worksheets/_rels/sheet3.xml.rels><Relationships xmlns="http://schemas.openxmlformats.org/package/2006/relationships"><Relationship Type="http://schemas.openxmlformats.org/officeDocument/2006/relationships/hyperlink" Target="http://www.springlab.nl/" TargetMode="External" Id="rId1" /><Relationship Type="http://schemas.openxmlformats.org/officeDocument/2006/relationships/hyperlink" Target="https://www.instagram.com/springlabnl/" TargetMode="External" Id="rId2" /><Relationship Type="http://schemas.openxmlformats.org/officeDocument/2006/relationships/hyperlink" Target="https://www.linkedin.com/company/10009167/admin/dashboard/" TargetMode="External" Id="rId3" /><Relationship Type="http://schemas.openxmlformats.org/officeDocument/2006/relationships/hyperlink" Target="https://drive.google.com/uc?export=view&amp;id=14nrXAx90b8CDdNRBaDYoUSdxGVtd5OwS" TargetMode="External" Id="rId4" /><Relationship Type="http://schemas.openxmlformats.org/officeDocument/2006/relationships/hyperlink" Target="https://www.facebook.com/p/Springlab-Learning-61559318542181/" TargetMode="External" Id="rId5" /><Relationship Type="http://schemas.openxmlformats.org/officeDocument/2006/relationships/hyperlink" Target="https://learnwise.ai/" TargetMode="External" Id="rId6" /><Relationship Type="http://schemas.openxmlformats.org/officeDocument/2006/relationships/hyperlink" Target="https://www.linkedin.com/company/learnwiseai" TargetMode="External" Id="rId7" /><Relationship Type="http://schemas.openxmlformats.org/officeDocument/2006/relationships/hyperlink" Target="https://drive.google.com/uc?export=view&amp;id=1XW5-CsbXDZnSKrFVNFynTIEHKkdUJRvY" TargetMode="External" Id="rId8" /><Relationship Type="http://schemas.openxmlformats.org/officeDocument/2006/relationships/hyperlink" Target="https://studyflow.nl/" TargetMode="External" Id="rId9" /><Relationship Type="http://schemas.openxmlformats.org/officeDocument/2006/relationships/hyperlink" Target="https://www.linkedin.com/company/studyflow/" TargetMode="External" Id="rId10" /><Relationship Type="http://schemas.openxmlformats.org/officeDocument/2006/relationships/hyperlink" Target="https://drive.google.com/uc?export=view&amp;id=1jOdIHKDaOAz-t0o7gLr_YOJntr3nJixI" TargetMode="External" Id="rId11" /><Relationship Type="http://schemas.openxmlformats.org/officeDocument/2006/relationships/hyperlink" Target="http://thesimulationcrew.com/" TargetMode="External" Id="rId12" /><Relationship Type="http://schemas.openxmlformats.org/officeDocument/2006/relationships/hyperlink" Target="https://www.linkedin.com/company/the-simulation-crew/" TargetMode="External" Id="rId13" /><Relationship Type="http://schemas.openxmlformats.org/officeDocument/2006/relationships/hyperlink" Target="https://drive.google.com/uc?export=view&amp;id=1Yv5qHlxyR3HWPugMr-7X-15nvWNU50My" TargetMode="External" Id="rId14" /><Relationship Type="http://schemas.openxmlformats.org/officeDocument/2006/relationships/hyperlink" Target="https://www.warchild.net/intervention-cwtl/" TargetMode="External" Id="rId15" /><Relationship Type="http://schemas.openxmlformats.org/officeDocument/2006/relationships/hyperlink" Target="https://www.linkedin.com/showcase/cant-wait-to-learn/posts/?feedView=all" TargetMode="External" Id="rId16" /><Relationship Type="http://schemas.openxmlformats.org/officeDocument/2006/relationships/hyperlink" Target="https://drive.google.com/uc?export=view&amp;id=1Zuz8_AQqUm3EzLHRvXLy_POYn2qMNIX_" TargetMode="External" Id="rId17" /><Relationship Type="http://schemas.openxmlformats.org/officeDocument/2006/relationships/hyperlink" Target="http://www.selfstartglobal.com/" TargetMode="External" Id="rId18" /><Relationship Type="http://schemas.openxmlformats.org/officeDocument/2006/relationships/hyperlink" Target="https://www.instagram.com/selfstartglobal/?hl=en" TargetMode="External" Id="rId19" /><Relationship Type="http://schemas.openxmlformats.org/officeDocument/2006/relationships/hyperlink" Target="https://www.linkedin.com/company/selfstartglobal/" TargetMode="External" Id="rId20" /><Relationship Type="http://schemas.openxmlformats.org/officeDocument/2006/relationships/hyperlink" Target="https://drive.google.com/uc?export=view&amp;id=1dmCHGfpHUkV3WCkWGPKk15INYid5QViz" TargetMode="External" Id="rId21" /><Relationship Type="http://schemas.openxmlformats.org/officeDocument/2006/relationships/hyperlink" Target="https://www.qubo.nl/" TargetMode="External" Id="rId22" /><Relationship Type="http://schemas.openxmlformats.org/officeDocument/2006/relationships/hyperlink" Target="https://www.instagram.com/quboonderwijs" TargetMode="External" Id="rId23" /><Relationship Type="http://schemas.openxmlformats.org/officeDocument/2006/relationships/hyperlink" Target="https://www.linkedin.com/company/qubo-onderwijs/" TargetMode="External" Id="rId24" /><Relationship Type="http://schemas.openxmlformats.org/officeDocument/2006/relationships/hyperlink" Target="https://drive.google.com/uc?export=view&amp;id=1Z22JIHvsIA0qqqajx_pdnzjuRIQNGVg_" TargetMode="External" Id="rId25" /><Relationship Type="http://schemas.openxmlformats.org/officeDocument/2006/relationships/hyperlink" Target="https://www.facebook.com/QuboOnderwijs" TargetMode="External" Id="rId26" /><Relationship Type="http://schemas.openxmlformats.org/officeDocument/2006/relationships/hyperlink" Target="http://www.levelupacademy.nl/" TargetMode="External" Id="rId27" /><Relationship Type="http://schemas.openxmlformats.org/officeDocument/2006/relationships/hyperlink" Target="https://www.instagram.com/levelupacademynl/" TargetMode="External" Id="rId28" /><Relationship Type="http://schemas.openxmlformats.org/officeDocument/2006/relationships/hyperlink" Target="https://drive.google.com/uc?export=view&amp;id=1kr98jna08RnRMWiTK7FeaFbbn4ZbF3zp" TargetMode="External" Id="rId29" /><Relationship Type="http://schemas.openxmlformats.org/officeDocument/2006/relationships/hyperlink" Target="https://www.atermon.nl/" TargetMode="External" Id="rId30" /><Relationship Type="http://schemas.openxmlformats.org/officeDocument/2006/relationships/hyperlink" Target="https://www.linkedin.com/company/atermon-rotterdam" TargetMode="External" Id="rId31" /><Relationship Type="http://schemas.openxmlformats.org/officeDocument/2006/relationships/hyperlink" Target="https://drive.google.com/uc?export=view&amp;id=1LvFjqm729253h5uH_CEIoD_nZh9I_U66" TargetMode="External" Id="rId32" /><Relationship Type="http://schemas.openxmlformats.org/officeDocument/2006/relationships/hyperlink" Target="https://www.instagram.com/atermonnl?igsh=Y2JleXpxcmNrYWN5" TargetMode="External" Id="rId33" /><Relationship Type="http://schemas.openxmlformats.org/officeDocument/2006/relationships/hyperlink" Target="https://www.linkedin.com/company/learning-glass-europe/" TargetMode="External" Id="rId34" /><Relationship Type="http://schemas.openxmlformats.org/officeDocument/2006/relationships/hyperlink" Target="https://drive.google.com/uc?export=view&amp;id=1EqHAkGuHBwTl0erMDeO6TQMYBfmUjTV5" TargetMode="External" Id="rId35" /><Relationship Type="http://schemas.openxmlformats.org/officeDocument/2006/relationships/hyperlink" Target="http://www.lektor.nl/" TargetMode="External" Id="rId36" /><Relationship Type="http://schemas.openxmlformats.org/officeDocument/2006/relationships/hyperlink" Target="https://www.instagram.com/lektor.nl/" TargetMode="External" Id="rId37" /><Relationship Type="http://schemas.openxmlformats.org/officeDocument/2006/relationships/hyperlink" Target="https://www.linkedin.com/company/lektor-nl/" TargetMode="External" Id="rId38" /><Relationship Type="http://schemas.openxmlformats.org/officeDocument/2006/relationships/hyperlink" Target="https://drive.google.com/uc?export=view&amp;id=1Tu9XT6t2LD-hGaNGYfrG-7pqsZ2tBrFq" TargetMode="External" Id="rId39" /><Relationship Type="http://schemas.openxmlformats.org/officeDocument/2006/relationships/hyperlink" Target="http://www.prowise.com/" TargetMode="External" Id="rId40" /><Relationship Type="http://schemas.openxmlformats.org/officeDocument/2006/relationships/hyperlink" Target="https://www.instagram.com/prowise_nl/" TargetMode="External" Id="rId41" /><Relationship Type="http://schemas.openxmlformats.org/officeDocument/2006/relationships/hyperlink" Target="https://www.linkedin.com/company/prowise-nl/" TargetMode="External" Id="rId42" /><Relationship Type="http://schemas.openxmlformats.org/officeDocument/2006/relationships/hyperlink" Target="https://drive.google.com/uc?export=view&amp;id=17HFmQK-h6ioQCxt9laEm1gDqEDOEWraR" TargetMode="External" Id="rId43" /><Relationship Type="http://schemas.openxmlformats.org/officeDocument/2006/relationships/hyperlink" Target="http://www.electude.com/" TargetMode="External" Id="rId44" /><Relationship Type="http://schemas.openxmlformats.org/officeDocument/2006/relationships/hyperlink" Target="https://www.instagram.com/electudeinternational/" TargetMode="External" Id="rId45" /><Relationship Type="http://schemas.openxmlformats.org/officeDocument/2006/relationships/hyperlink" Target="https://www.linkedin.com/company/electudeinternational/" TargetMode="External" Id="rId46" /><Relationship Type="http://schemas.openxmlformats.org/officeDocument/2006/relationships/hyperlink" Target="https://drive.google.com/uc?export=view&amp;id=1F5ktQbNj5i1vdnSX8F_SdYNtJLk7gN23" TargetMode="External" Id="rId47" /><Relationship Type="http://schemas.openxmlformats.org/officeDocument/2006/relationships/hyperlink" Target="https://www.facebook.com/electudeinternational" TargetMode="External" Id="rId48" /><Relationship Type="http://schemas.openxmlformats.org/officeDocument/2006/relationships/hyperlink" Target="http://www.reducate.com/" TargetMode="External" Id="rId49" /><Relationship Type="http://schemas.openxmlformats.org/officeDocument/2006/relationships/hyperlink" Target="https://www.linkedin.com/company/reducate" TargetMode="External" Id="rId50" /><Relationship Type="http://schemas.openxmlformats.org/officeDocument/2006/relationships/hyperlink" Target="https://drive.google.com/uc?export=view&amp;id=1ph_qR9AGcEvmgHGTduIQA76BecAgAxwJ" TargetMode="External" Id="rId51" /><Relationship Type="http://schemas.openxmlformats.org/officeDocument/2006/relationships/hyperlink" Target="http://www.catwise.com/" TargetMode="External" Id="rId52" /><Relationship Type="http://schemas.openxmlformats.org/officeDocument/2006/relationships/hyperlink" Target="https://www.linkedin.com/company/catwise" TargetMode="External" Id="rId53" /><Relationship Type="http://schemas.openxmlformats.org/officeDocument/2006/relationships/hyperlink" Target="https://drive.google.com/uc?export=view&amp;id=1QPWmAK34ATuMRnhEhDPfWpWR8DDRZA68" TargetMode="External" Id="rId54" /><Relationship Type="http://schemas.openxmlformats.org/officeDocument/2006/relationships/hyperlink" Target="http://www.goinconnect.com/" TargetMode="External" Id="rId55" /><Relationship Type="http://schemas.openxmlformats.org/officeDocument/2006/relationships/hyperlink" Target="https://www.linkedin.com/company/goinconnect/?viewAsMember=true" TargetMode="External" Id="rId56" /><Relationship Type="http://schemas.openxmlformats.org/officeDocument/2006/relationships/hyperlink" Target="https://drive.google.com/uc?export=view&amp;id=1FqSw1mnp4xJiofHRcMFB75HCr-FW9etj" TargetMode="External" Id="rId57" /><Relationship Type="http://schemas.openxmlformats.org/officeDocument/2006/relationships/hyperlink" Target="http://engineeringtrainer.com/" TargetMode="External" Id="rId58" /><Relationship Type="http://schemas.openxmlformats.org/officeDocument/2006/relationships/hyperlink" Target="https://www.linkedin.com/school/12648209/" TargetMode="External" Id="rId59" /><Relationship Type="http://schemas.openxmlformats.org/officeDocument/2006/relationships/hyperlink" Target="https://drive.google.com/uc?export=view&amp;id=1DQCRe50KhT1Ss5FT4WOBWLQR5vA54yFa" TargetMode="External" Id="rId60" /><Relationship Type="http://schemas.openxmlformats.org/officeDocument/2006/relationships/hyperlink" Target="https://onspect.nl/" TargetMode="External" Id="rId61" /><Relationship Type="http://schemas.openxmlformats.org/officeDocument/2006/relationships/hyperlink" Target="https://www.linkedin.com/company/onspect" TargetMode="External" Id="rId62" /><Relationship Type="http://schemas.openxmlformats.org/officeDocument/2006/relationships/hyperlink" Target="https://drive.google.com/uc?export=view&amp;id=1AU0NzWzHHkGRM43EKQg_qELwdJ8MHZPI" TargetMode="External" Id="rId63" /><Relationship Type="http://schemas.openxmlformats.org/officeDocument/2006/relationships/hyperlink" Target="http://www.classroomscreen.com/" TargetMode="External" Id="rId64" /><Relationship Type="http://schemas.openxmlformats.org/officeDocument/2006/relationships/hyperlink" Target="https://www.linkedin.com/company/classroomscreen/" TargetMode="External" Id="rId65" /><Relationship Type="http://schemas.openxmlformats.org/officeDocument/2006/relationships/hyperlink" Target="http://www.memorylab.nl/" TargetMode="External" Id="rId66" /><Relationship Type="http://schemas.openxmlformats.org/officeDocument/2006/relationships/hyperlink" Target="https://eindexamensite.nl/" TargetMode="External" Id="rId67" /><Relationship Type="http://schemas.openxmlformats.org/officeDocument/2006/relationships/hyperlink" Target="https://www.linkedin.com/company/eindexamensite/" TargetMode="External" Id="rId68" /><Relationship Type="http://schemas.openxmlformats.org/officeDocument/2006/relationships/hyperlink" Target="https://wellbased.nl/" TargetMode="External" Id="rId69" /><Relationship Type="http://schemas.openxmlformats.org/officeDocument/2006/relationships/hyperlink" Target="http://algebrakit.com/" TargetMode="External" Id="rId70" /><Relationship Type="http://schemas.openxmlformats.org/officeDocument/2006/relationships/hyperlink" Target="https://www.linkedin.com/company/algebrakit" TargetMode="External" Id="rId71" /><Relationship Type="http://schemas.openxmlformats.org/officeDocument/2006/relationships/hyperlink" Target="http://www.learningstone.com/" TargetMode="External" Id="rId72" /><Relationship Type="http://schemas.openxmlformats.org/officeDocument/2006/relationships/hyperlink" Target="https://www.linkedin.com/company/learningstone" TargetMode="External" Id="rId73" /><Relationship Type="http://schemas.openxmlformats.org/officeDocument/2006/relationships/hyperlink" Target="https://yournextconcepts.com/" TargetMode="External" Id="rId74" /><Relationship Type="http://schemas.openxmlformats.org/officeDocument/2006/relationships/hyperlink" Target="https://www.linkedin.com/company/yournextconcepts/" TargetMode="External" Id="rId75" /><Relationship Type="http://schemas.openxmlformats.org/officeDocument/2006/relationships/hyperlink" Target="https://epaportfolio.com/" TargetMode="External" Id="rId76" /><Relationship Type="http://schemas.openxmlformats.org/officeDocument/2006/relationships/hyperlink" Target="https://www.linkedin.com/showcase/epa" TargetMode="External" Id="rId77" /><Relationship Type="http://schemas.openxmlformats.org/officeDocument/2006/relationships/hyperlink" Target="https://www.instagram.com/greenscreenbox/" TargetMode="External" Id="rId78" /><Relationship Type="http://schemas.openxmlformats.org/officeDocument/2006/relationships/hyperlink" Target="https://nl.linkedin.com/company/monop" TargetMode="External" Id="rId79" /><Relationship Type="http://schemas.openxmlformats.org/officeDocument/2006/relationships/hyperlink" Target="https://www.facebook.com/Greenscreenbox/" TargetMode="External" Id="rId80" /><Relationship Type="http://schemas.openxmlformats.org/officeDocument/2006/relationships/hyperlink" Target="https://docfield.com/" TargetMode="External" Id="rId81" /><Relationship Type="http://schemas.openxmlformats.org/officeDocument/2006/relationships/hyperlink" Target="https://www.linkedin.com/company/docfield/?viewAsMember=true" TargetMode="External" Id="rId82" /><Relationship Type="http://schemas.openxmlformats.org/officeDocument/2006/relationships/hyperlink" Target="https://elevatehealth.eu/" TargetMode="External" Id="rId83" /><Relationship Type="http://schemas.openxmlformats.org/officeDocument/2006/relationships/hyperlink" Target="https://www.linkedin.com/company/elevate-health" TargetMode="External" Id="rId84" /><Relationship Type="http://schemas.openxmlformats.org/officeDocument/2006/relationships/hyperlink" Target="https://drive.google.com/uc?export=view&amp;id=1xrsBXkj2Qt-smxYvgp_2rDo4sHz6PBC_" TargetMode="External" Id="rId85" /><Relationship Type="http://schemas.openxmlformats.org/officeDocument/2006/relationships/hyperlink" Target="https://www.instagram.com/aryzon.world/" TargetMode="External" Id="rId86" /><Relationship Type="http://schemas.openxmlformats.org/officeDocument/2006/relationships/hyperlink" Target="https://www.linkedin.com/company/aryzon-world/" TargetMode="External" Id="rId87" /><Relationship Type="http://schemas.openxmlformats.org/officeDocument/2006/relationships/hyperlink" Target="http://www.springlab.nl/" TargetMode="External" Id="rId88" /><Relationship Type="http://schemas.openxmlformats.org/officeDocument/2006/relationships/hyperlink" Target="https://www.instagram.com/springlabnl/" TargetMode="External" Id="rId89" /><Relationship Type="http://schemas.openxmlformats.org/officeDocument/2006/relationships/hyperlink" Target="https://www.linkedin.com/company/springlab-nl/" TargetMode="External" Id="rId90" /><Relationship Type="http://schemas.openxmlformats.org/officeDocument/2006/relationships/hyperlink" Target="https://drive.google.com/uc?export=view&amp;id=1KSkqvo-u2ciar63nVbxtjj-r4lX2kASh" TargetMode="External" Id="rId91" /><Relationship Type="http://schemas.openxmlformats.org/officeDocument/2006/relationships/hyperlink" Target="https://www.eduvolutionx.com/" TargetMode="External" Id="rId92" /><Relationship Type="http://schemas.openxmlformats.org/officeDocument/2006/relationships/hyperlink" Target="https://www.linkedin.com/company/eduvolutionx/" TargetMode="External" Id="rId93" /><Relationship Type="http://schemas.openxmlformats.org/officeDocument/2006/relationships/hyperlink" Target="https://drive.google.com/uc?export=view&amp;id=1-uJgN80nDfAzGxhggOO9sQIJ8cVAERHc" TargetMode="External" Id="rId94" /><Relationship Type="http://schemas.openxmlformats.org/officeDocument/2006/relationships/hyperlink" Target="https://www.omniabuildings.nl/" TargetMode="External" Id="rId95" /><Relationship Type="http://schemas.openxmlformats.org/officeDocument/2006/relationships/hyperlink" Target="https://www.instagram.com/pleqcampus/" TargetMode="External" Id="rId96" /><Relationship Type="http://schemas.openxmlformats.org/officeDocument/2006/relationships/hyperlink" Target="https://www.linkedin.com/company/omnia-smartcampus" TargetMode="External" Id="rId97" /><Relationship Type="http://schemas.openxmlformats.org/officeDocument/2006/relationships/hyperlink" Target="https://drive.google.com/uc?export=view&amp;id=1QNUskMomrN-D6pcAJZrEWNyB-PW1kFUk" TargetMode="External" Id="rId98" /><Relationship Type="http://schemas.openxmlformats.org/officeDocument/2006/relationships/hyperlink" Target="https://www.linkedin.com/company/67243846" TargetMode="External" Id="rId99" /><Relationship Type="http://schemas.openxmlformats.org/officeDocument/2006/relationships/hyperlink" Target="https://drive.google.com/uc?export=view&amp;id=1y5UIFYXs4VpmnXEWjQpJLP-JYsoU_O43" TargetMode="External" Id="rId100" /><Relationship Type="http://schemas.openxmlformats.org/officeDocument/2006/relationships/hyperlink" Target="http://www.jetlearn.com/" TargetMode="External" Id="rId101" /><Relationship Type="http://schemas.openxmlformats.org/officeDocument/2006/relationships/hyperlink" Target="http://brainbite.ai/" TargetMode="External" Id="rId102" /><Relationship Type="http://schemas.openxmlformats.org/officeDocument/2006/relationships/hyperlink" Target="http://www.brainbite.ai/" TargetMode="External" Id="rId103" /><Relationship Type="http://schemas.openxmlformats.org/officeDocument/2006/relationships/hyperlink" Target="https://www.instagram.com/brainbiteai/" TargetMode="External" Id="rId104" /><Relationship Type="http://schemas.openxmlformats.org/officeDocument/2006/relationships/hyperlink" Target="https://www.linkedin.com/company/brainbite/about/" TargetMode="External" Id="rId105" /><Relationship Type="http://schemas.openxmlformats.org/officeDocument/2006/relationships/hyperlink" Target="http://brainbite.ai/" TargetMode="External" Id="rId106" /><Relationship Type="http://schemas.openxmlformats.org/officeDocument/2006/relationships/hyperlink" Target="http://www.classigogo.com/" TargetMode="External" Id="rId107" /><Relationship Type="http://schemas.openxmlformats.org/officeDocument/2006/relationships/hyperlink" Target="https://instagram.com/classigogo" TargetMode="External" Id="rId108" /><Relationship Type="http://schemas.openxmlformats.org/officeDocument/2006/relationships/hyperlink" Target="http://www.readspeaker.com/" TargetMode="External" Id="rId109" /><Relationship Type="http://schemas.openxmlformats.org/officeDocument/2006/relationships/hyperlink" Target="https://www.linkedin.com/company/readspeaker" TargetMode="External" Id="rId110" /><Relationship Type="http://schemas.openxmlformats.org/officeDocument/2006/relationships/hyperlink" Target="https://drive.google.com/uc?export=view&amp;id=1-2NTZ05xSbk2DpZtDvI7xTnNsQiPjoHS" TargetMode="External" Id="rId111" /><Relationship Type="http://schemas.openxmlformats.org/officeDocument/2006/relationships/hyperlink" Target="http://www.skill-full.com/" TargetMode="External" Id="rId112" /><Relationship Type="http://schemas.openxmlformats.org/officeDocument/2006/relationships/hyperlink" Target="https://www.linkedin.com/company/skillfull-serious-games" TargetMode="External" Id="rId113" /><Relationship Type="http://schemas.openxmlformats.org/officeDocument/2006/relationships/hyperlink" Target="https://drive.google.com/uc?export=view&amp;id=1El6Sa0FxfPnluinRA8dH8A56fpEL6rPE" TargetMode="External" Id="rId114" /><Relationship Type="http://schemas.openxmlformats.org/officeDocument/2006/relationships/hyperlink" Target="https://greenscreenbox.nl/" TargetMode="External" Id="rId115" /><Relationship Type="http://schemas.openxmlformats.org/officeDocument/2006/relationships/hyperlink" Target="https://www.instagram.com/greenscreenbox/" TargetMode="External" Id="rId116" /><Relationship Type="http://schemas.openxmlformats.org/officeDocument/2006/relationships/hyperlink" Target="https://nl.linkedin.com/company/monop-greenscreenbox" TargetMode="External" Id="rId117" /><Relationship Type="http://schemas.openxmlformats.org/officeDocument/2006/relationships/hyperlink" Target="https://drive.google.com/uc?export=view&amp;id=15VHYoGIclV0qDYbhqVvkwPtb6PCSybbN" TargetMode="External" Id="rId118" /><Relationship Type="http://schemas.openxmlformats.org/officeDocument/2006/relationships/hyperlink" Target="https://www.bluetea.eu/" TargetMode="External" Id="rId119" /><Relationship Type="http://schemas.openxmlformats.org/officeDocument/2006/relationships/hyperlink" Target="https://www.linkedin.com/company/bluetea" TargetMode="External" Id="rId120" /><Relationship Type="http://schemas.openxmlformats.org/officeDocument/2006/relationships/hyperlink" Target="https://drive.google.com/uc?export=view&amp;id=1rdp8qIMwEmiSJPy8eYMerHQbtg6nXs2u" TargetMode="External" Id="rId121" /><Relationship Type="http://schemas.openxmlformats.org/officeDocument/2006/relationships/hyperlink" Target="https://www.anywyse.nl/" TargetMode="External" Id="rId122" /><Relationship Type="http://schemas.openxmlformats.org/officeDocument/2006/relationships/hyperlink" Target="https://www.bodyscratch.academy/index.html" TargetMode="External" Id="rId123" /><Relationship Type="http://schemas.openxmlformats.org/officeDocument/2006/relationships/hyperlink" Target="https://www.booqio.com/" TargetMode="External" Id="rId124" /><Relationship Type="http://schemas.openxmlformats.org/officeDocument/2006/relationships/hyperlink" Target="https://cma-science.nl/home-2" TargetMode="External" Id="rId125" /><Relationship Type="http://schemas.openxmlformats.org/officeDocument/2006/relationships/hyperlink" Target="https://edutrainers.com/" TargetMode="External" Id="rId126" /><Relationship Type="http://schemas.openxmlformats.org/officeDocument/2006/relationships/hyperlink" Target="http://instagram.com/edutrainersbv/" TargetMode="External" Id="rId127" /><Relationship Type="http://schemas.openxmlformats.org/officeDocument/2006/relationships/hyperlink" Target="https://twitter.com/EdutrainersNL" TargetMode="External" Id="rId128" /><Relationship Type="http://schemas.openxmlformats.org/officeDocument/2006/relationships/hyperlink" Target="https://www.linkedin.com/company/edutrainers/" TargetMode="External" Id="rId129" /><Relationship Type="http://schemas.openxmlformats.org/officeDocument/2006/relationships/hyperlink" Target="https://drive.google.com/uc?export=view&amp;id=1e8jVCYWfoIxgUMSb6NsmNqwTpnMvWc32" TargetMode="External" Id="rId130" /><Relationship Type="http://schemas.openxmlformats.org/officeDocument/2006/relationships/hyperlink" Target="https://www.holofil.com/" TargetMode="External" Id="rId131" /><Relationship Type="http://schemas.openxmlformats.org/officeDocument/2006/relationships/hyperlink" Target="http://www.instagram.com/holofil3d" TargetMode="External" Id="rId132" /><Relationship Type="http://schemas.openxmlformats.org/officeDocument/2006/relationships/hyperlink" Target="http://www.twitter.com/holofil3D" TargetMode="External" Id="rId133" /><Relationship Type="http://schemas.openxmlformats.org/officeDocument/2006/relationships/hyperlink" Target="https://www.linkedin.com/company/holofil/about/" TargetMode="External" Id="rId134" /><Relationship Type="http://schemas.openxmlformats.org/officeDocument/2006/relationships/hyperlink" Target="https://drive.google.com/uc?export=view&amp;id=15sjM993yT_E9xKLYxRUi-1GWoqj-Ovx1" TargetMode="External" Id="rId135" /><Relationship Type="http://schemas.openxmlformats.org/officeDocument/2006/relationships/hyperlink" Target="https://www.komensky.nl/" TargetMode="External" Id="rId136" /><Relationship Type="http://schemas.openxmlformats.org/officeDocument/2006/relationships/hyperlink" Target="https://www.linkedin.com/company/komensky/" TargetMode="External" Id="rId137" /><Relationship Type="http://schemas.openxmlformats.org/officeDocument/2006/relationships/hyperlink" Target="https://drive.google.com/uc?export=view&amp;id=1AhM_ClYPoOOB0uvkGFUfvE9k6xMxyS1M" TargetMode="External" Id="rId138" /><Relationship Type="http://schemas.openxmlformats.org/officeDocument/2006/relationships/hyperlink" Target="https://www.lessonup.com/nl/" TargetMode="External" Id="rId139" /><Relationship Type="http://schemas.openxmlformats.org/officeDocument/2006/relationships/hyperlink" Target="https://www.liveryvideo.com/" TargetMode="External" Id="rId140" /><Relationship Type="http://schemas.openxmlformats.org/officeDocument/2006/relationships/hyperlink" Target="https://www.myndr.nl/" TargetMode="External" Id="rId141" /><Relationship Type="http://schemas.openxmlformats.org/officeDocument/2006/relationships/hyperlink" Target="https://pluvo.co/" TargetMode="External" Id="rId142" /><Relationship Type="http://schemas.openxmlformats.org/officeDocument/2006/relationships/hyperlink" Target="https://www.instagram.com/pluvo.nl/" TargetMode="External" Id="rId143" /><Relationship Type="http://schemas.openxmlformats.org/officeDocument/2006/relationships/hyperlink" Target="https://www.linkedin.com/company/pluvo" TargetMode="External" Id="rId144" /><Relationship Type="http://schemas.openxmlformats.org/officeDocument/2006/relationships/hyperlink" Target="https://drive.google.com/uc?export=view&amp;id=1UwTw09s7ZTNN09abWtWDyeiUx6KR_sOl" TargetMode="External" Id="rId145" /><Relationship Type="http://schemas.openxmlformats.org/officeDocument/2006/relationships/hyperlink" Target="https://rakoo.com/" TargetMode="External" Id="rId146" /><Relationship Type="http://schemas.openxmlformats.org/officeDocument/2006/relationships/hyperlink" Target="https://www.instagram.com/workingatrakoo/" TargetMode="External" Id="rId147" /><Relationship Type="http://schemas.openxmlformats.org/officeDocument/2006/relationships/hyperlink" Target="https://twitter.com/rakoocom" TargetMode="External" Id="rId148" /><Relationship Type="http://schemas.openxmlformats.org/officeDocument/2006/relationships/hyperlink" Target="https://www.linkedin.com/company/rakoo" TargetMode="External" Id="rId149" /><Relationship Type="http://schemas.openxmlformats.org/officeDocument/2006/relationships/hyperlink" Target="https://drive.google.com/uc?export=view&amp;id=1_swJ2f7Of4znvxpsxNXnAK5eTaCGtt7j" TargetMode="External" Id="rId150" /><Relationship Type="http://schemas.openxmlformats.org/officeDocument/2006/relationships/hyperlink" Target="http://revise.ly/" TargetMode="External" Id="rId151" /><Relationship Type="http://schemas.openxmlformats.org/officeDocument/2006/relationships/hyperlink" Target="https://www.linkedin.com/company/revisely" TargetMode="External" Id="rId152" /><Relationship Type="http://schemas.openxmlformats.org/officeDocument/2006/relationships/hyperlink" Target="https://drive.google.com/uc?export=view&amp;id=1qVeM1C7spVg_DT4zpEGi5L8FlVsageFu" TargetMode="External" Id="rId153" /><Relationship Type="http://schemas.openxmlformats.org/officeDocument/2006/relationships/hyperlink" Target="https://wrts.nl/homepage" TargetMode="External" Id="rId154" /><Relationship Type="http://schemas.openxmlformats.org/officeDocument/2006/relationships/hyperlink" Target="http://voordeklas.com/" TargetMode="External" Id="rId155" /><Relationship Type="http://schemas.openxmlformats.org/officeDocument/2006/relationships/hyperlink" Target="https://instagram.com/voordeklas" TargetMode="External" Id="rId156" /><Relationship Type="http://schemas.openxmlformats.org/officeDocument/2006/relationships/hyperlink" Target="https://drive.google.com/uc?export=view&amp;id=1AaEX-1idixIzvDbxGQPjUqQjkwM0IykB" TargetMode="External" Id="rId157" /><Relationship Type="http://schemas.openxmlformats.org/officeDocument/2006/relationships/hyperlink" Target="https://vrnederland.nl/" TargetMode="External" Id="rId158" /><Relationship Type="http://schemas.openxmlformats.org/officeDocument/2006/relationships/hyperlink" Target="https://youngcoders.nl/" TargetMode="External" Id="rId159" /><Relationship Type="http://schemas.openxmlformats.org/officeDocument/2006/relationships/hyperlink" Target="https://www.linkedin.com/company/youngcoders" TargetMode="External" Id="rId160" /><Relationship Type="http://schemas.openxmlformats.org/officeDocument/2006/relationships/hyperlink" Target="https://drive.google.com/uc?export=view&amp;id=19Te_Ug2MjPmWAFGQfKj9uADqhSxc0zp4" TargetMode="External" Id="rId161" /><Relationship Type="http://schemas.openxmlformats.org/officeDocument/2006/relationships/hyperlink" Target="https://linguverse.com/" TargetMode="External" Id="rId162" /><Relationship Type="http://schemas.openxmlformats.org/officeDocument/2006/relationships/hyperlink" Target="https://www.instagram.com/mangododigital/" TargetMode="External" Id="rId163" /><Relationship Type="http://schemas.openxmlformats.org/officeDocument/2006/relationships/hyperlink" Target="https://www.linkedin.com/company/mangodo-digital/" TargetMode="External" Id="rId164" /><Relationship Type="http://schemas.openxmlformats.org/officeDocument/2006/relationships/hyperlink" Target="https://drive.google.com/uc?export=view&amp;id=1nSoDNznA0GLdKwtsnEgt2NEwFe3x2zkI" TargetMode="External" Id="rId165" /><Relationship Type="http://schemas.openxmlformats.org/officeDocument/2006/relationships/hyperlink" Target="http://www.chatlicense.com/" TargetMode="External" Id="rId166" /><Relationship Type="http://schemas.openxmlformats.org/officeDocument/2006/relationships/hyperlink" Target="https://www.instagram.com/chatlicense" TargetMode="External" Id="rId167" /><Relationship Type="http://schemas.openxmlformats.org/officeDocument/2006/relationships/hyperlink" Target="https://www.linkedin.com/company/chatlicense/" TargetMode="External" Id="rId168" /><Relationship Type="http://schemas.openxmlformats.org/officeDocument/2006/relationships/hyperlink" Target="https://sparkon.org/" TargetMode="External" Id="rId169" /><Relationship Type="http://schemas.openxmlformats.org/officeDocument/2006/relationships/hyperlink" Target="https://www.instagram.com/sparkon_org/" TargetMode="External" Id="rId170" /><Relationship Type="http://schemas.openxmlformats.org/officeDocument/2006/relationships/hyperlink" Target="https://twitter.com/SparkOn_org" TargetMode="External" Id="rId171" /><Relationship Type="http://schemas.openxmlformats.org/officeDocument/2006/relationships/hyperlink" Target="https://www.linkedin.com/company/spark-on" TargetMode="External" Id="rId172" /><Relationship Type="http://schemas.openxmlformats.org/officeDocument/2006/relationships/hyperlink" Target="http://www.kurve.nl/" TargetMode="External" Id="rId173" /><Relationship Type="http://schemas.openxmlformats.org/officeDocument/2006/relationships/hyperlink" Target="https://www.instagram.com/kurve.nl/" TargetMode="External" Id="rId174" /><Relationship Type="http://schemas.openxmlformats.org/officeDocument/2006/relationships/hyperlink" Target="https://www.linkedin.com/search/results/all/?fetchDeterministicClustersOnly=true&amp;heroEntityKey=urn%3Ali%3Aorganization%3A3090886&amp;keywords=kurve&amp;origin=RICH_QUERY_TYPEAHEAD_HISTORY&amp;position=0&amp;searchId=4f2d41e7-f5e2-453c-bcb3-c6e12091e03a&amp;sid=iZd&amp;spellCorrectionEnabled=true" TargetMode="External" Id="rId175" /><Relationship Type="http://schemas.openxmlformats.org/officeDocument/2006/relationships/hyperlink" Target="http://www.mysoly.nl/" TargetMode="External" Id="rId176" /><Relationship Type="http://schemas.openxmlformats.org/officeDocument/2006/relationships/hyperlink" Target="https://www.linkedin.com/company/82955558/admin/feed/posts/" TargetMode="External" Id="rId177" /><Relationship Type="http://schemas.openxmlformats.org/officeDocument/2006/relationships/hyperlink" Target="https://drive.google.com/uc?export=view&amp;id=1eHc5zzooktsrLRbpT-9KtldOoIjnun6g" TargetMode="External" Id="rId178" /><Relationship Type="http://schemas.openxmlformats.org/officeDocument/2006/relationships/hyperlink" Target="http://blockbook.nl/" TargetMode="External" Id="rId179" /><Relationship Type="http://schemas.openxmlformats.org/officeDocument/2006/relationships/hyperlink" Target="https://www.linkedin.com/company/98543805/" TargetMode="External" Id="rId180" /><Relationship Type="http://schemas.openxmlformats.org/officeDocument/2006/relationships/hyperlink" Target="http://www.psyphy.io/" TargetMode="External" Id="rId181" /><Relationship Type="http://schemas.openxmlformats.org/officeDocument/2006/relationships/hyperlink" Target="https://www.linkedin.com/company/psyphyamsterdam/" TargetMode="External" Id="rId182" /><Relationship Type="http://schemas.openxmlformats.org/officeDocument/2006/relationships/hyperlink" Target="https://drive.google.com/uc?export=view&amp;id=1VQjEWqy3hX5HdvlDLdcJaIjth0LTaKTS" TargetMode="External" Id="rId183" /><Relationship Type="http://schemas.openxmlformats.org/officeDocument/2006/relationships/hyperlink" Target="https://www.atermon.nl/" TargetMode="External" Id="rId184" /><Relationship Type="http://schemas.openxmlformats.org/officeDocument/2006/relationships/hyperlink" Target="https://www.linkedin.com/company/atermon-rotterdam" TargetMode="External" Id="rId185" /><Relationship Type="http://schemas.openxmlformats.org/officeDocument/2006/relationships/hyperlink" Target="http://www.blueskills.nl/" TargetMode="External" Id="rId186" /><Relationship Type="http://schemas.openxmlformats.org/officeDocument/2006/relationships/hyperlink" Target="https://www.google.com/url?sa=t&amp;rct=j&amp;q=&amp;esrc=s&amp;source=web&amp;cd=&amp;cad=rja&amp;uact=8&amp;ved=2ahUKEwiJnL2ShImBAxUTrKQKHS17CkMQFnoECBYQAQ&amp;url=https%3A%2F%2Fwww.instagram.com%2Fblueskillsnederland%2F&amp;usg=AOvVaw3OCHsS8CbdyCa7rKlrnX6b&amp;opi=89978449" TargetMode="External" Id="rId187" /><Relationship Type="http://schemas.openxmlformats.org/officeDocument/2006/relationships/hyperlink" Target="https://www.google.com/url?sa=t&amp;rct=j&amp;q=&amp;esrc=s&amp;source=web&amp;cd=&amp;cad=rja&amp;uact=8&amp;ved=2ahUKEwjx_o6IhImBAxUWxQIHHd27A-IQFnoECA0QAQ&amp;url=https%3A%2F%2Fnl.linkedin.com%2Fcompany%2Fblueskills&amp;usg=AOvVaw0fgBQky32Abs-DLGP8oGEV&amp;opi=89978449" TargetMode="External" Id="rId188" /><Relationship Type="http://schemas.openxmlformats.org/officeDocument/2006/relationships/hyperlink" Target="https://avetica.nl/" TargetMode="External" Id="rId189" /><Relationship Type="http://schemas.openxmlformats.org/officeDocument/2006/relationships/hyperlink" Target="https://drive.google.com/uc?export=view&amp;id=1e-Ep0bWYs2lPGR4xKiPT9HqvutJayA8o" TargetMode="External" Id="rId190" /><Relationship Type="http://schemas.openxmlformats.org/officeDocument/2006/relationships/hyperlink" Target="https://getsourcer.com/" TargetMode="External" Id="rId191" /><Relationship Type="http://schemas.openxmlformats.org/officeDocument/2006/relationships/hyperlink" Target="https://www.linkedin.com/company/getsourcer" TargetMode="External" Id="rId192" /><Relationship Type="http://schemas.openxmlformats.org/officeDocument/2006/relationships/hyperlink" Target="https://drive.google.com/uc?export=view&amp;id=1TlwrCKAKn1Iwb5U1q9tav-XBPir2n1VS" TargetMode="External" Id="rId193" /><Relationship Type="http://schemas.openxmlformats.org/officeDocument/2006/relationships/hyperlink" Target="https://chunkx.net/" TargetMode="External" Id="rId194" /><Relationship Type="http://schemas.openxmlformats.org/officeDocument/2006/relationships/hyperlink" Target="https://www.databooster.io/" TargetMode="External" Id="rId195" /><Relationship Type="http://schemas.openxmlformats.org/officeDocument/2006/relationships/hyperlink" Target="https://www.linkedin.com/company/data-booster" TargetMode="External" Id="rId196" /><Relationship Type="http://schemas.openxmlformats.org/officeDocument/2006/relationships/hyperlink" Target="http://scorionportfolio.com/" TargetMode="External" Id="rId197" /><Relationship Type="http://schemas.openxmlformats.org/officeDocument/2006/relationships/hyperlink" Target="https://www.linkedin.com/showcase/scorion-nederland/" TargetMode="External" Id="rId198" /><Relationship Type="http://schemas.openxmlformats.org/officeDocument/2006/relationships/hyperlink" Target="https://onlinekidsacademy.org/" TargetMode="External" Id="rId199" /><Relationship Type="http://schemas.openxmlformats.org/officeDocument/2006/relationships/hyperlink" Target="https://www.linkedin.com/company/skillstown/" TargetMode="External" Id="rId200" /><Relationship Type="http://schemas.openxmlformats.org/officeDocument/2006/relationships/hyperlink" Target="https://drive.google.com/uc?export=view&amp;id=1cdFaS1LdnPlz1j8V6gV_2FYEhjsSetf1" TargetMode="External" Id="rId201" /><Relationship Type="http://schemas.openxmlformats.org/officeDocument/2006/relationships/hyperlink" Target="https://didactech.nl/" TargetMode="External" Id="rId202" /><Relationship Type="http://schemas.openxmlformats.org/officeDocument/2006/relationships/hyperlink" Target="https://www.linkedin.com/company/didactechnl/" TargetMode="External" Id="rId203" /><Relationship Type="http://schemas.openxmlformats.org/officeDocument/2006/relationships/hyperlink" Target="https://drive.google.com/uc?export=view&amp;id=18wr-j_HvN8uM6ZF_ZIQqDsRM3wwulr6J" TargetMode="External" Id="rId204" /><Relationship Type="http://schemas.openxmlformats.org/officeDocument/2006/relationships/hyperlink" Target="http://www.findmyprogramme.com/" TargetMode="External" Id="rId205" /><Relationship Type="http://schemas.openxmlformats.org/officeDocument/2006/relationships/hyperlink" Target="https://www.writefull.com/" TargetMode="External" Id="rId206" /><Relationship Type="http://schemas.openxmlformats.org/officeDocument/2006/relationships/hyperlink" Target="https://www.quarterfall.com/" TargetMode="External" Id="rId207" /><Relationship Type="http://schemas.openxmlformats.org/officeDocument/2006/relationships/hyperlink" Target="https://www.linkedin.com/company/quarterfall" TargetMode="External" Id="rId208" /><Relationship Type="http://schemas.openxmlformats.org/officeDocument/2006/relationships/hyperlink" Target="https://codetochange.org/" TargetMode="External" Id="rId209" /><Relationship Type="http://schemas.openxmlformats.org/officeDocument/2006/relationships/hyperlink" Target="https://drive.google.com/uc?export=view&amp;id=1XB6mtDEvoe3lFMcxEqYI8IXVFljm5bRD" TargetMode="External" Id="rId210" /><Relationship Type="http://schemas.openxmlformats.org/officeDocument/2006/relationships/hyperlink" Target="https://www.readyeducation.com/" TargetMode="External" Id="rId211" /><Relationship Type="http://schemas.openxmlformats.org/officeDocument/2006/relationships/hyperlink" Target="https://twitter.com/ReadyEducation" TargetMode="External" Id="rId212" /><Relationship Type="http://schemas.openxmlformats.org/officeDocument/2006/relationships/hyperlink" Target="https://www.linkedin.com/company/ready-education" TargetMode="External" Id="rId213" /><Relationship Type="http://schemas.openxmlformats.org/officeDocument/2006/relationships/hyperlink" Target="https://drive.google.com/uc?export=view&amp;id=1k9DzdXfLWVxVMZOIGMd2FQKY3MxSLEvu" TargetMode="External" Id="rId214" /><Relationship Type="http://schemas.openxmlformats.org/officeDocument/2006/relationships/hyperlink" Target="https://www.etsglobal.org/" TargetMode="External" Id="rId215" /><Relationship Type="http://schemas.openxmlformats.org/officeDocument/2006/relationships/hyperlink" Target="https://twitter.com/ETSGlobal" TargetMode="External" Id="rId216" /><Relationship Type="http://schemas.openxmlformats.org/officeDocument/2006/relationships/hyperlink" Target="https://fr.linkedin.com/company/ets-global" TargetMode="External" Id="rId217" /><Relationship Type="http://schemas.openxmlformats.org/officeDocument/2006/relationships/hyperlink" Target="https://drive.google.com/uc?export=view&amp;id=18GM1R_idr4ybNaNOmn5WWE6jKVrKgi6-" TargetMode="External" Id="rId218" /><Relationship Type="http://schemas.openxmlformats.org/officeDocument/2006/relationships/hyperlink" Target="http://www.learningtour.nl/" TargetMode="External" Id="rId219" /><Relationship Type="http://schemas.openxmlformats.org/officeDocument/2006/relationships/hyperlink" Target="https://www.linkedin.com/company/learningtour" TargetMode="External" Id="rId220" /><Relationship Type="http://schemas.openxmlformats.org/officeDocument/2006/relationships/hyperlink" Target="https://studyflow.nl/" TargetMode="External" Id="rId221" /><Relationship Type="http://schemas.openxmlformats.org/officeDocument/2006/relationships/hyperlink" Target="http://www.tinqwise.com/" TargetMode="External" Id="rId222" /><Relationship Type="http://schemas.openxmlformats.org/officeDocument/2006/relationships/hyperlink" Target="http://www.drieam.com/" TargetMode="External" Id="rId223" /><Relationship Type="http://schemas.openxmlformats.org/officeDocument/2006/relationships/hyperlink" Target="https://twitter.com/drieamon?lang=de" TargetMode="External" Id="rId224" /><Relationship Type="http://schemas.openxmlformats.org/officeDocument/2006/relationships/hyperlink" Target="https://www.linkedin.com/company/drieam/" TargetMode="External" Id="rId225" /><Relationship Type="http://schemas.openxmlformats.org/officeDocument/2006/relationships/hyperlink" Target="https://drive.google.com/uc?export=view&amp;id=1URlK7vfUsHHbd1O0v7mNpTkAKtCIdyru" TargetMode="External" Id="rId226" /><Relationship Type="http://schemas.openxmlformats.org/officeDocument/2006/relationships/hyperlink" Target="http://www.prowise.com/" TargetMode="External" Id="rId227" /><Relationship Type="http://schemas.openxmlformats.org/officeDocument/2006/relationships/hyperlink" Target="http://www.faculty.nl/" TargetMode="External" Id="rId228" /><Relationship Type="http://schemas.openxmlformats.org/officeDocument/2006/relationships/hyperlink" Target="https://isavelives.nl/" TargetMode="External" Id="rId229" /><Relationship Type="http://schemas.openxmlformats.org/officeDocument/2006/relationships/hyperlink" Target="http://www.skillsuptraining.org/" TargetMode="External" Id="rId230" /><Relationship Type="http://schemas.openxmlformats.org/officeDocument/2006/relationships/hyperlink" Target="https://www.finalist.nl/" TargetMode="External" Id="rId231" /><Relationship Type="http://schemas.openxmlformats.org/officeDocument/2006/relationships/hyperlink" Target="http://www.learntoquest.com/" TargetMode="External" Id="rId232" /><Relationship Type="http://schemas.openxmlformats.org/officeDocument/2006/relationships/hyperlink" Target="https://drive.google.com/uc?export=view&amp;id=17pHTlMvva_nCNSL_GJLYAk_xARH35Sq3" TargetMode="External" Id="rId233" /><Relationship Type="http://schemas.openxmlformats.org/officeDocument/2006/relationships/hyperlink" Target="https://thebdschool.com/" TargetMode="External" Id="rId234" /><Relationship Type="http://schemas.openxmlformats.org/officeDocument/2006/relationships/hyperlink" Target="https://drive.google.com/uc?export=view&amp;id=1XNCmVxaYzYxjStJilI5ChnclHzKKN3EB" TargetMode="External" Id="rId235" /><Relationship Type="http://schemas.openxmlformats.org/officeDocument/2006/relationships/hyperlink" Target="http://www.uni-life.nl/" TargetMode="External" Id="rId236" /><Relationship Type="http://schemas.openxmlformats.org/officeDocument/2006/relationships/hyperlink" Target="https://www.instagram.com/uni_life.nl/" TargetMode="External" Id="rId237" /><Relationship Type="http://schemas.openxmlformats.org/officeDocument/2006/relationships/hyperlink" Target="https://www.linkedin.com/company/uni-life/" TargetMode="External" Id="rId238" /><Relationship Type="http://schemas.openxmlformats.org/officeDocument/2006/relationships/hyperlink" Target="http://www.growthtribe.io/" TargetMode="External" Id="rId239" /><Relationship Type="http://schemas.openxmlformats.org/officeDocument/2006/relationships/hyperlink" Target="https://www.instagram.com/growthtribe/" TargetMode="External" Id="rId240" /><Relationship Type="http://schemas.openxmlformats.org/officeDocument/2006/relationships/hyperlink" Target="https://twitter.com/GrowthTribe" TargetMode="External" Id="rId241" /><Relationship Type="http://schemas.openxmlformats.org/officeDocument/2006/relationships/hyperlink" Target="https://www.linkedin.com/school/growth-tribe/" TargetMode="External" Id="rId242" /><Relationship Type="http://schemas.openxmlformats.org/officeDocument/2006/relationships/hyperlink" Target="https://tmi.one/" TargetMode="External" Id="rId243" /><Relationship Type="http://schemas.openxmlformats.org/officeDocument/2006/relationships/hyperlink" Target="https://drive.google.com/uc?export=view&amp;id=1BHvXFoqdrxRE5cXcrIvrmj0yJfnXUOnS" TargetMode="External" Id="rId244" /><Relationship Type="http://schemas.openxmlformats.org/officeDocument/2006/relationships/hyperlink" Target="http://www.kimo.ai/" TargetMode="External" Id="rId245" /><Relationship Type="http://schemas.openxmlformats.org/officeDocument/2006/relationships/hyperlink" Target="https://drive.google.com/uc?export=view&amp;id=1LSdf7QVbmsgCzmd_1ghdPq_3zHy7OvJj" TargetMode="External" Id="rId246" /><Relationship Type="http://schemas.openxmlformats.org/officeDocument/2006/relationships/hyperlink" Target="https://www.instagram.com/coolcloudwise/" TargetMode="External" Id="rId247" /><Relationship Type="http://schemas.openxmlformats.org/officeDocument/2006/relationships/hyperlink" Target="https://www.linkedin.com/company/64560789/admin/" TargetMode="External" Id="rId248" /><Relationship Type="http://schemas.openxmlformats.org/officeDocument/2006/relationships/hyperlink" Target="https://drive.google.com/uc?export=view&amp;id=1ILaxrDs73EMaq1bq33tkHKLoTmggcbD6" TargetMode="External" Id="rId249" /><Relationship Type="http://schemas.openxmlformats.org/officeDocument/2006/relationships/hyperlink" Target="https://grasple.com/" TargetMode="External" Id="rId250" /><Relationship Type="http://schemas.openxmlformats.org/officeDocument/2006/relationships/hyperlink" Target="https://twitter.com/opengrasple" TargetMode="External" Id="rId251" /><Relationship Type="http://schemas.openxmlformats.org/officeDocument/2006/relationships/hyperlink" Target="https://www.linkedin.com/company/grasple" TargetMode="External" Id="rId252" /><Relationship Type="http://schemas.openxmlformats.org/officeDocument/2006/relationships/hyperlink" Target="https://drive.google.com/uc?export=view&amp;id=1_2E3wxPy5209rebyhDsriyK04iQMt25u" TargetMode="External" Id="rId253" /><Relationship Type="http://schemas.openxmlformats.org/officeDocument/2006/relationships/hyperlink" Target="http://www.simulise.com/" TargetMode="External" Id="rId254" /><Relationship Type="http://schemas.openxmlformats.org/officeDocument/2006/relationships/hyperlink" Target="https://drive.google.com/uc?export=view&amp;id=1J4kX3JLkCh0qXuXQOJjHVQtUJM_52sBc" TargetMode="External" Id="rId255" /><Relationship Type="http://schemas.openxmlformats.org/officeDocument/2006/relationships/hyperlink" Target="https://cirrusassessment.com/" TargetMode="External" Id="rId256" /><Relationship Type="http://schemas.openxmlformats.org/officeDocument/2006/relationships/hyperlink" Target="http://nickvanbreda.com/hackathon" TargetMode="External" Id="rId257" /><Relationship Type="http://schemas.openxmlformats.org/officeDocument/2006/relationships/hyperlink" Target="about:blank" TargetMode="External" Id="rId258" /><Relationship Type="http://schemas.openxmlformats.org/officeDocument/2006/relationships/hyperlink" Target="about:blank" TargetMode="External" Id="rId259" /><Relationship Type="http://schemas.openxmlformats.org/officeDocument/2006/relationships/hyperlink" Target="http://linkedin.com/in/nickvanbreda" TargetMode="External" Id="rId260" /><Relationship Type="http://schemas.openxmlformats.org/officeDocument/2006/relationships/hyperlink" Target="https://drive.google.com/uc?export=view&amp;id=1F_tT22xEBdjbuGobmzrCx_N0cMwq00WA" TargetMode="External" Id="rId261" /><Relationship Type="http://schemas.openxmlformats.org/officeDocument/2006/relationships/hyperlink" Target="https://infowijs.nl/" TargetMode="External" Id="rId262" /><Relationship Type="http://schemas.openxmlformats.org/officeDocument/2006/relationships/hyperlink" Target="https://www.instagram.com/infowijs/" TargetMode="External" Id="rId263" /><Relationship Type="http://schemas.openxmlformats.org/officeDocument/2006/relationships/hyperlink" Target="https://twitter.com/infowijs" TargetMode="External" Id="rId264" /><Relationship Type="http://schemas.openxmlformats.org/officeDocument/2006/relationships/hyperlink" Target="https://www.linkedin.com/company/infowijs/" TargetMode="External" Id="rId265" /><Relationship Type="http://schemas.openxmlformats.org/officeDocument/2006/relationships/hyperlink" Target="https://drive.google.com/uc?export=view&amp;id=1m5Bs1wsPDh0x7EcBY6ui5IMpci7HCtup" TargetMode="External" Id="rId266" /><Relationship Type="http://schemas.openxmlformats.org/officeDocument/2006/relationships/hyperlink" Target="http://leerzelfonline.nl/" TargetMode="External" Id="rId267" /><Relationship Type="http://schemas.openxmlformats.org/officeDocument/2006/relationships/hyperlink" Target="https://www.instagram.com/steffiehelpt/" TargetMode="External" Id="rId268" /><Relationship Type="http://schemas.openxmlformats.org/officeDocument/2006/relationships/hyperlink" Target="https://twitter.com/leerzelfonline" TargetMode="External" Id="rId269" /><Relationship Type="http://schemas.openxmlformats.org/officeDocument/2006/relationships/hyperlink" Target="https://www.linkedin.com/company/10372565/admin/" TargetMode="External" Id="rId270" /><Relationship Type="http://schemas.openxmlformats.org/officeDocument/2006/relationships/hyperlink" Target="https://drive.google.com/uc?export=view&amp;id=1RxrE5GT7RhcQ1NwkZ07Xw87w3UNG7oW1" TargetMode="External" Id="rId271" /><Relationship Type="http://schemas.openxmlformats.org/officeDocument/2006/relationships/hyperlink" Target="https://www.linkedin.com/company/scorecardsuite/" TargetMode="External" Id="rId272" /><Relationship Type="http://schemas.openxmlformats.org/officeDocument/2006/relationships/hyperlink" Target="https://drive.google.com/uc?export=view&amp;id=1oPtTBVD5cK6ckhfn0thL0h55f76ohqPs" TargetMode="External" Id="rId273" /><Relationship Type="http://schemas.openxmlformats.org/officeDocument/2006/relationships/hyperlink" Target="https://sowiso.nl/en/" TargetMode="External" Id="rId274" /><Relationship Type="http://schemas.openxmlformats.org/officeDocument/2006/relationships/hyperlink" Target="https://twitter.com/sowisobv" TargetMode="External" Id="rId275" /><Relationship Type="http://schemas.openxmlformats.org/officeDocument/2006/relationships/hyperlink" Target="https://www.linkedin.com/company/sowiso/" TargetMode="External" Id="rId276" /><Relationship Type="http://schemas.openxmlformats.org/officeDocument/2006/relationships/hyperlink" Target="https://drive.google.com/uc?export=view&amp;id=126DlVncFDmXSQhjYEGvK3Zq6UkeN4RQI" TargetMode="External" Id="rId277" /><Relationship Type="http://schemas.openxmlformats.org/officeDocument/2006/relationships/hyperlink" Target="https://www.5miles.nl/" TargetMode="External" Id="rId278" /><Relationship Type="http://schemas.openxmlformats.org/officeDocument/2006/relationships/hyperlink" Target="https://www.instagram.com/5mileshq/" TargetMode="External" Id="rId279" /><Relationship Type="http://schemas.openxmlformats.org/officeDocument/2006/relationships/hyperlink" Target="https://twitter.com/5milesHQ/" TargetMode="External" Id="rId280" /><Relationship Type="http://schemas.openxmlformats.org/officeDocument/2006/relationships/hyperlink" Target="https://www.linkedin.com/company/5miles/" TargetMode="External" Id="rId281" /><Relationship Type="http://schemas.openxmlformats.org/officeDocument/2006/relationships/hyperlink" Target="https://flowley.nl/" TargetMode="External" Id="rId282" /><Relationship Type="http://schemas.openxmlformats.org/officeDocument/2006/relationships/hyperlink" Target="https://www.linkedin.com/company/flowley/" TargetMode="External" Id="rId283" /><Relationship Type="http://schemas.openxmlformats.org/officeDocument/2006/relationships/hyperlink" Target="http://www.reducate.com/" TargetMode="External" Id="rId284" /><Relationship Type="http://schemas.openxmlformats.org/officeDocument/2006/relationships/hyperlink" Target="https://www.linkedin.com/company/reducate/" TargetMode="External" Id="rId285" /><Relationship Type="http://schemas.openxmlformats.org/officeDocument/2006/relationships/hyperlink" Target="https://drive.google.com/uc?export=view&amp;id=1zYaJfbhr60-aCi9Zs1aJsMrklPRgE_BG" TargetMode="External" Id="rId286" /><Relationship Type="http://schemas.openxmlformats.org/officeDocument/2006/relationships/hyperlink" Target="https://www.mrchadd.nl/" TargetMode="External" Id="rId287" /><Relationship Type="http://schemas.openxmlformats.org/officeDocument/2006/relationships/hyperlink" Target="http://myeducation.company/" TargetMode="External" Id="rId288" /><Relationship Type="http://schemas.openxmlformats.org/officeDocument/2006/relationships/hyperlink" Target="http://www.e-wise.com/" TargetMode="External" Id="rId289" /><Relationship Type="http://schemas.openxmlformats.org/officeDocument/2006/relationships/hyperlink" Target="https://www.linkedin.com/company/100983/admin/feed/posts/" TargetMode="External" Id="rId290" /><Relationship Type="http://schemas.openxmlformats.org/officeDocument/2006/relationships/hyperlink" Target="https://drive.google.com/uc?export=view&amp;id=1qKSB9-Nc-RyQu42y_rfYmz57JcgDQ3Lr" TargetMode="External" Id="rId291" /><Relationship Type="http://schemas.openxmlformats.org/officeDocument/2006/relationships/hyperlink" Target="https://www.edumundo.com/home" TargetMode="External" Id="rId292" /><Relationship Type="http://schemas.openxmlformats.org/officeDocument/2006/relationships/hyperlink" Target="https://www.nxus.eu/" TargetMode="External" Id="rId293" /><Relationship Type="http://schemas.openxmlformats.org/officeDocument/2006/relationships/hyperlink" Target="https://www.linkedin.com/company/archipel-academy/" TargetMode="External" Id="rId294" /><Relationship Type="http://schemas.openxmlformats.org/officeDocument/2006/relationships/hyperlink" Target="https://drive.google.com/uc?export=view&amp;id=1jTPXcAwTZj6mGTcn-3xdeT67Ydw8hoWY" TargetMode="External" Id="rId295" /><Relationship Type="http://schemas.openxmlformats.org/officeDocument/2006/relationships/hyperlink" Target="https://geintegreerd-onderwijs.nl/" TargetMode="External" Id="rId296" /><Relationship Type="http://schemas.openxmlformats.org/officeDocument/2006/relationships/hyperlink" Target="https://www.instagram.com/leerplatformgo/" TargetMode="External" Id="rId297" /><Relationship Type="http://schemas.openxmlformats.org/officeDocument/2006/relationships/hyperlink" Target="https://www.linkedin.com/company/leerplatformgo/" TargetMode="External" Id="rId298" /><Relationship Type="http://schemas.openxmlformats.org/officeDocument/2006/relationships/hyperlink" Target="https://drive.google.com/uc?export=view&amp;id=1cuYVQNevOuFIuEqiuDkSDdEMYoOf0zr3" TargetMode="External" Id="rId299" /><Relationship Type="http://schemas.openxmlformats.org/officeDocument/2006/relationships/hyperlink" Target="https://www.symbaloo.com/" TargetMode="External" Id="rId300" /><Relationship Type="http://schemas.openxmlformats.org/officeDocument/2006/relationships/hyperlink" Target="https://drive.google.com/uc?export=view&amp;id=1eE--0NXX_cPLmxzHsOLWML-hxE2qYwjt" TargetMode="External" Id="rId301" /><Relationship Type="http://schemas.openxmlformats.org/officeDocument/2006/relationships/hyperlink" Target="http://www.deeploai.com/" TargetMode="External" Id="rId302" /><Relationship Type="http://schemas.openxmlformats.org/officeDocument/2006/relationships/hyperlink" Target="https://www.linkedin.com/company/deeplo-ai/" TargetMode="External" Id="rId303" /><Relationship Type="http://schemas.openxmlformats.org/officeDocument/2006/relationships/hyperlink" Target="http://www.splashtop.com/" TargetMode="External" Id="rId304" /><Relationship Type="http://schemas.openxmlformats.org/officeDocument/2006/relationships/hyperlink" Target="https://drive.google.com/uc?export=view&amp;id=1sjcwwsCR2fLzzwarvVIassgWUQGLBd72" TargetMode="External" Id="rId305" /><Relationship Type="http://schemas.openxmlformats.org/officeDocument/2006/relationships/hyperlink" Target="http://www.civinc.co/" TargetMode="External" Id="rId306" /><Relationship Type="http://schemas.openxmlformats.org/officeDocument/2006/relationships/hyperlink" Target="https://www.linkedin.com/company/civinc" TargetMode="External" Id="rId307" /><Relationship Type="http://schemas.openxmlformats.org/officeDocument/2006/relationships/hyperlink" Target="http://www.itorium.org/" TargetMode="External" Id="rId308" /><Relationship Type="http://schemas.openxmlformats.org/officeDocument/2006/relationships/hyperlink" Target="https://www.linkedin.com/company/itorium/" TargetMode="External" Id="rId309" /><Relationship Type="http://schemas.openxmlformats.org/officeDocument/2006/relationships/hyperlink" Target="https://drive.google.com/uc?export=view&amp;id=172KbpIJyhObW9VNZCgHSi2J8l5LiNMx6" TargetMode="External" Id="rId310" /><Relationship Type="http://schemas.openxmlformats.org/officeDocument/2006/relationships/hyperlink" Target="https://www.relevancelearning.com/" TargetMode="External" Id="rId311" /><Relationship Type="http://schemas.openxmlformats.org/officeDocument/2006/relationships/hyperlink" Target="https://www.linkedin.com/company/relevance-learning/" TargetMode="External" Id="rId312" /><Relationship Type="http://schemas.openxmlformats.org/officeDocument/2006/relationships/hyperlink" Target="https://drive.google.com/uc?export=view&amp;id=1mbyM4wNtVWoaxfdrBEuYlchV3r4-AZvE" TargetMode="External" Id="rId313" /><Relationship Type="http://schemas.openxmlformats.org/officeDocument/2006/relationships/hyperlink" Target="http://www.societycollege.nl/" TargetMode="External" Id="rId314" /><Relationship Type="http://schemas.openxmlformats.org/officeDocument/2006/relationships/hyperlink" Target="https://nl.linkedin.com/company/society-college" TargetMode="External" Id="rId315" /><Relationship Type="http://schemas.openxmlformats.org/officeDocument/2006/relationships/hyperlink" Target="https://drive.google.com/uc?export=view&amp;id=1JVjRBSyCS61RMCCu8cRo_OUozBmoPII-" TargetMode="External" Id="rId316" /><Relationship Type="http://schemas.openxmlformats.org/officeDocument/2006/relationships/hyperlink" Target="https://codegrade.com/" TargetMode="External" Id="rId317" /><Relationship Type="http://schemas.openxmlformats.org/officeDocument/2006/relationships/hyperlink" Target="https://twitter.com/CodeGradeCom" TargetMode="External" Id="rId318" /><Relationship Type="http://schemas.openxmlformats.org/officeDocument/2006/relationships/hyperlink" Target="https://www.linkedin.com/company/codegrade/" TargetMode="External" Id="rId319" /><Relationship Type="http://schemas.openxmlformats.org/officeDocument/2006/relationships/hyperlink" Target="https://www.paragin.com/" TargetMode="External" Id="rId320" /><Relationship Type="http://schemas.openxmlformats.org/officeDocument/2006/relationships/hyperlink" Target="https://nl.linkedin.com/company/paragin" TargetMode="External" Id="rId321" /><Relationship Type="http://schemas.openxmlformats.org/officeDocument/2006/relationships/hyperlink" Target="https://drive.google.com/uc?export=view&amp;id=1qddC_-Ncj4F8miS5vBoVknxYiN2ChOlR" TargetMode="External" Id="rId322" /><Relationship Type="http://schemas.openxmlformats.org/officeDocument/2006/relationships/hyperlink" Target="http://buku.io/" TargetMode="External" Id="rId323" /><Relationship Type="http://schemas.openxmlformats.org/officeDocument/2006/relationships/hyperlink" Target="https://www.linkedin.com/company/buku-world/mycompany/" TargetMode="External" Id="rId324" /><Relationship Type="http://schemas.openxmlformats.org/officeDocument/2006/relationships/hyperlink" Target="https://studyportals.com/" TargetMode="External" Id="rId325" /><Relationship Type="http://schemas.openxmlformats.org/officeDocument/2006/relationships/hyperlink" Target="https://www.linkedin.com/company/studyportals" TargetMode="External" Id="rId326" /><Relationship Type="http://schemas.openxmlformats.org/officeDocument/2006/relationships/hyperlink" Target="https://drive.google.com/uc?export=view&amp;id=10XymHp0LQLleQBefZZeP6AtwAPBT847V" TargetMode="External" Id="rId327" /><Relationship Type="http://schemas.openxmlformats.org/officeDocument/2006/relationships/hyperlink" Target="https://bijlesaanhuis.nl/" TargetMode="External" Id="rId328" /><Relationship Type="http://schemas.openxmlformats.org/officeDocument/2006/relationships/hyperlink" Target="https://www.linkedin.com/company/29026232/" TargetMode="External" Id="rId329" /><Relationship Type="http://schemas.openxmlformats.org/officeDocument/2006/relationships/hyperlink" Target="https://drive.google.com/uc?export=view&amp;id=1Vef0A8emCDpb6iSeE-9zlmGhiDdTP-t1" TargetMode="External" Id="rId330" /><Relationship Type="http://schemas.openxmlformats.org/officeDocument/2006/relationships/hyperlink" Target="https://academicrouteplanner.com/" TargetMode="External" Id="rId331" /><Relationship Type="http://schemas.openxmlformats.org/officeDocument/2006/relationships/hyperlink" Target="http://www.dialoguetrainer.com/" TargetMode="External" Id="rId332" /><Relationship Type="http://schemas.openxmlformats.org/officeDocument/2006/relationships/hyperlink" Target="http://www.edu-suite.com/" TargetMode="External" Id="rId333" /><Relationship Type="http://schemas.openxmlformats.org/officeDocument/2006/relationships/hyperlink" Target="https://www.instagram.com/edu_suite_/" TargetMode="External" Id="rId334" /><Relationship Type="http://schemas.openxmlformats.org/officeDocument/2006/relationships/hyperlink" Target="https://www.linkedin.com/company/edu-suite/?viewAsMember=true" TargetMode="External" Id="rId335" /><Relationship Type="http://schemas.openxmlformats.org/officeDocument/2006/relationships/hyperlink" Target="https://enlighted.app/" TargetMode="External" Id="rId336" /><Relationship Type="http://schemas.openxmlformats.org/officeDocument/2006/relationships/hyperlink" Target="https://feedbackfruits.com/" TargetMode="External" Id="rId337" /><Relationship Type="http://schemas.openxmlformats.org/officeDocument/2006/relationships/hyperlink" Target="https://www.instagram.com/feedbackfruits" TargetMode="External" Id="rId338" /><Relationship Type="http://schemas.openxmlformats.org/officeDocument/2006/relationships/hyperlink" Target="https://www.twitter.com/feedbackfruits" TargetMode="External" Id="rId339" /><Relationship Type="http://schemas.openxmlformats.org/officeDocument/2006/relationships/hyperlink" Target="https://www.linkedin.com/company/feedbackfruits" TargetMode="External" Id="rId340" /><Relationship Type="http://schemas.openxmlformats.org/officeDocument/2006/relationships/hyperlink" Target="https://imedu.io/" TargetMode="External" Id="rId341" /><Relationship Type="http://schemas.openxmlformats.org/officeDocument/2006/relationships/hyperlink" Target="https://www.linkedin.com/company/imedu" TargetMode="External" Id="rId342" /><Relationship Type="http://schemas.openxmlformats.org/officeDocument/2006/relationships/hyperlink" Target="https://masterchallenge.me/" TargetMode="External" Id="rId343" /><Relationship Type="http://schemas.openxmlformats.org/officeDocument/2006/relationships/hyperlink" Target="https://drive.google.com/uc?export=view&amp;id=1L9zOfzbeIMzLAon3SOpqgLeGAapOmrfq" TargetMode="External" Id="rId344" /><Relationship Type="http://schemas.openxmlformats.org/officeDocument/2006/relationships/hyperlink" Target="https://www.onlineacademy.nl/" TargetMode="External" Id="rId345" /><Relationship Type="http://schemas.openxmlformats.org/officeDocument/2006/relationships/hyperlink" Target="https://www.linkedin.com/school/onlineacademy" TargetMode="External" Id="rId346" /><Relationship Type="http://schemas.openxmlformats.org/officeDocument/2006/relationships/hyperlink" Target="http://www.squla.nl/" TargetMode="External" Id="rId347" /><Relationship Type="http://schemas.openxmlformats.org/officeDocument/2006/relationships/hyperlink" Target="https://teenit.app/" TargetMode="External" Id="rId348" /><Relationship Type="http://schemas.openxmlformats.org/officeDocument/2006/relationships/hyperlink" Target="https://www.linkedin.com/company/74991718/" TargetMode="External" Id="rId349" /><Relationship Type="http://schemas.openxmlformats.org/officeDocument/2006/relationships/hyperlink" Target="http://www.rentcompany.be/" TargetMode="External" Id="rId350" /><Relationship Type="http://schemas.openxmlformats.org/officeDocument/2006/relationships/hyperlink" Target="https://drive.google.com/uc?export=view&amp;id=1v3aUVV6BldpdEGy1SqY0Fjn0XuuNH4sl" TargetMode="External" Id="rId351" /><Relationship Type="http://schemas.openxmlformats.org/officeDocument/2006/relationships/hyperlink" Target="https://reconcept.nl/" TargetMode="External" Id="rId352" /><Relationship Type="http://schemas.openxmlformats.org/officeDocument/2006/relationships/hyperlink" Target="https://www.linkedin.com/company/reconcept-it" TargetMode="External" Id="rId353" /><Relationship Type="http://schemas.openxmlformats.org/officeDocument/2006/relationships/hyperlink" Target="https://drive.google.com/uc?export=view&amp;id=1-QdWXem9dKa6dhy9DV2Ra8cDMGiDBzT4" TargetMode="External" Id="rId354" /><Relationship Type="http://schemas.openxmlformats.org/officeDocument/2006/relationships/hyperlink" Target="http://www.iamprogrez.com/" TargetMode="External" Id="rId355" /><Relationship Type="http://schemas.openxmlformats.org/officeDocument/2006/relationships/hyperlink" Target="https://twitter.com/IamProgrez" TargetMode="External" Id="rId356" /><Relationship Type="http://schemas.openxmlformats.org/officeDocument/2006/relationships/hyperlink" Target="https://www.linkedin.com/company/5102576/admin/" TargetMode="External" Id="rId357" /><Relationship Type="http://schemas.openxmlformats.org/officeDocument/2006/relationships/hyperlink" Target="https://drive.google.com/uc?export=view&amp;id=1us57gsY4-z0ACSO2K_jYut24iok0oeFi" TargetMode="External" Id="rId358" /><Relationship Type="http://schemas.openxmlformats.org/officeDocument/2006/relationships/hyperlink" Target="https://www.wizenoze.com/" TargetMode="External" Id="rId359" /><Relationship Type="http://schemas.openxmlformats.org/officeDocument/2006/relationships/hyperlink" Target="https://www.instagram.com/Wizenoze" TargetMode="External" Id="rId360" /><Relationship Type="http://schemas.openxmlformats.org/officeDocument/2006/relationships/hyperlink" Target="https://twitter.com/wizenoze" TargetMode="External" Id="rId361" /><Relationship Type="http://schemas.openxmlformats.org/officeDocument/2006/relationships/hyperlink" Target="https://www.linkedin.com/company/wizenoze/?originalSubdomain=nl" TargetMode="External" Id="rId362" /><Relationship Type="http://schemas.openxmlformats.org/officeDocument/2006/relationships/hyperlink" Target="https://getjobsdone.nl/" TargetMode="External" Id="rId363" /><Relationship Type="http://schemas.openxmlformats.org/officeDocument/2006/relationships/hyperlink" Target="https://www.instagram.com/getjobsdone.nl/" TargetMode="External" Id="rId364" /><Relationship Type="http://schemas.openxmlformats.org/officeDocument/2006/relationships/hyperlink" Target="https://www.linkedin.com/company/getjobsdone/" TargetMode="External" Id="rId365" /><Relationship Type="http://schemas.openxmlformats.org/officeDocument/2006/relationships/hyperlink" Target="https://drive.google.com/uc?export=view&amp;id=17-comaZu1VJH1PN6mwn9WlMkEPyaaQPX" TargetMode="External" Id="rId366" /><Relationship Type="http://schemas.openxmlformats.org/officeDocument/2006/relationships/hyperlink" Target="https://xprtise.com/" TargetMode="External" Id="rId367" /><Relationship Type="http://schemas.openxmlformats.org/officeDocument/2006/relationships/hyperlink" Target="https://twitter.com/xprtise" TargetMode="External" Id="rId368" /><Relationship Type="http://schemas.openxmlformats.org/officeDocument/2006/relationships/hyperlink" Target="https://www.linkedin.com/company/7801396/" TargetMode="External" Id="rId369" /><Relationship Type="http://schemas.openxmlformats.org/officeDocument/2006/relationships/hyperlink" Target="https://topicus.nl/sectoren/onderwijs" TargetMode="External" Id="rId370" /><Relationship Type="http://schemas.openxmlformats.org/officeDocument/2006/relationships/hyperlink" Target="https://www.linkedin.com/company/topicus/" TargetMode="External" Id="rId371" /><Relationship Type="http://schemas.openxmlformats.org/officeDocument/2006/relationships/hyperlink" Target="https://drive.google.com/uc?export=view&amp;id=1-N_AFzlGLpS3ViFkRQxnkOttsEudMaD1" TargetMode="External" Id="rId372" /><Relationship Type="http://schemas.openxmlformats.org/officeDocument/2006/relationships/hyperlink" Target="http://www.wincacademy.com/" TargetMode="External" Id="rId373" /><Relationship Type="http://schemas.openxmlformats.org/officeDocument/2006/relationships/hyperlink" Target="https://www.instagram.com/wincacademy/" TargetMode="External" Id="rId374" /><Relationship Type="http://schemas.openxmlformats.org/officeDocument/2006/relationships/hyperlink" Target="https://www.linkedin.com/school/wincacademy" TargetMode="External" Id="rId375" /><Relationship Type="http://schemas.openxmlformats.org/officeDocument/2006/relationships/hyperlink" Target="https://drive.google.com/uc?export=view&amp;id=1uMe6DyDeKNkp26A4a6nRNUGH9e6o0Scq" TargetMode="External" Id="rId376" /><Relationship Type="http://schemas.openxmlformats.org/officeDocument/2006/relationships/hyperlink" Target="https://hihaho.com/" TargetMode="External" Id="rId377" /><Relationship Type="http://schemas.openxmlformats.org/officeDocument/2006/relationships/hyperlink" Target="https://www.linkedin.com/company/hihaho/mycompany/" TargetMode="External" Id="rId378" /><Relationship Type="http://schemas.openxmlformats.org/officeDocument/2006/relationships/hyperlink" Target="https://drive.google.com/uc?export=view&amp;id=1xZJOt-CBkTwrccfTksl4xvGr3-IUGkRq" TargetMode="External" Id="rId379" /><Relationship Type="http://schemas.openxmlformats.org/officeDocument/2006/relationships/hyperlink" Target="http://www.discov.ai/" TargetMode="External" Id="rId380" /><Relationship Type="http://schemas.openxmlformats.org/officeDocument/2006/relationships/hyperlink" Target="https://www.instagram.com/the_discov/?hl=en" TargetMode="External" Id="rId381" /><Relationship Type="http://schemas.openxmlformats.org/officeDocument/2006/relationships/hyperlink" Target="https://www.linkedin.com/company/the-discov/" TargetMode="External" Id="rId382" /><Relationship Type="http://schemas.openxmlformats.org/officeDocument/2006/relationships/hyperlink" Target="https://kinescope.io/" TargetMode="External" Id="rId383" /><Relationship Type="http://schemas.openxmlformats.org/officeDocument/2006/relationships/hyperlink" Target="https://www.linkedin.com/company/kinescopeio/" TargetMode="External" Id="rId384" /><Relationship Type="http://schemas.openxmlformats.org/officeDocument/2006/relationships/hyperlink" Target="https://drive.google.com/uc?export=view&amp;id=1WyulEauxUCtISAhVhbxFjxDKtB9zXX-A" TargetMode="External" Id="rId385" /><Relationship Type="http://schemas.openxmlformats.org/officeDocument/2006/relationships/hyperlink" Target="https://ans.app/landing" TargetMode="External" Id="rId386" /><Relationship Type="http://schemas.openxmlformats.org/officeDocument/2006/relationships/hyperlink" Target="https://www.linkedin.com/company/ans-exam" TargetMode="External" Id="rId387" /><Relationship Type="http://schemas.openxmlformats.org/officeDocument/2006/relationships/hyperlink" Target="https://nextlearningvalley.com/" TargetMode="External" Id="rId388" /><Relationship Type="http://schemas.openxmlformats.org/officeDocument/2006/relationships/hyperlink" Target="https://www.instagram.com/nextlearningvalley/" TargetMode="External" Id="rId389" /><Relationship Type="http://schemas.openxmlformats.org/officeDocument/2006/relationships/hyperlink" Target="https://twitter.com/NLV_LXP" TargetMode="External" Id="rId390" /><Relationship Type="http://schemas.openxmlformats.org/officeDocument/2006/relationships/hyperlink" Target="https://www.linkedin.com/company/nextlearningvalley/?viewAsMember=true" TargetMode="External" Id="rId391" /><Relationship Type="http://schemas.openxmlformats.org/officeDocument/2006/relationships/hyperlink" Target="https://drive.google.com/uc?export=view&amp;id=1GJHQwc08-diCyzMa7B_7CMFNGc1_IOiE" TargetMode="External" Id="rId392" /><Relationship Type="http://schemas.openxmlformats.org/officeDocument/2006/relationships/hyperlink" Target="http://www.mobility-era.com/" TargetMode="External" Id="rId393" /><Relationship Type="http://schemas.openxmlformats.org/officeDocument/2006/relationships/hyperlink" Target="https://www.linkedin.com/groups/13758292/" TargetMode="External" Id="rId394" /><Relationship Type="http://schemas.openxmlformats.org/officeDocument/2006/relationships/hyperlink" Target="https://drive.google.com/uc?export=view&amp;id=1Niqqpgvch3XNceic8tK78qMpmbgFYfcb" TargetMode="External" Id="rId395" /><Relationship Type="http://schemas.openxmlformats.org/officeDocument/2006/relationships/hyperlink" Target="http://www.vorsen.nl/" TargetMode="External" Id="rId396" /><Relationship Type="http://schemas.openxmlformats.org/officeDocument/2006/relationships/hyperlink" Target="https://www.linkedin.com/company/vorsen" TargetMode="External" Id="rId397" /><Relationship Type="http://schemas.openxmlformats.org/officeDocument/2006/relationships/hyperlink" Target="https://drive.google.com/uc?export=view&amp;id=1edyYlGP2wRu5pDxNTi14g4za5UVWVS2y" TargetMode="External" Id="rId398" /><Relationship Type="http://schemas.openxmlformats.org/officeDocument/2006/relationships/hyperlink" Target="https://www.conversationdesigninstitute.com/" TargetMode="External" Id="rId399" /><Relationship Type="http://schemas.openxmlformats.org/officeDocument/2006/relationships/hyperlink" Target="https://www.instagram.com/accounts/login/?next=/Conversation_Design_Institute/" TargetMode="External" Id="rId400" /><Relationship Type="http://schemas.openxmlformats.org/officeDocument/2006/relationships/hyperlink" Target="https://twitter.com/CDInstitute_" TargetMode="External" Id="rId401" /><Relationship Type="http://schemas.openxmlformats.org/officeDocument/2006/relationships/hyperlink" Target="https://www.linkedin.com/company/conversation-design-institute" TargetMode="External" Id="rId402" /><Relationship Type="http://schemas.openxmlformats.org/officeDocument/2006/relationships/hyperlink" Target="https://edutech.recrout.com/" TargetMode="External" Id="rId403" /><Relationship Type="http://schemas.openxmlformats.org/officeDocument/2006/relationships/hyperlink" Target="https://twitter.com/recrout" TargetMode="External" Id="rId404" /><Relationship Type="http://schemas.openxmlformats.org/officeDocument/2006/relationships/hyperlink" Target="https://twitter.com/recrout" TargetMode="External" Id="rId405" /><Relationship Type="http://schemas.openxmlformats.org/officeDocument/2006/relationships/hyperlink" Target="https://www.linkedin.com/company/recrout/" TargetMode="External" Id="rId406" /><Relationship Type="http://schemas.openxmlformats.org/officeDocument/2006/relationships/hyperlink" Target="https://www.warpvr.com/" TargetMode="External" Id="rId407" /><Relationship Type="http://schemas.openxmlformats.org/officeDocument/2006/relationships/hyperlink" Target="https://www.instagram.com/warp_vr/" TargetMode="External" Id="rId408" /><Relationship Type="http://schemas.openxmlformats.org/officeDocument/2006/relationships/hyperlink" Target="https://twitter.com/WarpVR" TargetMode="External" Id="rId409" /><Relationship Type="http://schemas.openxmlformats.org/officeDocument/2006/relationships/hyperlink" Target="https://www.linkedin.com/company/warpvr/" TargetMode="External" Id="rId410" /></Relationships>
</file>

<file path=xl/worksheets/_rels/sheet4.xml.rels><Relationships xmlns="http://schemas.openxmlformats.org/package/2006/relationships"><Relationship Type="http://schemas.openxmlformats.org/officeDocument/2006/relationships/hyperlink" Target="https://lablife.video/" TargetMode="External" Id="rId1" /><Relationship Type="http://schemas.openxmlformats.org/officeDocument/2006/relationships/hyperlink" Target="https://www.instagram.com/lablife.video" TargetMode="External" Id="rId2" /><Relationship Type="http://schemas.openxmlformats.org/officeDocument/2006/relationships/hyperlink" Target="https://www.linkedin.com/company/lablife-video" TargetMode="External" Id="rId3" /><Relationship Type="http://schemas.openxmlformats.org/officeDocument/2006/relationships/hyperlink" Target="https://drive.google.com/uc?export=view&amp;id=1a7Yuk6SheSEng9Qy6HNbGtG3ig0-vu-h" TargetMode="External" Id="rId4" /><Relationship Type="http://schemas.openxmlformats.org/officeDocument/2006/relationships/hyperlink" Target="https://www.facebook.com/lablife.video" TargetMode="External" Id="rId5" /><Relationship Type="http://schemas.openxmlformats.org/officeDocument/2006/relationships/hyperlink" Target="http://slide-speed.com/" TargetMode="External" Id="rId6" /><Relationship Type="http://schemas.openxmlformats.org/officeDocument/2006/relationships/hyperlink" Target="https://slide-speed.com/" TargetMode="External" Id="rId7" /><Relationship Type="http://schemas.openxmlformats.org/officeDocument/2006/relationships/hyperlink" Target="https://www.linkedin.com/company/101921502/" TargetMode="External" Id="rId8" /><Relationship Type="http://schemas.openxmlformats.org/officeDocument/2006/relationships/hyperlink" Target="http://slide-speed.com/" TargetMode="External" Id="rId9" /><Relationship Type="http://schemas.openxmlformats.org/officeDocument/2006/relationships/hyperlink" Target="https://drive.google.com/uc?export=view&amp;id=1-r-GPRf1nbw6dA7J-2VbYoUrQlIt2SDO" TargetMode="External" Id="rId10" /><Relationship Type="http://schemas.openxmlformats.org/officeDocument/2006/relationships/hyperlink" Target="https://www.instagram.com/miranda.works/" TargetMode="External" Id="rId11" /><Relationship Type="http://schemas.openxmlformats.org/officeDocument/2006/relationships/hyperlink" Target="https://www.linkedin.com/company/miranda-42/" TargetMode="External" Id="rId12" /><Relationship Type="http://schemas.openxmlformats.org/officeDocument/2006/relationships/hyperlink" Target="https://drive.google.com/uc?export=view&amp;id=1irRSo7kC1lBOb-U5tQyrK-pSeR9Zq1EV" TargetMode="External" Id="rId13" /><Relationship Type="http://schemas.openxmlformats.org/officeDocument/2006/relationships/hyperlink" Target="https://www.facebook.com/profile.php?id=100077751545307" TargetMode="External" Id="rId14" /><Relationship Type="http://schemas.openxmlformats.org/officeDocument/2006/relationships/hyperlink" Target="http://veriable.at/" TargetMode="External" Id="rId15" /><Relationship Type="http://schemas.openxmlformats.org/officeDocument/2006/relationships/hyperlink" Target="https://drive.google.com/uc?export=view&amp;id=1BN9OJF5Juaq106GKb1e6AXvcgLu3YmWE" TargetMode="External" Id="rId16" /><Relationship Type="http://schemas.openxmlformats.org/officeDocument/2006/relationships/hyperlink" Target="https://finanzwissen.club/" TargetMode="External" Id="rId17" /><Relationship Type="http://schemas.openxmlformats.org/officeDocument/2006/relationships/hyperlink" Target="https://drive.google.com/uc?export=view&amp;id=18Dcn90NsEdIkbnCVQWGgIQel8nCAPAxx" TargetMode="External" Id="rId18" /><Relationship Type="http://schemas.openxmlformats.org/officeDocument/2006/relationships/hyperlink" Target="https://www.polycular.com/" TargetMode="External" Id="rId19" /><Relationship Type="http://schemas.openxmlformats.org/officeDocument/2006/relationships/hyperlink" Target="https://www.linkedin.com/company/polycular" TargetMode="External" Id="rId20" /><Relationship Type="http://schemas.openxmlformats.org/officeDocument/2006/relationships/hyperlink" Target="https://drive.google.com/uc?export=view&amp;id=1GQS_qov5F8SYBniukGyJQp3JYUO17nK8" TargetMode="External" Id="rId21" /><Relationship Type="http://schemas.openxmlformats.org/officeDocument/2006/relationships/hyperlink" Target="http://quikwise.ai/" TargetMode="External" Id="rId22" /><Relationship Type="http://schemas.openxmlformats.org/officeDocument/2006/relationships/hyperlink" Target="https://www.instagram.com/quikwise.ai" TargetMode="External" Id="rId23" /><Relationship Type="http://schemas.openxmlformats.org/officeDocument/2006/relationships/hyperlink" Target="https://www.facebook.com/quikwise" TargetMode="External" Id="rId24" /><Relationship Type="http://schemas.openxmlformats.org/officeDocument/2006/relationships/hyperlink" Target="https://www.schubu.org/" TargetMode="External" Id="rId25" /><Relationship Type="http://schemas.openxmlformats.org/officeDocument/2006/relationships/hyperlink" Target="https://at.linkedin.com/company/schubuwien" TargetMode="External" Id="rId26" /><Relationship Type="http://schemas.openxmlformats.org/officeDocument/2006/relationships/hyperlink" Target="https://redox-interactive.com/" TargetMode="External" Id="rId27" /><Relationship Type="http://schemas.openxmlformats.org/officeDocument/2006/relationships/hyperlink" Target="https://www.msq.at/" TargetMode="External" Id="rId28" /><Relationship Type="http://schemas.openxmlformats.org/officeDocument/2006/relationships/hyperlink" Target="https://www.linkedin.com/company/mediasquad/" TargetMode="External" Id="rId29" /><Relationship Type="http://schemas.openxmlformats.org/officeDocument/2006/relationships/hyperlink" Target="https://drive.google.com/uc?export=view&amp;id=1LbiAPO8qu2foB2y5sB157iBfWaQUen8n" TargetMode="External" Id="rId30" /><Relationship Type="http://schemas.openxmlformats.org/officeDocument/2006/relationships/hyperlink" Target="https://lablife.video/" TargetMode="External" Id="rId31" /><Relationship Type="http://schemas.openxmlformats.org/officeDocument/2006/relationships/hyperlink" Target="https://www.instagram.com/lablife.video" TargetMode="External" Id="rId32" /><Relationship Type="http://schemas.openxmlformats.org/officeDocument/2006/relationships/hyperlink" Target="https://www.linkedin.com/company/lablife-video" TargetMode="External" Id="rId33" /><Relationship Type="http://schemas.openxmlformats.org/officeDocument/2006/relationships/hyperlink" Target="http://www.ninefeb.com/" TargetMode="External" Id="rId34" /><Relationship Type="http://schemas.openxmlformats.org/officeDocument/2006/relationships/hyperlink" Target="https://www.linkedin.com/company/6522826/" TargetMode="External" Id="rId35" /><Relationship Type="http://schemas.openxmlformats.org/officeDocument/2006/relationships/hyperlink" Target="https://drive.google.com/uc?export=view&amp;id=11R7b7YRJ28NDU3GzDmXVqunBFjZHY6RP" TargetMode="External" Id="rId36" /><Relationship Type="http://schemas.openxmlformats.org/officeDocument/2006/relationships/hyperlink" Target="http://mytalents.ai/" TargetMode="External" Id="rId37" /><Relationship Type="http://schemas.openxmlformats.org/officeDocument/2006/relationships/hyperlink" Target="http://mytalents.ai/" TargetMode="External" Id="rId38" /><Relationship Type="http://schemas.openxmlformats.org/officeDocument/2006/relationships/hyperlink" Target="http://mytalents.ai/" TargetMode="External" Id="rId39" /><Relationship Type="http://schemas.openxmlformats.org/officeDocument/2006/relationships/hyperlink" Target="https://www.linkedin.com/company/mytalents-ai" TargetMode="External" Id="rId40" /><Relationship Type="http://schemas.openxmlformats.org/officeDocument/2006/relationships/hyperlink" Target="https://captic.io/" TargetMode="External" Id="rId41" /><Relationship Type="http://schemas.openxmlformats.org/officeDocument/2006/relationships/hyperlink" Target="https://twitter.com/capticio" TargetMode="External" Id="rId42" /><Relationship Type="http://schemas.openxmlformats.org/officeDocument/2006/relationships/hyperlink" Target="https://www.linkedin.com/company/captic-io" TargetMode="External" Id="rId43" /><Relationship Type="http://schemas.openxmlformats.org/officeDocument/2006/relationships/hyperlink" Target="https://drive.google.com/uc?export=view&amp;id=1UIdTm3wOI0rbYT_a7-SBPrcJUJ301zqg" TargetMode="External" Id="rId44" /><Relationship Type="http://schemas.openxmlformats.org/officeDocument/2006/relationships/hyperlink" Target="https://upstrivesystem.com/" TargetMode="External" Id="rId45" /><Relationship Type="http://schemas.openxmlformats.org/officeDocument/2006/relationships/hyperlink" Target="https://www.linkedin.com/company/upstrive-well-being" TargetMode="External" Id="rId46" /><Relationship Type="http://schemas.openxmlformats.org/officeDocument/2006/relationships/hyperlink" Target="http://www.teamazing.com/" TargetMode="External" Id="rId47" /><Relationship Type="http://schemas.openxmlformats.org/officeDocument/2006/relationships/hyperlink" Target="https://www.instagram.com/teamazing.events/" TargetMode="External" Id="rId48" /><Relationship Type="http://schemas.openxmlformats.org/officeDocument/2006/relationships/hyperlink" Target="https://twitter.com/teamazing_com" TargetMode="External" Id="rId49" /><Relationship Type="http://schemas.openxmlformats.org/officeDocument/2006/relationships/hyperlink" Target="https://www.linkedin.com/company/teamazing-gmbh" TargetMode="External" Id="rId50" /><Relationship Type="http://schemas.openxmlformats.org/officeDocument/2006/relationships/hyperlink" Target="https://drive.google.com/uc?export=view&amp;id=19swaHVvHb3WCDVuIiIn7Kp016RE0o_Sc" TargetMode="External" Id="rId51" /><Relationship Type="http://schemas.openxmlformats.org/officeDocument/2006/relationships/hyperlink" Target="https://www.geogebra.org/" TargetMode="External" Id="rId52" /><Relationship Type="http://schemas.openxmlformats.org/officeDocument/2006/relationships/hyperlink" Target="https://synergetics.us/" TargetMode="External" Id="rId53" /><Relationship Type="http://schemas.openxmlformats.org/officeDocument/2006/relationships/hyperlink" Target="https://drive.google.com/uc?export=view&amp;id=1yN8Yrn7LtfYhqQudK2RC_Q9QESOLmIkJ" TargetMode="External" Id="rId54" /><Relationship Type="http://schemas.openxmlformats.org/officeDocument/2006/relationships/hyperlink" Target="http://etutee.eu/" TargetMode="External" Id="rId55" /><Relationship Type="http://schemas.openxmlformats.org/officeDocument/2006/relationships/hyperlink" Target="https://drive.google.com/uc?export=view&amp;id=1QY2kDuDqae0K8W4vr5ifz1-7Zs5qoGh7" TargetMode="External" Id="rId56" /><Relationship Type="http://schemas.openxmlformats.org/officeDocument/2006/relationships/hyperlink" Target="https://skillbest.com/" TargetMode="External" Id="rId57" /><Relationship Type="http://schemas.openxmlformats.org/officeDocument/2006/relationships/hyperlink" Target="https://www.linkedin.com/company/skillbest/" TargetMode="External" Id="rId58" /><Relationship Type="http://schemas.openxmlformats.org/officeDocument/2006/relationships/hyperlink" Target="https://drive.google.com/uc?export=view&amp;id=1Hn3ZnqEZa2Bw3qfxP5c2Kr3SYAZkdmOe" TargetMode="External" Id="rId59" /><Relationship Type="http://schemas.openxmlformats.org/officeDocument/2006/relationships/hyperlink" Target="http://www.neukurs.com/" TargetMode="External" Id="rId60" /><Relationship Type="http://schemas.openxmlformats.org/officeDocument/2006/relationships/hyperlink" Target="https://www.instagram.com/neukurs/?hl=de" TargetMode="External" Id="rId61" /><Relationship Type="http://schemas.openxmlformats.org/officeDocument/2006/relationships/hyperlink" Target="https://www.linkedin.com/company/neukurs/" TargetMode="External" Id="rId62" /><Relationship Type="http://schemas.openxmlformats.org/officeDocument/2006/relationships/hyperlink" Target="https://drive.google.com/uc?export=view&amp;id=1DX0gooIYeIEei_UM52AtLhBtxUMQC6-4" TargetMode="External" Id="rId63" /><Relationship Type="http://schemas.openxmlformats.org/officeDocument/2006/relationships/hyperlink" Target="https://game.edenauts.com/" TargetMode="External" Id="rId64" /><Relationship Type="http://schemas.openxmlformats.org/officeDocument/2006/relationships/hyperlink" Target="https://foxeducation.com/fr" TargetMode="External" Id="rId65" /><Relationship Type="http://schemas.openxmlformats.org/officeDocument/2006/relationships/hyperlink" Target="https://www.instagram.com/foxeducation_fr/" TargetMode="External" Id="rId66" /><Relationship Type="http://schemas.openxmlformats.org/officeDocument/2006/relationships/hyperlink" Target="https://www.linkedin.com/company/foxeducation-france/" TargetMode="External" Id="rId67" /><Relationship Type="http://schemas.openxmlformats.org/officeDocument/2006/relationships/hyperlink" Target="https://drive.google.com/uc?export=view&amp;id=1q_3SDTgatc_qWNB_MCxUNABrcAe9dBjz" TargetMode="External" Id="rId68" /><Relationship Type="http://schemas.openxmlformats.org/officeDocument/2006/relationships/hyperlink" Target="https://www.sharelms.com/" TargetMode="External" Id="rId69" /><Relationship Type="http://schemas.openxmlformats.org/officeDocument/2006/relationships/hyperlink" Target="http://www.veritas.at/" TargetMode="External" Id="rId70" /><Relationship Type="http://schemas.openxmlformats.org/officeDocument/2006/relationships/hyperlink" Target="https://drive.google.com/uc?export=view&amp;id=1LTMtc24WebgNhkVQ2QEN8BCCgK4tL_dV" TargetMode="External" Id="rId71" /><Relationship Type="http://schemas.openxmlformats.org/officeDocument/2006/relationships/hyperlink" Target="https://www.teachis.net/" TargetMode="External" Id="rId72" /><Relationship Type="http://schemas.openxmlformats.org/officeDocument/2006/relationships/hyperlink" Target="https://www.instagram.com/teachisnet" TargetMode="External" Id="rId73" /><Relationship Type="http://schemas.openxmlformats.org/officeDocument/2006/relationships/hyperlink" Target="https://twitter.com/TeachisNet" TargetMode="External" Id="rId74" /><Relationship Type="http://schemas.openxmlformats.org/officeDocument/2006/relationships/hyperlink" Target="https://www.linkedin.com/company/teachis/" TargetMode="External" Id="rId75" /><Relationship Type="http://schemas.openxmlformats.org/officeDocument/2006/relationships/hyperlink" Target="http://www.xrconsole.net/" TargetMode="External" Id="rId76" /><Relationship Type="http://schemas.openxmlformats.org/officeDocument/2006/relationships/hyperlink" Target="https://www.linkedin.com/company/xrconsole" TargetMode="External" Id="rId77" /><Relationship Type="http://schemas.openxmlformats.org/officeDocument/2006/relationships/hyperlink" Target="https://join.courseticket.com/" TargetMode="External" Id="rId78" /><Relationship Type="http://schemas.openxmlformats.org/officeDocument/2006/relationships/hyperlink" Target="https://www.linkedin.com/company/courseticket-com" TargetMode="External" Id="rId79" /><Relationship Type="http://schemas.openxmlformats.org/officeDocument/2006/relationships/hyperlink" Target="http://www.bizexaminer.com/" TargetMode="External" Id="rId80" /><Relationship Type="http://schemas.openxmlformats.org/officeDocument/2006/relationships/hyperlink" Target="https://www.linkedin.com/company/18919892/" TargetMode="External" Id="rId81" /><Relationship Type="http://schemas.openxmlformats.org/officeDocument/2006/relationships/hyperlink" Target="https://drive.google.com/uc?export=view&amp;id=1dtutgcB5phIZGSNFjxYvziqprm__qwTd" TargetMode="External" Id="rId82" /><Relationship Type="http://schemas.openxmlformats.org/officeDocument/2006/relationships/hyperlink" Target="http://www.dotbite.at/" TargetMode="External" Id="rId83" /><Relationship Type="http://schemas.openxmlformats.org/officeDocument/2006/relationships/hyperlink" Target="https://foxeducation.com/" TargetMode="External" Id="rId84" /><Relationship Type="http://schemas.openxmlformats.org/officeDocument/2006/relationships/hyperlink" Target="https://www.instagram.com/foxeducation_dach/" TargetMode="External" Id="rId85" /><Relationship Type="http://schemas.openxmlformats.org/officeDocument/2006/relationships/hyperlink" Target="https://at.linkedin.com/company/schoolfox" TargetMode="External" Id="rId86" /><Relationship Type="http://schemas.openxmlformats.org/officeDocument/2006/relationships/hyperlink" Target="https://drive.google.com/uc?export=view&amp;id=1ykvgwsRTkJKB1TRdhRNy9v1TVafzC9ad" TargetMode="External" Id="rId87" /><Relationship Type="http://schemas.openxmlformats.org/officeDocument/2006/relationships/hyperlink" Target="https://dccs-edu.at/" TargetMode="External" Id="rId88" /><Relationship Type="http://schemas.openxmlformats.org/officeDocument/2006/relationships/hyperlink" Target="https://www.educom.at/" TargetMode="External" Id="rId89" /><Relationship Type="http://schemas.openxmlformats.org/officeDocument/2006/relationships/hyperlink" Target="https://www.instagram.com/educom.at/" TargetMode="External" Id="rId90" /><Relationship Type="http://schemas.openxmlformats.org/officeDocument/2006/relationships/hyperlink" Target="https://at.linkedin.com/company/educom-at" TargetMode="External" Id="rId91" /><Relationship Type="http://schemas.openxmlformats.org/officeDocument/2006/relationships/hyperlink" Target="https://www.readyforred.com/" TargetMode="External" Id="rId92" /><Relationship Type="http://schemas.openxmlformats.org/officeDocument/2006/relationships/hyperlink" Target="https://www.instagram.com/erdbeerwoche_/" TargetMode="External" Id="rId93" /><Relationship Type="http://schemas.openxmlformats.org/officeDocument/2006/relationships/hyperlink" Target="https://drive.google.com/uc?export=view&amp;id=1sp0ZYfzfMeCQSgRadItFh_B0vtcD3Z1j" TargetMode="External" Id="rId94" /><Relationship Type="http://schemas.openxmlformats.org/officeDocument/2006/relationships/hyperlink" Target="http://www.chabadoo.com/" TargetMode="External" Id="rId95" /><Relationship Type="http://schemas.openxmlformats.org/officeDocument/2006/relationships/hyperlink" Target="https://www.instagram.com/chabadoo_elearning/" TargetMode="External" Id="rId96" /><Relationship Type="http://schemas.openxmlformats.org/officeDocument/2006/relationships/hyperlink" Target="https://www.linkedin.com/company/chabadoo" TargetMode="External" Id="rId97" /><Relationship Type="http://schemas.openxmlformats.org/officeDocument/2006/relationships/hyperlink" Target="https://drive.google.com/uc?export=view&amp;id=1XhmU4Qfi53OasTFeA5WzwAil4nDt6jXv" TargetMode="External" Id="rId98" /><Relationship Type="http://schemas.openxmlformats.org/officeDocument/2006/relationships/hyperlink" Target="http://www.learnmatch.com/" TargetMode="External" Id="rId99" /><Relationship Type="http://schemas.openxmlformats.org/officeDocument/2006/relationships/hyperlink" Target="https://www.linkedin.com/company/11433216/" TargetMode="External" Id="rId100" /><Relationship Type="http://schemas.openxmlformats.org/officeDocument/2006/relationships/hyperlink" Target="https://drive.google.com/uc?export=view&amp;id=1-0lZ4gMZAUKZ-peL7fBS4rQZFZdT_1Zl" TargetMode="External" Id="rId101" /><Relationship Type="http://schemas.openxmlformats.org/officeDocument/2006/relationships/hyperlink" Target="https://lernfamilie.at/" TargetMode="External" Id="rId102" /><Relationship Type="http://schemas.openxmlformats.org/officeDocument/2006/relationships/hyperlink" Target="https://www.instagram.com/lernfamilie/" TargetMode="External" Id="rId103" /><Relationship Type="http://schemas.openxmlformats.org/officeDocument/2006/relationships/hyperlink" Target="https://twitter.com/LernFamilie/" TargetMode="External" Id="rId104" /><Relationship Type="http://schemas.openxmlformats.org/officeDocument/2006/relationships/hyperlink" Target="https://lernfamilie.at/nachhilfeinstitut/online/" TargetMode="External" Id="rId105" /><Relationship Type="http://schemas.openxmlformats.org/officeDocument/2006/relationships/hyperlink" Target="https://drive.google.com/uc?export=view&amp;id=1Y-F33F2SJzlWQXyojY8mF-kWr56kts2e" TargetMode="External" Id="rId106" /><Relationship Type="http://schemas.openxmlformats.org/officeDocument/2006/relationships/hyperlink" Target="http://uugot.it/" TargetMode="External" Id="rId107" /><Relationship Type="http://schemas.openxmlformats.org/officeDocument/2006/relationships/hyperlink" Target="http://www.uugot.it/" TargetMode="External" Id="rId108" /><Relationship Type="http://schemas.openxmlformats.org/officeDocument/2006/relationships/hyperlink" Target="https://twitter.com/uugot_it" TargetMode="External" Id="rId109" /><Relationship Type="http://schemas.openxmlformats.org/officeDocument/2006/relationships/hyperlink" Target="https://www.linkedin.com/company/uugot-it" TargetMode="External" Id="rId110" /><Relationship Type="http://schemas.openxmlformats.org/officeDocument/2006/relationships/hyperlink" Target="https://drive.google.com/uc?export=view&amp;id=1dx_lckXUR1DsidocERH5VR2EGbz4X4Z_" TargetMode="External" Id="rId111" /><Relationship Type="http://schemas.openxmlformats.org/officeDocument/2006/relationships/hyperlink" Target="https://www.kondeor.at/de/portfolio/aus-und-weiterbildung/marktforschungskurse/" TargetMode="External" Id="rId112" /><Relationship Type="http://schemas.openxmlformats.org/officeDocument/2006/relationships/hyperlink" Target="https://twitter.com/kondeor" TargetMode="External" Id="rId113" /><Relationship Type="http://schemas.openxmlformats.org/officeDocument/2006/relationships/hyperlink" Target="https://www.linkedin.com/in/kepplinger/" TargetMode="External" Id="rId114" /><Relationship Type="http://schemas.openxmlformats.org/officeDocument/2006/relationships/hyperlink" Target="https://ovos.at/en/" TargetMode="External" Id="rId115" /><Relationship Type="http://schemas.openxmlformats.org/officeDocument/2006/relationships/hyperlink" Target="https://www.spuernasenecke.com/" TargetMode="External" Id="rId116" /><Relationship Type="http://schemas.openxmlformats.org/officeDocument/2006/relationships/hyperlink" Target="http://www.untis.at/" TargetMode="External" Id="rId117" /><Relationship Type="http://schemas.openxmlformats.org/officeDocument/2006/relationships/hyperlink" Target="http://www.esquirrel.com/" TargetMode="External" Id="rId118" /><Relationship Type="http://schemas.openxmlformats.org/officeDocument/2006/relationships/hyperlink" Target="https://www.instagram.com/esquirrelapp/" TargetMode="External" Id="rId119" /><Relationship Type="http://schemas.openxmlformats.org/officeDocument/2006/relationships/hyperlink" Target="https://twitter.com/esquirrelapp" TargetMode="External" Id="rId120" /><Relationship Type="http://schemas.openxmlformats.org/officeDocument/2006/relationships/hyperlink" Target="https://www.linkedin.com/company/esquirrel/" TargetMode="External" Id="rId121" /><Relationship Type="http://schemas.openxmlformats.org/officeDocument/2006/relationships/hyperlink" Target="https://drive.google.com/uc?export=view&amp;id=1j7oIooMD7COCTlXxIaeXerlBJUggNYVU" TargetMode="External" Id="rId122" /><Relationship Type="http://schemas.openxmlformats.org/officeDocument/2006/relationships/hyperlink" Target="https://artivive.com/" TargetMode="External" Id="rId123" /><Relationship Type="http://schemas.openxmlformats.org/officeDocument/2006/relationships/hyperlink" Target="https://www.instagram.com/artiviveapp/" TargetMode="External" Id="rId124" /><Relationship Type="http://schemas.openxmlformats.org/officeDocument/2006/relationships/hyperlink" Target="https://twitter.com/ArtiviveApp" TargetMode="External" Id="rId125" /><Relationship Type="http://schemas.openxmlformats.org/officeDocument/2006/relationships/hyperlink" Target="https://www.linkedin.com/company/artivive/" TargetMode="External" Id="rId126" /><Relationship Type="http://schemas.openxmlformats.org/officeDocument/2006/relationships/hyperlink" Target="https://sproof.io/" TargetMode="External" Id="rId127" /><Relationship Type="http://schemas.openxmlformats.org/officeDocument/2006/relationships/hyperlink" Target="http://www.linkedin.com/company/sproof" TargetMode="External" Id="rId128" /><Relationship Type="http://schemas.openxmlformats.org/officeDocument/2006/relationships/hyperlink" Target="https://drive.google.com/uc?export=view&amp;id=1UOop4R32NgNdfohuWNkiWTrjzmCwUZGw" TargetMode="External" Id="rId129" /><Relationship Type="http://schemas.openxmlformats.org/officeDocument/2006/relationships/hyperlink" Target="https://areeka.net/" TargetMode="External" Id="rId130" /><Relationship Type="http://schemas.openxmlformats.org/officeDocument/2006/relationships/hyperlink" Target="https://www.classninjas.com/" TargetMode="External" Id="rId131" /><Relationship Type="http://schemas.openxmlformats.org/officeDocument/2006/relationships/hyperlink" Target="https://www.linkedin.com/company/classninjas/" TargetMode="External" Id="rId132" /><Relationship Type="http://schemas.openxmlformats.org/officeDocument/2006/relationships/hyperlink" Target="https://drive.google.com/uc?export=view&amp;id=1qColL1Ml0T535yc1xwANJoJnsUXZ_RKF" TargetMode="External" Id="rId133" /><Relationship Type="http://schemas.openxmlformats.org/officeDocument/2006/relationships/hyperlink" Target="http://www.gostudent.org/" TargetMode="External" Id="rId134" /><Relationship Type="http://schemas.openxmlformats.org/officeDocument/2006/relationships/hyperlink" Target="https://www.instagram.com/gostudent_life" TargetMode="External" Id="rId135" /><Relationship Type="http://schemas.openxmlformats.org/officeDocument/2006/relationships/hyperlink" Target="https://twitter.com/gostudent1" TargetMode="External" Id="rId136" /><Relationship Type="http://schemas.openxmlformats.org/officeDocument/2006/relationships/hyperlink" Target="https://www.linkedin.com/company/gostudent-gmbh" TargetMode="External" Id="rId137" /><Relationship Type="http://schemas.openxmlformats.org/officeDocument/2006/relationships/hyperlink" Target="https://drive.google.com/uc?export=view&amp;id=1ZcMYf4OPYAAb7Su3QzoA3S63ejEFsWjw" TargetMode="External" Id="rId138" /><Relationship Type="http://schemas.openxmlformats.org/officeDocument/2006/relationships/hyperlink" Target="http://www.lawstar.at/" TargetMode="External" Id="rId139" /><Relationship Type="http://schemas.openxmlformats.org/officeDocument/2006/relationships/hyperlink" Target="https://drive.google.com/uc?export=view&amp;id=1P2GVMc3kitRyEuwnimfored0CbyyPwF8" TargetMode="External" Id="rId140" /><Relationship Type="http://schemas.openxmlformats.org/officeDocument/2006/relationships/hyperlink" Target="https://everyonecodes.io/" TargetMode="External" Id="rId141" /><Relationship Type="http://schemas.openxmlformats.org/officeDocument/2006/relationships/hyperlink" Target="https://www.linkedin.com/company/everyonecodes" TargetMode="External" Id="rId142" /><Relationship Type="http://schemas.openxmlformats.org/officeDocument/2006/relationships/hyperlink" Target="https://drive.google.com/uc?export=view&amp;id=192mk0iNtChldVg6kvO3cwrdf7HY1snVY" TargetMode="External" Id="rId143" /><Relationship Type="http://schemas.openxmlformats.org/officeDocument/2006/relationships/hyperlink" Target="https://www.egos.co.at/" TargetMode="External" Id="rId144" /><Relationship Type="http://schemas.openxmlformats.org/officeDocument/2006/relationships/hyperlink" Target="https://www.egos.co.at/seminare/alle/alle" TargetMode="External" Id="rId145" /><Relationship Type="http://schemas.openxmlformats.org/officeDocument/2006/relationships/hyperlink" Target="https://www.egos.co.at/elearning/lernsoftware" TargetMode="External" Id="rId146" /><Relationship Type="http://schemas.openxmlformats.org/officeDocument/2006/relationships/hyperlink" Target="https://drive.google.com/uc?export=view&amp;id=1xblqNMVF63cD4JMua2QFSHZXLWMngBj3" TargetMode="External" Id="rId147" /><Relationship Type="http://schemas.openxmlformats.org/officeDocument/2006/relationships/hyperlink" Target="https://www.vars.at/" TargetMode="External" Id="rId148" /><Relationship Type="http://schemas.openxmlformats.org/officeDocument/2006/relationships/hyperlink" Target="https://www.instagram.com/vr_ar_vienna/?hl=en" TargetMode="External" Id="rId149" /><Relationship Type="http://schemas.openxmlformats.org/officeDocument/2006/relationships/hyperlink" Target="https://twitter.com/vars_at" TargetMode="External" Id="rId150" /><Relationship Type="http://schemas.openxmlformats.org/officeDocument/2006/relationships/hyperlink" Target="https://www.linkedin.com/company/vars-vienna/?viewAsMember=true" TargetMode="External" Id="rId151" /><Relationship Type="http://schemas.openxmlformats.org/officeDocument/2006/relationships/hyperlink" Target="http://www.robomaniac.at/" TargetMode="External" Id="rId152" /><Relationship Type="http://schemas.openxmlformats.org/officeDocument/2006/relationships/hyperlink" Target="https://www.linkedin.com/company/robomaniac/" TargetMode="External" Id="rId153" /><Relationship Type="http://schemas.openxmlformats.org/officeDocument/2006/relationships/hyperlink" Target="https://drive.google.com/uc?export=view&amp;id=1lt_KIEIzlpHdpTh2LVLJe-Iytltj0Vwn" TargetMode="External" Id="rId154" /><Relationship Type="http://schemas.openxmlformats.org/officeDocument/2006/relationships/hyperlink" Target="https://eduwerk.acp.at/" TargetMode="External" Id="rId155" /><Relationship Type="http://schemas.openxmlformats.org/officeDocument/2006/relationships/hyperlink" Target="https://www.instagram.com/acp_eduwerk/" TargetMode="External" Id="rId156" /><Relationship Type="http://schemas.openxmlformats.org/officeDocument/2006/relationships/hyperlink" Target="https://www.jungeroemer.net/" TargetMode="External" Id="rId157" /><Relationship Type="http://schemas.openxmlformats.org/officeDocument/2006/relationships/hyperlink" Target="https://www.instagram.com/jungeroemerwien/" TargetMode="External" Id="rId158" /><Relationship Type="http://schemas.openxmlformats.org/officeDocument/2006/relationships/hyperlink" Target="https://twitter.com/jungeroemerwien" TargetMode="External" Id="rId159" /><Relationship Type="http://schemas.openxmlformats.org/officeDocument/2006/relationships/hyperlink" Target="https://www.linkedin.com/company/jungeroemer-gmbh/" TargetMode="External" Id="rId160" /><Relationship Type="http://schemas.openxmlformats.org/officeDocument/2006/relationships/hyperlink" Target="https://drive.google.com/uc?export=view&amp;id=1LTOFtAyz5LfA0RCiLu2Ee0h_U2oa28Av" TargetMode="External" Id="rId161" /><Relationship Type="http://schemas.openxmlformats.org/officeDocument/2006/relationships/hyperlink" Target="http://www.studyly.com/" TargetMode="External" Id="rId162" /><Relationship Type="http://schemas.openxmlformats.org/officeDocument/2006/relationships/hyperlink" Target="https://drive.google.com/uc?export=view&amp;id=1V8MVoREM-RxXOR7KbjtpIi5wo3HoL4JO" TargetMode="External" Id="rId163" /><Relationship Type="http://schemas.openxmlformats.org/officeDocument/2006/relationships/hyperlink" Target="https://studo.com/en/" TargetMode="External" Id="rId164" /><Relationship Type="http://schemas.openxmlformats.org/officeDocument/2006/relationships/hyperlink" Target="https://www.instagram.com/studoapp/" TargetMode="External" Id="rId165" /><Relationship Type="http://schemas.openxmlformats.org/officeDocument/2006/relationships/hyperlink" Target="https://twitter.com/studoapp" TargetMode="External" Id="rId166" /><Relationship Type="http://schemas.openxmlformats.org/officeDocument/2006/relationships/hyperlink" Target="https://www.linkedin.com/company/studo-app" TargetMode="External" Id="rId167" /><Relationship Type="http://schemas.openxmlformats.org/officeDocument/2006/relationships/hyperlink" Target="https://drive.google.com/uc?export=view&amp;id=1rLQ7gOj9Dc630z6hPEWNld0LmI2kdwB5" TargetMode="External" Id="rId168" /><Relationship Type="http://schemas.openxmlformats.org/officeDocument/2006/relationships/hyperlink" Target="https://www.matharena.net/" TargetMode="External" Id="rId169" /><Relationship Type="http://schemas.openxmlformats.org/officeDocument/2006/relationships/hyperlink" Target="https://www.instagram.com/mathearena/?hl=de" TargetMode="External" Id="rId170" /><Relationship Type="http://schemas.openxmlformats.org/officeDocument/2006/relationships/hyperlink" Target="https://www.linkedin.com/company/mathearena" TargetMode="External" Id="rId171" /><Relationship Type="http://schemas.openxmlformats.org/officeDocument/2006/relationships/hyperlink" Target="https://drive.google.com/uc?export=view&amp;id=1UTiovnQvPEPyUN3vBn7jZGxixPzyXgdf" TargetMode="External" Id="rId172" /><Relationship Type="http://schemas.openxmlformats.org/officeDocument/2006/relationships/hyperlink" Target="http://www.common-sense.at/" TargetMode="External" Id="rId173" /><Relationship Type="http://schemas.openxmlformats.org/officeDocument/2006/relationships/hyperlink" Target="https://www.linkedin.com/company/common-sense-elearning-&amp;-training-consultants" TargetMode="External" Id="rId174" /><Relationship Type="http://schemas.openxmlformats.org/officeDocument/2006/relationships/hyperlink" Target="https://drive.google.com/uc?export=view&amp;id=1Hq2j5oSVvUpfUO6aY5TLi-roBlGQTIyN" TargetMode="External" Id="rId175" /><Relationship Type="http://schemas.openxmlformats.org/officeDocument/2006/relationships/hyperlink" Target="https://www.easy-business.cc/e-learning" TargetMode="External" Id="rId176" /><Relationship Type="http://schemas.openxmlformats.org/officeDocument/2006/relationships/hyperlink" Target="https://drive.google.com/uc?export=view&amp;id=1uVHtDu1BXSP-1dpNzSWAgVHVF5KwsNKc" TargetMode="External" Id="rId177" /><Relationship Type="http://schemas.openxmlformats.org/officeDocument/2006/relationships/hyperlink" Target="https://www.eyelearn.at/" TargetMode="External" Id="rId178" /><Relationship Type="http://schemas.openxmlformats.org/officeDocument/2006/relationships/hyperlink" Target="https://www.instagram.com/eyelearn_/" TargetMode="External" Id="rId179" /><Relationship Type="http://schemas.openxmlformats.org/officeDocument/2006/relationships/hyperlink" Target="https://www.linkedin.com/company/eyelearn-gmbh/" TargetMode="External" Id="rId180" /><Relationship Type="http://schemas.openxmlformats.org/officeDocument/2006/relationships/hyperlink" Target="https://drive.google.com/uc?export=view&amp;id=1dbiTReU4JCwGtk6ShEyY4vDzcr8HXiYC" TargetMode="External" Id="rId181" /><Relationship Type="http://schemas.openxmlformats.org/officeDocument/2006/relationships/hyperlink" Target="http://www.archaeo-now.com/" TargetMode="External" Id="rId182" /><Relationship Type="http://schemas.openxmlformats.org/officeDocument/2006/relationships/hyperlink" Target="https://www.instagram.com/archaeonow/" TargetMode="External" Id="rId183" /><Relationship Type="http://schemas.openxmlformats.org/officeDocument/2006/relationships/hyperlink" Target="https://www.linkedin.com/company/archaeonow" TargetMode="External" Id="rId184" /><Relationship Type="http://schemas.openxmlformats.org/officeDocument/2006/relationships/hyperlink" Target="https://www.accento.app/" TargetMode="External" Id="rId185" /><Relationship Type="http://schemas.openxmlformats.org/officeDocument/2006/relationships/hyperlink" Target="https://twitter.com/AccentoApp" TargetMode="External" Id="rId186" /><Relationship Type="http://schemas.openxmlformats.org/officeDocument/2006/relationships/hyperlink" Target="https://www.linkedin.com/company/bacco-software-systems" TargetMode="External" Id="rId187" /><Relationship Type="http://schemas.openxmlformats.org/officeDocument/2006/relationships/hyperlink" Target="http://www.ninefeb.com/" TargetMode="External" Id="rId188" /><Relationship Type="http://schemas.openxmlformats.org/officeDocument/2006/relationships/hyperlink" Target="https://drive.google.com/uc?export=view&amp;id=1qGWZsyCai52rhZbM-MP3xLMqtBUW95Hf" TargetMode="External" Id="rId189" /></Relationships>
</file>

<file path=xl/worksheets/_rels/sheet5.xml.rels><Relationships xmlns="http://schemas.openxmlformats.org/package/2006/relationships"><Relationship Type="http://schemas.openxmlformats.org/officeDocument/2006/relationships/hyperlink" Target="http://www.dokimazo.io/" TargetMode="External" Id="rId1" /><Relationship Type="http://schemas.openxmlformats.org/officeDocument/2006/relationships/hyperlink" Target="https://www.linkedin.com/company/dokimazo" TargetMode="External" Id="rId2" /><Relationship Type="http://schemas.openxmlformats.org/officeDocument/2006/relationships/hyperlink" Target="https://drive.google.com/uc?export=view&amp;id=1l6XrvSusnNphymMofSdddulF5Vn7h67V" TargetMode="External" Id="rId3" /><Relationship Type="http://schemas.openxmlformats.org/officeDocument/2006/relationships/hyperlink" Target="http://www.improovo.com/" TargetMode="External" Id="rId4" /><Relationship Type="http://schemas.openxmlformats.org/officeDocument/2006/relationships/hyperlink" Target="https://www.linkedin.com/company/improovo" TargetMode="External" Id="rId5" /><Relationship Type="http://schemas.openxmlformats.org/officeDocument/2006/relationships/hyperlink" Target="https://drive.google.com/uc?export=view&amp;id=1LSWaFU_g62NZWmAm_Prsev9HdkJS11uP" TargetMode="External" Id="rId6" /><Relationship Type="http://schemas.openxmlformats.org/officeDocument/2006/relationships/hyperlink" Target="https://www.artcentrica.com/" TargetMode="External" Id="rId7" /><Relationship Type="http://schemas.openxmlformats.org/officeDocument/2006/relationships/hyperlink" Target="https://www.instagram.com/artcentrica/" TargetMode="External" Id="rId8" /><Relationship Type="http://schemas.openxmlformats.org/officeDocument/2006/relationships/hyperlink" Target="https://www.linkedin.com/company/artcentrica" TargetMode="External" Id="rId9" /><Relationship Type="http://schemas.openxmlformats.org/officeDocument/2006/relationships/hyperlink" Target="https://drive.google.com/uc?export=view&amp;id=1YtvHoKbpSptFCweYTXU_tUzyyCYwAur0" TargetMode="External" Id="rId10" /><Relationship Type="http://schemas.openxmlformats.org/officeDocument/2006/relationships/hyperlink" Target="https://www.facebook.com/ArtCentricaEDU" TargetMode="External" Id="rId11" /><Relationship Type="http://schemas.openxmlformats.org/officeDocument/2006/relationships/hyperlink" Target="http://www.alteredu.it/" TargetMode="External" Id="rId12" /><Relationship Type="http://schemas.openxmlformats.org/officeDocument/2006/relationships/hyperlink" Target="https://drive.google.com/uc?export=view&amp;id=15fECYvvE62nx_hSNDXX-eIQccg0DrTWp" TargetMode="External" Id="rId13" /><Relationship Type="http://schemas.openxmlformats.org/officeDocument/2006/relationships/hyperlink" Target="http://www.campustore.it/" TargetMode="External" Id="rId14" /><Relationship Type="http://schemas.openxmlformats.org/officeDocument/2006/relationships/hyperlink" Target="https://www.instagram.com/campustore.it/" TargetMode="External" Id="rId15" /><Relationship Type="http://schemas.openxmlformats.org/officeDocument/2006/relationships/hyperlink" Target="https://drive.google.com/uc?export=view&amp;id=1MqDQw_vI1Gpg7WGZyUfK0z7c2wze2CN0" TargetMode="External" Id="rId16" /><Relationship Type="http://schemas.openxmlformats.org/officeDocument/2006/relationships/hyperlink" Target="https://www.facebook.com/CampuStoreIT" TargetMode="External" Id="rId17" /><Relationship Type="http://schemas.openxmlformats.org/officeDocument/2006/relationships/hyperlink" Target="http://gamsplatform.com/" TargetMode="External" Id="rId18" /><Relationship Type="http://schemas.openxmlformats.org/officeDocument/2006/relationships/hyperlink" Target="https://www.instagram.com/GAMSPlatform/" TargetMode="External" Id="rId19" /><Relationship Type="http://schemas.openxmlformats.org/officeDocument/2006/relationships/hyperlink" Target="https://drive.google.com/uc?export=view&amp;id=1F_A5P5S2_zwTQaXCzAJN9bxRyiPi-0nb" TargetMode="External" Id="rId20" /><Relationship Type="http://schemas.openxmlformats.org/officeDocument/2006/relationships/hyperlink" Target="https://www.facebook.com/GAMSPlatform/" TargetMode="External" Id="rId21" /><Relationship Type="http://schemas.openxmlformats.org/officeDocument/2006/relationships/hyperlink" Target="https://www.susydiario.it/" TargetMode="External" Id="rId22" /><Relationship Type="http://schemas.openxmlformats.org/officeDocument/2006/relationships/hyperlink" Target="https://www.instagram.com/fortissimo.education" TargetMode="External" Id="rId23" /><Relationship Type="http://schemas.openxmlformats.org/officeDocument/2006/relationships/hyperlink" Target="https://www.linkedin.com/company/fortissimo" TargetMode="External" Id="rId24" /><Relationship Type="http://schemas.openxmlformats.org/officeDocument/2006/relationships/hyperlink" Target="https://www.facebook.com/p/Fortissimo" TargetMode="External" Id="rId25" /><Relationship Type="http://schemas.openxmlformats.org/officeDocument/2006/relationships/hyperlink" Target="http://www.myfaba.com/" TargetMode="External" Id="rId26" /><Relationship Type="http://schemas.openxmlformats.org/officeDocument/2006/relationships/hyperlink" Target="https://www.linkedin.com/company/faba" TargetMode="External" Id="rId27" /><Relationship Type="http://schemas.openxmlformats.org/officeDocument/2006/relationships/hyperlink" Target="https://scenesnap.co/" TargetMode="External" Id="rId28" /><Relationship Type="http://schemas.openxmlformats.org/officeDocument/2006/relationships/hyperlink" Target="https://www.linkedin.com/company/scenesnap/" TargetMode="External" Id="rId29" /><Relationship Type="http://schemas.openxmlformats.org/officeDocument/2006/relationships/hyperlink" Target="https://discentis.it/" TargetMode="External" Id="rId30" /><Relationship Type="http://schemas.openxmlformats.org/officeDocument/2006/relationships/hyperlink" Target="https://www.instagram.com/discentis.it/" TargetMode="External" Id="rId31" /><Relationship Type="http://schemas.openxmlformats.org/officeDocument/2006/relationships/hyperlink" Target="https://www.linkedin.com/company/discentis/" TargetMode="External" Id="rId32" /><Relationship Type="http://schemas.openxmlformats.org/officeDocument/2006/relationships/hyperlink" Target="http://www.equalmate.it/" TargetMode="External" Id="rId33" /><Relationship Type="http://schemas.openxmlformats.org/officeDocument/2006/relationships/hyperlink" Target="http://www.matematcasuperpiatta.it/en" TargetMode="External" Id="rId34" /><Relationship Type="http://schemas.openxmlformats.org/officeDocument/2006/relationships/hyperlink" Target="https://www.instagram.com/matematica.superpiatta/" TargetMode="External" Id="rId35" /><Relationship Type="http://schemas.openxmlformats.org/officeDocument/2006/relationships/hyperlink" Target="https://www.linkedin.com/company/90944851" TargetMode="External" Id="rId36" /><Relationship Type="http://schemas.openxmlformats.org/officeDocument/2006/relationships/hyperlink" Target="https://drive.google.com/uc?export=view&amp;id=1iQlptGSiUdAY0yMZ5XqAV8Y4WOUPuvaj" TargetMode="External" Id="rId37" /><Relationship Type="http://schemas.openxmlformats.org/officeDocument/2006/relationships/hyperlink" Target="https://edulia.it/company/" TargetMode="External" Id="rId38" /><Relationship Type="http://schemas.openxmlformats.org/officeDocument/2006/relationships/hyperlink" Target="https://www.linkedin.com/company/eduliatreccani" TargetMode="External" Id="rId39" /><Relationship Type="http://schemas.openxmlformats.org/officeDocument/2006/relationships/hyperlink" Target="https://drive.google.com/uc?export=view&amp;id=1TZOr6Iw9uQt6xALwF3Fh--g9WCsMR5VR" TargetMode="External" Id="rId40" /><Relationship Type="http://schemas.openxmlformats.org/officeDocument/2006/relationships/hyperlink" Target="http://eworking.it/" TargetMode="External" Id="rId41" /><Relationship Type="http://schemas.openxmlformats.org/officeDocument/2006/relationships/hyperlink" Target="https://www.instagram.com/eworking.it/" TargetMode="External" Id="rId42" /><Relationship Type="http://schemas.openxmlformats.org/officeDocument/2006/relationships/hyperlink" Target="https://www.linkedin.com/company/eworking/" TargetMode="External" Id="rId43" /><Relationship Type="http://schemas.openxmlformats.org/officeDocument/2006/relationships/hyperlink" Target="https://drive.google.com/uc?export=view&amp;id=13qNKJfXDG2UBpRQF-FV-xMKaVYU4KrOx" TargetMode="External" Id="rId44" /><Relationship Type="http://schemas.openxmlformats.org/officeDocument/2006/relationships/hyperlink" Target="https://gamsplatform.com/" TargetMode="External" Id="rId45" /><Relationship Type="http://schemas.openxmlformats.org/officeDocument/2006/relationships/hyperlink" Target="https://www.instagram.com/gamsplatform" TargetMode="External" Id="rId46" /><Relationship Type="http://schemas.openxmlformats.org/officeDocument/2006/relationships/hyperlink" Target="https://www.linkedin.com/company/gamsplatform/" TargetMode="External" Id="rId47" /><Relationship Type="http://schemas.openxmlformats.org/officeDocument/2006/relationships/hyperlink" Target="https://drive.google.com/uc?export=view&amp;id=1i1-mMnEgGLU3pXOkVVLruKtD8j2x6nxl" TargetMode="External" Id="rId48" /><Relationship Type="http://schemas.openxmlformats.org/officeDocument/2006/relationships/hyperlink" Target="http://www.dibs-school.com/" TargetMode="External" Id="rId49" /><Relationship Type="http://schemas.openxmlformats.org/officeDocument/2006/relationships/hyperlink" Target="https://drive.google.com/uc?export=view&amp;id=1enyRbrKQ8mYyOnjJnl_hm6APAsdZEP_s" TargetMode="External" Id="rId50" /><Relationship Type="http://schemas.openxmlformats.org/officeDocument/2006/relationships/hyperlink" Target="http://www.lasco.io/" TargetMode="External" Id="rId51" /><Relationship Type="http://schemas.openxmlformats.org/officeDocument/2006/relationships/hyperlink" Target="https://www.linkedin.com/company/lascosrl/" TargetMode="External" Id="rId52" /><Relationship Type="http://schemas.openxmlformats.org/officeDocument/2006/relationships/hyperlink" Target="https://www.whoteach.it/en/" TargetMode="External" Id="rId53" /><Relationship Type="http://schemas.openxmlformats.org/officeDocument/2006/relationships/hyperlink" Target="https://www.linkedin.com/company/whoteach-it/mycompany/" TargetMode="External" Id="rId54" /><Relationship Type="http://schemas.openxmlformats.org/officeDocument/2006/relationships/hyperlink" Target="https://edulab.work/" TargetMode="External" Id="rId55" /><Relationship Type="http://schemas.openxmlformats.org/officeDocument/2006/relationships/hyperlink" Target="http://www.solion.it/" TargetMode="External" Id="rId56" /><Relationship Type="http://schemas.openxmlformats.org/officeDocument/2006/relationships/hyperlink" Target="https://www.instagram.com/solion.it/" TargetMode="External" Id="rId57" /><Relationship Type="http://schemas.openxmlformats.org/officeDocument/2006/relationships/hyperlink" Target="http://www.gility.it/" TargetMode="External" Id="rId58" /><Relationship Type="http://schemas.openxmlformats.org/officeDocument/2006/relationships/hyperlink" Target="https://www.linkedin.com/company/gility-italia/" TargetMode="External" Id="rId59" /><Relationship Type="http://schemas.openxmlformats.org/officeDocument/2006/relationships/hyperlink" Target="https://radicalhr.it/" TargetMode="External" Id="rId60" /><Relationship Type="http://schemas.openxmlformats.org/officeDocument/2006/relationships/hyperlink" Target="https://www.instagram.com/radical_hr/" TargetMode="External" Id="rId61" /><Relationship Type="http://schemas.openxmlformats.org/officeDocument/2006/relationships/hyperlink" Target="http://www.studentlink.it/" TargetMode="External" Id="rId62" /><Relationship Type="http://schemas.openxmlformats.org/officeDocument/2006/relationships/hyperlink" Target="https://www.instagram.com/studentlink_ita/" TargetMode="External" Id="rId63" /><Relationship Type="http://schemas.openxmlformats.org/officeDocument/2006/relationships/hyperlink" Target="https://www.linkedin.com/company/studentlinkita/?viewAsMember=true" TargetMode="External" Id="rId64" /><Relationship Type="http://schemas.openxmlformats.org/officeDocument/2006/relationships/hyperlink" Target="https://arcadia-consulting.it/" TargetMode="External" Id="rId65" /><Relationship Type="http://schemas.openxmlformats.org/officeDocument/2006/relationships/hyperlink" Target="https://sogesnetwork.eu/" TargetMode="External" Id="rId66" /><Relationship Type="http://schemas.openxmlformats.org/officeDocument/2006/relationships/hyperlink" Target="http://www.smartmicrooptics.com/" TargetMode="External" Id="rId67" /><Relationship Type="http://schemas.openxmlformats.org/officeDocument/2006/relationships/hyperlink" Target="https://drive.google.com/uc?export=view&amp;id=1VJk6Cntf237suTTIvMcMfwmdEnCEBniD" TargetMode="External" Id="rId68" /><Relationship Type="http://schemas.openxmlformats.org/officeDocument/2006/relationships/hyperlink" Target="http://tutored.me/" TargetMode="External" Id="rId69" /><Relationship Type="http://schemas.openxmlformats.org/officeDocument/2006/relationships/hyperlink" Target="http://www.tutornow.it/" TargetMode="External" Id="rId70" /><Relationship Type="http://schemas.openxmlformats.org/officeDocument/2006/relationships/hyperlink" Target="https://drive.google.com/uc?export=view&amp;id=1NYzd_HBKXjoDHoLnPlwpHp5dFWHIvpNX" TargetMode="External" Id="rId71" /><Relationship Type="http://schemas.openxmlformats.org/officeDocument/2006/relationships/hyperlink" Target="http://www.anotherbrick.it/" TargetMode="External" Id="rId72" /><Relationship Type="http://schemas.openxmlformats.org/officeDocument/2006/relationships/hyperlink" Target="http://www.edulai.com/" TargetMode="External" Id="rId73" /><Relationship Type="http://schemas.openxmlformats.org/officeDocument/2006/relationships/hyperlink" Target="https://www.linkedin.com/company/edulai/?viewAsMember=true" TargetMode="External" Id="rId74" /><Relationship Type="http://schemas.openxmlformats.org/officeDocument/2006/relationships/hyperlink" Target="https://drive.google.com/uc?export=view&amp;id=1MZcWK6cYNPu312bSWVJNQolzvZJl3gPb" TargetMode="External" Id="rId75" /><Relationship Type="http://schemas.openxmlformats.org/officeDocument/2006/relationships/hyperlink" Target="https://www.gamedoo.it/" TargetMode="External" Id="rId76" /><Relationship Type="http://schemas.openxmlformats.org/officeDocument/2006/relationships/hyperlink" Target="https://www.linkedin.com/company/gamedoo" TargetMode="External" Id="rId77" /><Relationship Type="http://schemas.openxmlformats.org/officeDocument/2006/relationships/hyperlink" Target="http://www.h4young.it/" TargetMode="External" Id="rId78" /><Relationship Type="http://schemas.openxmlformats.org/officeDocument/2006/relationships/hyperlink" Target="https://www.linkedin.com/company/h4young" TargetMode="External" Id="rId79" /><Relationship Type="http://schemas.openxmlformats.org/officeDocument/2006/relationships/hyperlink" Target="https://drive.google.com/uc?export=view&amp;id=1fLoaUuARhF5hJMgNySGm5ze6zpPr2Uvj" TargetMode="External" Id="rId80" /><Relationship Type="http://schemas.openxmlformats.org/officeDocument/2006/relationships/hyperlink" Target="https://www.iexa.it/" TargetMode="External" Id="rId81" /><Relationship Type="http://schemas.openxmlformats.org/officeDocument/2006/relationships/hyperlink" Target="https://www.linkedin.com/company/learnmore" TargetMode="External" Id="rId82" /><Relationship Type="http://schemas.openxmlformats.org/officeDocument/2006/relationships/hyperlink" Target="https://drive.google.com/uc?export=view&amp;id=1qvdpm26fbOQ2XTHvWJlKI8FqVmfeFeMc" TargetMode="External" Id="rId83" /><Relationship Type="http://schemas.openxmlformats.org/officeDocument/2006/relationships/hyperlink" Target="https://www.start2impact.com/" TargetMode="External" Id="rId84" /><Relationship Type="http://schemas.openxmlformats.org/officeDocument/2006/relationships/hyperlink" Target="https://usophy.com/" TargetMode="External" Id="rId85" /><Relationship Type="http://schemas.openxmlformats.org/officeDocument/2006/relationships/hyperlink" Target="https://www.instagram.com/usophy_books/" TargetMode="External" Id="rId86" /><Relationship Type="http://schemas.openxmlformats.org/officeDocument/2006/relationships/hyperlink" Target="https://www.linkedin.com/company/usophy" TargetMode="External" Id="rId87" /><Relationship Type="http://schemas.openxmlformats.org/officeDocument/2006/relationships/hyperlink" Target="https://drive.google.com/uc?export=view&amp;id=1dBnQ0FmUzBP-laXDtmtfx5dtXuUlMKvc" TargetMode="External" Id="rId88" /><Relationship Type="http://schemas.openxmlformats.org/officeDocument/2006/relationships/hyperlink" Target="https://wibo.app/" TargetMode="External" Id="rId89" /><Relationship Type="http://schemas.openxmlformats.org/officeDocument/2006/relationships/hyperlink" Target="https://www.instagram.com/wibo.family/" TargetMode="External" Id="rId90" /><Relationship Type="http://schemas.openxmlformats.org/officeDocument/2006/relationships/hyperlink" Target="https://www.linkedin.com/company/wiboapp/" TargetMode="External" Id="rId91" /><Relationship Type="http://schemas.openxmlformats.org/officeDocument/2006/relationships/hyperlink" Target="https://www.wef.education/" TargetMode="External" Id="rId92" /><Relationship Type="http://schemas.openxmlformats.org/officeDocument/2006/relationships/hyperlink" Target="https://it.linkedin.com/company/wonderfuleducation" TargetMode="External" Id="rId93" /><Relationship Type="http://schemas.openxmlformats.org/officeDocument/2006/relationships/hyperlink" Target="https://drive.google.com/uc?export=view&amp;id=1u_ilA_MMlH_8XOOoUrxXAxw81xb5AfUv" TargetMode="External" Id="rId94" /><Relationship Type="http://schemas.openxmlformats.org/officeDocument/2006/relationships/hyperlink" Target="https://www.algoreducation.com/" TargetMode="External" Id="rId95" /><Relationship Type="http://schemas.openxmlformats.org/officeDocument/2006/relationships/hyperlink" Target="https://beyondthebox.it/" TargetMode="External" Id="rId96" /><Relationship Type="http://schemas.openxmlformats.org/officeDocument/2006/relationships/hyperlink" Target="https://www.instagram.com/_beyondthebox_/" TargetMode="External" Id="rId97" /><Relationship Type="http://schemas.openxmlformats.org/officeDocument/2006/relationships/hyperlink" Target="https://www.linkedin.com/company/sharingcompetencies/?viewAsMember=true" TargetMode="External" Id="rId98" /><Relationship Type="http://schemas.openxmlformats.org/officeDocument/2006/relationships/hyperlink" Target="https://lifeed.io/en/" TargetMode="External" Id="rId99" /><Relationship Type="http://schemas.openxmlformats.org/officeDocument/2006/relationships/hyperlink" Target="https://www.spxlab.com/" TargetMode="External" Id="rId100" /><Relationship Type="http://schemas.openxmlformats.org/officeDocument/2006/relationships/hyperlink" Target="https://drive.google.com/uc?export=view&amp;id=1uKSlqxsQEZ1vOH19B0FaL48UwEOAvWBs" TargetMode="External" Id="rId101" /><Relationship Type="http://schemas.openxmlformats.org/officeDocument/2006/relationships/hyperlink" Target="http://www.cec.com/" TargetMode="External" Id="rId102" /><Relationship Type="http://schemas.openxmlformats.org/officeDocument/2006/relationships/hyperlink" Target="https://altrifiumi.com/" TargetMode="External" Id="rId103" /><Relationship Type="http://schemas.openxmlformats.org/officeDocument/2006/relationships/hyperlink" Target="http://aulab.it/" TargetMode="External" Id="rId104" /><Relationship Type="http://schemas.openxmlformats.org/officeDocument/2006/relationships/hyperlink" Target="http://www.feedtheirminds.com/" TargetMode="External" Id="rId105" /><Relationship Type="http://schemas.openxmlformats.org/officeDocument/2006/relationships/hyperlink" Target="https://www.instagram.com/feed_their_minds/" TargetMode="External" Id="rId106" /><Relationship Type="http://schemas.openxmlformats.org/officeDocument/2006/relationships/hyperlink" Target="https://www.linkedin.com/company/72175751/admin/" TargetMode="External" Id="rId107" /><Relationship Type="http://schemas.openxmlformats.org/officeDocument/2006/relationships/hyperlink" Target="https://drive.google.com/uc?export=view&amp;id=19nE234U2T_wjywyQ42JQkTheNgpTpvsX" TargetMode="External" Id="rId108" /><Relationship Type="http://schemas.openxmlformats.org/officeDocument/2006/relationships/hyperlink" Target="http://www.marshmallow-games.com/" TargetMode="External" Id="rId109" /><Relationship Type="http://schemas.openxmlformats.org/officeDocument/2006/relationships/hyperlink" Target="https://www.talanddev.com/" TargetMode="External" Id="rId110" /><Relationship Type="http://schemas.openxmlformats.org/officeDocument/2006/relationships/hyperlink" Target="https://www.weschool.com/en" TargetMode="External" Id="rId111" /><Relationship Type="http://schemas.openxmlformats.org/officeDocument/2006/relationships/hyperlink" Target="https://www.instagram.com/weschool_it/" TargetMode="External" Id="rId112" /><Relationship Type="http://schemas.openxmlformats.org/officeDocument/2006/relationships/hyperlink" Target="https://twitter.com/_weschool" TargetMode="External" Id="rId113" /><Relationship Type="http://schemas.openxmlformats.org/officeDocument/2006/relationships/hyperlink" Target="https://www.linkedin.com/company/weschool" TargetMode="External" Id="rId114" /><Relationship Type="http://schemas.openxmlformats.org/officeDocument/2006/relationships/hyperlink" Target="https://www.amoreperilsapere.it/" TargetMode="External" Id="rId115" /><Relationship Type="http://schemas.openxmlformats.org/officeDocument/2006/relationships/hyperlink" Target="https://drive.google.com/uc?export=view&amp;id=1uDcnOcMJaHRE3ftchN0h8L9waL3OFkt6" TargetMode="External" Id="rId116" /><Relationship Type="http://schemas.openxmlformats.org/officeDocument/2006/relationships/hyperlink" Target="https://abstract-technology.com/" TargetMode="External" Id="rId117" /><Relationship Type="http://schemas.openxmlformats.org/officeDocument/2006/relationships/hyperlink" Target="https://www.docsity.com/" TargetMode="External" Id="rId118" /><Relationship Type="http://schemas.openxmlformats.org/officeDocument/2006/relationships/hyperlink" Target="https://www.enzima12.com/home-enzima12" TargetMode="External" Id="rId119" /><Relationship Type="http://schemas.openxmlformats.org/officeDocument/2006/relationships/hyperlink" Target="https://www.guilds42.com/" TargetMode="External" Id="rId120" /><Relationship Type="http://schemas.openxmlformats.org/officeDocument/2006/relationships/hyperlink" Target="https://drive.google.com/uc?export=view&amp;id=1cyqxkHlMBWUyzpqaKUmxdfeUeU6O4Ina" TargetMode="External" Id="rId121" /><Relationship Type="http://schemas.openxmlformats.org/officeDocument/2006/relationships/hyperlink" Target="http://quaestiones.com/" TargetMode="External" Id="rId122" /><Relationship Type="http://schemas.openxmlformats.org/officeDocument/2006/relationships/hyperlink" Target="http://www.quaestiones.com/" TargetMode="External" Id="rId123" /><Relationship Type="http://schemas.openxmlformats.org/officeDocument/2006/relationships/hyperlink" Target="http://www.bsmartlabs.com/" TargetMode="External" Id="rId124" /><Relationship Type="http://schemas.openxmlformats.org/officeDocument/2006/relationships/hyperlink" Target="https://www.funnifin.com/" TargetMode="External" Id="rId125" /><Relationship Type="http://schemas.openxmlformats.org/officeDocument/2006/relationships/hyperlink" Target="https://instagram.com/funnifin_app?igshid=MzRlODBiNWFlZA==" TargetMode="External" Id="rId126" /><Relationship Type="http://schemas.openxmlformats.org/officeDocument/2006/relationships/hyperlink" Target="https://www.linkedin.com/company/funnifin/?viewAsMember=true" TargetMode="External" Id="rId127" /><Relationship Type="http://schemas.openxmlformats.org/officeDocument/2006/relationships/hyperlink" Target="https://schoolr.net/it" TargetMode="External" Id="rId128" /><Relationship Type="http://schemas.openxmlformats.org/officeDocument/2006/relationships/hyperlink" Target="https://www.instagram.com/schoolrhq/" TargetMode="External" Id="rId129" /><Relationship Type="http://schemas.openxmlformats.org/officeDocument/2006/relationships/hyperlink" Target="https://twitter.com/SchoolrHQ" TargetMode="External" Id="rId130" /><Relationship Type="http://schemas.openxmlformats.org/officeDocument/2006/relationships/hyperlink" Target="https://www.linkedin.com/company/schoolr/" TargetMode="External" Id="rId131" /><Relationship Type="http://schemas.openxmlformats.org/officeDocument/2006/relationships/hyperlink" Target="https://drive.google.com/uc?export=view&amp;id=10HfIkY9FC-lenOAg1xioEJ7rHrOkyjlV" TargetMode="External" Id="rId132" /><Relationship Type="http://schemas.openxmlformats.org/officeDocument/2006/relationships/hyperlink" Target="http://www.alteredu.it/" TargetMode="External" Id="rId133" /><Relationship Type="http://schemas.openxmlformats.org/officeDocument/2006/relationships/hyperlink" Target="https://www.instagram.com/alteredu.it/" TargetMode="External" Id="rId134" /><Relationship Type="http://schemas.openxmlformats.org/officeDocument/2006/relationships/hyperlink" Target="https://www.linkedin.com/company/alteredu" TargetMode="External" Id="rId135" /><Relationship Type="http://schemas.openxmlformats.org/officeDocument/2006/relationships/hyperlink" Target="https://kjuicer.com/" TargetMode="External" Id="rId136" /><Relationship Type="http://schemas.openxmlformats.org/officeDocument/2006/relationships/hyperlink" Target="https://twitter.com/KnowledgeJuicer" TargetMode="External" Id="rId137" /><Relationship Type="http://schemas.openxmlformats.org/officeDocument/2006/relationships/hyperlink" Target="https://www.linkedin.com/company/10288288" TargetMode="External" Id="rId138" /><Relationship Type="http://schemas.openxmlformats.org/officeDocument/2006/relationships/hyperlink" Target="https://www.makercamp.it/" TargetMode="External" Id="rId139" /><Relationship Type="http://schemas.openxmlformats.org/officeDocument/2006/relationships/hyperlink" Target="https://drive.google.com/uc?export=view&amp;id=1L1-YzOVHTOMSWyQWcZ0daqekwbk2-aQG" TargetMode="External" Id="rId140" /><Relationship Type="http://schemas.openxmlformats.org/officeDocument/2006/relationships/hyperlink" Target="https://www.wisepath.ai/" TargetMode="External" Id="rId141" /><Relationship Type="http://schemas.openxmlformats.org/officeDocument/2006/relationships/hyperlink" Target="https://www.linkedin.com/company/79811623/admin/" TargetMode="External" Id="rId142" /><Relationship Type="http://schemas.openxmlformats.org/officeDocument/2006/relationships/hyperlink" Target="https://drive.google.com/uc?export=view&amp;id=1SciQqwd3YGqSf_PAKBCu6Ao_ZYyUZDPK" TargetMode="External" Id="rId143" /><Relationship Type="http://schemas.openxmlformats.org/officeDocument/2006/relationships/hyperlink" Target="http://www.materdoppiodiploma.it/" TargetMode="External" Id="rId144" /><Relationship Type="http://schemas.openxmlformats.org/officeDocument/2006/relationships/hyperlink" Target="https://drive.google.com/uc?export=view&amp;id=1LlR2LOyAudD4-PexIkGLcnfH3sqGaZvA" TargetMode="External" Id="rId145" /><Relationship Type="http://schemas.openxmlformats.org/officeDocument/2006/relationships/hyperlink" Target="http://www.docendum.it/" TargetMode="External" Id="rId146" /><Relationship Type="http://schemas.openxmlformats.org/officeDocument/2006/relationships/hyperlink" Target="https://www.instagram.com/docendum/" TargetMode="External" Id="rId147" /><Relationship Type="http://schemas.openxmlformats.org/officeDocument/2006/relationships/hyperlink" Target="https://www.linkedin.com/company/10153088/" TargetMode="External" Id="rId148" /><Relationship Type="http://schemas.openxmlformats.org/officeDocument/2006/relationships/hyperlink" Target="https://drive.google.com/uc?export=view&amp;id=1ebK1zFh7dTJzTbCVy3VhL6rj5HU7Vo5r" TargetMode="External" Id="rId149" /><Relationship Type="http://schemas.openxmlformats.org/officeDocument/2006/relationships/hyperlink" Target="https://ofcourse.me/" TargetMode="External" Id="rId150" /><Relationship Type="http://schemas.openxmlformats.org/officeDocument/2006/relationships/hyperlink" Target="https://twitter.com/Of_Course_Me" TargetMode="External" Id="rId151" /><Relationship Type="http://schemas.openxmlformats.org/officeDocument/2006/relationships/hyperlink" Target="https://www.linkedin.com/company/ofcourseme-official/mycompany/?viewAsMember=true" TargetMode="External" Id="rId152" /><Relationship Type="http://schemas.openxmlformats.org/officeDocument/2006/relationships/hyperlink" Target="https://drive.google.com/uc?export=view&amp;id=15iM05Bj7uP4drIB-p5gzQJdRZYnZFIgz" TargetMode="External" Id="rId153" /><Relationship Type="http://schemas.openxmlformats.org/officeDocument/2006/relationships/hyperlink" Target="https://it.edulai.com/smarthink" TargetMode="External" Id="rId154" /><Relationship Type="http://schemas.openxmlformats.org/officeDocument/2006/relationships/hyperlink" Target="https://www.linkedin.com/company/edulai/posts/?feedView=all&amp;viewAsMember=true" TargetMode="External" Id="rId155" /><Relationship Type="http://schemas.openxmlformats.org/officeDocument/2006/relationships/hyperlink" Target="https://drive.google.com/uc?export=view&amp;id=1Mk4iTIkF5xTPkmkc9gvgKgVcKDRjcrbr" TargetMode="External" Id="rId156" /><Relationship Type="http://schemas.openxmlformats.org/officeDocument/2006/relationships/hyperlink" Target="http://www.siriusgame.it/" TargetMode="External" Id="rId157" /><Relationship Type="http://schemas.openxmlformats.org/officeDocument/2006/relationships/hyperlink" Target="https://www.instagram.com/siriusgame_/?hl=en" TargetMode="External" Id="rId158" /><Relationship Type="http://schemas.openxmlformats.org/officeDocument/2006/relationships/hyperlink" Target="https://www.linkedin.com/company/siriusgame" TargetMode="External" Id="rId159" /><Relationship Type="http://schemas.openxmlformats.org/officeDocument/2006/relationships/hyperlink" Target="https://drive.google.com/uc?export=view&amp;id=1j4FCMTkSCnYCcps7VWF8AXVyu7SQKcUB" TargetMode="External" Id="rId160" /><Relationship Type="http://schemas.openxmlformats.org/officeDocument/2006/relationships/hyperlink" Target="http://www.wyblo.com/" TargetMode="External" Id="rId161" /><Relationship Type="http://schemas.openxmlformats.org/officeDocument/2006/relationships/hyperlink" Target="https://www.instagram.com/lifeatwyblo/" TargetMode="External" Id="rId162" /><Relationship Type="http://schemas.openxmlformats.org/officeDocument/2006/relationships/hyperlink" Target="https://www.linkedin.com/company/wyblo" TargetMode="External" Id="rId163" /><Relationship Type="http://schemas.openxmlformats.org/officeDocument/2006/relationships/hyperlink" Target="https://drive.google.com/uc?export=view&amp;id=1haqq3swoWn7OZ4SZs1XrGW9u7LMgJQdF" TargetMode="External" Id="rId164" /></Relationships>
</file>

<file path=xl/worksheets/_rels/sheet6.xml.rels><Relationships xmlns="http://schemas.openxmlformats.org/package/2006/relationships"><Relationship Type="http://schemas.openxmlformats.org/officeDocument/2006/relationships/hyperlink" Target="http://www.global-exam.com/" TargetMode="External" Id="rId1" /><Relationship Type="http://schemas.openxmlformats.org/officeDocument/2006/relationships/hyperlink" Target="https://www.linkedin.com/company/global-exam/" TargetMode="External" Id="rId2" /><Relationship Type="http://schemas.openxmlformats.org/officeDocument/2006/relationships/hyperlink" Target="https://drive.google.com/uc?export=view&amp;id=1m34zCDVjTuvNNAlvXK9eJvYVzVn2eaWi" TargetMode="External" Id="rId3" /><Relationship Type="http://schemas.openxmlformats.org/officeDocument/2006/relationships/hyperlink" Target="https://fr.linkedin.com/company/challengemesup" TargetMode="External" Id="rId4" /><Relationship Type="http://schemas.openxmlformats.org/officeDocument/2006/relationships/hyperlink" Target="https://drive.google.com/uc?export=view&amp;id=17JwJJioEu5YypSKT2TU-1YXN8IQxLIS9" TargetMode="External" Id="rId5" /><Relationship Type="http://schemas.openxmlformats.org/officeDocument/2006/relationships/hyperlink" Target="https://ubeeko.com/" TargetMode="External" Id="rId6" /><Relationship Type="http://schemas.openxmlformats.org/officeDocument/2006/relationships/hyperlink" Target="https://linkedin.com/company/ubeeko" TargetMode="External" Id="rId7" /><Relationship Type="http://schemas.openxmlformats.org/officeDocument/2006/relationships/hyperlink" Target="https://drive.google.com/uc?export=view&amp;id=12GhYpnmV3gizaXgo-COIuYi-17b7BxLC" TargetMode="External" Id="rId8" /><Relationship Type="http://schemas.openxmlformats.org/officeDocument/2006/relationships/hyperlink" Target="https://scealprod.fr/" TargetMode="External" Id="rId9" /><Relationship Type="http://schemas.openxmlformats.org/officeDocument/2006/relationships/hyperlink" Target="https://www.instagram.com/scealprod.fr" TargetMode="External" Id="rId10" /><Relationship Type="http://schemas.openxmlformats.org/officeDocument/2006/relationships/hyperlink" Target="https://www.linkedin.com/in/hugues-avit-callaud/" TargetMode="External" Id="rId11" /><Relationship Type="http://schemas.openxmlformats.org/officeDocument/2006/relationships/hyperlink" Target="https://drive.google.com/uc?export=view&amp;id=1FG8CD8w8MhntuwRn3BAZIQNA-F_cgyJs" TargetMode="External" Id="rId12" /><Relationship Type="http://schemas.openxmlformats.org/officeDocument/2006/relationships/hyperlink" Target="https://www.facebook.com/scealstudio" TargetMode="External" Id="rId13" /><Relationship Type="http://schemas.openxmlformats.org/officeDocument/2006/relationships/hyperlink" Target="https://magma.app/" TargetMode="External" Id="rId14" /><Relationship Type="http://schemas.openxmlformats.org/officeDocument/2006/relationships/hyperlink" Target="https://www.instagram.com/insidemagma/" TargetMode="External" Id="rId15" /><Relationship Type="http://schemas.openxmlformats.org/officeDocument/2006/relationships/hyperlink" Target="https://www.linkedin.com/company/magmaapp/" TargetMode="External" Id="rId16" /><Relationship Type="http://schemas.openxmlformats.org/officeDocument/2006/relationships/hyperlink" Target="https://drive.google.com/uc?export=view&amp;id=18YC9a1B3Qq2QWEZm4wDKCD_Vf5kdnS7H" TargetMode="External" Id="rId17" /><Relationship Type="http://schemas.openxmlformats.org/officeDocument/2006/relationships/hyperlink" Target="http://www.mimbus.com/" TargetMode="External" Id="rId18" /><Relationship Type="http://schemas.openxmlformats.org/officeDocument/2006/relationships/hyperlink" Target="https://drive.google.com/uc?export=view&amp;id=1I5zW4Dd8VyabeRw2_Fi5OJvvUdNMTQ41" TargetMode="External" Id="rId19" /><Relationship Type="http://schemas.openxmlformats.org/officeDocument/2006/relationships/hyperlink" Target="https://www.ludo-vic.com/" TargetMode="External" Id="rId20" /><Relationship Type="http://schemas.openxmlformats.org/officeDocument/2006/relationships/hyperlink" Target="https://www.linkedin.com/company/ludo-vic/?originalSubdomain=fr" TargetMode="External" Id="rId21" /><Relationship Type="http://schemas.openxmlformats.org/officeDocument/2006/relationships/hyperlink" Target="https://drive.google.com/uc?export=view&amp;id=1_ngIySarFNZUMAFisHM1K-t8CRMoipoZ" TargetMode="External" Id="rId22" /><Relationship Type="http://schemas.openxmlformats.org/officeDocument/2006/relationships/hyperlink" Target="https://short-edition.com/en/" TargetMode="External" Id="rId23" /><Relationship Type="http://schemas.openxmlformats.org/officeDocument/2006/relationships/hyperlink" Target="https://www.linkedin.com/company/shortedition/" TargetMode="External" Id="rId24" /><Relationship Type="http://schemas.openxmlformats.org/officeDocument/2006/relationships/hyperlink" Target="https://drive.google.com/uc?export=view&amp;id=1jwlI1Lx0JqqiTuHmcMtZ3_HG89g08B6M" TargetMode="External" Id="rId25" /><Relationship Type="http://schemas.openxmlformats.org/officeDocument/2006/relationships/hyperlink" Target="http://www.emraude.com/" TargetMode="External" Id="rId26" /><Relationship Type="http://schemas.openxmlformats.org/officeDocument/2006/relationships/hyperlink" Target="https://drive.google.com/uc?export=view&amp;id=13ofQrWW3m0jZuNl40tybQmeDvTkOmcF-" TargetMode="External" Id="rId27" /><Relationship Type="http://schemas.openxmlformats.org/officeDocument/2006/relationships/hyperlink" Target="http://www.codingpark.io/en" TargetMode="External" Id="rId28" /><Relationship Type="http://schemas.openxmlformats.org/officeDocument/2006/relationships/hyperlink" Target="https://www.instagram.com/coding.park/" TargetMode="External" Id="rId29" /><Relationship Type="http://schemas.openxmlformats.org/officeDocument/2006/relationships/hyperlink" Target="https://x.com/codingpark" TargetMode="External" Id="rId30" /><Relationship Type="http://schemas.openxmlformats.org/officeDocument/2006/relationships/hyperlink" Target="https://www.linkedin.com/company/codingpark" TargetMode="External" Id="rId31" /><Relationship Type="http://schemas.openxmlformats.org/officeDocument/2006/relationships/hyperlink" Target="https://drive.google.com/uc?export=view&amp;id=1sduAWNqCWBa8mIxWzgE76I0WZD-WMwmh" TargetMode="External" Id="rId32" /><Relationship Type="http://schemas.openxmlformats.org/officeDocument/2006/relationships/hyperlink" Target="https://www.facebook.com/codingpark" TargetMode="External" Id="rId33" /><Relationship Type="http://schemas.openxmlformats.org/officeDocument/2006/relationships/hyperlink" Target="https://www.beyond-words-vr.com/" TargetMode="External" Id="rId34" /><Relationship Type="http://schemas.openxmlformats.org/officeDocument/2006/relationships/hyperlink" Target="https://www.linkedin.com/company/103495283" TargetMode="External" Id="rId35" /><Relationship Type="http://schemas.openxmlformats.org/officeDocument/2006/relationships/hyperlink" Target="https://drive.google.com/uc?export=view&amp;id=1Ub6xdMbyHW9gJ3cK5QHGSGkGeGeTBpoC" TargetMode="External" Id="rId36" /><Relationship Type="http://schemas.openxmlformats.org/officeDocument/2006/relationships/hyperlink" Target="https://vittascience.com/" TargetMode="External" Id="rId37" /><Relationship Type="http://schemas.openxmlformats.org/officeDocument/2006/relationships/hyperlink" Target="https://drive.google.com/uc?export=view&amp;id=1s4dUBrdKBYzXviTJIfizi3OcYvwmznnh" TargetMode="External" Id="rId38" /><Relationship Type="http://schemas.openxmlformats.org/officeDocument/2006/relationships/hyperlink" Target="https://www.mobidys.com/" TargetMode="External" Id="rId39" /><Relationship Type="http://schemas.openxmlformats.org/officeDocument/2006/relationships/hyperlink" Target="https://drive.google.com/uc?export=view&amp;id=1MeI4x-m8gyZKfSnJMXiXVIA7fLzipoJc" TargetMode="External" Id="rId40" /><Relationship Type="http://schemas.openxmlformats.org/officeDocument/2006/relationships/hyperlink" Target="https://madmagz.com/" TargetMode="External" Id="rId41" /><Relationship Type="http://schemas.openxmlformats.org/officeDocument/2006/relationships/hyperlink" Target="https://www.instagram.com/madmagz.live/" TargetMode="External" Id="rId42" /><Relationship Type="http://schemas.openxmlformats.org/officeDocument/2006/relationships/hyperlink" Target="https://x.com/madmagz" TargetMode="External" Id="rId43" /><Relationship Type="http://schemas.openxmlformats.org/officeDocument/2006/relationships/hyperlink" Target="https://www.linkedin.com/company/949712" TargetMode="External" Id="rId44" /><Relationship Type="http://schemas.openxmlformats.org/officeDocument/2006/relationships/hyperlink" Target="https://drive.google.com/uc?export=view&amp;id=1FJIWR9LmUM8N4YxuB61JBlNHJFYCwOph" TargetMode="External" Id="rId45" /><Relationship Type="http://schemas.openxmlformats.org/officeDocument/2006/relationships/hyperlink" Target="https://www.edcortex.com/" TargetMode="External" Id="rId46" /><Relationship Type="http://schemas.openxmlformats.org/officeDocument/2006/relationships/hyperlink" Target="https://www.linkedin.com/company/edcortex/?viewAsMember=true" TargetMode="External" Id="rId47" /><Relationship Type="http://schemas.openxmlformats.org/officeDocument/2006/relationships/hyperlink" Target="https://drive.google.com/uc?export=view&amp;id=1QYCY1FiwZbZ6CoiFXQviCoy9nSxXDXCq" TargetMode="External" Id="rId48" /><Relationship Type="http://schemas.openxmlformats.org/officeDocument/2006/relationships/hyperlink" Target="https://www.compilatio.net/en" TargetMode="External" Id="rId49" /><Relationship Type="http://schemas.openxmlformats.org/officeDocument/2006/relationships/hyperlink" Target="https://fr.linkedin.com/company/compilatio" TargetMode="External" Id="rId50" /><Relationship Type="http://schemas.openxmlformats.org/officeDocument/2006/relationships/hyperlink" Target="https://drive.google.com/uc?export=view&amp;id=15ucyQppAtJC6hfnUmxbiWYqUUMQhp7lX" TargetMode="External" Id="rId51" /><Relationship Type="http://schemas.openxmlformats.org/officeDocument/2006/relationships/hyperlink" Target="https://www.facebook.com/compilatio.net/" TargetMode="External" Id="rId52" /><Relationship Type="http://schemas.openxmlformats.org/officeDocument/2006/relationships/hyperlink" Target="https://www.inokufu.com/" TargetMode="External" Id="rId53" /><Relationship Type="http://schemas.openxmlformats.org/officeDocument/2006/relationships/hyperlink" Target="https://www.linkedin.com/company/inokufu/" TargetMode="External" Id="rId54" /><Relationship Type="http://schemas.openxmlformats.org/officeDocument/2006/relationships/hyperlink" Target="https://drive.google.com/uc?export=view&amp;id=1rdcHG-U7xI7377px4SMmXQmfmoFO6UyL" TargetMode="External" Id="rId55" /><Relationship Type="http://schemas.openxmlformats.org/officeDocument/2006/relationships/hyperlink" Target="https://authot.com/" TargetMode="External" Id="rId56" /><Relationship Type="http://schemas.openxmlformats.org/officeDocument/2006/relationships/hyperlink" Target="https://www.linkedin.com/company/authot/" TargetMode="External" Id="rId57" /><Relationship Type="http://schemas.openxmlformats.org/officeDocument/2006/relationships/hyperlink" Target="https://drive.google.com/uc?export=view&amp;id=1rbMWHybJOUWJpEvO6hosVdOwXbbJ0tJN" TargetMode="External" Id="rId58" /><Relationship Type="http://schemas.openxmlformats.org/officeDocument/2006/relationships/hyperlink" Target="https://drive.google.com/uc?export=view&amp;id=1JgIYxzwQjcTfn3_gxYipeyiC67WVYKZe" TargetMode="External" Id="rId59" /><Relationship Type="http://schemas.openxmlformats.org/officeDocument/2006/relationships/hyperlink" Target="https://mydys.app/edu/en/" TargetMode="External" Id="rId60" /><Relationship Type="http://schemas.openxmlformats.org/officeDocument/2006/relationships/hyperlink" Target="https://www.instagram.com/facil_iti/" TargetMode="External" Id="rId61" /><Relationship Type="http://schemas.openxmlformats.org/officeDocument/2006/relationships/hyperlink" Target="https://x.com/facil_iti" TargetMode="External" Id="rId62" /><Relationship Type="http://schemas.openxmlformats.org/officeDocument/2006/relationships/hyperlink" Target="https://www.linkedin.com/company/facil-iti-france/" TargetMode="External" Id="rId63" /><Relationship Type="http://schemas.openxmlformats.org/officeDocument/2006/relationships/hyperlink" Target="https://drive.google.com/uc?export=view&amp;id=1fc945MPVyCobf1Rapft7pibp2bFB9GcQ" TargetMode="External" Id="rId64" /><Relationship Type="http://schemas.openxmlformats.org/officeDocument/2006/relationships/hyperlink" Target="https://www.facebook.com/solutionfaciliti/" TargetMode="External" Id="rId65" /><Relationship Type="http://schemas.openxmlformats.org/officeDocument/2006/relationships/hyperlink" Target="https://anemon.co/" TargetMode="External" Id="rId66" /><Relationship Type="http://schemas.openxmlformats.org/officeDocument/2006/relationships/hyperlink" Target="https://fr.linkedin.com/company/withanemon" TargetMode="External" Id="rId67" /><Relationship Type="http://schemas.openxmlformats.org/officeDocument/2006/relationships/hyperlink" Target="https://drive.google.com/uc?export=view&amp;id=1vHeUFHnB7iAIMvUrZyZfNtJYuDWvSVEh" TargetMode="External" Id="rId68" /><Relationship Type="http://schemas.openxmlformats.org/officeDocument/2006/relationships/hyperlink" Target="https://www.rosariosis.org/" TargetMode="External" Id="rId69" /><Relationship Type="http://schemas.openxmlformats.org/officeDocument/2006/relationships/hyperlink" Target="https://drive.google.com/uc?export=view&amp;id=1oT_Sl7MpAWvx9CMW5Dfi1C3ImWV1vQxE" TargetMode="External" Id="rId70" /><Relationship Type="http://schemas.openxmlformats.org/officeDocument/2006/relationships/hyperlink" Target="https://co-gito.coml/" TargetMode="External" Id="rId71" /><Relationship Type="http://schemas.openxmlformats.org/officeDocument/2006/relationships/hyperlink" Target="https://www.linkedin.com/company/co-gito" TargetMode="External" Id="rId72" /><Relationship Type="http://schemas.openxmlformats.org/officeDocument/2006/relationships/hyperlink" Target="https://drive.google.com/uc?export=view&amp;id=11YmoB_x8Xh0TbjPHSoRb664nIXO_Ur9S" TargetMode="External" Id="rId73" /><Relationship Type="http://schemas.openxmlformats.org/officeDocument/2006/relationships/hyperlink" Target="https://www.pomelabs.com/" TargetMode="External" Id="rId74" /><Relationship Type="http://schemas.openxmlformats.org/officeDocument/2006/relationships/hyperlink" Target="https://www.instagram.com/pome.labs/" TargetMode="External" Id="rId75" /><Relationship Type="http://schemas.openxmlformats.org/officeDocument/2006/relationships/hyperlink" Target="https://www.linkedin.com/company/pomelabs" TargetMode="External" Id="rId76" /><Relationship Type="http://schemas.openxmlformats.org/officeDocument/2006/relationships/hyperlink" Target="https://drive.google.com/uc?export=view&amp;id=1jTenh2OnHwPh3-xtOXPYNR2LStGOerQV" TargetMode="External" Id="rId77" /><Relationship Type="http://schemas.openxmlformats.org/officeDocument/2006/relationships/hyperlink" Target="https://edusign.com/" TargetMode="External" Id="rId78" /><Relationship Type="http://schemas.openxmlformats.org/officeDocument/2006/relationships/hyperlink" Target="https://www.linkedin.com/company/edusign/" TargetMode="External" Id="rId79" /><Relationship Type="http://schemas.openxmlformats.org/officeDocument/2006/relationships/hyperlink" Target="http://ilorobot.com/" TargetMode="External" Id="rId80" /><Relationship Type="http://schemas.openxmlformats.org/officeDocument/2006/relationships/hyperlink" Target="https://www.linkedin.com/company/ilorobot/" TargetMode="External" Id="rId81" /><Relationship Type="http://schemas.openxmlformats.org/officeDocument/2006/relationships/hyperlink" Target="http://www.epistemes-formation.fr/" TargetMode="External" Id="rId82" /><Relationship Type="http://schemas.openxmlformats.org/officeDocument/2006/relationships/hyperlink" Target="https://www.linkedin.com/company/episteme" TargetMode="External" Id="rId83" /><Relationship Type="http://schemas.openxmlformats.org/officeDocument/2006/relationships/hyperlink" Target="http://www.educacode.com/" TargetMode="External" Id="rId84" /><Relationship Type="http://schemas.openxmlformats.org/officeDocument/2006/relationships/hyperlink" Target="https://www.linkedin.com/company/educacode" TargetMode="External" Id="rId85" /><Relationship Type="http://schemas.openxmlformats.org/officeDocument/2006/relationships/hyperlink" Target="https://widid.fr/" TargetMode="External" Id="rId86" /><Relationship Type="http://schemas.openxmlformats.org/officeDocument/2006/relationships/hyperlink" Target="https://www.linkedin.com/company/11763645/" TargetMode="External" Id="rId87" /><Relationship Type="http://schemas.openxmlformats.org/officeDocument/2006/relationships/hyperlink" Target="http://corolair.com/" TargetMode="External" Id="rId88" /><Relationship Type="http://schemas.openxmlformats.org/officeDocument/2006/relationships/hyperlink" Target="http://unowhy.com/" TargetMode="External" Id="rId89" /><Relationship Type="http://schemas.openxmlformats.org/officeDocument/2006/relationships/hyperlink" Target="https://global.exatech-group.com/" TargetMode="External" Id="rId90" /><Relationship Type="http://schemas.openxmlformats.org/officeDocument/2006/relationships/hyperlink" Target="https://x.com/exatechgroup;" TargetMode="External" Id="rId91" /><Relationship Type="http://schemas.openxmlformats.org/officeDocument/2006/relationships/hyperlink" Target="https://fr.linkedin.com/company/exatech" TargetMode="External" Id="rId92" /><Relationship Type="http://schemas.openxmlformats.org/officeDocument/2006/relationships/hyperlink" Target="https://alec-edu.com/" TargetMode="External" Id="rId93" /><Relationship Type="http://schemas.openxmlformats.org/officeDocument/2006/relationships/hyperlink" Target="https://cards-microlearning.com/" TargetMode="External" Id="rId94" /><Relationship Type="http://schemas.openxmlformats.org/officeDocument/2006/relationships/hyperlink" Target="https://www.linkedin.com/company/cards" TargetMode="External" Id="rId95" /><Relationship Type="http://schemas.openxmlformats.org/officeDocument/2006/relationships/hyperlink" Target="http://music-crab.com/" TargetMode="External" Id="rId96" /><Relationship Type="http://schemas.openxmlformats.org/officeDocument/2006/relationships/hyperlink" Target="https://www.edtake.com/en" TargetMode="External" Id="rId97" /><Relationship Type="http://schemas.openxmlformats.org/officeDocument/2006/relationships/hyperlink" Target="https://www.linkedin.com/company/edtake" TargetMode="External" Id="rId98" /><Relationship Type="http://schemas.openxmlformats.org/officeDocument/2006/relationships/hyperlink" Target="http://edtake.ai/" TargetMode="External" Id="rId99" /><Relationship Type="http://schemas.openxmlformats.org/officeDocument/2006/relationships/hyperlink" Target="https://drive.google.com/uc?export=view&amp;id=1W837jH_PBeQCejmQDYnqrlBsC2vgSvJC" TargetMode="External" Id="rId100" /><Relationship Type="http://schemas.openxmlformats.org/officeDocument/2006/relationships/hyperlink" Target="https://mydys.app/fr/" TargetMode="External" Id="rId101" /><Relationship Type="http://schemas.openxmlformats.org/officeDocument/2006/relationships/hyperlink" Target="https://www.instagram.com/facil_iti/" TargetMode="External" Id="rId102" /><Relationship Type="http://schemas.openxmlformats.org/officeDocument/2006/relationships/hyperlink" Target="https://twitter.com/facil_iti" TargetMode="External" Id="rId103" /><Relationship Type="http://schemas.openxmlformats.org/officeDocument/2006/relationships/hyperlink" Target="https://www.linkedin.com/company/facil-iti-france/mycompany/" TargetMode="External" Id="rId104" /><Relationship Type="http://schemas.openxmlformats.org/officeDocument/2006/relationships/hyperlink" Target="http://www.emeraude-escape.com/en" TargetMode="External" Id="rId105" /><Relationship Type="http://schemas.openxmlformats.org/officeDocument/2006/relationships/hyperlink" Target="https://twitter.com/EmeraudeEscape" TargetMode="External" Id="rId106" /><Relationship Type="http://schemas.openxmlformats.org/officeDocument/2006/relationships/hyperlink" Target="https://www.linkedin.com/company/emeraude-escape-game" TargetMode="External" Id="rId107" /><Relationship Type="http://schemas.openxmlformats.org/officeDocument/2006/relationships/hyperlink" Target="https://drive.google.com/uc?export=view&amp;id=1GIfCjZj49Kfbby7Cj7lbjfyVbC52HUPI" TargetMode="External" Id="rId108" /><Relationship Type="http://schemas.openxmlformats.org/officeDocument/2006/relationships/hyperlink" Target="https://www.kura-app.com/" TargetMode="External" Id="rId109" /><Relationship Type="http://schemas.openxmlformats.org/officeDocument/2006/relationships/hyperlink" Target="https://myscol.com/" TargetMode="External" Id="rId110" /><Relationship Type="http://schemas.openxmlformats.org/officeDocument/2006/relationships/hyperlink" Target="https://www.instagram.com/myscol.english/?next=%2F" TargetMode="External" Id="rId111" /><Relationship Type="http://schemas.openxmlformats.org/officeDocument/2006/relationships/hyperlink" Target="https://twitter.com/MyScolOfficiel" TargetMode="External" Id="rId112" /><Relationship Type="http://schemas.openxmlformats.org/officeDocument/2006/relationships/hyperlink" Target="https://www.linkedin.com/showcase/myscol/" TargetMode="External" Id="rId113" /><Relationship Type="http://schemas.openxmlformats.org/officeDocument/2006/relationships/hyperlink" Target="https://startuplab.neoma-bs.fr/en/neoma-edtech-accelerator-2/" TargetMode="External" Id="rId114" /><Relationship Type="http://schemas.openxmlformats.org/officeDocument/2006/relationships/hyperlink" Target="https://www.studi.com/fr" TargetMode="External" Id="rId115" /><Relationship Type="http://schemas.openxmlformats.org/officeDocument/2006/relationships/hyperlink" Target="https://www.instagram.com/ecole_studi" TargetMode="External" Id="rId116" /><Relationship Type="http://schemas.openxmlformats.org/officeDocument/2006/relationships/hyperlink" Target="https://twitter.com/ecolestudi" TargetMode="External" Id="rId117" /><Relationship Type="http://schemas.openxmlformats.org/officeDocument/2006/relationships/hyperlink" Target="https://www.linkedin.com/school/studi-digital-education/" TargetMode="External" Id="rId118" /><Relationship Type="http://schemas.openxmlformats.org/officeDocument/2006/relationships/hyperlink" Target="https://bealink.io/en/" TargetMode="External" Id="rId119" /><Relationship Type="http://schemas.openxmlformats.org/officeDocument/2006/relationships/hyperlink" Target="https://www.linkedin.com/company/bealink/" TargetMode="External" Id="rId120" /><Relationship Type="http://schemas.openxmlformats.org/officeDocument/2006/relationships/hyperlink" Target="https://www.studentgator.com/" TargetMode="External" Id="rId121" /><Relationship Type="http://schemas.openxmlformats.org/officeDocument/2006/relationships/hyperlink" Target="https://www.instagram.com/studentgator/" TargetMode="External" Id="rId122" /><Relationship Type="http://schemas.openxmlformats.org/officeDocument/2006/relationships/hyperlink" Target="https://fr.linkedin.com/company/studentgator" TargetMode="External" Id="rId123" /><Relationship Type="http://schemas.openxmlformats.org/officeDocument/2006/relationships/hyperlink" Target="https://modco.fr/" TargetMode="External" Id="rId124" /><Relationship Type="http://schemas.openxmlformats.org/officeDocument/2006/relationships/hyperlink" Target="https://www.didask.com/" TargetMode="External" Id="rId125" /><Relationship Type="http://schemas.openxmlformats.org/officeDocument/2006/relationships/hyperlink" Target="https://www.instagram.com/didask_learning/" TargetMode="External" Id="rId126" /><Relationship Type="http://schemas.openxmlformats.org/officeDocument/2006/relationships/hyperlink" Target="https://twitter.com/Didask" TargetMode="External" Id="rId127" /><Relationship Type="http://schemas.openxmlformats.org/officeDocument/2006/relationships/hyperlink" Target="https://www.linkedin.com/company/didask/" TargetMode="External" Id="rId128" /><Relationship Type="http://schemas.openxmlformats.org/officeDocument/2006/relationships/hyperlink" Target="https://education.arte.tv/" TargetMode="External" Id="rId129" /><Relationship Type="http://schemas.openxmlformats.org/officeDocument/2006/relationships/hyperlink" Target="https://twitter.com/EducARTEfr" TargetMode="External" Id="rId130" /><Relationship Type="http://schemas.openxmlformats.org/officeDocument/2006/relationships/hyperlink" Target="https://www.linkedin.com/company/arte-education/" TargetMode="External" Id="rId131" /><Relationship Type="http://schemas.openxmlformats.org/officeDocument/2006/relationships/hyperlink" Target="https://drive.google.com/uc?export=view&amp;id=1-jc7-jGrO6YWvJf-2uXwoRZ_M1SmgIKt" TargetMode="External" Id="rId132" /><Relationship Type="http://schemas.openxmlformats.org/officeDocument/2006/relationships/hyperlink" Target="http://www.jeulin.com/" TargetMode="External" Id="rId133" /><Relationship Type="http://schemas.openxmlformats.org/officeDocument/2006/relationships/hyperlink" Target="https://twitter.com/Jeulin_fr" TargetMode="External" Id="rId134" /><Relationship Type="http://schemas.openxmlformats.org/officeDocument/2006/relationships/hyperlink" Target="https://www.tralalere.com/" TargetMode="External" Id="rId135" /><Relationship Type="http://schemas.openxmlformats.org/officeDocument/2006/relationships/hyperlink" Target="https://www.instagram.com/internetsanscrainte/" TargetMode="External" Id="rId136" /><Relationship Type="http://schemas.openxmlformats.org/officeDocument/2006/relationships/hyperlink" Target="https://twitter.com/tralalere" TargetMode="External" Id="rId137" /><Relationship Type="http://schemas.openxmlformats.org/officeDocument/2006/relationships/hyperlink" Target="https://linkedin.com/showcase/tralalere" TargetMode="External" Id="rId138" /><Relationship Type="http://schemas.openxmlformats.org/officeDocument/2006/relationships/hyperlink" Target="https://drive.google.com/uc?export=view&amp;id=1v82qqWW9-G2zQOb-ebl6_0VEWMR2-Trs" TargetMode="External" Id="rId139" /><Relationship Type="http://schemas.openxmlformats.org/officeDocument/2006/relationships/hyperlink" Target="http://www.omniscol.com/" TargetMode="External" Id="rId140" /><Relationship Type="http://schemas.openxmlformats.org/officeDocument/2006/relationships/hyperlink" Target="https://www.instagram.com/omniscol/" TargetMode="External" Id="rId141" /><Relationship Type="http://schemas.openxmlformats.org/officeDocument/2006/relationships/hyperlink" Target="https://twitter.com/omniscol" TargetMode="External" Id="rId142" /><Relationship Type="http://schemas.openxmlformats.org/officeDocument/2006/relationships/hyperlink" Target="https://www.linkedin.com/company/omniscol" TargetMode="External" Id="rId143" /><Relationship Type="http://schemas.openxmlformats.org/officeDocument/2006/relationships/hyperlink" Target="https://www.instagram.com/aozstudioofficial/" TargetMode="External" Id="rId144" /><Relationship Type="http://schemas.openxmlformats.org/officeDocument/2006/relationships/hyperlink" Target="https://twitter.com/aoz_studio" TargetMode="External" Id="rId145" /><Relationship Type="http://schemas.openxmlformats.org/officeDocument/2006/relationships/hyperlink" Target="https://www.linkedin.com/company/aoz-studio/" TargetMode="External" Id="rId146" /><Relationship Type="http://schemas.openxmlformats.org/officeDocument/2006/relationships/hyperlink" Target="https://www.adaptiv.me/" TargetMode="External" Id="rId147" /><Relationship Type="http://schemas.openxmlformats.org/officeDocument/2006/relationships/hyperlink" Target="https://www.instagram.com/adaptiv.me/" TargetMode="External" Id="rId148" /><Relationship Type="http://schemas.openxmlformats.org/officeDocument/2006/relationships/hyperlink" Target="https://twitter.com/adaptiv_me" TargetMode="External" Id="rId149" /><Relationship Type="http://schemas.openxmlformats.org/officeDocument/2006/relationships/hyperlink" Target="https://www.linkedin.com/company/adaptiv-me" TargetMode="External" Id="rId150" /><Relationship Type="http://schemas.openxmlformats.org/officeDocument/2006/relationships/hyperlink" Target="https://gar.ninja/" TargetMode="External" Id="rId151" /><Relationship Type="http://schemas.openxmlformats.org/officeDocument/2006/relationships/hyperlink" Target="https://twitter.com/gar_ninja" TargetMode="External" Id="rId152" /><Relationship Type="http://schemas.openxmlformats.org/officeDocument/2006/relationships/hyperlink" Target="https://www.linkedin.com/company/gar-ninja/" TargetMode="External" Id="rId153" /><Relationship Type="http://schemas.openxmlformats.org/officeDocument/2006/relationships/hyperlink" Target="https://drive.google.com/uc?export=view&amp;id=1yIBqi5xEOThUapSO6uN0TSBW8CPCNIN2" TargetMode="External" Id="rId154" /><Relationship Type="http://schemas.openxmlformats.org/officeDocument/2006/relationships/hyperlink" Target="http://gofenix.io/" TargetMode="External" Id="rId155" /><Relationship Type="http://schemas.openxmlformats.org/officeDocument/2006/relationships/hyperlink" Target="https://www.millionroads.com/" TargetMode="External" Id="rId156" /><Relationship Type="http://schemas.openxmlformats.org/officeDocument/2006/relationships/hyperlink" Target="https://cabri.com/" TargetMode="External" Id="rId157" /><Relationship Type="http://schemas.openxmlformats.org/officeDocument/2006/relationships/hyperlink" Target="https://www.instagram.com/cabrilog_/" TargetMode="External" Id="rId158" /><Relationship Type="http://schemas.openxmlformats.org/officeDocument/2006/relationships/hyperlink" Target="https://twitter.com/Cabrilog" TargetMode="External" Id="rId159" /><Relationship Type="http://schemas.openxmlformats.org/officeDocument/2006/relationships/hyperlink" Target="https://www.linkedin.com/company/cabrilog/" TargetMode="External" Id="rId160" /><Relationship Type="http://schemas.openxmlformats.org/officeDocument/2006/relationships/hyperlink" Target="https://drive.google.com/uc?export=view&amp;id=1V6uKeA9mVE_k9VmSUWddHTq_byGZF2NA" TargetMode="External" Id="rId161" /><Relationship Type="http://schemas.openxmlformats.org/officeDocument/2006/relationships/hyperlink" Target="https://www.cantoo.fr/" TargetMode="External" Id="rId162" /><Relationship Type="http://schemas.openxmlformats.org/officeDocument/2006/relationships/hyperlink" Target="https://www.allaitementpourtous.com/" TargetMode="External" Id="rId163" /><Relationship Type="http://schemas.openxmlformats.org/officeDocument/2006/relationships/hyperlink" Target="https://www.instagram.com/yongecharlotte/?hl=fr" TargetMode="External" Id="rId164" /><Relationship Type="http://schemas.openxmlformats.org/officeDocument/2006/relationships/hyperlink" Target="https://www.linkedin.com/in/charlotteyonge/?originalSubdomain=fr" TargetMode="External" Id="rId165" /><Relationship Type="http://schemas.openxmlformats.org/officeDocument/2006/relationships/hyperlink" Target="https://drive.google.com/uc?export=view&amp;id=1EVtU8Bo_08vPAfmzHNYM1NI3f4xZ6L1X" TargetMode="External" Id="rId166" /><Relationship Type="http://schemas.openxmlformats.org/officeDocument/2006/relationships/hyperlink" Target="http://www.clic-campus.fr/" TargetMode="External" Id="rId167" /><Relationship Type="http://schemas.openxmlformats.org/officeDocument/2006/relationships/hyperlink" Target="https://www.linkedin.com/company/71545098/admin/" TargetMode="External" Id="rId168" /><Relationship Type="http://schemas.openxmlformats.org/officeDocument/2006/relationships/hyperlink" Target="https://drive.google.com/uc?export=view&amp;id=1f0biwlJinANNaZhIl_lKLYoA_KkEFSMQ" TargetMode="External" Id="rId169" /><Relationship Type="http://schemas.openxmlformats.org/officeDocument/2006/relationships/hyperlink" Target="http://corneille.io/" TargetMode="External" Id="rId170" /><Relationship Type="http://schemas.openxmlformats.org/officeDocument/2006/relationships/hyperlink" Target="https://www.instagram.com/appcorneille/" TargetMode="External" Id="rId171" /><Relationship Type="http://schemas.openxmlformats.org/officeDocument/2006/relationships/hyperlink" Target="https://twitter.com/AppCorneille" TargetMode="External" Id="rId172" /><Relationship Type="http://schemas.openxmlformats.org/officeDocument/2006/relationships/hyperlink" Target="https://www.linkedin.com/company/appcorneille/" TargetMode="External" Id="rId173" /><Relationship Type="http://schemas.openxmlformats.org/officeDocument/2006/relationships/hyperlink" Target="https://www.curiose.fr/" TargetMode="External" Id="rId174" /><Relationship Type="http://schemas.openxmlformats.org/officeDocument/2006/relationships/hyperlink" Target="https://www.linkedin.com/company/curiose/?viewAsMember=true" TargetMode="External" Id="rId175" /><Relationship Type="http://schemas.openxmlformats.org/officeDocument/2006/relationships/hyperlink" Target="http://www.skillmapper.com/" TargetMode="External" Id="rId176" /><Relationship Type="http://schemas.openxmlformats.org/officeDocument/2006/relationships/hyperlink" Target="http://www.cood.fr/" TargetMode="External" Id="rId177" /><Relationship Type="http://schemas.openxmlformats.org/officeDocument/2006/relationships/hyperlink" Target="http://cood.fr/" TargetMode="External" Id="rId178" /><Relationship Type="http://schemas.openxmlformats.org/officeDocument/2006/relationships/hyperlink" Target="https://www.linkedin.com/company/cood-fr" TargetMode="External" Id="rId179" /><Relationship Type="http://schemas.openxmlformats.org/officeDocument/2006/relationships/hyperlink" Target="https://drive.google.com/uc?export=view&amp;id=1TLnpgwhOIF9nje3Jk9v7WW0fpzQeodz-" TargetMode="External" Id="rId180" /><Relationship Type="http://schemas.openxmlformats.org/officeDocument/2006/relationships/hyperlink" Target="https://www.artips-factory.fr/" TargetMode="External" Id="rId181" /><Relationship Type="http://schemas.openxmlformats.org/officeDocument/2006/relationships/hyperlink" Target="https://twitter.com/artips_fr?lang=en" TargetMode="External" Id="rId182" /><Relationship Type="http://schemas.openxmlformats.org/officeDocument/2006/relationships/hyperlink" Target="https://www.linkedin.com/company/artips" TargetMode="External" Id="rId183" /><Relationship Type="http://schemas.openxmlformats.org/officeDocument/2006/relationships/hyperlink" Target="https://drive.google.com/uc?export=view&amp;id=10AyvDvrWVrqwkdQGqnVhMrcD-nfqCwx9" TargetMode="External" Id="rId184" /><Relationship Type="http://schemas.openxmlformats.org/officeDocument/2006/relationships/hyperlink" Target="https://www.humanava.com/" TargetMode="External" Id="rId185" /><Relationship Type="http://schemas.openxmlformats.org/officeDocument/2006/relationships/hyperlink" Target="https://www.instagram.com/humanava_/" TargetMode="External" Id="rId186" /><Relationship Type="http://schemas.openxmlformats.org/officeDocument/2006/relationships/hyperlink" Target="https://twitter.com/humanava_" TargetMode="External" Id="rId187" /><Relationship Type="http://schemas.openxmlformats.org/officeDocument/2006/relationships/hyperlink" Target="https://www.linkedin.com/company/humanava" TargetMode="External" Id="rId188" /><Relationship Type="http://schemas.openxmlformats.org/officeDocument/2006/relationships/hyperlink" Target="https://www.knowmore365.com/" TargetMode="External" Id="rId189" /><Relationship Type="http://schemas.openxmlformats.org/officeDocument/2006/relationships/hyperlink" Target="http://www.stellkey.com/" TargetMode="External" Id="rId190" /><Relationship Type="http://schemas.openxmlformats.org/officeDocument/2006/relationships/hyperlink" Target="http://www.alternativedigitale.com/" TargetMode="External" Id="rId191" /><Relationship Type="http://schemas.openxmlformats.org/officeDocument/2006/relationships/hyperlink" Target="https://twitter.com/mydigitt" TargetMode="External" Id="rId192" /><Relationship Type="http://schemas.openxmlformats.org/officeDocument/2006/relationships/hyperlink" Target="https://www.linkedin.com/company/alternative-digitale/" TargetMode="External" Id="rId193" /><Relationship Type="http://schemas.openxmlformats.org/officeDocument/2006/relationships/hyperlink" Target="https://drive.google.com/uc?export=view&amp;id=1ddiUoKd_TdVGNRVKufAfDhAhEO5n0Zcl" TargetMode="External" Id="rId194" /><Relationship Type="http://schemas.openxmlformats.org/officeDocument/2006/relationships/hyperlink" Target="https://www.mailo.com/" TargetMode="External" Id="rId195" /><Relationship Type="http://schemas.openxmlformats.org/officeDocument/2006/relationships/hyperlink" Target="https://www.instagram.com/hellomailo/" TargetMode="External" Id="rId196" /><Relationship Type="http://schemas.openxmlformats.org/officeDocument/2006/relationships/hyperlink" Target="https://twitter.com/HELLOMAILO" TargetMode="External" Id="rId197" /><Relationship Type="http://schemas.openxmlformats.org/officeDocument/2006/relationships/hyperlink" Target="https://fr.linkedin.com/company/mailofr?original_referer=https%3A%2F%2Fwww.google.com%2F" TargetMode="External" Id="rId198" /><Relationship Type="http://schemas.openxmlformats.org/officeDocument/2006/relationships/hyperlink" Target="https://drive.google.com/uc?export=view&amp;id=1id5DECDQVmqN2uLzb0l5wUL_kejauhXJ" TargetMode="External" Id="rId199" /><Relationship Type="http://schemas.openxmlformats.org/officeDocument/2006/relationships/hyperlink" Target="http://www.manutan-collectivites.fr/" TargetMode="External" Id="rId200" /><Relationship Type="http://schemas.openxmlformats.org/officeDocument/2006/relationships/hyperlink" Target="http://www.woonoz.com/" TargetMode="External" Id="rId201" /><Relationship Type="http://schemas.openxmlformats.org/officeDocument/2006/relationships/hyperlink" Target="https://twitter.com/woonoz" TargetMode="External" Id="rId202" /><Relationship Type="http://schemas.openxmlformats.org/officeDocument/2006/relationships/hyperlink" Target="https://www.linkedin.com/company/2967089/" TargetMode="External" Id="rId203" /><Relationship Type="http://schemas.openxmlformats.org/officeDocument/2006/relationships/hyperlink" Target="https://wweeddoo.com/" TargetMode="External" Id="rId204" /><Relationship Type="http://schemas.openxmlformats.org/officeDocument/2006/relationships/hyperlink" Target="https://www.instagram.com/wweeddoofficiel/" TargetMode="External" Id="rId205" /><Relationship Type="http://schemas.openxmlformats.org/officeDocument/2006/relationships/hyperlink" Target="https://twitter.com/wweeddoofr" TargetMode="External" Id="rId206" /><Relationship Type="http://schemas.openxmlformats.org/officeDocument/2006/relationships/hyperlink" Target="https://fr.linkedin.com/company/wweeddoo" TargetMode="External" Id="rId207" /><Relationship Type="http://schemas.openxmlformats.org/officeDocument/2006/relationships/hyperlink" Target="https://mereos.eu/" TargetMode="External" Id="rId208" /><Relationship Type="http://schemas.openxmlformats.org/officeDocument/2006/relationships/hyperlink" Target="https://www.skillogs.com/" TargetMode="External" Id="rId209" /><Relationship Type="http://schemas.openxmlformats.org/officeDocument/2006/relationships/hyperlink" Target="https://twitter.com/skillogsacarya" TargetMode="External" Id="rId210" /><Relationship Type="http://schemas.openxmlformats.org/officeDocument/2006/relationships/hyperlink" Target="https://www.linkedin.com/company/skillogs/" TargetMode="External" Id="rId211" /><Relationship Type="http://schemas.openxmlformats.org/officeDocument/2006/relationships/hyperlink" Target="https://www.effency.fr/" TargetMode="External" Id="rId212" /><Relationship Type="http://schemas.openxmlformats.org/officeDocument/2006/relationships/hyperlink" Target="https://twitter.com/effency_" TargetMode="External" Id="rId213" /><Relationship Type="http://schemas.openxmlformats.org/officeDocument/2006/relationships/hyperlink" Target="https://www.linkedin.com/company/effency" TargetMode="External" Id="rId214" /><Relationship Type="http://schemas.openxmlformats.org/officeDocument/2006/relationships/hyperlink" Target="https://www.artsci.fr/" TargetMode="External" Id="rId215" /><Relationship Type="http://schemas.openxmlformats.org/officeDocument/2006/relationships/hyperlink" Target="https://constel-education.com/" TargetMode="External" Id="rId216" /><Relationship Type="http://schemas.openxmlformats.org/officeDocument/2006/relationships/hyperlink" Target="https://www.linkedin.com/company/grave-cool/" TargetMode="External" Id="rId217" /><Relationship Type="http://schemas.openxmlformats.org/officeDocument/2006/relationships/hyperlink" Target="https://www.holyowly.com/" TargetMode="External" Id="rId218" /><Relationship Type="http://schemas.openxmlformats.org/officeDocument/2006/relationships/hyperlink" Target="https://www.instagram.com/holyowlyapp/?hl=fr" TargetMode="External" Id="rId219" /><Relationship Type="http://schemas.openxmlformats.org/officeDocument/2006/relationships/hyperlink" Target="https://twitter.com/HolyOwlyApp?ref_src=twsrc%5Egoogle%7Ctwcamp%5Eserp%7Ctwgr%5Eauthor" TargetMode="External" Id="rId220" /><Relationship Type="http://schemas.openxmlformats.org/officeDocument/2006/relationships/hyperlink" Target="https://www.linkedin.com/company/holy-owly-app/?originalSubdomain=fr" TargetMode="External" Id="rId221" /><Relationship Type="http://schemas.openxmlformats.org/officeDocument/2006/relationships/hyperlink" Target="https://drive.google.com/uc?export=view&amp;id=1cMaC9znsQMT5AF9twNzp_kFuIBn-3Y0h" TargetMode="External" Id="rId222" /><Relationship Type="http://schemas.openxmlformats.org/officeDocument/2006/relationships/hyperlink" Target="http://www.huhcorporate.com/" TargetMode="External" Id="rId223" /><Relationship Type="http://schemas.openxmlformats.org/officeDocument/2006/relationships/hyperlink" Target="https://www.interfora-ifaip.fr/" TargetMode="External" Id="rId224" /><Relationship Type="http://schemas.openxmlformats.org/officeDocument/2006/relationships/hyperlink" Target="https://www.instagram.com/interfora_ifaip/" TargetMode="External" Id="rId225" /><Relationship Type="http://schemas.openxmlformats.org/officeDocument/2006/relationships/hyperlink" Target="https://twitter.com/Interfora_Ifaip" TargetMode="External" Id="rId226" /><Relationship Type="http://schemas.openxmlformats.org/officeDocument/2006/relationships/hyperlink" Target="https://www.linkedin.com/company/interfora-ifaip/" TargetMode="External" Id="rId227" /><Relationship Type="http://schemas.openxmlformats.org/officeDocument/2006/relationships/hyperlink" Target="https://www.kronos.fr/" TargetMode="External" Id="rId228" /><Relationship Type="http://schemas.openxmlformats.org/officeDocument/2006/relationships/hyperlink" Target="http://www.languageteams.com/" TargetMode="External" Id="rId229" /><Relationship Type="http://schemas.openxmlformats.org/officeDocument/2006/relationships/hyperlink" Target="https://www.lingua-amigos.com/" TargetMode="External" Id="rId230" /><Relationship Type="http://schemas.openxmlformats.org/officeDocument/2006/relationships/hyperlink" Target="https://mainbot.me/" TargetMode="External" Id="rId231" /><Relationship Type="http://schemas.openxmlformats.org/officeDocument/2006/relationships/hyperlink" Target="https://twitter.com/mainbotme" TargetMode="External" Id="rId232" /><Relationship Type="http://schemas.openxmlformats.org/officeDocument/2006/relationships/hyperlink" Target="https://www.linkedin.com/company/mainbot/mycompany/" TargetMode="External" Id="rId233" /><Relationship Type="http://schemas.openxmlformats.org/officeDocument/2006/relationships/hyperlink" Target="https://drive.google.com/uc?export=view&amp;id=1keCWKxnVgGNmXPPT0-Z45l2YAZFFCPFC" TargetMode="External" Id="rId234" /><Relationship Type="http://schemas.openxmlformats.org/officeDocument/2006/relationships/hyperlink" Target="https://mentorgoal.com/" TargetMode="External" Id="rId235" /><Relationship Type="http://schemas.openxmlformats.org/officeDocument/2006/relationships/hyperlink" Target="https://www.metaed.school/" TargetMode="External" Id="rId236" /><Relationship Type="http://schemas.openxmlformats.org/officeDocument/2006/relationships/hyperlink" Target="http://naimrod.com/" TargetMode="External" Id="rId237" /><Relationship Type="http://schemas.openxmlformats.org/officeDocument/2006/relationships/hyperlink" Target="https://drive.google.com/uc?export=view&amp;id=1EEuu_E6NqhcxsCHD4ELZ1DsZ30jLYS3J" TargetMode="External" Id="rId238" /><Relationship Type="http://schemas.openxmlformats.org/officeDocument/2006/relationships/hyperlink" Target="https://www.novatice.com/" TargetMode="External" Id="rId239" /><Relationship Type="http://schemas.openxmlformats.org/officeDocument/2006/relationships/hyperlink" Target="https://twitter.com/NovaticeTech" TargetMode="External" Id="rId240" /><Relationship Type="http://schemas.openxmlformats.org/officeDocument/2006/relationships/hyperlink" Target="https://www.linkedin.com/company/novatice/" TargetMode="External" Id="rId241" /><Relationship Type="http://schemas.openxmlformats.org/officeDocument/2006/relationships/hyperlink" Target="http://www.oktonine.com/" TargetMode="External" Id="rId242" /><Relationship Type="http://schemas.openxmlformats.org/officeDocument/2006/relationships/hyperlink" Target="https://www.linkedin.com/company/oktonine" TargetMode="External" Id="rId243" /><Relationship Type="http://schemas.openxmlformats.org/officeDocument/2006/relationships/hyperlink" Target="http://www.placetolearn.fr/" TargetMode="External" Id="rId244" /><Relationship Type="http://schemas.openxmlformats.org/officeDocument/2006/relationships/hyperlink" Target="http://www.fullstreet.co/" TargetMode="External" Id="rId245" /><Relationship Type="http://schemas.openxmlformats.org/officeDocument/2006/relationships/hyperlink" Target="https://www.linkedin.com/company/fullstreet" TargetMode="External" Id="rId246" /><Relationship Type="http://schemas.openxmlformats.org/officeDocument/2006/relationships/hyperlink" Target="https://www.startlab-education.com/en" TargetMode="External" Id="rId247" /><Relationship Type="http://schemas.openxmlformats.org/officeDocument/2006/relationships/hyperlink" Target="https://www.linkedin.com/company/fastlane-education/?viewAsMember=true" TargetMode="External" Id="rId248" /><Relationship Type="http://schemas.openxmlformats.org/officeDocument/2006/relationships/hyperlink" Target="https://sciado.fr/dynamic-learning-solutions/" TargetMode="External" Id="rId249" /><Relationship Type="http://schemas.openxmlformats.org/officeDocument/2006/relationships/hyperlink" Target="https://www.instagram.com/sciadop/" TargetMode="External" Id="rId250" /><Relationship Type="http://schemas.openxmlformats.org/officeDocument/2006/relationships/hyperlink" Target="https://twitter.com/SciadoP" TargetMode="External" Id="rId251" /><Relationship Type="http://schemas.openxmlformats.org/officeDocument/2006/relationships/hyperlink" Target="https://www.linkedin.com/company/22344441/admin/" TargetMode="External" Id="rId252" /><Relationship Type="http://schemas.openxmlformats.org/officeDocument/2006/relationships/hyperlink" Target="https://drive.google.com/uc?export=view&amp;id=1Sb0BOCYGyjexIsrhcug4FVFrNFZEH6dH" TargetMode="External" Id="rId253" /><Relationship Type="http://schemas.openxmlformats.org/officeDocument/2006/relationships/hyperlink" Target="https://4indata.com/fr/" TargetMode="External" Id="rId254" /><Relationship Type="http://schemas.openxmlformats.org/officeDocument/2006/relationships/hyperlink" Target="https://www.adesoft.com/" TargetMode="External" Id="rId255" /><Relationship Type="http://schemas.openxmlformats.org/officeDocument/2006/relationships/hyperlink" Target="https://www.aupairbutrfly.com/" TargetMode="External" Id="rId256" /><Relationship Type="http://schemas.openxmlformats.org/officeDocument/2006/relationships/hyperlink" Target="https://drive.google.com/uc?export=view&amp;id=1fl6_hsnV2PD138NPaNgJByG-KFZ1msWS" TargetMode="External" Id="rId257" /><Relationship Type="http://schemas.openxmlformats.org/officeDocument/2006/relationships/hyperlink" Target="https://www.educationdigitale.com/" TargetMode="External" Id="rId258" /><Relationship Type="http://schemas.openxmlformats.org/officeDocument/2006/relationships/hyperlink" Target="https://www.linkedin.com/company/%C3%A9ducation-digitale/" TargetMode="External" Id="rId259" /><Relationship Type="http://schemas.openxmlformats.org/officeDocument/2006/relationships/hyperlink" Target="https://drive.google.com/uc?export=view&amp;id=1FYhDkLHvQycAP3E_b1nxIpFuP9FrvfVp" TargetMode="External" Id="rId260" /><Relationship Type="http://schemas.openxmlformats.org/officeDocument/2006/relationships/hyperlink" Target="https://www.eduxim.com/" TargetMode="External" Id="rId261" /><Relationship Type="http://schemas.openxmlformats.org/officeDocument/2006/relationships/hyperlink" Target="https://twitter.com/eduximapp" TargetMode="External" Id="rId262" /><Relationship Type="http://schemas.openxmlformats.org/officeDocument/2006/relationships/hyperlink" Target="https://www.linkedin.com/company/eduxim" TargetMode="External" Id="rId263" /><Relationship Type="http://schemas.openxmlformats.org/officeDocument/2006/relationships/hyperlink" Target="https://drive.google.com/uc?export=view&amp;id=1zwmzypNMh3xWzmnktR4CEVROKUIm4iH4" TargetMode="External" Id="rId264" /><Relationship Type="http://schemas.openxmlformats.org/officeDocument/2006/relationships/hyperlink" Target="http://www.eisf.fr/" TargetMode="External" Id="rId265" /><Relationship Type="http://schemas.openxmlformats.org/officeDocument/2006/relationships/hyperlink" Target="https://www.instagram.com/e_i_s_f/" TargetMode="External" Id="rId266" /><Relationship Type="http://schemas.openxmlformats.org/officeDocument/2006/relationships/hyperlink" Target="https://www.linkedin.com/company/27158557/admin/feed/posts/?feedType=following" TargetMode="External" Id="rId267" /><Relationship Type="http://schemas.openxmlformats.org/officeDocument/2006/relationships/hyperlink" Target="https://drive.google.com/uc?export=view&amp;id=1CTWyvYoxaPe_FLOGdKKVjHkGRUZoS9um" TargetMode="External" Id="rId268" /><Relationship Type="http://schemas.openxmlformats.org/officeDocument/2006/relationships/hyperlink" Target="https://www.frenchlab.io/" TargetMode="External" Id="rId269" /><Relationship Type="http://schemas.openxmlformats.org/officeDocument/2006/relationships/hyperlink" Target="https://www.linkedin.com/company/french-lab/?viewAsMember=true" TargetMode="External" Id="rId270" /><Relationship Type="http://schemas.openxmlformats.org/officeDocument/2006/relationships/hyperlink" Target="https://drive.google.com/uc?export=view&amp;id=10zIFETR9VnCQbzphZqFNUseA67Zdj6UO" TargetMode="External" Id="rId271" /><Relationship Type="http://schemas.openxmlformats.org/officeDocument/2006/relationships/hyperlink" Target="https://halfonse.com/" TargetMode="External" Id="rId272" /><Relationship Type="http://schemas.openxmlformats.org/officeDocument/2006/relationships/hyperlink" Target="https://twitter.com/GetHalfonse" TargetMode="External" Id="rId273" /><Relationship Type="http://schemas.openxmlformats.org/officeDocument/2006/relationships/hyperlink" Target="https://www.linkedin.com/company/halfonse" TargetMode="External" Id="rId274" /><Relationship Type="http://schemas.openxmlformats.org/officeDocument/2006/relationships/hyperlink" Target="https://drive.google.com/uc?export=view&amp;id=1dhZWAW57pRo4MtrONDpYx4V5CxzN81Gn" TargetMode="External" Id="rId275" /><Relationship Type="http://schemas.openxmlformats.org/officeDocument/2006/relationships/hyperlink" Target="https://www.hellowork-group.com/" TargetMode="External" Id="rId276" /><Relationship Type="http://schemas.openxmlformats.org/officeDocument/2006/relationships/hyperlink" Target="https://twitter.com/helloworkgroup" TargetMode="External" Id="rId277" /><Relationship Type="http://schemas.openxmlformats.org/officeDocument/2006/relationships/hyperlink" Target="https://www.linkedin.com/company/helloworkcom/" TargetMode="External" Id="rId278" /><Relationship Type="http://schemas.openxmlformats.org/officeDocument/2006/relationships/hyperlink" Target="http://maformation.fr/" TargetMode="External" Id="rId279" /><Relationship Type="http://schemas.openxmlformats.org/officeDocument/2006/relationships/hyperlink" Target="https://drive.google.com/uc?export=view&amp;id=1y1mKcFMyZQAk-Cu9psKnqN9bF75hOfaL" TargetMode="External" Id="rId280" /><Relationship Type="http://schemas.openxmlformats.org/officeDocument/2006/relationships/hyperlink" Target="http://www.hypnoledge.com/" TargetMode="External" Id="rId281" /><Relationship Type="http://schemas.openxmlformats.org/officeDocument/2006/relationships/hyperlink" Target="https://www.instagram.com/hypnoledge/" TargetMode="External" Id="rId282" /><Relationship Type="http://schemas.openxmlformats.org/officeDocument/2006/relationships/hyperlink" Target="https://www.linkedin.com/company/hypnoledge" TargetMode="External" Id="rId283" /><Relationship Type="http://schemas.openxmlformats.org/officeDocument/2006/relationships/hyperlink" Target="https://drive.google.com/uc?export=view&amp;id=1pRQ55hCd9YswBOb9F2DHaFOPDkdwbZ54" TargetMode="External" Id="rId284" /><Relationship Type="http://schemas.openxmlformats.org/officeDocument/2006/relationships/hyperlink" Target="https://www.myclassevirtuelle.fr/" TargetMode="External" Id="rId285" /><Relationship Type="http://schemas.openxmlformats.org/officeDocument/2006/relationships/hyperlink" Target="https://twitter.com/MyVClassroom" TargetMode="External" Id="rId286" /><Relationship Type="http://schemas.openxmlformats.org/officeDocument/2006/relationships/hyperlink" Target="https://www.linkedin.com/company/my-virtual-classroom/" TargetMode="External" Id="rId287" /><Relationship Type="http://schemas.openxmlformats.org/officeDocument/2006/relationships/hyperlink" Target="https://drive.google.com/uc?export=view&amp;id=1klq0uLURnL21FWjhjfpJxJhcnzvpB35Q" TargetMode="External" Id="rId288" /><Relationship Type="http://schemas.openxmlformats.org/officeDocument/2006/relationships/hyperlink" Target="https://nomadeducation.fr/" TargetMode="External" Id="rId289" /><Relationship Type="http://schemas.openxmlformats.org/officeDocument/2006/relationships/hyperlink" Target="https://www.instagram.com/nomad_education/" TargetMode="External" Id="rId290" /><Relationship Type="http://schemas.openxmlformats.org/officeDocument/2006/relationships/hyperlink" Target="https://twitter.com/nomadeducation?lang=fr" TargetMode="External" Id="rId291" /><Relationship Type="http://schemas.openxmlformats.org/officeDocument/2006/relationships/hyperlink" Target="https://www.linkedin.com/company/nomad-education" TargetMode="External" Id="rId292" /><Relationship Type="http://schemas.openxmlformats.org/officeDocument/2006/relationships/hyperlink" Target="https://drive.google.com/uc?export=view&amp;id=1_wweovvH_7FtaOfaLmIdqqNR4kQ7A276" TargetMode="External" Id="rId293" /><Relationship Type="http://schemas.openxmlformats.org/officeDocument/2006/relationships/hyperlink" Target="https://www.simtrade.com/" TargetMode="External" Id="rId294" /><Relationship Type="http://schemas.openxmlformats.org/officeDocument/2006/relationships/hyperlink" Target="https://www.teachonmars.com/" TargetMode="External" Id="rId295" /><Relationship Type="http://schemas.openxmlformats.org/officeDocument/2006/relationships/hyperlink" Target="https://www.instagram.com/teachonmarsfr/" TargetMode="External" Id="rId296" /><Relationship Type="http://schemas.openxmlformats.org/officeDocument/2006/relationships/hyperlink" Target="https://twitter.com/TeachonMarsfr" TargetMode="External" Id="rId297" /><Relationship Type="http://schemas.openxmlformats.org/officeDocument/2006/relationships/hyperlink" Target="https://www.linkedin.com/company/teach-on-mars/" TargetMode="External" Id="rId298" /><Relationship Type="http://schemas.openxmlformats.org/officeDocument/2006/relationships/hyperlink" Target="https://wf3.fr/" TargetMode="External" Id="rId299" /><Relationship Type="http://schemas.openxmlformats.org/officeDocument/2006/relationships/hyperlink" Target="https://www.instagram.com/webforce3" TargetMode="External" Id="rId300" /><Relationship Type="http://schemas.openxmlformats.org/officeDocument/2006/relationships/hyperlink" Target="https://twitter.com/WebForce3" TargetMode="External" Id="rId301" /><Relationship Type="http://schemas.openxmlformats.org/officeDocument/2006/relationships/hyperlink" Target="https://www.linkedin.com/school/webforce3/mycompany/" TargetMode="External" Id="rId302" /><Relationship Type="http://schemas.openxmlformats.org/officeDocument/2006/relationships/hyperlink" Target="https://drive.google.com/uc?export=view&amp;id=1a19O-fvtUrSnDS6PIVl4Lz3SglmxyVSD" TargetMode="External" Id="rId303" /><Relationship Type="http://schemas.openxmlformats.org/officeDocument/2006/relationships/hyperlink" Target="http://www.wiloki.com/" TargetMode="External" Id="rId304" /><Relationship Type="http://schemas.openxmlformats.org/officeDocument/2006/relationships/hyperlink" Target="https://www.instagram.com/wiloki_ai/" TargetMode="External" Id="rId305" /><Relationship Type="http://schemas.openxmlformats.org/officeDocument/2006/relationships/hyperlink" Target="https://twitter.com/wiloki_ai" TargetMode="External" Id="rId306" /><Relationship Type="http://schemas.openxmlformats.org/officeDocument/2006/relationships/hyperlink" Target="https://www.linkedin.com/company/wiloki/" TargetMode="External" Id="rId307" /><Relationship Type="http://schemas.openxmlformats.org/officeDocument/2006/relationships/hyperlink" Target="https://drive.google.com/uc?export=view&amp;id=1aMe-VZ1lnKLVoCBZ34hml29Wb5wOOE98" TargetMode="External" Id="rId308" /><Relationship Type="http://schemas.openxmlformats.org/officeDocument/2006/relationships/hyperlink" Target="https://www.beegup.com/" TargetMode="External" Id="rId309" /><Relationship Type="http://schemas.openxmlformats.org/officeDocument/2006/relationships/hyperlink" Target="https://instagram.com/beegupeducation?igshid=MzRlODBiNWFlZA==" TargetMode="External" Id="rId310" /><Relationship Type="http://schemas.openxmlformats.org/officeDocument/2006/relationships/hyperlink" Target="https://www.linkedin.com/company/beegup/" TargetMode="External" Id="rId311" /><Relationship Type="http://schemas.openxmlformats.org/officeDocument/2006/relationships/hyperlink" Target="https://en.risinguparis.com/" TargetMode="External" Id="rId312" /><Relationship Type="http://schemas.openxmlformats.org/officeDocument/2006/relationships/hyperlink" Target="https://twitter.com/risinguparis" TargetMode="External" Id="rId313" /><Relationship Type="http://schemas.openxmlformats.org/officeDocument/2006/relationships/hyperlink" Target="https://www.linkedin.com/company/18324967/admin/" TargetMode="External" Id="rId314" /><Relationship Type="http://schemas.openxmlformats.org/officeDocument/2006/relationships/hyperlink" Target="https://drive.google.com/uc?export=view&amp;id=1X9Rs-K3iSmEoAAjiAUTjAjVTKoKQ8hx_" TargetMode="External" Id="rId315" /><Relationship Type="http://schemas.openxmlformats.org/officeDocument/2006/relationships/hyperlink" Target="https://www.beedeez.com/" TargetMode="External" Id="rId316" /><Relationship Type="http://schemas.openxmlformats.org/officeDocument/2006/relationships/hyperlink" Target="https://twitter.com/BeedeezApp" TargetMode="External" Id="rId317" /><Relationship Type="http://schemas.openxmlformats.org/officeDocument/2006/relationships/hyperlink" Target="https://www.linkedin.com/company/beedeez/" TargetMode="External" Id="rId318" /><Relationship Type="http://schemas.openxmlformats.org/officeDocument/2006/relationships/hyperlink" Target="https://www.linkedin.cn/company/cultydata" TargetMode="External" Id="rId319" /><Relationship Type="http://schemas.openxmlformats.org/officeDocument/2006/relationships/hyperlink" Target="https://orientoi.fr/" TargetMode="External" Id="rId320" /><Relationship Type="http://schemas.openxmlformats.org/officeDocument/2006/relationships/hyperlink" Target="https://www.instagram.com/orientoi.fr/" TargetMode="External" Id="rId321" /><Relationship Type="http://schemas.openxmlformats.org/officeDocument/2006/relationships/hyperlink" Target="https://twitter.com/orientoi" TargetMode="External" Id="rId322" /><Relationship Type="http://schemas.openxmlformats.org/officeDocument/2006/relationships/hyperlink" Target="https://www.linkedin.com/company/orientoi/" TargetMode="External" Id="rId323" /><Relationship Type="http://schemas.openxmlformats.org/officeDocument/2006/relationships/hyperlink" Target="https://drive.google.com/uc?export=view&amp;id=17moXERTj1ZGNWUaqGQ6UBPoaHz-va5EF" TargetMode="External" Id="rId324" /><Relationship Type="http://schemas.openxmlformats.org/officeDocument/2006/relationships/hyperlink" Target="https://www.simoneetlesrobots.com/" TargetMode="External" Id="rId325" /><Relationship Type="http://schemas.openxmlformats.org/officeDocument/2006/relationships/hyperlink" Target="https://www.instagram.com/simoneetlesrobots" TargetMode="External" Id="rId326" /><Relationship Type="http://schemas.openxmlformats.org/officeDocument/2006/relationships/hyperlink" Target="https://twitter.com/simonelesrobots" TargetMode="External" Id="rId327" /><Relationship Type="http://schemas.openxmlformats.org/officeDocument/2006/relationships/hyperlink" Target="https://www.linkedin.com/company/simone-et-les-robots/" TargetMode="External" Id="rId328" /><Relationship Type="http://schemas.openxmlformats.org/officeDocument/2006/relationships/hyperlink" Target="https://drive.google.com/uc?export=view&amp;id=1oznWIWkQSzZ6jAHt_y8DVVLxTHH85018" TargetMode="External" Id="rId329" /><Relationship Type="http://schemas.openxmlformats.org/officeDocument/2006/relationships/hyperlink" Target="https://www.skolengo.com/en/" TargetMode="External" Id="rId330" /><Relationship Type="http://schemas.openxmlformats.org/officeDocument/2006/relationships/hyperlink" Target="https://twitter.com/skolengo" TargetMode="External" Id="rId331" /><Relationship Type="http://schemas.openxmlformats.org/officeDocument/2006/relationships/hyperlink" Target="https://www.trezorium.com/" TargetMode="External" Id="rId332" /><Relationship Type="http://schemas.openxmlformats.org/officeDocument/2006/relationships/hyperlink" Target="https://www.instagram.com/trezorium/" TargetMode="External" Id="rId333" /><Relationship Type="http://schemas.openxmlformats.org/officeDocument/2006/relationships/hyperlink" Target="https://twitter.com/trezorium" TargetMode="External" Id="rId334" /><Relationship Type="http://schemas.openxmlformats.org/officeDocument/2006/relationships/hyperlink" Target="https://www.linkedin.com/company/trezorium" TargetMode="External" Id="rId335" /><Relationship Type="http://schemas.openxmlformats.org/officeDocument/2006/relationships/hyperlink" Target="http://makerium.fr/" TargetMode="External" Id="rId336" /><Relationship Type="http://schemas.openxmlformats.org/officeDocument/2006/relationships/hyperlink" Target="https://drive.google.com/uc?export=view&amp;id=1VfXIx7UC-5AMX9sgzh53wray6f5ifzhi" TargetMode="External" Id="rId337" /><Relationship Type="http://schemas.openxmlformats.org/officeDocument/2006/relationships/hyperlink" Target="https://www.bcdiploma.com/" TargetMode="External" Id="rId338" /><Relationship Type="http://schemas.openxmlformats.org/officeDocument/2006/relationships/hyperlink" Target="https://twitter.com/BCDiploma" TargetMode="External" Id="rId339" /><Relationship Type="http://schemas.openxmlformats.org/officeDocument/2006/relationships/hyperlink" Target="https://www.linkedin.com/company/blockchaincertifieddata" TargetMode="External" Id="rId340" /><Relationship Type="http://schemas.openxmlformats.org/officeDocument/2006/relationships/hyperlink" Target="https://drive.google.com/uc?export=view&amp;id=1jgF-5lSUcH-u8WXqMzbtjbOqyoKtdIns" TargetMode="External" Id="rId341" /><Relationship Type="http://schemas.openxmlformats.org/officeDocument/2006/relationships/hyperlink" Target="https://www.dokki.app/" TargetMode="External" Id="rId342" /><Relationship Type="http://schemas.openxmlformats.org/officeDocument/2006/relationships/hyperlink" Target="https://www.instagram.com/dokkiapp" TargetMode="External" Id="rId343" /><Relationship Type="http://schemas.openxmlformats.org/officeDocument/2006/relationships/hyperlink" Target="https://twitter.com/dokkiapp" TargetMode="External" Id="rId344" /><Relationship Type="http://schemas.openxmlformats.org/officeDocument/2006/relationships/hyperlink" Target="https://www.linkedin.com/company/dokki" TargetMode="External" Id="rId345" /><Relationship Type="http://schemas.openxmlformats.org/officeDocument/2006/relationships/hyperlink" Target="https://www.dynseo.com/en" TargetMode="External" Id="rId346" /><Relationship Type="http://schemas.openxmlformats.org/officeDocument/2006/relationships/hyperlink" Target="https://www.instagram.com/coco_educationalgames/" TargetMode="External" Id="rId347" /><Relationship Type="http://schemas.openxmlformats.org/officeDocument/2006/relationships/hyperlink" Target="https://www.linkedin.com/company/dynseo" TargetMode="External" Id="rId348" /><Relationship Type="http://schemas.openxmlformats.org/officeDocument/2006/relationships/hyperlink" Target="https://drive.google.com/uc?export=view&amp;id=1bV1NLlGEtI69C60Koyh8oEFV7ei_SYTK" TargetMode="External" Id="rId349" /><Relationship Type="http://schemas.openxmlformats.org/officeDocument/2006/relationships/hyperlink" Target="http://www.edukare.fr/" TargetMode="External" Id="rId350" /><Relationship Type="http://schemas.openxmlformats.org/officeDocument/2006/relationships/hyperlink" Target="http://www.evolutiel.com/" TargetMode="External" Id="rId351" /><Relationship Type="http://schemas.openxmlformats.org/officeDocument/2006/relationships/hyperlink" Target="https://www.kalyzee.com/en/" TargetMode="External" Id="rId352" /><Relationship Type="http://schemas.openxmlformats.org/officeDocument/2006/relationships/hyperlink" Target="https://twitter.com/Kalyzee" TargetMode="External" Id="rId353" /><Relationship Type="http://schemas.openxmlformats.org/officeDocument/2006/relationships/hyperlink" Target="https://www.linkedin.com/company/kalyz-e" TargetMode="External" Id="rId354" /><Relationship Type="http://schemas.openxmlformats.org/officeDocument/2006/relationships/hyperlink" Target="https://drive.google.com/uc?export=view&amp;id=1B0Hi93eIeepsnwKKq_10us1Gsf78lf7W" TargetMode="External" Id="rId355" /><Relationship Type="http://schemas.openxmlformats.org/officeDocument/2006/relationships/hyperlink" Target="http://www.kumullus.com/" TargetMode="External" Id="rId356" /><Relationship Type="http://schemas.openxmlformats.org/officeDocument/2006/relationships/hyperlink" Target="https://marbotic.com/" TargetMode="External" Id="rId357" /><Relationship Type="http://schemas.openxmlformats.org/officeDocument/2006/relationships/hyperlink" Target="https://www.instagram.com/marbotic/" TargetMode="External" Id="rId358" /><Relationship Type="http://schemas.openxmlformats.org/officeDocument/2006/relationships/hyperlink" Target="https://twitter.com/marbotic" TargetMode="External" Id="rId359" /><Relationship Type="http://schemas.openxmlformats.org/officeDocument/2006/relationships/hyperlink" Target="https://www.linkedin.com/company/marbotic" TargetMode="External" Id="rId360" /><Relationship Type="http://schemas.openxmlformats.org/officeDocument/2006/relationships/hyperlink" Target="https://drive.google.com/uc?export=view&amp;id=1UlKnqcBY5rAjnfV7bY9JsHDlVtEEU1zX" TargetMode="External" Id="rId361" /><Relationship Type="http://schemas.openxmlformats.org/officeDocument/2006/relationships/hyperlink" Target="http://www.myjobglasses.com/" TargetMode="External" Id="rId362" /><Relationship Type="http://schemas.openxmlformats.org/officeDocument/2006/relationships/hyperlink" Target="https://www.instagram.com/myjobglasses/" TargetMode="External" Id="rId363" /><Relationship Type="http://schemas.openxmlformats.org/officeDocument/2006/relationships/hyperlink" Target="https://twitter.com/myjobglasses" TargetMode="External" Id="rId364" /><Relationship Type="http://schemas.openxmlformats.org/officeDocument/2006/relationships/hyperlink" Target="https://www.linkedin.com/company/7585486" TargetMode="External" Id="rId365" /><Relationship Type="http://schemas.openxmlformats.org/officeDocument/2006/relationships/hyperlink" Target="https://niryo.com/" TargetMode="External" Id="rId366" /><Relationship Type="http://schemas.openxmlformats.org/officeDocument/2006/relationships/hyperlink" Target="https://prepmyfuture.com/fr" TargetMode="External" Id="rId367" /><Relationship Type="http://schemas.openxmlformats.org/officeDocument/2006/relationships/hyperlink" Target="https://www.instagram.com/prepmyfuture/" TargetMode="External" Id="rId368" /><Relationship Type="http://schemas.openxmlformats.org/officeDocument/2006/relationships/hyperlink" Target="https://www.linkedin.com/company/prepmyfuture/?viewAsMember=true" TargetMode="External" Id="rId369" /><Relationship Type="http://schemas.openxmlformats.org/officeDocument/2006/relationships/hyperlink" Target="https://drive.google.com/uc?export=view&amp;id=1zC0a8h5oU_oAvnI9CmYEKRcbxJlw2IZx" TargetMode="External" Id="rId370" /><Relationship Type="http://schemas.openxmlformats.org/officeDocument/2006/relationships/hyperlink" Target="https://www.watura.fr/" TargetMode="External" Id="rId371" /><Relationship Type="http://schemas.openxmlformats.org/officeDocument/2006/relationships/hyperlink" Target="https://www.lewagon.com/" TargetMode="External" Id="rId372" /><Relationship Type="http://schemas.openxmlformats.org/officeDocument/2006/relationships/hyperlink" Target="https://www.instagram.com/lewagonparis" TargetMode="External" Id="rId373" /><Relationship Type="http://schemas.openxmlformats.org/officeDocument/2006/relationships/hyperlink" Target="https://twitter.com/Lewagonparis/" TargetMode="External" Id="rId374" /><Relationship Type="http://schemas.openxmlformats.org/officeDocument/2006/relationships/hyperlink" Target="https://www.linkedin.com/school/le-wagon/" TargetMode="External" Id="rId375" /><Relationship Type="http://schemas.openxmlformats.org/officeDocument/2006/relationships/hyperlink" Target="https://drive.google.com/uc?export=view&amp;id=1FCUNWhvhtjLFtJG5N46qPsg0vZq_gRWo" TargetMode="External" Id="rId376" /><Relationship Type="http://schemas.openxmlformats.org/officeDocument/2006/relationships/hyperlink" Target="https://lesapprentisdev.fr/" TargetMode="External" Id="rId377" /><Relationship Type="http://schemas.openxmlformats.org/officeDocument/2006/relationships/hyperlink" Target="https://hussaracademy.fr/" TargetMode="External" Id="rId378" /><Relationship Type="http://schemas.openxmlformats.org/officeDocument/2006/relationships/hyperlink" Target="https://www.instagram.com/accounts/login/?next=/hussaracademy/" TargetMode="External" Id="rId379" /><Relationship Type="http://schemas.openxmlformats.org/officeDocument/2006/relationships/hyperlink" Target="https://www.linkedin.com/company/hussar-academy" TargetMode="External" Id="rId380" /><Relationship Type="http://schemas.openxmlformats.org/officeDocument/2006/relationships/hyperlink" Target="https://drive.google.com/uc?export=view&amp;id=1ho0NrSLEGTUlC1EnR723oJOTGWzu9h-6" TargetMode="External" Id="rId381" /><Relationship Type="http://schemas.openxmlformats.org/officeDocument/2006/relationships/hyperlink" Target="https://www.educlever.com/" TargetMode="External" Id="rId382" /><Relationship Type="http://schemas.openxmlformats.org/officeDocument/2006/relationships/hyperlink" Target="https://twitter.com/educlever" TargetMode="External" Id="rId383" /><Relationship Type="http://schemas.openxmlformats.org/officeDocument/2006/relationships/hyperlink" Target="https://www.linkedin.com/company/educlever" TargetMode="External" Id="rId384" /><Relationship Type="http://schemas.openxmlformats.org/officeDocument/2006/relationships/hyperlink" Target="https://drive.google.com/uc?export=view&amp;id=16yB5zNqchKLEqwXPYbc0f2S2H4h0-ZeR" TargetMode="External" Id="rId385" /><Relationship Type="http://schemas.openxmlformats.org/officeDocument/2006/relationships/hyperlink" Target="https://mima-campus.com/" TargetMode="External" Id="rId386" /><Relationship Type="http://schemas.openxmlformats.org/officeDocument/2006/relationships/hyperlink" Target="https://www.linkedin.com/company/mima-campus" TargetMode="External" Id="rId387" /><Relationship Type="http://schemas.openxmlformats.org/officeDocument/2006/relationships/hyperlink" Target="https://drive.google.com/uc?export=view&amp;id=1ovsluXIcFcfBK8NChkreSxAX9Kn5FUku" TargetMode="External" Id="rId388" /><Relationship Type="http://schemas.openxmlformats.org/officeDocument/2006/relationships/hyperlink" Target="http://www.mootion.fr/" TargetMode="External" Id="rId389" /><Relationship Type="http://schemas.openxmlformats.org/officeDocument/2006/relationships/hyperlink" Target="http://simbel.fr/" TargetMode="External" Id="rId390" /><Relationship Type="http://schemas.openxmlformats.org/officeDocument/2006/relationships/hyperlink" Target="https://www.linkedin.com/company/71783451/admin/feed/posts/" TargetMode="External" Id="rId391" /><Relationship Type="http://schemas.openxmlformats.org/officeDocument/2006/relationships/hyperlink" Target="https://drive.google.com/uc?export=view&amp;id=14xNPUjN_F1jF6zo9kxdfB9vVwoHbLQ3q" TargetMode="External" Id="rId392" /><Relationship Type="http://schemas.openxmlformats.org/officeDocument/2006/relationships/hyperlink" Target="http://www.supermood.com/" TargetMode="External" Id="rId393" /><Relationship Type="http://schemas.openxmlformats.org/officeDocument/2006/relationships/hyperlink" Target="https://www.oscar-campus.com/" TargetMode="External" Id="rId394" /><Relationship Type="http://schemas.openxmlformats.org/officeDocument/2006/relationships/hyperlink" Target="https://www.linkedin.com/company/oscar-campus-crm/" TargetMode="External" Id="rId395" /><Relationship Type="http://schemas.openxmlformats.org/officeDocument/2006/relationships/hyperlink" Target="http://www.33trucs.com/" TargetMode="External" Id="rId396" /><Relationship Type="http://schemas.openxmlformats.org/officeDocument/2006/relationships/hyperlink" Target="https://www.coorpacademy.com/" TargetMode="External" Id="rId397" /><Relationship Type="http://schemas.openxmlformats.org/officeDocument/2006/relationships/hyperlink" Target="http://www.edunao.com/" TargetMode="External" Id="rId398" /><Relationship Type="http://schemas.openxmlformats.org/officeDocument/2006/relationships/hyperlink" Target="https://twitter.com/edunao?lang=fr" TargetMode="External" Id="rId399" /><Relationship Type="http://schemas.openxmlformats.org/officeDocument/2006/relationships/hyperlink" Target="https://fr.linkedin.com/company/edunao" TargetMode="External" Id="rId400" /><Relationship Type="http://schemas.openxmlformats.org/officeDocument/2006/relationships/hyperlink" Target="https://drive.google.com/uc?export=view&amp;id=1Go2AHjjJOHYhHuD2bi6SEWNk95FRiJ0X" TargetMode="External" Id="rId401" /><Relationship Type="http://schemas.openxmlformats.org/officeDocument/2006/relationships/hyperlink" Target="https://www.gapsmoov.com/en/" TargetMode="External" Id="rId402" /><Relationship Type="http://schemas.openxmlformats.org/officeDocument/2006/relationships/hyperlink" Target="http://lemonlearning.com/" TargetMode="External" Id="rId403" /><Relationship Type="http://schemas.openxmlformats.org/officeDocument/2006/relationships/hyperlink" Target="https://twitter.com/Lemon_Learning" TargetMode="External" Id="rId404" /><Relationship Type="http://schemas.openxmlformats.org/officeDocument/2006/relationships/hyperlink" Target="https://www.linkedin.com/company/lemon-learning/" TargetMode="External" Id="rId405" /><Relationship Type="http://schemas.openxmlformats.org/officeDocument/2006/relationships/hyperlink" Target="https://www.ludo-vic.com/" TargetMode="External" Id="rId406" /><Relationship Type="http://schemas.openxmlformats.org/officeDocument/2006/relationships/hyperlink" Target="https://www.linkedin.com/in/jack-amberg-23b18512/?originalSubdomain=fr" TargetMode="External" Id="rId407" /><Relationship Type="http://schemas.openxmlformats.org/officeDocument/2006/relationships/hyperlink" Target="https://drive.google.com/uc?export=view&amp;id=1CHGvbFVENSsXDWEsobdzldfsSYQiY-A7" TargetMode="External" Id="rId408" /><Relationship Type="http://schemas.openxmlformats.org/officeDocument/2006/relationships/hyperlink" Target="https://my-serious-game.com/en" TargetMode="External" Id="rId409" /><Relationship Type="http://schemas.openxmlformats.org/officeDocument/2006/relationships/hyperlink" Target="https://twitter.com/MY_SERIOUS_GAME?" TargetMode="External" Id="rId410" /><Relationship Type="http://schemas.openxmlformats.org/officeDocument/2006/relationships/hyperlink" Target="https://www.linkedin.com/company/my-serious-game/" TargetMode="External" Id="rId411" /><Relationship Type="http://schemas.openxmlformats.org/officeDocument/2006/relationships/hyperlink" Target="https://drive.google.com/uc?export=view&amp;id=1nLhne2RifsKRmRenRS9iYzQzajE8sZb8" TargetMode="External" Id="rId412" /><Relationship Type="http://schemas.openxmlformats.org/officeDocument/2006/relationships/hyperlink" Target="http://www.naotic.fr/" TargetMode="External" Id="rId413" /><Relationship Type="http://schemas.openxmlformats.org/officeDocument/2006/relationships/hyperlink" Target="https://twitter.com/NaoticFR" TargetMode="External" Id="rId414" /><Relationship Type="http://schemas.openxmlformats.org/officeDocument/2006/relationships/hyperlink" Target="https://www.linkedin.com/company/naotic" TargetMode="External" Id="rId415" /><Relationship Type="http://schemas.openxmlformats.org/officeDocument/2006/relationships/hyperlink" Target="https://drive.google.com/uc?export=view&amp;id=19fUOeZqHmdJThOw2ef1SXSoSrqDzTteE" TargetMode="External" Id="rId416" /><Relationship Type="http://schemas.openxmlformats.org/officeDocument/2006/relationships/hyperlink" Target="https://www.technext.fr/" TargetMode="External" Id="rId417" /><Relationship Type="http://schemas.openxmlformats.org/officeDocument/2006/relationships/hyperlink" Target="https://www.tenors.fr/" TargetMode="External" Id="rId418" /><Relationship Type="http://schemas.openxmlformats.org/officeDocument/2006/relationships/hyperlink" Target="https://twitter.com/TenorsFrance" TargetMode="External" Id="rId419" /><Relationship Type="http://schemas.openxmlformats.org/officeDocument/2006/relationships/hyperlink" Target="https://www.linkedin.com/company/68142561/" TargetMode="External" Id="rId420" /><Relationship Type="http://schemas.openxmlformats.org/officeDocument/2006/relationships/hyperlink" Target="http://www.amazyf.com/" TargetMode="External" Id="rId421" /><Relationship Type="http://schemas.openxmlformats.org/officeDocument/2006/relationships/hyperlink" Target="https://emaze.me/diginnovative" TargetMode="External" Id="rId422" /><Relationship Type="http://schemas.openxmlformats.org/officeDocument/2006/relationships/hyperlink" Target="https://www.linkedin.com/company/diginnovative/" TargetMode="External" Id="rId423" /><Relationship Type="http://schemas.openxmlformats.org/officeDocument/2006/relationships/hyperlink" Target="https://drive.google.com/uc?export=view&amp;id=1sVCt5FzqQy0xVl_xu0vRuh3DVa5TlMTE" TargetMode="External" Id="rId424" /><Relationship Type="http://schemas.openxmlformats.org/officeDocument/2006/relationships/hyperlink" Target="http://edflex.com/en" TargetMode="External" Id="rId425" /><Relationship Type="http://schemas.openxmlformats.org/officeDocument/2006/relationships/hyperlink" Target="https://www.instagram.com/edflex_fr" TargetMode="External" Id="rId426" /><Relationship Type="http://schemas.openxmlformats.org/officeDocument/2006/relationships/hyperlink" Target="https://twitter.com/edflex_fr" TargetMode="External" Id="rId427" /><Relationship Type="http://schemas.openxmlformats.org/officeDocument/2006/relationships/hyperlink" Target="https://www.linkedin.com/company/edflex-hq" TargetMode="External" Id="rId428" /><Relationship Type="http://schemas.openxmlformats.org/officeDocument/2006/relationships/hyperlink" Target="https://www.elendi.ai/" TargetMode="External" Id="rId429" /><Relationship Type="http://schemas.openxmlformats.org/officeDocument/2006/relationships/hyperlink" Target="https://drive.google.com/uc?export=view&amp;id=16QcgDUU64kqpCbdBvmWkSB-ju3w_zp2n" TargetMode="External" Id="rId430" /><Relationship Type="http://schemas.openxmlformats.org/officeDocument/2006/relationships/hyperlink" Target="https://makemymusik.fr/" TargetMode="External" Id="rId431" /><Relationship Type="http://schemas.openxmlformats.org/officeDocument/2006/relationships/hyperlink" Target="http://www.novo3d.fr/" TargetMode="External" Id="rId432" /><Relationship Type="http://schemas.openxmlformats.org/officeDocument/2006/relationships/hyperlink" Target="https://www.projet-voltaire.fr/?utm_source=site&amp;utm_medium=referral_partner&amp;utm_campaign=edtech_map" TargetMode="External" Id="rId433" /><Relationship Type="http://schemas.openxmlformats.org/officeDocument/2006/relationships/hyperlink" Target="https://www.twitter.com/projet_Voltaire" TargetMode="External" Id="rId434" /><Relationship Type="http://schemas.openxmlformats.org/officeDocument/2006/relationships/hyperlink" Target="https://www.linkedin.com/company/projet-voltaire/" TargetMode="External" Id="rId435" /><Relationship Type="http://schemas.openxmlformats.org/officeDocument/2006/relationships/hyperlink" Target="https://www.riseup.ai/" TargetMode="External" Id="rId436" /><Relationship Type="http://schemas.openxmlformats.org/officeDocument/2006/relationships/hyperlink" Target="https://www.instagram.com/riseup.ai/" TargetMode="External" Id="rId437" /><Relationship Type="http://schemas.openxmlformats.org/officeDocument/2006/relationships/hyperlink" Target="https://twitter.com/RiseUpAI" TargetMode="External" Id="rId438" /><Relationship Type="http://schemas.openxmlformats.org/officeDocument/2006/relationships/hyperlink" Target="https://www.linkedin.com/company/rise-up-ai-france/" TargetMode="External" Id="rId439" /><Relationship Type="http://schemas.openxmlformats.org/officeDocument/2006/relationships/hyperlink" Target="https://drive.google.com/uc?export=view&amp;id=1D5-AmnQ8dY0D9XO9SILfD4ZQeSc-3edu" TargetMode="External" Id="rId440" /><Relationship Type="http://schemas.openxmlformats.org/officeDocument/2006/relationships/hyperlink" Target="https://simango.fr/" TargetMode="External" Id="rId441" /><Relationship Type="http://schemas.openxmlformats.org/officeDocument/2006/relationships/hyperlink" Target="https://twitter.com/simangosante" TargetMode="External" Id="rId442" /><Relationship Type="http://schemas.openxmlformats.org/officeDocument/2006/relationships/hyperlink" Target="https://www.linkedin.com/company/simango/" TargetMode="External" Id="rId443" /><Relationship Type="http://schemas.openxmlformats.org/officeDocument/2006/relationships/hyperlink" Target="https://www.smarteo.co/" TargetMode="External" Id="rId444" /><Relationship Type="http://schemas.openxmlformats.org/officeDocument/2006/relationships/hyperlink" Target="https://www.instagram.com/smarteo.co" TargetMode="External" Id="rId445" /><Relationship Type="http://schemas.openxmlformats.org/officeDocument/2006/relationships/hyperlink" Target="https://twitter.com/smarteo_co" TargetMode="External" Id="rId446" /><Relationship Type="http://schemas.openxmlformats.org/officeDocument/2006/relationships/hyperlink" Target="https://www.linkedin.com/company/smarteo-co/" TargetMode="External" Id="rId447" /><Relationship Type="http://schemas.openxmlformats.org/officeDocument/2006/relationships/hyperlink" Target="https://drive.google.com/uc?export=view&amp;id=1HPqZa_ok6oQZ1p_a5i7QEnsE2D9gpEuw" TargetMode="External" Id="rId448" /><Relationship Type="http://schemas.openxmlformats.org/officeDocument/2006/relationships/hyperlink" Target="https://studinventive.com/" TargetMode="External" Id="rId449" /><Relationship Type="http://schemas.openxmlformats.org/officeDocument/2006/relationships/hyperlink" Target="http://tuto.com/" TargetMode="External" Id="rId450" /><Relationship Type="http://schemas.openxmlformats.org/officeDocument/2006/relationships/hyperlink" Target="https://fr.tuto.com/" TargetMode="External" Id="rId451" /><Relationship Type="http://schemas.openxmlformats.org/officeDocument/2006/relationships/hyperlink" Target="https://scealprod.fr/" TargetMode="External" Id="rId452" /><Relationship Type="http://schemas.openxmlformats.org/officeDocument/2006/relationships/hyperlink" Target="https://www.instagram.com/scealprod.fr/" TargetMode="External" Id="rId453" /><Relationship Type="http://schemas.openxmlformats.org/officeDocument/2006/relationships/hyperlink" Target="https://twitter.com/scealprod/" TargetMode="External" Id="rId454" /><Relationship Type="http://schemas.openxmlformats.org/officeDocument/2006/relationships/hyperlink" Target="https://www.linkedin.com/company/scealprod/" TargetMode="External" Id="rId455" /><Relationship Type="http://schemas.openxmlformats.org/officeDocument/2006/relationships/hyperlink" Target="https://drive.google.com/uc?export=view&amp;id=1TLxrujCs0vos9yH_HCQdjFgqxSNz1dwp" TargetMode="External" Id="rId456" /><Relationship Type="http://schemas.openxmlformats.org/officeDocument/2006/relationships/hyperlink" Target="https://mathiasvandermeulen.com/" TargetMode="External" Id="rId457" /><Relationship Type="http://schemas.openxmlformats.org/officeDocument/2006/relationships/hyperlink" Target="https://www.linkedin.com/in/mathiasvdmeulen/" TargetMode="External" Id="rId458" /><Relationship Type="http://schemas.openxmlformats.org/officeDocument/2006/relationships/hyperlink" Target="https://drive.google.com/uc?export=view&amp;id=115nRIRHDDeAxCGhTLWx68tnRSYQP6WgW" TargetMode="External" Id="rId459" /><Relationship Type="http://schemas.openxmlformats.org/officeDocument/2006/relationships/hyperlink" Target="https://www.aimaira.fr/" TargetMode="External" Id="rId460" /><Relationship Type="http://schemas.openxmlformats.org/officeDocument/2006/relationships/hyperlink" Target="https://twitter.com/aimaira_erp" TargetMode="External" Id="rId461" /><Relationship Type="http://schemas.openxmlformats.org/officeDocument/2006/relationships/hyperlink" Target="https://www.linkedin.com/company/aimaira/" TargetMode="External" Id="rId462" /><Relationship Type="http://schemas.openxmlformats.org/officeDocument/2006/relationships/hyperlink" Target="https://drive.google.com/uc?export=view&amp;id=1hFYJVHg1WicHtdtRKW8y4s6uN2pNSpZ_" TargetMode="External" Id="rId463" /><Relationship Type="http://schemas.openxmlformats.org/officeDocument/2006/relationships/hyperlink" Target="https://altusform.fr/" TargetMode="External" Id="rId464" /><Relationship Type="http://schemas.openxmlformats.org/officeDocument/2006/relationships/hyperlink" Target="https://www.linkedin.com/company/altusform" TargetMode="External" Id="rId465" /><Relationship Type="http://schemas.openxmlformats.org/officeDocument/2006/relationships/hyperlink" Target="https://beyondeducation.tech/" TargetMode="External" Id="rId466" /><Relationship Type="http://schemas.openxmlformats.org/officeDocument/2006/relationships/hyperlink" Target="https://www.instagram.com/beyondeducation21st/" TargetMode="External" Id="rId467" /><Relationship Type="http://schemas.openxmlformats.org/officeDocument/2006/relationships/hyperlink" Target="https://www.linkedin.com/company/be-beyond-education-company/?viewAsMember=true" TargetMode="External" Id="rId468" /><Relationship Type="http://schemas.openxmlformats.org/officeDocument/2006/relationships/hyperlink" Target="https://drive.google.com/uc?export=view&amp;id=1wv-QoJp0POrGv7U4efqchrGaBeznFR8V" TargetMode="External" Id="rId469" /><Relationship Type="http://schemas.openxmlformats.org/officeDocument/2006/relationships/hyperlink" Target="https://www.craft.ai/" TargetMode="External" Id="rId470" /><Relationship Type="http://schemas.openxmlformats.org/officeDocument/2006/relationships/hyperlink" Target="https://twitter.com/craft_ai" TargetMode="External" Id="rId471" /><Relationship Type="http://schemas.openxmlformats.org/officeDocument/2006/relationships/hyperlink" Target="https://www.linkedin.com/company/9460012/" TargetMode="External" Id="rId472" /><Relationship Type="http://schemas.openxmlformats.org/officeDocument/2006/relationships/hyperlink" Target="https://drive.google.com/uc?export=view&amp;id=1GyQym391kyXn4a89-MetLQTbml6Ycm6N" TargetMode="External" Id="rId473" /><Relationship Type="http://schemas.openxmlformats.org/officeDocument/2006/relationships/hyperlink" Target="http://www.dokeos.com/" TargetMode="External" Id="rId474" /><Relationship Type="http://schemas.openxmlformats.org/officeDocument/2006/relationships/hyperlink" Target="https://www.instagram.com/dokeoslms/?hl=fr" TargetMode="External" Id="rId475" /><Relationship Type="http://schemas.openxmlformats.org/officeDocument/2006/relationships/hyperlink" Target="https://twitter.com/dokeos" TargetMode="External" Id="rId476" /><Relationship Type="http://schemas.openxmlformats.org/officeDocument/2006/relationships/hyperlink" Target="https://www.linkedin.com/company/dokeos" TargetMode="External" Id="rId477" /><Relationship Type="http://schemas.openxmlformats.org/officeDocument/2006/relationships/hyperlink" Target="https://drive.google.com/uc?export=view&amp;id=1xGugivr8_wiL4QT2_aSQHWNhkSVjI78X" TargetMode="External" Id="rId478" /><Relationship Type="http://schemas.openxmlformats.org/officeDocument/2006/relationships/hyperlink" Target="https://www.fasterclass.fr/" TargetMode="External" Id="rId479" /><Relationship Type="http://schemas.openxmlformats.org/officeDocument/2006/relationships/hyperlink" Target="https://www.linkedin.com/company/10414242" TargetMode="External" Id="rId480" /><Relationship Type="http://schemas.openxmlformats.org/officeDocument/2006/relationships/hyperlink" Target="https://grimp.io/" TargetMode="External" Id="rId481" /><Relationship Type="http://schemas.openxmlformats.org/officeDocument/2006/relationships/hyperlink" Target="http://grimp.io/" TargetMode="External" Id="rId482" /><Relationship Type="http://schemas.openxmlformats.org/officeDocument/2006/relationships/hyperlink" Target="https://twitter.com/grimphq" TargetMode="External" Id="rId483" /><Relationship Type="http://schemas.openxmlformats.org/officeDocument/2006/relationships/hyperlink" Target="https://www.linkedin.com/company/grimp-hq" TargetMode="External" Id="rId484" /><Relationship Type="http://schemas.openxmlformats.org/officeDocument/2006/relationships/hyperlink" Target="https://drive.google.com/uc?export=view&amp;id=1lhWB8mgqr3GhKCYp4p7hbREDRcUzAKMi" TargetMode="External" Id="rId485" /><Relationship Type="http://schemas.openxmlformats.org/officeDocument/2006/relationships/hyperlink" Target="https://www.gymglish.com/" TargetMode="External" Id="rId486" /><Relationship Type="http://schemas.openxmlformats.org/officeDocument/2006/relationships/hyperlink" Target="https://www.instagram.com/gymglish/" TargetMode="External" Id="rId487" /><Relationship Type="http://schemas.openxmlformats.org/officeDocument/2006/relationships/hyperlink" Target="https://twitter.com/GymGlish" TargetMode="External" Id="rId488" /><Relationship Type="http://schemas.openxmlformats.org/officeDocument/2006/relationships/hyperlink" Target="https://www.linkedin.com/company/gymglish/" TargetMode="External" Id="rId489" /><Relationship Type="http://schemas.openxmlformats.org/officeDocument/2006/relationships/hyperlink" Target="https://drive.google.com/uc?export=view&amp;id=1MdCvkj9qbbjR5gLNr3SUDEyDvjBXRcOe" TargetMode="External" Id="rId490" /><Relationship Type="http://schemas.openxmlformats.org/officeDocument/2006/relationships/hyperlink" Target="https://www.icdlfrance.org/" TargetMode="External" Id="rId491" /><Relationship Type="http://schemas.openxmlformats.org/officeDocument/2006/relationships/hyperlink" Target="https://www.instagram.com/icdl_france/" TargetMode="External" Id="rId492" /><Relationship Type="http://schemas.openxmlformats.org/officeDocument/2006/relationships/hyperlink" Target="https://mobile.twitter.com/icdlfrance" TargetMode="External" Id="rId493" /><Relationship Type="http://schemas.openxmlformats.org/officeDocument/2006/relationships/hyperlink" Target="https://www.linkedin.com/company/pcie---icdl" TargetMode="External" Id="rId494" /><Relationship Type="http://schemas.openxmlformats.org/officeDocument/2006/relationships/hyperlink" Target="https://iteach.world/" TargetMode="External" Id="rId495" /><Relationship Type="http://schemas.openxmlformats.org/officeDocument/2006/relationships/hyperlink" Target="https://www.facebook.com/Iteachworld" TargetMode="External" Id="rId496" /><Relationship Type="http://schemas.openxmlformats.org/officeDocument/2006/relationships/hyperlink" Target="https://www.linkedin.com/company/iteach-world/" TargetMode="External" Id="rId497" /><Relationship Type="http://schemas.openxmlformats.org/officeDocument/2006/relationships/hyperlink" Target="https://drive.google.com/uc?export=view&amp;id=1RQ-FvR9rMM2WaL5ZYatyvb3lpTbL4QUu" TargetMode="External" Id="rId498" /><Relationship Type="http://schemas.openxmlformats.org/officeDocument/2006/relationships/hyperlink" Target="http://www.kalivi.fr/" TargetMode="External" Id="rId499" /><Relationship Type="http://schemas.openxmlformats.org/officeDocument/2006/relationships/hyperlink" Target="https://www.kingpact.fr/" TargetMode="External" Id="rId500" /><Relationship Type="http://schemas.openxmlformats.org/officeDocument/2006/relationships/hyperlink" Target="https://www.instagram.com/king_pact/?hl=en" TargetMode="External" Id="rId501" /><Relationship Type="http://schemas.openxmlformats.org/officeDocument/2006/relationships/hyperlink" Target="https://www.linkedin.com/company/kingpact" TargetMode="External" Id="rId502" /><Relationship Type="http://schemas.openxmlformats.org/officeDocument/2006/relationships/hyperlink" Target="http://www.atelierdeschefs.fr/" TargetMode="External" Id="rId503" /><Relationship Type="http://schemas.openxmlformats.org/officeDocument/2006/relationships/hyperlink" Target="https://www.instagram.com/atelierdeschefs/?hl=fr" TargetMode="External" Id="rId504" /><Relationship Type="http://schemas.openxmlformats.org/officeDocument/2006/relationships/hyperlink" Target="https://www.linkedin.com/school/91825/admin/" TargetMode="External" Id="rId505" /><Relationship Type="http://schemas.openxmlformats.org/officeDocument/2006/relationships/hyperlink" Target="https://www.lesadultesdedemain.com/" TargetMode="External" Id="rId506" /><Relationship Type="http://schemas.openxmlformats.org/officeDocument/2006/relationships/hyperlink" Target="http://www.lili.cool/" TargetMode="External" Id="rId507" /><Relationship Type="http://schemas.openxmlformats.org/officeDocument/2006/relationships/hyperlink" Target="https://www.instagram.com/lili.cool.app/" TargetMode="External" Id="rId508" /><Relationship Type="http://schemas.openxmlformats.org/officeDocument/2006/relationships/hyperlink" Target="https://www.linkedin.com/company/lili-cool-app/" TargetMode="External" Id="rId509" /><Relationship Type="http://schemas.openxmlformats.org/officeDocument/2006/relationships/hyperlink" Target="https://www.lillup.com/" TargetMode="External" Id="rId510" /><Relationship Type="http://schemas.openxmlformats.org/officeDocument/2006/relationships/hyperlink" Target="https://massiveimmersive.com/" TargetMode="External" Id="rId511" /><Relationship Type="http://schemas.openxmlformats.org/officeDocument/2006/relationships/hyperlink" Target="https://www.instagram.com/massive_immersive/" TargetMode="External" Id="rId512" /><Relationship Type="http://schemas.openxmlformats.org/officeDocument/2006/relationships/hyperlink" Target="https://twitter.com/Mass_Immersive" TargetMode="External" Id="rId513" /><Relationship Type="http://schemas.openxmlformats.org/officeDocument/2006/relationships/hyperlink" Target="https://www.linkedin.com/company/massive-immersive/" TargetMode="External" Id="rId514" /><Relationship Type="http://schemas.openxmlformats.org/officeDocument/2006/relationships/hyperlink" Target="https://drive.google.com/uc?export=view&amp;id=1WaFFO26j0-v6HF_oMXt2iTxt3nD46tb4" TargetMode="External" Id="rId515" /><Relationship Type="http://schemas.openxmlformats.org/officeDocument/2006/relationships/hyperlink" Target="http://mavoie.org/" TargetMode="External" Id="rId516" /><Relationship Type="http://schemas.openxmlformats.org/officeDocument/2006/relationships/hyperlink" Target="http://www.mavoie.org/" TargetMode="External" Id="rId517" /><Relationship Type="http://schemas.openxmlformats.org/officeDocument/2006/relationships/hyperlink" Target="https://www.instagram.com/mavoieorg/" TargetMode="External" Id="rId518" /><Relationship Type="http://schemas.openxmlformats.org/officeDocument/2006/relationships/hyperlink" Target="https://twitter.com/mavoie_org" TargetMode="External" Id="rId519" /><Relationship Type="http://schemas.openxmlformats.org/officeDocument/2006/relationships/hyperlink" Target="https://www.linkedin.com/company/mavoie-org" TargetMode="External" Id="rId520" /><Relationship Type="http://schemas.openxmlformats.org/officeDocument/2006/relationships/hyperlink" Target="https://drive.google.com/uc?export=view&amp;id=1W3ho_mVXPZGwmLvx0PxB1B_JNdKfvZIs" TargetMode="External" Id="rId521" /><Relationship Type="http://schemas.openxmlformats.org/officeDocument/2006/relationships/hyperlink" Target="https://mysalesacademy.fr/" TargetMode="External" Id="rId522" /><Relationship Type="http://schemas.openxmlformats.org/officeDocument/2006/relationships/hyperlink" Target="https://www.linkedin.com/company/my-sales-academy-lyon/?viewAsMember=true" TargetMode="External" Id="rId523" /><Relationship Type="http://schemas.openxmlformats.org/officeDocument/2006/relationships/hyperlink" Target="http://www.nabook.co/" TargetMode="External" Id="rId524" /><Relationship Type="http://schemas.openxmlformats.org/officeDocument/2006/relationships/hyperlink" Target="https://www.instagram.com/nabook_app" TargetMode="External" Id="rId525" /><Relationship Type="http://schemas.openxmlformats.org/officeDocument/2006/relationships/hyperlink" Target="https://twitter.com/nabook_app" TargetMode="External" Id="rId526" /><Relationship Type="http://schemas.openxmlformats.org/officeDocument/2006/relationships/hyperlink" Target="https://www.linkedin.com/company/14454529/" TargetMode="External" Id="rId527" /><Relationship Type="http://schemas.openxmlformats.org/officeDocument/2006/relationships/hyperlink" Target="https://ww.pro-pulsar.com/" TargetMode="External" Id="rId528" /><Relationship Type="http://schemas.openxmlformats.org/officeDocument/2006/relationships/hyperlink" Target="https://www.prosoon.eu/" TargetMode="External" Id="rId529" /><Relationship Type="http://schemas.openxmlformats.org/officeDocument/2006/relationships/hyperlink" Target="https://www.linkedin.com/company/prosoon/?viewAsMember=true" TargetMode="External" Id="rId530" /><Relationship Type="http://schemas.openxmlformats.org/officeDocument/2006/relationships/hyperlink" Target="https://skilit.io/" TargetMode="External" Id="rId531" /><Relationship Type="http://schemas.openxmlformats.org/officeDocument/2006/relationships/hyperlink" Target="https://www.linkedin.com/company/skilit-io" TargetMode="External" Id="rId532" /><Relationship Type="http://schemas.openxmlformats.org/officeDocument/2006/relationships/hyperlink" Target="https://www.skilmi.fr/" TargetMode="External" Id="rId533" /><Relationship Type="http://schemas.openxmlformats.org/officeDocument/2006/relationships/hyperlink" Target="https://www.instagram.com/skilmi.fr/" TargetMode="External" Id="rId534" /><Relationship Type="http://schemas.openxmlformats.org/officeDocument/2006/relationships/hyperlink" Target="https://twitter.com/skilmi_fr" TargetMode="External" Id="rId535" /><Relationship Type="http://schemas.openxmlformats.org/officeDocument/2006/relationships/hyperlink" Target="https://www.linkedin.com/company/skilmi/?viewAsMember=true" TargetMode="External" Id="rId536" /><Relationship Type="http://schemas.openxmlformats.org/officeDocument/2006/relationships/hyperlink" Target="https://drive.google.com/uc?export=view&amp;id=1BBWOQ1HPN0JNV9lOFCbdkCjDTOcjaGAJ" TargetMode="External" Id="rId537" /><Relationship Type="http://schemas.openxmlformats.org/officeDocument/2006/relationships/hyperlink" Target="https://www.sparted.com/" TargetMode="External" Id="rId538" /><Relationship Type="http://schemas.openxmlformats.org/officeDocument/2006/relationships/hyperlink" Target="https://sylexapp.com/" TargetMode="External" Id="rId539" /><Relationship Type="http://schemas.openxmlformats.org/officeDocument/2006/relationships/hyperlink" Target="https://www.instagram.com/sylexapp/" TargetMode="External" Id="rId540" /><Relationship Type="http://schemas.openxmlformats.org/officeDocument/2006/relationships/hyperlink" Target="https://twitter.com/sylexapp" TargetMode="External" Id="rId541" /><Relationship Type="http://schemas.openxmlformats.org/officeDocument/2006/relationships/hyperlink" Target="https://www.linkedin.com/company/76330568" TargetMode="External" Id="rId542" /><Relationship Type="http://schemas.openxmlformats.org/officeDocument/2006/relationships/hyperlink" Target="https://takk.app/" TargetMode="External" Id="rId543" /><Relationship Type="http://schemas.openxmlformats.org/officeDocument/2006/relationships/hyperlink" Target="http://techkidsacademy.com/" TargetMode="External" Id="rId544" /><Relationship Type="http://schemas.openxmlformats.org/officeDocument/2006/relationships/hyperlink" Target="https://www.instagram.com/techkidsacademy/" TargetMode="External" Id="rId545" /><Relationship Type="http://schemas.openxmlformats.org/officeDocument/2006/relationships/hyperlink" Target="https://twitter.com/techkidsacademy" TargetMode="External" Id="rId546" /><Relationship Type="http://schemas.openxmlformats.org/officeDocument/2006/relationships/hyperlink" Target="https://www.linkedin.com/company/45964857/" TargetMode="External" Id="rId547" /><Relationship Type="http://schemas.openxmlformats.org/officeDocument/2006/relationships/hyperlink" Target="https://drive.google.com/uc?export=view&amp;id=1Te0XaUR4-3wgcmPhqlAwtClFPBJ2cNMn" TargetMode="External" Id="rId548" /><Relationship Type="http://schemas.openxmlformats.org/officeDocument/2006/relationships/hyperlink" Target="https://testwe.eu/en/" TargetMode="External" Id="rId549" /><Relationship Type="http://schemas.openxmlformats.org/officeDocument/2006/relationships/hyperlink" Target="https://www.instagram.com/testwe_eu/" TargetMode="External" Id="rId550" /><Relationship Type="http://schemas.openxmlformats.org/officeDocument/2006/relationships/hyperlink" Target="https://twitter.com/testwe_eu" TargetMode="External" Id="rId551" /><Relationship Type="http://schemas.openxmlformats.org/officeDocument/2006/relationships/hyperlink" Target="https://www.linkedin.com/company/testwe" TargetMode="External" Id="rId552" /><Relationship Type="http://schemas.openxmlformats.org/officeDocument/2006/relationships/hyperlink" Target="https://drive.google.com/uc?export=view&amp;id=1iEVw_HadK7sPYKIj1otl8chfgGpbuiFV" TargetMode="External" Id="rId553" /><Relationship Type="http://schemas.openxmlformats.org/officeDocument/2006/relationships/hyperlink" Target="https://www.tosa.org/EN/index" TargetMode="External" Id="rId554" /><Relationship Type="http://schemas.openxmlformats.org/officeDocument/2006/relationships/hyperlink" Target="https://www.linkedin.com/company/tosacertifications/" TargetMode="External" Id="rId555" /><Relationship Type="http://schemas.openxmlformats.org/officeDocument/2006/relationships/hyperlink" Target="https://drive.google.com/uc?export=view&amp;id=16TJ0KiiE1Fu1-OeWrfghjROa8pbt_KKG" TargetMode="External" Id="rId556" /><Relationship Type="http://schemas.openxmlformats.org/officeDocument/2006/relationships/hyperlink" Target="https://unly.org/" TargetMode="External" Id="rId557" /><Relationship Type="http://schemas.openxmlformats.org/officeDocument/2006/relationships/hyperlink" Target="https://www.instagram.com/propulseo/" TargetMode="External" Id="rId558" /><Relationship Type="http://schemas.openxmlformats.org/officeDocument/2006/relationships/hyperlink" Target="https://twitter.com/unlyed" TargetMode="External" Id="rId559" /><Relationship Type="http://schemas.openxmlformats.org/officeDocument/2006/relationships/hyperlink" Target="https://www.linkedin.com/company/unly/" TargetMode="External" Id="rId560" /><Relationship Type="http://schemas.openxmlformats.org/officeDocument/2006/relationships/hyperlink" Target="https://drive.google.com/uc?export=view&amp;id=1xliyHvm-rirbaW4SkkXooG2ouNpBrCl0" TargetMode="External" Id="rId561" /><Relationship Type="http://schemas.openxmlformats.org/officeDocument/2006/relationships/hyperlink" Target="http://upskyld.com/" TargetMode="External" Id="rId562" /><Relationship Type="http://schemas.openxmlformats.org/officeDocument/2006/relationships/hyperlink" Target="https://www.linkedin.com/company/84367156/" TargetMode="External" Id="rId563" /><Relationship Type="http://schemas.openxmlformats.org/officeDocument/2006/relationships/hyperlink" Target="http://weeki.io/" TargetMode="External" Id="rId564" /><Relationship Type="http://schemas.openxmlformats.org/officeDocument/2006/relationships/hyperlink" Target="https://whaller.com/" TargetMode="External" Id="rId565" /><Relationship Type="http://schemas.openxmlformats.org/officeDocument/2006/relationships/hyperlink" Target="https://twitter.com/whaller_en" TargetMode="External" Id="rId566" /><Relationship Type="http://schemas.openxmlformats.org/officeDocument/2006/relationships/hyperlink" Target="https://www.linkedin.com/company/whaller" TargetMode="External" Id="rId567" /><Relationship Type="http://schemas.openxmlformats.org/officeDocument/2006/relationships/hyperlink" Target="https://www.kaligo-apps.com/" TargetMode="External" Id="rId568" /><Relationship Type="http://schemas.openxmlformats.org/officeDocument/2006/relationships/hyperlink" Target="https://www.instagram.com/kaligoapps_en/" TargetMode="External" Id="rId569" /><Relationship Type="http://schemas.openxmlformats.org/officeDocument/2006/relationships/hyperlink" Target="https://twitter.com/KaligoApps_EN" TargetMode="External" Id="rId570" /><Relationship Type="http://schemas.openxmlformats.org/officeDocument/2006/relationships/hyperlink" Target="https://www.linkedin.com/company/kaligo-uk/" TargetMode="External" Id="rId571" /><Relationship Type="http://schemas.openxmlformats.org/officeDocument/2006/relationships/hyperlink" Target="https://globalcoss.com/" TargetMode="External" Id="rId572" /><Relationship Type="http://schemas.openxmlformats.org/officeDocument/2006/relationships/hyperlink" Target="https://www.pitchboy.sc/" TargetMode="External" Id="rId573" /><Relationship Type="http://schemas.openxmlformats.org/officeDocument/2006/relationships/hyperlink" Target="https://twitter.com/PitchboyVR" TargetMode="External" Id="rId574" /><Relationship Type="http://schemas.openxmlformats.org/officeDocument/2006/relationships/hyperlink" Target="https://www.linkedin.com/company/pitchboy/" TargetMode="External" Id="rId575" /><Relationship Type="http://schemas.openxmlformats.org/officeDocument/2006/relationships/hyperlink" Target="https://tiny-coaching.com/index.php/en/tinycoaching-le-coach-virtuel-english/" TargetMode="External" Id="rId576" /><Relationship Type="http://schemas.openxmlformats.org/officeDocument/2006/relationships/hyperlink" Target="http://jenseigne.fr/" TargetMode="External" Id="rId577" /><Relationship Type="http://schemas.openxmlformats.org/officeDocument/2006/relationships/hyperlink" Target="https://www.jenseigne.fr/" TargetMode="External" Id="rId578" /><Relationship Type="http://schemas.openxmlformats.org/officeDocument/2006/relationships/hyperlink" Target="http://jenseigne.fr/" TargetMode="External" Id="rId579" /><Relationship Type="http://schemas.openxmlformats.org/officeDocument/2006/relationships/hyperlink" Target="http://meseleves.fr/" TargetMode="External" Id="rId580" /><Relationship Type="http://schemas.openxmlformats.org/officeDocument/2006/relationships/hyperlink" Target="http://wingup.io/" TargetMode="External" Id="rId581" /><Relationship Type="http://schemas.openxmlformats.org/officeDocument/2006/relationships/hyperlink" Target="http://www.moveen.eu/" TargetMode="External" Id="rId582" /><Relationship Type="http://schemas.openxmlformats.org/officeDocument/2006/relationships/hyperlink" Target="https://www.evidenceb.com/" TargetMode="External" Id="rId583" /><Relationship Type="http://schemas.openxmlformats.org/officeDocument/2006/relationships/hyperlink" Target="https://www.instagram.com/adaptivmath/" TargetMode="External" Id="rId584" /><Relationship Type="http://schemas.openxmlformats.org/officeDocument/2006/relationships/hyperlink" Target="https://twitter.com/T_EvidenceB" TargetMode="External" Id="rId585" /><Relationship Type="http://schemas.openxmlformats.org/officeDocument/2006/relationships/hyperlink" Target="https://www.linkedin.com/company/evidenceb-inside" TargetMode="External" Id="rId586" /><Relationship Type="http://schemas.openxmlformats.org/officeDocument/2006/relationships/hyperlink" Target="https://drive.google.com/uc?export=view&amp;id=1f32KSaOBheKkP9KbCtUGu_nhD6qcnqts" TargetMode="External" Id="rId587" /><Relationship Type="http://schemas.openxmlformats.org/officeDocument/2006/relationships/hyperlink" Target="https://teachup.com/" TargetMode="External" Id="rId588" /><Relationship Type="http://schemas.openxmlformats.org/officeDocument/2006/relationships/hyperlink" Target="http://www.instagram.com/teachup_inside/" TargetMode="External" Id="rId589" /><Relationship Type="http://schemas.openxmlformats.org/officeDocument/2006/relationships/hyperlink" Target="http://twitter.com/teachup_france?lang=fr" TargetMode="External" Id="rId590" /><Relationship Type="http://schemas.openxmlformats.org/officeDocument/2006/relationships/hyperlink" Target="http://www.linkedin.com/company/teachup.com" TargetMode="External" Id="rId591" /><Relationship Type="http://schemas.openxmlformats.org/officeDocument/2006/relationships/hyperlink" Target="https://www.chalkboard.education/" TargetMode="External" Id="rId592" /><Relationship Type="http://schemas.openxmlformats.org/officeDocument/2006/relationships/hyperlink" Target="https://twitter.com/TeamChalkboard" TargetMode="External" Id="rId593" /><Relationship Type="http://schemas.openxmlformats.org/officeDocument/2006/relationships/hyperlink" Target="https://www.linkedin.com/company/chalkboard-education/" TargetMode="External" Id="rId594" /><Relationship Type="http://schemas.openxmlformats.org/officeDocument/2006/relationships/hyperlink" Target="https://drive.google.com/uc?export=view&amp;id=14q5GQkHObB8spjFVbRHkcLHvSUEW5PjZ" TargetMode="External" Id="rId595" /><Relationship Type="http://schemas.openxmlformats.org/officeDocument/2006/relationships/hyperlink" Target="http://lingua-attack.com/" TargetMode="External" Id="rId596" /><Relationship Type="http://schemas.openxmlformats.org/officeDocument/2006/relationships/hyperlink" Target="https://www.linkedin.com/company/lingua-attack/" TargetMode="External" Id="rId597" /><Relationship Type="http://schemas.openxmlformats.org/officeDocument/2006/relationships/hyperlink" Target="http://www.linguaphone.fr/" TargetMode="External" Id="rId598" /><Relationship Type="http://schemas.openxmlformats.org/officeDocument/2006/relationships/hyperlink" Target="https://www.linkedin.com/company/linguaphone-france" TargetMode="External" Id="rId599" /><Relationship Type="http://schemas.openxmlformats.org/officeDocument/2006/relationships/hyperlink" Target="https://www.wixar.io/" TargetMode="External" Id="rId600" /><Relationship Type="http://schemas.openxmlformats.org/officeDocument/2006/relationships/hyperlink" Target="https://www.instagram.com/wixar360/" TargetMode="External" Id="rId601" /><Relationship Type="http://schemas.openxmlformats.org/officeDocument/2006/relationships/hyperlink" Target="https://twitter.com/WiXar360" TargetMode="External" Id="rId602" /><Relationship Type="http://schemas.openxmlformats.org/officeDocument/2006/relationships/hyperlink" Target="https://www.linkedin.com/company/wixar" TargetMode="External" Id="rId603" /><Relationship Type="http://schemas.openxmlformats.org/officeDocument/2006/relationships/hyperlink" Target="https://www.cns-edu.com/" TargetMode="External" Id="rId604" /><Relationship Type="http://schemas.openxmlformats.org/officeDocument/2006/relationships/hyperlink" Target="https://drive.google.com/uc?export=view&amp;id=14SDVazfE5ddoJ9U-32V9w4sI-r57_sRo" TargetMode="External" Id="rId605" /><Relationship Type="http://schemas.openxmlformats.org/officeDocument/2006/relationships/hyperlink" Target="https://www.edulib.fr/" TargetMode="External" Id="rId606" /><Relationship Type="http://schemas.openxmlformats.org/officeDocument/2006/relationships/hyperlink" Target="https://1to1progress.fr/" TargetMode="External" Id="rId607" /><Relationship Type="http://schemas.openxmlformats.org/officeDocument/2006/relationships/hyperlink" Target="https://fr.linkedin.com/company/1to1progress" TargetMode="External" Id="rId608" /><Relationship Type="http://schemas.openxmlformats.org/officeDocument/2006/relationships/hyperlink" Target="https://rbean.io/" TargetMode="External" Id="rId609" /><Relationship Type="http://schemas.openxmlformats.org/officeDocument/2006/relationships/hyperlink" Target="https://www.linkedin.com/company/30967711/" TargetMode="External" Id="rId610" /><Relationship Type="http://schemas.openxmlformats.org/officeDocument/2006/relationships/hyperlink" Target="https://drive.google.com/uc?export=view&amp;id=1tFTIKiXgS7IteYSGw21rFR2mHqdgXn-n" TargetMode="External" Id="rId611" /><Relationship Type="http://schemas.openxmlformats.org/officeDocument/2006/relationships/hyperlink" Target="https://www.judicia.app/" TargetMode="External" Id="rId612" /><Relationship Type="http://schemas.openxmlformats.org/officeDocument/2006/relationships/hyperlink" Target="https://www.skillandyou.com/fr/" TargetMode="External" Id="rId613" /><Relationship Type="http://schemas.openxmlformats.org/officeDocument/2006/relationships/hyperlink" Target="https://www.linkedin.com/search/results/all/?fetchDeterministicClustersOnly=true&amp;heroEntityKey=urn%3Ali%3Aorganization%3A412793&amp;keywords=skill%20and%20you&amp;origin=RICH_QUERY_SUGGESTION&amp;position=0&amp;searchId=ff2fd2b7-b141-41e8-b187-f5a18ea8605b&amp;sid=Goo" TargetMode="External" Id="rId614" /><Relationship Type="http://schemas.openxmlformats.org/officeDocument/2006/relationships/hyperlink" Target="https://www.7speaking.com/" TargetMode="External" Id="rId615" /><Relationship Type="http://schemas.openxmlformats.org/officeDocument/2006/relationships/hyperlink" Target="https://colori.education/" TargetMode="External" Id="rId616" /><Relationship Type="http://schemas.openxmlformats.org/officeDocument/2006/relationships/hyperlink" Target="https://www.instagram.com/colori.officiel/" TargetMode="External" Id="rId617" /><Relationship Type="http://schemas.openxmlformats.org/officeDocument/2006/relationships/hyperlink" Target="https://twitter.com/COLORIeducation" TargetMode="External" Id="rId618" /><Relationship Type="http://schemas.openxmlformats.org/officeDocument/2006/relationships/hyperlink" Target="https://www.linkedin.com/company/colori-montessori" TargetMode="External" Id="rId619" /><Relationship Type="http://schemas.openxmlformats.org/officeDocument/2006/relationships/hyperlink" Target="https://drive.google.com/uc?export=view&amp;id=1b7XVmp7dwOIwtZwFFqOBbnGrm1bkPF4D" TargetMode="External" Id="rId620" /><Relationship Type="http://schemas.openxmlformats.org/officeDocument/2006/relationships/hyperlink" Target="https://evaluo.eu/" TargetMode="External" Id="rId621" /><Relationship Type="http://schemas.openxmlformats.org/officeDocument/2006/relationships/hyperlink" Target="https://twitter.com/evaluo20" TargetMode="External" Id="rId622" /><Relationship Type="http://schemas.openxmlformats.org/officeDocument/2006/relationships/hyperlink" Target="https://www.linkedin.com/company/e-valuo/?viewAsMember=true" TargetMode="External" Id="rId623" /><Relationship Type="http://schemas.openxmlformats.org/officeDocument/2006/relationships/hyperlink" Target="https://drive.google.com/uc?export=view&amp;id=14Ba0fXAI1cuNvOLDuQ_FShFSG1YeO6zR" TargetMode="External" Id="rId624" /><Relationship Type="http://schemas.openxmlformats.org/officeDocument/2006/relationships/hyperlink" Target="http://impala.in/" TargetMode="External" Id="rId625" /><Relationship Type="http://schemas.openxmlformats.org/officeDocument/2006/relationships/hyperlink" Target="https://twitter.com/ImpalaEdu" TargetMode="External" Id="rId626" /><Relationship Type="http://schemas.openxmlformats.org/officeDocument/2006/relationships/hyperlink" Target="https://www.linkedin.com/company/10779330/" TargetMode="External" Id="rId627" /><Relationship Type="http://schemas.openxmlformats.org/officeDocument/2006/relationships/hyperlink" Target="https://kirae.io/" TargetMode="External" Id="rId628" /><Relationship Type="http://schemas.openxmlformats.org/officeDocument/2006/relationships/hyperlink" Target="https://www.instagram.com/kirae.learning/" TargetMode="External" Id="rId629" /><Relationship Type="http://schemas.openxmlformats.org/officeDocument/2006/relationships/hyperlink" Target="https://twitter.com/kiraelearning" TargetMode="External" Id="rId630" /><Relationship Type="http://schemas.openxmlformats.org/officeDocument/2006/relationships/hyperlink" Target="https://www.linkedin.com/company/kirae/" TargetMode="External" Id="rId631" /><Relationship Type="http://schemas.openxmlformats.org/officeDocument/2006/relationships/hyperlink" Target="http://www.ipesland.com/" TargetMode="External" Id="rId632" /><Relationship Type="http://schemas.openxmlformats.org/officeDocument/2006/relationships/hyperlink" Target="http://www.learnenjoy.com/" TargetMode="External" Id="rId633" /><Relationship Type="http://schemas.openxmlformats.org/officeDocument/2006/relationships/hyperlink" Target="https://twitter.com/learnenjoy" TargetMode="External" Id="rId634" /><Relationship Type="http://schemas.openxmlformats.org/officeDocument/2006/relationships/hyperlink" Target="https://www.linkedin.com/company/learnenjoy/mycompany/" TargetMode="External" Id="rId635" /><Relationship Type="http://schemas.openxmlformats.org/officeDocument/2006/relationships/hyperlink" Target="https://drive.google.com/uc?export=view&amp;id=1lbQk3vPTUH5MT1DgN1OpgR5RetNEKAFz" TargetMode="External" Id="rId636" /><Relationship Type="http://schemas.openxmlformats.org/officeDocument/2006/relationships/hyperlink" Target="https://opendigitaleducation.com/index.php?lang=en" TargetMode="External" Id="rId637" /><Relationship Type="http://schemas.openxmlformats.org/officeDocument/2006/relationships/hyperlink" Target="https://twitter.com/OpenDigitEduc" TargetMode="External" Id="rId638" /><Relationship Type="http://schemas.openxmlformats.org/officeDocument/2006/relationships/hyperlink" Target="https://fr.linkedin.com/company/open-digital-education" TargetMode="External" Id="rId639" /><Relationship Type="http://schemas.openxmlformats.org/officeDocument/2006/relationships/hyperlink" Target="https://drive.google.com/uc?export=view&amp;id=1v-6iY4N9DA3hgoR68othaWTvbHHaMkTd" TargetMode="External" Id="rId640" /><Relationship Type="http://schemas.openxmlformats.org/officeDocument/2006/relationships/hyperlink" Target="https://rapidmooc.com/" TargetMode="External" Id="rId641" /><Relationship Type="http://schemas.openxmlformats.org/officeDocument/2006/relationships/hyperlink" Target="https://twitter.com/rapidmooc" TargetMode="External" Id="rId642" /><Relationship Type="http://schemas.openxmlformats.org/officeDocument/2006/relationships/hyperlink" Target="https://www.linkedin.com/company/rapidmooc/" TargetMode="External" Id="rId643" /><Relationship Type="http://schemas.openxmlformats.org/officeDocument/2006/relationships/hyperlink" Target="https://drive.google.com/uc?export=view&amp;id=1kZeQu4tt7k_ZJiH40UHm5QmTgaLwisVR" TargetMode="External" Id="rId644" /><Relationship Type="http://schemas.openxmlformats.org/officeDocument/2006/relationships/hyperlink" Target="https://apolearn.com/" TargetMode="External" Id="rId645" /><Relationship Type="http://schemas.openxmlformats.org/officeDocument/2006/relationships/hyperlink" Target="https://twitter.com/apolearn" TargetMode="External" Id="rId646" /><Relationship Type="http://schemas.openxmlformats.org/officeDocument/2006/relationships/hyperlink" Target="https://www.linkedin.com/company/apolearn" TargetMode="External" Id="rId647" /><Relationship Type="http://schemas.openxmlformats.org/officeDocument/2006/relationships/hyperlink" Target="https://www.doubleyoukids.com/" TargetMode="External" Id="rId648" /><Relationship Type="http://schemas.openxmlformats.org/officeDocument/2006/relationships/hyperlink" Target="https://twitter.com/DoubleyouKids" TargetMode="External" Id="rId649" /><Relationship Type="http://schemas.openxmlformats.org/officeDocument/2006/relationships/hyperlink" Target="https://www.linkedin.com/company/doubleyoukids/" TargetMode="External" Id="rId650" /><Relationship Type="http://schemas.openxmlformats.org/officeDocument/2006/relationships/hyperlink" Target="https://drive.google.com/uc?export=view&amp;id=1lx8pg1yp2BYUVOxzrIW2AgMAPn3TUTqQ" TargetMode="External" Id="rId651" /><Relationship Type="http://schemas.openxmlformats.org/officeDocument/2006/relationships/hyperlink" Target="http://www.edufactory.com/" TargetMode="External" Id="rId652" /><Relationship Type="http://schemas.openxmlformats.org/officeDocument/2006/relationships/hyperlink" Target="https://www.instagram.com/_edufactory/?hl=fr" TargetMode="External" Id="rId653" /><Relationship Type="http://schemas.openxmlformats.org/officeDocument/2006/relationships/hyperlink" Target="https://twitter.com/_edufactory" TargetMode="External" Id="rId654" /><Relationship Type="http://schemas.openxmlformats.org/officeDocument/2006/relationships/hyperlink" Target="https://www.linkedin.com/company/edufactory" TargetMode="External" Id="rId655" /><Relationship Type="http://schemas.openxmlformats.org/officeDocument/2006/relationships/hyperlink" Target="https://drive.google.com/uc?export=view&amp;id=1Cf92a3a8jsgjm5jq7fx2liJwKsWzXxB6" TargetMode="External" Id="rId656" /><Relationship Type="http://schemas.openxmlformats.org/officeDocument/2006/relationships/hyperlink" Target="http://www.fifty.do/" TargetMode="External" Id="rId657" /><Relationship Type="http://schemas.openxmlformats.org/officeDocument/2006/relationships/hyperlink" Target="https://www.linkedin.com/company/fifty-edoing/" TargetMode="External" Id="rId658" /><Relationship Type="http://schemas.openxmlformats.org/officeDocument/2006/relationships/hyperlink" Target="https://hellorse.fr/" TargetMode="External" Id="rId659" /><Relationship Type="http://schemas.openxmlformats.org/officeDocument/2006/relationships/hyperlink" Target="https://www.linkedin.com/company/hellorse/mycompany/?viewAsMember=true" TargetMode="External" Id="rId660" /><Relationship Type="http://schemas.openxmlformats.org/officeDocument/2006/relationships/hyperlink" Target="https://drive.google.com/uc?export=view&amp;id=1w_aq8VOojnCK8o31ME7BdTHvAnoaEHuN" TargetMode="External" Id="rId661" /><Relationship Type="http://schemas.openxmlformats.org/officeDocument/2006/relationships/hyperlink" Target="https://www.isicrunch.com/" TargetMode="External" Id="rId662" /><Relationship Type="http://schemas.openxmlformats.org/officeDocument/2006/relationships/hyperlink" Target="https://twitter.com/ISIcrunch" TargetMode="External" Id="rId663" /><Relationship Type="http://schemas.openxmlformats.org/officeDocument/2006/relationships/hyperlink" Target="https://www.linkedin.com/in/vincentwartelle/" TargetMode="External" Id="rId664" /><Relationship Type="http://schemas.openxmlformats.org/officeDocument/2006/relationships/hyperlink" Target="https://drive.google.com/uc?export=view&amp;id=1sfm4HtYWhkhcaNfO0Z8NjUlFSnGP1XDO" TargetMode="External" Id="rId665" /><Relationship Type="http://schemas.openxmlformats.org/officeDocument/2006/relationships/hyperlink" Target="https://www.learning-boost.com/" TargetMode="External" Id="rId666" /><Relationship Type="http://schemas.openxmlformats.org/officeDocument/2006/relationships/hyperlink" Target="https://twitter.com/Learning_Boost" TargetMode="External" Id="rId667" /><Relationship Type="http://schemas.openxmlformats.org/officeDocument/2006/relationships/hyperlink" Target="https://www.linkedin.com/showcase/learningboost/" TargetMode="External" Id="rId668" /><Relationship Type="http://schemas.openxmlformats.org/officeDocument/2006/relationships/hyperlink" Target="https://www.lynxeducate.com/" TargetMode="External" Id="rId669" /><Relationship Type="http://schemas.openxmlformats.org/officeDocument/2006/relationships/hyperlink" Target="https://www.instagram.com/lynxeducate/" TargetMode="External" Id="rId670" /><Relationship Type="http://schemas.openxmlformats.org/officeDocument/2006/relationships/hyperlink" Target="https://twitter.com/LynxEducate" TargetMode="External" Id="rId671" /><Relationship Type="http://schemas.openxmlformats.org/officeDocument/2006/relationships/hyperlink" Target="https://www.linkedin.com/company/lynxeducate/" TargetMode="External" Id="rId672" /><Relationship Type="http://schemas.openxmlformats.org/officeDocument/2006/relationships/hyperlink" Target="http://www.mygreentrainingbox.com/" TargetMode="External" Id="rId673" /><Relationship Type="http://schemas.openxmlformats.org/officeDocument/2006/relationships/hyperlink" Target="http://www.plume-app.co/" TargetMode="External" Id="rId674" /><Relationship Type="http://schemas.openxmlformats.org/officeDocument/2006/relationships/hyperlink" Target="https://www.instagram.com/plume_app" TargetMode="External" Id="rId675" /><Relationship Type="http://schemas.openxmlformats.org/officeDocument/2006/relationships/hyperlink" Target="https://twitter.com/plume_app" TargetMode="External" Id="rId676" /><Relationship Type="http://schemas.openxmlformats.org/officeDocument/2006/relationships/hyperlink" Target="https://www.linkedin.com/company/plume-app" TargetMode="External" Id="rId677" /><Relationship Type="http://schemas.openxmlformats.org/officeDocument/2006/relationships/hyperlink" Target="about:blank" TargetMode="External" Id="rId678" /><Relationship Type="http://schemas.openxmlformats.org/officeDocument/2006/relationships/hyperlink" Target="https://www.instagram.com/powerz.official/" TargetMode="External" Id="rId679" /><Relationship Type="http://schemas.openxmlformats.org/officeDocument/2006/relationships/hyperlink" Target="https://twitter.com/PowerZ_official" TargetMode="External" Id="rId680" /><Relationship Type="http://schemas.openxmlformats.org/officeDocument/2006/relationships/hyperlink" Target="https://www.linkedin.com/company/powerz/" TargetMode="External" Id="rId681" /><Relationship Type="http://schemas.openxmlformats.org/officeDocument/2006/relationships/hyperlink" Target="http://traindy.io/" TargetMode="External" Id="rId682" /><Relationship Type="http://schemas.openxmlformats.org/officeDocument/2006/relationships/hyperlink" Target="https://www.tridan.tech/" TargetMode="External" Id="rId683" /><Relationship Type="http://schemas.openxmlformats.org/officeDocument/2006/relationships/hyperlink" Target="https://twitter.com/tridan_test" TargetMode="External" Id="rId684" /><Relationship Type="http://schemas.openxmlformats.org/officeDocument/2006/relationships/hyperlink" Target="https://www.linkedin.com/company/tridan-test" TargetMode="External" Id="rId685" /><Relationship Type="http://schemas.openxmlformats.org/officeDocument/2006/relationships/hyperlink" Target="https://drive.google.com/uc?export=view&amp;id=1qb7HZ-a9t40qD5db8d2_SVHIbizLNJup" TargetMode="External" Id="rId686" /><Relationship Type="http://schemas.openxmlformats.org/officeDocument/2006/relationships/hyperlink" Target="http://explorateurdemetiers.tv/" TargetMode="External" Id="rId687" /><Relationship Type="http://schemas.openxmlformats.org/officeDocument/2006/relationships/hyperlink" Target="https://www.linkedin.com/company/explorateurdemetiers" TargetMode="External" Id="rId688" /><Relationship Type="http://schemas.openxmlformats.org/officeDocument/2006/relationships/hyperlink" Target="https://drive.google.com/uc?export=view&amp;id=1OQtPL8KyG-bQldMHpJUZEnvcRDONKMWg" TargetMode="External" Id="rId689" /><Relationship Type="http://schemas.openxmlformats.org/officeDocument/2006/relationships/hyperlink" Target="https://kwark.education/" TargetMode="External" Id="rId690" /><Relationship Type="http://schemas.openxmlformats.org/officeDocument/2006/relationships/hyperlink" Target="https://twitter.com/KwarkEducation" TargetMode="External" Id="rId691" /><Relationship Type="http://schemas.openxmlformats.org/officeDocument/2006/relationships/hyperlink" Target="https://www.linkedin.com/company/kwark-education/" TargetMode="External" Id="rId692" /><Relationship Type="http://schemas.openxmlformats.org/officeDocument/2006/relationships/hyperlink" Target="https://drive.google.com/uc?export=view&amp;id=1410zBmBoNSbyHch5JMwN0KEU_zobv4YT" TargetMode="External" Id="rId693" /><Relationship Type="http://schemas.openxmlformats.org/officeDocument/2006/relationships/hyperlink" Target="https://www.theia.fr/en/" TargetMode="External" Id="rId694" /><Relationship Type="http://schemas.openxmlformats.org/officeDocument/2006/relationships/hyperlink" Target="https://twitter.com/edutheia?lang=en" TargetMode="External" Id="rId695" /><Relationship Type="http://schemas.openxmlformats.org/officeDocument/2006/relationships/hyperlink" Target="https://www.linkedin.com/company/sas-theia/mycompany/verification/?viewAsMember=true" TargetMode="External" Id="rId696" /><Relationship Type="http://schemas.openxmlformats.org/officeDocument/2006/relationships/hyperlink" Target="https://www.ulys-europe.eu/" TargetMode="External" Id="rId697" /><Relationship Type="http://schemas.openxmlformats.org/officeDocument/2006/relationships/hyperlink" Target="https://twitter.com/EuropeUlys" TargetMode="External" Id="rId698" /><Relationship Type="http://schemas.openxmlformats.org/officeDocument/2006/relationships/hyperlink" Target="https://www.ulys-europe.eu/" TargetMode="External" Id="rId699" /><Relationship Type="http://schemas.openxmlformats.org/officeDocument/2006/relationships/hyperlink" Target="http://www.stellia.ai/" TargetMode="External" Id="rId700" /><Relationship Type="http://schemas.openxmlformats.org/officeDocument/2006/relationships/hyperlink" Target="https://www.linkedin.com/company/professorbob/mycompany/" TargetMode="External" Id="rId701" /><Relationship Type="http://schemas.openxmlformats.org/officeDocument/2006/relationships/hyperlink" Target="https://www.alumnforce.com/" TargetMode="External" Id="rId702" /><Relationship Type="http://schemas.openxmlformats.org/officeDocument/2006/relationships/hyperlink" Target="https://twitter.com/AlumnForce" TargetMode="External" Id="rId703" /><Relationship Type="http://schemas.openxmlformats.org/officeDocument/2006/relationships/hyperlink" Target="https://www.linkedin.com/company/alumnforce-alumni-success-platform/" TargetMode="External" Id="rId704" /><Relationship Type="http://schemas.openxmlformats.org/officeDocument/2006/relationships/hyperlink" Target="https://areneducation.com/en/" TargetMode="External" Id="rId705" /><Relationship Type="http://schemas.openxmlformats.org/officeDocument/2006/relationships/hyperlink" Target="https://www.linkedin.com/company/36144549/admin/feed/posts/" TargetMode="External" Id="rId706" /><Relationship Type="http://schemas.openxmlformats.org/officeDocument/2006/relationships/hyperlink" Target="https://drive.google.com/uc?export=view&amp;id=1FNV-tXlhxHr375OgON_e9NsZmHSzXf7T" TargetMode="External" Id="rId707" /><Relationship Type="http://schemas.openxmlformats.org/officeDocument/2006/relationships/hyperlink" Target="http://www.asbpublishing.com/" TargetMode="External" Id="rId708" /><Relationship Type="http://schemas.openxmlformats.org/officeDocument/2006/relationships/hyperlink" Target="https://drive.google.com/uc?export=view&amp;id=1WeC4JVjBzZs-QTbEVlTn5bEQat-WEFQH" TargetMode="External" Id="rId709" /><Relationship Type="http://schemas.openxmlformats.org/officeDocument/2006/relationships/hyperlink" Target="http://www.bluefrogrobotics.com/" TargetMode="External" Id="rId710" /><Relationship Type="http://schemas.openxmlformats.org/officeDocument/2006/relationships/hyperlink" Target="https://www.linkedin.com/company/bluefrogrobotics" TargetMode="External" Id="rId711" /><Relationship Type="http://schemas.openxmlformats.org/officeDocument/2006/relationships/hyperlink" Target="https://drive.google.com/uc?export=view&amp;id=1Xx2VlMDxUvQFP6UnoWkOwU94zFq29uQF" TargetMode="External" Id="rId712" /><Relationship Type="http://schemas.openxmlformats.org/officeDocument/2006/relationships/hyperlink" Target="http://www.crocosgodigital.com/" TargetMode="External" Id="rId713" /><Relationship Type="http://schemas.openxmlformats.org/officeDocument/2006/relationships/hyperlink" Target="https://drive.google.com/uc?export=view&amp;id=1U9D7pPksCKxNCt4rVcObuAHPr1FwhqgV" TargetMode="External" Id="rId714" /><Relationship Type="http://schemas.openxmlformats.org/officeDocument/2006/relationships/hyperlink" Target="https://www.feamzy.com/" TargetMode="External" Id="rId715" /><Relationship Type="http://schemas.openxmlformats.org/officeDocument/2006/relationships/hyperlink" Target="https://www.instagram.com/feamzy_application/" TargetMode="External" Id="rId716" /><Relationship Type="http://schemas.openxmlformats.org/officeDocument/2006/relationships/hyperlink" Target="https://twitter.com/MarieLewin_18" TargetMode="External" Id="rId717" /><Relationship Type="http://schemas.openxmlformats.org/officeDocument/2006/relationships/hyperlink" Target="https://www.linkedin.com/company/34700226" TargetMode="External" Id="rId718" /><Relationship Type="http://schemas.openxmlformats.org/officeDocument/2006/relationships/hyperlink" Target="https://drive.google.com/uc?export=view&amp;id=1-VbH4MZSNFHc5B_dXwRZ8HexdC-Kvo0X" TargetMode="External" Id="rId719" /><Relationship Type="http://schemas.openxmlformats.org/officeDocument/2006/relationships/hyperlink" Target="https://habilitatem.com/" TargetMode="External" Id="rId720" /><Relationship Type="http://schemas.openxmlformats.org/officeDocument/2006/relationships/hyperlink" Target="http://www.isdicrm.com/fr" TargetMode="External" Id="rId721" /><Relationship Type="http://schemas.openxmlformats.org/officeDocument/2006/relationships/hyperlink" Target="https://www.linkedin.com/company/19200104" TargetMode="External" Id="rId722" /><Relationship Type="http://schemas.openxmlformats.org/officeDocument/2006/relationships/hyperlink" Target="https://drive.google.com/uc?export=view&amp;id=15-1OvEuONOoqHE3fI56KXsvUB0R5503v" TargetMode="External" Id="rId723" /><Relationship Type="http://schemas.openxmlformats.org/officeDocument/2006/relationships/hyperlink" Target="https://www.jeuxandco.com/" TargetMode="External" Id="rId724" /><Relationship Type="http://schemas.openxmlformats.org/officeDocument/2006/relationships/hyperlink" Target="https://www.kalea-formation.com/" TargetMode="External" Id="rId725" /><Relationship Type="http://schemas.openxmlformats.org/officeDocument/2006/relationships/hyperlink" Target="https://www.linkedin.com/company/877277" TargetMode="External" Id="rId726" /><Relationship Type="http://schemas.openxmlformats.org/officeDocument/2006/relationships/hyperlink" Target="https://drive.google.com/uc?export=view&amp;id=1ptLDTYiraAtR98N3agT-Y4-IaVehKEjI" TargetMode="External" Id="rId727" /><Relationship Type="http://schemas.openxmlformats.org/officeDocument/2006/relationships/hyperlink" Target="http://www.lawebox.com/" TargetMode="External" Id="rId728" /><Relationship Type="http://schemas.openxmlformats.org/officeDocument/2006/relationships/hyperlink" Target="https://www.instagram.com/lawebox/?hl=fr" TargetMode="External" Id="rId729" /><Relationship Type="http://schemas.openxmlformats.org/officeDocument/2006/relationships/hyperlink" Target="https://mobile.twitter.com/adebernardy" TargetMode="External" Id="rId730" /><Relationship Type="http://schemas.openxmlformats.org/officeDocument/2006/relationships/hyperlink" Target="https://www.linkedin.com/company/18363081/admin/" TargetMode="External" Id="rId731" /><Relationship Type="http://schemas.openxmlformats.org/officeDocument/2006/relationships/hyperlink" Target="https://le-bahut.com/" TargetMode="External" Id="rId732" /><Relationship Type="http://schemas.openxmlformats.org/officeDocument/2006/relationships/hyperlink" Target="https://twitter.com/sydopedago" TargetMode="External" Id="rId733" /><Relationship Type="http://schemas.openxmlformats.org/officeDocument/2006/relationships/hyperlink" Target="https://www.linkedin.com/school/le-bahut-lyon/" TargetMode="External" Id="rId734" /><Relationship Type="http://schemas.openxmlformats.org/officeDocument/2006/relationships/hyperlink" Target="https://drive.google.com/uc?export=view&amp;id=18yCtVW8hwBti0HkRjnCog_NtZV5K4aCT" TargetMode="External" Id="rId735" /><Relationship Type="http://schemas.openxmlformats.org/officeDocument/2006/relationships/hyperlink" Target="http://www.lecoinduprof.fr/" TargetMode="External" Id="rId736" /><Relationship Type="http://schemas.openxmlformats.org/officeDocument/2006/relationships/hyperlink" Target="https://www.linkedin.com/company/le-coin-du-prof/" TargetMode="External" Id="rId737" /><Relationship Type="http://schemas.openxmlformats.org/officeDocument/2006/relationships/hyperlink" Target="https://www.lereacteur.io/" TargetMode="External" Id="rId738" /><Relationship Type="http://schemas.openxmlformats.org/officeDocument/2006/relationships/hyperlink" Target="https://www.instagram.com/lereacteur.io" TargetMode="External" Id="rId739" /><Relationship Type="http://schemas.openxmlformats.org/officeDocument/2006/relationships/hyperlink" Target="https://twitter.com/LeReacteurIO" TargetMode="External" Id="rId740" /><Relationship Type="http://schemas.openxmlformats.org/officeDocument/2006/relationships/hyperlink" Target="https://www.linkedin.com/school/13211127/admin/" TargetMode="External" Id="rId741" /><Relationship Type="http://schemas.openxmlformats.org/officeDocument/2006/relationships/hyperlink" Target="https://www.mariaschools.com/" TargetMode="External" Id="rId742" /><Relationship Type="http://schemas.openxmlformats.org/officeDocument/2006/relationships/hyperlink" Target="https://mathlive.fr/" TargetMode="External" Id="rId743" /><Relationship Type="http://schemas.openxmlformats.org/officeDocument/2006/relationships/hyperlink" Target="https://twitter.com/MathliveFR" TargetMode="External" Id="rId744" /><Relationship Type="http://schemas.openxmlformats.org/officeDocument/2006/relationships/hyperlink" Target="https://www.linkedin.com/company/75763624" TargetMode="External" Id="rId745" /><Relationship Type="http://schemas.openxmlformats.org/officeDocument/2006/relationships/hyperlink" Target="https://drive.google.com/uc?export=view&amp;id=1HXR6Sz5qrmYrebZcVo7i07Uq6L3nhhYJ" TargetMode="External" Id="rId746" /><Relationship Type="http://schemas.openxmlformats.org/officeDocument/2006/relationships/hyperlink" Target="http://pro.meetyourschool.com/" TargetMode="External" Id="rId747" /><Relationship Type="http://schemas.openxmlformats.org/officeDocument/2006/relationships/hyperlink" Target="https://merci-ecommerce.fr/" TargetMode="External" Id="rId748" /><Relationship Type="http://schemas.openxmlformats.org/officeDocument/2006/relationships/hyperlink" Target="https://www.instagram.com/merciecommerce/?hl=fr" TargetMode="External" Id="rId749" /><Relationship Type="http://schemas.openxmlformats.org/officeDocument/2006/relationships/hyperlink" Target="https://www.linkedin.com/company/merci-e-commerce" TargetMode="External" Id="rId750" /><Relationship Type="http://schemas.openxmlformats.org/officeDocument/2006/relationships/hyperlink" Target="http://mescahiersnumeriques.com/" TargetMode="External" Id="rId751" /><Relationship Type="http://schemas.openxmlformats.org/officeDocument/2006/relationships/hyperlink" Target="http://www.mescahiersnumeriques.com/" TargetMode="External" Id="rId752" /><Relationship Type="http://schemas.openxmlformats.org/officeDocument/2006/relationships/hyperlink" Target="https://www.instagram.com/mescahiersnumeriques/" TargetMode="External" Id="rId753" /><Relationship Type="http://schemas.openxmlformats.org/officeDocument/2006/relationships/hyperlink" Target="https://www.linkedin.com/company/mes-cahiers-num%C3%A9riques/?viewAsMember=true" TargetMode="External" Id="rId754" /><Relationship Type="http://schemas.openxmlformats.org/officeDocument/2006/relationships/hyperlink" Target="http://mescahiersdevacances.com/" TargetMode="External" Id="rId755" /><Relationship Type="http://schemas.openxmlformats.org/officeDocument/2006/relationships/hyperlink" Target="http://mescahiersderevisions.com/" TargetMode="External" Id="rId756" /><Relationship Type="http://schemas.openxmlformats.org/officeDocument/2006/relationships/hyperlink" Target="https://drive.google.com/uc?export=view&amp;id=1IhJxNiTdw-yDp_nRpPYkXq7EYdzLtOeG" TargetMode="External" Id="rId757" /><Relationship Type="http://schemas.openxmlformats.org/officeDocument/2006/relationships/hyperlink" Target="https://www.pipplet.com/" TargetMode="External" Id="rId758" /><Relationship Type="http://schemas.openxmlformats.org/officeDocument/2006/relationships/hyperlink" Target="https://twitter.com/pipplet" TargetMode="External" Id="rId759" /><Relationship Type="http://schemas.openxmlformats.org/officeDocument/2006/relationships/hyperlink" Target="https://fr.linkedin.com/company/pipplet" TargetMode="External" Id="rId760" /><Relationship Type="http://schemas.openxmlformats.org/officeDocument/2006/relationships/hyperlink" Target="http://www.reality-academy.fr/" TargetMode="External" Id="rId761" /><Relationship Type="http://schemas.openxmlformats.org/officeDocument/2006/relationships/hyperlink" Target="https://twitter.com/realityacademyf" TargetMode="External" Id="rId762" /><Relationship Type="http://schemas.openxmlformats.org/officeDocument/2006/relationships/hyperlink" Target="https://www.linkedin.com/company/reality-academy" TargetMode="External" Id="rId763" /><Relationship Type="http://schemas.openxmlformats.org/officeDocument/2006/relationships/hyperlink" Target="https://drive.google.com/uc?export=view&amp;id=1TVBy94oBak8NOpKYf99jIy20Mbb6l-Hi" TargetMode="External" Id="rId764" /><Relationship Type="http://schemas.openxmlformats.org/officeDocument/2006/relationships/hyperlink" Target="https://www.sight-o.io/" TargetMode="External" Id="rId765" /><Relationship Type="http://schemas.openxmlformats.org/officeDocument/2006/relationships/hyperlink" Target="https://www.instagram.com/sighto.io/" TargetMode="External" Id="rId766" /><Relationship Type="http://schemas.openxmlformats.org/officeDocument/2006/relationships/hyperlink" Target="https://twitter.com/sighto_io" TargetMode="External" Id="rId767" /><Relationship Type="http://schemas.openxmlformats.org/officeDocument/2006/relationships/hyperlink" Target="https://fr.linkedin.com/company/sight-o" TargetMode="External" Id="rId768" /><Relationship Type="http://schemas.openxmlformats.org/officeDocument/2006/relationships/hyperlink" Target="https://www.globalknowledge.com/fr-fr/" TargetMode="External" Id="rId769" /><Relationship Type="http://schemas.openxmlformats.org/officeDocument/2006/relationships/hyperlink" Target="https://www.linkedin.com/company/global-knowledge-training/" TargetMode="External" Id="rId770" /><Relationship Type="http://schemas.openxmlformats.org/officeDocument/2006/relationships/hyperlink" Target="http://www.smartch.fr/" TargetMode="External" Id="rId771" /><Relationship Type="http://schemas.openxmlformats.org/officeDocument/2006/relationships/hyperlink" Target="https://www.linkedin.com/company/smartch/" TargetMode="External" Id="rId772" /><Relationship Type="http://schemas.openxmlformats.org/officeDocument/2006/relationships/hyperlink" Target="https://drive.google.com/uc?export=view&amp;id=1dGNT6OLhI8APNt83gu61_YvR09aTKfgC" TargetMode="External" Id="rId773" /><Relationship Type="http://schemas.openxmlformats.org/officeDocument/2006/relationships/hyperlink" Target="https://www.softkids.net/en/home/" TargetMode="External" Id="rId774" /><Relationship Type="http://schemas.openxmlformats.org/officeDocument/2006/relationships/hyperlink" Target="https://www.instagram.com/soft_kids_apps/?hl=fr" TargetMode="External" Id="rId775" /><Relationship Type="http://schemas.openxmlformats.org/officeDocument/2006/relationships/hyperlink" Target="https://twitter.com/kids_soft" TargetMode="External" Id="rId776" /><Relationship Type="http://schemas.openxmlformats.org/officeDocument/2006/relationships/hyperlink" Target="https://www.linkedin.com/company/soft-kids/?viewAsMember=true" TargetMode="External" Id="rId777" /><Relationship Type="http://schemas.openxmlformats.org/officeDocument/2006/relationships/hyperlink" Target="https://sowesign.com/" TargetMode="External" Id="rId778" /><Relationship Type="http://schemas.openxmlformats.org/officeDocument/2006/relationships/hyperlink" Target="https://www.instagram.com/sws_sowesign/" TargetMode="External" Id="rId779" /><Relationship Type="http://schemas.openxmlformats.org/officeDocument/2006/relationships/hyperlink" Target="https://twitter.com/SoWeSign" TargetMode="External" Id="rId780" /><Relationship Type="http://schemas.openxmlformats.org/officeDocument/2006/relationships/hyperlink" Target="https://www.linkedin.com/company/sowesign-1" TargetMode="External" Id="rId781" /><Relationship Type="http://schemas.openxmlformats.org/officeDocument/2006/relationships/hyperlink" Target="https://vocacoach.fr/" TargetMode="External" Id="rId782" /><Relationship Type="http://schemas.openxmlformats.org/officeDocument/2006/relationships/hyperlink" Target="https://www.instagram.com/vocacoach/" TargetMode="External" Id="rId783" /><Relationship Type="http://schemas.openxmlformats.org/officeDocument/2006/relationships/hyperlink" Target="https://twitter.com/VocaCoach" TargetMode="External" Id="rId784" /><Relationship Type="http://schemas.openxmlformats.org/officeDocument/2006/relationships/hyperlink" Target="https://www.linkedin.com/company/30675854/" TargetMode="External" Id="rId785" /><Relationship Type="http://schemas.openxmlformats.org/officeDocument/2006/relationships/hyperlink" Target="https://www.ubicast.eu/" TargetMode="External" Id="rId786" /><Relationship Type="http://schemas.openxmlformats.org/officeDocument/2006/relationships/hyperlink" Target="https://www.instagram.com/ubicast_official/" TargetMode="External" Id="rId787" /><Relationship Type="http://schemas.openxmlformats.org/officeDocument/2006/relationships/hyperlink" Target="https://www.linkedin.com/company/ubicast" TargetMode="External" Id="rId788" /><Relationship Type="http://schemas.openxmlformats.org/officeDocument/2006/relationships/hyperlink" Target="https://drive.google.com/uc?export=view&amp;id=1kBxp-jslfQ-avf9_eMvLk7Wb9zMgy_pK" TargetMode="External" Id="rId789" /></Relationships>
</file>

<file path=xl/worksheets/_rels/sheet7.xml.rels><Relationships xmlns="http://schemas.openxmlformats.org/package/2006/relationships"><Relationship Type="http://schemas.openxmlformats.org/officeDocument/2006/relationships/hyperlink" Target="http://www.readspeaker.com/" TargetMode="External" Id="rId1" /><Relationship Type="http://schemas.openxmlformats.org/officeDocument/2006/relationships/hyperlink" Target="https://www.linkedin.com/company/readspeaker/" TargetMode="External" Id="rId2" /><Relationship Type="http://schemas.openxmlformats.org/officeDocument/2006/relationships/hyperlink" Target="https://drive.google.com/uc?export=view&amp;id=1EoXAOyrAChJ2L1USkuThFZzlJENfPDQl" TargetMode="External" Id="rId3" /><Relationship Type="http://schemas.openxmlformats.org/officeDocument/2006/relationships/hyperlink" Target="https://www.rm.com/assessment" TargetMode="External" Id="rId4" /><Relationship Type="http://schemas.openxmlformats.org/officeDocument/2006/relationships/hyperlink" Target="https://www.linkedin.com/company/assessment-from-rm/" TargetMode="External" Id="rId5" /><Relationship Type="http://schemas.openxmlformats.org/officeDocument/2006/relationships/hyperlink" Target="https://drive.google.com/uc?export=view&amp;id=1swdiVSteVfaTfMJH_O2uzZ7Ux33ZPFg9" TargetMode="External" Id="rId6" /><Relationship Type="http://schemas.openxmlformats.org/officeDocument/2006/relationships/hyperlink" Target="http://mappi.ai/" TargetMode="External" Id="rId7" /><Relationship Type="http://schemas.openxmlformats.org/officeDocument/2006/relationships/hyperlink" Target="https://www.linkedin.com/company/mappi-ab/" TargetMode="External" Id="rId8" /><Relationship Type="http://schemas.openxmlformats.org/officeDocument/2006/relationships/hyperlink" Target="https://drive.google.com/uc?export=view&amp;id=1w0trt3dI4DobGqTes3kogcZMRJAewoEl" TargetMode="External" Id="rId9" /><Relationship Type="http://schemas.openxmlformats.org/officeDocument/2006/relationships/hyperlink" Target="http://www.gamifactory.eu/" TargetMode="External" Id="rId10" /><Relationship Type="http://schemas.openxmlformats.org/officeDocument/2006/relationships/hyperlink" Target="https://www.instagram.com/gamifactory.sk/" TargetMode="External" Id="rId11" /><Relationship Type="http://schemas.openxmlformats.org/officeDocument/2006/relationships/hyperlink" Target="https://www.linkedin.com/company/impact-games-eu/?viewAsMember=true" TargetMode="External" Id="rId12" /><Relationship Type="http://schemas.openxmlformats.org/officeDocument/2006/relationships/hyperlink" Target="https://drive.google.com/uc?export=view&amp;id=1mHvSbKO5pkeYTqYnPAnUI8EGtyu3v3Ud" TargetMode="External" Id="rId13" /><Relationship Type="http://schemas.openxmlformats.org/officeDocument/2006/relationships/hyperlink" Target="https://www.facebook.com/gamifactory" TargetMode="External" Id="rId14" /><Relationship Type="http://schemas.openxmlformats.org/officeDocument/2006/relationships/hyperlink" Target="https://www.gaptain.com/" TargetMode="External" Id="rId15" /><Relationship Type="http://schemas.openxmlformats.org/officeDocument/2006/relationships/hyperlink" Target="https://x.com/gaptain_es" TargetMode="External" Id="rId16" /><Relationship Type="http://schemas.openxmlformats.org/officeDocument/2006/relationships/hyperlink" Target="https://www.linkedin.com/company/gaptain/" TargetMode="External" Id="rId17" /><Relationship Type="http://schemas.openxmlformats.org/officeDocument/2006/relationships/hyperlink" Target="https://drive.google.com/uc?export=view&amp;id=1qv6JLxuvHhgUTrGgL-x15UdG-UOzxjwd" TargetMode="External" Id="rId18" /><Relationship Type="http://schemas.openxmlformats.org/officeDocument/2006/relationships/hyperlink" Target="http://www.edtest.se/" TargetMode="External" Id="rId19" /><Relationship Type="http://schemas.openxmlformats.org/officeDocument/2006/relationships/hyperlink" Target="https://www.linkedin.com/company/36990427/" TargetMode="External" Id="rId20" /><Relationship Type="http://schemas.openxmlformats.org/officeDocument/2006/relationships/hyperlink" Target="https://drive.google.com/uc?export=view&amp;id=1cukMspgiP1DtGqXqXD7IpjKHf8trfj7J" TargetMode="External" Id="rId21" /><Relationship Type="http://schemas.openxmlformats.org/officeDocument/2006/relationships/hyperlink" Target="http://ginntech.com/" TargetMode="External" Id="rId22" /><Relationship Type="http://schemas.openxmlformats.org/officeDocument/2006/relationships/hyperlink" Target="https://drive.google.com/uc?export=view&amp;id=1Qw2pCy3j6SVJnkQI4ylpqV81k7oquK-y" TargetMode="External" Id="rId23" /><Relationship Type="http://schemas.openxmlformats.org/officeDocument/2006/relationships/hyperlink" Target="https://swedishedtechindustry.se/" TargetMode="External" Id="rId24" /><Relationship Type="http://schemas.openxmlformats.org/officeDocument/2006/relationships/hyperlink" Target="https://www.linkedin.com/company/16192020" TargetMode="External" Id="rId25" /><Relationship Type="http://schemas.openxmlformats.org/officeDocument/2006/relationships/hyperlink" Target="http://edtechkartan.se/" TargetMode="External" Id="rId26" /><Relationship Type="http://schemas.openxmlformats.org/officeDocument/2006/relationships/hyperlink" Target="https://drive.google.com/uc?export=view&amp;id=1Gmx6dOrRjsFoS8t19Icqm0hQBJj1ywwv" TargetMode="External" Id="rId27" /><Relationship Type="http://schemas.openxmlformats.org/officeDocument/2006/relationships/hyperlink" Target="http://www.seidor.es/" TargetMode="External" Id="rId28" /><Relationship Type="http://schemas.openxmlformats.org/officeDocument/2006/relationships/hyperlink" Target="https://drive.google.com/uc?export=view&amp;id=1P0Vufy_g3qa4ULHMIUOn058E_3962hMh" TargetMode="External" Id="rId29" /><Relationship Type="http://schemas.openxmlformats.org/officeDocument/2006/relationships/hyperlink" Target="https://www.climb2learn.com/" TargetMode="External" Id="rId30" /><Relationship Type="http://schemas.openxmlformats.org/officeDocument/2006/relationships/hyperlink" Target="https://www.linkedin.com/company/climb2learn/posts/?feedView=all" TargetMode="External" Id="rId31" /><Relationship Type="http://schemas.openxmlformats.org/officeDocument/2006/relationships/hyperlink" Target="https://drive.google.com/uc?export=view&amp;id=1r5ES3ZwlkS74wDjc4NLkLGPnQxGvZ08c" TargetMode="External" Id="rId32" /><Relationship Type="http://schemas.openxmlformats.org/officeDocument/2006/relationships/hyperlink" Target="http://www.glifing.com/" TargetMode="External" Id="rId33" /><Relationship Type="http://schemas.openxmlformats.org/officeDocument/2006/relationships/hyperlink" Target="https://www.instagram.com/glifing/" TargetMode="External" Id="rId34" /><Relationship Type="http://schemas.openxmlformats.org/officeDocument/2006/relationships/hyperlink" Target="https://x.com/glifing" TargetMode="External" Id="rId35" /><Relationship Type="http://schemas.openxmlformats.org/officeDocument/2006/relationships/hyperlink" Target="https://www.linkedin.com/company/glifing/posts/?feedView=all" TargetMode="External" Id="rId36" /><Relationship Type="http://schemas.openxmlformats.org/officeDocument/2006/relationships/hyperlink" Target="https://drive.google.com/uc?export=view&amp;id=1BP-iD8dOWKxZ0rR_R_FUp6iO3_mg7QMK" TargetMode="External" Id="rId37" /><Relationship Type="http://schemas.openxmlformats.org/officeDocument/2006/relationships/hyperlink" Target="https://www.facebook.com/glifing" TargetMode="External" Id="rId38" /><Relationship Type="http://schemas.openxmlformats.org/officeDocument/2006/relationships/hyperlink" Target="https://www.labirinth.it/" TargetMode="External" Id="rId39" /><Relationship Type="http://schemas.openxmlformats.org/officeDocument/2006/relationships/hyperlink" Target="https://www.linkedin.com/company/labirinth" TargetMode="External" Id="rId40" /><Relationship Type="http://schemas.openxmlformats.org/officeDocument/2006/relationships/hyperlink" Target="https://drive.google.com/uc?export=view&amp;id=1JOwHJVCkhPDmSAZxn4vHyUHpoaKDitRa" TargetMode="External" Id="rId41" /><Relationship Type="http://schemas.openxmlformats.org/officeDocument/2006/relationships/hyperlink" Target="http://www.smartsymbols.com/" TargetMode="External" Id="rId42" /><Relationship Type="http://schemas.openxmlformats.org/officeDocument/2006/relationships/hyperlink" Target="https://www.instagram.com/smartsymbols/" TargetMode="External" Id="rId43" /><Relationship Type="http://schemas.openxmlformats.org/officeDocument/2006/relationships/hyperlink" Target="https://www.facebook.com/smartsymbols" TargetMode="External" Id="rId44" /><Relationship Type="http://schemas.openxmlformats.org/officeDocument/2006/relationships/hyperlink" Target="https://www.linkedin.com/company/smart-symbols/" TargetMode="External" Id="rId45" /><Relationship Type="http://schemas.openxmlformats.org/officeDocument/2006/relationships/hyperlink" Target="https://drive.google.com/uc?export=view&amp;id=1xOy8U-VZt4mrAlob73djAu7aOgxDnA1R" TargetMode="External" Id="rId46" /><Relationship Type="http://schemas.openxmlformats.org/officeDocument/2006/relationships/hyperlink" Target="https://www.ubicast.eu/" TargetMode="External" Id="rId47" /><Relationship Type="http://schemas.openxmlformats.org/officeDocument/2006/relationships/hyperlink" Target="https://www.instagram.com/ubicast_official/" TargetMode="External" Id="rId48" /><Relationship Type="http://schemas.openxmlformats.org/officeDocument/2006/relationships/hyperlink" Target="https://www.linkedin.com/company/ubicast" TargetMode="External" Id="rId49" /><Relationship Type="http://schemas.openxmlformats.org/officeDocument/2006/relationships/hyperlink" Target="https://drive.google.com/uc?export=view&amp;id=1kBxp-jslfQ-avf9_eMvLk7Wb9zMgy_pK" TargetMode="External" Id="rId50" /><Relationship Type="http://schemas.openxmlformats.org/officeDocument/2006/relationships/hyperlink" Target="http://www.ninefeb.com/" TargetMode="External" Id="rId51" /><Relationship Type="http://schemas.openxmlformats.org/officeDocument/2006/relationships/hyperlink" Target="https://drive.google.com/uc?export=view&amp;id=1qGWZsyCai52rhZbM-MP3xLMqtBUW95Hf" TargetMode="External" Id="rId52" /><Relationship Type="http://schemas.openxmlformats.org/officeDocument/2006/relationships/hyperlink" Target="https://www.littlebridge.com/" TargetMode="External" Id="rId53" /><Relationship Type="http://schemas.openxmlformats.org/officeDocument/2006/relationships/hyperlink" Target="https://www.instagram.com/littlebridgeworld/" TargetMode="External" Id="rId54" /><Relationship Type="http://schemas.openxmlformats.org/officeDocument/2006/relationships/hyperlink" Target="https://x.com/Little_Bridge" TargetMode="External" Id="rId55" /><Relationship Type="http://schemas.openxmlformats.org/officeDocument/2006/relationships/hyperlink" Target="https://www.linkedin.com/company/little-bridge-world" TargetMode="External" Id="rId56" /><Relationship Type="http://schemas.openxmlformats.org/officeDocument/2006/relationships/hyperlink" Target="https://drive.google.com/uc?export=view&amp;id=1lcp9F6wIdmfQO3s2l3kM-059qWwG9YlF" TargetMode="External" Id="rId57" /><Relationship Type="http://schemas.openxmlformats.org/officeDocument/2006/relationships/hyperlink" Target="https://www.facebook.com/LittleBridgeWorld/" TargetMode="External" Id="rId58" /><Relationship Type="http://schemas.openxmlformats.org/officeDocument/2006/relationships/hyperlink" Target="http://www.dokimazo.io/" TargetMode="External" Id="rId59" /><Relationship Type="http://schemas.openxmlformats.org/officeDocument/2006/relationships/hyperlink" Target="https://www.linkedin.com/company/dokimazo" TargetMode="External" Id="rId60" /><Relationship Type="http://schemas.openxmlformats.org/officeDocument/2006/relationships/hyperlink" Target="https://drive.google.com/uc?export=view&amp;id=1l6XrvSusnNphymMofSdddulF5Vn7h67V" TargetMode="External" Id="rId61" /><Relationship Type="http://schemas.openxmlformats.org/officeDocument/2006/relationships/hyperlink" Target="http://www.scoolsy.lt/" TargetMode="External" Id="rId62" /><Relationship Type="http://schemas.openxmlformats.org/officeDocument/2006/relationships/hyperlink" Target="https://www.instagram.com/scoolsy_/" TargetMode="External" Id="rId63" /><Relationship Type="http://schemas.openxmlformats.org/officeDocument/2006/relationships/hyperlink" Target="https://www.linkedin.com/company/77000831/admin/dashboard/" TargetMode="External" Id="rId64" /><Relationship Type="http://schemas.openxmlformats.org/officeDocument/2006/relationships/hyperlink" Target="https://drive.google.com/uc?export=view&amp;id=1mavns124-k1cHq0L_Kvy86e3mnLlqpKd" TargetMode="External" Id="rId65" /><Relationship Type="http://schemas.openxmlformats.org/officeDocument/2006/relationships/hyperlink" Target="https://www.facebook.com/scoolsy" TargetMode="External" Id="rId66" /><Relationship Type="http://schemas.openxmlformats.org/officeDocument/2006/relationships/hyperlink" Target="http://beespeaker.com/" TargetMode="External" Id="rId67" /><Relationship Type="http://schemas.openxmlformats.org/officeDocument/2006/relationships/hyperlink" Target="https://www.instagram.com/beespeakerapp/" TargetMode="External" Id="rId68" /><Relationship Type="http://schemas.openxmlformats.org/officeDocument/2006/relationships/hyperlink" Target="https://pl.linkedin.com/company/beespeaker" TargetMode="External" Id="rId69" /><Relationship Type="http://schemas.openxmlformats.org/officeDocument/2006/relationships/hyperlink" Target="https://drive.google.com/uc?export=view&amp;id=1a1BExb6wEL2mlyQaDBCzrxeP9iq4t0OW" TargetMode="External" Id="rId70" /><Relationship Type="http://schemas.openxmlformats.org/officeDocument/2006/relationships/hyperlink" Target="https://www.facebook.com/people/BeeSpeaker-Learn-to-SPEAK-English/61564122652907/" TargetMode="External" Id="rId71" /><Relationship Type="http://schemas.openxmlformats.org/officeDocument/2006/relationships/hyperlink" Target="http://www.kendirstudios.pt/" TargetMode="External" Id="rId72" /><Relationship Type="http://schemas.openxmlformats.org/officeDocument/2006/relationships/hyperlink" Target="https://www.instagram.com/kendirstudios" TargetMode="External" Id="rId73" /><Relationship Type="http://schemas.openxmlformats.org/officeDocument/2006/relationships/hyperlink" Target="https://www.linkedin.com/company/kendir-studios/" TargetMode="External" Id="rId74" /><Relationship Type="http://schemas.openxmlformats.org/officeDocument/2006/relationships/hyperlink" Target="https://drive.google.com/uc?export=view&amp;id=1iJiEG1O_r9Ed23hGrmkH0WX1yAbeDFA1" TargetMode="External" Id="rId75" /><Relationship Type="http://schemas.openxmlformats.org/officeDocument/2006/relationships/hyperlink" Target="http://www.improovo.com/" TargetMode="External" Id="rId76" /><Relationship Type="http://schemas.openxmlformats.org/officeDocument/2006/relationships/hyperlink" Target="https://www.linkedin.com/company/improovo" TargetMode="External" Id="rId77" /><Relationship Type="http://schemas.openxmlformats.org/officeDocument/2006/relationships/hyperlink" Target="https://drive.google.com/uc?export=view&amp;id=1LSWaFU_g62NZWmAm_Prsev9HdkJS11uP" TargetMode="External" Id="rId78" /><Relationship Type="http://schemas.openxmlformats.org/officeDocument/2006/relationships/hyperlink" Target="http://www.speaktx.com/" TargetMode="External" Id="rId79" /><Relationship Type="http://schemas.openxmlformats.org/officeDocument/2006/relationships/hyperlink" Target="https://www.instagram.com/speak_tx/" TargetMode="External" Id="rId80" /><Relationship Type="http://schemas.openxmlformats.org/officeDocument/2006/relationships/hyperlink" Target="https://www.linkedin.com/company/speaktx/" TargetMode="External" Id="rId81" /><Relationship Type="http://schemas.openxmlformats.org/officeDocument/2006/relationships/hyperlink" Target="http://speaktx.com/" TargetMode="External" Id="rId82" /><Relationship Type="http://schemas.openxmlformats.org/officeDocument/2006/relationships/hyperlink" Target="https://drive.google.com/uc?export=view&amp;id=1csWbMWGhVExj_kk_QWgGWzkgzfmkfryK" TargetMode="External" Id="rId83" /><Relationship Type="http://schemas.openxmlformats.org/officeDocument/2006/relationships/hyperlink" Target="https://www.facebook.com/SpeakTX" TargetMode="External" Id="rId84" /><Relationship Type="http://schemas.openxmlformats.org/officeDocument/2006/relationships/hyperlink" Target="https://www.alfaerdve.lt/" TargetMode="External" Id="rId85" /><Relationship Type="http://schemas.openxmlformats.org/officeDocument/2006/relationships/hyperlink" Target="https://drive.google.com/uc?export=view&amp;id=19gjHJjrE-ML8_2O0f9WxWElM4kyQIQwt" TargetMode="External" Id="rId86" /><Relationship Type="http://schemas.openxmlformats.org/officeDocument/2006/relationships/hyperlink" Target="http://www.global-exam.com/" TargetMode="External" Id="rId87" /><Relationship Type="http://schemas.openxmlformats.org/officeDocument/2006/relationships/hyperlink" Target="https://www.linkedin.com/company/global-exam/" TargetMode="External" Id="rId88" /><Relationship Type="http://schemas.openxmlformats.org/officeDocument/2006/relationships/hyperlink" Target="https://drive.google.com/uc?export=view&amp;id=1m34zCDVjTuvNNAlvXK9eJvYVzVn2eaWi" TargetMode="External" Id="rId89" /><Relationship Type="http://schemas.openxmlformats.org/officeDocument/2006/relationships/hyperlink" Target="https://lablife.video/" TargetMode="External" Id="rId90" /><Relationship Type="http://schemas.openxmlformats.org/officeDocument/2006/relationships/hyperlink" Target="https://www.instagram.com/lablife.video" TargetMode="External" Id="rId91" /><Relationship Type="http://schemas.openxmlformats.org/officeDocument/2006/relationships/hyperlink" Target="https://www.linkedin.com/company/lablife-video" TargetMode="External" Id="rId92" /><Relationship Type="http://schemas.openxmlformats.org/officeDocument/2006/relationships/hyperlink" Target="https://drive.google.com/uc?export=view&amp;id=1a7Yuk6SheSEng9Qy6HNbGtG3ig0-vu-h" TargetMode="External" Id="rId93" /><Relationship Type="http://schemas.openxmlformats.org/officeDocument/2006/relationships/hyperlink" Target="https://www.facebook.com/lablife.video" TargetMode="External" Id="rId94" /><Relationship Type="http://schemas.openxmlformats.org/officeDocument/2006/relationships/hyperlink" Target="https://www.cabuu.app/" TargetMode="External" Id="rId95" /><Relationship Type="http://schemas.openxmlformats.org/officeDocument/2006/relationships/hyperlink" Target="https://www.instagram.com/cabuu_app/" TargetMode="External" Id="rId96" /><Relationship Type="http://schemas.openxmlformats.org/officeDocument/2006/relationships/hyperlink" Target="https://www.linkedin.com/company/cabuugmbh/" TargetMode="External" Id="rId97" /><Relationship Type="http://schemas.openxmlformats.org/officeDocument/2006/relationships/hyperlink" Target="https://drive.google.com/uc?export=view&amp;id=1kMJwiMrniLwvbN9nOAh8W-zerYB4a5od" TargetMode="External" Id="rId98" /><Relationship Type="http://schemas.openxmlformats.org/officeDocument/2006/relationships/hyperlink" Target="https://www.facebook.com/cabuuApp" TargetMode="External" Id="rId99" /><Relationship Type="http://schemas.openxmlformats.org/officeDocument/2006/relationships/hyperlink" Target="http://www.challengeme.online/" TargetMode="External" Id="rId100" /><Relationship Type="http://schemas.openxmlformats.org/officeDocument/2006/relationships/hyperlink" Target="https://fr.linkedin.com/company/challengemesup" TargetMode="External" Id="rId101" /><Relationship Type="http://schemas.openxmlformats.org/officeDocument/2006/relationships/hyperlink" Target="https://drive.google.com/uc?export=view&amp;id=17JwJJioEu5YypSKT2TU-1YXN8IQxLIS9" TargetMode="External" Id="rId102" /><Relationship Type="http://schemas.openxmlformats.org/officeDocument/2006/relationships/hyperlink" Target="https://www.hopspots.dk/en/" TargetMode="External" Id="rId103" /><Relationship Type="http://schemas.openxmlformats.org/officeDocument/2006/relationships/hyperlink" Target="https://www.instagram.com/hopspots/" TargetMode="External" Id="rId104" /><Relationship Type="http://schemas.openxmlformats.org/officeDocument/2006/relationships/hyperlink" Target="https://www.linkedin.com/company/4848854/" TargetMode="External" Id="rId105" /><Relationship Type="http://schemas.openxmlformats.org/officeDocument/2006/relationships/hyperlink" Target="https://drive.google.com/uc?export=view&amp;id=1BFWvHl4kPnQ9QndLQ2FZ0v0NKiLnC5FZ" TargetMode="External" Id="rId106" /><Relationship Type="http://schemas.openxmlformats.org/officeDocument/2006/relationships/hyperlink" Target="https://www.facebook.com/hopspots.tm" TargetMode="External" Id="rId107" /><Relationship Type="http://schemas.openxmlformats.org/officeDocument/2006/relationships/hyperlink" Target="https://ubeeko.com/" TargetMode="External" Id="rId108" /><Relationship Type="http://schemas.openxmlformats.org/officeDocument/2006/relationships/hyperlink" Target="https://linkedin.com/company/ubeeko" TargetMode="External" Id="rId109" /><Relationship Type="http://schemas.openxmlformats.org/officeDocument/2006/relationships/hyperlink" Target="https://drive.google.com/uc?export=view&amp;id=12GhYpnmV3gizaXgo-COIuYi-17b7BxLC" TargetMode="External" Id="rId110" /><Relationship Type="http://schemas.openxmlformats.org/officeDocument/2006/relationships/hyperlink" Target="http://www.springlab.nl/" TargetMode="External" Id="rId111" /><Relationship Type="http://schemas.openxmlformats.org/officeDocument/2006/relationships/hyperlink" Target="https://www.instagram.com/springlabnl/" TargetMode="External" Id="rId112" /><Relationship Type="http://schemas.openxmlformats.org/officeDocument/2006/relationships/hyperlink" Target="https://www.linkedin.com/company/10009167/admin/dashboard/" TargetMode="External" Id="rId113" /><Relationship Type="http://schemas.openxmlformats.org/officeDocument/2006/relationships/hyperlink" Target="https://drive.google.com/uc?export=view&amp;id=14nrXAx90b8CDdNRBaDYoUSdxGVtd5OwS" TargetMode="External" Id="rId114" /><Relationship Type="http://schemas.openxmlformats.org/officeDocument/2006/relationships/hyperlink" Target="https://www.facebook.com/p/Springlab-Learning-61559318542181/" TargetMode="External" Id="rId115" /><Relationship Type="http://schemas.openxmlformats.org/officeDocument/2006/relationships/hyperlink" Target="https://www.2simple.com/" TargetMode="External" Id="rId116" /><Relationship Type="http://schemas.openxmlformats.org/officeDocument/2006/relationships/hyperlink" Target="https://www.instagram.com/2simplesoftware" TargetMode="External" Id="rId117" /><Relationship Type="http://schemas.openxmlformats.org/officeDocument/2006/relationships/hyperlink" Target="https://x.com/2SimpleSoftware" TargetMode="External" Id="rId118" /><Relationship Type="http://schemas.openxmlformats.org/officeDocument/2006/relationships/hyperlink" Target="https://www.linkedin.com/company/2simple" TargetMode="External" Id="rId119" /><Relationship Type="http://schemas.openxmlformats.org/officeDocument/2006/relationships/hyperlink" Target="https://drive.google.com/uc?export=view&amp;id=1mRNNyYfjQ2oeACEModsUp_ep4dSolv0d" TargetMode="External" Id="rId120" /><Relationship Type="http://schemas.openxmlformats.org/officeDocument/2006/relationships/hyperlink" Target="https://www.facebook.com/2Simpleuk" TargetMode="External" Id="rId121" /><Relationship Type="http://schemas.openxmlformats.org/officeDocument/2006/relationships/hyperlink" Target="http://www.rflect.ch/" TargetMode="External" Id="rId122" /><Relationship Type="http://schemas.openxmlformats.org/officeDocument/2006/relationships/hyperlink" Target="https://www.linkedin.com/company/79407274/" TargetMode="External" Id="rId123" /><Relationship Type="http://schemas.openxmlformats.org/officeDocument/2006/relationships/hyperlink" Target="https://drive.google.com/uc?export=view&amp;id=1MtoTpYpsgS5ezHnYGtlZwzhxp5aNBclD" TargetMode="External" Id="rId124" /><Relationship Type="http://schemas.openxmlformats.org/officeDocument/2006/relationships/hyperlink" Target="https://www.instagram.com/bidi.one" TargetMode="External" Id="rId125" /><Relationship Type="http://schemas.openxmlformats.org/officeDocument/2006/relationships/hyperlink" Target="https://www.linkedin.com/company/bidi-one" TargetMode="External" Id="rId126" /><Relationship Type="http://schemas.openxmlformats.org/officeDocument/2006/relationships/hyperlink" Target="https://drive.google.com/uc?export=view&amp;id=1TUzUzF-siG_7-VJpEzOn8XLg9XY-asKv" TargetMode="External" Id="rId127" /><Relationship Type="http://schemas.openxmlformats.org/officeDocument/2006/relationships/hyperlink" Target="https://learnwise.ai/" TargetMode="External" Id="rId128" /><Relationship Type="http://schemas.openxmlformats.org/officeDocument/2006/relationships/hyperlink" Target="https://www.linkedin.com/company/learnwiseai" TargetMode="External" Id="rId129" /><Relationship Type="http://schemas.openxmlformats.org/officeDocument/2006/relationships/hyperlink" Target="https://drive.google.com/uc?export=view&amp;id=1XW5-CsbXDZnSKrFVNFynTIEHKkdUJRvY" TargetMode="External" Id="rId130" /><Relationship Type="http://schemas.openxmlformats.org/officeDocument/2006/relationships/hyperlink" Target="https://scealprod.fr/" TargetMode="External" Id="rId131" /><Relationship Type="http://schemas.openxmlformats.org/officeDocument/2006/relationships/hyperlink" Target="https://www.instagram.com/scealprod.fr" TargetMode="External" Id="rId132" /><Relationship Type="http://schemas.openxmlformats.org/officeDocument/2006/relationships/hyperlink" Target="https://www.linkedin.com/in/hugues-avit-callaud/" TargetMode="External" Id="rId133" /><Relationship Type="http://schemas.openxmlformats.org/officeDocument/2006/relationships/hyperlink" Target="https://drive.google.com/uc?export=view&amp;id=1FG8CD8w8MhntuwRn3BAZIQNA-F_cgyJs" TargetMode="External" Id="rId134" /><Relationship Type="http://schemas.openxmlformats.org/officeDocument/2006/relationships/hyperlink" Target="https://www.facebook.com/scealstudio" TargetMode="External" Id="rId135" /><Relationship Type="http://schemas.openxmlformats.org/officeDocument/2006/relationships/hyperlink" Target="https://www.linkedin.com/company/11260631/admin/analytics/visitors/" TargetMode="External" Id="rId136" /><Relationship Type="http://schemas.openxmlformats.org/officeDocument/2006/relationships/hyperlink" Target="https://drive.google.com/uc?export=view&amp;id=1w3MoT4qficFItp0RwQ_gvgJkBrEV_RpY" TargetMode="External" Id="rId137" /><Relationship Type="http://schemas.openxmlformats.org/officeDocument/2006/relationships/hyperlink" Target="https://www.topworksheets.com/" TargetMode="External" Id="rId138" /><Relationship Type="http://schemas.openxmlformats.org/officeDocument/2006/relationships/hyperlink" Target="https://www.instagram.com/topworksheets_en/" TargetMode="External" Id="rId139" /><Relationship Type="http://schemas.openxmlformats.org/officeDocument/2006/relationships/hyperlink" Target="https://x.com/topworksheetsen" TargetMode="External" Id="rId140" /><Relationship Type="http://schemas.openxmlformats.org/officeDocument/2006/relationships/hyperlink" Target="https://es.linkedin.com/company/topworksheets" TargetMode="External" Id="rId141" /><Relationship Type="http://schemas.openxmlformats.org/officeDocument/2006/relationships/hyperlink" Target="https://drive.google.com/uc?export=view&amp;id=1G4b4LsDZzbr_fAqkrERguKB8Y-kr7h1n" TargetMode="External" Id="rId142" /><Relationship Type="http://schemas.openxmlformats.org/officeDocument/2006/relationships/hyperlink" Target="https://studyflow.nl/" TargetMode="External" Id="rId143" /><Relationship Type="http://schemas.openxmlformats.org/officeDocument/2006/relationships/hyperlink" Target="https://www.linkedin.com/company/studyflow/" TargetMode="External" Id="rId144" /><Relationship Type="http://schemas.openxmlformats.org/officeDocument/2006/relationships/hyperlink" Target="https://drive.google.com/uc?export=view&amp;id=1jOdIHKDaOAz-t0o7gLr_YOJntr3nJixI" TargetMode="External" Id="rId145" /><Relationship Type="http://schemas.openxmlformats.org/officeDocument/2006/relationships/hyperlink" Target="http://bloomcoding.ro/" TargetMode="External" Id="rId146" /><Relationship Type="http://schemas.openxmlformats.org/officeDocument/2006/relationships/hyperlink" Target="https://www.instagram.com/bloomcoding.ro/" TargetMode="External" Id="rId147" /><Relationship Type="http://schemas.openxmlformats.org/officeDocument/2006/relationships/hyperlink" Target="https://www.linkedin.com/company/bloomcoding/posts/?feedView=all" TargetMode="External" Id="rId148" /><Relationship Type="http://schemas.openxmlformats.org/officeDocument/2006/relationships/hyperlink" Target="https://drive.google.com/uc?export=view&amp;id=1wtS_blmrAUsLmLZUJ-DKhfSof1ePnLg3" TargetMode="External" Id="rId149" /><Relationship Type="http://schemas.openxmlformats.org/officeDocument/2006/relationships/hyperlink" Target="https://www.facebook.com/bloomcodingmoldova/" TargetMode="External" Id="rId150" /><Relationship Type="http://schemas.openxmlformats.org/officeDocument/2006/relationships/hyperlink" Target="https://www.linkedin.com/company/10670987/" TargetMode="External" Id="rId151" /><Relationship Type="http://schemas.openxmlformats.org/officeDocument/2006/relationships/hyperlink" Target="https://drive.google.com/uc?export=view&amp;id=1trIalvfArdfxqTIPsGQkiENdZYCpc7nq" TargetMode="External" Id="rId152" /><Relationship Type="http://schemas.openxmlformats.org/officeDocument/2006/relationships/hyperlink" Target="https://www.facebook.com/eliis.international" TargetMode="External" Id="rId153" /><Relationship Type="http://schemas.openxmlformats.org/officeDocument/2006/relationships/hyperlink" Target="https://edventures.ai/" TargetMode="External" Id="rId154" /><Relationship Type="http://schemas.openxmlformats.org/officeDocument/2006/relationships/hyperlink" Target="https://instagram.com/edventures.ai" TargetMode="External" Id="rId155" /><Relationship Type="http://schemas.openxmlformats.org/officeDocument/2006/relationships/hyperlink" Target="https://www.linkedin.com/company/edventuresai" TargetMode="External" Id="rId156" /><Relationship Type="http://schemas.openxmlformats.org/officeDocument/2006/relationships/hyperlink" Target="https://drive.google.com/uc?export=view&amp;id=1gKJol1g_8zz-6kkrrAzBLnEaA3lkCJ3A" TargetMode="External" Id="rId157" /><Relationship Type="http://schemas.openxmlformats.org/officeDocument/2006/relationships/hyperlink" Target="https://www.facebook.com/edventuresai" TargetMode="External" Id="rId158" /><Relationship Type="http://schemas.openxmlformats.org/officeDocument/2006/relationships/hyperlink" Target="http://www.setuniversity.edu.ua/" TargetMode="External" Id="rId159" /><Relationship Type="http://schemas.openxmlformats.org/officeDocument/2006/relationships/hyperlink" Target="http://instagram.com/setuniversity/" TargetMode="External" Id="rId160" /><Relationship Type="http://schemas.openxmlformats.org/officeDocument/2006/relationships/hyperlink" Target="https://www.linkedin.com/company/set-university/" TargetMode="External" Id="rId161" /><Relationship Type="http://schemas.openxmlformats.org/officeDocument/2006/relationships/hyperlink" Target="https://drive.google.com/uc?export=view&amp;id=1JuuyuU2B-dRCEAHqjDddwDB9_iqZz8ck" TargetMode="External" Id="rId162" /><Relationship Type="http://schemas.openxmlformats.org/officeDocument/2006/relationships/hyperlink" Target="https://www.facebook.com/setuniversity.tech" TargetMode="External" Id="rId163" /><Relationship Type="http://schemas.openxmlformats.org/officeDocument/2006/relationships/hyperlink" Target="https://seniorlingua.com/" TargetMode="External" Id="rId164" /><Relationship Type="http://schemas.openxmlformats.org/officeDocument/2006/relationships/hyperlink" Target="https://www.instagram.com/seniorlingua/" TargetMode="External" Id="rId165" /><Relationship Type="http://schemas.openxmlformats.org/officeDocument/2006/relationships/hyperlink" Target="https://x.com/@Senior_Lingua" TargetMode="External" Id="rId166" /><Relationship Type="http://schemas.openxmlformats.org/officeDocument/2006/relationships/hyperlink" Target="https://www.linkedin.com/company/senior-lingua/" TargetMode="External" Id="rId167" /><Relationship Type="http://schemas.openxmlformats.org/officeDocument/2006/relationships/hyperlink" Target="https://drive.google.com/uc?export=view&amp;id=1dRgYQgvZRaYW53c6KHK6UECdwmMhTQ7d" TargetMode="External" Id="rId168" /><Relationship Type="http://schemas.openxmlformats.org/officeDocument/2006/relationships/hyperlink" Target="https://www.facebook.com/Seniorlingua" TargetMode="External" Id="rId169" /><Relationship Type="http://schemas.openxmlformats.org/officeDocument/2006/relationships/hyperlink" Target="https://www.artcentrica.com/" TargetMode="External" Id="rId170" /><Relationship Type="http://schemas.openxmlformats.org/officeDocument/2006/relationships/hyperlink" Target="https://www.instagram.com/artcentrica/" TargetMode="External" Id="rId171" /><Relationship Type="http://schemas.openxmlformats.org/officeDocument/2006/relationships/hyperlink" Target="https://www.linkedin.com/company/artcentrica" TargetMode="External" Id="rId172" /><Relationship Type="http://schemas.openxmlformats.org/officeDocument/2006/relationships/hyperlink" Target="https://drive.google.com/uc?export=view&amp;id=1YtvHoKbpSptFCweYTXU_tUzyyCYwAur0" TargetMode="External" Id="rId173" /><Relationship Type="http://schemas.openxmlformats.org/officeDocument/2006/relationships/hyperlink" Target="https://www.facebook.com/ArtCentricaEDU" TargetMode="External" Id="rId174" /><Relationship Type="http://schemas.openxmlformats.org/officeDocument/2006/relationships/hyperlink" Target="http://www.eonesia.com/" TargetMode="External" Id="rId175" /><Relationship Type="http://schemas.openxmlformats.org/officeDocument/2006/relationships/hyperlink" Target="https://www.linkedin.com/company/eonesia/" TargetMode="External" Id="rId176" /><Relationship Type="http://schemas.openxmlformats.org/officeDocument/2006/relationships/hyperlink" Target="https://drive.google.com/uc?export=view&amp;id=1w07dvcNtGybUXkh1WrMhbWnj6CIeptyJ" TargetMode="External" Id="rId177" /><Relationship Type="http://schemas.openxmlformats.org/officeDocument/2006/relationships/hyperlink" Target="http://www.brightgame.com/" TargetMode="External" Id="rId178" /><Relationship Type="http://schemas.openxmlformats.org/officeDocument/2006/relationships/hyperlink" Target="https://drive.google.com/uc?export=view&amp;id=1z1-TgwQMGhrksvrZxWQo8vf91N92IOWf" TargetMode="External" Id="rId179" /><Relationship Type="http://schemas.openxmlformats.org/officeDocument/2006/relationships/hyperlink" Target="https://magma.app/" TargetMode="External" Id="rId180" /><Relationship Type="http://schemas.openxmlformats.org/officeDocument/2006/relationships/hyperlink" Target="https://www.instagram.com/insidemagma/" TargetMode="External" Id="rId181" /><Relationship Type="http://schemas.openxmlformats.org/officeDocument/2006/relationships/hyperlink" Target="https://www.linkedin.com/company/magmaapp/" TargetMode="External" Id="rId182" /><Relationship Type="http://schemas.openxmlformats.org/officeDocument/2006/relationships/hyperlink" Target="https://drive.google.com/uc?export=view&amp;id=18YC9a1B3Qq2QWEZm4wDKCD_Vf5kdnS7H" TargetMode="External" Id="rId183" /><Relationship Type="http://schemas.openxmlformats.org/officeDocument/2006/relationships/hyperlink" Target="http://thesimulationcrew.com/" TargetMode="External" Id="rId184" /><Relationship Type="http://schemas.openxmlformats.org/officeDocument/2006/relationships/hyperlink" Target="https://www.linkedin.com/company/the-simulation-crew/" TargetMode="External" Id="rId185" /><Relationship Type="http://schemas.openxmlformats.org/officeDocument/2006/relationships/hyperlink" Target="https://drive.google.com/uc?export=view&amp;id=1Yv5qHlxyR3HWPugMr-7X-15nvWNU50My" TargetMode="External" Id="rId186" /><Relationship Type="http://schemas.openxmlformats.org/officeDocument/2006/relationships/hyperlink" Target="http://www.mimbus.com/" TargetMode="External" Id="rId187" /><Relationship Type="http://schemas.openxmlformats.org/officeDocument/2006/relationships/hyperlink" Target="https://drive.google.com/uc?export=view&amp;id=1I5zW4Dd8VyabeRw2_Fi5OJvvUdNMTQ41" TargetMode="External" Id="rId188" /><Relationship Type="http://schemas.openxmlformats.org/officeDocument/2006/relationships/hyperlink" Target="http://www.alteredu.it/" TargetMode="External" Id="rId189" /><Relationship Type="http://schemas.openxmlformats.org/officeDocument/2006/relationships/hyperlink" Target="https://drive.google.com/uc?export=view&amp;id=15fECYvvE62nx_hSNDXX-eIQccg0DrTWp" TargetMode="External" Id="rId190" /><Relationship Type="http://schemas.openxmlformats.org/officeDocument/2006/relationships/hyperlink" Target="https://www.examiner.ch/" TargetMode="External" Id="rId191" /><Relationship Type="http://schemas.openxmlformats.org/officeDocument/2006/relationships/hyperlink" Target="https://www.instagram.com/examiner_official" TargetMode="External" Id="rId192" /><Relationship Type="http://schemas.openxmlformats.org/officeDocument/2006/relationships/hyperlink" Target="https://www.linkedin.com/showcase/examiner" TargetMode="External" Id="rId193" /><Relationship Type="http://schemas.openxmlformats.org/officeDocument/2006/relationships/hyperlink" Target="https://drive.google.com/uc?export=view&amp;id=1Ykfu1dmT6MyuVeI3FBpoIlWIcPC6lNX7" TargetMode="External" Id="rId194" /><Relationship Type="http://schemas.openxmlformats.org/officeDocument/2006/relationships/hyperlink" Target="https://www.mindonsite.com/en/" TargetMode="External" Id="rId195" /><Relationship Type="http://schemas.openxmlformats.org/officeDocument/2006/relationships/hyperlink" Target="https://www.linkedin.com/company/mos-mindonsite/" TargetMode="External" Id="rId196" /><Relationship Type="http://schemas.openxmlformats.org/officeDocument/2006/relationships/hyperlink" Target="https://drive.google.com/uc?export=view&amp;id=1LPr2HuEyJD1OeaIMx7b7yQXHRn0L3SLu" TargetMode="External" Id="rId197" /><Relationship Type="http://schemas.openxmlformats.org/officeDocument/2006/relationships/hyperlink" Target="http://www.axcultures.com/" TargetMode="External" Id="rId198" /><Relationship Type="http://schemas.openxmlformats.org/officeDocument/2006/relationships/hyperlink" Target="http://www.instagram.com/ealteaching/" TargetMode="External" Id="rId199" /><Relationship Type="http://schemas.openxmlformats.org/officeDocument/2006/relationships/hyperlink" Target="http://x.com/eal_teaching" TargetMode="External" Id="rId200" /><Relationship Type="http://schemas.openxmlformats.org/officeDocument/2006/relationships/hyperlink" Target="http://www.linkedin.com/company/axcultures/" TargetMode="External" Id="rId201" /><Relationship Type="http://schemas.openxmlformats.org/officeDocument/2006/relationships/hyperlink" Target="https://drive.google.com/uc?export=view&amp;id=16UWZgMj-_8hJyBhu5eH6ohDC5EhgiOxb" TargetMode="External" Id="rId202" /><Relationship Type="http://schemas.openxmlformats.org/officeDocument/2006/relationships/hyperlink" Target="http://www.facebook.com/ealteaching" TargetMode="External" Id="rId203" /><Relationship Type="http://schemas.openxmlformats.org/officeDocument/2006/relationships/hyperlink" Target="http://3cl.org/" TargetMode="External" Id="rId204" /><Relationship Type="http://schemas.openxmlformats.org/officeDocument/2006/relationships/hyperlink" Target="https://x.com/3CLMT" TargetMode="External" Id="rId205" /><Relationship Type="http://schemas.openxmlformats.org/officeDocument/2006/relationships/hyperlink" Target="https://www.3cl.org/" TargetMode="External" Id="rId206" /><Relationship Type="http://schemas.openxmlformats.org/officeDocument/2006/relationships/hyperlink" Target="https://drive.google.com/uc?export=view&amp;id=1k6p0pkuni8njarBYF9HrfSx9ZtUuAUg4" TargetMode="External" Id="rId207" /><Relationship Type="http://schemas.openxmlformats.org/officeDocument/2006/relationships/hyperlink" Target="http://www.edsyl.ai/" TargetMode="External" Id="rId208" /><Relationship Type="http://schemas.openxmlformats.org/officeDocument/2006/relationships/hyperlink" Target="https://www.instagram.com/edsyl.ai" TargetMode="External" Id="rId209" /><Relationship Type="http://schemas.openxmlformats.org/officeDocument/2006/relationships/hyperlink" Target="https://x.com/edsylai" TargetMode="External" Id="rId210" /><Relationship Type="http://schemas.openxmlformats.org/officeDocument/2006/relationships/hyperlink" Target="https://www.linkedin.com/company/edsyl-ai" TargetMode="External" Id="rId211" /><Relationship Type="http://schemas.openxmlformats.org/officeDocument/2006/relationships/hyperlink" Target="https://drive.google.com/uc?export=view&amp;id=1qF_yEYkDjPr2Bu2Yde5-5CXht29RHw8Y" TargetMode="External" Id="rId212" /><Relationship Type="http://schemas.openxmlformats.org/officeDocument/2006/relationships/hyperlink" Target="https://www.facebook.com/edsyl.edu" TargetMode="External" Id="rId213" /><Relationship Type="http://schemas.openxmlformats.org/officeDocument/2006/relationships/hyperlink" Target="https://www.warchild.net/intervention-cwtl/" TargetMode="External" Id="rId214" /><Relationship Type="http://schemas.openxmlformats.org/officeDocument/2006/relationships/hyperlink" Target="https://www.linkedin.com/showcase/cant-wait-to-learn/posts/?feedView=all" TargetMode="External" Id="rId215" /><Relationship Type="http://schemas.openxmlformats.org/officeDocument/2006/relationships/hyperlink" Target="https://drive.google.com/uc?export=view&amp;id=1Zuz8_AQqUm3EzLHRvXLy_POYn2qMNIX_" TargetMode="External" Id="rId216" /><Relationship Type="http://schemas.openxmlformats.org/officeDocument/2006/relationships/hyperlink" Target="https://www.ludo-vic.com/" TargetMode="External" Id="rId217" /><Relationship Type="http://schemas.openxmlformats.org/officeDocument/2006/relationships/hyperlink" Target="https://www.linkedin.com/company/ludo-vic/?originalSubdomain=fr" TargetMode="External" Id="rId218" /><Relationship Type="http://schemas.openxmlformats.org/officeDocument/2006/relationships/hyperlink" Target="https://drive.google.com/uc?export=view&amp;id=1_ngIySarFNZUMAFisHM1K-t8CRMoipoZ" TargetMode="External" Id="rId219" /><Relationship Type="http://schemas.openxmlformats.org/officeDocument/2006/relationships/hyperlink" Target="https://pharmuni.com/" TargetMode="External" Id="rId220" /><Relationship Type="http://schemas.openxmlformats.org/officeDocument/2006/relationships/hyperlink" Target="https://www.linkedin.com/company/pharmuni" TargetMode="External" Id="rId221" /><Relationship Type="http://schemas.openxmlformats.org/officeDocument/2006/relationships/hyperlink" Target="https://drive.google.com/uc?export=view&amp;id=1uM2CN7jn-3tF2ACwOCabO91vRCL00SAk" TargetMode="External" Id="rId222" /><Relationship Type="http://schemas.openxmlformats.org/officeDocument/2006/relationships/hyperlink" Target="https://www.impactconnecting.education/" TargetMode="External" Id="rId223" /><Relationship Type="http://schemas.openxmlformats.org/officeDocument/2006/relationships/hyperlink" Target="https://www.linkedin.com/company/impactconnecting" TargetMode="External" Id="rId224" /><Relationship Type="http://schemas.openxmlformats.org/officeDocument/2006/relationships/hyperlink" Target="https://drive.google.com/uc?export=view&amp;id=1cSoLFQaqSsOMFv0HgUmEblCgK16_CKHG" TargetMode="External" Id="rId225" /><Relationship Type="http://schemas.openxmlformats.org/officeDocument/2006/relationships/hyperlink" Target="http://www.selfstartglobal.com/" TargetMode="External" Id="rId226" /><Relationship Type="http://schemas.openxmlformats.org/officeDocument/2006/relationships/hyperlink" Target="https://www.instagram.com/selfstartglobal/?hl=en" TargetMode="External" Id="rId227" /><Relationship Type="http://schemas.openxmlformats.org/officeDocument/2006/relationships/hyperlink" Target="https://www.linkedin.com/company/selfstartglobal/" TargetMode="External" Id="rId228" /><Relationship Type="http://schemas.openxmlformats.org/officeDocument/2006/relationships/hyperlink" Target="https://drive.google.com/uc?export=view&amp;id=1dmCHGfpHUkV3WCkWGPKk15INYid5QViz" TargetMode="External" Id="rId229" /><Relationship Type="http://schemas.openxmlformats.org/officeDocument/2006/relationships/hyperlink" Target="http://www.mysynergy.eu/" TargetMode="External" Id="rId230" /><Relationship Type="http://schemas.openxmlformats.org/officeDocument/2006/relationships/hyperlink" Target="https://www.linkedin.com/company/my-synergy/" TargetMode="External" Id="rId231" /><Relationship Type="http://schemas.openxmlformats.org/officeDocument/2006/relationships/hyperlink" Target="https://drive.google.com/uc?export=view&amp;id=1IQ5N3_AAmRpf9ZLvwwh9pZrYXiIyDm9b" TargetMode="External" Id="rId232" /><Relationship Type="http://schemas.openxmlformats.org/officeDocument/2006/relationships/hyperlink" Target="https://www.facebook.com/mysynergybg" TargetMode="External" Id="rId233" /><Relationship Type="http://schemas.openxmlformats.org/officeDocument/2006/relationships/hyperlink" Target="https://short-edition.com/en/" TargetMode="External" Id="rId234" /><Relationship Type="http://schemas.openxmlformats.org/officeDocument/2006/relationships/hyperlink" Target="https://www.linkedin.com/company/shortedition/" TargetMode="External" Id="rId235" /><Relationship Type="http://schemas.openxmlformats.org/officeDocument/2006/relationships/hyperlink" Target="https://drive.google.com/uc?export=view&amp;id=1jwlI1Lx0JqqiTuHmcMtZ3_HG89g08B6M" TargetMode="External" Id="rId236" /><Relationship Type="http://schemas.openxmlformats.org/officeDocument/2006/relationships/hyperlink" Target="http://infomentor.se/" TargetMode="External" Id="rId237" /><Relationship Type="http://schemas.openxmlformats.org/officeDocument/2006/relationships/hyperlink" Target="https://drive.google.com/uc?export=view&amp;id=1RlMZE-ri4cPI48lkNTdojz5E82sVcQjE" TargetMode="External" Id="rId238" /><Relationship Type="http://schemas.openxmlformats.org/officeDocument/2006/relationships/hyperlink" Target="https://www.indicia.sk/english" TargetMode="External" Id="rId239" /><Relationship Type="http://schemas.openxmlformats.org/officeDocument/2006/relationships/hyperlink" Target="https://www.instagram.com/indicia.sk/" TargetMode="External" Id="rId240" /><Relationship Type="http://schemas.openxmlformats.org/officeDocument/2006/relationships/hyperlink" Target="https://www.linkedin.com/company/ind%C3%ADcia/" TargetMode="External" Id="rId241" /><Relationship Type="http://schemas.openxmlformats.org/officeDocument/2006/relationships/hyperlink" Target="https://drive.google.com/uc?export=view&amp;id=1O5HAo1AWzGFpEdXmpaW7-baLeCciN6kk" TargetMode="External" Id="rId242" /><Relationship Type="http://schemas.openxmlformats.org/officeDocument/2006/relationships/hyperlink" Target="https://www.facebook.com/indicia.sk/" TargetMode="External" Id="rId243" /><Relationship Type="http://schemas.openxmlformats.org/officeDocument/2006/relationships/hyperlink" Target="http://www.emraude.com/" TargetMode="External" Id="rId244" /><Relationship Type="http://schemas.openxmlformats.org/officeDocument/2006/relationships/hyperlink" Target="https://fr.linkedin.com/company/emraudeagency" TargetMode="External" Id="rId245" /><Relationship Type="http://schemas.openxmlformats.org/officeDocument/2006/relationships/hyperlink" Target="https://drive.google.com/uc?export=view&amp;id=13ofQrWW3m0jZuNl40tybQmeDvTkOmcF-" TargetMode="External" Id="rId246" /><Relationship Type="http://schemas.openxmlformats.org/officeDocument/2006/relationships/hyperlink" Target="http://www.deepskill.com/" TargetMode="External" Id="rId247" /><Relationship Type="http://schemas.openxmlformats.org/officeDocument/2006/relationships/hyperlink" Target="http://linkedin.com/company/deepskillpeopledevelopment" TargetMode="External" Id="rId248" /><Relationship Type="http://schemas.openxmlformats.org/officeDocument/2006/relationships/hyperlink" Target="https://drive.google.com/uc?export=view&amp;id=1bYYmlYF0LwB8sIaW3SZrYP7M6YsTG1bB" TargetMode="External" Id="rId249" /><Relationship Type="http://schemas.openxmlformats.org/officeDocument/2006/relationships/hyperlink" Target="https://dibl.eu/" TargetMode="External" Id="rId250" /><Relationship Type="http://schemas.openxmlformats.org/officeDocument/2006/relationships/hyperlink" Target="https://www.linkedin.com/company/dibl" TargetMode="External" Id="rId251" /><Relationship Type="http://schemas.openxmlformats.org/officeDocument/2006/relationships/hyperlink" Target="https://drive.google.com/uc?export=view&amp;id=1Kg3IE5kyajgJV6CCM9QjyCOtscIasdlh" TargetMode="External" Id="rId252" /><Relationship Type="http://schemas.openxmlformats.org/officeDocument/2006/relationships/hyperlink" Target="https://www.mama.codes/" TargetMode="External" Id="rId253" /><Relationship Type="http://schemas.openxmlformats.org/officeDocument/2006/relationships/hyperlink" Target="https://drive.google.com/uc?export=view&amp;id=1BlDrMluB82zk2zT09rXfTvM1kmdUaBuE" TargetMode="External" Id="rId254" /><Relationship Type="http://schemas.openxmlformats.org/officeDocument/2006/relationships/hyperlink" Target="https://www.readlax.com/" TargetMode="External" Id="rId255" /><Relationship Type="http://schemas.openxmlformats.org/officeDocument/2006/relationships/hyperlink" Target="https://www.instagram.com/readlax/" TargetMode="External" Id="rId256" /><Relationship Type="http://schemas.openxmlformats.org/officeDocument/2006/relationships/hyperlink" Target="https://x.com/Readlax_Reading" TargetMode="External" Id="rId257" /><Relationship Type="http://schemas.openxmlformats.org/officeDocument/2006/relationships/hyperlink" Target="https://www.linkedin.com/company/readlax/" TargetMode="External" Id="rId258" /><Relationship Type="http://schemas.openxmlformats.org/officeDocument/2006/relationships/hyperlink" Target="https://drive.google.com/uc?export=view&amp;id=1jmPiJ4_I0qMU0PTRySRqYrSires3Mt7x" TargetMode="External" Id="rId259" /><Relationship Type="http://schemas.openxmlformats.org/officeDocument/2006/relationships/hyperlink" Target="https://www.facebook.com/ReadlaxBrainFitness" TargetMode="External" Id="rId260" /><Relationship Type="http://schemas.openxmlformats.org/officeDocument/2006/relationships/hyperlink" Target="http://www.codingpark.io/en" TargetMode="External" Id="rId261" /><Relationship Type="http://schemas.openxmlformats.org/officeDocument/2006/relationships/hyperlink" Target="https://www.instagram.com/coding.park/" TargetMode="External" Id="rId262" /><Relationship Type="http://schemas.openxmlformats.org/officeDocument/2006/relationships/hyperlink" Target="https://x.com/codingpark" TargetMode="External" Id="rId263" /><Relationship Type="http://schemas.openxmlformats.org/officeDocument/2006/relationships/hyperlink" Target="https://www.linkedin.com/company/codingpark" TargetMode="External" Id="rId264" /><Relationship Type="http://schemas.openxmlformats.org/officeDocument/2006/relationships/hyperlink" Target="https://drive.google.com/uc?export=view&amp;id=1sduAWNqCWBa8mIxWzgE76I0WZD-WMwmh" TargetMode="External" Id="rId265" /><Relationship Type="http://schemas.openxmlformats.org/officeDocument/2006/relationships/hyperlink" Target="https://www.facebook.com/codingpark" TargetMode="External" Id="rId266" /><Relationship Type="http://schemas.openxmlformats.org/officeDocument/2006/relationships/hyperlink" Target="http://www.campustore.it/" TargetMode="External" Id="rId267" /><Relationship Type="http://schemas.openxmlformats.org/officeDocument/2006/relationships/hyperlink" Target="https://www.instagram.com/campustore.it/" TargetMode="External" Id="rId268" /><Relationship Type="http://schemas.openxmlformats.org/officeDocument/2006/relationships/hyperlink" Target="https://drive.google.com/uc?export=view&amp;id=1MqDQw_vI1Gpg7WGZyUfK0z7c2wze2CN0" TargetMode="External" Id="rId269" /><Relationship Type="http://schemas.openxmlformats.org/officeDocument/2006/relationships/hyperlink" Target="https://www.facebook.com/CampuStoreIT" TargetMode="External" Id="rId270" /><Relationship Type="http://schemas.openxmlformats.org/officeDocument/2006/relationships/hyperlink" Target="http://www.doctoratehub.com/" TargetMode="External" Id="rId271" /><Relationship Type="http://schemas.openxmlformats.org/officeDocument/2006/relationships/hyperlink" Target="https://www.linkedin.com/company/doctoratehub/" TargetMode="External" Id="rId272" /><Relationship Type="http://schemas.openxmlformats.org/officeDocument/2006/relationships/hyperlink" Target="https://drive.google.com/uc?export=view&amp;id=1q8iROPw_nnHJLJH4hVnwjnnqrhbj-f3g" TargetMode="External" Id="rId273" /><Relationship Type="http://schemas.openxmlformats.org/officeDocument/2006/relationships/hyperlink" Target="https://www.beyond-words-vr.com/" TargetMode="External" Id="rId274" /><Relationship Type="http://schemas.openxmlformats.org/officeDocument/2006/relationships/hyperlink" Target="https://www.linkedin.com/company/103495283" TargetMode="External" Id="rId275" /><Relationship Type="http://schemas.openxmlformats.org/officeDocument/2006/relationships/hyperlink" Target="https://drive.google.com/uc?export=view&amp;id=1Ub6xdMbyHW9gJ3cK5QHGSGkGeGeTBpoC" TargetMode="External" Id="rId276" /><Relationship Type="http://schemas.openxmlformats.org/officeDocument/2006/relationships/hyperlink" Target="http://www.digitallearningassociates.com/" TargetMode="External" Id="rId277" /><Relationship Type="http://schemas.openxmlformats.org/officeDocument/2006/relationships/hyperlink" Target="https://www.linkedin.com/company/11021563/admin/dashboard/" TargetMode="External" Id="rId278" /><Relationship Type="http://schemas.openxmlformats.org/officeDocument/2006/relationships/hyperlink" Target="https://drive.google.com/uc?export=view&amp;id=1AiJq0FT_096KxQJAfi_UZf8_7dq-J-be" TargetMode="External" Id="rId279" /><Relationship Type="http://schemas.openxmlformats.org/officeDocument/2006/relationships/hyperlink" Target="http://www.diotima.ai/" TargetMode="External" Id="rId280" /><Relationship Type="http://schemas.openxmlformats.org/officeDocument/2006/relationships/hyperlink" Target="https://drive.google.com/uc?export=view&amp;id=1ft0POUMKUhH4sqf9z8ZyCpWGKGP4yyJ6" TargetMode="External" Id="rId281" /><Relationship Type="http://schemas.openxmlformats.org/officeDocument/2006/relationships/hyperlink" Target="https://www.qubo.nl/" TargetMode="External" Id="rId282" /><Relationship Type="http://schemas.openxmlformats.org/officeDocument/2006/relationships/hyperlink" Target="https://www.instagram.com/quboonderwijs" TargetMode="External" Id="rId283" /><Relationship Type="http://schemas.openxmlformats.org/officeDocument/2006/relationships/hyperlink" Target="https://www.linkedin.com/company/qubo-onderwijs/" TargetMode="External" Id="rId284" /><Relationship Type="http://schemas.openxmlformats.org/officeDocument/2006/relationships/hyperlink" Target="https://drive.google.com/uc?export=view&amp;id=1Z22JIHvsIA0qqqajx_pdnzjuRIQNGVg_" TargetMode="External" Id="rId285" /><Relationship Type="http://schemas.openxmlformats.org/officeDocument/2006/relationships/hyperlink" Target="https://www.facebook.com/QuboOnderwijs" TargetMode="External" Id="rId286" /><Relationship Type="http://schemas.openxmlformats.org/officeDocument/2006/relationships/hyperlink" Target="http://www.spotiself.com/" TargetMode="External" Id="rId287" /><Relationship Type="http://schemas.openxmlformats.org/officeDocument/2006/relationships/hyperlink" Target="https://www.instagram.com/spotiself/" TargetMode="External" Id="rId288" /><Relationship Type="http://schemas.openxmlformats.org/officeDocument/2006/relationships/hyperlink" Target="https://www.linkedin.com/company/79924424/" TargetMode="External" Id="rId289" /><Relationship Type="http://schemas.openxmlformats.org/officeDocument/2006/relationships/hyperlink" Target="https://drive.google.com/uc?export=view&amp;id=10RZ3zFxPVmkNygXenjAwUpvKAg02j8O7" TargetMode="External" Id="rId290" /><Relationship Type="http://schemas.openxmlformats.org/officeDocument/2006/relationships/hyperlink" Target="https://www.facebook.com/spotiself" TargetMode="External" Id="rId291" /><Relationship Type="http://schemas.openxmlformats.org/officeDocument/2006/relationships/hyperlink" Target="http://www.knoocker.com/" TargetMode="External" Id="rId292" /><Relationship Type="http://schemas.openxmlformats.org/officeDocument/2006/relationships/hyperlink" Target="https://www.linkedin.com/company/knoocker" TargetMode="External" Id="rId293" /><Relationship Type="http://schemas.openxmlformats.org/officeDocument/2006/relationships/hyperlink" Target="https://drive.google.com/uc?export=view&amp;id=15Q5QCJ4oJByURFhTtJAcyc5VwbhaqVeR" TargetMode="External" Id="rId294" /><Relationship Type="http://schemas.openxmlformats.org/officeDocument/2006/relationships/hyperlink" Target="http://thexpa.com/" TargetMode="External" Id="rId295" /><Relationship Type="http://schemas.openxmlformats.org/officeDocument/2006/relationships/hyperlink" Target="https://www.instagram.com/experientialacademyltd/" TargetMode="External" Id="rId296" /><Relationship Type="http://schemas.openxmlformats.org/officeDocument/2006/relationships/hyperlink" Target="https://www.linkedin.com/company/experiential-academy/" TargetMode="External" Id="rId297" /><Relationship Type="http://schemas.openxmlformats.org/officeDocument/2006/relationships/hyperlink" Target="https://drive.google.com/uc?export=view&amp;id=1CErKlSEjgjpiyA-cqrQBx3lte6O0gqsx" TargetMode="External" Id="rId298" /><Relationship Type="http://schemas.openxmlformats.org/officeDocument/2006/relationships/hyperlink" Target="http://www.clairelabs.ai/" TargetMode="External" Id="rId299" /><Relationship Type="http://schemas.openxmlformats.org/officeDocument/2006/relationships/hyperlink" Target="https://drive.google.com/uc?export=view&amp;id=1YejLRnX3y_vRlzHoeMfz3GFYrx9nCCxC" TargetMode="External" Id="rId300" /><Relationship Type="http://schemas.openxmlformats.org/officeDocument/2006/relationships/hyperlink" Target="https://lanura.ai/" TargetMode="External" Id="rId301" /><Relationship Type="http://schemas.openxmlformats.org/officeDocument/2006/relationships/hyperlink" Target="https://www.linkedin.com/company/lanura" TargetMode="External" Id="rId302" /><Relationship Type="http://schemas.openxmlformats.org/officeDocument/2006/relationships/hyperlink" Target="https://drive.google.com/uc?export=view&amp;id=19CqXhx5xMEGc6IqgdTY1V4QN9bhwvloS" TargetMode="External" Id="rId303" /><Relationship Type="http://schemas.openxmlformats.org/officeDocument/2006/relationships/hyperlink" Target="http://www.edf.global/" TargetMode="External" Id="rId304" /><Relationship Type="http://schemas.openxmlformats.org/officeDocument/2006/relationships/hyperlink" Target="https://www.linkedin.com/company/entornosdeformacion" TargetMode="External" Id="rId305" /><Relationship Type="http://schemas.openxmlformats.org/officeDocument/2006/relationships/hyperlink" Target="https://drive.google.com/uc?export=view&amp;id=1_5FFc0p4GboJDTMh4c41dGsyiuOo62cq" TargetMode="External" Id="rId306" /><Relationship Type="http://schemas.openxmlformats.org/officeDocument/2006/relationships/hyperlink" Target="http://slide-speed.com/" TargetMode="External" Id="rId307" /><Relationship Type="http://schemas.openxmlformats.org/officeDocument/2006/relationships/hyperlink" Target="https://slide-speed.com/" TargetMode="External" Id="rId308" /><Relationship Type="http://schemas.openxmlformats.org/officeDocument/2006/relationships/hyperlink" Target="https://www.linkedin.com/company/101921502/" TargetMode="External" Id="rId309" /><Relationship Type="http://schemas.openxmlformats.org/officeDocument/2006/relationships/hyperlink" Target="http://slide-speed.com/" TargetMode="External" Id="rId310" /><Relationship Type="http://schemas.openxmlformats.org/officeDocument/2006/relationships/hyperlink" Target="https://drive.google.com/uc?export=view&amp;id=1-r-GPRf1nbw6dA7J-2VbYoUrQlIt2SDO" TargetMode="External" Id="rId311" /><Relationship Type="http://schemas.openxmlformats.org/officeDocument/2006/relationships/hyperlink" Target="https://bloom.study/" TargetMode="External" Id="rId312" /><Relationship Type="http://schemas.openxmlformats.org/officeDocument/2006/relationships/hyperlink" Target="http://x.com/BloomAITutor" TargetMode="External" Id="rId313" /><Relationship Type="http://schemas.openxmlformats.org/officeDocument/2006/relationships/hyperlink" Target="https://www.linkedin.com/company/aibloom" TargetMode="External" Id="rId314" /><Relationship Type="http://schemas.openxmlformats.org/officeDocument/2006/relationships/hyperlink" Target="https://drive.google.com/uc?export=view&amp;id=1VUyCiwF_39xVJ1SlgUV2qUcvXLdtAPob" TargetMode="External" Id="rId315" /><Relationship Type="http://schemas.openxmlformats.org/officeDocument/2006/relationships/hyperlink" Target="http://motionstorybooks.com/" TargetMode="External" Id="rId316" /><Relationship Type="http://schemas.openxmlformats.org/officeDocument/2006/relationships/hyperlink" Target="http://www.motionstorybooks.com/" TargetMode="External" Id="rId317" /><Relationship Type="http://schemas.openxmlformats.org/officeDocument/2006/relationships/hyperlink" Target="https://drive.google.com/uc?export=view&amp;id=1HNWtPP2x65WIpINASPC7_BeE9gnUVgcE" TargetMode="External" Id="rId318" /><Relationship Type="http://schemas.openxmlformats.org/officeDocument/2006/relationships/hyperlink" Target="https://www.medexlab.co/explorerrazgar.html" TargetMode="External" Id="rId319" /><Relationship Type="http://schemas.openxmlformats.org/officeDocument/2006/relationships/hyperlink" Target="https://www.linkedin.com/company/medex-lab/" TargetMode="External" Id="rId320" /><Relationship Type="http://schemas.openxmlformats.org/officeDocument/2006/relationships/hyperlink" Target="https://drive.google.com/uc?export=view&amp;id=12HhjDKydLTy0-YGW27FQn84tcSvv3_iU" TargetMode="External" Id="rId321" /><Relationship Type="http://schemas.openxmlformats.org/officeDocument/2006/relationships/hyperlink" Target="http://www.lessonapp.fi/" TargetMode="External" Id="rId322" /><Relationship Type="http://schemas.openxmlformats.org/officeDocument/2006/relationships/hyperlink" Target="https://www.instagram.com/lesson_app/" TargetMode="External" Id="rId323" /><Relationship Type="http://schemas.openxmlformats.org/officeDocument/2006/relationships/hyperlink" Target="https://www.linkedin.com/company/lessonapp-oy/" TargetMode="External" Id="rId324" /><Relationship Type="http://schemas.openxmlformats.org/officeDocument/2006/relationships/hyperlink" Target="https://drive.google.com/uc?export=view&amp;id=16E9joFzZbQCv95wOg9gg647_FA8gwJax" TargetMode="External" Id="rId325" /><Relationship Type="http://schemas.openxmlformats.org/officeDocument/2006/relationships/hyperlink" Target="http://www.levelupacademy.nl/" TargetMode="External" Id="rId326" /><Relationship Type="http://schemas.openxmlformats.org/officeDocument/2006/relationships/hyperlink" Target="https://www.instagram.com/levelupacademynl/" TargetMode="External" Id="rId327" /><Relationship Type="http://schemas.openxmlformats.org/officeDocument/2006/relationships/hyperlink" Target="https://www.linkedin.com/company/level-up-academy-language-school/" TargetMode="External" Id="rId328" /><Relationship Type="http://schemas.openxmlformats.org/officeDocument/2006/relationships/hyperlink" Target="https://drive.google.com/uc?export=view&amp;id=1kr98jna08RnRMWiTK7FeaFbbn4ZbF3zp" TargetMode="External" Id="rId329" /><Relationship Type="http://schemas.openxmlformats.org/officeDocument/2006/relationships/hyperlink" Target="https://www.atermon.nl/" TargetMode="External" Id="rId330" /><Relationship Type="http://schemas.openxmlformats.org/officeDocument/2006/relationships/hyperlink" Target="https://www.linkedin.com/company/atermon-rotterdam" TargetMode="External" Id="rId331" /><Relationship Type="http://schemas.openxmlformats.org/officeDocument/2006/relationships/hyperlink" Target="https://drive.google.com/uc?export=view&amp;id=1LvFjqm729253h5uH_CEIoD_nZh9I_U66" TargetMode="External" Id="rId332" /><Relationship Type="http://schemas.openxmlformats.org/officeDocument/2006/relationships/hyperlink" Target="https://www.instagram.com/atermonnl?igsh=Y2JleXpxcmNrYWN5" TargetMode="External" Id="rId333" /><Relationship Type="http://schemas.openxmlformats.org/officeDocument/2006/relationships/hyperlink" Target="https://datasweep.app/" TargetMode="External" Id="rId334" /><Relationship Type="http://schemas.openxmlformats.org/officeDocument/2006/relationships/hyperlink" Target="https://www.instagram.com/datasweep.app/" TargetMode="External" Id="rId335" /><Relationship Type="http://schemas.openxmlformats.org/officeDocument/2006/relationships/hyperlink" Target="https://www.linkedin.com/company/data-sweep/" TargetMode="External" Id="rId336" /><Relationship Type="http://schemas.openxmlformats.org/officeDocument/2006/relationships/hyperlink" Target="https://drive.google.com/uc?export=view&amp;id=1BAr6DR9Ungz7HdK6w-J6xDDjWSVoxTlI" TargetMode="External" Id="rId337" /><Relationship Type="http://schemas.openxmlformats.org/officeDocument/2006/relationships/hyperlink" Target="https://www.facebook.com/profile.php?id=61558460196916" TargetMode="External" Id="rId338" /><Relationship Type="http://schemas.openxmlformats.org/officeDocument/2006/relationships/hyperlink" Target="http://www.qureca.com/" TargetMode="External" Id="rId339" /><Relationship Type="http://schemas.openxmlformats.org/officeDocument/2006/relationships/hyperlink" Target="https://www.linkedin.com/company/qureca/" TargetMode="External" Id="rId340" /><Relationship Type="http://schemas.openxmlformats.org/officeDocument/2006/relationships/hyperlink" Target="https://drive.google.com/uc?export=view&amp;id=1lFcWRjooXNT56pmDxkhqE41BlbNbPoML" TargetMode="External" Id="rId341" /><Relationship Type="http://schemas.openxmlformats.org/officeDocument/2006/relationships/hyperlink" Target="http://signlab.co/" TargetMode="External" Id="rId342" /><Relationship Type="http://schemas.openxmlformats.org/officeDocument/2006/relationships/hyperlink" Target="https://drive.google.com/uc?export=view&amp;id=1saUjsf9BF5NlKnKdaZChRoEMtsDZOYDD" TargetMode="External" Id="rId343" /><Relationship Type="http://schemas.openxmlformats.org/officeDocument/2006/relationships/hyperlink" Target="https://www.instagram.com/miranda.works/" TargetMode="External" Id="rId344" /><Relationship Type="http://schemas.openxmlformats.org/officeDocument/2006/relationships/hyperlink" Target="https://www.linkedin.com/company/miranda-42/" TargetMode="External" Id="rId345" /><Relationship Type="http://schemas.openxmlformats.org/officeDocument/2006/relationships/hyperlink" Target="https://drive.google.com/uc?export=view&amp;id=1irRSo7kC1lBOb-U5tQyrK-pSeR9Zq1EV" TargetMode="External" Id="rId346" /><Relationship Type="http://schemas.openxmlformats.org/officeDocument/2006/relationships/hyperlink" Target="https://www.facebook.com/profile.php?id=100077751545307" TargetMode="External" Id="rId347" /><Relationship Type="http://schemas.openxmlformats.org/officeDocument/2006/relationships/hyperlink" Target="http://www.digied.si/" TargetMode="External" Id="rId348" /><Relationship Type="http://schemas.openxmlformats.org/officeDocument/2006/relationships/hyperlink" Target="https://www.linkedin.com/company/digied-keep-learning/" TargetMode="External" Id="rId349" /><Relationship Type="http://schemas.openxmlformats.org/officeDocument/2006/relationships/hyperlink" Target="https://drive.google.com/uc?export=view&amp;id=1zVKysMN-1eSsw_H-0iWumVhljG7W6UeZ" TargetMode="External" Id="rId350" /><Relationship Type="http://schemas.openxmlformats.org/officeDocument/2006/relationships/hyperlink" Target="https://inventorio.de/" TargetMode="External" Id="rId351" /><Relationship Type="http://schemas.openxmlformats.org/officeDocument/2006/relationships/hyperlink" Target="https://www.instagram.com/inventorio_edu/" TargetMode="External" Id="rId352" /><Relationship Type="http://schemas.openxmlformats.org/officeDocument/2006/relationships/hyperlink" Target="https://www.linkedin.com/company/inventorio/" TargetMode="External" Id="rId353" /><Relationship Type="http://schemas.openxmlformats.org/officeDocument/2006/relationships/hyperlink" Target="https://drive.google.com/uc?export=view&amp;id=1s11TI5XrrZGgGXsOi_hrmRMiXUn4azmF" TargetMode="External" Id="rId354" /><Relationship Type="http://schemas.openxmlformats.org/officeDocument/2006/relationships/hyperlink" Target="https://www.magicedtech.com/" TargetMode="External" Id="rId355" /><Relationship Type="http://schemas.openxmlformats.org/officeDocument/2006/relationships/hyperlink" Target="https://www.instagram.com/magic_edtech/" TargetMode="External" Id="rId356" /><Relationship Type="http://schemas.openxmlformats.org/officeDocument/2006/relationships/hyperlink" Target="https://www.linkedin.com/company/magic-edtech/posts/?feedView=all" TargetMode="External" Id="rId357" /><Relationship Type="http://schemas.openxmlformats.org/officeDocument/2006/relationships/hyperlink" Target="https://drive.google.com/uc?export=view&amp;id=1sW632izew8MXPUp6d4LHYe4SU99fm8fY" TargetMode="External" Id="rId358" /><Relationship Type="http://schemas.openxmlformats.org/officeDocument/2006/relationships/hyperlink" Target="http://www.learningglass.eu/" TargetMode="External" Id="rId359" /><Relationship Type="http://schemas.openxmlformats.org/officeDocument/2006/relationships/hyperlink" Target="https://www.linkedin.com/company/learning-glass-europe/" TargetMode="External" Id="rId360" /><Relationship Type="http://schemas.openxmlformats.org/officeDocument/2006/relationships/hyperlink" Target="https://drive.google.com/uc?export=view&amp;id=1EqHAkGuHBwTl0erMDeO6TQMYBfmUjTV5" TargetMode="External" Id="rId361" /><Relationship Type="http://schemas.openxmlformats.org/officeDocument/2006/relationships/hyperlink" Target="https://www.habitatlearn.com/" TargetMode="External" Id="rId362" /><Relationship Type="http://schemas.openxmlformats.org/officeDocument/2006/relationships/hyperlink" Target="https://www.linkedin.com/in/habitatlearn/" TargetMode="External" Id="rId363" /><Relationship Type="http://schemas.openxmlformats.org/officeDocument/2006/relationships/hyperlink" Target="https://drive.google.com/uc?export=view&amp;id=110FklqyoCXTSEZO2C_sdzWgMFhrzzAUo" TargetMode="External" Id="rId364" /><Relationship Type="http://schemas.openxmlformats.org/officeDocument/2006/relationships/hyperlink" Target="https://www.ubimaster.com/de/" TargetMode="External" Id="rId365" /><Relationship Type="http://schemas.openxmlformats.org/officeDocument/2006/relationships/hyperlink" Target="https://www.linkedin.com/company/30168127/" TargetMode="External" Id="rId366" /><Relationship Type="http://schemas.openxmlformats.org/officeDocument/2006/relationships/hyperlink" Target="https://drive.google.com/uc?export=view&amp;id=1gEigOctT9xnQYJQKPPH1RKLtIPciV-Jx" TargetMode="External" Id="rId367" /><Relationship Type="http://schemas.openxmlformats.org/officeDocument/2006/relationships/hyperlink" Target="https://www.facebook.com/ubiMasterNachhilfe/" TargetMode="External" Id="rId368" /><Relationship Type="http://schemas.openxmlformats.org/officeDocument/2006/relationships/hyperlink" Target="http://www.lektor.nl/" TargetMode="External" Id="rId369" /><Relationship Type="http://schemas.openxmlformats.org/officeDocument/2006/relationships/hyperlink" Target="https://www.instagram.com/lektor.nl/" TargetMode="External" Id="rId370" /><Relationship Type="http://schemas.openxmlformats.org/officeDocument/2006/relationships/hyperlink" Target="https://www.linkedin.com/company/lektor-nl/" TargetMode="External" Id="rId371" /><Relationship Type="http://schemas.openxmlformats.org/officeDocument/2006/relationships/hyperlink" Target="https://drive.google.com/uc?export=view&amp;id=1Tu9XT6t2LD-hGaNGYfrG-7pqsZ2tBrFq" TargetMode="External" Id="rId372" /><Relationship Type="http://schemas.openxmlformats.org/officeDocument/2006/relationships/hyperlink" Target="https://www.doheglobal.com/" TargetMode="External" Id="rId373" /><Relationship Type="http://schemas.openxmlformats.org/officeDocument/2006/relationships/hyperlink" Target="https://www.linkedin.com/company/dohe/?viewAsMember=true" TargetMode="External" Id="rId374" /><Relationship Type="http://schemas.openxmlformats.org/officeDocument/2006/relationships/hyperlink" Target="https://drive.google.com/uc?export=view&amp;id=1s4AmWun650ghFYBfaw8jwFfPOSHI4WBf" TargetMode="External" Id="rId375" /><Relationship Type="http://schemas.openxmlformats.org/officeDocument/2006/relationships/hyperlink" Target="http://gamsplatform.com/" TargetMode="External" Id="rId376" /><Relationship Type="http://schemas.openxmlformats.org/officeDocument/2006/relationships/hyperlink" Target="https://www.instagram.com/GAMSPlatform/" TargetMode="External" Id="rId377" /><Relationship Type="http://schemas.openxmlformats.org/officeDocument/2006/relationships/hyperlink" Target="https://it.linkedin.com/company/gamsplatform" TargetMode="External" Id="rId378" /><Relationship Type="http://schemas.openxmlformats.org/officeDocument/2006/relationships/hyperlink" Target="https://drive.google.com/uc?export=view&amp;id=1F_A5P5S2_zwTQaXCzAJN9bxRyiPi-0nb" TargetMode="External" Id="rId379" /><Relationship Type="http://schemas.openxmlformats.org/officeDocument/2006/relationships/hyperlink" Target="https://www.facebook.com/GAMSPlatform/" TargetMode="External" Id="rId380" /><Relationship Type="http://schemas.openxmlformats.org/officeDocument/2006/relationships/hyperlink" Target="http://veriable.at/" TargetMode="External" Id="rId381" /><Relationship Type="http://schemas.openxmlformats.org/officeDocument/2006/relationships/hyperlink" Target="https://drive.google.com/uc?export=view&amp;id=1BN9OJF5Juaq106GKb1e6AXvcgLu3YmWE" TargetMode="External" Id="rId382" /><Relationship Type="http://schemas.openxmlformats.org/officeDocument/2006/relationships/hyperlink" Target="http://www.plvsvltra.eu/" TargetMode="External" Id="rId383" /><Relationship Type="http://schemas.openxmlformats.org/officeDocument/2006/relationships/hyperlink" Target="https://www.linkedin.com/company/plvsvltra" TargetMode="External" Id="rId384" /><Relationship Type="http://schemas.openxmlformats.org/officeDocument/2006/relationships/hyperlink" Target="https://drive.google.com/uc?export=view&amp;id=17Ke66KDL60pnSVUlDiUC3sGjWbpiKNpG" TargetMode="External" Id="rId385" /><Relationship Type="http://schemas.openxmlformats.org/officeDocument/2006/relationships/hyperlink" Target="http://www.prowise.com/" TargetMode="External" Id="rId386" /><Relationship Type="http://schemas.openxmlformats.org/officeDocument/2006/relationships/hyperlink" Target="https://www.instagram.com/prowise_nl/" TargetMode="External" Id="rId387" /><Relationship Type="http://schemas.openxmlformats.org/officeDocument/2006/relationships/hyperlink" Target="https://www.linkedin.com/company/prowise-nl/" TargetMode="External" Id="rId388" /><Relationship Type="http://schemas.openxmlformats.org/officeDocument/2006/relationships/hyperlink" Target="https://drive.google.com/uc?export=view&amp;id=17HFmQK-h6ioQCxt9laEm1gDqEDOEWraR" TargetMode="External" Id="rId389" /><Relationship Type="http://schemas.openxmlformats.org/officeDocument/2006/relationships/hyperlink" Target="http://www.sog.gg/" TargetMode="External" Id="rId390" /><Relationship Type="http://schemas.openxmlformats.org/officeDocument/2006/relationships/hyperlink" Target="https://www.instagram.com/sogversum" TargetMode="External" Id="rId391" /><Relationship Type="http://schemas.openxmlformats.org/officeDocument/2006/relationships/hyperlink" Target="https://www.linkedin.com/company/school-of-gaming" TargetMode="External" Id="rId392" /><Relationship Type="http://schemas.openxmlformats.org/officeDocument/2006/relationships/hyperlink" Target="https://drive.google.com/uc?export=view&amp;id=1ABgSkKl-btHRZkgk0RHCbMzeztsWqo3Z" TargetMode="External" Id="rId393" /><Relationship Type="http://schemas.openxmlformats.org/officeDocument/2006/relationships/hyperlink" Target="https://www.facebook.com/sogversum" TargetMode="External" Id="rId394" /><Relationship Type="http://schemas.openxmlformats.org/officeDocument/2006/relationships/hyperlink" Target="http://www.electude.com/" TargetMode="External" Id="rId395" /><Relationship Type="http://schemas.openxmlformats.org/officeDocument/2006/relationships/hyperlink" Target="https://www.instagram.com/electudeinternational/" TargetMode="External" Id="rId396" /><Relationship Type="http://schemas.openxmlformats.org/officeDocument/2006/relationships/hyperlink" Target="https://www.linkedin.com/company/electudeinternational/" TargetMode="External" Id="rId397" /><Relationship Type="http://schemas.openxmlformats.org/officeDocument/2006/relationships/hyperlink" Target="https://drive.google.com/uc?export=view&amp;id=1F5ktQbNj5i1vdnSX8F_SdYNtJLk7gN23" TargetMode="External" Id="rId398" /><Relationship Type="http://schemas.openxmlformats.org/officeDocument/2006/relationships/hyperlink" Target="https://www.facebook.com/electudeinternational" TargetMode="External" Id="rId399" /><Relationship Type="http://schemas.openxmlformats.org/officeDocument/2006/relationships/hyperlink" Target="http://www.reducate.com/" TargetMode="External" Id="rId400" /><Relationship Type="http://schemas.openxmlformats.org/officeDocument/2006/relationships/hyperlink" Target="https://www.linkedin.com/company/reducate" TargetMode="External" Id="rId401" /><Relationship Type="http://schemas.openxmlformats.org/officeDocument/2006/relationships/hyperlink" Target="https://drive.google.com/uc?export=view&amp;id=1ph_qR9AGcEvmgHGTduIQA76BecAgAxwJ" TargetMode="External" Id="rId402" /><Relationship Type="http://schemas.openxmlformats.org/officeDocument/2006/relationships/hyperlink" Target="https://vittascience.com/" TargetMode="External" Id="rId403" /><Relationship Type="http://schemas.openxmlformats.org/officeDocument/2006/relationships/hyperlink" Target="https://drive.google.com/uc?export=view&amp;id=1s4dUBrdKBYzXviTJIfizi3OcYvwmznnh" TargetMode="External" Id="rId404" /><Relationship Type="http://schemas.openxmlformats.org/officeDocument/2006/relationships/hyperlink" Target="http://www.matcha.mobi/" TargetMode="External" Id="rId405" /><Relationship Type="http://schemas.openxmlformats.org/officeDocument/2006/relationships/hyperlink" Target="https://drive.google.com/uc?export=view&amp;id=1fBuMdbLYafOXaY7gSHoh2Jjcw4NOfJW8" TargetMode="External" Id="rId406" /><Relationship Type="http://schemas.openxmlformats.org/officeDocument/2006/relationships/hyperlink" Target="http://www.happykids.ai/" TargetMode="External" Id="rId407" /><Relationship Type="http://schemas.openxmlformats.org/officeDocument/2006/relationships/hyperlink" Target="https://lu.linkedin.com/company/happykids-ai-the-book-of-life" TargetMode="External" Id="rId408" /><Relationship Type="http://schemas.openxmlformats.org/officeDocument/2006/relationships/hyperlink" Target="https://drive.google.com/uc?export=view&amp;id=1SOdb4oi6XSFkgFjGRpoTKIUB2LRDQ8tj" TargetMode="External" Id="rId409" /><Relationship Type="http://schemas.openxmlformats.org/officeDocument/2006/relationships/hyperlink" Target="https://finanzwissen.club/" TargetMode="External" Id="rId410" /><Relationship Type="http://schemas.openxmlformats.org/officeDocument/2006/relationships/hyperlink" Target="https://drive.google.com/uc?export=view&amp;id=18Dcn90NsEdIkbnCVQWGgIQel8nCAPAxx" TargetMode="External" Id="rId411" /><Relationship Type="http://schemas.openxmlformats.org/officeDocument/2006/relationships/hyperlink" Target="https://www.investling.org/" TargetMode="External" Id="rId412" /><Relationship Type="http://schemas.openxmlformats.org/officeDocument/2006/relationships/hyperlink" Target="https://www.linkedin.com/company/investlingedu" TargetMode="External" Id="rId413" /><Relationship Type="http://schemas.openxmlformats.org/officeDocument/2006/relationships/hyperlink" Target="https://drive.google.com/uc?export=view&amp;id=1WW59X-VbdGlZ9ZP9cLsOo22MLYxYDoMp" TargetMode="External" Id="rId414" /><Relationship Type="http://schemas.openxmlformats.org/officeDocument/2006/relationships/hyperlink" Target="https://www.mobidys.com/" TargetMode="External" Id="rId415" /><Relationship Type="http://schemas.openxmlformats.org/officeDocument/2006/relationships/hyperlink" Target="https://drive.google.com/uc?export=view&amp;id=1MeI4x-m8gyZKfSnJMXiXVIA7fLzipoJc" TargetMode="External" Id="rId416" /><Relationship Type="http://schemas.openxmlformats.org/officeDocument/2006/relationships/hyperlink" Target="https://madmagz.com/" TargetMode="External" Id="rId417" /><Relationship Type="http://schemas.openxmlformats.org/officeDocument/2006/relationships/hyperlink" Target="https://www.instagram.com/madmagz.live/" TargetMode="External" Id="rId418" /><Relationship Type="http://schemas.openxmlformats.org/officeDocument/2006/relationships/hyperlink" Target="https://x.com/madmagz" TargetMode="External" Id="rId419" /><Relationship Type="http://schemas.openxmlformats.org/officeDocument/2006/relationships/hyperlink" Target="https://www.linkedin.com/company/949712" TargetMode="External" Id="rId420" /><Relationship Type="http://schemas.openxmlformats.org/officeDocument/2006/relationships/hyperlink" Target="https://drive.google.com/uc?export=view&amp;id=1FJIWR9LmUM8N4YxuB61JBlNHJFYCwOph" TargetMode="External" Id="rId421" /><Relationship Type="http://schemas.openxmlformats.org/officeDocument/2006/relationships/hyperlink" Target="http://www.skribu.pl/" TargetMode="External" Id="rId422" /><Relationship Type="http://schemas.openxmlformats.org/officeDocument/2006/relationships/hyperlink" Target="https://drive.google.com/uc?export=view&amp;id=1mzOrg3CgHSFQVlWJIZmsdq0-Ej8ofjBo" TargetMode="External" Id="rId423" /><Relationship Type="http://schemas.openxmlformats.org/officeDocument/2006/relationships/hyperlink" Target="https://schul.tools/" TargetMode="External" Id="rId424" /><Relationship Type="http://schemas.openxmlformats.org/officeDocument/2006/relationships/hyperlink" Target="https://drive.google.com/uc?export=view&amp;id=1BBVx4jFaYCviovsBSI75OoQculWcwQWk" TargetMode="External" Id="rId425" /><Relationship Type="http://schemas.openxmlformats.org/officeDocument/2006/relationships/hyperlink" Target="https://online-vertretungsstunden.de/" TargetMode="External" Id="rId426" /><Relationship Type="http://schemas.openxmlformats.org/officeDocument/2006/relationships/hyperlink" Target="https://www.instagram.com/online_vertretungsstunden/" TargetMode="External" Id="rId427" /><Relationship Type="http://schemas.openxmlformats.org/officeDocument/2006/relationships/hyperlink" Target="https://www.linkedin.com/company/online-vertretungsstunden" TargetMode="External" Id="rId428" /><Relationship Type="http://schemas.openxmlformats.org/officeDocument/2006/relationships/hyperlink" Target="https://drive.google.com/uc?export=view&amp;id=1725e6LWSJjE_TnG7IyyvFGSTHIdbVyDY" TargetMode="External" Id="rId429" /><Relationship Type="http://schemas.openxmlformats.org/officeDocument/2006/relationships/hyperlink" Target="https://www.facebook.com/onlinevertretungsstunden" TargetMode="External" Id="rId430" /><Relationship Type="http://schemas.openxmlformats.org/officeDocument/2006/relationships/hyperlink" Target="https://paradoxlearning.com/" TargetMode="External" Id="rId431" /><Relationship Type="http://schemas.openxmlformats.org/officeDocument/2006/relationships/hyperlink" Target="https://www.linkedin.com/in/stellal/" TargetMode="External" Id="rId432" /><Relationship Type="http://schemas.openxmlformats.org/officeDocument/2006/relationships/hyperlink" Target="https://drive.google.com/uc?export=view&amp;id=1lxriF7cOtykTwCYM2tcqphwRMe2eZc85" TargetMode="External" Id="rId433" /><Relationship Type="http://schemas.openxmlformats.org/officeDocument/2006/relationships/hyperlink" Target="https://www.edcortex.com/" TargetMode="External" Id="rId434" /><Relationship Type="http://schemas.openxmlformats.org/officeDocument/2006/relationships/hyperlink" Target="https://www.linkedin.com/company/edcortex/?viewAsMember=true" TargetMode="External" Id="rId435" /><Relationship Type="http://schemas.openxmlformats.org/officeDocument/2006/relationships/hyperlink" Target="https://drive.google.com/uc?export=view&amp;id=1QYCY1FiwZbZ6CoiFXQviCoy9nSxXDXCq" TargetMode="External" Id="rId436" /><Relationship Type="http://schemas.openxmlformats.org/officeDocument/2006/relationships/hyperlink" Target="http://www.eduplaces.de/" TargetMode="External" Id="rId437" /><Relationship Type="http://schemas.openxmlformats.org/officeDocument/2006/relationships/hyperlink" Target="https://www.instagram.com/eduplaces_apps/" TargetMode="External" Id="rId438" /><Relationship Type="http://schemas.openxmlformats.org/officeDocument/2006/relationships/hyperlink" Target="https://www.linkedin.com/company/eduplaces" TargetMode="External" Id="rId439" /><Relationship Type="http://schemas.openxmlformats.org/officeDocument/2006/relationships/hyperlink" Target="https://drive.google.com/uc?export=view&amp;id=1rWBjrUeAr1BGlaDHKRO-tn-VzWPHt9k2" TargetMode="External" Id="rId440" /><Relationship Type="http://schemas.openxmlformats.org/officeDocument/2006/relationships/hyperlink" Target="https://www.facebook.com/eduplaces.apps" TargetMode="External" Id="rId441" /><Relationship Type="http://schemas.openxmlformats.org/officeDocument/2006/relationships/hyperlink" Target="https://eduva.ai/" TargetMode="External" Id="rId442" /><Relationship Type="http://schemas.openxmlformats.org/officeDocument/2006/relationships/hyperlink" Target="https://drive.google.com/uc?export=view&amp;id=1HtPQnlQhvX1LIMnd3a1frkP0AkWHrkal" TargetMode="External" Id="rId443" /><Relationship Type="http://schemas.openxmlformats.org/officeDocument/2006/relationships/hyperlink" Target="https://educa360.com/" TargetMode="External" Id="rId444" /><Relationship Type="http://schemas.openxmlformats.org/officeDocument/2006/relationships/hyperlink" Target="https://drive.google.com/uc?export=view&amp;id=1un6L5sA7Yz6VhwYt7BsWsyRxQFmQFNcD" TargetMode="External" Id="rId445" /><Relationship Type="http://schemas.openxmlformats.org/officeDocument/2006/relationships/hyperlink" Target="https://learnademy.com/" TargetMode="External" Id="rId446" /><Relationship Type="http://schemas.openxmlformats.org/officeDocument/2006/relationships/hyperlink" Target="https://x.com/Learnademy" TargetMode="External" Id="rId447" /><Relationship Type="http://schemas.openxmlformats.org/officeDocument/2006/relationships/hyperlink" Target="http://linkedin.com/company/learnademy" TargetMode="External" Id="rId448" /><Relationship Type="http://schemas.openxmlformats.org/officeDocument/2006/relationships/hyperlink" Target="https://drive.google.com/uc?export=view&amp;id=1mc7i_viZt324IwhPVuDrQ-djto9T6D6M" TargetMode="External" Id="rId449" /><Relationship Type="http://schemas.openxmlformats.org/officeDocument/2006/relationships/hyperlink" Target="https://www.facebook.com/Learnademy" TargetMode="External" Id="rId450" /><Relationship Type="http://schemas.openxmlformats.org/officeDocument/2006/relationships/hyperlink" Target="https://www.alpaca-assessment.com/" TargetMode="External" Id="rId451" /><Relationship Type="http://schemas.openxmlformats.org/officeDocument/2006/relationships/hyperlink" Target="https://www.instagram.com/alpaca_learn/" TargetMode="External" Id="rId452" /><Relationship Type="http://schemas.openxmlformats.org/officeDocument/2006/relationships/hyperlink" Target="https://x.com/alpaca_learn" TargetMode="External" Id="rId453" /><Relationship Type="http://schemas.openxmlformats.org/officeDocument/2006/relationships/hyperlink" Target="https://www.linkedin.com/company/alpaca-assessment/" TargetMode="External" Id="rId454" /><Relationship Type="http://schemas.openxmlformats.org/officeDocument/2006/relationships/hyperlink" Target="https://drive.google.com/uc?export=view&amp;id=1GR__JWSzsRThlXEQCdxocuhvLKFJnQ8L" TargetMode="External" Id="rId455" /><Relationship Type="http://schemas.openxmlformats.org/officeDocument/2006/relationships/hyperlink" Target="https://www.facebook.com/alpaca.assessment/" TargetMode="External" Id="rId456" /><Relationship Type="http://schemas.openxmlformats.org/officeDocument/2006/relationships/hyperlink" Target="https://opinoma.dk/" TargetMode="External" Id="rId457" /><Relationship Type="http://schemas.openxmlformats.org/officeDocument/2006/relationships/hyperlink" Target="https://www.linkedin.com/company/opinoma" TargetMode="External" Id="rId458" /><Relationship Type="http://schemas.openxmlformats.org/officeDocument/2006/relationships/hyperlink" Target="https://drive.google.com/uc?export=view&amp;id=1hFuIe5s4kv3giJvjnqpYsfEFWjQnaDJQ" TargetMode="External" Id="rId459" /><Relationship Type="http://schemas.openxmlformats.org/officeDocument/2006/relationships/hyperlink" Target="http://norvalid.com/" TargetMode="External" Id="rId460" /><Relationship Type="http://schemas.openxmlformats.org/officeDocument/2006/relationships/hyperlink" Target="https://www.linkedin.com/company/norvalid" TargetMode="External" Id="rId461" /><Relationship Type="http://schemas.openxmlformats.org/officeDocument/2006/relationships/hyperlink" Target="https://drive.google.com/uc?export=view&amp;id=1Vh_Z8wEcwUfwTPbw42UwagWxZds8m0Y5" TargetMode="External" Id="rId462" /><Relationship Type="http://schemas.openxmlformats.org/officeDocument/2006/relationships/hyperlink" Target="https://www.compilatio.net/en" TargetMode="External" Id="rId463" /><Relationship Type="http://schemas.openxmlformats.org/officeDocument/2006/relationships/hyperlink" Target="https://fr.linkedin.com/company/compilatio" TargetMode="External" Id="rId464" /><Relationship Type="http://schemas.openxmlformats.org/officeDocument/2006/relationships/hyperlink" Target="https://drive.google.com/uc?export=view&amp;id=15ucyQppAtJC6hfnUmxbiWYqUUMQhp7lX" TargetMode="External" Id="rId465" /><Relationship Type="http://schemas.openxmlformats.org/officeDocument/2006/relationships/hyperlink" Target="https://www.facebook.com/compilatio.net/" TargetMode="External" Id="rId466" /><Relationship Type="http://schemas.openxmlformats.org/officeDocument/2006/relationships/hyperlink" Target="http://www.brainly.com/" TargetMode="External" Id="rId467" /><Relationship Type="http://schemas.openxmlformats.org/officeDocument/2006/relationships/hyperlink" Target="https://www.instagram.com/brainly/" TargetMode="External" Id="rId468" /><Relationship Type="http://schemas.openxmlformats.org/officeDocument/2006/relationships/hyperlink" Target="https://www.linkedin.com/company/2745890/" TargetMode="External" Id="rId469" /><Relationship Type="http://schemas.openxmlformats.org/officeDocument/2006/relationships/hyperlink" Target="https://drive.google.com/uc?export=view&amp;id=1qXUu5h1k_3WHPILqs4OFCSn2Mp0bkYco" TargetMode="External" Id="rId470" /><Relationship Type="http://schemas.openxmlformats.org/officeDocument/2006/relationships/hyperlink" Target="https://www.facebook.com/search/top?q=brainly" TargetMode="External" Id="rId471" /><Relationship Type="http://schemas.openxmlformats.org/officeDocument/2006/relationships/hyperlink" Target="http://www.reslocate.net/" TargetMode="External" Id="rId472" /><Relationship Type="http://schemas.openxmlformats.org/officeDocument/2006/relationships/hyperlink" Target="https://www.instagram.com/reslocate" TargetMode="External" Id="rId473" /><Relationship Type="http://schemas.openxmlformats.org/officeDocument/2006/relationships/hyperlink" Target="https://www.linkedin.com/reslocate" TargetMode="External" Id="rId474" /><Relationship Type="http://schemas.openxmlformats.org/officeDocument/2006/relationships/hyperlink" Target="https://drive.google.com/uc?export=view&amp;id=1P7jGRj-Y-_sAB2roxONwjssLWMyol3Hj" TargetMode="External" Id="rId475" /><Relationship Type="http://schemas.openxmlformats.org/officeDocument/2006/relationships/hyperlink" Target="https://www.facebook.com/reslocate" TargetMode="External" Id="rId476" /><Relationship Type="http://schemas.openxmlformats.org/officeDocument/2006/relationships/hyperlink" Target="https://www.adaptemy.com/" TargetMode="External" Id="rId477" /><Relationship Type="http://schemas.openxmlformats.org/officeDocument/2006/relationships/hyperlink" Target="https://x.com/adaptemy" TargetMode="External" Id="rId478" /><Relationship Type="http://schemas.openxmlformats.org/officeDocument/2006/relationships/hyperlink" Target="https://www.linkedin.com/company/adaptemy/" TargetMode="External" Id="rId479" /><Relationship Type="http://schemas.openxmlformats.org/officeDocument/2006/relationships/hyperlink" Target="https://drive.google.com/uc?export=view&amp;id=1m8hIRAJERyB0cNSN6syn26vAd5IWz-63" TargetMode="External" Id="rId480" /><Relationship Type="http://schemas.openxmlformats.org/officeDocument/2006/relationships/hyperlink" Target="https://www.facebook.com/adaptemy/" TargetMode="External" Id="rId481" /><Relationship Type="http://schemas.openxmlformats.org/officeDocument/2006/relationships/hyperlink" Target="http://www.equalteaching.com/" TargetMode="External" Id="rId482" /><Relationship Type="http://schemas.openxmlformats.org/officeDocument/2006/relationships/hyperlink" Target="https://www.linkedin.com/company/equal-teaching/" TargetMode="External" Id="rId483" /><Relationship Type="http://schemas.openxmlformats.org/officeDocument/2006/relationships/hyperlink" Target="https://drive.google.com/uc?export=view&amp;id=1mlTvG2pEQ-RmmnF0Gk7pq18ExVrLG2X6" TargetMode="External" Id="rId484" /><Relationship Type="http://schemas.openxmlformats.org/officeDocument/2006/relationships/hyperlink" Target="http://www.finncaraconsulting.com/" TargetMode="External" Id="rId485" /><Relationship Type="http://schemas.openxmlformats.org/officeDocument/2006/relationships/hyperlink" Target="https://drive.google.com/uc?export=view&amp;id=151CotRLwUK6pHPzRr0mhHN_Ejw0uE0Ti" TargetMode="External" Id="rId486" /><Relationship Type="http://schemas.openxmlformats.org/officeDocument/2006/relationships/hyperlink" Target="https://www.inokufu.com/" TargetMode="External" Id="rId487" /><Relationship Type="http://schemas.openxmlformats.org/officeDocument/2006/relationships/hyperlink" Target="https://www.linkedin.com/company/inokufu/" TargetMode="External" Id="rId488" /><Relationship Type="http://schemas.openxmlformats.org/officeDocument/2006/relationships/hyperlink" Target="https://drive.google.com/uc?export=view&amp;id=1rdcHG-U7xI7377px4SMmXQmfmoFO6UyL" TargetMode="External" Id="rId489" /><Relationship Type="http://schemas.openxmlformats.org/officeDocument/2006/relationships/hyperlink" Target="http://wwwskoltavlan.nu/" TargetMode="External" Id="rId490" /><Relationship Type="http://schemas.openxmlformats.org/officeDocument/2006/relationships/hyperlink" Target="https://www.instagram.com/skoltavlan/" TargetMode="External" Id="rId491" /><Relationship Type="http://schemas.openxmlformats.org/officeDocument/2006/relationships/hyperlink" Target="https://www.linkedin.com/showcase/skoltavlan" TargetMode="External" Id="rId492" /><Relationship Type="http://schemas.openxmlformats.org/officeDocument/2006/relationships/hyperlink" Target="https://drive.google.com/uc?export=view&amp;id=1T-uX_D7vbGqPstxVZ2RiVPronZFMzlm4" TargetMode="External" Id="rId493" /><Relationship Type="http://schemas.openxmlformats.org/officeDocument/2006/relationships/hyperlink" Target="https://www.facebook.com/skoltavlan" TargetMode="External" Id="rId494" /><Relationship Type="http://schemas.openxmlformats.org/officeDocument/2006/relationships/hyperlink" Target="http://www.catwise.com/" TargetMode="External" Id="rId495" /><Relationship Type="http://schemas.openxmlformats.org/officeDocument/2006/relationships/hyperlink" Target="https://www.linkedin.com/company/catwise" TargetMode="External" Id="rId496" /><Relationship Type="http://schemas.openxmlformats.org/officeDocument/2006/relationships/hyperlink" Target="https://drive.google.com/uc?export=view&amp;id=1QPWmAK34ATuMRnhEhDPfWpWR8DDRZA68" TargetMode="External" Id="rId497" /><Relationship Type="http://schemas.openxmlformats.org/officeDocument/2006/relationships/hyperlink" Target="https://cases.media/" TargetMode="External" Id="rId498" /><Relationship Type="http://schemas.openxmlformats.org/officeDocument/2006/relationships/hyperlink" Target="https://www.linkedin.com/company/cases-media/" TargetMode="External" Id="rId499" /><Relationship Type="http://schemas.openxmlformats.org/officeDocument/2006/relationships/hyperlink" Target="https://drive.google.com/uc?export=view&amp;id=1CoxN7dVygrQI9IcXWJo2unPNl6ykmJwE" TargetMode="External" Id="rId500" /><Relationship Type="http://schemas.openxmlformats.org/officeDocument/2006/relationships/hyperlink" Target="http://www.tresipunt.com/" TargetMode="External" Id="rId501" /><Relationship Type="http://schemas.openxmlformats.org/officeDocument/2006/relationships/hyperlink" Target="https://www.linkedin.com/company/tresipunt" TargetMode="External" Id="rId502" /><Relationship Type="http://schemas.openxmlformats.org/officeDocument/2006/relationships/hyperlink" Target="https://drive.google.com/uc?export=view&amp;id=1fbl4Z7zEurlOTJGg_E1vzY_IFz5uHa7u" TargetMode="External" Id="rId503" /><Relationship Type="http://schemas.openxmlformats.org/officeDocument/2006/relationships/hyperlink" Target="https://www.polycular.com/" TargetMode="External" Id="rId504" /><Relationship Type="http://schemas.openxmlformats.org/officeDocument/2006/relationships/hyperlink" Target="https://www.linkedin.com/company/polycular" TargetMode="External" Id="rId505" /><Relationship Type="http://schemas.openxmlformats.org/officeDocument/2006/relationships/hyperlink" Target="https://drive.google.com/uc?export=view&amp;id=1GQS_qov5F8SYBniukGyJQp3JYUO17nK8" TargetMode="External" Id="rId506" /><Relationship Type="http://schemas.openxmlformats.org/officeDocument/2006/relationships/hyperlink" Target="http://learnlab.net/" TargetMode="External" Id="rId507" /><Relationship Type="http://schemas.openxmlformats.org/officeDocument/2006/relationships/hyperlink" Target="https://www.linkedin.com/company/17944144" TargetMode="External" Id="rId508" /><Relationship Type="http://schemas.openxmlformats.org/officeDocument/2006/relationships/hyperlink" Target="https://drive.google.com/uc?export=view&amp;id=1_ICx_y-PM3l1hmd-AdIzAExoL-WdR8f7" TargetMode="External" Id="rId509" /><Relationship Type="http://schemas.openxmlformats.org/officeDocument/2006/relationships/hyperlink" Target="https://www.facebook.com/learnlab1" TargetMode="External" Id="rId510" /><Relationship Type="http://schemas.openxmlformats.org/officeDocument/2006/relationships/hyperlink" Target="https://deutschfuchs.de/" TargetMode="External" Id="rId511" /><Relationship Type="http://schemas.openxmlformats.org/officeDocument/2006/relationships/hyperlink" Target="https://drive.google.com/uc?export=view&amp;id=1K-GsPexYYsXO-dcdm9M5Nuh5G0HXhzPY" TargetMode="External" Id="rId512" /><Relationship Type="http://schemas.openxmlformats.org/officeDocument/2006/relationships/hyperlink" Target="https://authot.com/" TargetMode="External" Id="rId513" /><Relationship Type="http://schemas.openxmlformats.org/officeDocument/2006/relationships/hyperlink" Target="https://www.linkedin.com/company/authot/" TargetMode="External" Id="rId514" /><Relationship Type="http://schemas.openxmlformats.org/officeDocument/2006/relationships/hyperlink" Target="https://drive.google.com/uc?export=view&amp;id=1rbMWHybJOUWJpEvO6hosVdOwXbbJ0tJN" TargetMode="External" Id="rId515" /><Relationship Type="http://schemas.openxmlformats.org/officeDocument/2006/relationships/hyperlink" Target="https://rlconsultora.com/" TargetMode="External" Id="rId516" /><Relationship Type="http://schemas.openxmlformats.org/officeDocument/2006/relationships/hyperlink" Target="http://www.linkedin.com/in/rlconsultoraedtech" TargetMode="External" Id="rId517" /><Relationship Type="http://schemas.openxmlformats.org/officeDocument/2006/relationships/hyperlink" Target="https://drive.google.com/uc?export=view&amp;id=12wUAwmxHqryTMkPS9f_ZsC5KYPkNKzwL" TargetMode="External" Id="rId518" /><Relationship Type="http://schemas.openxmlformats.org/officeDocument/2006/relationships/hyperlink" Target="https://redmenta.com/" TargetMode="External" Id="rId519" /><Relationship Type="http://schemas.openxmlformats.org/officeDocument/2006/relationships/hyperlink" Target="https://www.instagram.com/redmenta.ai" TargetMode="External" Id="rId520" /><Relationship Type="http://schemas.openxmlformats.org/officeDocument/2006/relationships/hyperlink" Target="https://www.linkedin.com/company/redmenta/" TargetMode="External" Id="rId521" /><Relationship Type="http://schemas.openxmlformats.org/officeDocument/2006/relationships/hyperlink" Target="https://drive.google.com/uc?export=view&amp;id=163XKtvUd1ku4CvTen-scXTDbynL0I3PF" TargetMode="External" Id="rId522" /><Relationship Type="http://schemas.openxmlformats.org/officeDocument/2006/relationships/hyperlink" Target="https://www.facebook.com/redmenta" TargetMode="External" Id="rId523" /><Relationship Type="http://schemas.openxmlformats.org/officeDocument/2006/relationships/hyperlink" Target="https://drive.google.com/uc?export=view&amp;id=1JgIYxzwQjcTfn3_gxYipeyiC67WVYKZe" TargetMode="External" Id="rId524" /><Relationship Type="http://schemas.openxmlformats.org/officeDocument/2006/relationships/hyperlink" Target="https://uqualio.com/" TargetMode="External" Id="rId525" /><Relationship Type="http://schemas.openxmlformats.org/officeDocument/2006/relationships/hyperlink" Target="https://www.instagram.com/uqualio/" TargetMode="External" Id="rId526" /><Relationship Type="http://schemas.openxmlformats.org/officeDocument/2006/relationships/hyperlink" Target="https://x.com/uqualio" TargetMode="External" Id="rId527" /><Relationship Type="http://schemas.openxmlformats.org/officeDocument/2006/relationships/hyperlink" Target="https://www.linkedin.com/company/uqualio/" TargetMode="External" Id="rId528" /><Relationship Type="http://schemas.openxmlformats.org/officeDocument/2006/relationships/hyperlink" Target="https://drive.google.com/uc?export=view&amp;id=1KeDm4xsql4-7StUrmUAHfRCtp5c-hLKO" TargetMode="External" Id="rId529" /><Relationship Type="http://schemas.openxmlformats.org/officeDocument/2006/relationships/hyperlink" Target="https://www.facebook.com/uqualio" TargetMode="External" Id="rId530" /><Relationship Type="http://schemas.openxmlformats.org/officeDocument/2006/relationships/hyperlink" Target="http://www.carlboel.be/" TargetMode="External" Id="rId531" /><Relationship Type="http://schemas.openxmlformats.org/officeDocument/2006/relationships/hyperlink" Target="https://www.linkedin.com/in/boelcarl/" TargetMode="External" Id="rId532" /><Relationship Type="http://schemas.openxmlformats.org/officeDocument/2006/relationships/hyperlink" Target="https://drive.google.com/uc?export=view&amp;id=1-WsN-PGvwbWhyzJoMc2G8O7AiEbJNWXZ" TargetMode="External" Id="rId533" /><Relationship Type="http://schemas.openxmlformats.org/officeDocument/2006/relationships/hyperlink" Target="http://www.goinconnect.com/" TargetMode="External" Id="rId534" /><Relationship Type="http://schemas.openxmlformats.org/officeDocument/2006/relationships/hyperlink" Target="https://www.linkedin.com/company/goinconnect/?viewAsMember=true" TargetMode="External" Id="rId535" /><Relationship Type="http://schemas.openxmlformats.org/officeDocument/2006/relationships/hyperlink" Target="https://drive.google.com/uc?export=view&amp;id=1FqSw1mnp4xJiofHRcMFB75HCr-FW9etj" TargetMode="External" Id="rId536" /><Relationship Type="http://schemas.openxmlformats.org/officeDocument/2006/relationships/hyperlink" Target="https://synap.ac/" TargetMode="External" Id="rId537" /><Relationship Type="http://schemas.openxmlformats.org/officeDocument/2006/relationships/hyperlink" Target="https://x.com/synap" TargetMode="External" Id="rId538" /><Relationship Type="http://schemas.openxmlformats.org/officeDocument/2006/relationships/hyperlink" Target="https://www.linkedin.com/company/synap-lms" TargetMode="External" Id="rId539" /><Relationship Type="http://schemas.openxmlformats.org/officeDocument/2006/relationships/hyperlink" Target="https://drive.google.com/uc?export=view&amp;id=18A5fbfNVXyIXMZpdyHAMZq3PTVfPNqBI" TargetMode="External" Id="rId540" /><Relationship Type="http://schemas.openxmlformats.org/officeDocument/2006/relationships/hyperlink" Target="https://anemon.co/" TargetMode="External" Id="rId541" /><Relationship Type="http://schemas.openxmlformats.org/officeDocument/2006/relationships/hyperlink" Target="https://fr.linkedin.com/company/withanemon" TargetMode="External" Id="rId542" /><Relationship Type="http://schemas.openxmlformats.org/officeDocument/2006/relationships/hyperlink" Target="https://drive.google.com/uc?export=view&amp;id=1vHeUFHnB7iAIMvUrZyZfNtJYuDWvSVEh" TargetMode="External" Id="rId543" /><Relationship Type="http://schemas.openxmlformats.org/officeDocument/2006/relationships/hyperlink" Target="http://youforget.me/" TargetMode="External" Id="rId544" /><Relationship Type="http://schemas.openxmlformats.org/officeDocument/2006/relationships/hyperlink" Target="http://www.youforget.me/" TargetMode="External" Id="rId545" /><Relationship Type="http://schemas.openxmlformats.org/officeDocument/2006/relationships/hyperlink" Target="https://drive.google.com/uc?export=view&amp;id=13iZbo3W7k4QpTT6Pfn_tLRaJw0bfJetw" TargetMode="External" Id="rId546" /><Relationship Type="http://schemas.openxmlformats.org/officeDocument/2006/relationships/hyperlink" Target="http://www.forclassmates.com/" TargetMode="External" Id="rId547" /><Relationship Type="http://schemas.openxmlformats.org/officeDocument/2006/relationships/hyperlink" Target="https://www.linkedin.com/company/forclassmates/" TargetMode="External" Id="rId548" /><Relationship Type="http://schemas.openxmlformats.org/officeDocument/2006/relationships/hyperlink" Target="https://drive.google.com/uc?export=view&amp;id=1mx-bi5orSGvVOsKiUb4PC90Cetz3kLAA" TargetMode="External" Id="rId549" /><Relationship Type="http://schemas.openxmlformats.org/officeDocument/2006/relationships/hyperlink" Target="https://sainaptic.com/" TargetMode="External" Id="rId550" /><Relationship Type="http://schemas.openxmlformats.org/officeDocument/2006/relationships/hyperlink" Target="https://www.linkedin.com/company/67557578/admin/dashboard/" TargetMode="External" Id="rId551" /><Relationship Type="http://schemas.openxmlformats.org/officeDocument/2006/relationships/hyperlink" Target="https://drive.google.com/uc?export=view&amp;id=1DhzLDf5vKzaafQ1Fw2UTirhvvAMFFZwH" TargetMode="External" Id="rId552" /><Relationship Type="http://schemas.openxmlformats.org/officeDocument/2006/relationships/hyperlink" Target="http://www.amuze-interactive.com/" TargetMode="External" Id="rId553" /><Relationship Type="http://schemas.openxmlformats.org/officeDocument/2006/relationships/hyperlink" Target="https://drive.google.com/uc?export=view&amp;id=1ube_7AHS-tY4qdUVHBGVPnlcYDSr8wtd" TargetMode="External" Id="rId554" /><Relationship Type="http://schemas.openxmlformats.org/officeDocument/2006/relationships/hyperlink" Target="https://www.rosariosis.org/" TargetMode="External" Id="rId555" /><Relationship Type="http://schemas.openxmlformats.org/officeDocument/2006/relationships/hyperlink" Target="https://drive.google.com/uc?export=view&amp;id=1oT_Sl7MpAWvx9CMW5Dfi1C3ImWV1vQxE" TargetMode="External" Id="rId556" /><Relationship Type="http://schemas.openxmlformats.org/officeDocument/2006/relationships/hyperlink" Target="http://engineeringtrainer.com/" TargetMode="External" Id="rId557" /><Relationship Type="http://schemas.openxmlformats.org/officeDocument/2006/relationships/hyperlink" Target="https://www.linkedin.com/school/12648209/" TargetMode="External" Id="rId558" /><Relationship Type="http://schemas.openxmlformats.org/officeDocument/2006/relationships/hyperlink" Target="https://drive.google.com/uc?export=view&amp;id=1DQCRe50KhT1Ss5FT4WOBWLQR5vA54yFa" TargetMode="External" Id="rId559" /><Relationship Type="http://schemas.openxmlformats.org/officeDocument/2006/relationships/hyperlink" Target="https://ste.education/" TargetMode="External" Id="rId560" /><Relationship Type="http://schemas.openxmlformats.org/officeDocument/2006/relationships/hyperlink" Target="https://www.instagram.com/ste.education/" TargetMode="External" Id="rId561" /><Relationship Type="http://schemas.openxmlformats.org/officeDocument/2006/relationships/hyperlink" Target="https://drive.google.com/uc?export=view&amp;id=1xEAsOt6AHQJZtbzgNlddHPdsoOtOgWtT" TargetMode="External" Id="rId562" /><Relationship Type="http://schemas.openxmlformats.org/officeDocument/2006/relationships/hyperlink" Target="https://www.facebook.com/science.technology.engineering.education/" TargetMode="External" Id="rId563" /><Relationship Type="http://schemas.openxmlformats.org/officeDocument/2006/relationships/hyperlink" Target="http://steamprogramedu.com/" TargetMode="External" Id="rId564" /><Relationship Type="http://schemas.openxmlformats.org/officeDocument/2006/relationships/hyperlink" Target="https://drive.google.com/uc?export=view&amp;id=1vnkWDnS-70JVOMoBWh2U5DdmcIifoNhq" TargetMode="External" Id="rId565" /><Relationship Type="http://schemas.openxmlformats.org/officeDocument/2006/relationships/hyperlink" Target="https://www.facebook.com/profile.php?id=100063712953645" TargetMode="External" Id="rId566" /><Relationship Type="http://schemas.openxmlformats.org/officeDocument/2006/relationships/hyperlink" Target="https://onspect.nl/" TargetMode="External" Id="rId567" /><Relationship Type="http://schemas.openxmlformats.org/officeDocument/2006/relationships/hyperlink" Target="https://www.linkedin.com/company/onspect" TargetMode="External" Id="rId568" /><Relationship Type="http://schemas.openxmlformats.org/officeDocument/2006/relationships/hyperlink" Target="https://drive.google.com/uc?export=view&amp;id=1AU0NzWzHHkGRM43EKQg_qELwdJ8MHZPI" TargetMode="External" Id="rId569" /><Relationship Type="http://schemas.openxmlformats.org/officeDocument/2006/relationships/hyperlink" Target="http://www.lbq.org/" TargetMode="External" Id="rId570" /><Relationship Type="http://schemas.openxmlformats.org/officeDocument/2006/relationships/hyperlink" Target="https://x.com/lbqorg" TargetMode="External" Id="rId571" /><Relationship Type="http://schemas.openxmlformats.org/officeDocument/2006/relationships/hyperlink" Target="https://www.linkedin.com/company/learning-by-questions" TargetMode="External" Id="rId572" /><Relationship Type="http://schemas.openxmlformats.org/officeDocument/2006/relationships/hyperlink" Target="https://drive.google.com/uc?export=view&amp;id=1c2EyY9L3T6lky5RkyKEeD-hrPUtVf4c0" TargetMode="External" Id="rId573" /><Relationship Type="http://schemas.openxmlformats.org/officeDocument/2006/relationships/hyperlink" Target="https://www.facebook.com/LearningbyQuestions" TargetMode="External" Id="rId574" /><Relationship Type="http://schemas.openxmlformats.org/officeDocument/2006/relationships/hyperlink" Target="http://www.desku.fi/" TargetMode="External" Id="rId575" /><Relationship Type="http://schemas.openxmlformats.org/officeDocument/2006/relationships/hyperlink" Target="https://www.linkedin.com/company/opentunti-oy" TargetMode="External" Id="rId576" /><Relationship Type="http://schemas.openxmlformats.org/officeDocument/2006/relationships/hyperlink" Target="https://co-gito.coml/" TargetMode="External" Id="rId577" /><Relationship Type="http://schemas.openxmlformats.org/officeDocument/2006/relationships/hyperlink" Target="https://www.linkedin.com/company/co-gito" TargetMode="External" Id="rId578" /><Relationship Type="http://schemas.openxmlformats.org/officeDocument/2006/relationships/hyperlink" Target="https://drive.google.com/uc?export=view&amp;id=11YmoB_x8Xh0TbjPHSoRb664nIXO_Ur9S" TargetMode="External" Id="rId579" /><Relationship Type="http://schemas.openxmlformats.org/officeDocument/2006/relationships/hyperlink" Target="https://www.pomelabs.com/" TargetMode="External" Id="rId580" /><Relationship Type="http://schemas.openxmlformats.org/officeDocument/2006/relationships/hyperlink" Target="https://www.instagram.com/pome.labs/" TargetMode="External" Id="rId581" /><Relationship Type="http://schemas.openxmlformats.org/officeDocument/2006/relationships/hyperlink" Target="https://www.linkedin.com/company/pomelabs" TargetMode="External" Id="rId582" /><Relationship Type="http://schemas.openxmlformats.org/officeDocument/2006/relationships/hyperlink" Target="https://drive.google.com/uc?export=view&amp;id=1jTenh2OnHwPh3-xtOXPYNR2LStGOerQV" TargetMode="External" Id="rId583" /><Relationship Type="http://schemas.openxmlformats.org/officeDocument/2006/relationships/hyperlink" Target="https://www.linkedin.com/company/1000i" TargetMode="External" Id="rId584" /><Relationship Type="http://schemas.openxmlformats.org/officeDocument/2006/relationships/hyperlink" Target="http://www.edisconet.com/" TargetMode="External" Id="rId585" /><Relationship Type="http://schemas.openxmlformats.org/officeDocument/2006/relationships/hyperlink" Target="https://www.linkedin.com/company/edisconet/" TargetMode="External" Id="rId586" /><Relationship Type="http://schemas.openxmlformats.org/officeDocument/2006/relationships/hyperlink" Target="https://zicklearn.com/" TargetMode="External" Id="rId587" /><Relationship Type="http://schemas.openxmlformats.org/officeDocument/2006/relationships/hyperlink" Target="https://www.linkedin.com/company/zick" TargetMode="External" Id="rId588" /><Relationship Type="http://schemas.openxmlformats.org/officeDocument/2006/relationships/hyperlink" Target="http://www.classroomscreen.com/" TargetMode="External" Id="rId589" /><Relationship Type="http://schemas.openxmlformats.org/officeDocument/2006/relationships/hyperlink" Target="https://www.linkedin.com/company/classroomscreen/" TargetMode="External" Id="rId590" /><Relationship Type="http://schemas.openxmlformats.org/officeDocument/2006/relationships/hyperlink" Target="https://edusign.com/" TargetMode="External" Id="rId591" /><Relationship Type="http://schemas.openxmlformats.org/officeDocument/2006/relationships/hyperlink" Target="https://www.linkedin.com/company/edusign/" TargetMode="External" Id="rId592" /><Relationship Type="http://schemas.openxmlformats.org/officeDocument/2006/relationships/hyperlink" Target="https://www.linkedin.com/company/persona" TargetMode="External" Id="rId593" /><Relationship Type="http://schemas.openxmlformats.org/officeDocument/2006/relationships/hyperlink" Target="https://www.facebook.com/personalifeskills" TargetMode="External" Id="rId594" /><Relationship Type="http://schemas.openxmlformats.org/officeDocument/2006/relationships/hyperlink" Target="http://elever.ch/" TargetMode="External" Id="rId595" /><Relationship Type="http://schemas.openxmlformats.org/officeDocument/2006/relationships/hyperlink" Target="https://www.linkedin.com/company/elever" TargetMode="External" Id="rId596" /><Relationship Type="http://schemas.openxmlformats.org/officeDocument/2006/relationships/hyperlink" Target="https://www.collaborationlaboratory.com/" TargetMode="External" Id="rId597" /><Relationship Type="http://schemas.openxmlformats.org/officeDocument/2006/relationships/hyperlink" Target="https://www.instagram.com/colab_global_/" TargetMode="External" Id="rId598" /><Relationship Type="http://schemas.openxmlformats.org/officeDocument/2006/relationships/hyperlink" Target="https://www.linkedin.com/company/collaboration" TargetMode="External" Id="rId599" /><Relationship Type="http://schemas.openxmlformats.org/officeDocument/2006/relationships/hyperlink" Target="http://ilorobot.com/" TargetMode="External" Id="rId600" /><Relationship Type="http://schemas.openxmlformats.org/officeDocument/2006/relationships/hyperlink" Target="https://www.linkedin.com/company/ilorobot/" TargetMode="External" Id="rId601" /><Relationship Type="http://schemas.openxmlformats.org/officeDocument/2006/relationships/hyperlink" Target="https://www.aiuc.se/" TargetMode="External" Id="rId602" /><Relationship Type="http://schemas.openxmlformats.org/officeDocument/2006/relationships/hyperlink" Target="http://linkedin.com/company/aiucse" TargetMode="External" Id="rId603" /><Relationship Type="http://schemas.openxmlformats.org/officeDocument/2006/relationships/hyperlink" Target="https://about.edumus.org/" TargetMode="External" Id="rId604" /><Relationship Type="http://schemas.openxmlformats.org/officeDocument/2006/relationships/hyperlink" Target="http://www.epistemes-formation.fr/" TargetMode="External" Id="rId605" /><Relationship Type="http://schemas.openxmlformats.org/officeDocument/2006/relationships/hyperlink" Target="https://www.linkedin.com/company/episteme" TargetMode="External" Id="rId606" /><Relationship Type="http://schemas.openxmlformats.org/officeDocument/2006/relationships/hyperlink" Target="http://www.wiris.com/" TargetMode="External" Id="rId607" /><Relationship Type="http://schemas.openxmlformats.org/officeDocument/2006/relationships/hyperlink" Target="https://www.linkedin.com/company/maths" TargetMode="External" Id="rId608" /><Relationship Type="http://schemas.openxmlformats.org/officeDocument/2006/relationships/hyperlink" Target="http://www.memorylab.nl/" TargetMode="External" Id="rId609" /><Relationship Type="http://schemas.openxmlformats.org/officeDocument/2006/relationships/hyperlink" Target="https://eindexamensite.nl/" TargetMode="External" Id="rId610" /><Relationship Type="http://schemas.openxmlformats.org/officeDocument/2006/relationships/hyperlink" Target="https://www.linkedin.com/company/eindexamensite/" TargetMode="External" Id="rId611" /><Relationship Type="http://schemas.openxmlformats.org/officeDocument/2006/relationships/hyperlink" Target="http://exoclass.io/" TargetMode="External" Id="rId612" /><Relationship Type="http://schemas.openxmlformats.org/officeDocument/2006/relationships/hyperlink" Target="https://www.instagram.com/exoclass_com/" TargetMode="External" Id="rId613" /><Relationship Type="http://schemas.openxmlformats.org/officeDocument/2006/relationships/hyperlink" Target="https://www.linkedin.com/company/exoclass" TargetMode="External" Id="rId614" /><Relationship Type="http://schemas.openxmlformats.org/officeDocument/2006/relationships/hyperlink" Target="http://www.01edu.ai/" TargetMode="External" Id="rId615" /><Relationship Type="http://schemas.openxmlformats.org/officeDocument/2006/relationships/hyperlink" Target="https://www.linkedin.com/company/01edu/posts/?feedView=all" TargetMode="External" Id="rId616" /><Relationship Type="http://schemas.openxmlformats.org/officeDocument/2006/relationships/hyperlink" Target="https://slonig.org/" TargetMode="External" Id="rId617" /><Relationship Type="http://schemas.openxmlformats.org/officeDocument/2006/relationships/hyperlink" Target="https://zimsalabim.webflow.io/" TargetMode="External" Id="rId618" /><Relationship Type="http://schemas.openxmlformats.org/officeDocument/2006/relationships/hyperlink" Target="https://www.linkedin.com/in/karel" TargetMode="External" Id="rId619" /><Relationship Type="http://schemas.openxmlformats.org/officeDocument/2006/relationships/hyperlink" Target="https://dfe.org.ua/" TargetMode="External" Id="rId620" /><Relationship Type="http://schemas.openxmlformats.org/officeDocument/2006/relationships/hyperlink" Target="https://www.linkedin.com/in/nataliya" TargetMode="External" Id="rId621" /><Relationship Type="http://schemas.openxmlformats.org/officeDocument/2006/relationships/hyperlink" Target="https://gioschool.com/" TargetMode="External" Id="rId622" /><Relationship Type="http://schemas.openxmlformats.org/officeDocument/2006/relationships/hyperlink" Target="https://www.linkedin.com/company/gios" TargetMode="External" Id="rId623" /><Relationship Type="http://schemas.openxmlformats.org/officeDocument/2006/relationships/hyperlink" Target="https://www.facebook.com/GIOS.school" TargetMode="External" Id="rId624" /><Relationship Type="http://schemas.openxmlformats.org/officeDocument/2006/relationships/hyperlink" Target="http://betterstudy.ch/" TargetMode="External" Id="rId625" /><Relationship Type="http://schemas.openxmlformats.org/officeDocument/2006/relationships/hyperlink" Target="https://www.susydiario.it/" TargetMode="External" Id="rId626" /><Relationship Type="http://schemas.openxmlformats.org/officeDocument/2006/relationships/hyperlink" Target="http://www.fedu.ai/" TargetMode="External" Id="rId627" /><Relationship Type="http://schemas.openxmlformats.org/officeDocument/2006/relationships/hyperlink" Target="https://www.linkedin.com/company/mentalup" TargetMode="External" Id="rId628" /><Relationship Type="http://schemas.openxmlformats.org/officeDocument/2006/relationships/hyperlink" Target="http://www.fortissimo.education/en" TargetMode="External" Id="rId629" /><Relationship Type="http://schemas.openxmlformats.org/officeDocument/2006/relationships/hyperlink" Target="https://www.instagram.com/fortissimo.education" TargetMode="External" Id="rId630" /><Relationship Type="http://schemas.openxmlformats.org/officeDocument/2006/relationships/hyperlink" Target="https://www.linkedin.com/company/fortissimo" TargetMode="External" Id="rId631" /><Relationship Type="http://schemas.openxmlformats.org/officeDocument/2006/relationships/hyperlink" Target="https://www.facebook.com/p/Fortissimo" TargetMode="External" Id="rId632" /><Relationship Type="http://schemas.openxmlformats.org/officeDocument/2006/relationships/hyperlink" Target="http://www.educacode.com/" TargetMode="External" Id="rId633" /><Relationship Type="http://schemas.openxmlformats.org/officeDocument/2006/relationships/hyperlink" Target="https://www.linkedin.com/company/educacode" TargetMode="External" Id="rId634" /><Relationship Type="http://schemas.openxmlformats.org/officeDocument/2006/relationships/hyperlink" Target="http://www.quizzability.com/" TargetMode="External" Id="rId635" /><Relationship Type="http://schemas.openxmlformats.org/officeDocument/2006/relationships/hyperlink" Target="https://pt.linkedin.com/company/quizzability" TargetMode="External" Id="rId636" /><Relationship Type="http://schemas.openxmlformats.org/officeDocument/2006/relationships/hyperlink" Target="https://tgi-platform.com/" TargetMode="External" Id="rId637" /><Relationship Type="http://schemas.openxmlformats.org/officeDocument/2006/relationships/hyperlink" Target="https://www.linkedin.com/in/valya" TargetMode="External" Id="rId638" /><Relationship Type="http://schemas.openxmlformats.org/officeDocument/2006/relationships/hyperlink" Target="https://widid.fr/" TargetMode="External" Id="rId639" /><Relationship Type="http://schemas.openxmlformats.org/officeDocument/2006/relationships/hyperlink" Target="https://www.linkedin.com/company/11763645/" TargetMode="External" Id="rId640" /><Relationship Type="http://schemas.openxmlformats.org/officeDocument/2006/relationships/hyperlink" Target="https://www.facebook.com/TraiNex24" TargetMode="External" Id="rId641" /><Relationship Type="http://schemas.openxmlformats.org/officeDocument/2006/relationships/hyperlink" Target="https://www.ode.systems/" TargetMode="External" Id="rId642" /><Relationship Type="http://schemas.openxmlformats.org/officeDocument/2006/relationships/hyperlink" Target="https://www.linkedin.com/company/odeeasychoice/" TargetMode="External" Id="rId643" /><Relationship Type="http://schemas.openxmlformats.org/officeDocument/2006/relationships/hyperlink" Target="https://www.facebook.com/ODE.systems" TargetMode="External" Id="rId644" /><Relationship Type="http://schemas.openxmlformats.org/officeDocument/2006/relationships/hyperlink" Target="http://unicef.org/" TargetMode="External" Id="rId645" /><Relationship Type="http://schemas.openxmlformats.org/officeDocument/2006/relationships/hyperlink" Target="http://mathscircle.com/" TargetMode="External" Id="rId646" /><Relationship Type="http://schemas.openxmlformats.org/officeDocument/2006/relationships/hyperlink" Target="http://quikwise.ai/" TargetMode="External" Id="rId647" /><Relationship Type="http://schemas.openxmlformats.org/officeDocument/2006/relationships/hyperlink" Target="https://www.instagram.com/quikwise.ai" TargetMode="External" Id="rId648" /><Relationship Type="http://schemas.openxmlformats.org/officeDocument/2006/relationships/hyperlink" Target="https://www.facebook.com/quikwise" TargetMode="External" Id="rId649" /><Relationship Type="http://schemas.openxmlformats.org/officeDocument/2006/relationships/hyperlink" Target="http://www.analytikus.com/" TargetMode="External" Id="rId650" /><Relationship Type="http://schemas.openxmlformats.org/officeDocument/2006/relationships/hyperlink" Target="https://www.linkedin.com/company/analytikus/" TargetMode="External" Id="rId651" /><Relationship Type="http://schemas.openxmlformats.org/officeDocument/2006/relationships/hyperlink" Target="http://corolair.com/" TargetMode="External" Id="rId652" /><Relationship Type="http://schemas.openxmlformats.org/officeDocument/2006/relationships/hyperlink" Target="http://www.brightbook.io/" TargetMode="External" Id="rId653" /><Relationship Type="http://schemas.openxmlformats.org/officeDocument/2006/relationships/hyperlink" Target="https://www.linkedin.com/company/86933752/admin/dashboard/" TargetMode="External" Id="rId654" /><Relationship Type="http://schemas.openxmlformats.org/officeDocument/2006/relationships/hyperlink" Target="https://www.facebook.com/p/Brightbook" TargetMode="External" Id="rId655" /><Relationship Type="http://schemas.openxmlformats.org/officeDocument/2006/relationships/hyperlink" Target="https://wellbased.nl/" TargetMode="External" Id="rId656" /><Relationship Type="http://schemas.openxmlformats.org/officeDocument/2006/relationships/hyperlink" Target="https://beeznest.com/" TargetMode="External" Id="rId657" /><Relationship Type="http://schemas.openxmlformats.org/officeDocument/2006/relationships/hyperlink" Target="https://www.linkedin.com/company/206029/" TargetMode="External" Id="rId658" /><Relationship Type="http://schemas.openxmlformats.org/officeDocument/2006/relationships/hyperlink" Target="http://morphoses.io/" TargetMode="External" Id="rId659" /><Relationship Type="http://schemas.openxmlformats.org/officeDocument/2006/relationships/hyperlink" Target="https://www.linkedin.com/company/74557040" TargetMode="External" Id="rId660" /><Relationship Type="http://schemas.openxmlformats.org/officeDocument/2006/relationships/hyperlink" Target="https://singularity-experts.com/en/" TargetMode="External" Id="rId661" /><Relationship Type="http://schemas.openxmlformats.org/officeDocument/2006/relationships/hyperlink" Target="https://www.linkedin.com/company/singularity" TargetMode="External" Id="rId662" /><Relationship Type="http://schemas.openxmlformats.org/officeDocument/2006/relationships/hyperlink" Target="https://www.snackson.com/" TargetMode="External" Id="rId663" /><Relationship Type="http://schemas.openxmlformats.org/officeDocument/2006/relationships/hyperlink" Target="https://www.linkedin.com/company/snackson/" TargetMode="External" Id="rId664" /><Relationship Type="http://schemas.openxmlformats.org/officeDocument/2006/relationships/hyperlink" Target="http://www.academicsoftware.com/" TargetMode="External" Id="rId665" /><Relationship Type="http://schemas.openxmlformats.org/officeDocument/2006/relationships/hyperlink" Target="http://www.linkedin.com/company/academic" TargetMode="External" Id="rId666" /><Relationship Type="http://schemas.openxmlformats.org/officeDocument/2006/relationships/hyperlink" Target="http://www.eduintel.io/" TargetMode="External" Id="rId667" /><Relationship Type="http://schemas.openxmlformats.org/officeDocument/2006/relationships/hyperlink" Target="http://unowhy.com/" TargetMode="External" Id="rId668" /><Relationship Type="http://schemas.openxmlformats.org/officeDocument/2006/relationships/hyperlink" Target="https://global.exatech-group.com/" TargetMode="External" Id="rId669" /><Relationship Type="http://schemas.openxmlformats.org/officeDocument/2006/relationships/hyperlink" Target="https://x.com/exatechgroup;" TargetMode="External" Id="rId670" /><Relationship Type="http://schemas.openxmlformats.org/officeDocument/2006/relationships/hyperlink" Target="https://fr.linkedin.com/company/exatech" TargetMode="External" Id="rId671" /><Relationship Type="http://schemas.openxmlformats.org/officeDocument/2006/relationships/hyperlink" Target="http://lanterna.com/" TargetMode="External" Id="rId672" /><Relationship Type="http://schemas.openxmlformats.org/officeDocument/2006/relationships/hyperlink" Target="https://www.linkedin.com/company/1227848" TargetMode="External" Id="rId673" /><Relationship Type="http://schemas.openxmlformats.org/officeDocument/2006/relationships/hyperlink" Target="https://www.tempusinfo.se/" TargetMode="External" Id="rId674" /><Relationship Type="http://schemas.openxmlformats.org/officeDocument/2006/relationships/hyperlink" Target="https://www.instagram.com/tempus_information_systems_ab/" TargetMode="External" Id="rId675" /><Relationship Type="http://schemas.openxmlformats.org/officeDocument/2006/relationships/hyperlink" Target="https://www.linkedin.com/company/tempus" TargetMode="External" Id="rId676" /><Relationship Type="http://schemas.openxmlformats.org/officeDocument/2006/relationships/hyperlink" Target="https://www.facebook.com/tempusinfo/" TargetMode="External" Id="rId677" /><Relationship Type="http://schemas.openxmlformats.org/officeDocument/2006/relationships/hyperlink" Target="http://www.myfaba.com/" TargetMode="External" Id="rId678" /><Relationship Type="http://schemas.openxmlformats.org/officeDocument/2006/relationships/hyperlink" Target="https://www.linkedin.com/company/faba" TargetMode="External" Id="rId679" /><Relationship Type="http://schemas.openxmlformats.org/officeDocument/2006/relationships/hyperlink" Target="http://www.reteach.com/" TargetMode="External" Id="rId680" /><Relationship Type="http://schemas.openxmlformats.org/officeDocument/2006/relationships/hyperlink" Target="https://alec-edu.com/" TargetMode="External" Id="rId681" /><Relationship Type="http://schemas.openxmlformats.org/officeDocument/2006/relationships/hyperlink" Target="http://algebrakit.com/" TargetMode="External" Id="rId682" /><Relationship Type="http://schemas.openxmlformats.org/officeDocument/2006/relationships/hyperlink" Target="https://www.linkedin.com/company/algebrakit" TargetMode="External" Id="rId683" /><Relationship Type="http://schemas.openxmlformats.org/officeDocument/2006/relationships/hyperlink" Target="http://www.maxbrain.com/" TargetMode="External" Id="rId684" /><Relationship Type="http://schemas.openxmlformats.org/officeDocument/2006/relationships/hyperlink" Target="https://www.linkedin.com/company/maxbrain" TargetMode="External" Id="rId685" /><Relationship Type="http://schemas.openxmlformats.org/officeDocument/2006/relationships/hyperlink" Target="http://kiwix.org/" TargetMode="External" Id="rId686" /><Relationship Type="http://schemas.openxmlformats.org/officeDocument/2006/relationships/hyperlink" Target="https://www.linkedin.com/company/kiwixoffline" TargetMode="External" Id="rId687" /><Relationship Type="http://schemas.openxmlformats.org/officeDocument/2006/relationships/hyperlink" Target="https://lutz.education/" TargetMode="External" Id="rId688" /><Relationship Type="http://schemas.openxmlformats.org/officeDocument/2006/relationships/hyperlink" Target="https://www.linkedin.com/company/lutz" TargetMode="External" Id="rId689" /><Relationship Type="http://schemas.openxmlformats.org/officeDocument/2006/relationships/hyperlink" Target="http://www.learningstone.com/" TargetMode="External" Id="rId690" /><Relationship Type="http://schemas.openxmlformats.org/officeDocument/2006/relationships/hyperlink" Target="https://www.linkedin.com/company/learningstone" TargetMode="External" Id="rId691" /><Relationship Type="http://schemas.openxmlformats.org/officeDocument/2006/relationships/hyperlink" Target="http://www.edunexis.com/" TargetMode="External" Id="rId692" /><Relationship Type="http://schemas.openxmlformats.org/officeDocument/2006/relationships/hyperlink" Target="https://cards-microlearning.com/" TargetMode="External" Id="rId693" /><Relationship Type="http://schemas.openxmlformats.org/officeDocument/2006/relationships/hyperlink" Target="https://www.linkedin.com/company/cards" TargetMode="External" Id="rId694" /><Relationship Type="http://schemas.openxmlformats.org/officeDocument/2006/relationships/hyperlink" Target="http://www.readmio.com/" TargetMode="External" Id="rId695" /><Relationship Type="http://schemas.openxmlformats.org/officeDocument/2006/relationships/hyperlink" Target="https://www.linkedin.com/company/42912604/admin/dashboard/" TargetMode="External" Id="rId696" /><Relationship Type="http://schemas.openxmlformats.org/officeDocument/2006/relationships/hyperlink" Target="https://humanaitech.com/" TargetMode="External" Id="rId697" /><Relationship Type="http://schemas.openxmlformats.org/officeDocument/2006/relationships/hyperlink" Target="https://www.instagram.com/humanai_tech/" TargetMode="External" Id="rId698" /><Relationship Type="http://schemas.openxmlformats.org/officeDocument/2006/relationships/hyperlink" Target="https://www.linkedin.com/company/aplicaciones" TargetMode="External" Id="rId699" /><Relationship Type="http://schemas.openxmlformats.org/officeDocument/2006/relationships/hyperlink" Target="https://onebonsai.com/" TargetMode="External" Id="rId700" /><Relationship Type="http://schemas.openxmlformats.org/officeDocument/2006/relationships/hyperlink" Target="https://www.linkedin.com/company/onebonsai" TargetMode="External" Id="rId701" /><Relationship Type="http://schemas.openxmlformats.org/officeDocument/2006/relationships/hyperlink" Target="https://business.metalearnapps.com/" TargetMode="External" Id="rId702" /><Relationship Type="http://schemas.openxmlformats.org/officeDocument/2006/relationships/hyperlink" Target="https://www.linkedin.com/company/meta" TargetMode="External" Id="rId703" /><Relationship Type="http://schemas.openxmlformats.org/officeDocument/2006/relationships/hyperlink" Target="https://www.schubu.org/" TargetMode="External" Id="rId704" /><Relationship Type="http://schemas.openxmlformats.org/officeDocument/2006/relationships/hyperlink" Target="https://at.linkedin.com/company/schubuwien" TargetMode="External" Id="rId705" /><Relationship Type="http://schemas.openxmlformats.org/officeDocument/2006/relationships/hyperlink" Target="https://www.kwizie.ai/" TargetMode="External" Id="rId706" /><Relationship Type="http://schemas.openxmlformats.org/officeDocument/2006/relationships/hyperlink" Target="https://www.linkedin.com/company/kwizie/" TargetMode="External" Id="rId707" /><Relationship Type="http://schemas.openxmlformats.org/officeDocument/2006/relationships/hyperlink" Target="https://scenesnap.co/" TargetMode="External" Id="rId708" /><Relationship Type="http://schemas.openxmlformats.org/officeDocument/2006/relationships/hyperlink" Target="https://www.linkedin.com/company/scenesnap/" TargetMode="External" Id="rId709" /><Relationship Type="http://schemas.openxmlformats.org/officeDocument/2006/relationships/hyperlink" Target="http://www.edchild.com/" TargetMode="External" Id="rId710" /><Relationship Type="http://schemas.openxmlformats.org/officeDocument/2006/relationships/hyperlink" Target="https://www.facebook.com/edChildECEAcademy" TargetMode="External" Id="rId711" /><Relationship Type="http://schemas.openxmlformats.org/officeDocument/2006/relationships/hyperlink" Target="https://yournextconcepts.com/" TargetMode="External" Id="rId712" /><Relationship Type="http://schemas.openxmlformats.org/officeDocument/2006/relationships/hyperlink" Target="https://www.linkedin.com/company/yournextconcepts/" TargetMode="External" Id="rId713" /><Relationship Type="http://schemas.openxmlformats.org/officeDocument/2006/relationships/hyperlink" Target="https://redox-interactive.com/" TargetMode="External" Id="rId714" /><Relationship Type="http://schemas.openxmlformats.org/officeDocument/2006/relationships/hyperlink" Target="http://uglyducklinggames.com/" TargetMode="External" Id="rId715" /><Relationship Type="http://schemas.openxmlformats.org/officeDocument/2006/relationships/hyperlink" Target="https://www.linkedin.com/company/uglyducklinggames/" TargetMode="External" Id="rId716" /><Relationship Type="http://schemas.openxmlformats.org/officeDocument/2006/relationships/hyperlink" Target="https://epaportfolio.com/" TargetMode="External" Id="rId717" /><Relationship Type="http://schemas.openxmlformats.org/officeDocument/2006/relationships/hyperlink" Target="https://www.linkedin.com/showcase/epa" TargetMode="External" Id="rId718" /><Relationship Type="http://schemas.openxmlformats.org/officeDocument/2006/relationships/hyperlink" Target="https://braingaze.com/" TargetMode="External" Id="rId719" /><Relationship Type="http://schemas.openxmlformats.org/officeDocument/2006/relationships/hyperlink" Target="https://www.linkedin.com/company/braingaze" TargetMode="External" Id="rId720" /><Relationship Type="http://schemas.openxmlformats.org/officeDocument/2006/relationships/hyperlink" Target="https://www.edruptiva.org/" TargetMode="External" Id="rId721" /><Relationship Type="http://schemas.openxmlformats.org/officeDocument/2006/relationships/hyperlink" Target="https://www.linkedin.com/company/edruptiva/" TargetMode="External" Id="rId722" /><Relationship Type="http://schemas.openxmlformats.org/officeDocument/2006/relationships/hyperlink" Target="https://www.fluxlearning.net/" TargetMode="External" Id="rId723" /><Relationship Type="http://schemas.openxmlformats.org/officeDocument/2006/relationships/hyperlink" Target="https://www.linkedin.com/company/13041153/" TargetMode="External" Id="rId724" /><Relationship Type="http://schemas.openxmlformats.org/officeDocument/2006/relationships/hyperlink" Target="https://www.habitatlearn.com/" TargetMode="External" Id="rId725" /><Relationship Type="http://schemas.openxmlformats.org/officeDocument/2006/relationships/hyperlink" Target="https://www.linkedin.com/in/habitatlearn/" TargetMode="External" Id="rId726" /><Relationship Type="http://schemas.openxmlformats.org/officeDocument/2006/relationships/hyperlink" Target="http://www.conexus.no/" TargetMode="External" Id="rId727" /><Relationship Type="http://schemas.openxmlformats.org/officeDocument/2006/relationships/hyperlink" Target="http://www.robotech.si/" TargetMode="External" Id="rId728" /><Relationship Type="http://schemas.openxmlformats.org/officeDocument/2006/relationships/hyperlink" Target="https://www.linkedin.com/in/obucek/" TargetMode="External" Id="rId729" /><Relationship Type="http://schemas.openxmlformats.org/officeDocument/2006/relationships/hyperlink" Target="http://www.greenscreenbox.eu/" TargetMode="External" Id="rId730" /><Relationship Type="http://schemas.openxmlformats.org/officeDocument/2006/relationships/hyperlink" Target="https://www.instagram.com/greenscreenbox/" TargetMode="External" Id="rId731" /><Relationship Type="http://schemas.openxmlformats.org/officeDocument/2006/relationships/hyperlink" Target="https://nl.linkedin.com/company/monop" TargetMode="External" Id="rId732" /><Relationship Type="http://schemas.openxmlformats.org/officeDocument/2006/relationships/hyperlink" Target="https://www.facebook.com/Greenscreenbox/" TargetMode="External" Id="rId733" /><Relationship Type="http://schemas.openxmlformats.org/officeDocument/2006/relationships/hyperlink" Target="https://happycode.pt/" TargetMode="External" Id="rId734" /><Relationship Type="http://schemas.openxmlformats.org/officeDocument/2006/relationships/hyperlink" Target="https://www.linkedin.com/company/happycodept/" TargetMode="External" Id="rId735" /><Relationship Type="http://schemas.openxmlformats.org/officeDocument/2006/relationships/hyperlink" Target="https://www.x2mobile.net/" TargetMode="External" Id="rId736" /><Relationship Type="http://schemas.openxmlformats.org/officeDocument/2006/relationships/hyperlink" Target="https://www.linkedin.com/company/x2mobile/" TargetMode="External" Id="rId737" /><Relationship Type="http://schemas.openxmlformats.org/officeDocument/2006/relationships/hyperlink" Target="http://www.skillgym.com/" TargetMode="External" Id="rId738" /><Relationship Type="http://schemas.openxmlformats.org/officeDocument/2006/relationships/hyperlink" Target="https://www.linkedin.com/company/skillgym/" TargetMode="External" Id="rId739" /><Relationship Type="http://schemas.openxmlformats.org/officeDocument/2006/relationships/hyperlink" Target="http://www.frontread.com/" TargetMode="External" Id="rId740" /><Relationship Type="http://schemas.openxmlformats.org/officeDocument/2006/relationships/hyperlink" Target="https://www.linkedin.com/company/5352422/admin/dashboard/" TargetMode="External" Id="rId741" /><Relationship Type="http://schemas.openxmlformats.org/officeDocument/2006/relationships/hyperlink" Target="https://www.levebee.com/" TargetMode="External" Id="rId742" /><Relationship Type="http://schemas.openxmlformats.org/officeDocument/2006/relationships/hyperlink" Target="https://x.com/levebeeapp" TargetMode="External" Id="rId743" /><Relationship Type="http://schemas.openxmlformats.org/officeDocument/2006/relationships/hyperlink" Target="https://discentis.it/" TargetMode="External" Id="rId744" /><Relationship Type="http://schemas.openxmlformats.org/officeDocument/2006/relationships/hyperlink" Target="https://www.instagram.com/discentis.it/" TargetMode="External" Id="rId745" /><Relationship Type="http://schemas.openxmlformats.org/officeDocument/2006/relationships/hyperlink" Target="https://www.linkedin.com/company/discentis/" TargetMode="External" Id="rId746" /><Relationship Type="http://schemas.openxmlformats.org/officeDocument/2006/relationships/hyperlink" Target="https://ecwt.eu/" TargetMode="External" Id="rId747" /><Relationship Type="http://schemas.openxmlformats.org/officeDocument/2006/relationships/hyperlink" Target="https://www.linkedin.com/in/womenandtechnology/" TargetMode="External" Id="rId748" /><Relationship Type="http://schemas.openxmlformats.org/officeDocument/2006/relationships/hyperlink" Target="https://www.facebook.com/w4techEU" TargetMode="External" Id="rId749" /><Relationship Type="http://schemas.openxmlformats.org/officeDocument/2006/relationships/hyperlink" Target="http://www.equalmate.it/" TargetMode="External" Id="rId750" /><Relationship Type="http://schemas.openxmlformats.org/officeDocument/2006/relationships/hyperlink" Target="http://genio.co/" TargetMode="External" Id="rId751" /><Relationship Type="http://schemas.openxmlformats.org/officeDocument/2006/relationships/hyperlink" Target="https://www.linkedin.com/company/geniolearn/posts/?feedView=all" TargetMode="External" Id="rId752" /><Relationship Type="http://schemas.openxmlformats.org/officeDocument/2006/relationships/hyperlink" Target="https://www.collaborationlaboratory.com/" TargetMode="External" Id="rId753" /><Relationship Type="http://schemas.openxmlformats.org/officeDocument/2006/relationships/hyperlink" Target="https://www.instagram.com/colab_global_/" TargetMode="External" Id="rId754" /><Relationship Type="http://schemas.openxmlformats.org/officeDocument/2006/relationships/hyperlink" Target="https://www.linkedin.com/company/collaboration-laboratory" TargetMode="External" Id="rId755" /><Relationship Type="http://schemas.openxmlformats.org/officeDocument/2006/relationships/hyperlink" Target="https://drive.google.com/uc?export=view&amp;id=1pp0MjmL9-4UG_ExR4bmn0dL7jzDG9rfh" TargetMode="External" Id="rId756" /><Relationship Type="http://schemas.openxmlformats.org/officeDocument/2006/relationships/hyperlink" Target="https://delenta.com/" TargetMode="External" Id="rId757" /><Relationship Type="http://schemas.openxmlformats.org/officeDocument/2006/relationships/hyperlink" Target="https://x.com/Delentacoaching" TargetMode="External" Id="rId758" /><Relationship Type="http://schemas.openxmlformats.org/officeDocument/2006/relationships/hyperlink" Target="https://www.linkedin.com/company/delenta/" TargetMode="External" Id="rId759" /><Relationship Type="http://schemas.openxmlformats.org/officeDocument/2006/relationships/hyperlink" Target="https://drive.google.com/uc?export=view&amp;id=1Av2BZ8tnQWdhBGiebJMLzkbAfKIxxrQb" TargetMode="External" Id="rId760" /><Relationship Type="http://schemas.openxmlformats.org/officeDocument/2006/relationships/hyperlink" Target="https://decriancaparacrianca.com.br/en/" TargetMode="External" Id="rId761" /><Relationship Type="http://schemas.openxmlformats.org/officeDocument/2006/relationships/hyperlink" Target="https://drive.google.com/uc?export=view&amp;id=1bkq3-JDoXwLUVn21hzq0wRqLJugI4tVN" TargetMode="External" Id="rId762" /><Relationship Type="http://schemas.openxmlformats.org/officeDocument/2006/relationships/hyperlink" Target="https://learngraph.org/" TargetMode="External" Id="rId763" /><Relationship Type="http://schemas.openxmlformats.org/officeDocument/2006/relationships/hyperlink" Target="https://www.instagram.com/learngraph_org/" TargetMode="External" Id="rId764" /><Relationship Type="http://schemas.openxmlformats.org/officeDocument/2006/relationships/hyperlink" Target="https://www.linkedin.com/company/learngraph" TargetMode="External" Id="rId765" /><Relationship Type="http://schemas.openxmlformats.org/officeDocument/2006/relationships/hyperlink" Target="https://drive.google.com/uc?export=view&amp;id=1rDs6ulz-x6nHoolDDj8x-q62ECbHgpPG" TargetMode="External" Id="rId766" /><Relationship Type="http://schemas.openxmlformats.org/officeDocument/2006/relationships/hyperlink" Target="https://niftylearning.io/" TargetMode="External" Id="rId767" /><Relationship Type="http://schemas.openxmlformats.org/officeDocument/2006/relationships/hyperlink" Target="https://www.linkedin.com/company/niftylearning" TargetMode="External" Id="rId768" /><Relationship Type="http://schemas.openxmlformats.org/officeDocument/2006/relationships/hyperlink" Target="https://drive.google.com/uc?export=view&amp;id=1Z0dmTKUX9yTViMacAayWbSSQUqY3KroY" TargetMode="External" Id="rId769" /><Relationship Type="http://schemas.openxmlformats.org/officeDocument/2006/relationships/hyperlink" Target="http://englishtherapy.co.uk/" TargetMode="External" Id="rId770" /><Relationship Type="http://schemas.openxmlformats.org/officeDocument/2006/relationships/hyperlink" Target="https://www.linkedin.com/company/english-learning-therapy" TargetMode="External" Id="rId771" /><Relationship Type="http://schemas.openxmlformats.org/officeDocument/2006/relationships/hyperlink" Target="https://drive.google.com/uc?export=view&amp;id=1XTssh_x714NNGecEqwot8Cfhro1BheCX" TargetMode="External" Id="rId772" /><Relationship Type="http://schemas.openxmlformats.org/officeDocument/2006/relationships/hyperlink" Target="https://www.indipaed.de/" TargetMode="External" Id="rId773" /><Relationship Type="http://schemas.openxmlformats.org/officeDocument/2006/relationships/hyperlink" Target="https://www.instagram.com/indipaed/" TargetMode="External" Id="rId774" /><Relationship Type="http://schemas.openxmlformats.org/officeDocument/2006/relationships/hyperlink" Target="https://x.com/indipaed" TargetMode="External" Id="rId775" /><Relationship Type="http://schemas.openxmlformats.org/officeDocument/2006/relationships/hyperlink" Target="https://www.linkedin.com/company/indipaed/" TargetMode="External" Id="rId776" /><Relationship Type="http://schemas.openxmlformats.org/officeDocument/2006/relationships/hyperlink" Target="https://drive.google.com/uc?export=view&amp;id=1gxzvStaQfeWptb4M8zzRQHyYxVr9xCB5" TargetMode="External" Id="rId777" /><Relationship Type="http://schemas.openxmlformats.org/officeDocument/2006/relationships/hyperlink" Target="http://www.cogniphant.org/" TargetMode="External" Id="rId778" /><Relationship Type="http://schemas.openxmlformats.org/officeDocument/2006/relationships/hyperlink" Target="https://www.linkedin.com/company/cogniphant/" TargetMode="External" Id="rId779" /><Relationship Type="http://schemas.openxmlformats.org/officeDocument/2006/relationships/hyperlink" Target="https://drive.google.com/uc?export=view&amp;id=1tNQQjGpLMpZq0NUXaDWsYG7bQp11K-ex" TargetMode="External" Id="rId780" /><Relationship Type="http://schemas.openxmlformats.org/officeDocument/2006/relationships/hyperlink" Target="https://icobc.net/" TargetMode="External" Id="rId781" /><Relationship Type="http://schemas.openxmlformats.org/officeDocument/2006/relationships/hyperlink" Target="https://www.linkedin.com/groups/2702395/" TargetMode="External" Id="rId782" /><Relationship Type="http://schemas.openxmlformats.org/officeDocument/2006/relationships/hyperlink" Target="https://drive.google.com/uc?export=view&amp;id=17H9DkNZkFru5Crf0tlm584D0e5wZeeVX" TargetMode="External" Id="rId783" /><Relationship Type="http://schemas.openxmlformats.org/officeDocument/2006/relationships/hyperlink" Target="https://www.savremena-osnovna.edu.rs/" TargetMode="External" Id="rId784" /><Relationship Type="http://schemas.openxmlformats.org/officeDocument/2006/relationships/hyperlink" Target="https://drive.google.com/uc?export=view&amp;id=1XejP6Ukcua5ebT53yQlgLv218KZITvbe" TargetMode="External" Id="rId785" /><Relationship Type="http://schemas.openxmlformats.org/officeDocument/2006/relationships/hyperlink" Target="https://www.msq.at/" TargetMode="External" Id="rId786" /><Relationship Type="http://schemas.openxmlformats.org/officeDocument/2006/relationships/hyperlink" Target="https://www.linkedin.com/company/mediasquad/" TargetMode="External" Id="rId787" /><Relationship Type="http://schemas.openxmlformats.org/officeDocument/2006/relationships/hyperlink" Target="https://drive.google.com/uc?export=view&amp;id=1LbiAPO8qu2foB2y5sB157iBfWaQUen8n" TargetMode="External" Id="rId788" /><Relationship Type="http://schemas.openxmlformats.org/officeDocument/2006/relationships/hyperlink" Target="https://lekon.dk/kurser" TargetMode="External" Id="rId789" /><Relationship Type="http://schemas.openxmlformats.org/officeDocument/2006/relationships/hyperlink" Target="https://www.linkedin.com/company/lekon-r-dgivning/" TargetMode="External" Id="rId790" /><Relationship Type="http://schemas.openxmlformats.org/officeDocument/2006/relationships/hyperlink" Target="https://drive.google.com/uc?export=view&amp;id=1SzSXE1GkFxvFgGUY6rVWz18PD140gM_Q" TargetMode="External" Id="rId791" /><Relationship Type="http://schemas.openxmlformats.org/officeDocument/2006/relationships/hyperlink" Target="https://enlightware.ch/" TargetMode="External" Id="rId792" /><Relationship Type="http://schemas.openxmlformats.org/officeDocument/2006/relationships/hyperlink" Target="https://www.instagram.com/candlicreate/" TargetMode="External" Id="rId793" /><Relationship Type="http://schemas.openxmlformats.org/officeDocument/2006/relationships/hyperlink" Target="https://www.linkedin.com/company/enlightware/" TargetMode="External" Id="rId794" /><Relationship Type="http://schemas.openxmlformats.org/officeDocument/2006/relationships/hyperlink" Target="https://drive.google.com/uc?export=view&amp;id=1Igk-3Vp9zFZmQ8R3vq-eBIHQTlnnYo5b" TargetMode="External" Id="rId795" /><Relationship Type="http://schemas.openxmlformats.org/officeDocument/2006/relationships/hyperlink" Target="http://humy.ai/" TargetMode="External" Id="rId796" /><Relationship Type="http://schemas.openxmlformats.org/officeDocument/2006/relationships/hyperlink" Target="http://www.humy.ai/" TargetMode="External" Id="rId797" /><Relationship Type="http://schemas.openxmlformats.org/officeDocument/2006/relationships/hyperlink" Target="https://www.linkedin.com/company/humy-ai" TargetMode="External" Id="rId798" /><Relationship Type="http://schemas.openxmlformats.org/officeDocument/2006/relationships/hyperlink" Target="http://humy.ai/" TargetMode="External" Id="rId799" /><Relationship Type="http://schemas.openxmlformats.org/officeDocument/2006/relationships/hyperlink" Target="https://drive.google.com/uc?export=view&amp;id=1fRQno2W7cdNRA99pWW_RsameowepV7hG" TargetMode="External" Id="rId800" /><Relationship Type="http://schemas.openxmlformats.org/officeDocument/2006/relationships/hyperlink" Target="https://meritus.ai/" TargetMode="External" Id="rId801" /><Relationship Type="http://schemas.openxmlformats.org/officeDocument/2006/relationships/hyperlink" Target="https://www.instagram.com/meritus.ai/" TargetMode="External" Id="rId802" /><Relationship Type="http://schemas.openxmlformats.org/officeDocument/2006/relationships/hyperlink" Target="https://x.com/MeritusAI/status/1881586399260144079" TargetMode="External" Id="rId803" /><Relationship Type="http://schemas.openxmlformats.org/officeDocument/2006/relationships/hyperlink" Target="https://in.linkedin.com/company/meritusai" TargetMode="External" Id="rId804" /><Relationship Type="http://schemas.openxmlformats.org/officeDocument/2006/relationships/hyperlink" Target="https://drive.google.com/uc?export=view&amp;id=16aLvrT2kF38VQQf5z4ooy4zyhc-eUrVW" TargetMode="External" Id="rId805" /><Relationship Type="http://schemas.openxmlformats.org/officeDocument/2006/relationships/hyperlink" Target="https://www.worldhistory.org/" TargetMode="External" Id="rId806" /><Relationship Type="http://schemas.openxmlformats.org/officeDocument/2006/relationships/hyperlink" Target="https://drive.google.com/uc?export=view&amp;id=1PEWxHZqkip7lExnXHsUW-sQZ6WJ4OIop" TargetMode="External" Id="rId807" /><Relationship Type="http://schemas.openxmlformats.org/officeDocument/2006/relationships/hyperlink" Target="https://vergilai.com/" TargetMode="External" Id="rId808" /><Relationship Type="http://schemas.openxmlformats.org/officeDocument/2006/relationships/hyperlink" Target="https://www.linkedin.com/company/103983727" TargetMode="External" Id="rId809" /><Relationship Type="http://schemas.openxmlformats.org/officeDocument/2006/relationships/hyperlink" Target="https://drive.google.com/uc?export=view&amp;id=1eXgfFFfccBmC9EXuMDN_x9QRPlqdkJjn" TargetMode="External" Id="rId810" /><Relationship Type="http://schemas.openxmlformats.org/officeDocument/2006/relationships/hyperlink" Target="http://www.wearelearning.io/" TargetMode="External" Id="rId811" /><Relationship Type="http://schemas.openxmlformats.org/officeDocument/2006/relationships/hyperlink" Target="https://www.linkedin.com/company/83500375/admin/feed/posts/" TargetMode="External" Id="rId812" /><Relationship Type="http://schemas.openxmlformats.org/officeDocument/2006/relationships/hyperlink" Target="https://drive.google.com/uc?export=view&amp;id=1nbBOFp8Nqv3zAjZuJtkckT1fbor7CK2_" TargetMode="External" Id="rId813" /><Relationship Type="http://schemas.openxmlformats.org/officeDocument/2006/relationships/hyperlink" Target="https://fujour.com/" TargetMode="External" Id="rId814" /><Relationship Type="http://schemas.openxmlformats.org/officeDocument/2006/relationships/hyperlink" Target="https://www.instagram.com/fujour_app/" TargetMode="External" Id="rId815" /><Relationship Type="http://schemas.openxmlformats.org/officeDocument/2006/relationships/hyperlink" Target="https://twitter.com/FUJOUR_App" TargetMode="External" Id="rId816" /><Relationship Type="http://schemas.openxmlformats.org/officeDocument/2006/relationships/hyperlink" Target="https://www.linkedin.com/company/98164769" TargetMode="External" Id="rId817" /><Relationship Type="http://schemas.openxmlformats.org/officeDocument/2006/relationships/hyperlink" Target="https://drive.google.com/uc?export=view&amp;id=1C790PtDnC8uXh3_tj4mo2UuS1-eQnriz" TargetMode="External" Id="rId818" /><Relationship Type="http://schemas.openxmlformats.org/officeDocument/2006/relationships/hyperlink" Target="http://www.oursmarttown.de/" TargetMode="External" Id="rId819" /><Relationship Type="http://schemas.openxmlformats.org/officeDocument/2006/relationships/hyperlink" Target="https://www.linkedin.com/company/oursmart-town/" TargetMode="External" Id="rId820" /><Relationship Type="http://schemas.openxmlformats.org/officeDocument/2006/relationships/hyperlink" Target="https://drive.google.com/uc?export=view&amp;id=1syp5wyoPwASgHaNyK-29dG01RGPj8kR-" TargetMode="External" Id="rId821" /><Relationship Type="http://schemas.openxmlformats.org/officeDocument/2006/relationships/hyperlink" Target="http://www.binogi.de/" TargetMode="External" Id="rId822" /><Relationship Type="http://schemas.openxmlformats.org/officeDocument/2006/relationships/hyperlink" Target="https://drive.google.com/uc?export=view&amp;id=1ExBLbD-i887-J2b5qUeRsJBDSYW6oN_J" TargetMode="External" Id="rId823" /><Relationship Type="http://schemas.openxmlformats.org/officeDocument/2006/relationships/hyperlink" Target="https://education.arte.tv/" TargetMode="External" Id="rId824" /><Relationship Type="http://schemas.openxmlformats.org/officeDocument/2006/relationships/hyperlink" Target="https://twitter.com/EducARTEfr" TargetMode="External" Id="rId825" /><Relationship Type="http://schemas.openxmlformats.org/officeDocument/2006/relationships/hyperlink" Target="https://www.linkedin.com/company/arte-education/" TargetMode="External" Id="rId826" /><Relationship Type="http://schemas.openxmlformats.org/officeDocument/2006/relationships/hyperlink" Target="https://drive.google.com/uc?export=view&amp;id=1-jc7-jGrO6YWvJf-2uXwoRZ_M1SmgIKt" TargetMode="External" Id="rId827" /><Relationship Type="http://schemas.openxmlformats.org/officeDocument/2006/relationships/hyperlink" Target="https://www.freeed.com/" TargetMode="External" Id="rId828" /><Relationship Type="http://schemas.openxmlformats.org/officeDocument/2006/relationships/hyperlink" Target="https://www.linkedin.com/company/freeed/" TargetMode="External" Id="rId829" /><Relationship Type="http://schemas.openxmlformats.org/officeDocument/2006/relationships/hyperlink" Target="https://drive.google.com/uc?export=view&amp;id=1nRwl2xwkT9jqH1RxBqf5y_A9c59pzS0i" TargetMode="External" Id="rId830" /><Relationship Type="http://schemas.openxmlformats.org/officeDocument/2006/relationships/hyperlink" Target="https://editor.wix.com/html/editor/web/renderer/edit/9a0d6075-831a-4ec5-b816-f69be1cb10af?metaSiteId=b00b86c7-bb2e-4d0a-af84-75b944f65834" TargetMode="External" Id="rId831" /><Relationship Type="http://schemas.openxmlformats.org/officeDocument/2006/relationships/hyperlink" Target="https://www.linkedin.com/in/mar%C3%ADa-de-los-%C3%A1ngeles-%C3%A1lvarez-laso-39a906a/" TargetMode="External" Id="rId832" /><Relationship Type="http://schemas.openxmlformats.org/officeDocument/2006/relationships/hyperlink" Target="https://drive.google.com/uc?export=view&amp;id=1JGzYVGoxxpYYEtzJAWcolUS5Ec9y8jhZ" TargetMode="External" Id="rId833" /><Relationship Type="http://schemas.openxmlformats.org/officeDocument/2006/relationships/hyperlink" Target="https://fobizz.com/" TargetMode="External" Id="rId834" /><Relationship Type="http://schemas.openxmlformats.org/officeDocument/2006/relationships/hyperlink" Target="https://www.instagram.com/fobizz_com/" TargetMode="External" Id="rId835" /><Relationship Type="http://schemas.openxmlformats.org/officeDocument/2006/relationships/hyperlink" Target="https://twitter.com/fobizz" TargetMode="External" Id="rId836" /><Relationship Type="http://schemas.openxmlformats.org/officeDocument/2006/relationships/hyperlink" Target="https://www.linkedin.com/company/fobizz/" TargetMode="External" Id="rId837" /><Relationship Type="http://schemas.openxmlformats.org/officeDocument/2006/relationships/hyperlink" Target="https://drive.google.com/uc?export=view&amp;id=1Vp-SeLr-OxTerw9CCP6GWnKGyrNG2qfN" TargetMode="External" Id="rId838" /><Relationship Type="http://schemas.openxmlformats.org/officeDocument/2006/relationships/hyperlink" Target="https://www.viewsonic.com/eu/" TargetMode="External" Id="rId839" /><Relationship Type="http://schemas.openxmlformats.org/officeDocument/2006/relationships/hyperlink" Target="https://www.linkedin.com/company/viewsonic" TargetMode="External" Id="rId840" /><Relationship Type="http://schemas.openxmlformats.org/officeDocument/2006/relationships/hyperlink" Target="https://drive.google.com/uc?export=view&amp;id=1CMOe4vD8XWve4uAp-SqJvYo9fSVCAz5h" TargetMode="External" Id="rId841" /><Relationship Type="http://schemas.openxmlformats.org/officeDocument/2006/relationships/hyperlink" Target="https://drive.google.com/uc?export=view&amp;id=1-uX7IgQqyKiQ7EXVfRUpNvgjy4T-HbK8" TargetMode="External" Id="rId842" /><Relationship Type="http://schemas.openxmlformats.org/officeDocument/2006/relationships/hyperlink" Target="https://www.reedu.de/" TargetMode="External" Id="rId843" /><Relationship Type="http://schemas.openxmlformats.org/officeDocument/2006/relationships/hyperlink" Target="https://drive.google.com/uc?export=view&amp;id=1rY4MqTHd467dc4qCsAeBv2MKVAtAazyD" TargetMode="External" Id="rId844" /><Relationship Type="http://schemas.openxmlformats.org/officeDocument/2006/relationships/hyperlink" Target="https://www.salamandersoft.co.uk/" TargetMode="External" Id="rId845" /><Relationship Type="http://schemas.openxmlformats.org/officeDocument/2006/relationships/hyperlink" Target="https://www.linkedin.com/company/salamandersoft" TargetMode="External" Id="rId846" /><Relationship Type="http://schemas.openxmlformats.org/officeDocument/2006/relationships/hyperlink" Target="https://drive.google.com/uc?export=view&amp;id=1rch5litgCLh1OA0p_I3t-JAutjPVSKeN" TargetMode="External" Id="rId847" /><Relationship Type="http://schemas.openxmlformats.org/officeDocument/2006/relationships/hyperlink" Target="http://www.learningladders.info/" TargetMode="External" Id="rId848" /><Relationship Type="http://schemas.openxmlformats.org/officeDocument/2006/relationships/hyperlink" Target="https://twitter.com/LearningLadder5" TargetMode="External" Id="rId849" /><Relationship Type="http://schemas.openxmlformats.org/officeDocument/2006/relationships/hyperlink" Target="https://www.linkedin.com/company/5234901" TargetMode="External" Id="rId850" /><Relationship Type="http://schemas.openxmlformats.org/officeDocument/2006/relationships/hyperlink" Target="https://drive.google.com/uc?export=view&amp;id=1Kdo86D53Gm-hGdx2f19wayRjFepEnJT4" TargetMode="External" Id="rId851" /><Relationship Type="http://schemas.openxmlformats.org/officeDocument/2006/relationships/hyperlink" Target="https://brainyoo.de/" TargetMode="External" Id="rId852" /><Relationship Type="http://schemas.openxmlformats.org/officeDocument/2006/relationships/hyperlink" Target="https://www.instagram.com/brainyoo.lernen/" TargetMode="External" Id="rId853" /><Relationship Type="http://schemas.openxmlformats.org/officeDocument/2006/relationships/hyperlink" Target="https://twitter.com/brainyoo" TargetMode="External" Id="rId854" /><Relationship Type="http://schemas.openxmlformats.org/officeDocument/2006/relationships/hyperlink" Target="https://drive.google.com/uc?export=view&amp;id=1albQ3mmC_TwFTVrvGjFA1ghlH-bAMukT" TargetMode="External" Id="rId855" /><Relationship Type="http://schemas.openxmlformats.org/officeDocument/2006/relationships/hyperlink" Target="https://www.instagram.com/coolcloudwise/" TargetMode="External" Id="rId856" /><Relationship Type="http://schemas.openxmlformats.org/officeDocument/2006/relationships/hyperlink" Target="https://www.linkedin.com/company/64560789/admin/" TargetMode="External" Id="rId857" /><Relationship Type="http://schemas.openxmlformats.org/officeDocument/2006/relationships/hyperlink" Target="https://drive.google.com/uc?export=view&amp;id=1ILaxrDs73EMaq1bq33tkHKLoTmggcbD6" TargetMode="External" Id="rId858" /><Relationship Type="http://schemas.openxmlformats.org/officeDocument/2006/relationships/hyperlink" Target="http://www.learningvillage.net/" TargetMode="External" Id="rId859" /><Relationship Type="http://schemas.openxmlformats.org/officeDocument/2006/relationships/hyperlink" Target="https://drive.google.com/uc?export=view&amp;id=14bnpIju9FVkz3SuiZslenFuaBkjhf1WP" TargetMode="External" Id="rId860" /><Relationship Type="http://schemas.openxmlformats.org/officeDocument/2006/relationships/hyperlink" Target="http://www.ec-play.com/" TargetMode="External" Id="rId861" /><Relationship Type="http://schemas.openxmlformats.org/officeDocument/2006/relationships/hyperlink" Target="https://drive.google.com/uc?export=view&amp;id=12UbLBbJOGaWuGhfZGOMRhKvtTamRnIML" TargetMode="External" Id="rId862" /><Relationship Type="http://schemas.openxmlformats.org/officeDocument/2006/relationships/hyperlink" Target="http://apprend.ly/" TargetMode="External" Id="rId863" /><Relationship Type="http://schemas.openxmlformats.org/officeDocument/2006/relationships/hyperlink" Target="https://www.apprend.ly/" TargetMode="External" Id="rId864" /><Relationship Type="http://schemas.openxmlformats.org/officeDocument/2006/relationships/hyperlink" Target="https://www.instagram.com/apprendly/" TargetMode="External" Id="rId865" /><Relationship Type="http://schemas.openxmlformats.org/officeDocument/2006/relationships/hyperlink" Target="https://twitter.com/apprendly" TargetMode="External" Id="rId866" /><Relationship Type="http://schemas.openxmlformats.org/officeDocument/2006/relationships/hyperlink" Target="https://www.linkedin.com/company/apprend-ly" TargetMode="External" Id="rId867" /><Relationship Type="http://schemas.openxmlformats.org/officeDocument/2006/relationships/hyperlink" Target="http://apprend.ly/" TargetMode="External" Id="rId868" /><Relationship Type="http://schemas.openxmlformats.org/officeDocument/2006/relationships/hyperlink" Target="https://drive.google.com/uc?export=view&amp;id=1v8B93echWXMC1blx4mRZXhqjJ8hJwlOJ" TargetMode="External" Id="rId869" /><Relationship Type="http://schemas.openxmlformats.org/officeDocument/2006/relationships/hyperlink" Target="https://educationai.co.uk/" TargetMode="External" Id="rId870" /><Relationship Type="http://schemas.openxmlformats.org/officeDocument/2006/relationships/hyperlink" Target="https://drive.google.com/uc?export=view&amp;id=1VS8VzrOw56U-jnmmmPncKUAZ-JPcd-pU" TargetMode="External" Id="rId871" /><Relationship Type="http://schemas.openxmlformats.org/officeDocument/2006/relationships/hyperlink" Target="http://www.fictionexpress.com/" TargetMode="External" Id="rId872" /><Relationship Type="http://schemas.openxmlformats.org/officeDocument/2006/relationships/hyperlink" Target="https://www.linkedin.com/company/fictionexpress" TargetMode="External" Id="rId873" /><Relationship Type="http://schemas.openxmlformats.org/officeDocument/2006/relationships/hyperlink" Target="https://drive.google.com/uc?export=view&amp;id=1YEMxIuHxIAzumD-5Gqqkiy750hAd1o-g" TargetMode="External" Id="rId874" /><Relationship Type="http://schemas.openxmlformats.org/officeDocument/2006/relationships/hyperlink" Target="https://moki.health/" TargetMode="External" Id="rId875" /><Relationship Type="http://schemas.openxmlformats.org/officeDocument/2006/relationships/hyperlink" Target="https://twitter.com/moki_health/" TargetMode="External" Id="rId876" /><Relationship Type="http://schemas.openxmlformats.org/officeDocument/2006/relationships/hyperlink" Target="https://www.linkedin.com/company/mokihealth/" TargetMode="External" Id="rId877" /><Relationship Type="http://schemas.openxmlformats.org/officeDocument/2006/relationships/hyperlink" Target="https://drive.google.com/uc?export=view&amp;id=1VUvR_9xfjcV7MIHWOALUndFWTyt-sVl6" TargetMode="External" Id="rId878" /><Relationship Type="http://schemas.openxmlformats.org/officeDocument/2006/relationships/hyperlink" Target="https://natterhub.com/" TargetMode="External" Id="rId879" /><Relationship Type="http://schemas.openxmlformats.org/officeDocument/2006/relationships/hyperlink" Target="https://drive.google.com/uc?export=view&amp;id=1UAhVY1YCtKJvDnSAe66k3shjcKoFaTMJ" TargetMode="External" Id="rId880" /><Relationship Type="http://schemas.openxmlformats.org/officeDocument/2006/relationships/hyperlink" Target="https://www.twinscience.com/" TargetMode="External" Id="rId881" /><Relationship Type="http://schemas.openxmlformats.org/officeDocument/2006/relationships/hyperlink" Target="https://www.instagram.com/twinscience" TargetMode="External" Id="rId882" /><Relationship Type="http://schemas.openxmlformats.org/officeDocument/2006/relationships/hyperlink" Target="https://www.linkedin.com/company/29024499/" TargetMode="External" Id="rId883" /><Relationship Type="http://schemas.openxmlformats.org/officeDocument/2006/relationships/hyperlink" Target="https://drive.google.com/uc?export=view&amp;id=1Bc5bXdGUZG9027zDw_iDGwOtTCaEjnMo" TargetMode="External" Id="rId884" /><Relationship Type="http://schemas.openxmlformats.org/officeDocument/2006/relationships/hyperlink" Target="http://www.worktripp.com/" TargetMode="External" Id="rId885" /><Relationship Type="http://schemas.openxmlformats.org/officeDocument/2006/relationships/hyperlink" Target="https://www.instagram.com/work.tripp/" TargetMode="External" Id="rId886" /><Relationship Type="http://schemas.openxmlformats.org/officeDocument/2006/relationships/hyperlink" Target="https://twitter.com/work_tripp" TargetMode="External" Id="rId887" /><Relationship Type="http://schemas.openxmlformats.org/officeDocument/2006/relationships/hyperlink" Target="https://www.linkedin.com/company/worktripp/" TargetMode="External" Id="rId888" /><Relationship Type="http://schemas.openxmlformats.org/officeDocument/2006/relationships/hyperlink" Target="https://drive.google.com/uc?export=view&amp;id=1h-xeVx118Gx0xIWAVdBTTXJ3ILocN72G" TargetMode="External" Id="rId889" /><Relationship Type="http://schemas.openxmlformats.org/officeDocument/2006/relationships/hyperlink" Target="https://dreamapply.com/" TargetMode="External" Id="rId890" /><Relationship Type="http://schemas.openxmlformats.org/officeDocument/2006/relationships/hyperlink" Target="https://www.linkedin.com/company/dreamapply" TargetMode="External" Id="rId891" /><Relationship Type="http://schemas.openxmlformats.org/officeDocument/2006/relationships/hyperlink" Target="https://drive.google.com/uc?export=view&amp;id=1FMsUk88f4izpSQ0onFxW2ipAbyuZJVXn" TargetMode="External" Id="rId892" /><Relationship Type="http://schemas.openxmlformats.org/officeDocument/2006/relationships/hyperlink" Target="https://www.kortext.com/" TargetMode="External" Id="rId893" /><Relationship Type="http://schemas.openxmlformats.org/officeDocument/2006/relationships/hyperlink" Target="https://twitter.com/Kortext" TargetMode="External" Id="rId894" /><Relationship Type="http://schemas.openxmlformats.org/officeDocument/2006/relationships/hyperlink" Target="https://www.linkedin.com/company/kortext/" TargetMode="External" Id="rId895" /><Relationship Type="http://schemas.openxmlformats.org/officeDocument/2006/relationships/hyperlink" Target="https://drive.google.com/uc?export=view&amp;id=1iDx1dFzc7GiYqFatYkfY-s549Cw1jrp9" TargetMode="External" Id="rId896" /><Relationship Type="http://schemas.openxmlformats.org/officeDocument/2006/relationships/hyperlink" Target="https://mussila.com/" TargetMode="External" Id="rId897" /><Relationship Type="http://schemas.openxmlformats.org/officeDocument/2006/relationships/hyperlink" Target="https://www.instagram.com/mussila_apps/" TargetMode="External" Id="rId898" /><Relationship Type="http://schemas.openxmlformats.org/officeDocument/2006/relationships/hyperlink" Target="https://www.linkedin.com/in/jongunnarthordarson/" TargetMode="External" Id="rId899" /><Relationship Type="http://schemas.openxmlformats.org/officeDocument/2006/relationships/hyperlink" Target="https://drive.google.com/uc?export=view&amp;id=1CugYaWJjQygOychkFnQ7QOmI9Jel0jF1" TargetMode="External" Id="rId900" /><Relationship Type="http://schemas.openxmlformats.org/officeDocument/2006/relationships/hyperlink" Target="https://www.texthelp.com/en-gb/" TargetMode="External" Id="rId901" /><Relationship Type="http://schemas.openxmlformats.org/officeDocument/2006/relationships/hyperlink" Target="https://www.instagram.com/texthelpers/?hl=en" TargetMode="External" Id="rId902" /><Relationship Type="http://schemas.openxmlformats.org/officeDocument/2006/relationships/hyperlink" Target="https://twitter.com/texthelp" TargetMode="External" Id="rId903" /><Relationship Type="http://schemas.openxmlformats.org/officeDocument/2006/relationships/hyperlink" Target="https://www.linkedin.com/company/texthelp/mycompany/" TargetMode="External" Id="rId904" /><Relationship Type="http://schemas.openxmlformats.org/officeDocument/2006/relationships/hyperlink" Target="https://drive.google.com/uc?export=view&amp;id=1IiuEPKZpGt7mOTtPZABGmkr-rWNXWJjG" TargetMode="External" Id="rId905" /><Relationship Type="http://schemas.openxmlformats.org/officeDocument/2006/relationships/hyperlink" Target="http://www.whizzeducation.com/" TargetMode="External" Id="rId906" /><Relationship Type="http://schemas.openxmlformats.org/officeDocument/2006/relationships/hyperlink" Target="https://drive.google.com/uc?export=view&amp;id=1HgiulYJF2Q8dxQSXsFN6vbLdkR9j8Qsg" TargetMode="External" Id="rId907" /><Relationship Type="http://schemas.openxmlformats.org/officeDocument/2006/relationships/hyperlink" Target="http://www.chartlearningsolutions.com/" TargetMode="External" Id="rId908" /><Relationship Type="http://schemas.openxmlformats.org/officeDocument/2006/relationships/hyperlink" Target="https://www.linkedin.com/company/chart-learning-solutions-international/" TargetMode="External" Id="rId909" /><Relationship Type="http://schemas.openxmlformats.org/officeDocument/2006/relationships/hyperlink" Target="https://drive.google.com/uc?export=view&amp;id=1R2pjUni_iEWRJ0PzrcVEI775e2HHlLmy" TargetMode="External" Id="rId910" /><Relationship Type="http://schemas.openxmlformats.org/officeDocument/2006/relationships/hyperlink" Target="https://itslearning.com/global/" TargetMode="External" Id="rId911" /><Relationship Type="http://schemas.openxmlformats.org/officeDocument/2006/relationships/hyperlink" Target="https://twitter.com/itslearning" TargetMode="External" Id="rId912" /><Relationship Type="http://schemas.openxmlformats.org/officeDocument/2006/relationships/hyperlink" Target="https://www.linkedin.com/company/itslearning-as" TargetMode="External" Id="rId913" /><Relationship Type="http://schemas.openxmlformats.org/officeDocument/2006/relationships/hyperlink" Target="https://drive.google.com/uc?export=view&amp;id=1L2ZJs-VbMlvtebHw5l_1nsjxIJ6vY8X8" TargetMode="External" Id="rId914" /><Relationship Type="http://schemas.openxmlformats.org/officeDocument/2006/relationships/hyperlink" Target="http://www.archipel.academy/" TargetMode="External" Id="rId915" /><Relationship Type="http://schemas.openxmlformats.org/officeDocument/2006/relationships/hyperlink" Target="https://www.linkedin.com/company/archipel-academy/" TargetMode="External" Id="rId916" /><Relationship Type="http://schemas.openxmlformats.org/officeDocument/2006/relationships/hyperlink" Target="https://drive.google.com/uc?export=view&amp;id=1jTPXcAwTZj6mGTcn-3xdeT67Ydw8hoWY" TargetMode="External" Id="rId917" /><Relationship Type="http://schemas.openxmlformats.org/officeDocument/2006/relationships/hyperlink" Target="http://www.bool.ie/" TargetMode="External" Id="rId918" /><Relationship Type="http://schemas.openxmlformats.org/officeDocument/2006/relationships/hyperlink" Target="https://drive.google.com/uc?export=view&amp;id=1DZNSVGV5GfJ1_P88ASD3e77QGXgkQFJm" TargetMode="External" Id="rId919" /><Relationship Type="http://schemas.openxmlformats.org/officeDocument/2006/relationships/hyperlink" Target="https://foxeducation.com/" TargetMode="External" Id="rId920" /><Relationship Type="http://schemas.openxmlformats.org/officeDocument/2006/relationships/hyperlink" Target="https://www.instagram.com/foxeducation_dach/" TargetMode="External" Id="rId921" /><Relationship Type="http://schemas.openxmlformats.org/officeDocument/2006/relationships/hyperlink" Target="https://at.linkedin.com/company/schoolfox" TargetMode="External" Id="rId922" /><Relationship Type="http://schemas.openxmlformats.org/officeDocument/2006/relationships/hyperlink" Target="https://drive.google.com/uc?export=view&amp;id=1ykvgwsRTkJKB1TRdhRNy9v1TVafzC9ad" TargetMode="External" Id="rId923" /><Relationship Type="http://schemas.openxmlformats.org/officeDocument/2006/relationships/hyperlink" Target="https://www.classlist.com/" TargetMode="External" Id="rId924" /><Relationship Type="http://schemas.openxmlformats.org/officeDocument/2006/relationships/hyperlink" Target="https://www.instagram.com/classlist/" TargetMode="External" Id="rId925" /><Relationship Type="http://schemas.openxmlformats.org/officeDocument/2006/relationships/hyperlink" Target="https://twitter.com/goClasslist" TargetMode="External" Id="rId926" /><Relationship Type="http://schemas.openxmlformats.org/officeDocument/2006/relationships/hyperlink" Target="https://www.linkedin.com/company/5244730/admin/" TargetMode="External" Id="rId927" /><Relationship Type="http://schemas.openxmlformats.org/officeDocument/2006/relationships/hyperlink" Target="https://drive.google.com/uc?export=view&amp;id=1WbnoXs7lAtAC_HjhkRCZWuSNczy35m9P" TargetMode="External" Id="rId928" /><Relationship Type="http://schemas.openxmlformats.org/officeDocument/2006/relationships/hyperlink" Target="https://www.evolytes.com/" TargetMode="External" Id="rId929" /><Relationship Type="http://schemas.openxmlformats.org/officeDocument/2006/relationships/hyperlink" Target="https://drive.google.com/uc?export=view&amp;id=1fEWMTM4pxdghdnZhmTwZgC7oom6dneqH" TargetMode="External" Id="rId930" /><Relationship Type="http://schemas.openxmlformats.org/officeDocument/2006/relationships/hyperlink" Target="https://developingexperts.com/" TargetMode="External" Id="rId931" /><Relationship Type="http://schemas.openxmlformats.org/officeDocument/2006/relationships/hyperlink" Target="https://drive.google.com/uc?export=view&amp;id=1h_21bBQbP4BO_UAjBkNF0aGp4TQ9Upud" TargetMode="External" Id="rId932" /><Relationship Type="http://schemas.openxmlformats.org/officeDocument/2006/relationships/hyperlink" Target="https://emathstudio.com/" TargetMode="External" Id="rId933" /><Relationship Type="http://schemas.openxmlformats.org/officeDocument/2006/relationships/hyperlink" Target="https://drive.google.com/uc?export=view&amp;id=1RI6o8BHyIE7NwVyGsref3RwDIPvgpqdv" TargetMode="External" Id="rId934" /><Relationship Type="http://schemas.openxmlformats.org/officeDocument/2006/relationships/hyperlink" Target="https://schultech.de/" TargetMode="External" Id="rId935" /><Relationship Type="http://schemas.openxmlformats.org/officeDocument/2006/relationships/hyperlink" Target="https://drive.google.com/uc?export=view&amp;id=1si3RjDN2FziyYQLs-IdFc5LuFgN0V92M" TargetMode="External" Id="rId936" /><Relationship Type="http://schemas.openxmlformats.org/officeDocument/2006/relationships/hyperlink" Target="http://www.bettermarks.com/" TargetMode="External" Id="rId937" /><Relationship Type="http://schemas.openxmlformats.org/officeDocument/2006/relationships/hyperlink" Target="https://www.instagram.com/bettermarks_de/" TargetMode="External" Id="rId938" /><Relationship Type="http://schemas.openxmlformats.org/officeDocument/2006/relationships/hyperlink" Target="https://www.linkedin.com/company/bettermarks-gmbh" TargetMode="External" Id="rId939" /><Relationship Type="http://schemas.openxmlformats.org/officeDocument/2006/relationships/hyperlink" Target="https://drive.google.com/uc?export=view&amp;id=12_SAB9zbqMpaEFmmqU3KLKSZlqshHc4I" TargetMode="External" Id="rId940" /><Relationship Type="http://schemas.openxmlformats.org/officeDocument/2006/relationships/hyperlink" Target="https://chatterstars.co.uk/" TargetMode="External" Id="rId941" /><Relationship Type="http://schemas.openxmlformats.org/officeDocument/2006/relationships/hyperlink" Target="https://www.instagram.com/chatterstarsthevocabapp/?hl=en-gb" TargetMode="External" Id="rId942" /><Relationship Type="http://schemas.openxmlformats.org/officeDocument/2006/relationships/hyperlink" Target="https://twitter.com/ChatterStarsApp" TargetMode="External" Id="rId943" /><Relationship Type="http://schemas.openxmlformats.org/officeDocument/2006/relationships/hyperlink" Target="https://www.linkedin.com/company/chatterstars/?viewAsMember=true" TargetMode="External" Id="rId944" /><Relationship Type="http://schemas.openxmlformats.org/officeDocument/2006/relationships/hyperlink" Target="https://drive.google.com/uc?export=view&amp;id=1BALNGzv5ruw3Nv7Pyc1WWQzmHKvPy13g" TargetMode="External" Id="rId945" /><Relationship Type="http://schemas.openxmlformats.org/officeDocument/2006/relationships/hyperlink" Target="http://www.creaza.com/" TargetMode="External" Id="rId946" /><Relationship Type="http://schemas.openxmlformats.org/officeDocument/2006/relationships/hyperlink" Target="https://www.instagram.com/creazaas/" TargetMode="External" Id="rId947" /><Relationship Type="http://schemas.openxmlformats.org/officeDocument/2006/relationships/hyperlink" Target="https://twitter.com/creazatweet" TargetMode="External" Id="rId948" /><Relationship Type="http://schemas.openxmlformats.org/officeDocument/2006/relationships/hyperlink" Target="https://www.linkedin.com/company/creaza-as/" TargetMode="External" Id="rId949" /><Relationship Type="http://schemas.openxmlformats.org/officeDocument/2006/relationships/hyperlink" Target="https://drive.google.com/uc?export=view&amp;id=1jFoxufYAGNcdzl8wXldllljMQsrtKljA" TargetMode="External" Id="rId950" /><Relationship Type="http://schemas.openxmlformats.org/officeDocument/2006/relationships/hyperlink" Target="https://www.graphogame.com/index.html" TargetMode="External" Id="rId951" /><Relationship Type="http://schemas.openxmlformats.org/officeDocument/2006/relationships/hyperlink" Target="https://www.instagram.com/graphogame/" TargetMode="External" Id="rId952" /><Relationship Type="http://schemas.openxmlformats.org/officeDocument/2006/relationships/hyperlink" Target="https://twitter.com/GraphoGame" TargetMode="External" Id="rId953" /><Relationship Type="http://schemas.openxmlformats.org/officeDocument/2006/relationships/hyperlink" Target="https://www.linkedin.com/company/11290942/" TargetMode="External" Id="rId954" /><Relationship Type="http://schemas.openxmlformats.org/officeDocument/2006/relationships/hyperlink" Target="https://drive.google.com/uc?export=view&amp;id=1OX7G1PdT0jMCXOsQEj-9eGlmOC-X2F5A" TargetMode="External" Id="rId955" /><Relationship Type="http://schemas.openxmlformats.org/officeDocument/2006/relationships/hyperlink" Target="https://www.kaligo-apps.com/" TargetMode="External" Id="rId956" /><Relationship Type="http://schemas.openxmlformats.org/officeDocument/2006/relationships/hyperlink" Target="https://www.instagram.com/kaligoapps_en/" TargetMode="External" Id="rId957" /><Relationship Type="http://schemas.openxmlformats.org/officeDocument/2006/relationships/hyperlink" Target="https://twitter.com/KaligoApps_EN" TargetMode="External" Id="rId958" /><Relationship Type="http://schemas.openxmlformats.org/officeDocument/2006/relationships/hyperlink" Target="https://www.linkedin.com/company/kaligo-uk/" TargetMode="External" Id="rId959" /><Relationship Type="http://schemas.openxmlformats.org/officeDocument/2006/relationships/hyperlink" Target="https://drive.google.com/uc?export=view&amp;id=1BdgBQQvg41LeVdgIMlUt3Mxu2jxAvDRv" TargetMode="External" Id="rId960" /><Relationship Type="http://schemas.openxmlformats.org/officeDocument/2006/relationships/hyperlink" Target="https://imagilabs.com/" TargetMode="External" Id="rId961" /><Relationship Type="http://schemas.openxmlformats.org/officeDocument/2006/relationships/hyperlink" Target="https://drive.google.com/uc?export=view&amp;id=1bM2NWtF-4CPy8GQwfSEvJodSLmwoR1em" TargetMode="External" Id="rId962" /><Relationship Type="http://schemas.openxmlformats.org/officeDocument/2006/relationships/hyperlink" Target="https://www.evidenceb.com/" TargetMode="External" Id="rId963" /><Relationship Type="http://schemas.openxmlformats.org/officeDocument/2006/relationships/hyperlink" Target="https://www.instagram.com/adaptivmath/" TargetMode="External" Id="rId964" /><Relationship Type="http://schemas.openxmlformats.org/officeDocument/2006/relationships/hyperlink" Target="https://twitter.com/T_EvidenceB" TargetMode="External" Id="rId965" /><Relationship Type="http://schemas.openxmlformats.org/officeDocument/2006/relationships/hyperlink" Target="https://www.linkedin.com/company/evidenceb-inside" TargetMode="External" Id="rId966" /><Relationship Type="http://schemas.openxmlformats.org/officeDocument/2006/relationships/hyperlink" Target="https://drive.google.com/uc?export=view&amp;id=1f32KSaOBheKkP9KbCtUGu_nhD6qcnqts" TargetMode="External" Id="rId967" /><Relationship Type="http://schemas.openxmlformats.org/officeDocument/2006/relationships/hyperlink" Target="http://www.good2learn.com/" TargetMode="External" Id="rId968" /><Relationship Type="http://schemas.openxmlformats.org/officeDocument/2006/relationships/hyperlink" Target="https://drive.google.com/uc?export=view&amp;id=1SLTz3Q6pM1s_z-7lmLEcJFDvbrrJgKjJ" TargetMode="External" Id="rId969" /><Relationship Type="http://schemas.openxmlformats.org/officeDocument/2006/relationships/hyperlink" Target="https://www.hypatia-learning.com/" TargetMode="External" Id="rId970" /><Relationship Type="http://schemas.openxmlformats.org/officeDocument/2006/relationships/hyperlink" Target="https://www.instagram.com/hypatialearning/" TargetMode="External" Id="rId971" /><Relationship Type="http://schemas.openxmlformats.org/officeDocument/2006/relationships/hyperlink" Target="https://www.linkedin.com/company/hypatialearning/" TargetMode="External" Id="rId972" /><Relationship Type="http://schemas.openxmlformats.org/officeDocument/2006/relationships/hyperlink" Target="https://drive.google.com/uc?export=view&amp;id=1I5QwkeyEy4LKDT1vkYVANXOWLEsR8KeV" TargetMode="External" Id="rId973" /><Relationship Type="http://schemas.openxmlformats.org/officeDocument/2006/relationships/hyperlink" Target="http://www.phase6.de/" TargetMode="External" Id="rId974" /><Relationship Type="http://schemas.openxmlformats.org/officeDocument/2006/relationships/hyperlink" Target="https://drive.google.com/uc?export=view&amp;id=1HpwGQ0v0w0b08HQ4Xu1Hv2kHv2ie967Q" TargetMode="External" Id="rId975" /><Relationship Type="http://schemas.openxmlformats.org/officeDocument/2006/relationships/hyperlink" Target="http://www.creative-hut.com/" TargetMode="External" Id="rId976" /><Relationship Type="http://schemas.openxmlformats.org/officeDocument/2006/relationships/hyperlink" Target="https://drive.google.com/uc?export=view&amp;id=1ZZY2AIlTDFjH-D-6_u6USIElYG0fiyEx" TargetMode="External" Id="rId977" /><Relationship Type="http://schemas.openxmlformats.org/officeDocument/2006/relationships/hyperlink" Target="http://www.kikora.no/" TargetMode="External" Id="rId978" /><Relationship Type="http://schemas.openxmlformats.org/officeDocument/2006/relationships/hyperlink" Target="https://drive.google.com/uc?export=view&amp;id=1ov4oT-5tAvROXFPJRFOSxeAHqgdMQjnH" TargetMode="External" Id="rId979" /><Relationship Type="http://schemas.openxmlformats.org/officeDocument/2006/relationships/hyperlink" Target="https://ludenso.com/" TargetMode="External" Id="rId980" /><Relationship Type="http://schemas.openxmlformats.org/officeDocument/2006/relationships/hyperlink" Target="https://www.instagram.com/byludenso/?hl=en" TargetMode="External" Id="rId981" /><Relationship Type="http://schemas.openxmlformats.org/officeDocument/2006/relationships/hyperlink" Target="https://twitter.com/ByLudenso" TargetMode="External" Id="rId982" /><Relationship Type="http://schemas.openxmlformats.org/officeDocument/2006/relationships/hyperlink" Target="https://www.linkedin.com/company/11865939/admin/feed/posts/" TargetMode="External" Id="rId983" /><Relationship Type="http://schemas.openxmlformats.org/officeDocument/2006/relationships/hyperlink" Target="https://drive.google.com/uc?export=view&amp;id=1DVzKbCF-0LHGs4q7RsJeIVSAhhMencNj" TargetMode="External" Id="rId984" /><Relationship Type="http://schemas.openxmlformats.org/officeDocument/2006/relationships/hyperlink" Target="http://www.netsupportsoftware.com/" TargetMode="External" Id="rId985" /><Relationship Type="http://schemas.openxmlformats.org/officeDocument/2006/relationships/hyperlink" Target="https://www.instagram.com/netsupportgroup/" TargetMode="External" Id="rId986" /><Relationship Type="http://schemas.openxmlformats.org/officeDocument/2006/relationships/hyperlink" Target="https://twitter.com/NetSupportGroup" TargetMode="External" Id="rId987" /><Relationship Type="http://schemas.openxmlformats.org/officeDocument/2006/relationships/hyperlink" Target="https://www.linkedin.com/company/netsupport-limited" TargetMode="External" Id="rId988" /><Relationship Type="http://schemas.openxmlformats.org/officeDocument/2006/relationships/hyperlink" Target="https://drive.google.com/uc?export=view&amp;id=1eMMfNPHgCkxXpGghUe-hDcdVPmsIYz1O" TargetMode="External" Id="rId989" /><Relationship Type="http://schemas.openxmlformats.org/officeDocument/2006/relationships/hyperlink" Target="https://schoolday.com/" TargetMode="External" Id="rId990" /><Relationship Type="http://schemas.openxmlformats.org/officeDocument/2006/relationships/hyperlink" Target="https://www.instagram.com/schooldaycom/" TargetMode="External" Id="rId991" /><Relationship Type="http://schemas.openxmlformats.org/officeDocument/2006/relationships/hyperlink" Target="https://twitter.com/schooldaycom" TargetMode="External" Id="rId992" /><Relationship Type="http://schemas.openxmlformats.org/officeDocument/2006/relationships/hyperlink" Target="https://www.linkedin.com/company/school-day-finland" TargetMode="External" Id="rId993" /><Relationship Type="http://schemas.openxmlformats.org/officeDocument/2006/relationships/hyperlink" Target="https://drive.google.com/uc?export=view&amp;id=1goqD6_U9g5P0YYzhp8tuO3xcstCF0zPF" TargetMode="External" Id="rId994" /><Relationship Type="http://schemas.openxmlformats.org/officeDocument/2006/relationships/hyperlink" Target="https://twigeducation.com/" TargetMode="External" Id="rId995" /><Relationship Type="http://schemas.openxmlformats.org/officeDocument/2006/relationships/hyperlink" Target="https://drive.google.com/uc?export=view&amp;id=1eSfjJfWhZKB3KKlP6h83gQs3K0EZq9Op" TargetMode="External" Id="rId996" /><Relationship Type="http://schemas.openxmlformats.org/officeDocument/2006/relationships/hyperlink" Target="http://www.studentlitteratur.se/" TargetMode="External" Id="rId997" /><Relationship Type="http://schemas.openxmlformats.org/officeDocument/2006/relationships/hyperlink" Target="https://twitter.com/Studentlitterat" TargetMode="External" Id="rId998" /><Relationship Type="http://schemas.openxmlformats.org/officeDocument/2006/relationships/hyperlink" Target="https://www.linkedin.com/company/studentlitteratur" TargetMode="External" Id="rId999" /><Relationship Type="http://schemas.openxmlformats.org/officeDocument/2006/relationships/hyperlink" Target="https://drive.google.com/uc?export=view&amp;id=1YI85j1TsJqXtkzktcC5bY27csS3YzOt4" TargetMode="External" Id="rId1000" /><Relationship Type="http://schemas.openxmlformats.org/officeDocument/2006/relationships/hyperlink" Target="https://www.123chemie.de/" TargetMode="External" Id="rId1001" /><Relationship Type="http://schemas.openxmlformats.org/officeDocument/2006/relationships/hyperlink" Target="https://drive.google.com/uc?export=view&amp;id=1vFSvaLUqKh21Cw2NbHFQv6efYz4RIJUd" TargetMode="External" Id="rId1002" /><Relationship Type="http://schemas.openxmlformats.org/officeDocument/2006/relationships/hyperlink" Target="http://hypocampus.fr/" TargetMode="External" Id="rId1003" /><Relationship Type="http://schemas.openxmlformats.org/officeDocument/2006/relationships/hyperlink" Target="https://www.instagram.com/hypocampus.fr/" TargetMode="External" Id="rId1004" /><Relationship Type="http://schemas.openxmlformats.org/officeDocument/2006/relationships/hyperlink" Target="https://www.linkedin.com/company/hypocampus-ab" TargetMode="External" Id="rId1005" /><Relationship Type="http://schemas.openxmlformats.org/officeDocument/2006/relationships/hyperlink" Target="https://drive.google.com/uc?export=view&amp;id=1tCps8JSGsBupSeghtYCTZRPP53HwAy9L" TargetMode="External" Id="rId1006" /><Relationship Type="http://schemas.openxmlformats.org/officeDocument/2006/relationships/hyperlink" Target="https://www.webweaver.de/" TargetMode="External" Id="rId1007" /><Relationship Type="http://schemas.openxmlformats.org/officeDocument/2006/relationships/hyperlink" Target="https://twitter.com/WebWeaver_DE" TargetMode="External" Id="rId1008" /><Relationship Type="http://schemas.openxmlformats.org/officeDocument/2006/relationships/hyperlink" Target="https://www.linkedin.com/company/digionline-gmbh" TargetMode="External" Id="rId1009" /><Relationship Type="http://schemas.openxmlformats.org/officeDocument/2006/relationships/hyperlink" Target="https://drive.google.com/uc?export=view&amp;id=1P1lg9lrdRe-sgmaVY9m39qJNzldk-m_S" TargetMode="External" Id="rId1010" /><Relationship Type="http://schemas.openxmlformats.org/officeDocument/2006/relationships/hyperlink" Target="http://www.esquirrel.com/" TargetMode="External" Id="rId1011" /><Relationship Type="http://schemas.openxmlformats.org/officeDocument/2006/relationships/hyperlink" Target="https://www.instagram.com/esquirrelapp/" TargetMode="External" Id="rId1012" /><Relationship Type="http://schemas.openxmlformats.org/officeDocument/2006/relationships/hyperlink" Target="https://twitter.com/esquirrelapp" TargetMode="External" Id="rId1013" /><Relationship Type="http://schemas.openxmlformats.org/officeDocument/2006/relationships/hyperlink" Target="https://www.linkedin.com/company/esquirrel/" TargetMode="External" Id="rId1014" /><Relationship Type="http://schemas.openxmlformats.org/officeDocument/2006/relationships/hyperlink" Target="https://drive.google.com/uc?export=view&amp;id=1j7oIooMD7COCTlXxIaeXerlBJUggNYVU" TargetMode="External" Id="rId1015" /><Relationship Type="http://schemas.openxmlformats.org/officeDocument/2006/relationships/hyperlink" Target="https://www.medienlb.de/" TargetMode="External" Id="rId1016" /><Relationship Type="http://schemas.openxmlformats.org/officeDocument/2006/relationships/hyperlink" Target="https://mobile.twitter.com/medienlb" TargetMode="External" Id="rId1017" /><Relationship Type="http://schemas.openxmlformats.org/officeDocument/2006/relationships/hyperlink" Target="https://drive.google.com/uc?export=view&amp;id=1Mr4emRSVu5BmOvihMgDy5HAa4hNjVUFA" TargetMode="External" Id="rId1018" /><Relationship Type="http://schemas.openxmlformats.org/officeDocument/2006/relationships/hyperlink" Target="https://oxedandassessment.com/" TargetMode="External" Id="rId1019" /><Relationship Type="http://schemas.openxmlformats.org/officeDocument/2006/relationships/hyperlink" Target="https://drive.google.com/uc?export=view&amp;id=1X6uAHzsZ90xjGcfWdWp_mMag6_zvXihy" TargetMode="External" Id="rId1020" /><Relationship Type="http://schemas.openxmlformats.org/officeDocument/2006/relationships/hyperlink" Target="http://www.didactmedia.eu/" TargetMode="External" Id="rId1021" /><Relationship Type="http://schemas.openxmlformats.org/officeDocument/2006/relationships/hyperlink" Target="https://drive.google.com/uc?export=view&amp;id=189hh6gcu3MRjjqFzoTLQ5nlYZyjgZgoT" TargetMode="External" Id="rId1022" /><Relationship Type="http://schemas.openxmlformats.org/officeDocument/2006/relationships/hyperlink" Target="http://www.eduversum.de/" TargetMode="External" Id="rId1023" /><Relationship Type="http://schemas.openxmlformats.org/officeDocument/2006/relationships/hyperlink" Target="https://www.instagram.com/lehrer_online/" TargetMode="External" Id="rId1024" /><Relationship Type="http://schemas.openxmlformats.org/officeDocument/2006/relationships/hyperlink" Target="https://twitter.com/lehrer_online/" TargetMode="External" Id="rId1025" /><Relationship Type="http://schemas.openxmlformats.org/officeDocument/2006/relationships/hyperlink" Target="https://www.linkedin.com/company/6994438/admin/" TargetMode="External" Id="rId1026" /><Relationship Type="http://schemas.openxmlformats.org/officeDocument/2006/relationships/hyperlink" Target="https://drive.google.com/uc?export=view&amp;id=1sxJCvbjVoBaZ4FLp21VNZWkmJys561Td" TargetMode="External" Id="rId1027" /><Relationship Type="http://schemas.openxmlformats.org/officeDocument/2006/relationships/hyperlink" Target="http://kidescience.com/" TargetMode="External" Id="rId1028" /><Relationship Type="http://schemas.openxmlformats.org/officeDocument/2006/relationships/hyperlink" Target="https://www.instagram.com/kidescience/" TargetMode="External" Id="rId1029" /><Relationship Type="http://schemas.openxmlformats.org/officeDocument/2006/relationships/hyperlink" Target="https://twitter.com/kidescience" TargetMode="External" Id="rId1030" /><Relationship Type="http://schemas.openxmlformats.org/officeDocument/2006/relationships/hyperlink" Target="https://www.linkedin.com/company/kidescience" TargetMode="External" Id="rId1031" /><Relationship Type="http://schemas.openxmlformats.org/officeDocument/2006/relationships/hyperlink" Target="https://drive.google.com/uc?export=view&amp;id=1ZT4h_fG_NW6YggQEdj8GsiNEAncp5ymh" TargetMode="External" Id="rId1032" /><Relationship Type="http://schemas.openxmlformats.org/officeDocument/2006/relationships/hyperlink" Target="http://learnesy.com/" TargetMode="External" Id="rId1033" /><Relationship Type="http://schemas.openxmlformats.org/officeDocument/2006/relationships/hyperlink" Target="https://www.instagram.com/learnesycom/" TargetMode="External" Id="rId1034" /><Relationship Type="http://schemas.openxmlformats.org/officeDocument/2006/relationships/hyperlink" Target="https://www.linkedin.com/company/learnesy" TargetMode="External" Id="rId1035" /><Relationship Type="http://schemas.openxmlformats.org/officeDocument/2006/relationships/hyperlink" Target="https://drive.google.com/uc?export=view&amp;id=1epfOEeCxm3mBwkuNDYkxL4zTbL3SNozR" TargetMode="External" Id="rId1036" /><Relationship Type="http://schemas.openxmlformats.org/officeDocument/2006/relationships/hyperlink" Target="https://www.canopy.education/" TargetMode="External" Id="rId1037" /><Relationship Type="http://schemas.openxmlformats.org/officeDocument/2006/relationships/hyperlink" Target="https://www.instagram.com/canopyCIC/" TargetMode="External" Id="rId1038" /><Relationship Type="http://schemas.openxmlformats.org/officeDocument/2006/relationships/hyperlink" Target="https://twitter.com/CanopyCIC" TargetMode="External" Id="rId1039" /><Relationship Type="http://schemas.openxmlformats.org/officeDocument/2006/relationships/hyperlink" Target="https://www.linkedin.com/company/canopy-cic/" TargetMode="External" Id="rId1040" /><Relationship Type="http://schemas.openxmlformats.org/officeDocument/2006/relationships/hyperlink" Target="https://drive.google.com/uc?export=view&amp;id=1nClQ2zRx4ICHQCySSWjpCKI4dXBa3Nj4" TargetMode="External" Id="rId1041" /><Relationship Type="http://schemas.openxmlformats.org/officeDocument/2006/relationships/hyperlink" Target="http://www.doodlelearning.com/" TargetMode="External" Id="rId1042" /><Relationship Type="http://schemas.openxmlformats.org/officeDocument/2006/relationships/hyperlink" Target="https://www.instagram.com/doodlelearning_" TargetMode="External" Id="rId1043" /><Relationship Type="http://schemas.openxmlformats.org/officeDocument/2006/relationships/hyperlink" Target="https://twitter.com/doodlelearning" TargetMode="External" Id="rId1044" /><Relationship Type="http://schemas.openxmlformats.org/officeDocument/2006/relationships/hyperlink" Target="https://www.linkedin.com/company/ez-education" TargetMode="External" Id="rId1045" /><Relationship Type="http://schemas.openxmlformats.org/officeDocument/2006/relationships/hyperlink" Target="https://drive.google.com/uc?export=view&amp;id=1Xb-guwRv1ellecf5cssaz0sbwKizGtur" TargetMode="External" Id="rId1046" /><Relationship Type="http://schemas.openxmlformats.org/officeDocument/2006/relationships/hyperlink" Target="https://klett.bg/" TargetMode="External" Id="rId1047" /><Relationship Type="http://schemas.openxmlformats.org/officeDocument/2006/relationships/hyperlink" Target="https://bg.linkedin.com/company/klett-bulgaria-ltd-" TargetMode="External" Id="rId1048" /><Relationship Type="http://schemas.openxmlformats.org/officeDocument/2006/relationships/hyperlink" Target="https://drive.google.com/uc?export=view&amp;id=1faisBA-XFRyH0gPYkLTwiZeaH4qaQSlB" TargetMode="External" Id="rId1049" /><Relationship Type="http://schemas.openxmlformats.org/officeDocument/2006/relationships/hyperlink" Target="https://www.voovostudy.com/" TargetMode="External" Id="rId1050" /><Relationship Type="http://schemas.openxmlformats.org/officeDocument/2006/relationships/hyperlink" Target="https://www.instagram.com/voovo.study/" TargetMode="External" Id="rId1051" /><Relationship Type="http://schemas.openxmlformats.org/officeDocument/2006/relationships/hyperlink" Target="https://www.linkedin.com/company/voovo/" TargetMode="External" Id="rId1052" /><Relationship Type="http://schemas.openxmlformats.org/officeDocument/2006/relationships/hyperlink" Target="https://drive.google.com/uc?export=view&amp;id=10dJftsvR6OavYjXB-_NvpyqUrDQH9BaL" TargetMode="External" Id="rId1053" /><Relationship Type="http://schemas.openxmlformats.org/officeDocument/2006/relationships/hyperlink" Target="https://lablife.video/" TargetMode="External" Id="rId1054" /><Relationship Type="http://schemas.openxmlformats.org/officeDocument/2006/relationships/hyperlink" Target="https://www.instagram.com/lablife.video" TargetMode="External" Id="rId1055" /><Relationship Type="http://schemas.openxmlformats.org/officeDocument/2006/relationships/hyperlink" Target="https://www.linkedin.com/company/lablife-video" TargetMode="External" Id="rId1056" /><Relationship Type="http://schemas.openxmlformats.org/officeDocument/2006/relationships/hyperlink" Target="https://drive.google.com/uc?export=view&amp;id=1fWlurD-Fj05QYhJlZxtCEej2m8z4Z0w3" TargetMode="External" Id="rId1057" /><Relationship Type="http://schemas.openxmlformats.org/officeDocument/2006/relationships/hyperlink" Target="https://teach.supportsquare.io/" TargetMode="External" Id="rId1058" /><Relationship Type="http://schemas.openxmlformats.org/officeDocument/2006/relationships/hyperlink" Target="https://be.linkedin.com/company/supportsquare" TargetMode="External" Id="rId1059" /><Relationship Type="http://schemas.openxmlformats.org/officeDocument/2006/relationships/hyperlink" Target="https://drive.google.com/uc?export=view&amp;id=16gVhWPopyINvEcWTYUIGmZhERhZtdpEt" TargetMode="External" Id="rId1060" /><Relationship Type="http://schemas.openxmlformats.org/officeDocument/2006/relationships/hyperlink" Target="https://docfield.com/" TargetMode="External" Id="rId1061" /><Relationship Type="http://schemas.openxmlformats.org/officeDocument/2006/relationships/hyperlink" Target="https://www.linkedin.com/company/docfield/?viewAsMember=true" TargetMode="External" Id="rId1062" /><Relationship Type="http://schemas.openxmlformats.org/officeDocument/2006/relationships/hyperlink" Target="https://drive.google.com/uc?export=view&amp;id=1RtR1ImCPOfkWTq1DE653TvPdF88gNCu4" TargetMode="External" Id="rId1063" /><Relationship Type="http://schemas.openxmlformats.org/officeDocument/2006/relationships/hyperlink" Target="https://elevatehealth.eu/" TargetMode="External" Id="rId1064" /><Relationship Type="http://schemas.openxmlformats.org/officeDocument/2006/relationships/hyperlink" Target="https://www.linkedin.com/company/elevate-health" TargetMode="External" Id="rId1065" /><Relationship Type="http://schemas.openxmlformats.org/officeDocument/2006/relationships/hyperlink" Target="https://drive.google.com/uc?export=view&amp;id=1xrsBXkj2Qt-smxYvgp_2rDo4sHz6PBC_" TargetMode="External" Id="rId1066" /><Relationship Type="http://schemas.openxmlformats.org/officeDocument/2006/relationships/hyperlink" Target="https://gradebuilder.tech/" TargetMode="External" Id="rId1067" /><Relationship Type="http://schemas.openxmlformats.org/officeDocument/2006/relationships/hyperlink" Target="https://x.com/gradebuildertec" TargetMode="External" Id="rId1068" /><Relationship Type="http://schemas.openxmlformats.org/officeDocument/2006/relationships/hyperlink" Target="https://www.linkedin.com/company/gradebuilder/" TargetMode="External" Id="rId1069" /><Relationship Type="http://schemas.openxmlformats.org/officeDocument/2006/relationships/hyperlink" Target="https://drive.google.com/uc?export=view&amp;id=1Iw2roVLWgYa61t_7ewNalQqq-iJH6y2D" TargetMode="External" Id="rId1070" /><Relationship Type="http://schemas.openxmlformats.org/officeDocument/2006/relationships/hyperlink" Target="http://edavia.se/" TargetMode="External" Id="rId1071" /><Relationship Type="http://schemas.openxmlformats.org/officeDocument/2006/relationships/hyperlink" Target="https://www.linkedin.com/company/edavia" TargetMode="External" Id="rId1072" /><Relationship Type="http://schemas.openxmlformats.org/officeDocument/2006/relationships/hyperlink" Target="http://pluggamatte.se/" TargetMode="External" Id="rId1073" /><Relationship Type="http://schemas.openxmlformats.org/officeDocument/2006/relationships/hyperlink" Target="https://drive.google.com/uc?export=view&amp;id=1h_V6egrH56YualvffdRsgWlBIrAoOlrV" TargetMode="External" Id="rId1074" /><Relationship Type="http://schemas.openxmlformats.org/officeDocument/2006/relationships/hyperlink" Target="http://www.ampliro.com/" TargetMode="External" Id="rId1075" /><Relationship Type="http://schemas.openxmlformats.org/officeDocument/2006/relationships/hyperlink" Target="http://x.com/ampliro" TargetMode="External" Id="rId1076" /><Relationship Type="http://schemas.openxmlformats.org/officeDocument/2006/relationships/hyperlink" Target="http://linkedin.com/company/ampliro" TargetMode="External" Id="rId1077" /><Relationship Type="http://schemas.openxmlformats.org/officeDocument/2006/relationships/hyperlink" Target="https://drive.google.com/uc?export=view&amp;id=1PDemQsPeAvE6tGwxdS0ZWc1ROLWdpBn0" TargetMode="External" Id="rId1078" /><Relationship Type="http://schemas.openxmlformats.org/officeDocument/2006/relationships/hyperlink" Target="https://www.talesofmello.com/" TargetMode="External" Id="rId1079" /><Relationship Type="http://schemas.openxmlformats.org/officeDocument/2006/relationships/hyperlink" Target="https://www.instagram.com/daidream.io/" TargetMode="External" Id="rId1080" /><Relationship Type="http://schemas.openxmlformats.org/officeDocument/2006/relationships/hyperlink" Target="https://www.linkedin.com/company/daidream-io" TargetMode="External" Id="rId1081" /><Relationship Type="http://schemas.openxmlformats.org/officeDocument/2006/relationships/hyperlink" Target="https://drive.google.com/uc?export=view&amp;id=1JOZaRIUNolSpDcQQ9ri9xZGFBbIRKJIf" TargetMode="External" Id="rId1082" /><Relationship Type="http://schemas.openxmlformats.org/officeDocument/2006/relationships/hyperlink" Target="https://kumo-cloud.com/" TargetMode="External" Id="rId1083" /><Relationship Type="http://schemas.openxmlformats.org/officeDocument/2006/relationships/hyperlink" Target="https://www.linkedin.com/company/kumocloud/" TargetMode="External" Id="rId1084" /><Relationship Type="http://schemas.openxmlformats.org/officeDocument/2006/relationships/hyperlink" Target="https://drive.google.com/uc?export=view&amp;id=1s3OGLRI-um-cVDJAKoMk4UcOJQLgsn1W" TargetMode="External" Id="rId1085" /><Relationship Type="http://schemas.openxmlformats.org/officeDocument/2006/relationships/hyperlink" Target="https://lms.contipso.com/" TargetMode="External" Id="rId1086" /><Relationship Type="http://schemas.openxmlformats.org/officeDocument/2006/relationships/hyperlink" Target="https://bg.linkedin.com/company/contipso" TargetMode="External" Id="rId1087" /><Relationship Type="http://schemas.openxmlformats.org/officeDocument/2006/relationships/hyperlink" Target="https://drive.google.com/uc?export=view&amp;id=1voPW9jbG7PNJmAnsFRHwoq4NZog2FX9Y" TargetMode="External" Id="rId1088" /><Relationship Type="http://schemas.openxmlformats.org/officeDocument/2006/relationships/hyperlink" Target="https://uni-sofia.bg/index.php/eng/the_university/faculties/faculty_of_education/faculty_clubs_museums_and_centres/centre_of_educational_technologies" TargetMode="External" Id="rId1089" /><Relationship Type="http://schemas.openxmlformats.org/officeDocument/2006/relationships/hyperlink" Target="https://drive.google.com/uc?export=view&amp;id=1ShSw-bOsMcLviGufDGf9zrLkkNnLtx-2" TargetMode="External" Id="rId1090" /><Relationship Type="http://schemas.openxmlformats.org/officeDocument/2006/relationships/hyperlink" Target="https://www.stem-y.com/" TargetMode="External" Id="rId1091" /><Relationship Type="http://schemas.openxmlformats.org/officeDocument/2006/relationships/hyperlink" Target="https://www.linkedin.com/in/stemy-kids-1724162b2/" TargetMode="External" Id="rId1092" /><Relationship Type="http://schemas.openxmlformats.org/officeDocument/2006/relationships/hyperlink" Target="https://drive.google.com/uc?export=view&amp;id=1sjECQtGKlO7qfiVnU3UapMeCsHOXuR30" TargetMode="External" Id="rId1093" /><Relationship Type="http://schemas.openxmlformats.org/officeDocument/2006/relationships/hyperlink" Target="http://www.skip-institut.de/" TargetMode="External" Id="rId1094" /><Relationship Type="http://schemas.openxmlformats.org/officeDocument/2006/relationships/hyperlink" Target="https://drive.google.com/uc?export=view&amp;id=1e2uz5ktifjh8G1d3nHm5ldBqOIzLFP3C" TargetMode="External" Id="rId1095" /><Relationship Type="http://schemas.openxmlformats.org/officeDocument/2006/relationships/hyperlink" Target="http://www.tbs.tech/" TargetMode="External" Id="rId1096" /><Relationship Type="http://schemas.openxmlformats.org/officeDocument/2006/relationships/hyperlink" Target="https://www.linkedin.com/company/telelink-business-services/posts/?feedView=all" TargetMode="External" Id="rId1097" /><Relationship Type="http://schemas.openxmlformats.org/officeDocument/2006/relationships/hyperlink" Target="https://drive.google.com/uc?export=view&amp;id=1aX4sGAG0rjlxjfZ9YIDtqJw2WWmGVILD" TargetMode="External" Id="rId1098" /><Relationship Type="http://schemas.openxmlformats.org/officeDocument/2006/relationships/hyperlink" Target="http://setuniversity.edu.ua/" TargetMode="External" Id="rId1099" /><Relationship Type="http://schemas.openxmlformats.org/officeDocument/2006/relationships/hyperlink" Target="https://www.linkedin.com/company/set-university/" TargetMode="External" Id="rId1100" /><Relationship Type="http://schemas.openxmlformats.org/officeDocument/2006/relationships/hyperlink" Target="https://x.com/SetUniversity" TargetMode="External" Id="rId1101" /><Relationship Type="http://schemas.openxmlformats.org/officeDocument/2006/relationships/hyperlink" Target="https://www.linkedin.com/company/set-university/" TargetMode="External" Id="rId1102" /><Relationship Type="http://schemas.openxmlformats.org/officeDocument/2006/relationships/hyperlink" Target="https://drive.google.com/uc?export=view&amp;id=1JzN45ABSg914ydPxoeifRXovDQvFSnCV" TargetMode="External" Id="rId1103" /><Relationship Type="http://schemas.openxmlformats.org/officeDocument/2006/relationships/hyperlink" Target="http://www.rollama.com/" TargetMode="External" Id="rId1104" /><Relationship Type="http://schemas.openxmlformats.org/officeDocument/2006/relationships/hyperlink" Target="http://instagram.com/rollama_edu" TargetMode="External" Id="rId1105" /><Relationship Type="http://schemas.openxmlformats.org/officeDocument/2006/relationships/hyperlink" Target="http://www.twitter.com/RollamaEdu" TargetMode="External" Id="rId1106" /><Relationship Type="http://schemas.openxmlformats.org/officeDocument/2006/relationships/hyperlink" Target="https://www.linkedin.com/company/81532461" TargetMode="External" Id="rId1107" /><Relationship Type="http://schemas.openxmlformats.org/officeDocument/2006/relationships/hyperlink" Target="https://drive.google.com/uc?export=view&amp;id=1nh5JWNrnLpafBIWOPt5GQcErQFORchnt" TargetMode="External" Id="rId1108" /><Relationship Type="http://schemas.openxmlformats.org/officeDocument/2006/relationships/hyperlink" Target="https://thecoderz.estate/" TargetMode="External" Id="rId1109" /><Relationship Type="http://schemas.openxmlformats.org/officeDocument/2006/relationships/hyperlink" Target="https://www.instagram.com/thecoderz.estate/" TargetMode="External" Id="rId1110" /><Relationship Type="http://schemas.openxmlformats.org/officeDocument/2006/relationships/hyperlink" Target="https://www.linkedin.com/company/thecoderz" TargetMode="External" Id="rId1111" /><Relationship Type="http://schemas.openxmlformats.org/officeDocument/2006/relationships/hyperlink" Target="https://drive.google.com/uc?export=view&amp;id=1C7lE_PMViq9qCdUuukK7dc8rw7RxA0w4" TargetMode="External" Id="rId1112" /><Relationship Type="http://schemas.openxmlformats.org/officeDocument/2006/relationships/hyperlink" Target="https://greenscreenbox.nl/" TargetMode="External" Id="rId1113" /><Relationship Type="http://schemas.openxmlformats.org/officeDocument/2006/relationships/hyperlink" Target="https://www.instagram.com/greenscreenbox/" TargetMode="External" Id="rId1114" /><Relationship Type="http://schemas.openxmlformats.org/officeDocument/2006/relationships/hyperlink" Target="https://nl.linkedin.com/company/monop-greenscreenbox" TargetMode="External" Id="rId1115" /><Relationship Type="http://schemas.openxmlformats.org/officeDocument/2006/relationships/hyperlink" Target="https://drive.google.com/uc?export=view&amp;id=15VHYoGIclV0qDYbhqVvkwPtb6PCSybbN" TargetMode="External" Id="rId1116" /><Relationship Type="http://schemas.openxmlformats.org/officeDocument/2006/relationships/hyperlink" Target="https://skills4impact.org/" TargetMode="External" Id="rId1117" /><Relationship Type="http://schemas.openxmlformats.org/officeDocument/2006/relationships/hyperlink" Target="https://www.linkedin.com/company/101066262/" TargetMode="External" Id="rId1118" /><Relationship Type="http://schemas.openxmlformats.org/officeDocument/2006/relationships/hyperlink" Target="https://drive.google.com/uc?export=view&amp;id=1G4xV9DzTPEqEGbHZUjiM32zuF9qT4JuB" TargetMode="External" Id="rId1119" /><Relationship Type="http://schemas.openxmlformats.org/officeDocument/2006/relationships/hyperlink" Target="http://www.ubbu.io/" TargetMode="External" Id="rId1120" /><Relationship Type="http://schemas.openxmlformats.org/officeDocument/2006/relationships/hyperlink" Target="https://drive.google.com/uc?export=view&amp;id=1j29iI04XkhEf8bWBFEWn1ltr1PIdI5iB" TargetMode="External" Id="rId1121" /><Relationship Type="http://schemas.openxmlformats.org/officeDocument/2006/relationships/hyperlink" Target="http://ikleeralles.nl/" TargetMode="External" Id="rId1122" /><Relationship Type="http://schemas.openxmlformats.org/officeDocument/2006/relationships/hyperlink" Target="https://ikleeralles.nl/" TargetMode="External" Id="rId1123" /><Relationship Type="http://schemas.openxmlformats.org/officeDocument/2006/relationships/hyperlink" Target="https://www.linkedin.com/company/ikleerallesnl/" TargetMode="External" Id="rId1124" /><Relationship Type="http://schemas.openxmlformats.org/officeDocument/2006/relationships/hyperlink" Target="http://ikleeralles.nl/" TargetMode="External" Id="rId1125" /><Relationship Type="http://schemas.openxmlformats.org/officeDocument/2006/relationships/hyperlink" Target="https://drive.google.com/uc?export=view&amp;id=1TiqSZzyLpcbTsG_4q84WsD2qdweR6kqB" TargetMode="External" Id="rId1126" /><Relationship Type="http://schemas.openxmlformats.org/officeDocument/2006/relationships/hyperlink" Target="http://www.test.de/" TargetMode="External" Id="rId1127" /><Relationship Type="http://schemas.openxmlformats.org/officeDocument/2006/relationships/hyperlink" Target="https://drive.google.com/uc?export=view&amp;id=1PmgMWazcSa1IhCndw7vA8M8Zubt54xxJ" TargetMode="External" Id="rId1128" /><Relationship Type="http://schemas.openxmlformats.org/officeDocument/2006/relationships/hyperlink" Target="http://www.matematcasuperpiatta.it/en" TargetMode="External" Id="rId1129" /><Relationship Type="http://schemas.openxmlformats.org/officeDocument/2006/relationships/hyperlink" Target="https://www.instagram.com/matematica.superpiatta/" TargetMode="External" Id="rId1130" /><Relationship Type="http://schemas.openxmlformats.org/officeDocument/2006/relationships/hyperlink" Target="https://www.linkedin.com/company/90944851" TargetMode="External" Id="rId1131" /><Relationship Type="http://schemas.openxmlformats.org/officeDocument/2006/relationships/hyperlink" Target="https://drive.google.com/uc?export=view&amp;id=1iQlptGSiUdAY0yMZ5XqAV8Y4WOUPuvaj" TargetMode="External" Id="rId1132" /><Relationship Type="http://schemas.openxmlformats.org/officeDocument/2006/relationships/hyperlink" Target="http://www.aryzon.world/" TargetMode="External" Id="rId1133" /><Relationship Type="http://schemas.openxmlformats.org/officeDocument/2006/relationships/hyperlink" Target="https://www.instagram.com/aryzon.world/" TargetMode="External" Id="rId1134" /><Relationship Type="http://schemas.openxmlformats.org/officeDocument/2006/relationships/hyperlink" Target="https://www.linkedin.com/company/aryzon-world/" TargetMode="External" Id="rId1135" /><Relationship Type="http://schemas.openxmlformats.org/officeDocument/2006/relationships/hyperlink" Target="https://drive.google.com/uc?export=view&amp;id=17gGzTxu8z7JDFZhDx6pTXyBkfZB6xsKj" TargetMode="External" Id="rId1136" /><Relationship Type="http://schemas.openxmlformats.org/officeDocument/2006/relationships/hyperlink" Target="https://seniorlingua.com/en" TargetMode="External" Id="rId1137" /><Relationship Type="http://schemas.openxmlformats.org/officeDocument/2006/relationships/hyperlink" Target="https://www.instagram.com/seniorlingua/" TargetMode="External" Id="rId1138" /><Relationship Type="http://schemas.openxmlformats.org/officeDocument/2006/relationships/hyperlink" Target="https://www.linkedin.com/company/senior-lingua/" TargetMode="External" Id="rId1139" /><Relationship Type="http://schemas.openxmlformats.org/officeDocument/2006/relationships/hyperlink" Target="https://drive.google.com/uc?export=view&amp;id=1-i87-HBKuqKykDNFFC45hu1J7-D6F2ka" TargetMode="External" Id="rId1140" /><Relationship Type="http://schemas.openxmlformats.org/officeDocument/2006/relationships/hyperlink" Target="http://codeeasy.io/" TargetMode="External" Id="rId1141" /><Relationship Type="http://schemas.openxmlformats.org/officeDocument/2006/relationships/hyperlink" Target="https://codeeasy.io/" TargetMode="External" Id="rId1142" /><Relationship Type="http://schemas.openxmlformats.org/officeDocument/2006/relationships/hyperlink" Target="https://www.instagram.com/codeeasy.io" TargetMode="External" Id="rId1143" /><Relationship Type="http://schemas.openxmlformats.org/officeDocument/2006/relationships/hyperlink" Target="https://www.linkedin.com/company/codeasy" TargetMode="External" Id="rId1144" /><Relationship Type="http://schemas.openxmlformats.org/officeDocument/2006/relationships/hyperlink" Target="https://drive.google.com/uc?export=view&amp;id=1737Gy13sr1wxQ-piMFje3qVHTzuLYuma" TargetMode="External" Id="rId1145" /><Relationship Type="http://schemas.openxmlformats.org/officeDocument/2006/relationships/hyperlink" Target="http://www.furhatrobotics.com/" TargetMode="External" Id="rId1146" /><Relationship Type="http://schemas.openxmlformats.org/officeDocument/2006/relationships/hyperlink" Target="https://www.instagram.com/furhatrobotics/" TargetMode="External" Id="rId1147" /><Relationship Type="http://schemas.openxmlformats.org/officeDocument/2006/relationships/hyperlink" Target="https://twitter.com/furhatrobotics" TargetMode="External" Id="rId1148" /><Relationship Type="http://schemas.openxmlformats.org/officeDocument/2006/relationships/hyperlink" Target="https://www.linkedin.com/company/furhat-robotics/" TargetMode="External" Id="rId1149" /><Relationship Type="http://schemas.openxmlformats.org/officeDocument/2006/relationships/hyperlink" Target="https://drive.google.com/uc?export=view&amp;id=1J2gXlRTPiN96thhQdpX_p62OHT_DZICI" TargetMode="External" Id="rId1150" /><Relationship Type="http://schemas.openxmlformats.org/officeDocument/2006/relationships/hyperlink" Target="http://publiceringsverkyg.mobilestories.se/" TargetMode="External" Id="rId1151" /><Relationship Type="http://schemas.openxmlformats.org/officeDocument/2006/relationships/hyperlink" Target="https://www.linkedin.com/company/mobile-stories/https:/www.linkedin.com/company/mobile-stories/" TargetMode="External" Id="rId1152" /><Relationship Type="http://schemas.openxmlformats.org/officeDocument/2006/relationships/hyperlink" Target="https://drive.google.com/uc?export=view&amp;id=1UwEw4Amf-Lz2GxT4TLkEQQnwi2jvZH_U" TargetMode="External" Id="rId1153" /><Relationship Type="http://schemas.openxmlformats.org/officeDocument/2006/relationships/hyperlink" Target="https://www.nuiteq.com/" TargetMode="External" Id="rId1154" /><Relationship Type="http://schemas.openxmlformats.org/officeDocument/2006/relationships/hyperlink" Target="https://www.linkedin.com/company/nuiteq/" TargetMode="External" Id="rId1155" /><Relationship Type="http://schemas.openxmlformats.org/officeDocument/2006/relationships/hyperlink" Target="https://drive.google.com/uc?export=view&amp;id=1L645_RcN44Qfw_NjO1NP77PGezF0L5S0" TargetMode="External" Id="rId1156" /><Relationship Type="http://schemas.openxmlformats.org/officeDocument/2006/relationships/hyperlink" Target="https://www.wacano.se/" TargetMode="External" Id="rId1157" /><Relationship Type="http://schemas.openxmlformats.org/officeDocument/2006/relationships/hyperlink" Target="https://twitter.com/WacanoSE" TargetMode="External" Id="rId1158" /><Relationship Type="http://schemas.openxmlformats.org/officeDocument/2006/relationships/hyperlink" Target="https://booksquare.se/" TargetMode="External" Id="rId1159" /><Relationship Type="http://schemas.openxmlformats.org/officeDocument/2006/relationships/hyperlink" Target="https://www.instagram.com/booksquare.se/" TargetMode="External" Id="rId1160" /><Relationship Type="http://schemas.openxmlformats.org/officeDocument/2006/relationships/hyperlink" Target="https://twitter.com/booksquare_se" TargetMode="External" Id="rId1161" /><Relationship Type="http://schemas.openxmlformats.org/officeDocument/2006/relationships/hyperlink" Target="https://www.linkedin.com/company/booksquaresweden" TargetMode="External" Id="rId1162" /><Relationship Type="http://schemas.openxmlformats.org/officeDocument/2006/relationships/hyperlink" Target="https://drive.google.com/uc?export=view&amp;id=1zZsO_Rs9yi_YIDyxQS1AwOQzAaFw3Hw8" TargetMode="External" Id="rId1163" /><Relationship Type="http://schemas.openxmlformats.org/officeDocument/2006/relationships/hyperlink" Target="http://www.baobabooks.com/" TargetMode="External" Id="rId1164" /><Relationship Type="http://schemas.openxmlformats.org/officeDocument/2006/relationships/hyperlink" Target="https://www.instagram.com/baobabooks/" TargetMode="External" Id="rId1165" /><Relationship Type="http://schemas.openxmlformats.org/officeDocument/2006/relationships/hyperlink" Target="https://twitter.com/Baobabooks1" TargetMode="External" Id="rId1166" /><Relationship Type="http://schemas.openxmlformats.org/officeDocument/2006/relationships/hyperlink" Target="https://www.linkedin.com/company/baobabooks/mycompany/" TargetMode="External" Id="rId1167" /><Relationship Type="http://schemas.openxmlformats.org/officeDocument/2006/relationships/hyperlink" Target="http://baobabooks.com/" TargetMode="External" Id="rId1168" /><Relationship Type="http://schemas.openxmlformats.org/officeDocument/2006/relationships/hyperlink" Target="https://drive.google.com/uc?export=view&amp;id=1wUE_3FzSjcwmqUmfAXHJaH6PeErA0M_M" TargetMode="External" Id="rId1169" /><Relationship Type="http://schemas.openxmlformats.org/officeDocument/2006/relationships/hyperlink" Target="https://brainy.gr/" TargetMode="External" Id="rId1170" /><Relationship Type="http://schemas.openxmlformats.org/officeDocument/2006/relationships/hyperlink" Target="https://www.instagram.com/brainy.gr/" TargetMode="External" Id="rId1171" /><Relationship Type="http://schemas.openxmlformats.org/officeDocument/2006/relationships/hyperlink" Target="https://www.linkedin.com/company/brainy-gr/" TargetMode="External" Id="rId1172" /><Relationship Type="http://schemas.openxmlformats.org/officeDocument/2006/relationships/hyperlink" Target="https://drive.google.com/uc?export=view&amp;id=1AUtQaow05e4Omzorl2DvTpmPb82s_8-0" TargetMode="External" Id="rId1173" /><Relationship Type="http://schemas.openxmlformats.org/officeDocument/2006/relationships/hyperlink" Target="https://abstract-technology.de/de" TargetMode="External" Id="rId1174" /><Relationship Type="http://schemas.openxmlformats.org/officeDocument/2006/relationships/hyperlink" Target="https://x.com/abstractGmbH" TargetMode="External" Id="rId1175" /><Relationship Type="http://schemas.openxmlformats.org/officeDocument/2006/relationships/hyperlink" Target="https://www.linkedin.com/company/abstract-technology-gmbh/" TargetMode="External" Id="rId1176" /><Relationship Type="http://schemas.openxmlformats.org/officeDocument/2006/relationships/hyperlink" Target="https://drive.google.com/uc?export=view&amp;id=1QkRC8kOa_-tyPVsRmP5ZgKp8pJ3Wby4h" TargetMode="External" Id="rId1177" /><Relationship Type="http://schemas.openxmlformats.org/officeDocument/2006/relationships/hyperlink" Target="http://music-crab.com/" TargetMode="External" Id="rId1178" /><Relationship Type="http://schemas.openxmlformats.org/officeDocument/2006/relationships/hyperlink" Target="https://drive.google.com/uc?export=view&amp;id=1QmrwTrHQvRjELUHeOStYw9nzi28tEzMp" TargetMode="External" Id="rId1179" /><Relationship Type="http://schemas.openxmlformats.org/officeDocument/2006/relationships/hyperlink" Target="https://orbit8.app/" TargetMode="External" Id="rId1180" /><Relationship Type="http://schemas.openxmlformats.org/officeDocument/2006/relationships/hyperlink" Target="https://www.instagram.com/orbit8_app" TargetMode="External" Id="rId1181" /><Relationship Type="http://schemas.openxmlformats.org/officeDocument/2006/relationships/hyperlink" Target="https://www.linkedin.com/company/orbit8" TargetMode="External" Id="rId1182" /><Relationship Type="http://schemas.openxmlformats.org/officeDocument/2006/relationships/hyperlink" Target="https://drive.google.com/uc?export=view&amp;id=1S-o6oAGOyNyhT2_yR9VWFtHh96doI8Zm" TargetMode="External" Id="rId1183" /><Relationship Type="http://schemas.openxmlformats.org/officeDocument/2006/relationships/hyperlink" Target="http://www.itenlearning.com/" TargetMode="External" Id="rId1184" /><Relationship Type="http://schemas.openxmlformats.org/officeDocument/2006/relationships/hyperlink" Target="https://www.instagram.com/itenlearning_es/" TargetMode="External" Id="rId1185" /><Relationship Type="http://schemas.openxmlformats.org/officeDocument/2006/relationships/hyperlink" Target="https://www.linkedin.com/company/itenlearning/?viewAsMember=true" TargetMode="External" Id="rId1186" /><Relationship Type="http://schemas.openxmlformats.org/officeDocument/2006/relationships/hyperlink" Target="https://drive.google.com/uc?export=view&amp;id=1nzx25kkpfwvU2Kg6a1ai5UBtOQRShJU9" TargetMode="External" Id="rId1187" /><Relationship Type="http://schemas.openxmlformats.org/officeDocument/2006/relationships/hyperlink" Target="http://www.classinthebox.com/" TargetMode="External" Id="rId1188" /><Relationship Type="http://schemas.openxmlformats.org/officeDocument/2006/relationships/hyperlink" Target="https://drive.google.com/uc?export=view&amp;id=1mBKlYZ4EI0W4_wmMvDlMDsNmW7aLVUvH" TargetMode="External" Id="rId1189" /><Relationship Type="http://schemas.openxmlformats.org/officeDocument/2006/relationships/hyperlink" Target="http://www.springlab.nl/" TargetMode="External" Id="rId1190" /><Relationship Type="http://schemas.openxmlformats.org/officeDocument/2006/relationships/hyperlink" Target="https://www.instagram.com/springlabnl/" TargetMode="External" Id="rId1191" /><Relationship Type="http://schemas.openxmlformats.org/officeDocument/2006/relationships/hyperlink" Target="https://www.linkedin.com/company/springlab-nl/" TargetMode="External" Id="rId1192" /><Relationship Type="http://schemas.openxmlformats.org/officeDocument/2006/relationships/hyperlink" Target="https://drive.google.com/uc?export=view&amp;id=1KSkqvo-u2ciar63nVbxtjj-r4lX2kASh" TargetMode="External" Id="rId1193" /><Relationship Type="http://schemas.openxmlformats.org/officeDocument/2006/relationships/hyperlink" Target="http://www.ninefeb.com/" TargetMode="External" Id="rId1194" /><Relationship Type="http://schemas.openxmlformats.org/officeDocument/2006/relationships/hyperlink" Target="https://www.linkedin.com/company/6522826/" TargetMode="External" Id="rId1195" /><Relationship Type="http://schemas.openxmlformats.org/officeDocument/2006/relationships/hyperlink" Target="https://drive.google.com/uc?export=view&amp;id=11R7b7YRJ28NDU3GzDmXVqunBFjZHY6RP" TargetMode="External" Id="rId1196" /><Relationship Type="http://schemas.openxmlformats.org/officeDocument/2006/relationships/hyperlink" Target="https://www.eduvolutionx.com/" TargetMode="External" Id="rId1197" /><Relationship Type="http://schemas.openxmlformats.org/officeDocument/2006/relationships/hyperlink" Target="https://www.linkedin.com/company/eduvolutionx/" TargetMode="External" Id="rId1198" /><Relationship Type="http://schemas.openxmlformats.org/officeDocument/2006/relationships/hyperlink" Target="https://drive.google.com/uc?export=view&amp;id=1-uJgN80nDfAzGxhggOO9sQIJ8cVAERHc" TargetMode="External" Id="rId1199" /><Relationship Type="http://schemas.openxmlformats.org/officeDocument/2006/relationships/hyperlink" Target="https://www.mywizzie.com/" TargetMode="External" Id="rId1200" /><Relationship Type="http://schemas.openxmlformats.org/officeDocument/2006/relationships/hyperlink" Target="https://www.instagram.com/wizzieapp/" TargetMode="External" Id="rId1201" /><Relationship Type="http://schemas.openxmlformats.org/officeDocument/2006/relationships/hyperlink" Target="https://twitter.com/wizzieapp/" TargetMode="External" Id="rId1202" /><Relationship Type="http://schemas.openxmlformats.org/officeDocument/2006/relationships/hyperlink" Target="https://www.linkedin.com/company/wizzieapp/" TargetMode="External" Id="rId1203" /><Relationship Type="http://schemas.openxmlformats.org/officeDocument/2006/relationships/hyperlink" Target="https://drive.google.com/uc?export=view&amp;id=1UJsFCFwMIKbVPwHMUYqvCOCvrzcoRYCY" TargetMode="External" Id="rId1204" /><Relationship Type="http://schemas.openxmlformats.org/officeDocument/2006/relationships/hyperlink" Target="https://piogroup.net/" TargetMode="External" Id="rId1205" /><Relationship Type="http://schemas.openxmlformats.org/officeDocument/2006/relationships/hyperlink" Target="https://www.instagram.com/piogroup_software/" TargetMode="External" Id="rId1206" /><Relationship Type="http://schemas.openxmlformats.org/officeDocument/2006/relationships/hyperlink" Target="https://www.linkedin.com/company/10346147" TargetMode="External" Id="rId1207" /><Relationship Type="http://schemas.openxmlformats.org/officeDocument/2006/relationships/hyperlink" Target="https://drive.google.com/uc?export=view&amp;id=1yNu9dj0CWalapMprBk9pXWyfmWIeERzp" TargetMode="External" Id="rId1208" /><Relationship Type="http://schemas.openxmlformats.org/officeDocument/2006/relationships/hyperlink" Target="https://everyonecodes.io/" TargetMode="External" Id="rId1209" /><Relationship Type="http://schemas.openxmlformats.org/officeDocument/2006/relationships/hyperlink" Target="https://www.linkedin.com/company/everyonecodes" TargetMode="External" Id="rId1210" /><Relationship Type="http://schemas.openxmlformats.org/officeDocument/2006/relationships/hyperlink" Target="https://drive.google.com/uc?export=view&amp;id=192mk0iNtChldVg6kvO3cwrdf7HY1snVY" TargetMode="External" Id="rId1211" /><Relationship Type="http://schemas.openxmlformats.org/officeDocument/2006/relationships/hyperlink" Target="https://www.kialo-edu.com/" TargetMode="External" Id="rId1212" /><Relationship Type="http://schemas.openxmlformats.org/officeDocument/2006/relationships/hyperlink" Target="https://x.com/kialoedu" TargetMode="External" Id="rId1213" /><Relationship Type="http://schemas.openxmlformats.org/officeDocument/2006/relationships/hyperlink" Target="https://www.linkedin.com/company/kialo" TargetMode="External" Id="rId1214" /><Relationship Type="http://schemas.openxmlformats.org/officeDocument/2006/relationships/hyperlink" Target="https://drive.google.com/uc?export=view&amp;id=1qBZSNkvwyTDywYSbXUHzoTr8vKa3pDAZ" TargetMode="External" Id="rId1215" /><Relationship Type="http://schemas.openxmlformats.org/officeDocument/2006/relationships/hyperlink" Target="https://www.omniabuildings.nl/" TargetMode="External" Id="rId1216" /><Relationship Type="http://schemas.openxmlformats.org/officeDocument/2006/relationships/hyperlink" Target="https://www.instagram.com/pleqcampus/" TargetMode="External" Id="rId1217" /><Relationship Type="http://schemas.openxmlformats.org/officeDocument/2006/relationships/hyperlink" Target="https://www.linkedin.com/company/omnia-smartcampus" TargetMode="External" Id="rId1218" /><Relationship Type="http://schemas.openxmlformats.org/officeDocument/2006/relationships/hyperlink" Target="https://drive.google.com/uc?export=view&amp;id=1QNUskMomrN-D6pcAJZrEWNyB-PW1kFUk" TargetMode="External" Id="rId1219" /><Relationship Type="http://schemas.openxmlformats.org/officeDocument/2006/relationships/hyperlink" Target="http://www.kognity.com/" TargetMode="External" Id="rId1220" /><Relationship Type="http://schemas.openxmlformats.org/officeDocument/2006/relationships/hyperlink" Target="https://drive.google.com/uc?export=view&amp;id=167feE1eCXHjsG-MQX51cNOmfbB3CLdWU" TargetMode="External" Id="rId1221" /><Relationship Type="http://schemas.openxmlformats.org/officeDocument/2006/relationships/hyperlink" Target="http://www.beta.vision/" TargetMode="External" Id="rId1222" /><Relationship Type="http://schemas.openxmlformats.org/officeDocument/2006/relationships/hyperlink" Target="https://www.linkedin.com/company/betabusinessinnovation/" TargetMode="External" Id="rId1223" /><Relationship Type="http://schemas.openxmlformats.org/officeDocument/2006/relationships/hyperlink" Target="https://drive.google.com/uc?export=view&amp;id=1X61aJMZlBJT5HelyXP0H9KAMZ3FXbd5s" TargetMode="External" Id="rId1224" /><Relationship Type="http://schemas.openxmlformats.org/officeDocument/2006/relationships/hyperlink" Target="https://www.bitdegree.org/" TargetMode="External" Id="rId1225" /><Relationship Type="http://schemas.openxmlformats.org/officeDocument/2006/relationships/hyperlink" Target="https://www.instagram.com/bitdegree/" TargetMode="External" Id="rId1226" /><Relationship Type="http://schemas.openxmlformats.org/officeDocument/2006/relationships/hyperlink" Target="https://wwww.x.com/BitDegree" TargetMode="External" Id="rId1227" /><Relationship Type="http://schemas.openxmlformats.org/officeDocument/2006/relationships/hyperlink" Target="https://www.linkedin.com/company/bitdegree/" TargetMode="External" Id="rId1228" /><Relationship Type="http://schemas.openxmlformats.org/officeDocument/2006/relationships/hyperlink" Target="https://drive.google.com/uc?export=view&amp;id=1P3zWqrukiddfcpqhqtBcqiqQsZSiD9jK" TargetMode="External" Id="rId1229" /><Relationship Type="http://schemas.openxmlformats.org/officeDocument/2006/relationships/hyperlink" Target="https://www.edtake.com/en" TargetMode="External" Id="rId1230" /><Relationship Type="http://schemas.openxmlformats.org/officeDocument/2006/relationships/hyperlink" Target="https://www.linkedin.com/company/edtake" TargetMode="External" Id="rId1231" /><Relationship Type="http://schemas.openxmlformats.org/officeDocument/2006/relationships/hyperlink" Target="http://edtake.ai/" TargetMode="External" Id="rId1232" /><Relationship Type="http://schemas.openxmlformats.org/officeDocument/2006/relationships/hyperlink" Target="https://drive.google.com/uc?export=view&amp;id=1W837jH_PBeQCejmQDYnqrlBsC2vgSvJC" TargetMode="External" Id="rId1233" /><Relationship Type="http://schemas.openxmlformats.org/officeDocument/2006/relationships/hyperlink" Target="https://micromate.ai/" TargetMode="External" Id="rId1234" /><Relationship Type="http://schemas.openxmlformats.org/officeDocument/2006/relationships/hyperlink" Target="https://www.instagram.com/micromate_learning/" TargetMode="External" Id="rId1235" /><Relationship Type="http://schemas.openxmlformats.org/officeDocument/2006/relationships/hyperlink" Target="https://x.com/Micromate_ai" TargetMode="External" Id="rId1236" /><Relationship Type="http://schemas.openxmlformats.org/officeDocument/2006/relationships/hyperlink" Target="https://www.linkedin.com/company/micromate-learning/" TargetMode="External" Id="rId1237" /><Relationship Type="http://schemas.openxmlformats.org/officeDocument/2006/relationships/hyperlink" Target="https://drive.google.com/uc?export=view&amp;id=1SciFpk85YUHxS9T94o3c5k55XiyDA3vj" TargetMode="External" Id="rId1238" /><Relationship Type="http://schemas.openxmlformats.org/officeDocument/2006/relationships/hyperlink" Target="https://edulia.it/company/" TargetMode="External" Id="rId1239" /><Relationship Type="http://schemas.openxmlformats.org/officeDocument/2006/relationships/hyperlink" Target="https://www.linkedin.com/company/eduliatreccani" TargetMode="External" Id="rId1240" /><Relationship Type="http://schemas.openxmlformats.org/officeDocument/2006/relationships/hyperlink" Target="https://drive.google.com/uc?export=view&amp;id=1TZOr6Iw9uQt6xALwF3Fh--g9WCsMR5VR" TargetMode="External" Id="rId1241" /><Relationship Type="http://schemas.openxmlformats.org/officeDocument/2006/relationships/hyperlink" Target="https://www.lmddc.lu/" TargetMode="External" Id="rId1242" /><Relationship Type="http://schemas.openxmlformats.org/officeDocument/2006/relationships/hyperlink" Target="https://x.com/skilltech_LU" TargetMode="External" Id="rId1243" /><Relationship Type="http://schemas.openxmlformats.org/officeDocument/2006/relationships/hyperlink" Target="https://www.linkedin.com/company/81318169/admin/dashboard/" TargetMode="External" Id="rId1244" /><Relationship Type="http://schemas.openxmlformats.org/officeDocument/2006/relationships/hyperlink" Target="https://drive.google.com/uc?export=view&amp;id=14yRcdY7sOmfImPt84e8ZpwdVqqPvulXK" TargetMode="External" Id="rId1245" /><Relationship Type="http://schemas.openxmlformats.org/officeDocument/2006/relationships/hyperlink" Target="https://astra.si/en/astra-ai/" TargetMode="External" Id="rId1246" /><Relationship Type="http://schemas.openxmlformats.org/officeDocument/2006/relationships/hyperlink" Target="https://www.instagram.com/astra_ai_official/" TargetMode="External" Id="rId1247" /><Relationship Type="http://schemas.openxmlformats.org/officeDocument/2006/relationships/hyperlink" Target="https://www.linkedin.com/company/astra-si/" TargetMode="External" Id="rId1248" /><Relationship Type="http://schemas.openxmlformats.org/officeDocument/2006/relationships/hyperlink" Target="https://drive.google.com/uc?export=view&amp;id=1paK-hsfO4S6AEZyLP000Cdiio1c969Eo" TargetMode="External" Id="rId1249" /><Relationship Type="http://schemas.openxmlformats.org/officeDocument/2006/relationships/hyperlink" Target="http://www.nightzookeeper.com/" TargetMode="External" Id="rId1250" /><Relationship Type="http://schemas.openxmlformats.org/officeDocument/2006/relationships/hyperlink" Target="https://www.instagram.com/nightzookeeper/?hl=en" TargetMode="External" Id="rId1251" /><Relationship Type="http://schemas.openxmlformats.org/officeDocument/2006/relationships/hyperlink" Target="https://x.com/nightzookeeper?lang=en&amp;mx=2" TargetMode="External" Id="rId1252" /><Relationship Type="http://schemas.openxmlformats.org/officeDocument/2006/relationships/hyperlink" Target="https://www.linkedin.com/company/night-zookeeper/?viewAsMember=true" TargetMode="External" Id="rId1253" /><Relationship Type="http://schemas.openxmlformats.org/officeDocument/2006/relationships/hyperlink" Target="https://drive.google.com/uc?export=view&amp;id=1cT2fOYtlYB09QjCpRET3Q5kNmicoP2eU" TargetMode="External" Id="rId1254" /><Relationship Type="http://schemas.openxmlformats.org/officeDocument/2006/relationships/hyperlink" Target="https://exr.education/" TargetMode="External" Id="rId1255" /><Relationship Type="http://schemas.openxmlformats.org/officeDocument/2006/relationships/hyperlink" Target="https://www.linkedin.com/company/exrsolutions/" TargetMode="External" Id="rId1256" /><Relationship Type="http://schemas.openxmlformats.org/officeDocument/2006/relationships/hyperlink" Target="https://drive.google.com/uc?export=view&amp;id=1wv6ERHE1kOQM4b5DqeDX2f1eguka5LIZ" TargetMode="External" Id="rId1257" /><Relationship Type="http://schemas.openxmlformats.org/officeDocument/2006/relationships/hyperlink" Target="https://aktiedysten.dk/" TargetMode="External" Id="rId1258" /><Relationship Type="http://schemas.openxmlformats.org/officeDocument/2006/relationships/hyperlink" Target="https://www.instagram.com/aktiedysten" TargetMode="External" Id="rId1259" /><Relationship Type="http://schemas.openxmlformats.org/officeDocument/2006/relationships/hyperlink" Target="https://www.instagram.com/aktiedysten/" TargetMode="External" Id="rId1260" /><Relationship Type="http://schemas.openxmlformats.org/officeDocument/2006/relationships/hyperlink" Target="https://www.linkedin.com/company/12662458" TargetMode="External" Id="rId1261" /><Relationship Type="http://schemas.openxmlformats.org/officeDocument/2006/relationships/hyperlink" Target="https://drive.google.com/uc?export=view&amp;id=1V5iQ3jqJOhe-NJ0N59xMg0Q9dOz1CeTN" TargetMode="External" Id="rId1262" /><Relationship Type="http://schemas.openxmlformats.org/officeDocument/2006/relationships/hyperlink" Target="https://mydys.app/fr/" TargetMode="External" Id="rId1263" /><Relationship Type="http://schemas.openxmlformats.org/officeDocument/2006/relationships/hyperlink" Target="https://www.instagram.com/facil_iti/" TargetMode="External" Id="rId1264" /><Relationship Type="http://schemas.openxmlformats.org/officeDocument/2006/relationships/hyperlink" Target="https://twitter.com/facil_iti" TargetMode="External" Id="rId1265" /><Relationship Type="http://schemas.openxmlformats.org/officeDocument/2006/relationships/hyperlink" Target="https://www.linkedin.com/company/facil-iti-france/mycompany/" TargetMode="External" Id="rId1266" /><Relationship Type="http://schemas.openxmlformats.org/officeDocument/2006/relationships/hyperlink" Target="https://drive.google.com/uc?export=view&amp;id=1DwKrB6fjFGNMmxGxF89k6T46U5XDWwF8" TargetMode="External" Id="rId1267" /><Relationship Type="http://schemas.openxmlformats.org/officeDocument/2006/relationships/hyperlink" Target="https://acco.be/en/learning-solutions-for-businesses/" TargetMode="External" Id="rId1268" /><Relationship Type="http://schemas.openxmlformats.org/officeDocument/2006/relationships/hyperlink" Target="https://altereyes.com/" TargetMode="External" Id="rId1269" /><Relationship Type="http://schemas.openxmlformats.org/officeDocument/2006/relationships/hyperlink" Target="http://www.cyberneticwalrus.be/" TargetMode="External" Id="rId1270" /><Relationship Type="http://schemas.openxmlformats.org/officeDocument/2006/relationships/hyperlink" Target="https://denkie.com/" TargetMode="External" Id="rId1271" /><Relationship Type="http://schemas.openxmlformats.org/officeDocument/2006/relationships/hyperlink" Target="https://www.diekeure.be/educatief/kabas/" TargetMode="External" Id="rId1272" /><Relationship Type="http://schemas.openxmlformats.org/officeDocument/2006/relationships/hyperlink" Target="https://www.flowsparks.com/" TargetMode="External" Id="rId1273" /><Relationship Type="http://schemas.openxmlformats.org/officeDocument/2006/relationships/hyperlink" Target="https://www.gynzy.com/nl-be" TargetMode="External" Id="rId1274" /><Relationship Type="http://schemas.openxmlformats.org/officeDocument/2006/relationships/hyperlink" Target="https://www.laurea.be/" TargetMode="External" Id="rId1275" /><Relationship Type="http://schemas.openxmlformats.org/officeDocument/2006/relationships/hyperlink" Target="https://lexima.be/" TargetMode="External" Id="rId1276" /><Relationship Type="http://schemas.openxmlformats.org/officeDocument/2006/relationships/hyperlink" Target="https://lexima.nl/" TargetMode="External" Id="rId1277" /><Relationship Type="http://schemas.openxmlformats.org/officeDocument/2006/relationships/hyperlink" Target="https://www.ulia.be/" TargetMode="External" Id="rId1278" /><Relationship Type="http://schemas.openxmlformats.org/officeDocument/2006/relationships/hyperlink" Target="https://uqalify.com/" TargetMode="External" Id="rId1279" /><Relationship Type="http://schemas.openxmlformats.org/officeDocument/2006/relationships/hyperlink" Target="https://neolearning.eu/" TargetMode="External" Id="rId1280" /><Relationship Type="http://schemas.openxmlformats.org/officeDocument/2006/relationships/hyperlink" Target="http://eworking.it/" TargetMode="External" Id="rId1281" /><Relationship Type="http://schemas.openxmlformats.org/officeDocument/2006/relationships/hyperlink" Target="https://www.instagram.com/eworking.it/" TargetMode="External" Id="rId1282" /><Relationship Type="http://schemas.openxmlformats.org/officeDocument/2006/relationships/hyperlink" Target="https://www.linkedin.com/company/eworking/" TargetMode="External" Id="rId1283" /><Relationship Type="http://schemas.openxmlformats.org/officeDocument/2006/relationships/hyperlink" Target="https://drive.google.com/uc?export=view&amp;id=13qNKJfXDG2UBpRQF-FV-xMKaVYU4KrOx" TargetMode="External" Id="rId1284" /><Relationship Type="http://schemas.openxmlformats.org/officeDocument/2006/relationships/hyperlink" Target="https://www.futurehorizonseducation.com/" TargetMode="External" Id="rId1285" /><Relationship Type="http://schemas.openxmlformats.org/officeDocument/2006/relationships/hyperlink" Target="https://x.com/FutureHori56378" TargetMode="External" Id="rId1286" /><Relationship Type="http://schemas.openxmlformats.org/officeDocument/2006/relationships/hyperlink" Target="https://www.linkedin.com/company/future-horizons-education/?viewAsMember=true" TargetMode="External" Id="rId1287" /><Relationship Type="http://schemas.openxmlformats.org/officeDocument/2006/relationships/hyperlink" Target="https://drive.google.com/uc?export=view&amp;id=1bUPEk2zZot9Phg5yrvJ3mCyBwZOZoSEb" TargetMode="External" Id="rId1288" /><Relationship Type="http://schemas.openxmlformats.org/officeDocument/2006/relationships/hyperlink" Target="http://www.sentiraxr.com/" TargetMode="External" Id="rId1289" /><Relationship Type="http://schemas.openxmlformats.org/officeDocument/2006/relationships/hyperlink" Target="https://x.com/SentiraXR" TargetMode="External" Id="rId1290" /><Relationship Type="http://schemas.openxmlformats.org/officeDocument/2006/relationships/hyperlink" Target="https://www.linkedin.com/company/sentira-xr/" TargetMode="External" Id="rId1291" /><Relationship Type="http://schemas.openxmlformats.org/officeDocument/2006/relationships/hyperlink" Target="https://drive.google.com/uc?export=view&amp;id=1bVRbQFiresO2WZ4OysIzVcZFULkiTvrZ" TargetMode="External" Id="rId1292" /><Relationship Type="http://schemas.openxmlformats.org/officeDocument/2006/relationships/hyperlink" Target="https://braincore.swiss/en/" TargetMode="External" Id="rId1293" /><Relationship Type="http://schemas.openxmlformats.org/officeDocument/2006/relationships/hyperlink" Target="https://www.linkedin.com/company/braincore" TargetMode="External" Id="rId1294" /><Relationship Type="http://schemas.openxmlformats.org/officeDocument/2006/relationships/hyperlink" Target="https://drive.google.com/uc?export=view&amp;id=1NusC2PGeYj-w8E-YQ20NrDz0CNjBasyi" TargetMode="External" Id="rId1295" /><Relationship Type="http://schemas.openxmlformats.org/officeDocument/2006/relationships/hyperlink" Target="http://www.peek.app/" TargetMode="External" Id="rId1296" /><Relationship Type="http://schemas.openxmlformats.org/officeDocument/2006/relationships/hyperlink" Target="https://www.linkedin.com/company/67243846" TargetMode="External" Id="rId1297" /><Relationship Type="http://schemas.openxmlformats.org/officeDocument/2006/relationships/hyperlink" Target="https://drive.google.com/uc?export=view&amp;id=1y5UIFYXs4VpmnXEWjQpJLP-JYsoU_O43" TargetMode="External" Id="rId1298" /><Relationship Type="http://schemas.openxmlformats.org/officeDocument/2006/relationships/hyperlink" Target="https://chattutor.io/" TargetMode="External" Id="rId1299" /><Relationship Type="http://schemas.openxmlformats.org/officeDocument/2006/relationships/hyperlink" Target="https://drive.google.com/uc?export=view&amp;id=1xmTXbr2Jqt8Aeq-guApVl_WfW_6NtKyO" TargetMode="External" Id="rId1300" /><Relationship Type="http://schemas.openxmlformats.org/officeDocument/2006/relationships/hyperlink" Target="http://www.jetlearn.com/" TargetMode="External" Id="rId1301" /><Relationship Type="http://schemas.openxmlformats.org/officeDocument/2006/relationships/hyperlink" Target="https://www.linkedin.com/company/jet-learn" TargetMode="External" Id="rId1302" /><Relationship Type="http://schemas.openxmlformats.org/officeDocument/2006/relationships/hyperlink" Target="https://drive.google.com/uc?export=view&amp;id=1u--uHxIjbQgF02WtElFk3ViF4HuWMSIa" TargetMode="External" Id="rId1303" /><Relationship Type="http://schemas.openxmlformats.org/officeDocument/2006/relationships/hyperlink" Target="https://automated.education/" TargetMode="External" Id="rId1304" /><Relationship Type="http://schemas.openxmlformats.org/officeDocument/2006/relationships/hyperlink" Target="https://www.instagram.com/automated.education/" TargetMode="External" Id="rId1305" /><Relationship Type="http://schemas.openxmlformats.org/officeDocument/2006/relationships/hyperlink" Target="https://www.linkedin.com/company/102511543/" TargetMode="External" Id="rId1306" /><Relationship Type="http://schemas.openxmlformats.org/officeDocument/2006/relationships/hyperlink" Target="https://drive.google.com/uc?export=view&amp;id=1NDVO3PpnqAdmtHlJndyfeKhCzAZkLTG3" TargetMode="External" Id="rId1307" /><Relationship Type="http://schemas.openxmlformats.org/officeDocument/2006/relationships/hyperlink" Target="https://gamsplatform.com/" TargetMode="External" Id="rId1308" /><Relationship Type="http://schemas.openxmlformats.org/officeDocument/2006/relationships/hyperlink" Target="https://www.instagram.com/gamsplatform" TargetMode="External" Id="rId1309" /><Relationship Type="http://schemas.openxmlformats.org/officeDocument/2006/relationships/hyperlink" Target="https://www.linkedin.com/company/gamsplatform/" TargetMode="External" Id="rId1310" /><Relationship Type="http://schemas.openxmlformats.org/officeDocument/2006/relationships/hyperlink" Target="https://drive.google.com/uc?export=view&amp;id=1i1-mMnEgGLU3pXOkVVLruKtD8j2x6nxl" TargetMode="External" Id="rId1311" /><Relationship Type="http://schemas.openxmlformats.org/officeDocument/2006/relationships/hyperlink" Target="https://hihaho.com/" TargetMode="External" Id="rId1312" /><Relationship Type="http://schemas.openxmlformats.org/officeDocument/2006/relationships/hyperlink" Target="https://www.linkedin.com/company/hihaho/mycompany/" TargetMode="External" Id="rId1313" /><Relationship Type="http://schemas.openxmlformats.org/officeDocument/2006/relationships/hyperlink" Target="https://drive.google.com/uc?export=view&amp;id=1xZJOt-CBkTwrccfTksl4xvGr3-IUGkRq" TargetMode="External" Id="rId1314" /><Relationship Type="http://schemas.openxmlformats.org/officeDocument/2006/relationships/hyperlink" Target="http://www.brightgame.com/" TargetMode="External" Id="rId1315" /><Relationship Type="http://schemas.openxmlformats.org/officeDocument/2006/relationships/hyperlink" Target="https://www.linkedin.com/company/skillsplay-ltd/" TargetMode="External" Id="rId1316" /><Relationship Type="http://schemas.openxmlformats.org/officeDocument/2006/relationships/hyperlink" Target="https://drive.google.com/uc?export=view&amp;id=1_2paPPiy2gOHouf52PfmtDL5txb3SPJy" TargetMode="External" Id="rId1317" /><Relationship Type="http://schemas.openxmlformats.org/officeDocument/2006/relationships/hyperlink" Target="http://www.dibs-school.com/" TargetMode="External" Id="rId1318" /><Relationship Type="http://schemas.openxmlformats.org/officeDocument/2006/relationships/hyperlink" Target="https://drive.google.com/uc?export=view&amp;id=1enyRbrKQ8mYyOnjJnl_hm6APAsdZEP_s" TargetMode="External" Id="rId1319" /><Relationship Type="http://schemas.openxmlformats.org/officeDocument/2006/relationships/hyperlink" Target="https://eddilake.de/" TargetMode="External" Id="rId1320" /><Relationship Type="http://schemas.openxmlformats.org/officeDocument/2006/relationships/hyperlink" Target="https://www.linkedin.com/company/eddilake" TargetMode="External" Id="rId1321" /><Relationship Type="http://schemas.openxmlformats.org/officeDocument/2006/relationships/hyperlink" Target="https://drive.google.com/uc?export=view&amp;id=1VqLlUTJ3BACoceEolhBv7YdBOm9zNDiq" TargetMode="External" Id="rId1322" /><Relationship Type="http://schemas.openxmlformats.org/officeDocument/2006/relationships/hyperlink" Target="http://brainbite.ai/" TargetMode="External" Id="rId1323" /><Relationship Type="http://schemas.openxmlformats.org/officeDocument/2006/relationships/hyperlink" Target="http://www.brainbite.ai/" TargetMode="External" Id="rId1324" /><Relationship Type="http://schemas.openxmlformats.org/officeDocument/2006/relationships/hyperlink" Target="https://www.instagram.com/brainbiteai/" TargetMode="External" Id="rId1325" /><Relationship Type="http://schemas.openxmlformats.org/officeDocument/2006/relationships/hyperlink" Target="https://www.linkedin.com/company/brainbite/about/" TargetMode="External" Id="rId1326" /><Relationship Type="http://schemas.openxmlformats.org/officeDocument/2006/relationships/hyperlink" Target="http://brainbite.ai/" TargetMode="External" Id="rId1327" /><Relationship Type="http://schemas.openxmlformats.org/officeDocument/2006/relationships/hyperlink" Target="https://drive.google.com/uc?export=view&amp;id=18mp-kr9smhowzLVPVFN12YfYsfzs5ux6" TargetMode="External" Id="rId1328" /><Relationship Type="http://schemas.openxmlformats.org/officeDocument/2006/relationships/hyperlink" Target="http://www.solion.it/" TargetMode="External" Id="rId1329" /><Relationship Type="http://schemas.openxmlformats.org/officeDocument/2006/relationships/hyperlink" Target="https://www.instagram.com/solion.it/" TargetMode="External" Id="rId1330" /><Relationship Type="http://schemas.openxmlformats.org/officeDocument/2006/relationships/hyperlink" Target="https://www.linkedin.com/company/solion/?viewAsMember=true" TargetMode="External" Id="rId1331" /><Relationship Type="http://schemas.openxmlformats.org/officeDocument/2006/relationships/hyperlink" Target="https://drive.google.com/uc?export=view&amp;id=1tAWEyGEvnqjBEa0joButTPJgr3EYYg6d" TargetMode="External" Id="rId1332" /><Relationship Type="http://schemas.openxmlformats.org/officeDocument/2006/relationships/hyperlink" Target="http://classofwonders.com/" TargetMode="External" Id="rId1333" /><Relationship Type="http://schemas.openxmlformats.org/officeDocument/2006/relationships/hyperlink" Target="https://www.linkedin.com/company/class-of-wonders/" TargetMode="External" Id="rId1334" /><Relationship Type="http://schemas.openxmlformats.org/officeDocument/2006/relationships/hyperlink" Target="https://drive.google.com/uc?export=view&amp;id=1VeNfrgrFYc7vecE8BTymFzLiDZH3nAal" TargetMode="External" Id="rId1335" /><Relationship Type="http://schemas.openxmlformats.org/officeDocument/2006/relationships/hyperlink" Target="https://learnosity.com/" TargetMode="External" Id="rId1336" /><Relationship Type="http://schemas.openxmlformats.org/officeDocument/2006/relationships/hyperlink" Target="https://twitter.com/learnosity?ref_src=twsrc%5Egoogle%7Ctwcamp%5Eserp%7Ctwgr%5Eauthor" TargetMode="External" Id="rId1337" /><Relationship Type="http://schemas.openxmlformats.org/officeDocument/2006/relationships/hyperlink" Target="https://ie.linkedin.com/company/learnosity" TargetMode="External" Id="rId1338" /><Relationship Type="http://schemas.openxmlformats.org/officeDocument/2006/relationships/hyperlink" Target="https://drive.google.com/uc?export=view&amp;id=1mYockqmBTtzVjrtxlrfRnwHCO7QEV1P1" TargetMode="External" Id="rId1339" /><Relationship Type="http://schemas.openxmlformats.org/officeDocument/2006/relationships/hyperlink" Target="http://www.skill-full.com/" TargetMode="External" Id="rId1340" /><Relationship Type="http://schemas.openxmlformats.org/officeDocument/2006/relationships/hyperlink" Target="https://www.linkedin.com/company/skillfull-serious-games" TargetMode="External" Id="rId1341" /><Relationship Type="http://schemas.openxmlformats.org/officeDocument/2006/relationships/hyperlink" Target="https://drive.google.com/uc?export=view&amp;id=1El6Sa0FxfPnluinRA8dH8A56fpEL6rPE" TargetMode="External" Id="rId1342" /><Relationship Type="http://schemas.openxmlformats.org/officeDocument/2006/relationships/hyperlink" Target="https://careerfit.com/" TargetMode="External" Id="rId1343" /><Relationship Type="http://schemas.openxmlformats.org/officeDocument/2006/relationships/hyperlink" Target="https://instagram.com/careerfitcom" TargetMode="External" Id="rId1344" /><Relationship Type="http://schemas.openxmlformats.org/officeDocument/2006/relationships/hyperlink" Target="https://www.linkedin.com/company/careerfitcom" TargetMode="External" Id="rId1345" /><Relationship Type="http://schemas.openxmlformats.org/officeDocument/2006/relationships/hyperlink" Target="https://drive.google.com/uc?export=view&amp;id=1Um1Wg56X6JSN2xa0swgBcQolyG9SpW6K" TargetMode="External" Id="rId1346" /><Relationship Type="http://schemas.openxmlformats.org/officeDocument/2006/relationships/hyperlink" Target="http://www.galvia.ai/" TargetMode="External" Id="rId1347" /><Relationship Type="http://schemas.openxmlformats.org/officeDocument/2006/relationships/hyperlink" Target="https://twitter.com/GalviaAI" TargetMode="External" Id="rId1348" /><Relationship Type="http://schemas.openxmlformats.org/officeDocument/2006/relationships/hyperlink" Target="https://www.linkedin.com/company/galviaai/?viewAsMember=true" TargetMode="External" Id="rId1349" /><Relationship Type="http://schemas.openxmlformats.org/officeDocument/2006/relationships/hyperlink" Target="https://drive.google.com/uc?export=view&amp;id=1CU6lOzb65kBDTxNZkpgJsa_ES6MqPFhi" TargetMode="External" Id="rId1350" /><Relationship Type="http://schemas.openxmlformats.org/officeDocument/2006/relationships/hyperlink" Target="https://graasp.org/" TargetMode="External" Id="rId1351" /><Relationship Type="http://schemas.openxmlformats.org/officeDocument/2006/relationships/hyperlink" Target="https://twitter.com/graasp" TargetMode="External" Id="rId1352" /><Relationship Type="http://schemas.openxmlformats.org/officeDocument/2006/relationships/hyperlink" Target="https://www.linkedin.com/company/graasp/" TargetMode="External" Id="rId1353" /><Relationship Type="http://schemas.openxmlformats.org/officeDocument/2006/relationships/hyperlink" Target="https://drive.google.com/uc?export=view&amp;id=1LI1SxQPy-ypu3ewip_D7N0MozzZGR-DB" TargetMode="External" Id="rId1354" /><Relationship Type="http://schemas.openxmlformats.org/officeDocument/2006/relationships/hyperlink" Target="https://www.betterexaminations.com/" TargetMode="External" Id="rId1355" /><Relationship Type="http://schemas.openxmlformats.org/officeDocument/2006/relationships/hyperlink" Target="https://www.linkedin.com/company/betterexaminations/" TargetMode="External" Id="rId1356" /><Relationship Type="http://schemas.openxmlformats.org/officeDocument/2006/relationships/hyperlink" Target="https://drive.google.com/uc?export=view&amp;id=1bI7kDflBEy6QOZrE7cyHsVTRc9jTFU1r" TargetMode="External" Id="rId1357" /><Relationship Type="http://schemas.openxmlformats.org/officeDocument/2006/relationships/hyperlink" Target="https://www.bluetea.eu/" TargetMode="External" Id="rId1358" /><Relationship Type="http://schemas.openxmlformats.org/officeDocument/2006/relationships/hyperlink" Target="https://www.linkedin.com/company/bluetea" TargetMode="External" Id="rId1359" /><Relationship Type="http://schemas.openxmlformats.org/officeDocument/2006/relationships/hyperlink" Target="https://drive.google.com/uc?export=view&amp;id=1rdp8qIMwEmiSJPy8eYMerHQbtg6nXs2u" TargetMode="External" Id="rId1360" /><Relationship Type="http://schemas.openxmlformats.org/officeDocument/2006/relationships/hyperlink" Target="https://www.anywyse.nl/" TargetMode="External" Id="rId1361" /><Relationship Type="http://schemas.openxmlformats.org/officeDocument/2006/relationships/hyperlink" Target="https://www.bodyscratch.academy/index.html" TargetMode="External" Id="rId1362" /><Relationship Type="http://schemas.openxmlformats.org/officeDocument/2006/relationships/hyperlink" Target="https://www.booqio.com/" TargetMode="External" Id="rId1363" /><Relationship Type="http://schemas.openxmlformats.org/officeDocument/2006/relationships/hyperlink" Target="https://cma-science.nl/home-2" TargetMode="External" Id="rId1364" /><Relationship Type="http://schemas.openxmlformats.org/officeDocument/2006/relationships/hyperlink" Target="https://edutrainers.com/" TargetMode="External" Id="rId1365" /><Relationship Type="http://schemas.openxmlformats.org/officeDocument/2006/relationships/hyperlink" Target="http://instagram.com/edutrainersbv/" TargetMode="External" Id="rId1366" /><Relationship Type="http://schemas.openxmlformats.org/officeDocument/2006/relationships/hyperlink" Target="https://twitter.com/EdutrainersNL" TargetMode="External" Id="rId1367" /><Relationship Type="http://schemas.openxmlformats.org/officeDocument/2006/relationships/hyperlink" Target="https://www.linkedin.com/company/edutrainers/" TargetMode="External" Id="rId1368" /><Relationship Type="http://schemas.openxmlformats.org/officeDocument/2006/relationships/hyperlink" Target="https://drive.google.com/uc?export=view&amp;id=1e8jVCYWfoIxgUMSb6NsmNqwTpnMvWc32" TargetMode="External" Id="rId1369" /><Relationship Type="http://schemas.openxmlformats.org/officeDocument/2006/relationships/hyperlink" Target="https://www.holofil.com/" TargetMode="External" Id="rId1370" /><Relationship Type="http://schemas.openxmlformats.org/officeDocument/2006/relationships/hyperlink" Target="http://www.instagram.com/holofil3d" TargetMode="External" Id="rId1371" /><Relationship Type="http://schemas.openxmlformats.org/officeDocument/2006/relationships/hyperlink" Target="http://www.twitter.com/holofil3D" TargetMode="External" Id="rId1372" /><Relationship Type="http://schemas.openxmlformats.org/officeDocument/2006/relationships/hyperlink" Target="https://www.linkedin.com/company/holofil/about/" TargetMode="External" Id="rId1373" /><Relationship Type="http://schemas.openxmlformats.org/officeDocument/2006/relationships/hyperlink" Target="https://drive.google.com/uc?export=view&amp;id=15sjM993yT_E9xKLYxRUi-1GWoqj-Ovx1" TargetMode="External" Id="rId1374" /><Relationship Type="http://schemas.openxmlformats.org/officeDocument/2006/relationships/hyperlink" Target="https://www.komensky.nl/" TargetMode="External" Id="rId1375" /><Relationship Type="http://schemas.openxmlformats.org/officeDocument/2006/relationships/hyperlink" Target="https://www.linkedin.com/company/komensky/" TargetMode="External" Id="rId1376" /><Relationship Type="http://schemas.openxmlformats.org/officeDocument/2006/relationships/hyperlink" Target="https://drive.google.com/uc?export=view&amp;id=1AhM_ClYPoOOB0uvkGFUfvE9k6xMxyS1M" TargetMode="External" Id="rId1377" /><Relationship Type="http://schemas.openxmlformats.org/officeDocument/2006/relationships/hyperlink" Target="https://www.liveryvideo.com/" TargetMode="External" Id="rId1378" /><Relationship Type="http://schemas.openxmlformats.org/officeDocument/2006/relationships/hyperlink" Target="https://www.myndr.nl/" TargetMode="External" Id="rId1379" /><Relationship Type="http://schemas.openxmlformats.org/officeDocument/2006/relationships/hyperlink" Target="https://pluvo.co/" TargetMode="External" Id="rId1380" /><Relationship Type="http://schemas.openxmlformats.org/officeDocument/2006/relationships/hyperlink" Target="https://www.instagram.com/pluvo.nl/" TargetMode="External" Id="rId1381" /><Relationship Type="http://schemas.openxmlformats.org/officeDocument/2006/relationships/hyperlink" Target="https://www.linkedin.com/company/pluvo" TargetMode="External" Id="rId1382" /><Relationship Type="http://schemas.openxmlformats.org/officeDocument/2006/relationships/hyperlink" Target="https://drive.google.com/uc?export=view&amp;id=1UwTw09s7ZTNN09abWtWDyeiUx6KR_sOl" TargetMode="External" Id="rId1383" /><Relationship Type="http://schemas.openxmlformats.org/officeDocument/2006/relationships/hyperlink" Target="https://rakoo.com/" TargetMode="External" Id="rId1384" /><Relationship Type="http://schemas.openxmlformats.org/officeDocument/2006/relationships/hyperlink" Target="https://www.instagram.com/workingatrakoo/" TargetMode="External" Id="rId1385" /><Relationship Type="http://schemas.openxmlformats.org/officeDocument/2006/relationships/hyperlink" Target="https://twitter.com/rakoocom" TargetMode="External" Id="rId1386" /><Relationship Type="http://schemas.openxmlformats.org/officeDocument/2006/relationships/hyperlink" Target="https://www.linkedin.com/company/rakoo" TargetMode="External" Id="rId1387" /><Relationship Type="http://schemas.openxmlformats.org/officeDocument/2006/relationships/hyperlink" Target="https://drive.google.com/uc?export=view&amp;id=1_swJ2f7Of4znvxpsxNXnAK5eTaCGtt7j" TargetMode="External" Id="rId1388" /><Relationship Type="http://schemas.openxmlformats.org/officeDocument/2006/relationships/hyperlink" Target="http://revise.ly/" TargetMode="External" Id="rId1389" /><Relationship Type="http://schemas.openxmlformats.org/officeDocument/2006/relationships/hyperlink" Target="https://www.linkedin.com/company/revisely" TargetMode="External" Id="rId1390" /><Relationship Type="http://schemas.openxmlformats.org/officeDocument/2006/relationships/hyperlink" Target="https://drive.google.com/uc?export=view&amp;id=1qVeM1C7spVg_DT4zpEGi5L8FlVsageFu" TargetMode="External" Id="rId1391" /><Relationship Type="http://schemas.openxmlformats.org/officeDocument/2006/relationships/hyperlink" Target="https://wrts.nl/homepage" TargetMode="External" Id="rId1392" /><Relationship Type="http://schemas.openxmlformats.org/officeDocument/2006/relationships/hyperlink" Target="http://voordeklas.com/" TargetMode="External" Id="rId1393" /><Relationship Type="http://schemas.openxmlformats.org/officeDocument/2006/relationships/hyperlink" Target="https://instagram.com/voordeklas" TargetMode="External" Id="rId1394" /><Relationship Type="http://schemas.openxmlformats.org/officeDocument/2006/relationships/hyperlink" Target="https://drive.google.com/uc?export=view&amp;id=1AaEX-1idixIzvDbxGQPjUqQjkwM0IykB" TargetMode="External" Id="rId1395" /><Relationship Type="http://schemas.openxmlformats.org/officeDocument/2006/relationships/hyperlink" Target="https://vrnederland.nl/" TargetMode="External" Id="rId1396" /><Relationship Type="http://schemas.openxmlformats.org/officeDocument/2006/relationships/hyperlink" Target="https://youngcoders.nl/" TargetMode="External" Id="rId1397" /><Relationship Type="http://schemas.openxmlformats.org/officeDocument/2006/relationships/hyperlink" Target="https://www.linkedin.com/company/youngcoders" TargetMode="External" Id="rId1398" /><Relationship Type="http://schemas.openxmlformats.org/officeDocument/2006/relationships/hyperlink" Target="https://drive.google.com/uc?export=view&amp;id=19Te_Ug2MjPmWAFGQfKj9uADqhSxc0zp4" TargetMode="External" Id="rId1399" /><Relationship Type="http://schemas.openxmlformats.org/officeDocument/2006/relationships/hyperlink" Target="https://escritoriodeeinstein.com/" TargetMode="External" Id="rId1400" /><Relationship Type="http://schemas.openxmlformats.org/officeDocument/2006/relationships/hyperlink" Target="https://www.instagram.com/escritoriodeeinstein/" TargetMode="External" Id="rId1401" /><Relationship Type="http://schemas.openxmlformats.org/officeDocument/2006/relationships/hyperlink" Target="https://www.linkedin.com/company/elescritoriodeeinstein" TargetMode="External" Id="rId1402" /><Relationship Type="http://schemas.openxmlformats.org/officeDocument/2006/relationships/hyperlink" Target="https://drive.google.com/uc?export=view&amp;id=1JZPvT7sKx3iJanbBRUE4Bgan0SqcaWsp" TargetMode="External" Id="rId1403" /><Relationship Type="http://schemas.openxmlformats.org/officeDocument/2006/relationships/hyperlink" Target="http://www.escuelasvisuales.com/" TargetMode="External" Id="rId1404" /><Relationship Type="http://schemas.openxmlformats.org/officeDocument/2006/relationships/hyperlink" Target="https://drive.google.com/uc?export=view&amp;id=1HDwuXEvEurOey4O4ddUewnLkluViiI8V" TargetMode="External" Id="rId1405" /><Relationship Type="http://schemas.openxmlformats.org/officeDocument/2006/relationships/hyperlink" Target="https://www.foxize.com/en/" TargetMode="External" Id="rId1406" /><Relationship Type="http://schemas.openxmlformats.org/officeDocument/2006/relationships/hyperlink" Target="https://twitter.com/foxize" TargetMode="External" Id="rId1407" /><Relationship Type="http://schemas.openxmlformats.org/officeDocument/2006/relationships/hyperlink" Target="https://www.linkedin.com/company/foxize-school" TargetMode="External" Id="rId1408" /><Relationship Type="http://schemas.openxmlformats.org/officeDocument/2006/relationships/hyperlink" Target="https://drive.google.com/uc?export=view&amp;id=1xBbeclGTrARFLeDzyPo2Cxmjn9THMK68" TargetMode="External" Id="rId1409" /><Relationship Type="http://schemas.openxmlformats.org/officeDocument/2006/relationships/hyperlink" Target="https://greatlittlepeople.com/" TargetMode="External" Id="rId1410" /><Relationship Type="http://schemas.openxmlformats.org/officeDocument/2006/relationships/hyperlink" Target="https://www.instagram.com/great_little_people/?hl=es" TargetMode="External" Id="rId1411" /><Relationship Type="http://schemas.openxmlformats.org/officeDocument/2006/relationships/hyperlink" Target="https://www.linkedin.com/company/14058095/admin/feed/posts/" TargetMode="External" Id="rId1412" /><Relationship Type="http://schemas.openxmlformats.org/officeDocument/2006/relationships/hyperlink" Target="https://drive.google.com/uc?export=view&amp;id=1oD5JNu59mqjNTbM4Sz7KQpnao1m9UQzI" TargetMode="External" Id="rId1413" /><Relationship Type="http://schemas.openxmlformats.org/officeDocument/2006/relationships/hyperlink" Target="http://ilike.education/" TargetMode="External" Id="rId1414" /><Relationship Type="http://schemas.openxmlformats.org/officeDocument/2006/relationships/hyperlink" Target="https://www.linkedin.com/company/67935195" TargetMode="External" Id="rId1415" /><Relationship Type="http://schemas.openxmlformats.org/officeDocument/2006/relationships/hyperlink" Target="https://drive.google.com/uc?export=view&amp;id=1mjgpr3RTHqf6DFg96VqeXUO9XXJrdE3F" TargetMode="External" Id="rId1416" /><Relationship Type="http://schemas.openxmlformats.org/officeDocument/2006/relationships/hyperlink" Target="http://www.pupil.ch/" TargetMode="External" Id="rId1417" /><Relationship Type="http://schemas.openxmlformats.org/officeDocument/2006/relationships/hyperlink" Target="https://www.linkedin.com/company/pupil-ag" TargetMode="External" Id="rId1418" /><Relationship Type="http://schemas.openxmlformats.org/officeDocument/2006/relationships/hyperlink" Target="https://drive.google.com/uc?export=view&amp;id=1IFrfUvM7vAdtoZSg7mL-aqelyVeVyDd4" TargetMode="External" Id="rId1419" /><Relationship Type="http://schemas.openxmlformats.org/officeDocument/2006/relationships/hyperlink" Target="https://escuelaturisteach.com/" TargetMode="External" Id="rId1420" /><Relationship Type="http://schemas.openxmlformats.org/officeDocument/2006/relationships/hyperlink" Target="https://www.instagram.com/turisteach/?hl=es" TargetMode="External" Id="rId1421" /><Relationship Type="http://schemas.openxmlformats.org/officeDocument/2006/relationships/hyperlink" Target="https://www.linkedin.com/company/89635760" TargetMode="External" Id="rId1422" /><Relationship Type="http://schemas.openxmlformats.org/officeDocument/2006/relationships/hyperlink" Target="https://drive.google.com/uc?export=view&amp;id=1xa19r25apnM60W3YqUo7D5lppSAJr52K" TargetMode="External" Id="rId1423" /><Relationship Type="http://schemas.openxmlformats.org/officeDocument/2006/relationships/hyperlink" Target="https://4geeksacademy.com/" TargetMode="External" Id="rId1424" /><Relationship Type="http://schemas.openxmlformats.org/officeDocument/2006/relationships/hyperlink" Target="https://instagram.com/4geeksacademyes" TargetMode="External" Id="rId1425" /><Relationship Type="http://schemas.openxmlformats.org/officeDocument/2006/relationships/hyperlink" Target="https://twitter.com/4geeksacademyes" TargetMode="External" Id="rId1426" /><Relationship Type="http://schemas.openxmlformats.org/officeDocument/2006/relationships/hyperlink" Target="https://www.linkedin.com/school/4geeksacademyes/" TargetMode="External" Id="rId1427" /><Relationship Type="http://schemas.openxmlformats.org/officeDocument/2006/relationships/hyperlink" Target="https://drive.google.com/uc?export=view&amp;id=1hGryxjgZt9uqi7LuGcqPN-pZ1p2HryvD" TargetMode="External" Id="rId1428" /><Relationship Type="http://schemas.openxmlformats.org/officeDocument/2006/relationships/hyperlink" Target="https://b-resol.com/" TargetMode="External" Id="rId1429" /><Relationship Type="http://schemas.openxmlformats.org/officeDocument/2006/relationships/hyperlink" Target="https://www.instagram.com/bresolapp/" TargetMode="External" Id="rId1430" /><Relationship Type="http://schemas.openxmlformats.org/officeDocument/2006/relationships/hyperlink" Target="https://twitter.com/b_resol" TargetMode="External" Id="rId1431" /><Relationship Type="http://schemas.openxmlformats.org/officeDocument/2006/relationships/hyperlink" Target="https://es.linkedin.com/company/bcnresol" TargetMode="External" Id="rId1432" /><Relationship Type="http://schemas.openxmlformats.org/officeDocument/2006/relationships/hyperlink" Target="https://drive.google.com/uc?export=view&amp;id=1Y61TtKbIPV4GDR23GBqRwFWTJX0GyqvT" TargetMode="External" Id="rId1433" /><Relationship Type="http://schemas.openxmlformats.org/officeDocument/2006/relationships/hyperlink" Target="http://drumap.com/" TargetMode="External" Id="rId1434" /><Relationship Type="http://schemas.openxmlformats.org/officeDocument/2006/relationships/hyperlink" Target="https://www.instagram.com/drumap.studio/" TargetMode="External" Id="rId1435" /><Relationship Type="http://schemas.openxmlformats.org/officeDocument/2006/relationships/hyperlink" Target="https://www.linkedin.com/company/drumap" TargetMode="External" Id="rId1436" /><Relationship Type="http://schemas.openxmlformats.org/officeDocument/2006/relationships/hyperlink" Target="https://drive.google.com/uc?export=view&amp;id=1PjXf55T1qC6TOgPwumYrMwTYH7I35YlX" TargetMode="External" Id="rId1437" /><Relationship Type="http://schemas.openxmlformats.org/officeDocument/2006/relationships/hyperlink" Target="http://www.elingua.es/" TargetMode="External" Id="rId1438" /><Relationship Type="http://schemas.openxmlformats.org/officeDocument/2006/relationships/hyperlink" Target="https://www.instagram.com/elingua.es/" TargetMode="External" Id="rId1439" /><Relationship Type="http://schemas.openxmlformats.org/officeDocument/2006/relationships/hyperlink" Target="https://twitter.com/Elingua_app" TargetMode="External" Id="rId1440" /><Relationship Type="http://schemas.openxmlformats.org/officeDocument/2006/relationships/hyperlink" Target="https://www.linkedin.com/company/elingua-s.l./" TargetMode="External" Id="rId1441" /><Relationship Type="http://schemas.openxmlformats.org/officeDocument/2006/relationships/hyperlink" Target="https://drive.google.com/uc?export=view&amp;id=1TG56jM5jxE3P0HfbcQD5i80U1wHukWkU" TargetMode="External" Id="rId1442" /><Relationship Type="http://schemas.openxmlformats.org/officeDocument/2006/relationships/hyperlink" Target="https://geekshubsacademy.com/" TargetMode="External" Id="rId1443" /><Relationship Type="http://schemas.openxmlformats.org/officeDocument/2006/relationships/hyperlink" Target="https://www.instagram.com/geekshubs/" TargetMode="External" Id="rId1444" /><Relationship Type="http://schemas.openxmlformats.org/officeDocument/2006/relationships/hyperlink" Target="https://twitter.com/geeks_academy" TargetMode="External" Id="rId1445" /><Relationship Type="http://schemas.openxmlformats.org/officeDocument/2006/relationships/hyperlink" Target="https://www.linkedin.com/school/35548299/admin/feed/posts/" TargetMode="External" Id="rId1446" /><Relationship Type="http://schemas.openxmlformats.org/officeDocument/2006/relationships/hyperlink" Target="https://drive.google.com/uc?export=view&amp;id=18OdKsEPLZ2VYqP8-Vz9TD0gVWv0QbZoH" TargetMode="External" Id="rId1447" /><Relationship Type="http://schemas.openxmlformats.org/officeDocument/2006/relationships/hyperlink" Target="http://www.idiena.com/" TargetMode="External" Id="rId1448" /><Relationship Type="http://schemas.openxmlformats.org/officeDocument/2006/relationships/hyperlink" Target="https://www.linkedin.com/company/56442841/admin/feed/posts/" TargetMode="External" Id="rId1449" /><Relationship Type="http://schemas.openxmlformats.org/officeDocument/2006/relationships/hyperlink" Target="https://drive.google.com/uc?export=view&amp;id=1BXffqO8j52qEsqy_o80C1hvqex1Y7Q2q" TargetMode="External" Id="rId1450" /><Relationship Type="http://schemas.openxmlformats.org/officeDocument/2006/relationships/hyperlink" Target="https://www.langoo.io/" TargetMode="External" Id="rId1451" /><Relationship Type="http://schemas.openxmlformats.org/officeDocument/2006/relationships/hyperlink" Target="https://www.instagram.com/langoo.io/" TargetMode="External" Id="rId1452" /><Relationship Type="http://schemas.openxmlformats.org/officeDocument/2006/relationships/hyperlink" Target="https://twitter.com/LANGOO_IO" TargetMode="External" Id="rId1453" /><Relationship Type="http://schemas.openxmlformats.org/officeDocument/2006/relationships/hyperlink" Target="https://www.linkedin.com/company/langoo-io/" TargetMode="External" Id="rId1454" /><Relationship Type="http://schemas.openxmlformats.org/officeDocument/2006/relationships/hyperlink" Target="https://drive.google.com/uc?export=view&amp;id=10q8XPSHmU3p6i7Ku7aiY60Y7YfbULt7N" TargetMode="External" Id="rId1455" /><Relationship Type="http://schemas.openxmlformats.org/officeDocument/2006/relationships/hyperlink" Target="https://makeandlearn.cat/" TargetMode="External" Id="rId1456" /><Relationship Type="http://schemas.openxmlformats.org/officeDocument/2006/relationships/hyperlink" Target="http://instagram.com/make_and_learn/" TargetMode="External" Id="rId1457" /><Relationship Type="http://schemas.openxmlformats.org/officeDocument/2006/relationships/hyperlink" Target="http://twitter.com/Make_and_Learn" TargetMode="External" Id="rId1458" /><Relationship Type="http://schemas.openxmlformats.org/officeDocument/2006/relationships/hyperlink" Target="http://linkedin.com/company/make-and-learn" TargetMode="External" Id="rId1459" /><Relationship Type="http://schemas.openxmlformats.org/officeDocument/2006/relationships/hyperlink" Target="https://drive.google.com/uc?export=view&amp;id=1U2HDTqjuHfAaGm5ID2OpIxYPoaZZwH69" TargetMode="External" Id="rId1460" /><Relationship Type="http://schemas.openxmlformats.org/officeDocument/2006/relationships/hyperlink" Target="http://www.musescenelab.com/" TargetMode="External" Id="rId1461" /><Relationship Type="http://schemas.openxmlformats.org/officeDocument/2006/relationships/hyperlink" Target="https://www.instagram.com/musescenelab/" TargetMode="External" Id="rId1462" /><Relationship Type="http://schemas.openxmlformats.org/officeDocument/2006/relationships/hyperlink" Target="https://twitter.com/musescenelab" TargetMode="External" Id="rId1463" /><Relationship Type="http://schemas.openxmlformats.org/officeDocument/2006/relationships/hyperlink" Target="https://www.linkedin.com/company/81293308/admin/feed/posts/" TargetMode="External" Id="rId1464" /><Relationship Type="http://schemas.openxmlformats.org/officeDocument/2006/relationships/hyperlink" Target="https://drive.google.com/uc?export=view&amp;id=1qRgejgwovd5_q2cG3YEAZtDv45usPU7n" TargetMode="External" Id="rId1465" /><Relationship Type="http://schemas.openxmlformats.org/officeDocument/2006/relationships/hyperlink" Target="https://www.studi.com/fr" TargetMode="External" Id="rId1466" /><Relationship Type="http://schemas.openxmlformats.org/officeDocument/2006/relationships/hyperlink" Target="https://www.instagram.com/ecole_studi" TargetMode="External" Id="rId1467" /><Relationship Type="http://schemas.openxmlformats.org/officeDocument/2006/relationships/hyperlink" Target="https://twitter.com/ecolestudi" TargetMode="External" Id="rId1468" /><Relationship Type="http://schemas.openxmlformats.org/officeDocument/2006/relationships/hyperlink" Target="https://www.linkedin.com/school/studi-digital-education/" TargetMode="External" Id="rId1469" /><Relationship Type="http://schemas.openxmlformats.org/officeDocument/2006/relationships/hyperlink" Target="https://drive.google.com/uc?export=view&amp;id=1NCla_8DERnRsgd7_FAaJLTZhPFEH9Eu1" TargetMode="External" Id="rId1470" /><Relationship Type="http://schemas.openxmlformats.org/officeDocument/2006/relationships/hyperlink" Target="http://www.itn.co.uk/education" TargetMode="External" Id="rId1471" /><Relationship Type="http://schemas.openxmlformats.org/officeDocument/2006/relationships/hyperlink" Target="https://www.linkedin.com/showcase/itnedu/?viewAsMember=true" TargetMode="External" Id="rId1472" /><Relationship Type="http://schemas.openxmlformats.org/officeDocument/2006/relationships/hyperlink" Target="https://drive.google.com/uc?export=view&amp;id=1bhzZ7kBM3jdzageqvjK9r2b3hl23E8S8" TargetMode="External" Id="rId1473" /><Relationship Type="http://schemas.openxmlformats.org/officeDocument/2006/relationships/hyperlink" Target="http://www.lacasitadeingles.com/" TargetMode="External" Id="rId1474" /><Relationship Type="http://schemas.openxmlformats.org/officeDocument/2006/relationships/hyperlink" Target="https://instagram.com/casitadeingles" TargetMode="External" Id="rId1475" /><Relationship Type="http://schemas.openxmlformats.org/officeDocument/2006/relationships/hyperlink" Target="https://www.linkedin.com/company/casitadeingles/" TargetMode="External" Id="rId1476" /><Relationship Type="http://schemas.openxmlformats.org/officeDocument/2006/relationships/hyperlink" Target="https://drive.google.com/uc?export=view&amp;id=1uM67PzqGbql6IebwWRpSPblYmTJT0P0i" TargetMode="External" Id="rId1477" /><Relationship Type="http://schemas.openxmlformats.org/officeDocument/2006/relationships/hyperlink" Target="http://www.mandatorytrainings.com/" TargetMode="External" Id="rId1478" /><Relationship Type="http://schemas.openxmlformats.org/officeDocument/2006/relationships/hyperlink" Target="https://www.linkedin.com/in/parneetsb" TargetMode="External" Id="rId1479" /><Relationship Type="http://schemas.openxmlformats.org/officeDocument/2006/relationships/hyperlink" Target="https://drive.google.com/uc?export=view&amp;id=1kfn4Hd9j12lC1iLcsjAhGeVkf_ZVcGf5" TargetMode="External" Id="rId1480" /><Relationship Type="http://schemas.openxmlformats.org/officeDocument/2006/relationships/hyperlink" Target="https://www.atermon.nl/" TargetMode="External" Id="rId1481" /><Relationship Type="http://schemas.openxmlformats.org/officeDocument/2006/relationships/hyperlink" Target="https://www.linkedin.com/company/atermon-rotterdam" TargetMode="External" Id="rId1482" /><Relationship Type="http://schemas.openxmlformats.org/officeDocument/2006/relationships/hyperlink" Target="https://drive.google.com/uc?export=view&amp;id=19Vb79HH-Z5obvWMmo3neHJhmjZikg9ME" TargetMode="External" Id="rId1483" /><Relationship Type="http://schemas.openxmlformats.org/officeDocument/2006/relationships/hyperlink" Target="https://math-center.org/" TargetMode="External" Id="rId1484" /><Relationship Type="http://schemas.openxmlformats.org/officeDocument/2006/relationships/hyperlink" Target="https://www.linkedin.com/company/mathcenter/" TargetMode="External" Id="rId1485" /><Relationship Type="http://schemas.openxmlformats.org/officeDocument/2006/relationships/hyperlink" Target="https://drive.google.com/uc?export=view&amp;id=19n47qN8_HvnR6RUzscpDoLtAmlWMP-_a" TargetMode="External" Id="rId1486" /><Relationship Type="http://schemas.openxmlformats.org/officeDocument/2006/relationships/hyperlink" Target="http://www.nanoga.com/" TargetMode="External" Id="rId1487" /><Relationship Type="http://schemas.openxmlformats.org/officeDocument/2006/relationships/hyperlink" Target="https://www.linkedin.com/company/nanoga/?viewAsMember=true" TargetMode="External" Id="rId1488" /><Relationship Type="http://schemas.openxmlformats.org/officeDocument/2006/relationships/hyperlink" Target="https://zoeimmersive.com/" TargetMode="External" Id="rId1489" /><Relationship Type="http://schemas.openxmlformats.org/officeDocument/2006/relationships/hyperlink" Target="https://www.instagram.com/zoeimmersive/?hl=en" TargetMode="External" Id="rId1490" /><Relationship Type="http://schemas.openxmlformats.org/officeDocument/2006/relationships/hyperlink" Target="https://ch.linkedin.com/company/zoe-immersive" TargetMode="External" Id="rId1491" /><Relationship Type="http://schemas.openxmlformats.org/officeDocument/2006/relationships/hyperlink" Target="https://drive.google.com/uc?export=view&amp;id=1QqnTeGTA-or17kmLEMPNMskgH65uj9Vm" TargetMode="External" Id="rId1492" /><Relationship Type="http://schemas.openxmlformats.org/officeDocument/2006/relationships/hyperlink" Target="https://bealink.io/en/" TargetMode="External" Id="rId1493" /><Relationship Type="http://schemas.openxmlformats.org/officeDocument/2006/relationships/hyperlink" Target="https://www.linkedin.com/company/bealink/" TargetMode="External" Id="rId1494" /><Relationship Type="http://schemas.openxmlformats.org/officeDocument/2006/relationships/hyperlink" Target="https://stbv-bremen.de/services/smaletax/" TargetMode="External" Id="rId1495" /><Relationship Type="http://schemas.openxmlformats.org/officeDocument/2006/relationships/hyperlink" Target="https://www.linkedin.com/company/smaletax/" TargetMode="External" Id="rId1496" /><Relationship Type="http://schemas.openxmlformats.org/officeDocument/2006/relationships/hyperlink" Target="https://drive.google.com/uc?export=view&amp;id=1kIXOrzx5eUvGDB0Mhe0pl1dt9xpAWEzs" TargetMode="External" Id="rId1497" /><Relationship Type="http://schemas.openxmlformats.org/officeDocument/2006/relationships/hyperlink" Target="http://www.youniversapp.com/" TargetMode="External" Id="rId1498" /><Relationship Type="http://schemas.openxmlformats.org/officeDocument/2006/relationships/hyperlink" Target="https://www.linkedin.com/company/youniversapp/" TargetMode="External" Id="rId1499" /><Relationship Type="http://schemas.openxmlformats.org/officeDocument/2006/relationships/hyperlink" Target="https://drive.google.com/uc?export=view&amp;id=1sMSwCJn0D06nj710y3LSPJIrNKbL8Uc-" TargetMode="External" Id="rId1500" /><Relationship Type="http://schemas.openxmlformats.org/officeDocument/2006/relationships/hyperlink" Target="http://www.thembakids.com/" TargetMode="External" Id="rId1501" /><Relationship Type="http://schemas.openxmlformats.org/officeDocument/2006/relationships/hyperlink" Target="https://instagram.com/mba_kids" TargetMode="External" Id="rId1502" /><Relationship Type="http://schemas.openxmlformats.org/officeDocument/2006/relationships/hyperlink" Target="https://www.linkedin.com/company/mba-kids/" TargetMode="External" Id="rId1503" /><Relationship Type="http://schemas.openxmlformats.org/officeDocument/2006/relationships/hyperlink" Target="https://drive.google.com/uc?export=view&amp;id=1-LDu6bFvUKENDicvH7oKbW7jer1MhYSf" TargetMode="External" Id="rId1504" /><Relationship Type="http://schemas.openxmlformats.org/officeDocument/2006/relationships/hyperlink" Target="https://www.studentgator.com/" TargetMode="External" Id="rId1505" /><Relationship Type="http://schemas.openxmlformats.org/officeDocument/2006/relationships/hyperlink" Target="https://www.instagram.com/studentgator/" TargetMode="External" Id="rId1506" /><Relationship Type="http://schemas.openxmlformats.org/officeDocument/2006/relationships/hyperlink" Target="https://fr.linkedin.com/company/studentgator" TargetMode="External" Id="rId1507" /><Relationship Type="http://schemas.openxmlformats.org/officeDocument/2006/relationships/hyperlink" Target="https://drive.google.com/uc?export=view&amp;id=1C8XbdzilFmzpteNDid7gINeTIzk0sgBv" TargetMode="External" Id="rId1508" /><Relationship Type="http://schemas.openxmlformats.org/officeDocument/2006/relationships/hyperlink" Target="https://ans.app/landing" TargetMode="External" Id="rId1509" /><Relationship Type="http://schemas.openxmlformats.org/officeDocument/2006/relationships/hyperlink" Target="https://www.linkedin.com/company/ans-exam" TargetMode="External" Id="rId1510" /><Relationship Type="http://schemas.openxmlformats.org/officeDocument/2006/relationships/hyperlink" Target="https://drive.google.com/uc?export=view&amp;id=1jYxeDcgQ59nUKCu4OWNzvlOmUo_XpIKN" TargetMode="External" Id="rId1511" /><Relationship Type="http://schemas.openxmlformats.org/officeDocument/2006/relationships/hyperlink" Target="https://claned.com/" TargetMode="External" Id="rId1512" /><Relationship Type="http://schemas.openxmlformats.org/officeDocument/2006/relationships/hyperlink" Target="https://www.linkedin.com/company/claned-group" TargetMode="External" Id="rId1513" /><Relationship Type="http://schemas.openxmlformats.org/officeDocument/2006/relationships/hyperlink" Target="https://drive.google.com/uc?export=view&amp;id=1pnlI5WeAgXQF1rw00C-bYZQalLXG5VsK" TargetMode="External" Id="rId1514" /><Relationship Type="http://schemas.openxmlformats.org/officeDocument/2006/relationships/hyperlink" Target="https://coursensu.com/" TargetMode="External" Id="rId1515" /><Relationship Type="http://schemas.openxmlformats.org/officeDocument/2006/relationships/hyperlink" Target="https://twitter.com/coursensu" TargetMode="External" Id="rId1516" /><Relationship Type="http://schemas.openxmlformats.org/officeDocument/2006/relationships/hyperlink" Target="https://linkedin.com/company/coursensu" TargetMode="External" Id="rId1517" /><Relationship Type="http://schemas.openxmlformats.org/officeDocument/2006/relationships/hyperlink" Target="https://drive.google.com/uc?export=view&amp;id=1_tZy5H578Ie0VRin5L_dFLPUqjzqYP7S" TargetMode="External" Id="rId1518" /><Relationship Type="http://schemas.openxmlformats.org/officeDocument/2006/relationships/hyperlink" Target="https://linguverse.com/" TargetMode="External" Id="rId1519" /><Relationship Type="http://schemas.openxmlformats.org/officeDocument/2006/relationships/hyperlink" Target="https://www.instagram.com/mangododigital/" TargetMode="External" Id="rId1520" /><Relationship Type="http://schemas.openxmlformats.org/officeDocument/2006/relationships/hyperlink" Target="https://www.linkedin.com/company/mangodo-digital/" TargetMode="External" Id="rId1521" /><Relationship Type="http://schemas.openxmlformats.org/officeDocument/2006/relationships/hyperlink" Target="https://drive.google.com/uc?export=view&amp;id=1nSoDNznA0GLdKwtsnEgt2NEwFe3x2zkI" TargetMode="External" Id="rId1522" /><Relationship Type="http://schemas.openxmlformats.org/officeDocument/2006/relationships/hyperlink" Target="http://pelephant.com/mo" TargetMode="External" Id="rId1523" /><Relationship Type="http://schemas.openxmlformats.org/officeDocument/2006/relationships/hyperlink" Target="https://www.linkedin.com/company/pelephant/" TargetMode="External" Id="rId1524" /><Relationship Type="http://schemas.openxmlformats.org/officeDocument/2006/relationships/hyperlink" Target="https://drive.google.com/uc?export=view&amp;id=1OCQDKvmEYzOXeSV8t_0B8LlFA_B9pz0b" TargetMode="External" Id="rId1525" /><Relationship Type="http://schemas.openxmlformats.org/officeDocument/2006/relationships/hyperlink" Target="http://www.chatlicense.com/" TargetMode="External" Id="rId1526" /><Relationship Type="http://schemas.openxmlformats.org/officeDocument/2006/relationships/hyperlink" Target="https://www.instagram.com/chatlicense" TargetMode="External" Id="rId1527" /><Relationship Type="http://schemas.openxmlformats.org/officeDocument/2006/relationships/hyperlink" Target="https://www.linkedin.com/company/chatlicense/" TargetMode="External" Id="rId1528" /><Relationship Type="http://schemas.openxmlformats.org/officeDocument/2006/relationships/hyperlink" Target="https://drive.google.com/uc?export=view&amp;id=19HMKy6oLFZxKEdC7uEXkiS3-7CQp7vmm" TargetMode="External" Id="rId1529" /><Relationship Type="http://schemas.openxmlformats.org/officeDocument/2006/relationships/hyperlink" Target="https://sparkon.org/" TargetMode="External" Id="rId1530" /><Relationship Type="http://schemas.openxmlformats.org/officeDocument/2006/relationships/hyperlink" Target="https://www.instagram.com/sparkon_org/" TargetMode="External" Id="rId1531" /><Relationship Type="http://schemas.openxmlformats.org/officeDocument/2006/relationships/hyperlink" Target="https://twitter.com/SparkOn_org" TargetMode="External" Id="rId1532" /><Relationship Type="http://schemas.openxmlformats.org/officeDocument/2006/relationships/hyperlink" Target="https://www.linkedin.com/company/spark-on" TargetMode="External" Id="rId1533" /><Relationship Type="http://schemas.openxmlformats.org/officeDocument/2006/relationships/hyperlink" Target="https://drive.google.com/uc?export=view&amp;id=1fanAQlpkGrvrX-axIxK4WUj9hkYG47ST" TargetMode="External" Id="rId1534" /><Relationship Type="http://schemas.openxmlformats.org/officeDocument/2006/relationships/hyperlink" Target="https://teacherspro.com/contacto/" TargetMode="External" Id="rId1535" /><Relationship Type="http://schemas.openxmlformats.org/officeDocument/2006/relationships/hyperlink" Target="https://twitter.com/TeachersPro_Es" TargetMode="External" Id="rId1536" /><Relationship Type="http://schemas.openxmlformats.org/officeDocument/2006/relationships/hyperlink" Target="https://www.linkedin.com/company/teacherspro/" TargetMode="External" Id="rId1537" /><Relationship Type="http://schemas.openxmlformats.org/officeDocument/2006/relationships/hyperlink" Target="https://drive.google.com/uc?export=view&amp;id=1zwCK6yKmNUsOgujDgjy_gqmMsAwz8sCt" TargetMode="External" Id="rId1538" /><Relationship Type="http://schemas.openxmlformats.org/officeDocument/2006/relationships/hyperlink" Target="http://steamprogramedu.com/" TargetMode="External" Id="rId1539" /><Relationship Type="http://schemas.openxmlformats.org/officeDocument/2006/relationships/hyperlink" Target="https://steamprogramedu.com/" TargetMode="External" Id="rId1540" /><Relationship Type="http://schemas.openxmlformats.org/officeDocument/2006/relationships/hyperlink" Target="https://drive.google.com/uc?export=view&amp;id=1DXDkljr6ULI_DAQMXq4E39Bmu4zCw-Gi" TargetMode="External" Id="rId1541" /><Relationship Type="http://schemas.openxmlformats.org/officeDocument/2006/relationships/hyperlink" Target="https://editai.co/" TargetMode="External" Id="rId1542" /><Relationship Type="http://schemas.openxmlformats.org/officeDocument/2006/relationships/hyperlink" Target="https://www.linkedin.com/company/editai/" TargetMode="External" Id="rId1543" /><Relationship Type="http://schemas.openxmlformats.org/officeDocument/2006/relationships/hyperlink" Target="https://drive.google.com/uc?export=view&amp;id=16R8qaQOaegMszn2Nr1smiXRj1kNf9mas" TargetMode="External" Id="rId1544" /><Relationship Type="http://schemas.openxmlformats.org/officeDocument/2006/relationships/hyperlink" Target="http://www.joinacirkel.com/" TargetMode="External" Id="rId1545" /><Relationship Type="http://schemas.openxmlformats.org/officeDocument/2006/relationships/hyperlink" Target="https://drive.google.com/uc?export=view&amp;id=1-hxqjNVZznLRMfLGvxjDwpVr661TWlK6" TargetMode="External" Id="rId1546" /><Relationship Type="http://schemas.openxmlformats.org/officeDocument/2006/relationships/hyperlink" Target="http://www.emeraude-escape.com/en" TargetMode="External" Id="rId1547" /><Relationship Type="http://schemas.openxmlformats.org/officeDocument/2006/relationships/hyperlink" Target="https://twitter.com/EmeraudeEscape" TargetMode="External" Id="rId1548" /><Relationship Type="http://schemas.openxmlformats.org/officeDocument/2006/relationships/hyperlink" Target="https://www.linkedin.com/company/emeraude-escape-game" TargetMode="External" Id="rId1549" /><Relationship Type="http://schemas.openxmlformats.org/officeDocument/2006/relationships/hyperlink" Target="https://drive.google.com/uc?export=view&amp;id=1GIfCjZj49Kfbby7Cj7lbjfyVbC52HUPI" TargetMode="External" Id="rId1550" /><Relationship Type="http://schemas.openxmlformats.org/officeDocument/2006/relationships/hyperlink" Target="http://www.whippy.se/" TargetMode="External" Id="rId1551" /><Relationship Type="http://schemas.openxmlformats.org/officeDocument/2006/relationships/hyperlink" Target="http://www.whippy.se/company/whippyonboarding" TargetMode="External" Id="rId1552" /><Relationship Type="http://schemas.openxmlformats.org/officeDocument/2006/relationships/hyperlink" Target="https://drive.google.com/uc?export=view&amp;id=1VVvCKLhxQEjbwgeQT3rjCkKwV_1clZGX" TargetMode="External" Id="rId1553" /><Relationship Type="http://schemas.openxmlformats.org/officeDocument/2006/relationships/hyperlink" Target="http://www.kurve.nl/" TargetMode="External" Id="rId1554" /><Relationship Type="http://schemas.openxmlformats.org/officeDocument/2006/relationships/hyperlink" Target="https://www.instagram.com/kurve.nl/" TargetMode="External" Id="rId1555" /><Relationship Type="http://schemas.openxmlformats.org/officeDocument/2006/relationships/hyperlink" Target="https://www.linkedin.com/search/results/all/?fetchDeterministicClustersOnly=true&amp;heroEntityKey=urn%3Ali%3Aorganization%3A3090886&amp;keywords=kurve&amp;origin=RICH_QUERY_TYPEAHEAD_HISTORY&amp;position=0&amp;searchId=4f2d41e7-f5e2-453c-bcb3-c6e12091e03a&amp;sid=iZd&amp;spellCorrectionEnabled=true" TargetMode="External" Id="rId1556" /><Relationship Type="http://schemas.openxmlformats.org/officeDocument/2006/relationships/hyperlink" Target="https://drive.google.com/uc?export=view&amp;id=1-rkRNoTzCFTRmkSCR2zqG84E1Sos-fYy" TargetMode="External" Id="rId1557" /><Relationship Type="http://schemas.openxmlformats.org/officeDocument/2006/relationships/hyperlink" Target="http://grpsitic-blanquerna.cat/?page_id=2293" TargetMode="External" Id="rId1558" /><Relationship Type="http://schemas.openxmlformats.org/officeDocument/2006/relationships/hyperlink" Target="https://drive.google.com/uc?export=view&amp;id=1Q0AajItqjoqjXcbqPx6Ncsp_hphjR1ch" TargetMode="External" Id="rId1559" /><Relationship Type="http://schemas.openxmlformats.org/officeDocument/2006/relationships/hyperlink" Target="http://www.lasco.io/" TargetMode="External" Id="rId1560" /><Relationship Type="http://schemas.openxmlformats.org/officeDocument/2006/relationships/hyperlink" Target="https://www.linkedin.com/company/lascosrl/" TargetMode="External" Id="rId1561" /><Relationship Type="http://schemas.openxmlformats.org/officeDocument/2006/relationships/hyperlink" Target="https://drive.google.com/uc?export=view&amp;id=1G2gqzAuU_dScdYSSFvsyDeCBtDu7n2L7" TargetMode="External" Id="rId1562" /><Relationship Type="http://schemas.openxmlformats.org/officeDocument/2006/relationships/hyperlink" Target="https://www.macademia.com/" TargetMode="External" Id="rId1563" /><Relationship Type="http://schemas.openxmlformats.org/officeDocument/2006/relationships/hyperlink" Target="https://www.instagram.com/davincikids_/" TargetMode="External" Id="rId1564" /><Relationship Type="http://schemas.openxmlformats.org/officeDocument/2006/relationships/hyperlink" Target="https://www.linkedin.com/company/da-vinci-kids/global/mycompany/" TargetMode="External" Id="rId1565" /><Relationship Type="http://schemas.openxmlformats.org/officeDocument/2006/relationships/hyperlink" Target="https://drive.google.com/uc?export=view&amp;id=1xRhz6QsQpmva_P0hTp6sEvfMMK2PhF2m" TargetMode="External" Id="rId1566" /><Relationship Type="http://schemas.openxmlformats.org/officeDocument/2006/relationships/hyperlink" Target="https://geevoo.de/" TargetMode="External" Id="rId1567" /><Relationship Type="http://schemas.openxmlformats.org/officeDocument/2006/relationships/hyperlink" Target="https://www.instagram.com/geevoo.de/" TargetMode="External" Id="rId1568" /><Relationship Type="http://schemas.openxmlformats.org/officeDocument/2006/relationships/hyperlink" Target="https://twitter.com/Geevoo_de" TargetMode="External" Id="rId1569" /><Relationship Type="http://schemas.openxmlformats.org/officeDocument/2006/relationships/hyperlink" Target="https://www.linkedin.com/company/geevoo/" TargetMode="External" Id="rId1570" /><Relationship Type="http://schemas.openxmlformats.org/officeDocument/2006/relationships/hyperlink" Target="https://drive.google.com/uc?export=view&amp;id=1YTOOiazMLn-8rnXIqFWyyKwzUdKTaer0" TargetMode="External" Id="rId1571" /><Relationship Type="http://schemas.openxmlformats.org/officeDocument/2006/relationships/hyperlink" Target="https://www.yellowtoad.agency/" TargetMode="External" Id="rId1572" /><Relationship Type="http://schemas.openxmlformats.org/officeDocument/2006/relationships/hyperlink" Target="https://www.linkedin.com/company/98131770/admin/feed/posts/" TargetMode="External" Id="rId1573" /><Relationship Type="http://schemas.openxmlformats.org/officeDocument/2006/relationships/hyperlink" Target="https://drive.google.com/uc?export=view&amp;id=1oZKLrzOj_ejMf89SxKtUcqJt0TThRdNf" TargetMode="External" Id="rId1574" /><Relationship Type="http://schemas.openxmlformats.org/officeDocument/2006/relationships/hyperlink" Target="https://upstrivesystem.com/" TargetMode="External" Id="rId1575" /><Relationship Type="http://schemas.openxmlformats.org/officeDocument/2006/relationships/hyperlink" Target="https://www.linkedin.com/company/upstrive-well-being" TargetMode="External" Id="rId1576" /><Relationship Type="http://schemas.openxmlformats.org/officeDocument/2006/relationships/hyperlink" Target="https://drive.google.com/uc?export=view&amp;id=1W6T8lVwr8EwmuWUZIqR9zmoFMDEpocza" TargetMode="External" Id="rId1577" /><Relationship Type="http://schemas.openxmlformats.org/officeDocument/2006/relationships/hyperlink" Target="https://www.davinci.tv/" TargetMode="External" Id="rId1578" /><Relationship Type="http://schemas.openxmlformats.org/officeDocument/2006/relationships/hyperlink" Target="https://leato.io/" TargetMode="External" Id="rId1579" /><Relationship Type="http://schemas.openxmlformats.org/officeDocument/2006/relationships/hyperlink" Target="https://drive.google.com/uc?export=view&amp;id=1TnzliLUQtG4QgpgshTHilbw-h_hNK_4L" TargetMode="External" Id="rId1580" /><Relationship Type="http://schemas.openxmlformats.org/officeDocument/2006/relationships/hyperlink" Target="https://subschool.us/" TargetMode="External" Id="rId1581" /><Relationship Type="http://schemas.openxmlformats.org/officeDocument/2006/relationships/hyperlink" Target="https://drive.google.com/uc?export=view&amp;id=11YVu7SYOCDeNKgFkXjxiTyd_xLBPofiC" TargetMode="External" Id="rId1582" /><Relationship Type="http://schemas.openxmlformats.org/officeDocument/2006/relationships/hyperlink" Target="http://www.studyhall.ai/" TargetMode="External" Id="rId1583" /><Relationship Type="http://schemas.openxmlformats.org/officeDocument/2006/relationships/hyperlink" Target="https://drive.google.com/uc?export=view&amp;id=1WYrsrSVqPQOKD4P6im9zYwaNrirwHUml" TargetMode="External" Id="rId1584" /><Relationship Type="http://schemas.openxmlformats.org/officeDocument/2006/relationships/hyperlink" Target="http://www.edulyzer.com/en" TargetMode="External" Id="rId1585" /><Relationship Type="http://schemas.openxmlformats.org/officeDocument/2006/relationships/hyperlink" Target="https://drive.google.com/uc?export=view&amp;id=1TODQbxVXmpxGxsC0AhlXsXYyn8pSBB8E" TargetMode="External" Id="rId1586" /><Relationship Type="http://schemas.openxmlformats.org/officeDocument/2006/relationships/hyperlink" Target="http://www.modulu.io/" TargetMode="External" Id="rId1587" /><Relationship Type="http://schemas.openxmlformats.org/officeDocument/2006/relationships/hyperlink" Target="https://drive.google.com/uc?export=view&amp;id=1bl0xvooRC2MeJc_6d5bEhLEsopEVrhEN" TargetMode="External" Id="rId1588" /><Relationship Type="http://schemas.openxmlformats.org/officeDocument/2006/relationships/hyperlink" Target="https://abodoo.com/" TargetMode="External" Id="rId1589" /><Relationship Type="http://schemas.openxmlformats.org/officeDocument/2006/relationships/hyperlink" Target="https://twitter.com/AbodooLtd" TargetMode="External" Id="rId1590" /><Relationship Type="http://schemas.openxmlformats.org/officeDocument/2006/relationships/hyperlink" Target="https://www.linkedin.com/company/abodoo" TargetMode="External" Id="rId1591" /><Relationship Type="http://schemas.openxmlformats.org/officeDocument/2006/relationships/hyperlink" Target="https://drive.google.com/uc?export=view&amp;id=19cU-xdFsCsZ6-hY3nr4J_QyaAfsMkYwA" TargetMode="External" Id="rId1592" /><Relationship Type="http://schemas.openxmlformats.org/officeDocument/2006/relationships/hyperlink" Target="https://bravorimusic.com/" TargetMode="External" Id="rId1593" /><Relationship Type="http://schemas.openxmlformats.org/officeDocument/2006/relationships/hyperlink" Target="https://drive.google.com/uc?export=view&amp;id=1VMpThMhzwnxeTJHeqVjuRi-d7I6v-WHA" TargetMode="External" Id="rId1594" /><Relationship Type="http://schemas.openxmlformats.org/officeDocument/2006/relationships/hyperlink" Target="https://www.careersmarter.com/" TargetMode="External" Id="rId1595" /><Relationship Type="http://schemas.openxmlformats.org/officeDocument/2006/relationships/hyperlink" Target="https://drive.google.com/uc?export=view&amp;id=1AySUL-CPKuo8zTAXo-tX-n7QO43r-anA" TargetMode="External" Id="rId1596" /><Relationship Type="http://schemas.openxmlformats.org/officeDocument/2006/relationships/hyperlink" Target="http://classid.be/" TargetMode="External" Id="rId1597" /><Relationship Type="http://schemas.openxmlformats.org/officeDocument/2006/relationships/hyperlink" Target="https://www.instagram.com/classid_io/" TargetMode="External" Id="rId1598" /><Relationship Type="http://schemas.openxmlformats.org/officeDocument/2006/relationships/hyperlink" Target="https://twitter.com/classid_io" TargetMode="External" Id="rId1599" /><Relationship Type="http://schemas.openxmlformats.org/officeDocument/2006/relationships/hyperlink" Target="https://www.linkedin.com/company/classid/" TargetMode="External" Id="rId1600" /><Relationship Type="http://schemas.openxmlformats.org/officeDocument/2006/relationships/hyperlink" Target="https://drive.google.com/uc?export=view&amp;id=1tLnjp0RlXOypc_KyUNP7Eq_AOGD2GAUB" TargetMode="External" Id="rId1601" /><Relationship Type="http://schemas.openxmlformats.org/officeDocument/2006/relationships/hyperlink" Target="http://www.whizzkids.online/" TargetMode="External" Id="rId1602" /><Relationship Type="http://schemas.openxmlformats.org/officeDocument/2006/relationships/hyperlink" Target="https://www.instagram.com/whizzkidswedstrijd/" TargetMode="External" Id="rId1603" /><Relationship Type="http://schemas.openxmlformats.org/officeDocument/2006/relationships/hyperlink" Target="https://www.linkedin.com/company/vzw-whizzkids/" TargetMode="External" Id="rId1604" /><Relationship Type="http://schemas.openxmlformats.org/officeDocument/2006/relationships/hyperlink" Target="https://drive.google.com/uc?export=view&amp;id=1LxN6KZwVT6AxGlIwhbimJKE9sYGmpzuK" TargetMode="External" Id="rId1605" /><Relationship Type="http://schemas.openxmlformats.org/officeDocument/2006/relationships/hyperlink" Target="http://coyotiv.com/" TargetMode="External" Id="rId1606" /><Relationship Type="http://schemas.openxmlformats.org/officeDocument/2006/relationships/hyperlink" Target="https://www.instagram.com/coyotiv/" TargetMode="External" Id="rId1607" /><Relationship Type="http://schemas.openxmlformats.org/officeDocument/2006/relationships/hyperlink" Target="https://www.linkedin.com/school/coyotiv/" TargetMode="External" Id="rId1608" /><Relationship Type="http://schemas.openxmlformats.org/officeDocument/2006/relationships/hyperlink" Target="https://drive.google.com/uc?export=view&amp;id=1N6TyLJrYNGy1Ih8OL12qvoXwYz2W-Yru" TargetMode="External" Id="rId1609" /><Relationship Type="http://schemas.openxmlformats.org/officeDocument/2006/relationships/hyperlink" Target="http://www.nxtlearning.com/" TargetMode="External" Id="rId1610" /><Relationship Type="http://schemas.openxmlformats.org/officeDocument/2006/relationships/hyperlink" Target="https://drive.google.com/uc?export=view&amp;id=1tMttNEffoM4diplDozFJMAb0QSLuIDcN" TargetMode="External" Id="rId1611" /><Relationship Type="http://schemas.openxmlformats.org/officeDocument/2006/relationships/hyperlink" Target="https://www.openstudycollege.com/" TargetMode="External" Id="rId1612" /><Relationship Type="http://schemas.openxmlformats.org/officeDocument/2006/relationships/hyperlink" Target="https://drive.google.com/uc?export=view&amp;id=1JoHhQme8Q5g-4CS6rzPDK-5yHFmBT_O5" TargetMode="External" Id="rId1613" /><Relationship Type="http://schemas.openxmlformats.org/officeDocument/2006/relationships/hyperlink" Target="http://explorateurdemetiers.tv/" TargetMode="External" Id="rId1614" /><Relationship Type="http://schemas.openxmlformats.org/officeDocument/2006/relationships/hyperlink" Target="https://www.linkedin.com/company/explorateurdemetiers" TargetMode="External" Id="rId1615" /><Relationship Type="http://schemas.openxmlformats.org/officeDocument/2006/relationships/hyperlink" Target="https://drive.google.com/uc?export=view&amp;id=1OQtPL8KyG-bQldMHpJUZEnvcRDONKMWg" TargetMode="External" Id="rId1616" /><Relationship Type="http://schemas.openxmlformats.org/officeDocument/2006/relationships/hyperlink" Target="https://www.egos.co.at/" TargetMode="External" Id="rId1617" /><Relationship Type="http://schemas.openxmlformats.org/officeDocument/2006/relationships/hyperlink" Target="https://www.egos.co.at/seminare/alle/alle" TargetMode="External" Id="rId1618" /><Relationship Type="http://schemas.openxmlformats.org/officeDocument/2006/relationships/hyperlink" Target="https://www.egos.co.at/elearning/lernsoftware" TargetMode="External" Id="rId1619" /><Relationship Type="http://schemas.openxmlformats.org/officeDocument/2006/relationships/hyperlink" Target="https://drive.google.com/uc?export=view&amp;id=1xblqNMVF63cD4JMua2QFSHZXLWMngBj3" TargetMode="External" Id="rId1620" /><Relationship Type="http://schemas.openxmlformats.org/officeDocument/2006/relationships/hyperlink" Target="https://getjobsdone.nl/" TargetMode="External" Id="rId1621" /><Relationship Type="http://schemas.openxmlformats.org/officeDocument/2006/relationships/hyperlink" Target="https://www.instagram.com/getjobsdone.nl/" TargetMode="External" Id="rId1622" /><Relationship Type="http://schemas.openxmlformats.org/officeDocument/2006/relationships/hyperlink" Target="https://www.linkedin.com/company/getjobsdone/" TargetMode="External" Id="rId1623" /><Relationship Type="http://schemas.openxmlformats.org/officeDocument/2006/relationships/hyperlink" Target="https://drive.google.com/uc?export=view&amp;id=17-comaZu1VJH1PN6mwn9WlMkEPyaaQPX" TargetMode="External" Id="rId1624" /><Relationship Type="http://schemas.openxmlformats.org/officeDocument/2006/relationships/hyperlink" Target="https://hejsyv.se/" TargetMode="External" Id="rId1625" /><Relationship Type="http://schemas.openxmlformats.org/officeDocument/2006/relationships/hyperlink" Target="https://hejframtidsval.se/" TargetMode="External" Id="rId1626" /><Relationship Type="http://schemas.openxmlformats.org/officeDocument/2006/relationships/hyperlink" Target="https://drive.google.com/uc?export=view&amp;id=14RyJiS6wNocDJX4OzkpbHpuo9mJXU6Kf" TargetMode="External" Id="rId1627" /><Relationship Type="http://schemas.openxmlformats.org/officeDocument/2006/relationships/hyperlink" Target="https://onevofloor.com/en" TargetMode="External" Id="rId1628" /><Relationship Type="http://schemas.openxmlformats.org/officeDocument/2006/relationships/hyperlink" Target="https://www.instagram.com/onevo_floor" TargetMode="External" Id="rId1629" /><Relationship Type="http://schemas.openxmlformats.org/officeDocument/2006/relationships/hyperlink" Target="https://www.linkedin.com/company/onevo-floor" TargetMode="External" Id="rId1630" /><Relationship Type="http://schemas.openxmlformats.org/officeDocument/2006/relationships/hyperlink" Target="https://drive.google.com/uc?export=view&amp;id=1myDP9D7Ww-TsOgocU5vuYVBEBlOIm2Y_" TargetMode="External" Id="rId1631" /><Relationship Type="http://schemas.openxmlformats.org/officeDocument/2006/relationships/hyperlink" Target="https://www.vars.at/" TargetMode="External" Id="rId1632" /><Relationship Type="http://schemas.openxmlformats.org/officeDocument/2006/relationships/hyperlink" Target="https://www.instagram.com/vr_ar_vienna/?hl=en" TargetMode="External" Id="rId1633" /><Relationship Type="http://schemas.openxmlformats.org/officeDocument/2006/relationships/hyperlink" Target="https://twitter.com/vars_at" TargetMode="External" Id="rId1634" /><Relationship Type="http://schemas.openxmlformats.org/officeDocument/2006/relationships/hyperlink" Target="https://www.linkedin.com/company/vars-vienna/?viewAsMember=true" TargetMode="External" Id="rId1635" /><Relationship Type="http://schemas.openxmlformats.org/officeDocument/2006/relationships/hyperlink" Target="https://drive.google.com/uc?export=view&amp;id=14WuffxMAuUyZPf62hFz4Gk7rNUJYnu5p" TargetMode="External" Id="rId1636" /><Relationship Type="http://schemas.openxmlformats.org/officeDocument/2006/relationships/hyperlink" Target="https://xprtise.com/" TargetMode="External" Id="rId1637" /><Relationship Type="http://schemas.openxmlformats.org/officeDocument/2006/relationships/hyperlink" Target="https://twitter.com/xprtise" TargetMode="External" Id="rId1638" /><Relationship Type="http://schemas.openxmlformats.org/officeDocument/2006/relationships/hyperlink" Target="https://www.linkedin.com/company/7801396/" TargetMode="External" Id="rId1639" /><Relationship Type="http://schemas.openxmlformats.org/officeDocument/2006/relationships/hyperlink" Target="https://drive.google.com/uc?export=view&amp;id=1fO7egaLub0UPf2zDgyTX5lMuv3DwiFOh" TargetMode="External" Id="rId1640" /><Relationship Type="http://schemas.openxmlformats.org/officeDocument/2006/relationships/hyperlink" Target="http://www.robomaniac.at/" TargetMode="External" Id="rId1641" /><Relationship Type="http://schemas.openxmlformats.org/officeDocument/2006/relationships/hyperlink" Target="https://www.linkedin.com/company/robomaniac/" TargetMode="External" Id="rId1642" /><Relationship Type="http://schemas.openxmlformats.org/officeDocument/2006/relationships/hyperlink" Target="https://drive.google.com/uc?export=view&amp;id=1lt_KIEIzlpHdpTh2LVLJe-Iytltj0Vwn" TargetMode="External" Id="rId1643" /><Relationship Type="http://schemas.openxmlformats.org/officeDocument/2006/relationships/hyperlink" Target="https://topicus.nl/sectoren/onderwijs" TargetMode="External" Id="rId1644" /><Relationship Type="http://schemas.openxmlformats.org/officeDocument/2006/relationships/hyperlink" Target="https://www.linkedin.com/company/topicus/" TargetMode="External" Id="rId1645" /><Relationship Type="http://schemas.openxmlformats.org/officeDocument/2006/relationships/hyperlink" Target="https://drive.google.com/uc?export=view&amp;id=1-N_AFzlGLpS3ViFkRQxnkOttsEudMaD1" TargetMode="External" Id="rId1646" /><Relationship Type="http://schemas.openxmlformats.org/officeDocument/2006/relationships/hyperlink" Target="http://www.wincacademy.com/" TargetMode="External" Id="rId1647" /><Relationship Type="http://schemas.openxmlformats.org/officeDocument/2006/relationships/hyperlink" Target="https://www.instagram.com/wincacademy/" TargetMode="External" Id="rId1648" /><Relationship Type="http://schemas.openxmlformats.org/officeDocument/2006/relationships/hyperlink" Target="https://www.linkedin.com/school/wincacademy" TargetMode="External" Id="rId1649" /><Relationship Type="http://schemas.openxmlformats.org/officeDocument/2006/relationships/hyperlink" Target="https://drive.google.com/uc?export=view&amp;id=1uMe6DyDeKNkp26A4a6nRNUGH9e6o0Scq" TargetMode="External" Id="rId1650" /><Relationship Type="http://schemas.openxmlformats.org/officeDocument/2006/relationships/hyperlink" Target="https://eduwerk.acp.at/" TargetMode="External" Id="rId1651" /><Relationship Type="http://schemas.openxmlformats.org/officeDocument/2006/relationships/hyperlink" Target="https://www.instagram.com/acp_eduwerk/" TargetMode="External" Id="rId1652" /><Relationship Type="http://schemas.openxmlformats.org/officeDocument/2006/relationships/hyperlink" Target="https://drive.google.com/uc?export=view&amp;id=1q3ou6J9cU8RCPI97w0ecNrZMxwKxqzr4" TargetMode="External" Id="rId1653" /><Relationship Type="http://schemas.openxmlformats.org/officeDocument/2006/relationships/hyperlink" Target="https://www.jungeroemer.net/" TargetMode="External" Id="rId1654" /><Relationship Type="http://schemas.openxmlformats.org/officeDocument/2006/relationships/hyperlink" Target="https://www.instagram.com/jungeroemerwien/" TargetMode="External" Id="rId1655" /><Relationship Type="http://schemas.openxmlformats.org/officeDocument/2006/relationships/hyperlink" Target="https://twitter.com/jungeroemerwien" TargetMode="External" Id="rId1656" /><Relationship Type="http://schemas.openxmlformats.org/officeDocument/2006/relationships/hyperlink" Target="https://www.linkedin.com/company/jungeroemer-gmbh/" TargetMode="External" Id="rId1657" /><Relationship Type="http://schemas.openxmlformats.org/officeDocument/2006/relationships/hyperlink" Target="https://drive.google.com/uc?export=view&amp;id=1LTOFtAyz5LfA0RCiLu2Ee0h_U2oa28Av" TargetMode="External" Id="rId1658" /><Relationship Type="http://schemas.openxmlformats.org/officeDocument/2006/relationships/hyperlink" Target="http://www.siriusgame.it/" TargetMode="External" Id="rId1659" /><Relationship Type="http://schemas.openxmlformats.org/officeDocument/2006/relationships/hyperlink" Target="https://www.instagram.com/siriusgame_/?hl=en" TargetMode="External" Id="rId1660" /><Relationship Type="http://schemas.openxmlformats.org/officeDocument/2006/relationships/hyperlink" Target="https://www.linkedin.com/company/siriusgame" TargetMode="External" Id="rId1661" /><Relationship Type="http://schemas.openxmlformats.org/officeDocument/2006/relationships/hyperlink" Target="https://drive.google.com/uc?export=view&amp;id=1j4FCMTkSCnYCcps7VWF8AXVyu7SQKcUB" TargetMode="External" Id="rId1662" /><Relationship Type="http://schemas.openxmlformats.org/officeDocument/2006/relationships/hyperlink" Target="http://www.studyly.com/" TargetMode="External" Id="rId1663" /><Relationship Type="http://schemas.openxmlformats.org/officeDocument/2006/relationships/hyperlink" Target="https://drive.google.com/uc?export=view&amp;id=1V8MVoREM-RxXOR7KbjtpIi5wo3HoL4JO" TargetMode="External" Id="rId1664" /><Relationship Type="http://schemas.openxmlformats.org/officeDocument/2006/relationships/hyperlink" Target="https://alfons.education/en" TargetMode="External" Id="rId1665" /><Relationship Type="http://schemas.openxmlformats.org/officeDocument/2006/relationships/hyperlink" Target="https://drive.google.com/uc?export=view&amp;id=1RnipJYMISa1cyLOilmx8csrKA2kMn_76" TargetMode="External" Id="rId1666" /><Relationship Type="http://schemas.openxmlformats.org/officeDocument/2006/relationships/hyperlink" Target="https://beetrootacademy.com/" TargetMode="External" Id="rId1667" /><Relationship Type="http://schemas.openxmlformats.org/officeDocument/2006/relationships/hyperlink" Target="https://www.instagram.com/beetrootacademy.global/" TargetMode="External" Id="rId1668" /><Relationship Type="http://schemas.openxmlformats.org/officeDocument/2006/relationships/hyperlink" Target="https://www.linkedin.com/school/beetrootacademy/mycompany/" TargetMode="External" Id="rId1669" /><Relationship Type="http://schemas.openxmlformats.org/officeDocument/2006/relationships/hyperlink" Target="https://drive.google.com/uc?export=view&amp;id=1OW3vF64h_wKNMaQfQ7DZHH45KYTjhXoZ" TargetMode="External" Id="rId1670" /><Relationship Type="http://schemas.openxmlformats.org/officeDocument/2006/relationships/hyperlink" Target="http://www.common-sense.at/" TargetMode="External" Id="rId1671" /><Relationship Type="http://schemas.openxmlformats.org/officeDocument/2006/relationships/hyperlink" Target="https://www.linkedin.com/company/common-sense-elearning-&amp;-training-consultants" TargetMode="External" Id="rId1672" /><Relationship Type="http://schemas.openxmlformats.org/officeDocument/2006/relationships/hyperlink" Target="https://drive.google.com/uc?export=view&amp;id=1Hq2j5oSVvUpfUO6aY5TLi-roBlGQTIyN" TargetMode="External" Id="rId1673" /><Relationship Type="http://schemas.openxmlformats.org/officeDocument/2006/relationships/hyperlink" Target="https://www.corsmed.com/" TargetMode="External" Id="rId1674" /><Relationship Type="http://schemas.openxmlformats.org/officeDocument/2006/relationships/hyperlink" Target="https://twitter.com/corsmed" TargetMode="External" Id="rId1675" /><Relationship Type="http://schemas.openxmlformats.org/officeDocument/2006/relationships/hyperlink" Target="https://www.linkedin.com/company/corsmed/" TargetMode="External" Id="rId1676" /><Relationship Type="http://schemas.openxmlformats.org/officeDocument/2006/relationships/hyperlink" Target="https://drive.google.com/uc?export=view&amp;id=145eCQ4sqKpWM77IgMlnXGMRPevpuWzDa" TargetMode="External" Id="rId1677" /><Relationship Type="http://schemas.openxmlformats.org/officeDocument/2006/relationships/hyperlink" Target="https://www.easy-business.cc/e-learning" TargetMode="External" Id="rId1678" /><Relationship Type="http://schemas.openxmlformats.org/officeDocument/2006/relationships/hyperlink" Target="https://drive.google.com/uc?export=view&amp;id=1uVHtDu1BXSP-1dpNzSWAgVHVF5KwsNKc" TargetMode="External" Id="rId1679" /><Relationship Type="http://schemas.openxmlformats.org/officeDocument/2006/relationships/hyperlink" Target="https://eddler.se/" TargetMode="External" Id="rId1680" /><Relationship Type="http://schemas.openxmlformats.org/officeDocument/2006/relationships/hyperlink" Target="https://www.instagram.com/eddler.se/" TargetMode="External" Id="rId1681" /><Relationship Type="http://schemas.openxmlformats.org/officeDocument/2006/relationships/hyperlink" Target="https://twitter.com/eddler_se" TargetMode="External" Id="rId1682" /><Relationship Type="http://schemas.openxmlformats.org/officeDocument/2006/relationships/hyperlink" Target="https://www.linkedin.com/company/eddler" TargetMode="External" Id="rId1683" /><Relationship Type="http://schemas.openxmlformats.org/officeDocument/2006/relationships/hyperlink" Target="https://drive.google.com/uc?export=view&amp;id=1XR5dUf6rMlfQfLf228Z71P3lVHcOU_HV" TargetMode="External" Id="rId1684" /><Relationship Type="http://schemas.openxmlformats.org/officeDocument/2006/relationships/hyperlink" Target="https://www.eduexpert.eu/en/" TargetMode="External" Id="rId1685" /><Relationship Type="http://schemas.openxmlformats.org/officeDocument/2006/relationships/hyperlink" Target="https://www.instagram.cm/eduexpert.multimedia/" TargetMode="External" Id="rId1686" /><Relationship Type="http://schemas.openxmlformats.org/officeDocument/2006/relationships/hyperlink" Target="https://drive.google.com/uc?export=view&amp;id=13LGHuZgC71MGwptj3m8v0z1GNvsmAmPD" TargetMode="External" Id="rId1687" /><Relationship Type="http://schemas.openxmlformats.org/officeDocument/2006/relationships/hyperlink" Target="https://esybee-com.webnode.se/" TargetMode="External" Id="rId1688" /><Relationship Type="http://schemas.openxmlformats.org/officeDocument/2006/relationships/hyperlink" Target="https://esybee-com.webnode.se/tjanster/" TargetMode="External" Id="rId1689" /><Relationship Type="http://schemas.openxmlformats.org/officeDocument/2006/relationships/hyperlink" Target="https://drive.google.com/uc?export=view&amp;id=17CCnykQCUeSjmPGxs1VUVHC541kykOY8" TargetMode="External" Id="rId1690" /><Relationship Type="http://schemas.openxmlformats.org/officeDocument/2006/relationships/hyperlink" Target="https://www.eyelearn.at/" TargetMode="External" Id="rId1691" /><Relationship Type="http://schemas.openxmlformats.org/officeDocument/2006/relationships/hyperlink" Target="https://www.instagram.com/eyelearn_/" TargetMode="External" Id="rId1692" /><Relationship Type="http://schemas.openxmlformats.org/officeDocument/2006/relationships/hyperlink" Target="https://www.linkedin.com/company/eyelearn-gmbh/" TargetMode="External" Id="rId1693" /><Relationship Type="http://schemas.openxmlformats.org/officeDocument/2006/relationships/hyperlink" Target="https://drive.google.com/uc?export=view&amp;id=1dbiTReU4JCwGtk6ShEyY4vDzcr8HXiYC" TargetMode="External" Id="rId1694" /><Relationship Type="http://schemas.openxmlformats.org/officeDocument/2006/relationships/hyperlink" Target="http://www.ilteducation.fi/" TargetMode="External" Id="rId1695" /><Relationship Type="http://schemas.openxmlformats.org/officeDocument/2006/relationships/hyperlink" Target="https://www.instagram.com/lukulumo" TargetMode="External" Id="rId1696" /><Relationship Type="http://schemas.openxmlformats.org/officeDocument/2006/relationships/hyperlink" Target="https://www.linkedin.com/company/ilt-education-finland" TargetMode="External" Id="rId1697" /><Relationship Type="http://schemas.openxmlformats.org/officeDocument/2006/relationships/hyperlink" Target="https://drive.google.com/uc?export=view&amp;id=1xkGMVb2gJSombO-gnmK8YfqsvL9vFeAq" TargetMode="External" Id="rId1698" /><Relationship Type="http://schemas.openxmlformats.org/officeDocument/2006/relationships/hyperlink" Target="http://lorugames.com/" TargetMode="External" Id="rId1699" /><Relationship Type="http://schemas.openxmlformats.org/officeDocument/2006/relationships/hyperlink" Target="https://twitter.com/LoruGames?t=w52r4VkuFOBgaRazzl0GvQ&amp;s=09" TargetMode="External" Id="rId1700" /><Relationship Type="http://schemas.openxmlformats.org/officeDocument/2006/relationships/hyperlink" Target="https://www.linkedin.com/company/lorugames/" TargetMode="External" Id="rId1701" /><Relationship Type="http://schemas.openxmlformats.org/officeDocument/2006/relationships/hyperlink" Target="http://lorugames.com/" TargetMode="External" Id="rId1702" /><Relationship Type="http://schemas.openxmlformats.org/officeDocument/2006/relationships/hyperlink" Target="https://drive.google.com/uc?export=view&amp;id=1UsT7BsuNK_lkLbuD4cqVaYQJwHP_OvE2" TargetMode="External" Id="rId1703" /><Relationship Type="http://schemas.openxmlformats.org/officeDocument/2006/relationships/hyperlink" Target="https://nextlearningvalley.com/" TargetMode="External" Id="rId1704" /><Relationship Type="http://schemas.openxmlformats.org/officeDocument/2006/relationships/hyperlink" Target="https://www.instagram.com/nextlearningvalley/" TargetMode="External" Id="rId1705" /><Relationship Type="http://schemas.openxmlformats.org/officeDocument/2006/relationships/hyperlink" Target="https://twitter.com/NLV_LXP" TargetMode="External" Id="rId1706" /><Relationship Type="http://schemas.openxmlformats.org/officeDocument/2006/relationships/hyperlink" Target="https://www.linkedin.com/company/nextlearningvalley/?viewAsMember=true" TargetMode="External" Id="rId1707" /><Relationship Type="http://schemas.openxmlformats.org/officeDocument/2006/relationships/hyperlink" Target="https://drive.google.com/uc?export=view&amp;id=1GJHQwc08-diCyzMa7B_7CMFNGc1_IOiE" TargetMode="External" Id="rId1708" /><Relationship Type="http://schemas.openxmlformats.org/officeDocument/2006/relationships/hyperlink" Target="http://www.mobility-era.com/" TargetMode="External" Id="rId1709" /><Relationship Type="http://schemas.openxmlformats.org/officeDocument/2006/relationships/hyperlink" Target="https://www.linkedin.com/groups/13758292/" TargetMode="External" Id="rId1710" /><Relationship Type="http://schemas.openxmlformats.org/officeDocument/2006/relationships/hyperlink" Target="https://drive.google.com/uc?export=view&amp;id=1Niqqpgvch3XNceic8tK78qMpmbgFYfcb" TargetMode="External" Id="rId1711" /><Relationship Type="http://schemas.openxmlformats.org/officeDocument/2006/relationships/hyperlink" Target="http://www.schoolsoft.se/" TargetMode="External" Id="rId1712" /><Relationship Type="http://schemas.openxmlformats.org/officeDocument/2006/relationships/hyperlink" Target="https://drive.google.com/uc?export=view&amp;id=1rL1Ls6V_WKVsDoDs9Vcy2xIkeokNhDPU" TargetMode="External" Id="rId1713" /><Relationship Type="http://schemas.openxmlformats.org/officeDocument/2006/relationships/hyperlink" Target="http://www.unikum.net/" TargetMode="External" Id="rId1714" /><Relationship Type="http://schemas.openxmlformats.org/officeDocument/2006/relationships/hyperlink" Target="https://www.instagram.com/unikum_net/" TargetMode="External" Id="rId1715" /><Relationship Type="http://schemas.openxmlformats.org/officeDocument/2006/relationships/hyperlink" Target="https://twitter.com/unikum_net" TargetMode="External" Id="rId1716" /><Relationship Type="http://schemas.openxmlformats.org/officeDocument/2006/relationships/hyperlink" Target="https://www.linkedin.com/company/unikum-%E2%80%93-unikt-l%C3%A4rande-f%C3%B6r-unika-barn/" TargetMode="External" Id="rId1717" /><Relationship Type="http://schemas.openxmlformats.org/officeDocument/2006/relationships/hyperlink" Target="https://drive.google.com/uc?export=view&amp;id=1ijaM9pYTlWQEKOkjFkGReJj_Ck09yKq1" TargetMode="External" Id="rId1718" /><Relationship Type="http://schemas.openxmlformats.org/officeDocument/2006/relationships/hyperlink" Target="http://www.vorsen.nl/" TargetMode="External" Id="rId1719" /><Relationship Type="http://schemas.openxmlformats.org/officeDocument/2006/relationships/hyperlink" Target="https://www.linkedin.com/company/vorsen" TargetMode="External" Id="rId1720" /><Relationship Type="http://schemas.openxmlformats.org/officeDocument/2006/relationships/hyperlink" Target="https://drive.google.com/uc?export=view&amp;id=1edyYlGP2wRu5pDxNTi14g4za5UVWVS2y" TargetMode="External" Id="rId1721" /><Relationship Type="http://schemas.openxmlformats.org/officeDocument/2006/relationships/hyperlink" Target="https://skriware.com/" TargetMode="External" Id="rId1722" /><Relationship Type="http://schemas.openxmlformats.org/officeDocument/2006/relationships/hyperlink" Target="https://www.instagram.com/skriware/" TargetMode="External" Id="rId1723" /><Relationship Type="http://schemas.openxmlformats.org/officeDocument/2006/relationships/hyperlink" Target="https://twitter.com/Skriware" TargetMode="External" Id="rId1724" /><Relationship Type="http://schemas.openxmlformats.org/officeDocument/2006/relationships/hyperlink" Target="https://www.linkedin.com/company/skriware/" TargetMode="External" Id="rId1725" /><Relationship Type="http://schemas.openxmlformats.org/officeDocument/2006/relationships/hyperlink" Target="https://wideservices.gr/en/" TargetMode="External" Id="rId1726" /><Relationship Type="http://schemas.openxmlformats.org/officeDocument/2006/relationships/hyperlink" Target="https://www.linkedin.com/company/wide-services-p-c/" TargetMode="External" Id="rId1727" /><Relationship Type="http://schemas.openxmlformats.org/officeDocument/2006/relationships/hyperlink" Target="https://drive.google.com/uc?export=view&amp;id=1Kq7nMzdCA9IOmsFZ5-whWkFjg87h9ERJ" TargetMode="External" Id="rId1728" /><Relationship Type="http://schemas.openxmlformats.org/officeDocument/2006/relationships/hyperlink" Target="http://www.moxliukas.lt/" TargetMode="External" Id="rId1729" /><Relationship Type="http://schemas.openxmlformats.org/officeDocument/2006/relationships/hyperlink" Target="https://www.instagram.com/moxliukas/" TargetMode="External" Id="rId1730" /><Relationship Type="http://schemas.openxmlformats.org/officeDocument/2006/relationships/hyperlink" Target="https://www.linkedin.com/company/moxliukas" TargetMode="External" Id="rId1731" /><Relationship Type="http://schemas.openxmlformats.org/officeDocument/2006/relationships/hyperlink" Target="https://drive.google.com/uc?export=view&amp;id=1jcfesTQdI25lTFtzHbuH81w-XVKX6QIp" TargetMode="External" Id="rId1732" /><Relationship Type="http://schemas.openxmlformats.org/officeDocument/2006/relationships/hyperlink" Target="https://scealprod.fr/" TargetMode="External" Id="rId1733" /><Relationship Type="http://schemas.openxmlformats.org/officeDocument/2006/relationships/hyperlink" Target="https://www.instagram.com/scealprod.fr/" TargetMode="External" Id="rId1734" /><Relationship Type="http://schemas.openxmlformats.org/officeDocument/2006/relationships/hyperlink" Target="https://twitter.com/scealprod/" TargetMode="External" Id="rId1735" /><Relationship Type="http://schemas.openxmlformats.org/officeDocument/2006/relationships/hyperlink" Target="https://www.linkedin.com/company/scealprod/" TargetMode="External" Id="rId1736" /><Relationship Type="http://schemas.openxmlformats.org/officeDocument/2006/relationships/hyperlink" Target="https://drive.google.com/uc?export=view&amp;id=1TLxrujCs0vos9yH_HCQdjFgqxSNz1dwp" TargetMode="External" Id="rId1737" /><Relationship Type="http://schemas.openxmlformats.org/officeDocument/2006/relationships/hyperlink" Target="https://ditto.education/" TargetMode="External" Id="rId1738" /><Relationship Type="http://schemas.openxmlformats.org/officeDocument/2006/relationships/hyperlink" Target="https://www.instagram.com/ditto.educacion/" TargetMode="External" Id="rId1739" /><Relationship Type="http://schemas.openxmlformats.org/officeDocument/2006/relationships/hyperlink" Target="https://www.linkedin.com/company/ditto-education/" TargetMode="External" Id="rId1740" /><Relationship Type="http://schemas.openxmlformats.org/officeDocument/2006/relationships/hyperlink" Target="https://drive.google.com/uc?export=view&amp;id=1A5YCbaAAM6h9BZGNFHUDaDJxJd_ElVSo" TargetMode="External" Id="rId1741" /><Relationship Type="http://schemas.openxmlformats.org/officeDocument/2006/relationships/hyperlink" Target="http://www.tutorhive.co.uk/onehive" TargetMode="External" Id="rId1742" /><Relationship Type="http://schemas.openxmlformats.org/officeDocument/2006/relationships/hyperlink" Target="https://www.instagram.com/tutor.hive/?hl=en" TargetMode="External" Id="rId1743" /><Relationship Type="http://schemas.openxmlformats.org/officeDocument/2006/relationships/hyperlink" Target="https://www.linkedin.com/company/tutorhive/" TargetMode="External" Id="rId1744" /><Relationship Type="http://schemas.openxmlformats.org/officeDocument/2006/relationships/hyperlink" Target="https://drive.google.com/uc?export=view&amp;id=1nE9-qUre7YTzpdJ_tY9ia4SsYaPTDXT8" TargetMode="External" Id="rId1745" /><Relationship Type="http://schemas.openxmlformats.org/officeDocument/2006/relationships/hyperlink" Target="https://www.effency.fr/" TargetMode="External" Id="rId1746" /><Relationship Type="http://schemas.openxmlformats.org/officeDocument/2006/relationships/hyperlink" Target="https://twitter.com/effency_" TargetMode="External" Id="rId1747" /><Relationship Type="http://schemas.openxmlformats.org/officeDocument/2006/relationships/hyperlink" Target="https://www.linkedin.com/company/effency" TargetMode="External" Id="rId1748" /><Relationship Type="http://schemas.openxmlformats.org/officeDocument/2006/relationships/hyperlink" Target="https://drive.google.com/uc?export=view&amp;id=1AVrnhOd2wnDz8wl5TQu5mEK1iY39Syuj" TargetMode="External" Id="rId1749" /><Relationship Type="http://schemas.openxmlformats.org/officeDocument/2006/relationships/hyperlink" Target="http://lexivist.com/" TargetMode="External" Id="rId1750" /><Relationship Type="http://schemas.openxmlformats.org/officeDocument/2006/relationships/hyperlink" Target="https://drive.google.com/uc?export=view&amp;id=1XUxtkZtCV0CK-H2tHTogesPasZmw94pr" TargetMode="External" Id="rId1751" /><Relationship Type="http://schemas.openxmlformats.org/officeDocument/2006/relationships/hyperlink" Target="https://www.whoteach.it/en/" TargetMode="External" Id="rId1752" /><Relationship Type="http://schemas.openxmlformats.org/officeDocument/2006/relationships/hyperlink" Target="https://www.linkedin.com/company/whoteach-it/mycompany/" TargetMode="External" Id="rId1753" /><Relationship Type="http://schemas.openxmlformats.org/officeDocument/2006/relationships/hyperlink" Target="https://drive.google.com/uc?export=view&amp;id=1Z27e4wiFEJLxIT-3KG5wc3YVpLh2wP8X" TargetMode="External" Id="rId1754" /><Relationship Type="http://schemas.openxmlformats.org/officeDocument/2006/relationships/hyperlink" Target="https://thesmartestway.com/" TargetMode="External" Id="rId1755" /><Relationship Type="http://schemas.openxmlformats.org/officeDocument/2006/relationships/hyperlink" Target="https://www.instagram.com/thesmartestwaycom" TargetMode="External" Id="rId1756" /><Relationship Type="http://schemas.openxmlformats.org/officeDocument/2006/relationships/hyperlink" Target="https://www.linkedin.com/company/thesmartestway" TargetMode="External" Id="rId1757" /><Relationship Type="http://schemas.openxmlformats.org/officeDocument/2006/relationships/hyperlink" Target="https://drive.google.com/uc?export=view&amp;id=16WNBf6KDRS84qD54vZ5SpXWuTKtz_TQe" TargetMode="External" Id="rId1758" /><Relationship Type="http://schemas.openxmlformats.org/officeDocument/2006/relationships/hyperlink" Target="https://game.edenauts.com/" TargetMode="External" Id="rId1759" /><Relationship Type="http://schemas.openxmlformats.org/officeDocument/2006/relationships/hyperlink" Target="https://drive.google.com/uc?export=view&amp;id=17vtbrwasu-9HF31FD0Ppqx1RlOSiuqXy" TargetMode="External" Id="rId1760" /><Relationship Type="http://schemas.openxmlformats.org/officeDocument/2006/relationships/hyperlink" Target="https://edulab.work/" TargetMode="External" Id="rId1761" /><Relationship Type="http://schemas.openxmlformats.org/officeDocument/2006/relationships/hyperlink" Target="https://drive.google.com/uc?export=view&amp;id=1IeLO4HBlM5UFJDTGISayJJaZmIITL5O-" TargetMode="External" Id="rId1762" /><Relationship Type="http://schemas.openxmlformats.org/officeDocument/2006/relationships/hyperlink" Target="https://game-learn.com/" TargetMode="External" Id="rId1763" /><Relationship Type="http://schemas.openxmlformats.org/officeDocument/2006/relationships/hyperlink" Target="https://www.instagram.com/gamelearn/" TargetMode="External" Id="rId1764" /><Relationship Type="http://schemas.openxmlformats.org/officeDocument/2006/relationships/hyperlink" Target="https://twitter.com/Gamelearn" TargetMode="External" Id="rId1765" /><Relationship Type="http://schemas.openxmlformats.org/officeDocument/2006/relationships/hyperlink" Target="http://www.linkedin.com/company/gamelearn" TargetMode="External" Id="rId1766" /><Relationship Type="http://schemas.openxmlformats.org/officeDocument/2006/relationships/hyperlink" Target="https://drive.google.com/uc?export=view&amp;id=1cLCGvJeaX0PBIajRQyFkolPVPDfZZS5A" TargetMode="External" Id="rId1767" /><Relationship Type="http://schemas.openxmlformats.org/officeDocument/2006/relationships/hyperlink" Target="http://www.mysoly.nl/" TargetMode="External" Id="rId1768" /><Relationship Type="http://schemas.openxmlformats.org/officeDocument/2006/relationships/hyperlink" Target="https://www.linkedin.com/company/82955558/admin/feed/posts/" TargetMode="External" Id="rId1769" /><Relationship Type="http://schemas.openxmlformats.org/officeDocument/2006/relationships/hyperlink" Target="https://drive.google.com/uc?export=view&amp;id=1eHc5zzooktsrLRbpT-9KtldOoIjnun6g" TargetMode="External" Id="rId1770" /><Relationship Type="http://schemas.openxmlformats.org/officeDocument/2006/relationships/hyperlink" Target="http://blockbook.nl/" TargetMode="External" Id="rId1771" /><Relationship Type="http://schemas.openxmlformats.org/officeDocument/2006/relationships/hyperlink" Target="https://www.linkedin.com/company/98543805/" TargetMode="External" Id="rId1772" /><Relationship Type="http://schemas.openxmlformats.org/officeDocument/2006/relationships/hyperlink" Target="https://drive.google.com/uc?export=view&amp;id=1Yb95an2gddwNJA6A34PnCBIiQv2N2tQv" TargetMode="External" Id="rId1773" /><Relationship Type="http://schemas.openxmlformats.org/officeDocument/2006/relationships/hyperlink" Target="https://studo.com/en/" TargetMode="External" Id="rId1774" /><Relationship Type="http://schemas.openxmlformats.org/officeDocument/2006/relationships/hyperlink" Target="https://www.instagram.com/studoapp/" TargetMode="External" Id="rId1775" /><Relationship Type="http://schemas.openxmlformats.org/officeDocument/2006/relationships/hyperlink" Target="https://twitter.com/studoapp" TargetMode="External" Id="rId1776" /><Relationship Type="http://schemas.openxmlformats.org/officeDocument/2006/relationships/hyperlink" Target="https://www.linkedin.com/company/studo-app" TargetMode="External" Id="rId1777" /><Relationship Type="http://schemas.openxmlformats.org/officeDocument/2006/relationships/hyperlink" Target="https://drive.google.com/uc?export=view&amp;id=1rLQ7gOj9Dc630z6hPEWNld0LmI2kdwB5" TargetMode="External" Id="rId1778" /><Relationship Type="http://schemas.openxmlformats.org/officeDocument/2006/relationships/hyperlink" Target="http://www.wyblo.com/" TargetMode="External" Id="rId1779" /><Relationship Type="http://schemas.openxmlformats.org/officeDocument/2006/relationships/hyperlink" Target="https://www.instagram.com/lifeatwyblo/" TargetMode="External" Id="rId1780" /><Relationship Type="http://schemas.openxmlformats.org/officeDocument/2006/relationships/hyperlink" Target="https://www.linkedin.com/company/wyblo" TargetMode="External" Id="rId1781" /><Relationship Type="http://schemas.openxmlformats.org/officeDocument/2006/relationships/hyperlink" Target="https://drive.google.com/uc?export=view&amp;id=1haqq3swoWn7OZ4SZs1XrGW9u7LMgJQdF" TargetMode="External" Id="rId1782" /><Relationship Type="http://schemas.openxmlformats.org/officeDocument/2006/relationships/hyperlink" Target="http://www.archaeo-now.com/" TargetMode="External" Id="rId1783" /><Relationship Type="http://schemas.openxmlformats.org/officeDocument/2006/relationships/hyperlink" Target="https://www.instagram.com/archaeonow/" TargetMode="External" Id="rId1784" /><Relationship Type="http://schemas.openxmlformats.org/officeDocument/2006/relationships/hyperlink" Target="https://www.linkedin.com/company/archaeonow" TargetMode="External" Id="rId1785" /><Relationship Type="http://schemas.openxmlformats.org/officeDocument/2006/relationships/hyperlink" Target="https://kwark.education/" TargetMode="External" Id="rId1786" /><Relationship Type="http://schemas.openxmlformats.org/officeDocument/2006/relationships/hyperlink" Target="https://twitter.com/KwarkEducation" TargetMode="External" Id="rId1787" /><Relationship Type="http://schemas.openxmlformats.org/officeDocument/2006/relationships/hyperlink" Target="https://www.linkedin.com/company/kwark-education/" TargetMode="External" Id="rId1788" /><Relationship Type="http://schemas.openxmlformats.org/officeDocument/2006/relationships/hyperlink" Target="https://drive.google.com/uc?export=view&amp;id=1410zBmBoNSbyHch5JMwN0KEU_zobv4YT" TargetMode="External" Id="rId1789" /><Relationship Type="http://schemas.openxmlformats.org/officeDocument/2006/relationships/hyperlink" Target="https://www.theia.fr/en/" TargetMode="External" Id="rId1790" /><Relationship Type="http://schemas.openxmlformats.org/officeDocument/2006/relationships/hyperlink" Target="https://twitter.com/edutheia?lang=en" TargetMode="External" Id="rId1791" /><Relationship Type="http://schemas.openxmlformats.org/officeDocument/2006/relationships/hyperlink" Target="https://www.linkedin.com/company/sas-theia/mycompany/verification/?viewAsMember=true" TargetMode="External" Id="rId1792" /><Relationship Type="http://schemas.openxmlformats.org/officeDocument/2006/relationships/hyperlink" Target="https://drive.google.com/uc?export=view&amp;id=1r_9D2exC8AK3L6IrC3NPUe5C0PVGzqcJ" TargetMode="External" Id="rId1793" /><Relationship Type="http://schemas.openxmlformats.org/officeDocument/2006/relationships/hyperlink" Target="https://www.ulys-europe.eu/" TargetMode="External" Id="rId1794" /><Relationship Type="http://schemas.openxmlformats.org/officeDocument/2006/relationships/hyperlink" Target="https://twitter.com/EuropeUlys" TargetMode="External" Id="rId1795" /><Relationship Type="http://schemas.openxmlformats.org/officeDocument/2006/relationships/hyperlink" Target="https://www.ulys-europe.eu/" TargetMode="External" Id="rId1796" /><Relationship Type="http://schemas.openxmlformats.org/officeDocument/2006/relationships/hyperlink" Target="https://drive.google.com/uc?export=view&amp;id=1-TsMHv-6_PhQ_Cfi9mt2zztaSkAzKlCz" TargetMode="External" Id="rId1797" /><Relationship Type="http://schemas.openxmlformats.org/officeDocument/2006/relationships/hyperlink" Target="https://www.limitlessedu.app/" TargetMode="External" Id="rId1798" /><Relationship Type="http://schemas.openxmlformats.org/officeDocument/2006/relationships/hyperlink" Target="https://www.linkedin.com/company/limitlesseduc" TargetMode="External" Id="rId1799" /><Relationship Type="http://schemas.openxmlformats.org/officeDocument/2006/relationships/hyperlink" Target="https://drive.google.com/uc?export=view&amp;id=1yxfYpDFsuliVSw3C8zzXIDSCqu8xEtHC" TargetMode="External" Id="rId1800" /><Relationship Type="http://schemas.openxmlformats.org/officeDocument/2006/relationships/hyperlink" Target="http://www.psyphy.io/" TargetMode="External" Id="rId1801" /><Relationship Type="http://schemas.openxmlformats.org/officeDocument/2006/relationships/hyperlink" Target="https://www.linkedin.com/company/psyphyamsterdam/" TargetMode="External" Id="rId1802" /><Relationship Type="http://schemas.openxmlformats.org/officeDocument/2006/relationships/hyperlink" Target="https://drive.google.com/uc?export=view&amp;id=1VQjEWqy3hX5HdvlDLdcJaIjth0LTaKTS" TargetMode="External" Id="rId1803" /><Relationship Type="http://schemas.openxmlformats.org/officeDocument/2006/relationships/hyperlink" Target="http://www.desku.fi/" TargetMode="External" Id="rId1804" /><Relationship Type="http://schemas.openxmlformats.org/officeDocument/2006/relationships/hyperlink" Target="https://drive.google.com/uc?export=view&amp;id=1u2cRghPZ4KB5LU4WPxrTr1Zckric6s_D" TargetMode="External" Id="rId1805" /><Relationship Type="http://schemas.openxmlformats.org/officeDocument/2006/relationships/hyperlink" Target="http://www.solveitnow.org/" TargetMode="External" Id="rId1806" /><Relationship Type="http://schemas.openxmlformats.org/officeDocument/2006/relationships/hyperlink" Target="https://www.x.com/@hellosolveit" TargetMode="External" Id="rId1807" /><Relationship Type="http://schemas.openxmlformats.org/officeDocument/2006/relationships/hyperlink" Target="https://www.linkedin.com/company/solveitnow-inc" TargetMode="External" Id="rId1808" /><Relationship Type="http://schemas.openxmlformats.org/officeDocument/2006/relationships/hyperlink" Target="https://drive.google.com/uc?export=view&amp;id=1QdrhPwigUTvHxzGuo0VZIRZi-Hem9Pzg" TargetMode="External" Id="rId1809" /><Relationship Type="http://schemas.openxmlformats.org/officeDocument/2006/relationships/hyperlink" Target="https://www.thehub21.com/" TargetMode="External" Id="rId1810" /><Relationship Type="http://schemas.openxmlformats.org/officeDocument/2006/relationships/hyperlink" Target="https://www.instagram.com/thehub.21/" TargetMode="External" Id="rId1811" /><Relationship Type="http://schemas.openxmlformats.org/officeDocument/2006/relationships/hyperlink" Target="https://www.linkedin.com/company/thehub21/" TargetMode="External" Id="rId1812" /><Relationship Type="http://schemas.openxmlformats.org/officeDocument/2006/relationships/hyperlink" Target="https://drive.google.com/uc?export=view&amp;id=18nhXpewqQxL6GXRuSEQW1ZqJjyhSMTx8" TargetMode="External" Id="rId1813" /><Relationship Type="http://schemas.openxmlformats.org/officeDocument/2006/relationships/hyperlink" Target="https://www.kickstart-innovation.com/" TargetMode="External" Id="rId1814" /><Relationship Type="http://schemas.openxmlformats.org/officeDocument/2006/relationships/hyperlink" Target="https://drive.google.com/uc?export=view&amp;id=1dYlK1Jr0nRaW9vaXtUAIPKDN3QpINK4Z" TargetMode="External" Id="rId1815" /><Relationship Type="http://schemas.openxmlformats.org/officeDocument/2006/relationships/hyperlink" Target="https://langly.ai/en/" TargetMode="External" Id="rId1816" /><Relationship Type="http://schemas.openxmlformats.org/officeDocument/2006/relationships/hyperlink" Target="https://www.instagram.com/langly.app/" TargetMode="External" Id="rId1817" /><Relationship Type="http://schemas.openxmlformats.org/officeDocument/2006/relationships/hyperlink" Target="https://twitter.com/langly_inc?s=21&amp;t=c9l-3xJat7s1nB0RAhFVuA" TargetMode="External" Id="rId1818" /><Relationship Type="http://schemas.openxmlformats.org/officeDocument/2006/relationships/hyperlink" Target="https://www.linkedin.com/company/langly/" TargetMode="External" Id="rId1819" /><Relationship Type="http://schemas.openxmlformats.org/officeDocument/2006/relationships/hyperlink" Target="https://drive.google.com/uc?export=view&amp;id=1Qyn5w3tIGIHv_gcqjvEElpEe-lxi2wsC" TargetMode="External" Id="rId1820" /><Relationship Type="http://schemas.openxmlformats.org/officeDocument/2006/relationships/hyperlink" Target="https://puro.education/" TargetMode="External" Id="rId1821" /><Relationship Type="http://schemas.openxmlformats.org/officeDocument/2006/relationships/hyperlink" Target="https://www.instagram.com/puro.education/" TargetMode="External" Id="rId1822" /><Relationship Type="http://schemas.openxmlformats.org/officeDocument/2006/relationships/hyperlink" Target="https://fi.linkedin.com/company/pisara-learning" TargetMode="External" Id="rId1823" /><Relationship Type="http://schemas.openxmlformats.org/officeDocument/2006/relationships/hyperlink" Target="https://drive.google.com/uc?export=view&amp;id=1SHEUQa0-3zT5OC8pKjduKLw2Spw7oTsh" TargetMode="External" Id="rId1824" /><Relationship Type="http://schemas.openxmlformats.org/officeDocument/2006/relationships/hyperlink" Target="https://edneo.de/de/" TargetMode="External" Id="rId1825" /><Relationship Type="http://schemas.openxmlformats.org/officeDocument/2006/relationships/hyperlink" Target="https://www.linkedin.com/company/edneo" TargetMode="External" Id="rId1826" /><Relationship Type="http://schemas.openxmlformats.org/officeDocument/2006/relationships/hyperlink" Target="https://drive.google.com/uc?export=view&amp;id=1w7Cm7cEXN6Ubct8OCoWjnF10Uu_-a4u6" TargetMode="External" Id="rId1827" /><Relationship Type="http://schemas.openxmlformats.org/officeDocument/2006/relationships/hyperlink" Target="https://www.activequiz.com/" TargetMode="External" Id="rId1828" /><Relationship Type="http://schemas.openxmlformats.org/officeDocument/2006/relationships/hyperlink" Target="https://www.linkedin.com/company/10925962/" TargetMode="External" Id="rId1829" /><Relationship Type="http://schemas.openxmlformats.org/officeDocument/2006/relationships/hyperlink" Target="https://drive.google.com/uc?export=view&amp;id=1QkxuS-6Qd_42daMy7NPu1oRPO_SJBm6k" TargetMode="External" Id="rId1830" /><Relationship Type="http://schemas.openxmlformats.org/officeDocument/2006/relationships/hyperlink" Target="http://www.cogknit.io/" TargetMode="External" Id="rId1831" /><Relationship Type="http://schemas.openxmlformats.org/officeDocument/2006/relationships/hyperlink" Target="https://drive.google.com/uc?export=view&amp;id=1apOpji-VeKvbAxJ-jvoGXRb-IGTwlhqG" TargetMode="External" Id="rId1832" /><Relationship Type="http://schemas.openxmlformats.org/officeDocument/2006/relationships/hyperlink" Target="http://www.theenglishquest.com/" TargetMode="External" Id="rId1833" /><Relationship Type="http://schemas.openxmlformats.org/officeDocument/2006/relationships/hyperlink" Target="https://drive.google.com/uc?export=view&amp;id=1AO8egDtgp4ae8j0_eOJTgkMGoLCepFQa" TargetMode="External" Id="rId1834" /><Relationship Type="http://schemas.openxmlformats.org/officeDocument/2006/relationships/hyperlink" Target="http://phrasecat.com/" TargetMode="External" Id="rId1835" /><Relationship Type="http://schemas.openxmlformats.org/officeDocument/2006/relationships/hyperlink" Target="https://www.linkedin.com/company/phrasecat" TargetMode="External" Id="rId1836" /><Relationship Type="http://schemas.openxmlformats.org/officeDocument/2006/relationships/hyperlink" Target="https://drive.google.com/uc?export=view&amp;id=13_o5FgEAJoR_ef4JnohgoH1PCVby8wDG" TargetMode="External" Id="rId1837" /><Relationship Type="http://schemas.openxmlformats.org/officeDocument/2006/relationships/hyperlink" Target="https://www.videocation.no/" TargetMode="External" Id="rId1838" /><Relationship Type="http://schemas.openxmlformats.org/officeDocument/2006/relationships/hyperlink" Target="http://videocation.no/" TargetMode="External" Id="rId1839" /><Relationship Type="http://schemas.openxmlformats.org/officeDocument/2006/relationships/hyperlink" Target="http://videocation.no/" TargetMode="External" Id="rId1840" /><Relationship Type="http://schemas.openxmlformats.org/officeDocument/2006/relationships/hyperlink" Target="https://www.linkedin.com/company/videocation.no/" TargetMode="External" Id="rId1841" /><Relationship Type="http://schemas.openxmlformats.org/officeDocument/2006/relationships/hyperlink" Target="https://drive.google.com/uc?export=view&amp;id=1CHnSGSuqd_FJXQH9rv55xI9zzFHZKDuG" TargetMode="External" Id="rId1842" /><Relationship Type="http://schemas.openxmlformats.org/officeDocument/2006/relationships/hyperlink" Target="http://www.ewink.es/" TargetMode="External" Id="rId1843" /><Relationship Type="http://schemas.openxmlformats.org/officeDocument/2006/relationships/hyperlink" Target="https://www.linkedin.com/company/ewink/?viewAsMember=true" TargetMode="External" Id="rId1844" /><Relationship Type="http://schemas.openxmlformats.org/officeDocument/2006/relationships/hyperlink" Target="http://fast-ai-movies.de/" TargetMode="External" Id="rId1845" /><Relationship Type="http://schemas.openxmlformats.org/officeDocument/2006/relationships/hyperlink" Target="https://www.instagram.com/fast.ai.movies" TargetMode="External" Id="rId1846" /><Relationship Type="http://schemas.openxmlformats.org/officeDocument/2006/relationships/hyperlink" Target="https://www.linkedin.com/company/fast-ai-movies" TargetMode="External" Id="rId1847" /><Relationship Type="http://schemas.openxmlformats.org/officeDocument/2006/relationships/hyperlink" Target="https://drive.google.com/uc?export=view&amp;id=1Epoe16em4hCJovTvlRRSrunnKgZHHftK" TargetMode="External" Id="rId1848" /><Relationship Type="http://schemas.openxmlformats.org/officeDocument/2006/relationships/hyperlink" Target="https://inkubator-kocevje.si/" TargetMode="External" Id="rId1849" /><Relationship Type="http://schemas.openxmlformats.org/officeDocument/2006/relationships/hyperlink" Target="https://www.instagram.com/inkubator_kocevje/" TargetMode="External" Id="rId1850" /><Relationship Type="http://schemas.openxmlformats.org/officeDocument/2006/relationships/hyperlink" Target="https://www.linkedin.com/company/podjetni%C5%A1ki-inkubator-ko%C4%8Devje" TargetMode="External" Id="rId1851" /><Relationship Type="http://schemas.openxmlformats.org/officeDocument/2006/relationships/hyperlink" Target="https://drive.google.com/uc?export=view&amp;id=17AxyioVPLeP4s-WWbiuP9r5u8LE8XLTQ" TargetMode="External" Id="rId1852" /><Relationship Type="http://schemas.openxmlformats.org/officeDocument/2006/relationships/hyperlink" Target="https://www.thelearninghub.be/" TargetMode="External" Id="rId1853" /><Relationship Type="http://schemas.openxmlformats.org/officeDocument/2006/relationships/hyperlink" Target="https://www.instagram.com/thelearninghub.be/" TargetMode="External" Id="rId1854" /><Relationship Type="http://schemas.openxmlformats.org/officeDocument/2006/relationships/hyperlink" Target="https://www.linkedin.com/company/the-learning-hub" TargetMode="External" Id="rId1855" /><Relationship Type="http://schemas.openxmlformats.org/officeDocument/2006/relationships/hyperlink" Target="https://drive.google.com/uc?export=view&amp;id=1llXNwGOGh3atxAT7mvrh_vliV2IPkwzy" TargetMode="External" Id="rId1856" /><Relationship Type="http://schemas.openxmlformats.org/officeDocument/2006/relationships/hyperlink" Target="http://3dcamp.us/" TargetMode="External" Id="rId1857" /><Relationship Type="http://schemas.openxmlformats.org/officeDocument/2006/relationships/hyperlink" Target="https://www.3dcamp.us/" TargetMode="External" Id="rId1858" /><Relationship Type="http://schemas.openxmlformats.org/officeDocument/2006/relationships/hyperlink" Target="https://www.instagram.com/3dcamp.us/" TargetMode="External" Id="rId1859" /><Relationship Type="http://schemas.openxmlformats.org/officeDocument/2006/relationships/hyperlink" Target="https://twitter.com/3dcampus_" TargetMode="External" Id="rId1860" /><Relationship Type="http://schemas.openxmlformats.org/officeDocument/2006/relationships/hyperlink" Target="https://www.linkedin.com/company/3dcampus/" TargetMode="External" Id="rId1861" /><Relationship Type="http://schemas.openxmlformats.org/officeDocument/2006/relationships/hyperlink" Target="http://3dcamp.us/" TargetMode="External" Id="rId1862" /><Relationship Type="http://schemas.openxmlformats.org/officeDocument/2006/relationships/hyperlink" Target="https://drive.google.com/uc?export=view&amp;id=1iETgsNDPB_6UrEYn4K-sFWNaS19epLUe" TargetMode="External" Id="rId1863" /><Relationship Type="http://schemas.openxmlformats.org/officeDocument/2006/relationships/hyperlink" Target="http://www.happycode.com.es/" TargetMode="External" Id="rId1864" /><Relationship Type="http://schemas.openxmlformats.org/officeDocument/2006/relationships/hyperlink" Target="https://www.instagram.com/happycodees/" TargetMode="External" Id="rId1865" /><Relationship Type="http://schemas.openxmlformats.org/officeDocument/2006/relationships/hyperlink" Target="https://twitter.com/HappyCode_ES" TargetMode="External" Id="rId1866" /><Relationship Type="http://schemas.openxmlformats.org/officeDocument/2006/relationships/hyperlink" Target="https://www.linkedin.com/company/happy-code-educacion-espana/?viewAsMember=true" TargetMode="External" Id="rId1867" /><Relationship Type="http://schemas.openxmlformats.org/officeDocument/2006/relationships/hyperlink" Target="https://drive.google.com/uc?export=view&amp;id=1u-f71kF00FaRWDkWwTN234dqiABEbKnP" TargetMode="External" Id="rId1868" /><Relationship Type="http://schemas.openxmlformats.org/officeDocument/2006/relationships/hyperlink" Target="https://www.evolmind.com/" TargetMode="External" Id="rId1869" /><Relationship Type="http://schemas.openxmlformats.org/officeDocument/2006/relationships/hyperlink" Target="https://twitter.com/evolcampus" TargetMode="External" Id="rId1870" /><Relationship Type="http://schemas.openxmlformats.org/officeDocument/2006/relationships/hyperlink" Target="https://www.linkedin.com/company/evolmind/?originalSubdomain=es" TargetMode="External" Id="rId1871" /><Relationship Type="http://schemas.openxmlformats.org/officeDocument/2006/relationships/hyperlink" Target="https://drive.google.com/uc?export=view&amp;id=13_SnqIRpOM2l7VlpKNJ_v4uREcpG67M2" TargetMode="External" Id="rId1872" /><Relationship Type="http://schemas.openxmlformats.org/officeDocument/2006/relationships/hyperlink" Target="https://www.kura-app.com/" TargetMode="External" Id="rId1873" /><Relationship Type="http://schemas.openxmlformats.org/officeDocument/2006/relationships/hyperlink" Target="https://www.linkedin.com/company/kura-app/" TargetMode="External" Id="rId1874" /><Relationship Type="http://schemas.openxmlformats.org/officeDocument/2006/relationships/hyperlink" Target="https://drive.google.com/uc?export=view&amp;id=1_Y-ZMPSQ93OhP6SMS5SmzkUFV5A3H8nB" TargetMode="External" Id="rId1875" /><Relationship Type="http://schemas.openxmlformats.org/officeDocument/2006/relationships/hyperlink" Target="https://myscol.com/" TargetMode="External" Id="rId1876" /><Relationship Type="http://schemas.openxmlformats.org/officeDocument/2006/relationships/hyperlink" Target="https://www.instagram.com/myscol.english/?next=%2F" TargetMode="External" Id="rId1877" /><Relationship Type="http://schemas.openxmlformats.org/officeDocument/2006/relationships/hyperlink" Target="https://twitter.com/MyScolOfficiel" TargetMode="External" Id="rId1878" /><Relationship Type="http://schemas.openxmlformats.org/officeDocument/2006/relationships/hyperlink" Target="https://www.linkedin.com/showcase/myscol/" TargetMode="External" Id="rId1879" /><Relationship Type="http://schemas.openxmlformats.org/officeDocument/2006/relationships/hyperlink" Target="https://drive.google.com/uc?export=view&amp;id=1c42WFAHcbHl_gkrmw7-O3HXwPokOQTZQ" TargetMode="External" Id="rId1880" /><Relationship Type="http://schemas.openxmlformats.org/officeDocument/2006/relationships/hyperlink" Target="https://learneron.net/" TargetMode="External" Id="rId1881" /><Relationship Type="http://schemas.openxmlformats.org/officeDocument/2006/relationships/hyperlink" Target="https://www.linkedin.com/company/learneron-net/" TargetMode="External" Id="rId1882" /><Relationship Type="http://schemas.openxmlformats.org/officeDocument/2006/relationships/hyperlink" Target="https://drive.google.com/uc?export=view&amp;id=1gqUKMY25dfY2gUf9S7vHyXEKvFU2C4-e" TargetMode="External" Id="rId1883" /><Relationship Type="http://schemas.openxmlformats.org/officeDocument/2006/relationships/hyperlink" Target="https://digitalfamily.es/" TargetMode="External" Id="rId1884" /><Relationship Type="http://schemas.openxmlformats.org/officeDocument/2006/relationships/hyperlink" Target="https://www.instagram.com/digitalfamily_es/" TargetMode="External" Id="rId1885" /><Relationship Type="http://schemas.openxmlformats.org/officeDocument/2006/relationships/hyperlink" Target="https://twitter.com/digitalfamilyes" TargetMode="External" Id="rId1886" /><Relationship Type="http://schemas.openxmlformats.org/officeDocument/2006/relationships/hyperlink" Target="https://www.linkedin.com/company/digital-family-espa%C3%B1a" TargetMode="External" Id="rId1887" /><Relationship Type="http://schemas.openxmlformats.org/officeDocument/2006/relationships/hyperlink" Target="https://drive.google.com/uc?export=view&amp;id=1Ms5vZ9oLKJatRj3fDEW1vtsBelmMAR2l" TargetMode="External" Id="rId1888" /><Relationship Type="http://schemas.openxmlformats.org/officeDocument/2006/relationships/hyperlink" Target="http://www.bool.ie/" TargetMode="External" Id="rId1889" /><Relationship Type="http://schemas.openxmlformats.org/officeDocument/2006/relationships/hyperlink" Target="https://www.linkedin.com/company/80011597" TargetMode="External" Id="rId1890" /><Relationship Type="http://schemas.openxmlformats.org/officeDocument/2006/relationships/hyperlink" Target="https://drive.google.com/uc?export=view&amp;id=15dG44nquMlVuA-wY3fuqjkCJUuru1ull" TargetMode="External" Id="rId1891" /><Relationship Type="http://schemas.openxmlformats.org/officeDocument/2006/relationships/hyperlink" Target="http://www.edf.global/" TargetMode="External" Id="rId1892" /><Relationship Type="http://schemas.openxmlformats.org/officeDocument/2006/relationships/hyperlink" Target="https://www.linkedin.com/company/entornosdeformacion" TargetMode="External" Id="rId1893" /><Relationship Type="http://schemas.openxmlformats.org/officeDocument/2006/relationships/hyperlink" Target="https://drive.google.com/uc?export=view&amp;id=1tFQjY9wqdhNQrB-Kd77v9a3arifqxHV-" TargetMode="External" Id="rId1894" /><Relationship Type="http://schemas.openxmlformats.org/officeDocument/2006/relationships/hyperlink" Target="https://www.wiseworld.ai/" TargetMode="External" Id="rId1895" /><Relationship Type="http://schemas.openxmlformats.org/officeDocument/2006/relationships/hyperlink" Target="https://www.instagram.com/wiseworld.ai/https:/www.instagram.com/wiseworld.ai/" TargetMode="External" Id="rId1896" /><Relationship Type="http://schemas.openxmlformats.org/officeDocument/2006/relationships/hyperlink" Target="https://twitter.com/WiseWorldai" TargetMode="External" Id="rId1897" /><Relationship Type="http://schemas.openxmlformats.org/officeDocument/2006/relationships/hyperlink" Target="https://www.linkedin.com/company/wiseworld-ai/https:/www.linkedin.com/company/wiseworld-ai/" TargetMode="External" Id="rId1898" /><Relationship Type="http://schemas.openxmlformats.org/officeDocument/2006/relationships/hyperlink" Target="https://drive.google.com/uc?export=view&amp;id=1nTYiN92m_rGp20blGt8OL5ICLbcw6cPQ" TargetMode="External" Id="rId1899" /><Relationship Type="http://schemas.openxmlformats.org/officeDocument/2006/relationships/hyperlink" Target="http://www.gamifactory.eu/" TargetMode="External" Id="rId1900" /><Relationship Type="http://schemas.openxmlformats.org/officeDocument/2006/relationships/hyperlink" Target="https://www.instagram.com/impactgames.eu/" TargetMode="External" Id="rId1901" /><Relationship Type="http://schemas.openxmlformats.org/officeDocument/2006/relationships/hyperlink" Target="https://www.linkedin.com/company/42421041/admin/feed/posts/" TargetMode="External" Id="rId1902" /><Relationship Type="http://schemas.openxmlformats.org/officeDocument/2006/relationships/hyperlink" Target="https://drive.google.com/uc?export=view&amp;id=1kKC8hcHFRafq_3rfBAmdsG6vsr1Ltr1y" TargetMode="External" Id="rId1903" /><Relationship Type="http://schemas.openxmlformats.org/officeDocument/2006/relationships/hyperlink" Target="http://www.emprendeconmigo.com/" TargetMode="External" Id="rId1904" /><Relationship Type="http://schemas.openxmlformats.org/officeDocument/2006/relationships/hyperlink" Target="https://www.linkedin.com/in/gina-de-echeona/" TargetMode="External" Id="rId1905" /><Relationship Type="http://schemas.openxmlformats.org/officeDocument/2006/relationships/hyperlink" Target="https://drive.google.com/uc?export=view&amp;id=1X8M1f_HbLIdGLVVKo8ItjlgmjBwOGZTP" TargetMode="External" Id="rId1906" /><Relationship Type="http://schemas.openxmlformats.org/officeDocument/2006/relationships/hyperlink" Target="http://www.meloom.com/" TargetMode="External" Id="rId1907" /><Relationship Type="http://schemas.openxmlformats.org/officeDocument/2006/relationships/hyperlink" Target="https://www.instagram.com/meloom_music/?hl=es" TargetMode="External" Id="rId1908" /><Relationship Type="http://schemas.openxmlformats.org/officeDocument/2006/relationships/hyperlink" Target="https://twitter.com/Meloom_Music" TargetMode="External" Id="rId1909" /><Relationship Type="http://schemas.openxmlformats.org/officeDocument/2006/relationships/hyperlink" Target="https://www.linkedin.com/company/meloom/" TargetMode="External" Id="rId1910" /><Relationship Type="http://schemas.openxmlformats.org/officeDocument/2006/relationships/hyperlink" Target="https://drive.google.com/uc?export=view&amp;id=1hqKNKXvhuQ-Bk2k-IB0UJITIKWAmQ6vu" TargetMode="External" Id="rId1911" /><Relationship Type="http://schemas.openxmlformats.org/officeDocument/2006/relationships/hyperlink" Target="https://www.mastercole.com/" TargetMode="External" Id="rId1912" /><Relationship Type="http://schemas.openxmlformats.org/officeDocument/2006/relationships/hyperlink" Target="https://www.instagram.com/mastercoleoficial/" TargetMode="External" Id="rId1913" /><Relationship Type="http://schemas.openxmlformats.org/officeDocument/2006/relationships/hyperlink" Target="https://twitter.com/somosmastercole" TargetMode="External" Id="rId1914" /><Relationship Type="http://schemas.openxmlformats.org/officeDocument/2006/relationships/hyperlink" Target="https://www.linkedin.com/company/MASTERCOLE" TargetMode="External" Id="rId1915" /><Relationship Type="http://schemas.openxmlformats.org/officeDocument/2006/relationships/hyperlink" Target="https://drive.google.com/uc?export=view&amp;id=14N9eZ1U4sXMwL7AeoH3m3lAhZpN26DDi" TargetMode="External" Id="rId1916" /><Relationship Type="http://schemas.openxmlformats.org/officeDocument/2006/relationships/hyperlink" Target="https://denglischdocs.com/" TargetMode="External" Id="rId1917" /><Relationship Type="http://schemas.openxmlformats.org/officeDocument/2006/relationships/hyperlink" Target="https://www.instagram.com/denglisch_docs/" TargetMode="External" Id="rId1918" /><Relationship Type="http://schemas.openxmlformats.org/officeDocument/2006/relationships/hyperlink" Target="https://twitter.com/Denglisch_Docs" TargetMode="External" Id="rId1919" /><Relationship Type="http://schemas.openxmlformats.org/officeDocument/2006/relationships/hyperlink" Target="https://de.linkedin.com/company/denglisch-docs" TargetMode="External" Id="rId1920" /><Relationship Type="http://schemas.openxmlformats.org/officeDocument/2006/relationships/hyperlink" Target="https://drive.google.com/uc?export=view&amp;id=14ybFmUcamVYKavEBHkvH79pIvT4zgTZn" TargetMode="External" Id="rId1921" /><Relationship Type="http://schemas.openxmlformats.org/officeDocument/2006/relationships/hyperlink" Target="https://www.matharena.net/" TargetMode="External" Id="rId1922" /><Relationship Type="http://schemas.openxmlformats.org/officeDocument/2006/relationships/hyperlink" Target="https://www.instagram.com/mathearena/?hl=de" TargetMode="External" Id="rId1923" /><Relationship Type="http://schemas.openxmlformats.org/officeDocument/2006/relationships/hyperlink" Target="https://www.linkedin.com/company/mathearena" TargetMode="External" Id="rId1924" /><Relationship Type="http://schemas.openxmlformats.org/officeDocument/2006/relationships/hyperlink" Target="https://drive.google.com/uc?export=view&amp;id=1UTiovnQvPEPyUN3vBn7jZGxixPzyXgdf" TargetMode="External" Id="rId1925" /><Relationship Type="http://schemas.openxmlformats.org/officeDocument/2006/relationships/hyperlink" Target="http://www.cogniti.es/" TargetMode="External" Id="rId1926" /><Relationship Type="http://schemas.openxmlformats.org/officeDocument/2006/relationships/hyperlink" Target="https://www.instagram.com/cognitiapp/" TargetMode="External" Id="rId1927" /><Relationship Type="http://schemas.openxmlformats.org/officeDocument/2006/relationships/hyperlink" Target="https://www.linkedin.com/company/cognitiapp/" TargetMode="External" Id="rId1928" /><Relationship Type="http://schemas.openxmlformats.org/officeDocument/2006/relationships/hyperlink" Target="https://drive.google.com/uc?export=view&amp;id=1GXC8eV_96hzpnv7j6dseBuU7CLlU9CnO" TargetMode="External" Id="rId1929" /><Relationship Type="http://schemas.openxmlformats.org/officeDocument/2006/relationships/hyperlink" Target="http://lernpfad.ch/" TargetMode="External" Id="rId1930" /><Relationship Type="http://schemas.openxmlformats.org/officeDocument/2006/relationships/hyperlink" Target="https://www.lernpfad.ch/" TargetMode="External" Id="rId1931" /><Relationship Type="http://schemas.openxmlformats.org/officeDocument/2006/relationships/hyperlink" Target="https://www.instagram.com/lernpfad/" TargetMode="External" Id="rId1932" /><Relationship Type="http://schemas.openxmlformats.org/officeDocument/2006/relationships/hyperlink" Target="https://twitter.com/lernpfad" TargetMode="External" Id="rId1933" /><Relationship Type="http://schemas.openxmlformats.org/officeDocument/2006/relationships/hyperlink" Target="https://www.linkedin.com/company/lernpfad/" TargetMode="External" Id="rId1934" /><Relationship Type="http://schemas.openxmlformats.org/officeDocument/2006/relationships/hyperlink" Target="http://lernpfad.ch/" TargetMode="External" Id="rId1935" /><Relationship Type="http://schemas.openxmlformats.org/officeDocument/2006/relationships/hyperlink" Target="https://drive.google.com/uc?export=view&amp;id=1E2fm98KxIYHWBwdTwObKIuZB7WT-_06E" TargetMode="External" Id="rId1936" /><Relationship Type="http://schemas.openxmlformats.org/officeDocument/2006/relationships/hyperlink" Target="https://www.esinstitute.com/" TargetMode="External" Id="rId1937" /><Relationship Type="http://schemas.openxmlformats.org/officeDocument/2006/relationships/hyperlink" Target="https://www.linkedin.com/company/esinstitute/mycompany/?viewAsMember=true" TargetMode="External" Id="rId1938" /><Relationship Type="http://schemas.openxmlformats.org/officeDocument/2006/relationships/hyperlink" Target="https://drive.google.com/uc?export=view&amp;id=1lA79senTrE-MZtML_Bm0JgmdTJdGmE5D" TargetMode="External" Id="rId1939" /><Relationship Type="http://schemas.openxmlformats.org/officeDocument/2006/relationships/hyperlink" Target="http://elai.io/" TargetMode="External" Id="rId1940" /><Relationship Type="http://schemas.openxmlformats.org/officeDocument/2006/relationships/hyperlink" Target="https://elai.io/" TargetMode="External" Id="rId1941" /><Relationship Type="http://schemas.openxmlformats.org/officeDocument/2006/relationships/hyperlink" Target="https://www.linkedin.com/company/elai-io" TargetMode="External" Id="rId1942" /><Relationship Type="http://schemas.openxmlformats.org/officeDocument/2006/relationships/hyperlink" Target="https://drive.google.com/uc?export=view&amp;id=1OlbOgo5DYZoMunuUDmP7aNKEISqJWBtN" TargetMode="External" Id="rId1943" /><Relationship Type="http://schemas.openxmlformats.org/officeDocument/2006/relationships/hyperlink" Target="http://www.askiraski.dk/" TargetMode="External" Id="rId1944" /><Relationship Type="http://schemas.openxmlformats.org/officeDocument/2006/relationships/hyperlink" Target="https://www.instagram.com/askiraskidanmark/" TargetMode="External" Id="rId1945" /><Relationship Type="http://schemas.openxmlformats.org/officeDocument/2006/relationships/hyperlink" Target="https://www.linkedin.com/company/aski-raski-danmark-aps/" TargetMode="External" Id="rId1946" /><Relationship Type="http://schemas.openxmlformats.org/officeDocument/2006/relationships/hyperlink" Target="https://drive.google.com/uc?export=view&amp;id=1_rAjfXUw-ld9XLKhEysP7U2piYRmNEvX" TargetMode="External" Id="rId1947" /><Relationship Type="http://schemas.openxmlformats.org/officeDocument/2006/relationships/hyperlink" Target="https://grammazzle.com/" TargetMode="External" Id="rId1948" /><Relationship Type="http://schemas.openxmlformats.org/officeDocument/2006/relationships/hyperlink" Target="https://www.instagram.com/Grammazzle/" TargetMode="External" Id="rId1949" /><Relationship Type="http://schemas.openxmlformats.org/officeDocument/2006/relationships/hyperlink" Target="https://twitter.com/grammazzle?lang=es" TargetMode="External" Id="rId1950" /><Relationship Type="http://schemas.openxmlformats.org/officeDocument/2006/relationships/hyperlink" Target="https://www.linkedin.com/company/grammazzle/" TargetMode="External" Id="rId1951" /><Relationship Type="http://schemas.openxmlformats.org/officeDocument/2006/relationships/hyperlink" Target="https://drive.google.com/uc?export=view&amp;id=1cc1iOybicJoPeXRCXWAhvoc1GmvXkdki" TargetMode="External" Id="rId1952" /><Relationship Type="http://schemas.openxmlformats.org/officeDocument/2006/relationships/hyperlink" Target="http://mytalents.ai/" TargetMode="External" Id="rId1953" /><Relationship Type="http://schemas.openxmlformats.org/officeDocument/2006/relationships/hyperlink" Target="http://mytalents.ai/" TargetMode="External" Id="rId1954" /><Relationship Type="http://schemas.openxmlformats.org/officeDocument/2006/relationships/hyperlink" Target="http://mytalents.ai/" TargetMode="External" Id="rId1955" /><Relationship Type="http://schemas.openxmlformats.org/officeDocument/2006/relationships/hyperlink" Target="https://www.linkedin.com/company/mytalents-ai" TargetMode="External" Id="rId1956" /><Relationship Type="http://schemas.openxmlformats.org/officeDocument/2006/relationships/hyperlink" Target="https://drive.google.com/uc?export=view&amp;id=1hHmh0ZAqsmkrl_JGY-3IFzOcXoOQEGWZ" TargetMode="External" Id="rId1957" /><Relationship Type="http://schemas.openxmlformats.org/officeDocument/2006/relationships/hyperlink" Target="https://startuplab.neoma-bs.fr/en/neoma-edtech-accelerator-2/" TargetMode="External" Id="rId1958" /><Relationship Type="http://schemas.openxmlformats.org/officeDocument/2006/relationships/hyperlink" Target="https://www.linkedin.com/company/neoma-edtech-accelerator/?viewAsMember=true" TargetMode="External" Id="rId1959" /><Relationship Type="http://schemas.openxmlformats.org/officeDocument/2006/relationships/hyperlink" Target="https://drive.google.com/uc?export=view&amp;id=1serLgfS6N9E9FZvvKCVWomBohU_V92xC" TargetMode="External" Id="rId1960" /><Relationship Type="http://schemas.openxmlformats.org/officeDocument/2006/relationships/hyperlink" Target="https://brainspro.com/" TargetMode="External" Id="rId1961" /><Relationship Type="http://schemas.openxmlformats.org/officeDocument/2006/relationships/hyperlink" Target="https://www.instagram.com/brainsprocom" TargetMode="External" Id="rId1962" /><Relationship Type="http://schemas.openxmlformats.org/officeDocument/2006/relationships/hyperlink" Target="https://www.twitter.com/brainspro" TargetMode="External" Id="rId1963" /><Relationship Type="http://schemas.openxmlformats.org/officeDocument/2006/relationships/hyperlink" Target="https://www.linkedin.com/company/brainspro" TargetMode="External" Id="rId1964" /><Relationship Type="http://schemas.openxmlformats.org/officeDocument/2006/relationships/hyperlink" Target="https://drive.google.com/uc?export=view&amp;id=1LhjpUsyd9K5Ng6bmSdbemsFPUEa4HvYe" TargetMode="External" Id="rId1965" /><Relationship Type="http://schemas.openxmlformats.org/officeDocument/2006/relationships/hyperlink" Target="https://founderz.com/" TargetMode="External" Id="rId1966" /><Relationship Type="http://schemas.openxmlformats.org/officeDocument/2006/relationships/hyperlink" Target="https://www.instagram.com/founderzschool/" TargetMode="External" Id="rId1967" /><Relationship Type="http://schemas.openxmlformats.org/officeDocument/2006/relationships/hyperlink" Target="https://twitter.com/founderz" TargetMode="External" Id="rId1968" /><Relationship Type="http://schemas.openxmlformats.org/officeDocument/2006/relationships/hyperlink" Target="https://www.linkedin.com/school/founderz-digital-business-school/" TargetMode="External" Id="rId1969" /><Relationship Type="http://schemas.openxmlformats.org/officeDocument/2006/relationships/hyperlink" Target="https://drive.google.com/uc?export=view&amp;id=1adVZVlafUKvZZkGM-TCOiL1K-iP-EWw7" TargetMode="External" Id="rId1970" /><Relationship Type="http://schemas.openxmlformats.org/officeDocument/2006/relationships/hyperlink" Target="http://www.learnio.eu/" TargetMode="External" Id="rId1971" /><Relationship Type="http://schemas.openxmlformats.org/officeDocument/2006/relationships/hyperlink" Target="https://www.instagram.com/learnio.eu/" TargetMode="External" Id="rId1972" /><Relationship Type="http://schemas.openxmlformats.org/officeDocument/2006/relationships/hyperlink" Target="http://www.linkedin.com/company/learniodigitalskills" TargetMode="External" Id="rId1973" /><Relationship Type="http://schemas.openxmlformats.org/officeDocument/2006/relationships/hyperlink" Target="https://drive.google.com/uc?export=view&amp;id=172JXXOZAZS7K_0KwHWz0-O_GhuasXhjq" TargetMode="External" Id="rId1974" /><Relationship Type="http://schemas.openxmlformats.org/officeDocument/2006/relationships/hyperlink" Target="http://www.neurekalab.com/" TargetMode="External" Id="rId1975" /><Relationship Type="http://schemas.openxmlformats.org/officeDocument/2006/relationships/hyperlink" Target="https://www.instagram.com/neurekalab_es/" TargetMode="External" Id="rId1976" /><Relationship Type="http://schemas.openxmlformats.org/officeDocument/2006/relationships/hyperlink" Target="https://twitter.com/neurekalab_es" TargetMode="External" Id="rId1977" /><Relationship Type="http://schemas.openxmlformats.org/officeDocument/2006/relationships/hyperlink" Target="https://www.linkedin.com/company/neurekalab" TargetMode="External" Id="rId1978" /><Relationship Type="http://schemas.openxmlformats.org/officeDocument/2006/relationships/hyperlink" Target="https://drive.google.com/uc?export=view&amp;id=1xakJDkEhu7G25MGiUycwzkVbld1CWtG2" TargetMode="External" Id="rId1979" /><Relationship Type="http://schemas.openxmlformats.org/officeDocument/2006/relationships/hyperlink" Target="https://oxinity.com/" TargetMode="External" Id="rId1980" /><Relationship Type="http://schemas.openxmlformats.org/officeDocument/2006/relationships/hyperlink" Target="https://www.instagram.com/oxinitycom/" TargetMode="External" Id="rId1981" /><Relationship Type="http://schemas.openxmlformats.org/officeDocument/2006/relationships/hyperlink" Target="https://twitter.com/OxinityCom" TargetMode="External" Id="rId1982" /><Relationship Type="http://schemas.openxmlformats.org/officeDocument/2006/relationships/hyperlink" Target="https://www.linkedin.com/company/oxinity" TargetMode="External" Id="rId1983" /><Relationship Type="http://schemas.openxmlformats.org/officeDocument/2006/relationships/hyperlink" Target="https://drive.google.com/uc?export=view&amp;id=1ESeX3-vOPt_yAa__kuPHBChZ-rWofShp" TargetMode="External" Id="rId1984" /><Relationship Type="http://schemas.openxmlformats.org/officeDocument/2006/relationships/hyperlink" Target="https://zukunft-digitale-bildung.de/" TargetMode="External" Id="rId1985" /><Relationship Type="http://schemas.openxmlformats.org/officeDocument/2006/relationships/hyperlink" Target="https://www.linkedin.com/company/67175440/admin/feed/posts/" TargetMode="External" Id="rId1986" /><Relationship Type="http://schemas.openxmlformats.org/officeDocument/2006/relationships/hyperlink" Target="https://drive.google.com/uc?export=view&amp;id=1o6WJVUinuKNMp5HuKnvUk3x-2--MkI0D" TargetMode="External" Id="rId1987" /><Relationship Type="http://schemas.openxmlformats.org/officeDocument/2006/relationships/hyperlink" Target="http://www.meitner.se/" TargetMode="External" Id="rId1988" /><Relationship Type="http://schemas.openxmlformats.org/officeDocument/2006/relationships/hyperlink" Target="http://meitner.se/" TargetMode="External" Id="rId1989" /><Relationship Type="http://schemas.openxmlformats.org/officeDocument/2006/relationships/hyperlink" Target="https://www.linkedin.com/company/74203088/admin/" TargetMode="External" Id="rId1990" /><Relationship Type="http://schemas.openxmlformats.org/officeDocument/2006/relationships/hyperlink" Target="https://drive.google.com/uc?export=view&amp;id=1FivRUs-pq3vnt4jLd4OEAH4YQUl8rLEP" TargetMode="External" Id="rId1991" /><Relationship Type="http://schemas.openxmlformats.org/officeDocument/2006/relationships/hyperlink" Target="http://uugot.it/" TargetMode="External" Id="rId1992" /><Relationship Type="http://schemas.openxmlformats.org/officeDocument/2006/relationships/hyperlink" Target="http://www.uugot.it/" TargetMode="External" Id="rId1993" /><Relationship Type="http://schemas.openxmlformats.org/officeDocument/2006/relationships/hyperlink" Target="https://twitter.com/uugot_it" TargetMode="External" Id="rId1994" /><Relationship Type="http://schemas.openxmlformats.org/officeDocument/2006/relationships/hyperlink" Target="https://www.linkedin.com/company/uugot-it" TargetMode="External" Id="rId1995" /><Relationship Type="http://schemas.openxmlformats.org/officeDocument/2006/relationships/hyperlink" Target="https://drive.google.com/uc?export=view&amp;id=1dx_lckXUR1DsidocERH5VR2EGbz4X4Z_" TargetMode="External" Id="rId1996" /><Relationship Type="http://schemas.openxmlformats.org/officeDocument/2006/relationships/hyperlink" Target="https://captic.io/" TargetMode="External" Id="rId1997" /><Relationship Type="http://schemas.openxmlformats.org/officeDocument/2006/relationships/hyperlink" Target="https://twitter.com/capticio" TargetMode="External" Id="rId1998" /><Relationship Type="http://schemas.openxmlformats.org/officeDocument/2006/relationships/hyperlink" Target="https://www.linkedin.com/company/captic-io" TargetMode="External" Id="rId1999" /><Relationship Type="http://schemas.openxmlformats.org/officeDocument/2006/relationships/hyperlink" Target="https://drive.google.com/uc?export=view&amp;id=1UIdTm3wOI0rbYT_a7-SBPrcJUJ301zqg" TargetMode="External" Id="rId2000" /><Relationship Type="http://schemas.openxmlformats.org/officeDocument/2006/relationships/hyperlink" Target="https://www.classonlive.com/" TargetMode="External" Id="rId2001" /><Relationship Type="http://schemas.openxmlformats.org/officeDocument/2006/relationships/hyperlink" Target="https://drive.google.com/uc?export=view&amp;id=17O8dhZxFJRSBOTONVTlo-SX6T-0fQnn6" TargetMode="External" Id="rId2002" /><Relationship Type="http://schemas.openxmlformats.org/officeDocument/2006/relationships/hyperlink" Target="https://epapa.eu/" TargetMode="External" Id="rId2003" /><Relationship Type="http://schemas.openxmlformats.org/officeDocument/2006/relationships/hyperlink" Target="https://www.linkedin.com/company/epapa/" TargetMode="External" Id="rId2004" /><Relationship Type="http://schemas.openxmlformats.org/officeDocument/2006/relationships/hyperlink" Target="https://drive.google.com/uc?export=view&amp;id=1XaN7DHKFzLqIUITkp73VnVPIW52ECw50" TargetMode="External" Id="rId2005" /><Relationship Type="http://schemas.openxmlformats.org/officeDocument/2006/relationships/hyperlink" Target="http://www.lingokids.com/" TargetMode="External" Id="rId2006" /><Relationship Type="http://schemas.openxmlformats.org/officeDocument/2006/relationships/hyperlink" Target="https://www.instagram.com/lingokids/?hl=en" TargetMode="External" Id="rId2007" /><Relationship Type="http://schemas.openxmlformats.org/officeDocument/2006/relationships/hyperlink" Target="https://www.linkedin.com/company/lingokids/mycompany/verification/" TargetMode="External" Id="rId2008" /><Relationship Type="http://schemas.openxmlformats.org/officeDocument/2006/relationships/hyperlink" Target="https://drive.google.com/uc?export=view&amp;id=1VxVY4aXtzo3qAkwZ1wOOTaAtkt-nKHxe" TargetMode="External" Id="rId2009" /><Relationship Type="http://schemas.openxmlformats.org/officeDocument/2006/relationships/hyperlink" Target="http://www.stellia.ai/" TargetMode="External" Id="rId2010" /><Relationship Type="http://schemas.openxmlformats.org/officeDocument/2006/relationships/hyperlink" Target="https://www.linkedin.com/company/professorbob/mycompany/" TargetMode="External" Id="rId2011" /><Relationship Type="http://schemas.openxmlformats.org/officeDocument/2006/relationships/hyperlink" Target="http://www.coesu.com/" TargetMode="External" Id="rId2012" /><Relationship Type="http://schemas.openxmlformats.org/officeDocument/2006/relationships/hyperlink" Target="https://www.linkedin.com/company/10259262/admin/feed/posts/" TargetMode="External" Id="rId2013" /><Relationship Type="http://schemas.openxmlformats.org/officeDocument/2006/relationships/hyperlink" Target="https://drive.google.com/uc?export=view&amp;id=1HePMm4aDs6jCUiZKnCGGLNFO0Gm4b_Vu" TargetMode="External" Id="rId2014" /><Relationship Type="http://schemas.openxmlformats.org/officeDocument/2006/relationships/hyperlink" Target="https://maeducationusa.com/" TargetMode="External" Id="rId2015" /><Relationship Type="http://schemas.openxmlformats.org/officeDocument/2006/relationships/hyperlink" Target="https://www.instagram.com/mae.sports/" TargetMode="External" Id="rId2016" /><Relationship Type="http://schemas.openxmlformats.org/officeDocument/2006/relationships/hyperlink" Target="https://es.linkedin.com/company/mae-sports-education" TargetMode="External" Id="rId2017" /><Relationship Type="http://schemas.openxmlformats.org/officeDocument/2006/relationships/hyperlink" Target="https://drive.google.com/uc?export=view&amp;id=1ojkGYtbsHwKUPyST4-O9rlL6-NgEPd3L" TargetMode="External" Id="rId2018" /><Relationship Type="http://schemas.openxmlformats.org/officeDocument/2006/relationships/hyperlink" Target="https://www.novelingo.com/" TargetMode="External" Id="rId2019" /><Relationship Type="http://schemas.openxmlformats.org/officeDocument/2006/relationships/hyperlink" Target="https://twitter.com/novelingo" TargetMode="External" Id="rId2020" /><Relationship Type="http://schemas.openxmlformats.org/officeDocument/2006/relationships/hyperlink" Target="https://www.linkedin.com/company/novelingo" TargetMode="External" Id="rId2021" /><Relationship Type="http://schemas.openxmlformats.org/officeDocument/2006/relationships/hyperlink" Target="https://drive.google.com/uc?export=view&amp;id=1fwe-91vK9KC-CkHvXb3vGD0469byOpsc" TargetMode="External" Id="rId2022" /><Relationship Type="http://schemas.openxmlformats.org/officeDocument/2006/relationships/hyperlink" Target="http://www.edpuzzle.com/" TargetMode="External" Id="rId2023" /><Relationship Type="http://schemas.openxmlformats.org/officeDocument/2006/relationships/hyperlink" Target="https://www.instagram.com/edpuzzle/" TargetMode="External" Id="rId2024" /><Relationship Type="http://schemas.openxmlformats.org/officeDocument/2006/relationships/hyperlink" Target="https://twitter.com/edpuzzle" TargetMode="External" Id="rId2025" /><Relationship Type="http://schemas.openxmlformats.org/officeDocument/2006/relationships/hyperlink" Target="https://www.linkedin.com/company/edpuzzle-inc-" TargetMode="External" Id="rId2026" /><Relationship Type="http://schemas.openxmlformats.org/officeDocument/2006/relationships/hyperlink" Target="https://sciado.fr/dynamic-learning-solutions/" TargetMode="External" Id="rId2027" /><Relationship Type="http://schemas.openxmlformats.org/officeDocument/2006/relationships/hyperlink" Target="https://www.instagram.com/sciadop/" TargetMode="External" Id="rId2028" /><Relationship Type="http://schemas.openxmlformats.org/officeDocument/2006/relationships/hyperlink" Target="https://twitter.com/SciadoP" TargetMode="External" Id="rId2029" /><Relationship Type="http://schemas.openxmlformats.org/officeDocument/2006/relationships/hyperlink" Target="https://www.linkedin.com/company/22344441/admin/" TargetMode="External" Id="rId2030" /><Relationship Type="http://schemas.openxmlformats.org/officeDocument/2006/relationships/hyperlink" Target="https://drive.google.com/uc?export=view&amp;id=1Sb0BOCYGyjexIsrhcug4FVFrNFZEH6dH" TargetMode="External" Id="rId2031" /><Relationship Type="http://schemas.openxmlformats.org/officeDocument/2006/relationships/hyperlink" Target="https://www.beegup.com/" TargetMode="External" Id="rId2032" /><Relationship Type="http://schemas.openxmlformats.org/officeDocument/2006/relationships/hyperlink" Target="https://instagram.com/beegupeducation?igshid=MzRlODBiNWFlZA==" TargetMode="External" Id="rId2033" /><Relationship Type="http://schemas.openxmlformats.org/officeDocument/2006/relationships/hyperlink" Target="https://www.linkedin.com/company/beegup/" TargetMode="External" Id="rId2034" /><Relationship Type="http://schemas.openxmlformats.org/officeDocument/2006/relationships/hyperlink" Target="https://drive.google.com/uc?export=view&amp;id=1OW2Y8oU09F4R2YkCzqXBauMNCWu4mX6a" TargetMode="External" Id="rId2035" /><Relationship Type="http://schemas.openxmlformats.org/officeDocument/2006/relationships/hyperlink" Target="https://discover.innovamat.com/" TargetMode="External" Id="rId2036" /><Relationship Type="http://schemas.openxmlformats.org/officeDocument/2006/relationships/hyperlink" Target="https://www.instagram.com/innovamat_es/?hl=en" TargetMode="External" Id="rId2037" /><Relationship Type="http://schemas.openxmlformats.org/officeDocument/2006/relationships/hyperlink" Target="https://twitter.com/innovamat_es?lang=en" TargetMode="External" Id="rId2038" /><Relationship Type="http://schemas.openxmlformats.org/officeDocument/2006/relationships/hyperlink" Target="https://www.linkedin.com/company/innovamat-education/" TargetMode="External" Id="rId2039" /><Relationship Type="http://schemas.openxmlformats.org/officeDocument/2006/relationships/hyperlink" Target="https://drive.google.com/uc?export=view&amp;id=1mK3f17BYc7PeRzkU_do1YmDskzzM95sS" TargetMode="External" Id="rId2040" /><Relationship Type="http://schemas.openxmlformats.org/officeDocument/2006/relationships/hyperlink" Target="https://www.happinessplay.com/" TargetMode="External" Id="rId2041" /><Relationship Type="http://schemas.openxmlformats.org/officeDocument/2006/relationships/hyperlink" Target="https://www.instagram.com/Happiness_Play/" TargetMode="External" Id="rId2042" /><Relationship Type="http://schemas.openxmlformats.org/officeDocument/2006/relationships/hyperlink" Target="https://twitter.com/autocoaching" TargetMode="External" Id="rId2043" /><Relationship Type="http://schemas.openxmlformats.org/officeDocument/2006/relationships/hyperlink" Target="http://www.linkedin.com/company/autocoaching" TargetMode="External" Id="rId2044" /><Relationship Type="http://schemas.openxmlformats.org/officeDocument/2006/relationships/hyperlink" Target="https://drive.google.com/uc?export=view&amp;id=1rl_tBauPeclAN9Phi_XPiRRuu5w5VZUR" TargetMode="External" Id="rId2045" /><Relationship Type="http://schemas.openxmlformats.org/officeDocument/2006/relationships/hyperlink" Target="https://eedi.com/" TargetMode="External" Id="rId2046" /><Relationship Type="http://schemas.openxmlformats.org/officeDocument/2006/relationships/hyperlink" Target="https://twitter.com/helloeedi" TargetMode="External" Id="rId2047" /><Relationship Type="http://schemas.openxmlformats.org/officeDocument/2006/relationships/hyperlink" Target="https://uk.linkedin.com/company/eedi" TargetMode="External" Id="rId2048" /><Relationship Type="http://schemas.openxmlformats.org/officeDocument/2006/relationships/hyperlink" Target="https://drive.google.com/uc?export=view&amp;id=1sfchL9URJosLfHDrANZvCUD_IiEeRVby" TargetMode="External" Id="rId2049" /><Relationship Type="http://schemas.openxmlformats.org/officeDocument/2006/relationships/hyperlink" Target="http://www.beebio.net/" TargetMode="External" Id="rId2050" /><Relationship Type="http://schemas.openxmlformats.org/officeDocument/2006/relationships/hyperlink" Target="https://www.linkedin.com/company/beebioedtech" TargetMode="External" Id="rId2051" /><Relationship Type="http://schemas.openxmlformats.org/officeDocument/2006/relationships/hyperlink" Target="https://drive.google.com/uc?export=view&amp;id=1AzL4RFquWwq0r2QKTUhXXGkmyF8eabZq" TargetMode="External" Id="rId2052" /><Relationship Type="http://schemas.openxmlformats.org/officeDocument/2006/relationships/hyperlink" Target="http://www.wooclap.com/" TargetMode="External" Id="rId2053" /><Relationship Type="http://schemas.openxmlformats.org/officeDocument/2006/relationships/hyperlink" Target="https://twitter.com/wooclap" TargetMode="External" Id="rId2054" /><Relationship Type="http://schemas.openxmlformats.org/officeDocument/2006/relationships/hyperlink" Target="https://www.linkedin.com/company/9264419/" TargetMode="External" Id="rId2055" /><Relationship Type="http://schemas.openxmlformats.org/officeDocument/2006/relationships/hyperlink" Target="https://drive.google.com/uc?export=view&amp;id=14xsZpMhFz5HIdqALWh4fin1it2tDFCHe" TargetMode="External" Id="rId2056" /><Relationship Type="http://schemas.openxmlformats.org/officeDocument/2006/relationships/hyperlink" Target="https://schoolwiselearning.com/" TargetMode="External" Id="rId2057" /><Relationship Type="http://schemas.openxmlformats.org/officeDocument/2006/relationships/hyperlink" Target="https://twitter.com/myschoolwise" TargetMode="External" Id="rId2058" /><Relationship Type="http://schemas.openxmlformats.org/officeDocument/2006/relationships/hyperlink" Target="https://ie.linkedin.com/company/schoolwise-learning" TargetMode="External" Id="rId2059" /><Relationship Type="http://schemas.openxmlformats.org/officeDocument/2006/relationships/hyperlink" Target="https://drive.google.com/uc?export=view&amp;id=1AH-7Fz6Q2PulHsALLcq69jlzYAz0u0CO" TargetMode="External" Id="rId2060" /><Relationship Type="http://schemas.openxmlformats.org/officeDocument/2006/relationships/hyperlink" Target="https://www.recursosparaclase.es/" TargetMode="External" Id="rId2061" /><Relationship Type="http://schemas.openxmlformats.org/officeDocument/2006/relationships/hyperlink" Target="https://drive.google.com/uc?export=view&amp;id=1_WJVPwCEfn9_b1KBqpRu0WdnHfFhpdcy" TargetMode="External" Id="rId2062" /><Relationship Type="http://schemas.openxmlformats.org/officeDocument/2006/relationships/hyperlink" Target="https://www.i3-technologies.com/" TargetMode="External" Id="rId2063" /><Relationship Type="http://schemas.openxmlformats.org/officeDocument/2006/relationships/hyperlink" Target="https://www.instagram.com/i3_technologies/" TargetMode="External" Id="rId2064" /><Relationship Type="http://schemas.openxmlformats.org/officeDocument/2006/relationships/hyperlink" Target="https://twitter.com/i3_Technologies" TargetMode="External" Id="rId2065" /><Relationship Type="http://schemas.openxmlformats.org/officeDocument/2006/relationships/hyperlink" Target="https://www.linkedin.com/company/i3technologies/" TargetMode="External" Id="rId2066" /><Relationship Type="http://schemas.openxmlformats.org/officeDocument/2006/relationships/hyperlink" Target="https://drive.google.com/uc?export=view&amp;id=1Pe0hOpqbgIVtAn_UgEDZlTn2OwWjclaV" TargetMode="External" Id="rId2067" /><Relationship Type="http://schemas.openxmlformats.org/officeDocument/2006/relationships/hyperlink" Target="https://www.eduka.lt/" TargetMode="External" Id="rId2068" /><Relationship Type="http://schemas.openxmlformats.org/officeDocument/2006/relationships/hyperlink" Target="https://www.linkedin.com/company/edukaklase/" TargetMode="External" Id="rId2069" /><Relationship Type="http://schemas.openxmlformats.org/officeDocument/2006/relationships/hyperlink" Target="https://drive.google.com/uc?export=view&amp;id=1b_l9fhrsngwomSImaSF0QBdkymxplvKL" TargetMode="External" Id="rId2070" /><Relationship Type="http://schemas.openxmlformats.org/officeDocument/2006/relationships/hyperlink" Target="https://www.tamo.lt/" TargetMode="External" Id="rId2071" /><Relationship Type="http://schemas.openxmlformats.org/officeDocument/2006/relationships/hyperlink" Target="https://www.linkedin.com/company/tavomokykla/mycompany/" TargetMode="External" Id="rId2072" /><Relationship Type="http://schemas.openxmlformats.org/officeDocument/2006/relationships/hyperlink" Target="https://drive.google.com/uc?export=view&amp;id=18f5iXiZTC0A-9NkJpV8Jn79GG5BMY8UB" TargetMode="External" Id="rId2073" /><Relationship Type="http://schemas.openxmlformats.org/officeDocument/2006/relationships/hyperlink" Target="http://joinhyphen.com/" TargetMode="External" Id="rId2074" /><Relationship Type="http://schemas.openxmlformats.org/officeDocument/2006/relationships/hyperlink" Target="https://www.linkedin.com/school/hyphen-/" TargetMode="External" Id="rId2075" /><Relationship Type="http://schemas.openxmlformats.org/officeDocument/2006/relationships/hyperlink" Target="https://drive.google.com/uc?export=view&amp;id=1GbGSJXYGnVVsRV7oLEy9LuXjy_X_DVOJ" TargetMode="External" Id="rId2076" /><Relationship Type="http://schemas.openxmlformats.org/officeDocument/2006/relationships/hyperlink" Target="http://www.academator.com/" TargetMode="External" Id="rId2077" /><Relationship Type="http://schemas.openxmlformats.org/officeDocument/2006/relationships/hyperlink" Target="https://www.linkedin.com/company/academator" TargetMode="External" Id="rId2078" /><Relationship Type="http://schemas.openxmlformats.org/officeDocument/2006/relationships/hyperlink" Target="https://drive.google.com/uc?export=view&amp;id=1Ihmme8abNtP_d_j5O3LTsGs0F49dWOX2" TargetMode="External" Id="rId2079" /><Relationship Type="http://schemas.openxmlformats.org/officeDocument/2006/relationships/hyperlink" Target="https://projectset.com/" TargetMode="External" Id="rId2080" /><Relationship Type="http://schemas.openxmlformats.org/officeDocument/2006/relationships/hyperlink" Target="https://www.instagram.com/project.set/" TargetMode="External" Id="rId2081" /><Relationship Type="http://schemas.openxmlformats.org/officeDocument/2006/relationships/hyperlink" Target="https://twitter.com/ProjectSetUK" TargetMode="External" Id="rId2082" /><Relationship Type="http://schemas.openxmlformats.org/officeDocument/2006/relationships/hyperlink" Target="https://www.linkedin.com/company/projectset" TargetMode="External" Id="rId2083" /><Relationship Type="http://schemas.openxmlformats.org/officeDocument/2006/relationships/hyperlink" Target="https://drive.google.com/uc?export=view&amp;id=18MUSW8Fa5YdMMmquBUz4rdHM53IsMHCc" TargetMode="External" Id="rId2084" /><Relationship Type="http://schemas.openxmlformats.org/officeDocument/2006/relationships/hyperlink" Target="https://www.trezorium.com/" TargetMode="External" Id="rId2085" /><Relationship Type="http://schemas.openxmlformats.org/officeDocument/2006/relationships/hyperlink" Target="https://www.instagram.com/trezorium/" TargetMode="External" Id="rId2086" /><Relationship Type="http://schemas.openxmlformats.org/officeDocument/2006/relationships/hyperlink" Target="https://twitter.com/trezorium" TargetMode="External" Id="rId2087" /><Relationship Type="http://schemas.openxmlformats.org/officeDocument/2006/relationships/hyperlink" Target="https://www.linkedin.com/company/trezorium" TargetMode="External" Id="rId2088" /><Relationship Type="http://schemas.openxmlformats.org/officeDocument/2006/relationships/hyperlink" Target="http://makerium.fr/" TargetMode="External" Id="rId2089" /><Relationship Type="http://schemas.openxmlformats.org/officeDocument/2006/relationships/hyperlink" Target="https://drive.google.com/uc?export=view&amp;id=1VfXIx7UC-5AMX9sgzh53wray6f5ifzhi" TargetMode="External" Id="rId2090" /><Relationship Type="http://schemas.openxmlformats.org/officeDocument/2006/relationships/hyperlink" Target="https://flowley.nl/" TargetMode="External" Id="rId2091" /><Relationship Type="http://schemas.openxmlformats.org/officeDocument/2006/relationships/hyperlink" Target="https://www.linkedin.com/company/flowley/" TargetMode="External" Id="rId2092" /><Relationship Type="http://schemas.openxmlformats.org/officeDocument/2006/relationships/hyperlink" Target="https://drive.google.com/uc?export=view&amp;id=1PNUN4QlQ1H_gG3a5iCZkRRim6upBiIx2" TargetMode="External" Id="rId2093" /><Relationship Type="http://schemas.openxmlformats.org/officeDocument/2006/relationships/hyperlink" Target="http://www.feelandplay.com/" TargetMode="External" Id="rId2094" /><Relationship Type="http://schemas.openxmlformats.org/officeDocument/2006/relationships/hyperlink" Target="https://www.instagram.com/musicfairytales_official/" TargetMode="External" Id="rId2095" /><Relationship Type="http://schemas.openxmlformats.org/officeDocument/2006/relationships/hyperlink" Target="https://www.linkedin.com/company/musicfairytales/" TargetMode="External" Id="rId2096" /><Relationship Type="http://schemas.openxmlformats.org/officeDocument/2006/relationships/hyperlink" Target="https://drive.google.com/uc?export=view&amp;id=1lcAN0Etrc75KAPTRDi3fSTcnGTo8UTtK" TargetMode="External" Id="rId2097" /><Relationship Type="http://schemas.openxmlformats.org/officeDocument/2006/relationships/hyperlink" Target="http://www.mirroco.ch/" TargetMode="External" Id="rId2098" /><Relationship Type="http://schemas.openxmlformats.org/officeDocument/2006/relationships/hyperlink" Target="https://cl.linkedin.com/company/mirroco" TargetMode="External" Id="rId2099" /><Relationship Type="http://schemas.openxmlformats.org/officeDocument/2006/relationships/hyperlink" Target="https://drive.google.com/uc?export=view&amp;id=1I8sFHhKtUk23qZOUzfd4OJEt5GSzC_CF" TargetMode="External" Id="rId2100" /><Relationship Type="http://schemas.openxmlformats.org/officeDocument/2006/relationships/hyperlink" Target="https://liirn.space/" TargetMode="External" Id="rId2101" /><Relationship Type="http://schemas.openxmlformats.org/officeDocument/2006/relationships/hyperlink" Target="https://www.linkedin.com/company/liirn-by-grbll" TargetMode="External" Id="rId2102" /><Relationship Type="http://schemas.openxmlformats.org/officeDocument/2006/relationships/hyperlink" Target="https://drive.google.com/uc?export=view&amp;id=1cy8acoX6GthKWrVuzNLZLQ6DejzhpZjP" TargetMode="External" Id="rId2103" /><Relationship Type="http://schemas.openxmlformats.org/officeDocument/2006/relationships/hyperlink" Target="https://hussaracademy.fr/" TargetMode="External" Id="rId2104" /><Relationship Type="http://schemas.openxmlformats.org/officeDocument/2006/relationships/hyperlink" Target="https://www.instagram.com/accounts/login/?next=/hussaracademy/" TargetMode="External" Id="rId2105" /><Relationship Type="http://schemas.openxmlformats.org/officeDocument/2006/relationships/hyperlink" Target="https://www.linkedin.com/company/hussar-academy" TargetMode="External" Id="rId2106" /><Relationship Type="http://schemas.openxmlformats.org/officeDocument/2006/relationships/hyperlink" Target="https://drive.google.com/uc?export=view&amp;id=1ho0NrSLEGTUlC1EnR723oJOTGWzu9h-6" TargetMode="External" Id="rId2107" /><Relationship Type="http://schemas.openxmlformats.org/officeDocument/2006/relationships/hyperlink" Target="http://www.prorenata.se/" TargetMode="External" Id="rId2108" /><Relationship Type="http://schemas.openxmlformats.org/officeDocument/2006/relationships/hyperlink" Target="https://www.linkedin.com/company/prorenata-ab/" TargetMode="External" Id="rId2109" /><Relationship Type="http://schemas.openxmlformats.org/officeDocument/2006/relationships/hyperlink" Target="https://drive.google.com/uc?export=view&amp;id=1lykj_qNCeVccYOpWuJtzJ9An-uRJfwwo" TargetMode="External" Id="rId2110" /><Relationship Type="http://schemas.openxmlformats.org/officeDocument/2006/relationships/hyperlink" Target="https://gaptain.com/" TargetMode="External" Id="rId2111" /><Relationship Type="http://schemas.openxmlformats.org/officeDocument/2006/relationships/hyperlink" Target="https://twitter.com/gaptain_es" TargetMode="External" Id="rId2112" /><Relationship Type="http://schemas.openxmlformats.org/officeDocument/2006/relationships/hyperlink" Target="https://www.linkedin.com/company/gaptain/" TargetMode="External" Id="rId2113" /><Relationship Type="http://schemas.openxmlformats.org/officeDocument/2006/relationships/hyperlink" Target="https://drive.google.com/uc?export=view&amp;id=1H5ppKG8Zmq4-878ZbnflGTjI_8t5wTpN" TargetMode="External" Id="rId2114" /><Relationship Type="http://schemas.openxmlformats.org/officeDocument/2006/relationships/hyperlink" Target="https://webstrive.be/edtech" TargetMode="External" Id="rId2115" /><Relationship Type="http://schemas.openxmlformats.org/officeDocument/2006/relationships/hyperlink" Target="https://instagram.com/webstrive.be?igshid=MzRlODBiNWFlZA==" TargetMode="External" Id="rId2116" /><Relationship Type="http://schemas.openxmlformats.org/officeDocument/2006/relationships/hyperlink" Target="https://www.linkedin.com/company/webstrive" TargetMode="External" Id="rId2117" /><Relationship Type="http://schemas.openxmlformats.org/officeDocument/2006/relationships/hyperlink" Target="https://drive.google.com/uc?export=view&amp;id=147owgE83rY8f1kJTh_1xSWugbKMjqooh" TargetMode="External" Id="rId2118" /><Relationship Type="http://schemas.openxmlformats.org/officeDocument/2006/relationships/hyperlink" Target="http://app.biakil.com/" TargetMode="External" Id="rId2119" /><Relationship Type="http://schemas.openxmlformats.org/officeDocument/2006/relationships/hyperlink" Target="https://www.instagram.com/biakilapp/" TargetMode="External" Id="rId2120" /><Relationship Type="http://schemas.openxmlformats.org/officeDocument/2006/relationships/hyperlink" Target="https://tr.linkedin.com/company/biakil" TargetMode="External" Id="rId2121" /><Relationship Type="http://schemas.openxmlformats.org/officeDocument/2006/relationships/hyperlink" Target="https://drive.google.com/uc?export=view&amp;id=1GxHliWRODC0EXyrFMrDukl9lfqsDMKv5" TargetMode="External" Id="rId2122" /><Relationship Type="http://schemas.openxmlformats.org/officeDocument/2006/relationships/hyperlink" Target="http://www.rockstepper.com/" TargetMode="External" Id="rId2123" /><Relationship Type="http://schemas.openxmlformats.org/officeDocument/2006/relationships/hyperlink" Target="https://drive.google.com/uc?export=view&amp;id=1OB1RlWPL00Tw8pYe4h74p6ZUgAJ5LF_4" TargetMode="External" Id="rId2124" /><Relationship Type="http://schemas.openxmlformats.org/officeDocument/2006/relationships/hyperlink" Target="http://kids.gamester.com.tr/" TargetMode="External" Id="rId2125" /><Relationship Type="http://schemas.openxmlformats.org/officeDocument/2006/relationships/hyperlink" Target="https://www.instagram.com/tinyminies.en" TargetMode="External" Id="rId2126" /><Relationship Type="http://schemas.openxmlformats.org/officeDocument/2006/relationships/hyperlink" Target="https://www.linkedin.com/company/gamester-kids" TargetMode="External" Id="rId2127" /><Relationship Type="http://schemas.openxmlformats.org/officeDocument/2006/relationships/hyperlink" Target="https://drive.google.com/uc?export=view&amp;id=1GP2ADUPi8oFL8Vd4n-WREMpGx2tyLL5F" TargetMode="External" Id="rId2128" /><Relationship Type="http://schemas.openxmlformats.org/officeDocument/2006/relationships/hyperlink" Target="http://www.cobie.io/" TargetMode="External" Id="rId2129" /><Relationship Type="http://schemas.openxmlformats.org/officeDocument/2006/relationships/hyperlink" Target="https://drive.google.com/uc?export=view&amp;id=1T-b8lhNrHhvGXoL5huQrjfu3kGjWxUbV" TargetMode="External" Id="rId2130" /><Relationship Type="http://schemas.openxmlformats.org/officeDocument/2006/relationships/hyperlink" Target="https://geintegreerd-onderwijs.nl/" TargetMode="External" Id="rId2131" /><Relationship Type="http://schemas.openxmlformats.org/officeDocument/2006/relationships/hyperlink" Target="https://www.instagram.com/leerplatformgo/" TargetMode="External" Id="rId2132" /><Relationship Type="http://schemas.openxmlformats.org/officeDocument/2006/relationships/hyperlink" Target="https://www.linkedin.com/company/leerplatformgo/" TargetMode="External" Id="rId2133" /><Relationship Type="http://schemas.openxmlformats.org/officeDocument/2006/relationships/hyperlink" Target="https://drive.google.com/uc?export=view&amp;id=1cuYVQNevOuFIuEqiuDkSDdEMYoOf0zr3" TargetMode="External" Id="rId2134" /><Relationship Type="http://schemas.openxmlformats.org/officeDocument/2006/relationships/hyperlink" Target="https://mathiasvandermeulen.com/" TargetMode="External" Id="rId2135" /><Relationship Type="http://schemas.openxmlformats.org/officeDocument/2006/relationships/hyperlink" Target="https://www.linkedin.com/in/mathiasvdmeulen/" TargetMode="External" Id="rId2136" /><Relationship Type="http://schemas.openxmlformats.org/officeDocument/2006/relationships/hyperlink" Target="https://drive.google.com/uc?export=view&amp;id=115nRIRHDDeAxCGhTLWx68tnRSYQP6WgW" TargetMode="External" Id="rId2137" /><Relationship Type="http://schemas.openxmlformats.org/officeDocument/2006/relationships/hyperlink" Target="https://bijlesaanhuis.nl/" TargetMode="External" Id="rId2138" /><Relationship Type="http://schemas.openxmlformats.org/officeDocument/2006/relationships/hyperlink" Target="https://www.linkedin.com/company/29026232/" TargetMode="External" Id="rId2139" /><Relationship Type="http://schemas.openxmlformats.org/officeDocument/2006/relationships/hyperlink" Target="https://drive.google.com/uc?export=view&amp;id=1Vef0A8emCDpb6iSeE-9zlmGhiDdTP-t1" TargetMode="External" Id="rId2140" /><Relationship Type="http://schemas.openxmlformats.org/officeDocument/2006/relationships/hyperlink" Target="http://www.discov.ai/" TargetMode="External" Id="rId2141" /><Relationship Type="http://schemas.openxmlformats.org/officeDocument/2006/relationships/hyperlink" Target="https://www.instagram.com/the_discov/?hl=en" TargetMode="External" Id="rId2142" /><Relationship Type="http://schemas.openxmlformats.org/officeDocument/2006/relationships/hyperlink" Target="https://www.linkedin.com/company/the-discov/" TargetMode="External" Id="rId2143" /><Relationship Type="http://schemas.openxmlformats.org/officeDocument/2006/relationships/hyperlink" Target="https://drive.google.com/uc?export=view&amp;id=1tcgy0MoIDy9pWFXi4XbgHG5p9pLv2Rn3" TargetMode="External" Id="rId2144" /><Relationship Type="http://schemas.openxmlformats.org/officeDocument/2006/relationships/hyperlink" Target="https://teo.training/" TargetMode="External" Id="rId2145" /><Relationship Type="http://schemas.openxmlformats.org/officeDocument/2006/relationships/hyperlink" Target="https://www.linkedin.com/company/12650098/" TargetMode="External" Id="rId2146" /><Relationship Type="http://schemas.openxmlformats.org/officeDocument/2006/relationships/hyperlink" Target="https://drive.google.com/uc?export=view&amp;id=1X5wSDb0k_BND9b1OKWPstYfUAquP5nrm" TargetMode="External" Id="rId2147" /><Relationship Type="http://schemas.openxmlformats.org/officeDocument/2006/relationships/hyperlink" Target="http://www.blueskills.nl/" TargetMode="External" Id="rId2148" /><Relationship Type="http://schemas.openxmlformats.org/officeDocument/2006/relationships/hyperlink" Target="https://www.google.com/url?sa=t&amp;rct=j&amp;q=&amp;esrc=s&amp;source=web&amp;cd=&amp;cad=rja&amp;uact=8&amp;ved=2ahUKEwiJnL2ShImBAxUTrKQKHS17CkMQFnoECBYQAQ&amp;url=https%3A%2F%2Fwww.instagram.com%2Fblueskillsnederland%2F&amp;usg=AOvVaw3OCHsS8CbdyCa7rKlrnX6b&amp;opi=89978449" TargetMode="External" Id="rId2149" /><Relationship Type="http://schemas.openxmlformats.org/officeDocument/2006/relationships/hyperlink" Target="https://www.google.com/url?sa=t&amp;rct=j&amp;q=&amp;esrc=s&amp;source=web&amp;cd=&amp;cad=rja&amp;uact=8&amp;ved=2ahUKEwjx_o6IhImBAxUWxQIHHd27A-IQFnoECA0QAQ&amp;url=https%3A%2F%2Fnl.linkedin.com%2Fcompany%2Fblueskills&amp;usg=AOvVaw0fgBQky32Abs-DLGP8oGEV&amp;opi=89978449" TargetMode="External" Id="rId2150" /><Relationship Type="http://schemas.openxmlformats.org/officeDocument/2006/relationships/hyperlink" Target="https://drive.google.com/uc?export=view&amp;id=14JLKp2AkA-4C8Q4RHdBJ-eOHKMZ8IIg-" TargetMode="External" Id="rId2151" /><Relationship Type="http://schemas.openxmlformats.org/officeDocument/2006/relationships/hyperlink" Target="https://pocketcampus.org/" TargetMode="External" Id="rId2152" /><Relationship Type="http://schemas.openxmlformats.org/officeDocument/2006/relationships/hyperlink" Target="https://www.linkedin.com/company/9198942/" TargetMode="External" Id="rId2153" /><Relationship Type="http://schemas.openxmlformats.org/officeDocument/2006/relationships/hyperlink" Target="https://drive.google.com/uc?export=view&amp;id=1Smt2yb_ymHPwkEGK24hKt1nKevh8NqsI" TargetMode="External" Id="rId2154" /><Relationship Type="http://schemas.openxmlformats.org/officeDocument/2006/relationships/hyperlink" Target="https://neuromindset.com/" TargetMode="External" Id="rId2155" /><Relationship Type="http://schemas.openxmlformats.org/officeDocument/2006/relationships/hyperlink" Target="https://www.instagram.com/neuromindset/" TargetMode="External" Id="rId2156" /><Relationship Type="http://schemas.openxmlformats.org/officeDocument/2006/relationships/hyperlink" Target="https://twitter.com/mindsetneuroedu" TargetMode="External" Id="rId2157" /><Relationship Type="http://schemas.openxmlformats.org/officeDocument/2006/relationships/hyperlink" Target="https://www.linkedin.com/company/mindsetneuroeducacion/" TargetMode="External" Id="rId2158" /><Relationship Type="http://schemas.openxmlformats.org/officeDocument/2006/relationships/hyperlink" Target="https://drive.google.com/uc?export=view&amp;id=1zkkgfkZgHtq_3NEbDYsHnd1I-a4nDCCX" TargetMode="External" Id="rId2159" /><Relationship Type="http://schemas.openxmlformats.org/officeDocument/2006/relationships/hyperlink" Target="https://qizify.com/en/" TargetMode="External" Id="rId2160" /><Relationship Type="http://schemas.openxmlformats.org/officeDocument/2006/relationships/hyperlink" Target="https://www.linkedin.com/company/49113282" TargetMode="External" Id="rId2161" /><Relationship Type="http://schemas.openxmlformats.org/officeDocument/2006/relationships/hyperlink" Target="https://drive.google.com/uc?export=view&amp;id=1SKKw6FOwmLm_SAgWiqDrRz-MbV35HDtO" TargetMode="External" Id="rId2162" /><Relationship Type="http://schemas.openxmlformats.org/officeDocument/2006/relationships/hyperlink" Target="https://sparkfore.com/" TargetMode="External" Id="rId2163" /><Relationship Type="http://schemas.openxmlformats.org/officeDocument/2006/relationships/hyperlink" Target="https://www.linkedin.com/company/75495005/" TargetMode="External" Id="rId2164" /><Relationship Type="http://schemas.openxmlformats.org/officeDocument/2006/relationships/hyperlink" Target="https://drive.google.com/uc?export=view&amp;id=13v98nEfi268VwSnqHuHKp9YHbm6NXh7c" TargetMode="External" Id="rId2165" /><Relationship Type="http://schemas.openxmlformats.org/officeDocument/2006/relationships/hyperlink" Target="http://www.thebinaschool.com/" TargetMode="External" Id="rId2166" /><Relationship Type="http://schemas.openxmlformats.org/officeDocument/2006/relationships/hyperlink" Target="https://www.instagram.com/thebinaschool/" TargetMode="External" Id="rId2167" /><Relationship Type="http://schemas.openxmlformats.org/officeDocument/2006/relationships/hyperlink" Target="https://www.linkedin.com/company/42467969/admin/feed/posts/" TargetMode="External" Id="rId2168" /><Relationship Type="http://schemas.openxmlformats.org/officeDocument/2006/relationships/hyperlink" Target="https://eggheads.ai/" TargetMode="External" Id="rId2169" /><Relationship Type="http://schemas.openxmlformats.org/officeDocument/2006/relationships/hyperlink" Target="http://twitter.com/eggheads_ai" TargetMode="External" Id="rId2170" /><Relationship Type="http://schemas.openxmlformats.org/officeDocument/2006/relationships/hyperlink" Target="http://linkedin.com/company/eggheads-ai" TargetMode="External" Id="rId2171" /><Relationship Type="http://schemas.openxmlformats.org/officeDocument/2006/relationships/hyperlink" Target="https://drive.google.com/uc?export=view&amp;id=1MeQC6XRZKLpHJ9avfgCNg4UBYgEo-LJ7" TargetMode="External" Id="rId2172" /><Relationship Type="http://schemas.openxmlformats.org/officeDocument/2006/relationships/hyperlink" Target="https://aschehoug.no/" TargetMode="External" Id="rId2173" /><Relationship Type="http://schemas.openxmlformats.org/officeDocument/2006/relationships/hyperlink" Target="https://www.instagram.com/aunivers.no/" TargetMode="External" Id="rId2174" /><Relationship Type="http://schemas.openxmlformats.org/officeDocument/2006/relationships/hyperlink" Target="https://www.linkedin.com/company/aschehoug/" TargetMode="External" Id="rId2175" /><Relationship Type="http://schemas.openxmlformats.org/officeDocument/2006/relationships/hyperlink" Target="https://drive.google.com/uc?export=view&amp;id=1UkU0hEBVgUcYgMVAJ9K0oAtUcZ3EbnaC" TargetMode="External" Id="rId2176" /><Relationship Type="http://schemas.openxmlformats.org/officeDocument/2006/relationships/hyperlink" Target="https://bitandr.com/" TargetMode="External" Id="rId2177" /><Relationship Type="http://schemas.openxmlformats.org/officeDocument/2006/relationships/hyperlink" Target="https://drive.google.com/uc?export=view&amp;id=179K0T3FoXcA3shqszwPE2LALUh0cOn_0" TargetMode="External" Id="rId2178" /><Relationship Type="http://schemas.openxmlformats.org/officeDocument/2006/relationships/hyperlink" Target="https://www.logic-app.ch/en/" TargetMode="External" Id="rId2179" /><Relationship Type="http://schemas.openxmlformats.org/officeDocument/2006/relationships/hyperlink" Target="https://www.linkedin.com/company/reallience/" TargetMode="External" Id="rId2180" /><Relationship Type="http://schemas.openxmlformats.org/officeDocument/2006/relationships/hyperlink" Target="https://drive.google.com/uc?export=view&amp;id=1nP_SCNAFqXpMC4W1gu4FVr8-AHZIh83x" TargetMode="External" Id="rId2181" /><Relationship Type="http://schemas.openxmlformats.org/officeDocument/2006/relationships/hyperlink" Target="https://sowiso.nl/en/" TargetMode="External" Id="rId2182" /><Relationship Type="http://schemas.openxmlformats.org/officeDocument/2006/relationships/hyperlink" Target="https://twitter.com/sowisobv" TargetMode="External" Id="rId2183" /><Relationship Type="http://schemas.openxmlformats.org/officeDocument/2006/relationships/hyperlink" Target="https://www.linkedin.com/company/sowiso/" TargetMode="External" Id="rId2184" /><Relationship Type="http://schemas.openxmlformats.org/officeDocument/2006/relationships/hyperlink" Target="https://drive.google.com/uc?export=view&amp;id=126DlVncFDmXSQhjYEGvK3Zq6UkeN4RQI" TargetMode="External" Id="rId2185" /><Relationship Type="http://schemas.openxmlformats.org/officeDocument/2006/relationships/hyperlink" Target="https://www.digitalemethode.be/" TargetMode="External" Id="rId2186" /><Relationship Type="http://schemas.openxmlformats.org/officeDocument/2006/relationships/hyperlink" Target="https://drive.google.com/uc?export=view&amp;id=1wPVQobLnkHtCZzX7_yXygdYOrwu1wusT" TargetMode="External" Id="rId2187" /><Relationship Type="http://schemas.openxmlformats.org/officeDocument/2006/relationships/hyperlink" Target="http://www.reducate.com/" TargetMode="External" Id="rId2188" /><Relationship Type="http://schemas.openxmlformats.org/officeDocument/2006/relationships/hyperlink" Target="https://www.linkedin.com/company/reducate/" TargetMode="External" Id="rId2189" /><Relationship Type="http://schemas.openxmlformats.org/officeDocument/2006/relationships/hyperlink" Target="https://drive.google.com/uc?export=view&amp;id=1zYaJfbhr60-aCi9Zs1aJsMrklPRgE_BG" TargetMode="External" Id="rId2190" /><Relationship Type="http://schemas.openxmlformats.org/officeDocument/2006/relationships/hyperlink" Target="https://en.risinguparis.com/" TargetMode="External" Id="rId2191" /><Relationship Type="http://schemas.openxmlformats.org/officeDocument/2006/relationships/hyperlink" Target="https://twitter.com/risinguparis" TargetMode="External" Id="rId2192" /><Relationship Type="http://schemas.openxmlformats.org/officeDocument/2006/relationships/hyperlink" Target="https://www.linkedin.com/company/18324967/admin/" TargetMode="External" Id="rId2193" /><Relationship Type="http://schemas.openxmlformats.org/officeDocument/2006/relationships/hyperlink" Target="https://drive.google.com/uc?export=view&amp;id=1X9Rs-K3iSmEoAAjiAUTjAjVTKoKQ8hx_" TargetMode="External" Id="rId2194" /><Relationship Type="http://schemas.openxmlformats.org/officeDocument/2006/relationships/hyperlink" Target="http://www.communico.nu/" TargetMode="External" Id="rId2195" /><Relationship Type="http://schemas.openxmlformats.org/officeDocument/2006/relationships/hyperlink" Target="https://www.linkedin.com/company/communico-aps" TargetMode="External" Id="rId2196" /><Relationship Type="http://schemas.openxmlformats.org/officeDocument/2006/relationships/hyperlink" Target="https://drive.google.com/uc?export=view&amp;id=1USHO4twK-obtqCcafU931Df1EPRm3NmV" TargetMode="External" Id="rId2197" /><Relationship Type="http://schemas.openxmlformats.org/officeDocument/2006/relationships/hyperlink" Target="http://www.e-wise.com/" TargetMode="External" Id="rId2198" /><Relationship Type="http://schemas.openxmlformats.org/officeDocument/2006/relationships/hyperlink" Target="https://www.linkedin.com/company/100983/admin/feed/posts/" TargetMode="External" Id="rId2199" /><Relationship Type="http://schemas.openxmlformats.org/officeDocument/2006/relationships/hyperlink" Target="https://drive.google.com/uc?export=view&amp;id=1qKSB9-Nc-RyQu42y_rfYmz57JcgDQ3Lr" TargetMode="External" Id="rId2200" /><Relationship Type="http://schemas.openxmlformats.org/officeDocument/2006/relationships/hyperlink" Target="https://www.oscar-campus.com/" TargetMode="External" Id="rId2201" /><Relationship Type="http://schemas.openxmlformats.org/officeDocument/2006/relationships/hyperlink" Target="https://www.linkedin.com/company/oscar-campus-crm/" TargetMode="External" Id="rId2202" /><Relationship Type="http://schemas.openxmlformats.org/officeDocument/2006/relationships/hyperlink" Target="https://drive.google.com/uc?export=view&amp;id=19cgLA5jkLRuqtHGMWOP4lMtAlhw6pkwW" TargetMode="External" Id="rId2203" /><Relationship Type="http://schemas.openxmlformats.org/officeDocument/2006/relationships/hyperlink" Target="http://www.emys.co/" TargetMode="External" Id="rId2204" /><Relationship Type="http://schemas.openxmlformats.org/officeDocument/2006/relationships/hyperlink" Target="https://www.instagram.com/emysrobot/" TargetMode="External" Id="rId2205" /><Relationship Type="http://schemas.openxmlformats.org/officeDocument/2006/relationships/hyperlink" Target="https://www.linkedin.com/company/emysrobot" TargetMode="External" Id="rId2206" /><Relationship Type="http://schemas.openxmlformats.org/officeDocument/2006/relationships/hyperlink" Target="https://drive.google.com/uc?export=view&amp;id=1DGMjRGLEEnKt_1cYd5BIhHEtFqqM7Sda" TargetMode="External" Id="rId2207" /><Relationship Type="http://schemas.openxmlformats.org/officeDocument/2006/relationships/hyperlink" Target="https://visuon.com/" TargetMode="External" Id="rId2208" /><Relationship Type="http://schemas.openxmlformats.org/officeDocument/2006/relationships/hyperlink" Target="https://twitter.com/visuonco" TargetMode="External" Id="rId2209" /><Relationship Type="http://schemas.openxmlformats.org/officeDocument/2006/relationships/hyperlink" Target="https://www.linkedin.com/company/visuon" TargetMode="External" Id="rId2210" /><Relationship Type="http://schemas.openxmlformats.org/officeDocument/2006/relationships/hyperlink" Target="https://drive.google.com/uc?export=view&amp;id=1T3VTfZaIb3JpFJnbapeHEbWIyiC3-2fV" TargetMode="External" Id="rId2211" /><Relationship Type="http://schemas.openxmlformats.org/officeDocument/2006/relationships/hyperlink" Target="http://www.chabadoo.com/" TargetMode="External" Id="rId2212" /><Relationship Type="http://schemas.openxmlformats.org/officeDocument/2006/relationships/hyperlink" Target="https://www.instagram.com/chabadoo_elearning/" TargetMode="External" Id="rId2213" /><Relationship Type="http://schemas.openxmlformats.org/officeDocument/2006/relationships/hyperlink" Target="https://www.linkedin.com/company/chabadoo" TargetMode="External" Id="rId2214" /><Relationship Type="http://schemas.openxmlformats.org/officeDocument/2006/relationships/hyperlink" Target="https://drive.google.com/uc?export=view&amp;id=1XhmU4Qfi53OasTFeA5WzwAil4nDt6jXv" TargetMode="External" Id="rId2215" /><Relationship Type="http://schemas.openxmlformats.org/officeDocument/2006/relationships/hyperlink" Target="https://lernfamilie.at/" TargetMode="External" Id="rId2216" /><Relationship Type="http://schemas.openxmlformats.org/officeDocument/2006/relationships/hyperlink" Target="https://www.instagram.com/lernfamilie/" TargetMode="External" Id="rId2217" /><Relationship Type="http://schemas.openxmlformats.org/officeDocument/2006/relationships/hyperlink" Target="https://twitter.com/LernFamilie/" TargetMode="External" Id="rId2218" /><Relationship Type="http://schemas.openxmlformats.org/officeDocument/2006/relationships/hyperlink" Target="https://lernfamilie.at/nachhilfeinstitut/online/" TargetMode="External" Id="rId2219" /><Relationship Type="http://schemas.openxmlformats.org/officeDocument/2006/relationships/hyperlink" Target="https://drive.google.com/uc?export=view&amp;id=1Y-F33F2SJzlWQXyojY8mF-kWr56kts2e" TargetMode="External" Id="rId2220" /><Relationship Type="http://schemas.openxmlformats.org/officeDocument/2006/relationships/hyperlink" Target="https://lernfamilie.com/" TargetMode="External" Id="rId2221" /><Relationship Type="http://schemas.openxmlformats.org/officeDocument/2006/relationships/hyperlink" Target="https://www.instagram.com/lernfamilie/" TargetMode="External" Id="rId2222" /><Relationship Type="http://schemas.openxmlformats.org/officeDocument/2006/relationships/hyperlink" Target="https://twitter.com/LernFamilie/" TargetMode="External" Id="rId2223" /><Relationship Type="http://schemas.openxmlformats.org/officeDocument/2006/relationships/hyperlink" Target="https://lernfamilie.com/nachhilfeinstitut/online/" TargetMode="External" Id="rId2224" /><Relationship Type="http://schemas.openxmlformats.org/officeDocument/2006/relationships/hyperlink" Target="https://drive.google.com/uc?export=view&amp;id=13CBPLdl5-bT3MCH2Eo4LisE0fz2nP7IK" TargetMode="External" Id="rId2225" /><Relationship Type="http://schemas.openxmlformats.org/officeDocument/2006/relationships/hyperlink" Target="https://www.amoreperilsapere.it/" TargetMode="External" Id="rId2226" /><Relationship Type="http://schemas.openxmlformats.org/officeDocument/2006/relationships/hyperlink" Target="https://drive.google.com/uc?export=view&amp;id=1uDcnOcMJaHRE3ftchN0h8L9waL3OFkt6" TargetMode="External" Id="rId2227" /><Relationship Type="http://schemas.openxmlformats.org/officeDocument/2006/relationships/hyperlink" Target="https://www.edurino.com/" TargetMode="External" Id="rId2228" /><Relationship Type="http://schemas.openxmlformats.org/officeDocument/2006/relationships/hyperlink" Target="https://www.instagram.com/edurino_de/?hl=de" TargetMode="External" Id="rId2229" /><Relationship Type="http://schemas.openxmlformats.org/officeDocument/2006/relationships/hyperlink" Target="https://www.linkedin.com/company/edurinoapp/?originalSubdomain=de" TargetMode="External" Id="rId2230" /><Relationship Type="http://schemas.openxmlformats.org/officeDocument/2006/relationships/hyperlink" Target="https://drive.google.com/uc?export=view&amp;id=1DoLOWL6YKCB37TcagwdHzqXKr3yA243F" TargetMode="External" Id="rId2231" /><Relationship Type="http://schemas.openxmlformats.org/officeDocument/2006/relationships/hyperlink" Target="https://fuel.education/" TargetMode="External" Id="rId2232" /><Relationship Type="http://schemas.openxmlformats.org/officeDocument/2006/relationships/hyperlink" Target="https://www.linkedin.com/company/fuelverse" TargetMode="External" Id="rId2233" /><Relationship Type="http://schemas.openxmlformats.org/officeDocument/2006/relationships/hyperlink" Target="https://drive.google.com/uc?export=view&amp;id=1HqXqyE3a0r86KwZfQ4bTMuEyLwWOa5ep" TargetMode="External" Id="rId2234" /><Relationship Type="http://schemas.openxmlformats.org/officeDocument/2006/relationships/hyperlink" Target="https://www.levooba.com/" TargetMode="External" Id="rId2235" /><Relationship Type="http://schemas.openxmlformats.org/officeDocument/2006/relationships/hyperlink" Target="https://www.instagram.com/levooba_de/" TargetMode="External" Id="rId2236" /><Relationship Type="http://schemas.openxmlformats.org/officeDocument/2006/relationships/hyperlink" Target="https://twitter.com/levooba" TargetMode="External" Id="rId2237" /><Relationship Type="http://schemas.openxmlformats.org/officeDocument/2006/relationships/hyperlink" Target="https://www.linkedin.com/company/levooba" TargetMode="External" Id="rId2238" /><Relationship Type="http://schemas.openxmlformats.org/officeDocument/2006/relationships/hyperlink" Target="https://drive.google.com/uc?export=view&amp;id=1TjdJ-eSGlMTw4EY-Gs0rH7XRNl92h6Ed" TargetMode="External" Id="rId2239" /><Relationship Type="http://schemas.openxmlformats.org/officeDocument/2006/relationships/hyperlink" Target="http://studentpulse.io/" TargetMode="External" Id="rId2240" /><Relationship Type="http://schemas.openxmlformats.org/officeDocument/2006/relationships/hyperlink" Target="https://www.studentpulse.io/" TargetMode="External" Id="rId2241" /><Relationship Type="http://schemas.openxmlformats.org/officeDocument/2006/relationships/hyperlink" Target="https://www.linkedin.com/company/studentpulse-io" TargetMode="External" Id="rId2242" /><Relationship Type="http://schemas.openxmlformats.org/officeDocument/2006/relationships/hyperlink" Target="https://drive.google.com/uc?export=view&amp;id=1KCh1xg-XUHEu5-Xrew7AM_8Q83FzG5HZ" TargetMode="External" Id="rId2243" /><Relationship Type="http://schemas.openxmlformats.org/officeDocument/2006/relationships/hyperlink" Target="https://www.virtual-dawn.com/" TargetMode="External" Id="rId2244" /><Relationship Type="http://schemas.openxmlformats.org/officeDocument/2006/relationships/hyperlink" Target="https://twitter.com/_VirtualDawn_" TargetMode="External" Id="rId2245" /><Relationship Type="http://schemas.openxmlformats.org/officeDocument/2006/relationships/hyperlink" Target="https://fi.linkedin.com/company/virtual-dawn" TargetMode="External" Id="rId2246" /><Relationship Type="http://schemas.openxmlformats.org/officeDocument/2006/relationships/hyperlink" Target="https://drive.google.com/uc?export=view&amp;id=1mYXHddY7hIr6cdz_VYJZnz94TD-hHdjf" TargetMode="External" Id="rId2247" /><Relationship Type="http://schemas.openxmlformats.org/officeDocument/2006/relationships/hyperlink" Target="https://www.skillandyou.com/fr/" TargetMode="External" Id="rId2248" /><Relationship Type="http://schemas.openxmlformats.org/officeDocument/2006/relationships/hyperlink" Target="https://www.linkedin.com/search/results/all/?fetchDeterministicClustersOnly=true&amp;heroEntityKey=urn%3Ali%3Aorganization%3A412793&amp;keywords=skill%20and%20you&amp;origin=RICH_QUERY_SUGGESTION&amp;position=0&amp;searchId=ff2fd2b7-b141-41e8-b187-f5a18ea8605b&amp;sid=Goo" TargetMode="External" Id="rId2249" /><Relationship Type="http://schemas.openxmlformats.org/officeDocument/2006/relationships/hyperlink" Target="https://drive.google.com/uc?export=view&amp;id=1FVTQVdqlW8QVZPZugWJRjsTHhTgAgy7J" TargetMode="External" Id="rId2250" /><Relationship Type="http://schemas.openxmlformats.org/officeDocument/2006/relationships/hyperlink" Target="http://kamusi.org/" TargetMode="External" Id="rId2251" /><Relationship Type="http://schemas.openxmlformats.org/officeDocument/2006/relationships/hyperlink" Target="https://www.linkedin.com/company/kamusi-project-international-usa" TargetMode="External" Id="rId2252" /><Relationship Type="http://schemas.openxmlformats.org/officeDocument/2006/relationships/hyperlink" Target="https://drive.google.com/uc?export=view&amp;id=1_A1LYDzB8x_zZfwF4QPsDNCpmTEJ8P6x" TargetMode="External" Id="rId2253" /><Relationship Type="http://schemas.openxmlformats.org/officeDocument/2006/relationships/hyperlink" Target="http://mobiletic.com/" TargetMode="External" Id="rId2254" /><Relationship Type="http://schemas.openxmlformats.org/officeDocument/2006/relationships/hyperlink" Target="https://mobiletic.com/fr/" TargetMode="External" Id="rId2255" /><Relationship Type="http://schemas.openxmlformats.org/officeDocument/2006/relationships/hyperlink" Target="https://twitter.com/mobileticsarl" TargetMode="External" Id="rId2256" /><Relationship Type="http://schemas.openxmlformats.org/officeDocument/2006/relationships/hyperlink" Target="https://www.linkedin.com/company/mobiletic.com" TargetMode="External" Id="rId2257" /><Relationship Type="http://schemas.openxmlformats.org/officeDocument/2006/relationships/hyperlink" Target="https://drive.google.com/uc?export=view&amp;id=1rAIabn65uu_bW2B11f_s4Ul3VfCOGJ0f" TargetMode="External" Id="rId2258" /><Relationship Type="http://schemas.openxmlformats.org/officeDocument/2006/relationships/hyperlink" Target="https://www.wizenoze.com/" TargetMode="External" Id="rId2259" /><Relationship Type="http://schemas.openxmlformats.org/officeDocument/2006/relationships/hyperlink" Target="https://www.instagram.com/Wizenoze" TargetMode="External" Id="rId2260" /><Relationship Type="http://schemas.openxmlformats.org/officeDocument/2006/relationships/hyperlink" Target="https://twitter.com/wizenoze" TargetMode="External" Id="rId2261" /><Relationship Type="http://schemas.openxmlformats.org/officeDocument/2006/relationships/hyperlink" Target="https://www.linkedin.com/company/wizenoze/?originalSubdomain=nl" TargetMode="External" Id="rId2262" /><Relationship Type="http://schemas.openxmlformats.org/officeDocument/2006/relationships/hyperlink" Target="https://drive.google.com/uc?export=view&amp;id=1tE7CYHHgwwtdq1RoVYEq2VxdQYfR4Gpq" TargetMode="External" Id="rId2263" /><Relationship Type="http://schemas.openxmlformats.org/officeDocument/2006/relationships/hyperlink" Target="https://www.conversationdesigninstitute.com/" TargetMode="External" Id="rId2264" /><Relationship Type="http://schemas.openxmlformats.org/officeDocument/2006/relationships/hyperlink" Target="https://www.instagram.com/accounts/login/?next=/Conversation_Design_Institute/" TargetMode="External" Id="rId2265" /><Relationship Type="http://schemas.openxmlformats.org/officeDocument/2006/relationships/hyperlink" Target="https://twitter.com/CDInstitute_" TargetMode="External" Id="rId2266" /><Relationship Type="http://schemas.openxmlformats.org/officeDocument/2006/relationships/hyperlink" Target="https://www.linkedin.com/company/conversation-design-institute" TargetMode="External" Id="rId2267" /><Relationship Type="http://schemas.openxmlformats.org/officeDocument/2006/relationships/hyperlink" Target="https://drive.google.com/uc?export=view&amp;id=1CD4fkh4Y6Sh2xaBUVvEzVvVW-CWMkB5y" TargetMode="External" Id="rId2268" /><Relationship Type="http://schemas.openxmlformats.org/officeDocument/2006/relationships/hyperlink" Target="http://www.exploringedtech.ie/" TargetMode="External" Id="rId2269" /><Relationship Type="http://schemas.openxmlformats.org/officeDocument/2006/relationships/hyperlink" Target="https://twitter.com/ExploringEdtech" TargetMode="External" Id="rId2270" /><Relationship Type="http://schemas.openxmlformats.org/officeDocument/2006/relationships/hyperlink" Target="https://www.linkedin.com/company/exploringedtech/" TargetMode="External" Id="rId2271" /><Relationship Type="http://schemas.openxmlformats.org/officeDocument/2006/relationships/hyperlink" Target="https://drive.google.com/uc?export=view&amp;id=1dx3F8qD5i8DtRCiO4Cvgi49NbL-23e08" TargetMode="External" Id="rId2272" /><Relationship Type="http://schemas.openxmlformats.org/officeDocument/2006/relationships/hyperlink" Target="http://www.grammerstorf-kubon.com/" TargetMode="External" Id="rId2273" /><Relationship Type="http://schemas.openxmlformats.org/officeDocument/2006/relationships/hyperlink" Target="https://drive.google.com/uc?export=view&amp;id=1WMXAPEz-vUWPBMdvXtgCSk5o--LBxZsd" TargetMode="External" Id="rId2274" /><Relationship Type="http://schemas.openxmlformats.org/officeDocument/2006/relationships/hyperlink" Target="http://mentessa.ai/" TargetMode="External" Id="rId2275" /><Relationship Type="http://schemas.openxmlformats.org/officeDocument/2006/relationships/hyperlink" Target="https://www.linkedin.com/company/mentessa/" TargetMode="External" Id="rId2276" /><Relationship Type="http://schemas.openxmlformats.org/officeDocument/2006/relationships/hyperlink" Target="https://drive.google.com/uc?export=view&amp;id=1jbVqJEZ84TXubvHG-q4Euc3S-8EMk07n" TargetMode="External" Id="rId2277" /><Relationship Type="http://schemas.openxmlformats.org/officeDocument/2006/relationships/hyperlink" Target="https://modco.fr/" TargetMode="External" Id="rId2278" /><Relationship Type="http://schemas.openxmlformats.org/officeDocument/2006/relationships/hyperlink" Target="https://www.linkedin.com/company/modco-mode-college" TargetMode="External" Id="rId2279" /><Relationship Type="http://schemas.openxmlformats.org/officeDocument/2006/relationships/hyperlink" Target="https://drive.google.com/uc?export=view&amp;id=1E1Bgm4pZ-jC0uaHUr2fW9rFtKrL0iLqA" TargetMode="External" Id="rId2280" /><Relationship Type="http://schemas.openxmlformats.org/officeDocument/2006/relationships/hyperlink" Target="https://pivotaledtech.com/" TargetMode="External" Id="rId2281" /><Relationship Type="http://schemas.openxmlformats.org/officeDocument/2006/relationships/hyperlink" Target="https://www.linkedin.com/company/pivotal-edtech" TargetMode="External" Id="rId2282" /><Relationship Type="http://schemas.openxmlformats.org/officeDocument/2006/relationships/hyperlink" Target="https://drive.google.com/uc?export=view&amp;id=1gZJwdJ3UQQeOB2IEO-s4nHW30bY932h3" TargetMode="External" Id="rId2283" /><Relationship Type="http://schemas.openxmlformats.org/officeDocument/2006/relationships/hyperlink" Target="https://rhinox.be/" TargetMode="External" Id="rId2284" /><Relationship Type="http://schemas.openxmlformats.org/officeDocument/2006/relationships/hyperlink" Target="https://www.linkedin.com/company/rhinox-training/" TargetMode="External" Id="rId2285" /><Relationship Type="http://schemas.openxmlformats.org/officeDocument/2006/relationships/hyperlink" Target="https://drive.google.com/uc?export=view&amp;id=1zgqUqa6mNWZ6G45d7JLPj9bHgbKsd28o" TargetMode="External" Id="rId2286" /><Relationship Type="http://schemas.openxmlformats.org/officeDocument/2006/relationships/hyperlink" Target="https://www.oknoname.com/" TargetMode="External" Id="rId2287" /><Relationship Type="http://schemas.openxmlformats.org/officeDocument/2006/relationships/hyperlink" Target="https://www.linkedin.com/company/oknoname" TargetMode="External" Id="rId2288" /><Relationship Type="http://schemas.openxmlformats.org/officeDocument/2006/relationships/hyperlink" Target="https://drive.google.com/uc?export=view&amp;id=1h0KdmwBwC7V3H-Ap8s01lSkOfVVLETBt" TargetMode="External" Id="rId2289" /><Relationship Type="http://schemas.openxmlformats.org/officeDocument/2006/relationships/hyperlink" Target="https://www.3cl.org/" TargetMode="External" Id="rId2290" /><Relationship Type="http://schemas.openxmlformats.org/officeDocument/2006/relationships/hyperlink" Target="https://drive.google.com/uc?export=view&amp;id=1AzE-4qBLTdc3aE13jap8iN0zm4s0QR8I" TargetMode="External" Id="rId2291" /><Relationship Type="http://schemas.openxmlformats.org/officeDocument/2006/relationships/hyperlink" Target="https://cuabi.com/" TargetMode="External" Id="rId2292" /><Relationship Type="http://schemas.openxmlformats.org/officeDocument/2006/relationships/hyperlink" Target="https://instagram.com/cuabi.educa" TargetMode="External" Id="rId2293" /><Relationship Type="http://schemas.openxmlformats.org/officeDocument/2006/relationships/hyperlink" Target="https://es.linkedin.com/company/cuabi" TargetMode="External" Id="rId2294" /><Relationship Type="http://schemas.openxmlformats.org/officeDocument/2006/relationships/hyperlink" Target="https://drive.google.com/uc?export=view&amp;id=1e3k-TgrMAurhMVJoZ_EY8am_j-A2P9cP" TargetMode="External" Id="rId2295" /><Relationship Type="http://schemas.openxmlformats.org/officeDocument/2006/relationships/hyperlink" Target="https://www.htctw.org/" TargetMode="External" Id="rId2296" /><Relationship Type="http://schemas.openxmlformats.org/officeDocument/2006/relationships/hyperlink" Target="https://www.linkedin.com/company/htctw" TargetMode="External" Id="rId2297" /><Relationship Type="http://schemas.openxmlformats.org/officeDocument/2006/relationships/hyperlink" Target="https://drive.google.com/uc?export=view&amp;id=12Z7miOyTApH50j1IAoZrG44YweMW_ci4" TargetMode="External" Id="rId2298" /><Relationship Type="http://schemas.openxmlformats.org/officeDocument/2006/relationships/hyperlink" Target="http://manual.to/" TargetMode="External" Id="rId2299" /><Relationship Type="http://schemas.openxmlformats.org/officeDocument/2006/relationships/hyperlink" Target="https://manual.to/" TargetMode="External" Id="rId2300" /><Relationship Type="http://schemas.openxmlformats.org/officeDocument/2006/relationships/hyperlink" Target="https://www.instagram.com/manual.to/" TargetMode="External" Id="rId2301" /><Relationship Type="http://schemas.openxmlformats.org/officeDocument/2006/relationships/hyperlink" Target="https://twitter.com/manual_to" TargetMode="External" Id="rId2302" /><Relationship Type="http://schemas.openxmlformats.org/officeDocument/2006/relationships/hyperlink" Target="https://linkedin.com/company/manual.to" TargetMode="External" Id="rId2303" /><Relationship Type="http://schemas.openxmlformats.org/officeDocument/2006/relationships/hyperlink" Target="http://manual.to/" TargetMode="External" Id="rId2304" /><Relationship Type="http://schemas.openxmlformats.org/officeDocument/2006/relationships/hyperlink" Target="https://drive.google.com/uc?export=view&amp;id=1Edo0DjlUeOht48soxKOBcXX1V6XHiFQT" TargetMode="External" Id="rId2305" /><Relationship Type="http://schemas.openxmlformats.org/officeDocument/2006/relationships/hyperlink" Target="http://www.wikit.no/" TargetMode="External" Id="rId2306" /><Relationship Type="http://schemas.openxmlformats.org/officeDocument/2006/relationships/hyperlink" Target="https://drive.google.com/uc?export=view&amp;id=1FAZOQHiO9IquKJx9QLw5NUhuHjwksvIG" TargetMode="External" Id="rId2307" /><Relationship Type="http://schemas.openxmlformats.org/officeDocument/2006/relationships/hyperlink" Target="https://nu.education/en/" TargetMode="External" Id="rId2308" /><Relationship Type="http://schemas.openxmlformats.org/officeDocument/2006/relationships/hyperlink" Target="https://ch.linkedin.com/company/nutechnologyag" TargetMode="External" Id="rId2309" /><Relationship Type="http://schemas.openxmlformats.org/officeDocument/2006/relationships/hyperlink" Target="https://drive.google.com/uc?export=view&amp;id=1lZ1yoKy6bYNndybS86Zq6okGiGBwPDFp" TargetMode="External" Id="rId2310" /><Relationship Type="http://schemas.openxmlformats.org/officeDocument/2006/relationships/hyperlink" Target="https://www.itonlinelearning.com/" TargetMode="External" Id="rId2311" /><Relationship Type="http://schemas.openxmlformats.org/officeDocument/2006/relationships/hyperlink" Target="https://drive.google.com/uc?export=view&amp;id=1fSIgWrBfJVoZRdiFw-kIUiW97k6ySVQU" TargetMode="External" Id="rId2312" /><Relationship Type="http://schemas.openxmlformats.org/officeDocument/2006/relationships/hyperlink" Target="https://www.icslearn.co.uk/" TargetMode="External" Id="rId2313" /><Relationship Type="http://schemas.openxmlformats.org/officeDocument/2006/relationships/hyperlink" Target="https://drive.google.com/uc?export=view&amp;id=1aAj9hyIAjm9CsSy_hITU-vPOjjcjfUYo" TargetMode="External" Id="rId2314" /><Relationship Type="http://schemas.openxmlformats.org/officeDocument/2006/relationships/hyperlink" Target="http://www.teamazing.com/" TargetMode="External" Id="rId2315" /><Relationship Type="http://schemas.openxmlformats.org/officeDocument/2006/relationships/hyperlink" Target="https://www.instagram.com/teamazing.events/" TargetMode="External" Id="rId2316" /><Relationship Type="http://schemas.openxmlformats.org/officeDocument/2006/relationships/hyperlink" Target="https://twitter.com/teamazing_com" TargetMode="External" Id="rId2317" /><Relationship Type="http://schemas.openxmlformats.org/officeDocument/2006/relationships/hyperlink" Target="https://www.linkedin.com/company/teamazing-gmbh" TargetMode="External" Id="rId2318" /><Relationship Type="http://schemas.openxmlformats.org/officeDocument/2006/relationships/hyperlink" Target="https://drive.google.com/uc?export=view&amp;id=19swaHVvHb3WCDVuIiIn7Kp016RE0o_Sc" TargetMode="External" Id="rId2319" /><Relationship Type="http://schemas.openxmlformats.org/officeDocument/2006/relationships/hyperlink" Target="https://drive.google.com/uc?export=view&amp;id=1-R51MtZHmElVVSgiZnftLpeFicoOSzFZ" TargetMode="External" Id="rId2320" /><Relationship Type="http://schemas.openxmlformats.org/officeDocument/2006/relationships/hyperlink" Target="https://www.didask.com/" TargetMode="External" Id="rId2321" /><Relationship Type="http://schemas.openxmlformats.org/officeDocument/2006/relationships/hyperlink" Target="https://www.instagram.com/didask_learning/" TargetMode="External" Id="rId2322" /><Relationship Type="http://schemas.openxmlformats.org/officeDocument/2006/relationships/hyperlink" Target="https://twitter.com/Didask" TargetMode="External" Id="rId2323" /><Relationship Type="http://schemas.openxmlformats.org/officeDocument/2006/relationships/hyperlink" Target="https://www.linkedin.com/company/didask/" TargetMode="External" Id="rId2324" /><Relationship Type="http://schemas.openxmlformats.org/officeDocument/2006/relationships/hyperlink" Target="https://drive.google.com/uc?export=view&amp;id=1xUgM2EG9A1C7zxL4RD9iOPBD7r3cBsQs" TargetMode="External" Id="rId2325" /><Relationship Type="http://schemas.openxmlformats.org/officeDocument/2006/relationships/hyperlink" Target="http://life.dk/" TargetMode="External" Id="rId2326" /><Relationship Type="http://schemas.openxmlformats.org/officeDocument/2006/relationships/hyperlink" Target="https://www.instagram.com/life_fonden/" TargetMode="External" Id="rId2327" /><Relationship Type="http://schemas.openxmlformats.org/officeDocument/2006/relationships/hyperlink" Target="https://twitter.com/LIFEFonden" TargetMode="External" Id="rId2328" /><Relationship Type="http://schemas.openxmlformats.org/officeDocument/2006/relationships/hyperlink" Target="https://www.linkedin.com/company/life-fonden/mycompany/" TargetMode="External" Id="rId2329" /><Relationship Type="http://schemas.openxmlformats.org/officeDocument/2006/relationships/hyperlink" Target="https://drive.google.com/uc?export=view&amp;id=1-1qRhU9UQZAsKOszo-QFcgvJmxNLPkLH" TargetMode="External" Id="rId2330" /><Relationship Type="http://schemas.openxmlformats.org/officeDocument/2006/relationships/hyperlink" Target="http://a-mazego.dk/" TargetMode="External" Id="rId2331" /><Relationship Type="http://schemas.openxmlformats.org/officeDocument/2006/relationships/hyperlink" Target="https://www.linkedin.com/company/a-mazeaps/" TargetMode="External" Id="rId2332" /><Relationship Type="http://schemas.openxmlformats.org/officeDocument/2006/relationships/hyperlink" Target="https://drive.google.com/uc?export=view&amp;id=1v9ikIee_AhwJ1kr-o8x42TE2LQq9Pge6" TargetMode="External" Id="rId2333" /><Relationship Type="http://schemas.openxmlformats.org/officeDocument/2006/relationships/hyperlink" Target="https://www.geogebra.org/" TargetMode="External" Id="rId2334" /><Relationship Type="http://schemas.openxmlformats.org/officeDocument/2006/relationships/hyperlink" Target="https://drive.google.com/uc?export=view&amp;id=1sjPEoqb7PgiNAYPPz44P1ZXCykQXm9r2" TargetMode="External" Id="rId2335" /><Relationship Type="http://schemas.openxmlformats.org/officeDocument/2006/relationships/hyperlink" Target="https://app.kumubox.com/" TargetMode="External" Id="rId2336" /><Relationship Type="http://schemas.openxmlformats.org/officeDocument/2006/relationships/hyperlink" Target="https://www.instagram.com/kumubox/" TargetMode="External" Id="rId2337" /><Relationship Type="http://schemas.openxmlformats.org/officeDocument/2006/relationships/hyperlink" Target="https://twitter.com/kumuboxoficial" TargetMode="External" Id="rId2338" /><Relationship Type="http://schemas.openxmlformats.org/officeDocument/2006/relationships/hyperlink" Target="https://es.linkedin.com/company/kumubox" TargetMode="External" Id="rId2339" /><Relationship Type="http://schemas.openxmlformats.org/officeDocument/2006/relationships/hyperlink" Target="https://drive.google.com/uc?export=view&amp;id=1DwzkIMY5C7nuEFTNy9EHXRwJVbp4aWFK" TargetMode="External" Id="rId2340" /><Relationship Type="http://schemas.openxmlformats.org/officeDocument/2006/relationships/hyperlink" Target="https://www.tutory.de/" TargetMode="External" Id="rId2341" /><Relationship Type="http://schemas.openxmlformats.org/officeDocument/2006/relationships/hyperlink" Target="https://www.instagram.com/tutoryde/" TargetMode="External" Id="rId2342" /><Relationship Type="http://schemas.openxmlformats.org/officeDocument/2006/relationships/hyperlink" Target="https://twitter.com/tutoryde" TargetMode="External" Id="rId2343" /><Relationship Type="http://schemas.openxmlformats.org/officeDocument/2006/relationships/hyperlink" Target="https://www.linkedin.com/company/tutory-de/" TargetMode="External" Id="rId2344" /><Relationship Type="http://schemas.openxmlformats.org/officeDocument/2006/relationships/hyperlink" Target="https://drive.google.com/uc?export=view&amp;id=1dlvNSdxBDXg9oikLKHhICwf02gHN12Of" TargetMode="External" Id="rId2345" /><Relationship Type="http://schemas.openxmlformats.org/officeDocument/2006/relationships/hyperlink" Target="https://lingobo.com/" TargetMode="External" Id="rId2346" /><Relationship Type="http://schemas.openxmlformats.org/officeDocument/2006/relationships/hyperlink" Target="https://twitter.com/lingobo_es" TargetMode="External" Id="rId2347" /><Relationship Type="http://schemas.openxmlformats.org/officeDocument/2006/relationships/hyperlink" Target="https://www.linkedin.com/company/lingobo" TargetMode="External" Id="rId2348" /><Relationship Type="http://schemas.openxmlformats.org/officeDocument/2006/relationships/hyperlink" Target="https://drive.google.com/uc?export=view&amp;id=1FqRpqAOWuDawLl4PIUbcgmY3N6nnHPuE" TargetMode="External" Id="rId2349" /><Relationship Type="http://schemas.openxmlformats.org/officeDocument/2006/relationships/hyperlink" Target="http://eo-space.com/" TargetMode="External" Id="rId2350" /><Relationship Type="http://schemas.openxmlformats.org/officeDocument/2006/relationships/hyperlink" Target="https://drive.google.com/uc?export=view&amp;id=1qB6GzmSy5oPKKHQoOGmIo-8pjQA5Jefk" TargetMode="External" Id="rId2351" /><Relationship Type="http://schemas.openxmlformats.org/officeDocument/2006/relationships/hyperlink" Target="https://ste.education/en/" TargetMode="External" Id="rId2352" /><Relationship Type="http://schemas.openxmlformats.org/officeDocument/2006/relationships/hyperlink" Target="https://drive.google.com/uc?export=view&amp;id=1vSmmNno_c5HxQ47ga4u-uBObAzbA7_S_" TargetMode="External" Id="rId2353" /><Relationship Type="http://schemas.openxmlformats.org/officeDocument/2006/relationships/hyperlink" Target="http://www.educabiz.com/" TargetMode="External" Id="rId2354" /><Relationship Type="http://schemas.openxmlformats.org/officeDocument/2006/relationships/hyperlink" Target="https://drive.google.com/uc?export=view&amp;id=1oYZENRaok24WudfC6n64pfNaHsjoMDhQ" TargetMode="External" Id="rId2355" /><Relationship Type="http://schemas.openxmlformats.org/officeDocument/2006/relationships/hyperlink" Target="http://www.skolenfri.dk/" TargetMode="External" Id="rId2356" /><Relationship Type="http://schemas.openxmlformats.org/officeDocument/2006/relationships/hyperlink" Target="https://www.instagram.com/skolenfri/" TargetMode="External" Id="rId2357" /><Relationship Type="http://schemas.openxmlformats.org/officeDocument/2006/relationships/hyperlink" Target="https://www.linkedin.com/company/77617145" TargetMode="External" Id="rId2358" /><Relationship Type="http://schemas.openxmlformats.org/officeDocument/2006/relationships/hyperlink" Target="https://drive.google.com/uc?export=view&amp;id=1cZFJB9wD_vCk1pSkTLsHiWVtW4_ZvYTd" TargetMode="External" Id="rId2359" /><Relationship Type="http://schemas.openxmlformats.org/officeDocument/2006/relationships/hyperlink" Target="https://allcourses.ie/" TargetMode="External" Id="rId2360" /><Relationship Type="http://schemas.openxmlformats.org/officeDocument/2006/relationships/hyperlink" Target="https://drive.google.com/uc?export=view&amp;id=15Q4zvPfU_0Vq87tD9zJWNfQyKKlir97p" TargetMode="External" Id="rId2361" /><Relationship Type="http://schemas.openxmlformats.org/officeDocument/2006/relationships/hyperlink" Target="http://www.robotemil.com/" TargetMode="External" Id="rId2362" /><Relationship Type="http://schemas.openxmlformats.org/officeDocument/2006/relationships/hyperlink" Target="https://drive.google.com/uc?export=view&amp;id=1Ihn_2r98TvoY226YqSIpj8D3EBCRS4VZ" TargetMode="External" Id="rId2363" /><Relationship Type="http://schemas.openxmlformats.org/officeDocument/2006/relationships/hyperlink" Target="https://grupovertice.com/" TargetMode="External" Id="rId2364" /><Relationship Type="http://schemas.openxmlformats.org/officeDocument/2006/relationships/hyperlink" Target="https://drive.google.com/uc?export=view&amp;id=1mJy8rh0q7nBZlB9qjdMAiLpZbJixleeU" TargetMode="External" Id="rId2365" /><Relationship Type="http://schemas.openxmlformats.org/officeDocument/2006/relationships/hyperlink" Target="https://www.gamoteca.com/" TargetMode="External" Id="rId2366" /><Relationship Type="http://schemas.openxmlformats.org/officeDocument/2006/relationships/hyperlink" Target="https://drive.google.com/uc?export=view&amp;id=1YIY0K40cGnCUUtZ0HtjuShn51_07dz5D" TargetMode="External" Id="rId2367" /><Relationship Type="http://schemas.openxmlformats.org/officeDocument/2006/relationships/hyperlink" Target="https://three-cubes.net/" TargetMode="External" Id="rId2368" /><Relationship Type="http://schemas.openxmlformats.org/officeDocument/2006/relationships/hyperlink" Target="https://www.instagram.com/threecubescompany/" TargetMode="External" Id="rId2369" /><Relationship Type="http://schemas.openxmlformats.org/officeDocument/2006/relationships/hyperlink" Target="https://www.linkedin.com/company/three-cubes/" TargetMode="External" Id="rId2370" /><Relationship Type="http://schemas.openxmlformats.org/officeDocument/2006/relationships/hyperlink" Target="https://drive.google.com/uc?export=view&amp;id=1mmzOosgg2TkNlKmk7kFidY7TZjMHTJNL" TargetMode="External" Id="rId2371" /><Relationship Type="http://schemas.openxmlformats.org/officeDocument/2006/relationships/hyperlink" Target="http://www.timelinefy.com/" TargetMode="External" Id="rId2372" /><Relationship Type="http://schemas.openxmlformats.org/officeDocument/2006/relationships/hyperlink" Target="https://drive.google.com/uc?export=view&amp;id=1ff7ez4UHFj29d0-3cukPQCjUBR309QEp" TargetMode="External" Id="rId2373" /><Relationship Type="http://schemas.openxmlformats.org/officeDocument/2006/relationships/hyperlink" Target="http://www.uniwise.co.uk/" TargetMode="External" Id="rId2374" /><Relationship Type="http://schemas.openxmlformats.org/officeDocument/2006/relationships/hyperlink" Target="https://twitter.com/UNIwiseDK" TargetMode="External" Id="rId2375" /><Relationship Type="http://schemas.openxmlformats.org/officeDocument/2006/relationships/hyperlink" Target="https://www.linkedin.com/company/uniwise-aps/" TargetMode="External" Id="rId2376" /><Relationship Type="http://schemas.openxmlformats.org/officeDocument/2006/relationships/hyperlink" Target="https://drive.google.com/uc?export=view&amp;id=1RVBCyR6pERkc5iarVMl1p5lLI-sQr6I3" TargetMode="External" Id="rId2377" /><Relationship Type="http://schemas.openxmlformats.org/officeDocument/2006/relationships/hyperlink" Target="http://smartcoding.se/" TargetMode="External" Id="rId2378" /><Relationship Type="http://schemas.openxmlformats.org/officeDocument/2006/relationships/hyperlink" Target="https://drive.google.com/uc?export=view&amp;id=1s4hOjStIwnkt_0F89dQIv8a4e4gy3RLi" TargetMode="External" Id="rId2379" /><Relationship Type="http://schemas.openxmlformats.org/officeDocument/2006/relationships/hyperlink" Target="https://nualang.com/" TargetMode="External" Id="rId2380" /><Relationship Type="http://schemas.openxmlformats.org/officeDocument/2006/relationships/hyperlink" Target="https://drive.google.com/uc?export=view&amp;id=1dj0dmjDlliLUhJQUJCyjWPAxFZlp8_Zn" TargetMode="External" Id="rId2381" /><Relationship Type="http://schemas.openxmlformats.org/officeDocument/2006/relationships/hyperlink" Target="https://datorium.eu/" TargetMode="External" Id="rId2382" /><Relationship Type="http://schemas.openxmlformats.org/officeDocument/2006/relationships/hyperlink" Target="https://drive.google.com/uc?export=view&amp;id=1ATH7fBNgzG5jtccR774xWsOpHAYYtFqk" TargetMode="External" Id="rId2383" /><Relationship Type="http://schemas.openxmlformats.org/officeDocument/2006/relationships/hyperlink" Target="http://neotica.net/" TargetMode="External" Id="rId2384" /><Relationship Type="http://schemas.openxmlformats.org/officeDocument/2006/relationships/hyperlink" Target="https://twitter.com/neoticasolution?s=20&amp;t=Ok5IOuFs3PMviPFZ2PDQvQ" TargetMode="External" Id="rId2385" /><Relationship Type="http://schemas.openxmlformats.org/officeDocument/2006/relationships/hyperlink" Target="https://www.linkedin.com/company/neotica-solutions/" TargetMode="External" Id="rId2386" /><Relationship Type="http://schemas.openxmlformats.org/officeDocument/2006/relationships/hyperlink" Target="https://drive.google.com/uc?export=view&amp;id=1FzK_HWgbHCWMc0pGFQ0LefHahvhx2-6v" TargetMode="External" Id="rId2387" /><Relationship Type="http://schemas.openxmlformats.org/officeDocument/2006/relationships/hyperlink" Target="https://synergetics.us/" TargetMode="External" Id="rId2388" /><Relationship Type="http://schemas.openxmlformats.org/officeDocument/2006/relationships/hyperlink" Target="https://drive.google.com/uc?export=view&amp;id=1yN8Yrn7LtfYhqQudK2RC_Q9QESOLmIkJ" TargetMode="External" Id="rId2389" /><Relationship Type="http://schemas.openxmlformats.org/officeDocument/2006/relationships/hyperlink" Target="http://spatium.bg/" TargetMode="External" Id="rId2390" /><Relationship Type="http://schemas.openxmlformats.org/officeDocument/2006/relationships/hyperlink" Target="https://spatium.bg/" TargetMode="External" Id="rId2391" /><Relationship Type="http://schemas.openxmlformats.org/officeDocument/2006/relationships/hyperlink" Target="https://drive.google.com/uc?export=view&amp;id=1kgLR5bh9rN9D5WI8QqgWZhahGMXUGaar" TargetMode="External" Id="rId2392" /><Relationship Type="http://schemas.openxmlformats.org/officeDocument/2006/relationships/hyperlink" Target="https://toptutors.dk/" TargetMode="External" Id="rId2393" /><Relationship Type="http://schemas.openxmlformats.org/officeDocument/2006/relationships/hyperlink" Target="https://drive.google.com/uc?export=view&amp;id=1c_RUpubaZy_QmHPx46iXQhy5rUoL92dJ" TargetMode="External" Id="rId2394" /><Relationship Type="http://schemas.openxmlformats.org/officeDocument/2006/relationships/hyperlink" Target="https://aktivtime.dk/" TargetMode="External" Id="rId2395" /><Relationship Type="http://schemas.openxmlformats.org/officeDocument/2006/relationships/hyperlink" Target="https://www.instagram.com/aktivtime.dk/" TargetMode="External" Id="rId2396" /><Relationship Type="http://schemas.openxmlformats.org/officeDocument/2006/relationships/hyperlink" Target="https://www.linkedin.com/company/aktivtime/" TargetMode="External" Id="rId2397" /><Relationship Type="http://schemas.openxmlformats.org/officeDocument/2006/relationships/hyperlink" Target="http://aktivtime.dk/" TargetMode="External" Id="rId2398" /><Relationship Type="http://schemas.openxmlformats.org/officeDocument/2006/relationships/hyperlink" Target="https://drive.google.com/uc?export=view&amp;id=1pi4VHV5nWHpT34pZO0fytTJQxq8COk0q" TargetMode="External" Id="rId2399" /><Relationship Type="http://schemas.openxmlformats.org/officeDocument/2006/relationships/hyperlink" Target="http://www.jeulin.com/" TargetMode="External" Id="rId2400" /><Relationship Type="http://schemas.openxmlformats.org/officeDocument/2006/relationships/hyperlink" Target="https://twitter.com/Jeulin_fr" TargetMode="External" Id="rId2401" /><Relationship Type="http://schemas.openxmlformats.org/officeDocument/2006/relationships/hyperlink" Target="https://drive.google.com/uc?export=view&amp;id=1FqYCzcmA-BNTHznSnWftxBwydxXdgce1" TargetMode="External" Id="rId2402" /><Relationship Type="http://schemas.openxmlformats.org/officeDocument/2006/relationships/hyperlink" Target="https://beespeaker.com/" TargetMode="External" Id="rId2403" /><Relationship Type="http://schemas.openxmlformats.org/officeDocument/2006/relationships/hyperlink" Target="https://www.instagram.com/beespeakerapp" TargetMode="External" Id="rId2404" /><Relationship Type="http://schemas.openxmlformats.org/officeDocument/2006/relationships/hyperlink" Target="https://www.linkedin.com/company/beespeaker/" TargetMode="External" Id="rId2405" /><Relationship Type="http://schemas.openxmlformats.org/officeDocument/2006/relationships/hyperlink" Target="https://drive.google.com/uc?export=view&amp;id=15IOuQQnvl-ZT9cjW7hRqwiuDbMY6L4st" TargetMode="External" Id="rId2406" /><Relationship Type="http://schemas.openxmlformats.org/officeDocument/2006/relationships/hyperlink" Target="https://www.artologik.com/en/survey-report/solutions/schools-universities" TargetMode="External" Id="rId2407" /><Relationship Type="http://schemas.openxmlformats.org/officeDocument/2006/relationships/hyperlink" Target="https://www.linkedin.com/company/artologik" TargetMode="External" Id="rId2408" /><Relationship Type="http://schemas.openxmlformats.org/officeDocument/2006/relationships/hyperlink" Target="https://drive.google.com/uc?export=view&amp;id=1svAe06Bmq8_eIcLyFaIV2yCER4w-aSw2" TargetMode="External" Id="rId2409" /><Relationship Type="http://schemas.openxmlformats.org/officeDocument/2006/relationships/hyperlink" Target="https://avetica.nl/" TargetMode="External" Id="rId2410" /><Relationship Type="http://schemas.openxmlformats.org/officeDocument/2006/relationships/hyperlink" Target="https://drive.google.com/uc?export=view&amp;id=1e-Ep0bWYs2lPGR4xKiPT9HqvutJayA8o" TargetMode="External" Id="rId2411" /><Relationship Type="http://schemas.openxmlformats.org/officeDocument/2006/relationships/hyperlink" Target="http://www.questakids.com/" TargetMode="External" Id="rId2412" /><Relationship Type="http://schemas.openxmlformats.org/officeDocument/2006/relationships/hyperlink" Target="https://drive.google.com/uc?export=view&amp;id=1klwF-uxPHZzKB5UC-syrd0iZpu66XB06" TargetMode="External" Id="rId2413" /><Relationship Type="http://schemas.openxmlformats.org/officeDocument/2006/relationships/hyperlink" Target="https://unitz.biz/en/" TargetMode="External" Id="rId2414" /><Relationship Type="http://schemas.openxmlformats.org/officeDocument/2006/relationships/hyperlink" Target="https://drive.google.com/uc?export=view&amp;id=1sOPDuWAwgDwEzDsTp2C24jlkxJ--8PTH" TargetMode="External" Id="rId2415" /><Relationship Type="http://schemas.openxmlformats.org/officeDocument/2006/relationships/hyperlink" Target="https://www.vuhackathon.lt/" TargetMode="External" Id="rId2416" /><Relationship Type="http://schemas.openxmlformats.org/officeDocument/2006/relationships/hyperlink" Target="https://drive.google.com/uc?export=view&amp;id=1s9AKJ65DnEN5R8ezeRU2-Rwsow5S84mg" TargetMode="External" Id="rId2417" /><Relationship Type="http://schemas.openxmlformats.org/officeDocument/2006/relationships/hyperlink" Target="https://designingeducationprojectlab.notion.site/" TargetMode="External" Id="rId2418" /><Relationship Type="http://schemas.openxmlformats.org/officeDocument/2006/relationships/hyperlink" Target="https://drive.google.com/uc?export=view&amp;id=1Lh5meoBuGuN7jFEGCkmQNLVVgf5ReHuN" TargetMode="External" Id="rId2419" /><Relationship Type="http://schemas.openxmlformats.org/officeDocument/2006/relationships/hyperlink" Target="https://getsourcer.com/" TargetMode="External" Id="rId2420" /><Relationship Type="http://schemas.openxmlformats.org/officeDocument/2006/relationships/hyperlink" Target="https://www.linkedin.com/company/getsourcer" TargetMode="External" Id="rId2421" /><Relationship Type="http://schemas.openxmlformats.org/officeDocument/2006/relationships/hyperlink" Target="https://drive.google.com/uc?export=view&amp;id=1TlwrCKAKn1Iwb5U1q9tav-XBPir2n1VS" TargetMode="External" Id="rId2422" /><Relationship Type="http://schemas.openxmlformats.org/officeDocument/2006/relationships/hyperlink" Target="https://chunkx.net/" TargetMode="External" Id="rId2423" /><Relationship Type="http://schemas.openxmlformats.org/officeDocument/2006/relationships/hyperlink" Target="https://drive.google.com/uc?export=view&amp;id=1KYncQoy4JP9bbNFEFNqcgXOuMDMnoqEU" TargetMode="External" Id="rId2424" /><Relationship Type="http://schemas.openxmlformats.org/officeDocument/2006/relationships/hyperlink" Target="http://www.solutio.app/" TargetMode="External" Id="rId2425" /><Relationship Type="http://schemas.openxmlformats.org/officeDocument/2006/relationships/hyperlink" Target="https://www.instagram.com/solutio.app" TargetMode="External" Id="rId2426" /><Relationship Type="http://schemas.openxmlformats.org/officeDocument/2006/relationships/hyperlink" Target="https://www.linkedin.com/company/solutio-app/" TargetMode="External" Id="rId2427" /><Relationship Type="http://schemas.openxmlformats.org/officeDocument/2006/relationships/hyperlink" Target="https://drive.google.com/uc?export=view&amp;id=1OI7k7ncHnZSEM4NQe69jWfgTV9E8tQC2" TargetMode="External" Id="rId2428" /><Relationship Type="http://schemas.openxmlformats.org/officeDocument/2006/relationships/hyperlink" Target="https://www.squidll.com/" TargetMode="External" Id="rId2429" /><Relationship Type="http://schemas.openxmlformats.org/officeDocument/2006/relationships/hyperlink" Target="https://www.instagram.com/squidll_languagelearning/" TargetMode="External" Id="rId2430" /><Relationship Type="http://schemas.openxmlformats.org/officeDocument/2006/relationships/hyperlink" Target="https://www.linkedin.com/company/squidll" TargetMode="External" Id="rId2431" /><Relationship Type="http://schemas.openxmlformats.org/officeDocument/2006/relationships/hyperlink" Target="https://drive.google.com/uc?export=view&amp;id=1l1Fkx4JqoycVDfhVajMOaqh0pkImtsM0" TargetMode="External" Id="rId2432" /><Relationship Type="http://schemas.openxmlformats.org/officeDocument/2006/relationships/hyperlink" Target="http://www.bookwidgets.com/" TargetMode="External" Id="rId2433" /><Relationship Type="http://schemas.openxmlformats.org/officeDocument/2006/relationships/hyperlink" Target="https://twitter.com/ibookwidgets" TargetMode="External" Id="rId2434" /><Relationship Type="http://schemas.openxmlformats.org/officeDocument/2006/relationships/hyperlink" Target="https://www.linkedin.com/company/bookwidgets/" TargetMode="External" Id="rId2435" /><Relationship Type="http://schemas.openxmlformats.org/officeDocument/2006/relationships/hyperlink" Target="https://drive.google.com/uc?export=view&amp;id=1vPHJvs5pKCIy1msQFUKEn1CP0ZOjfLVY" TargetMode="External" Id="rId2436" /><Relationship Type="http://schemas.openxmlformats.org/officeDocument/2006/relationships/hyperlink" Target="https://www.danberg.org/" TargetMode="External" Id="rId2437" /><Relationship Type="http://schemas.openxmlformats.org/officeDocument/2006/relationships/hyperlink" Target="https://www.linkedin.com/company/82704373/" TargetMode="External" Id="rId2438" /><Relationship Type="http://schemas.openxmlformats.org/officeDocument/2006/relationships/hyperlink" Target="https://drive.google.com/uc?export=view&amp;id=1aIoPSmLQI1jDjZbZPZfFD-3O0wGIs-Rj" TargetMode="External" Id="rId2439" /><Relationship Type="http://schemas.openxmlformats.org/officeDocument/2006/relationships/hyperlink" Target="https://splended.co/" TargetMode="External" Id="rId2440" /><Relationship Type="http://schemas.openxmlformats.org/officeDocument/2006/relationships/hyperlink" Target="https://drive.google.com/uc?export=view&amp;id=1fC6OGmsfLLIUZAVqd0JYpl6TYWWHTdHb" TargetMode="External" Id="rId2441" /><Relationship Type="http://schemas.openxmlformats.org/officeDocument/2006/relationships/hyperlink" Target="https://www.totalymage.com/" TargetMode="External" Id="rId2442" /><Relationship Type="http://schemas.openxmlformats.org/officeDocument/2006/relationships/hyperlink" Target="https://www.linkedin.com/company/totalymage/" TargetMode="External" Id="rId2443" /><Relationship Type="http://schemas.openxmlformats.org/officeDocument/2006/relationships/hyperlink" Target="https://drive.google.com/uc?export=view&amp;id=1lH1ewN-scErwQ5D4ISMxj-LuCIvbPSI5" TargetMode="External" Id="rId2444" /><Relationship Type="http://schemas.openxmlformats.org/officeDocument/2006/relationships/hyperlink" Target="https://betterstudy.ch/" TargetMode="External" Id="rId2445" /><Relationship Type="http://schemas.openxmlformats.org/officeDocument/2006/relationships/hyperlink" Target="https://www.instagram.com/betterstudy_online_course" TargetMode="External" Id="rId2446" /><Relationship Type="http://schemas.openxmlformats.org/officeDocument/2006/relationships/hyperlink" Target="https://www.linkedin.com/school/betterstudy-cours-en-ligne/" TargetMode="External" Id="rId2447" /><Relationship Type="http://schemas.openxmlformats.org/officeDocument/2006/relationships/hyperlink" Target="https://drive.google.com/uc?export=view&amp;id=153eeYwOMnR9XiUKtTshubB1yRtrXy5zv" TargetMode="External" Id="rId2448" /><Relationship Type="http://schemas.openxmlformats.org/officeDocument/2006/relationships/hyperlink" Target="https://www.tralalere.com/" TargetMode="External" Id="rId2449" /><Relationship Type="http://schemas.openxmlformats.org/officeDocument/2006/relationships/hyperlink" Target="https://www.instagram.com/internetsanscrainte/" TargetMode="External" Id="rId2450" /><Relationship Type="http://schemas.openxmlformats.org/officeDocument/2006/relationships/hyperlink" Target="https://twitter.com/tralalere" TargetMode="External" Id="rId2451" /><Relationship Type="http://schemas.openxmlformats.org/officeDocument/2006/relationships/hyperlink" Target="https://linkedin.com/showcase/tralalere" TargetMode="External" Id="rId2452" /><Relationship Type="http://schemas.openxmlformats.org/officeDocument/2006/relationships/hyperlink" Target="https://drive.google.com/uc?export=view&amp;id=1v82qqWW9-G2zQOb-ebl6_0VEWMR2-Trs" TargetMode="External" Id="rId2453" /><Relationship Type="http://schemas.openxmlformats.org/officeDocument/2006/relationships/hyperlink" Target="http://younichoice.com/" TargetMode="External" Id="rId2454" /><Relationship Type="http://schemas.openxmlformats.org/officeDocument/2006/relationships/hyperlink" Target="https://instagram.com/younichoice?igshid=MzRlODBiNWFlZA==" TargetMode="External" Id="rId2455" /><Relationship Type="http://schemas.openxmlformats.org/officeDocument/2006/relationships/hyperlink" Target="https://www.linkedin.com/company/younichoice" TargetMode="External" Id="rId2456" /><Relationship Type="http://schemas.openxmlformats.org/officeDocument/2006/relationships/hyperlink" Target="https://drive.google.com/uc?export=view&amp;id=1P-OeIhNlALtw_mWRRoqF63w8Darlee_0" TargetMode="External" Id="rId2457" /><Relationship Type="http://schemas.openxmlformats.org/officeDocument/2006/relationships/hyperlink" Target="https://lifeteachus.org/" TargetMode="External" Id="rId2458" /><Relationship Type="http://schemas.openxmlformats.org/officeDocument/2006/relationships/hyperlink" Target="https://drive.google.com/uc?export=view&amp;id=1EgXqwnz-Uen_Iza8AA1gRlpjCkD5zSvW" TargetMode="External" Id="rId2459" /><Relationship Type="http://schemas.openxmlformats.org/officeDocument/2006/relationships/hyperlink" Target="https://www.thing.online/" TargetMode="External" Id="rId2460" /><Relationship Type="http://schemas.openxmlformats.org/officeDocument/2006/relationships/hyperlink" Target="https://drive.google.com/uc?export=view&amp;id=1nsjh1wzdW1WIepT09Jxoiu0WGloOL0We" TargetMode="External" Id="rId2461" /><Relationship Type="http://schemas.openxmlformats.org/officeDocument/2006/relationships/hyperlink" Target="http://www.gility.it/" TargetMode="External" Id="rId2462" /><Relationship Type="http://schemas.openxmlformats.org/officeDocument/2006/relationships/hyperlink" Target="https://www.linkedin.com/company/gility-italia/" TargetMode="External" Id="rId2463" /><Relationship Type="http://schemas.openxmlformats.org/officeDocument/2006/relationships/hyperlink" Target="https://drive.google.com/uc?export=view&amp;id=11F5SD1J0H2Gegp816nHzTfnQhjUuiGU2" TargetMode="External" Id="rId2464" /><Relationship Type="http://schemas.openxmlformats.org/officeDocument/2006/relationships/hyperlink" Target="http://etutee.eu/" TargetMode="External" Id="rId2465" /><Relationship Type="http://schemas.openxmlformats.org/officeDocument/2006/relationships/hyperlink" Target="https://drive.google.com/uc?export=view&amp;id=1QY2kDuDqae0K8W4vr5ifz1-7Zs5qoGh7" TargetMode="External" Id="rId2466" /><Relationship Type="http://schemas.openxmlformats.org/officeDocument/2006/relationships/hyperlink" Target="http://www.edcompass.net/" TargetMode="External" Id="rId2467" /><Relationship Type="http://schemas.openxmlformats.org/officeDocument/2006/relationships/hyperlink" Target="https://drive.google.com/uc?export=view&amp;id=1bQD0qP6x513BjDXMQs71GVHkAXz4oXwQ" TargetMode="External" Id="rId2468" /><Relationship Type="http://schemas.openxmlformats.org/officeDocument/2006/relationships/hyperlink" Target="https://digiscovery.de/" TargetMode="External" Id="rId2469" /><Relationship Type="http://schemas.openxmlformats.org/officeDocument/2006/relationships/hyperlink" Target="https://drive.google.com/uc?export=view&amp;id=1iYfS9PxvLej3mZuLJLo_X1YeLkY84BNe" TargetMode="External" Id="rId2470" /><Relationship Type="http://schemas.openxmlformats.org/officeDocument/2006/relationships/hyperlink" Target="http://www.acceleralia.com/" TargetMode="External" Id="rId2471" /><Relationship Type="http://schemas.openxmlformats.org/officeDocument/2006/relationships/hyperlink" Target="https://drive.google.com/uc?export=view&amp;id=1tFPGwgBx9Y5O9LhRqwdc9Na_NFucrdCs" TargetMode="External" Id="rId2472" /><Relationship Type="http://schemas.openxmlformats.org/officeDocument/2006/relationships/hyperlink" Target="http://www.bidi.one/" TargetMode="External" Id="rId2473" /><Relationship Type="http://schemas.openxmlformats.org/officeDocument/2006/relationships/hyperlink" Target="https://drive.google.com/uc?export=view&amp;id=1U4yjI2otexzgkvLalSVRamXMfm2s8fVO" TargetMode="External" Id="rId2474" /><Relationship Type="http://schemas.openxmlformats.org/officeDocument/2006/relationships/hyperlink" Target="https://www.databooster.io/" TargetMode="External" Id="rId2475" /><Relationship Type="http://schemas.openxmlformats.org/officeDocument/2006/relationships/hyperlink" Target="https://www.linkedin.com/company/data-booster" TargetMode="External" Id="rId2476" /><Relationship Type="http://schemas.openxmlformats.org/officeDocument/2006/relationships/hyperlink" Target="https://drive.google.com/uc?export=view&amp;id=1hxKq_gy7X4i88hHpk9PkL-HZfgDVFPAk" TargetMode="External" Id="rId2477" /><Relationship Type="http://schemas.openxmlformats.org/officeDocument/2006/relationships/hyperlink" Target="http://digiep.com/" TargetMode="External" Id="rId2478" /><Relationship Type="http://schemas.openxmlformats.org/officeDocument/2006/relationships/hyperlink" Target="https://drive.google.com/uc?export=view&amp;id=1DA84O7PM3aTBbui_L9NIFttaWsYRQRuB" TargetMode="External" Id="rId2479" /><Relationship Type="http://schemas.openxmlformats.org/officeDocument/2006/relationships/hyperlink" Target="http://www.eccedu.net/" TargetMode="External" Id="rId2480" /><Relationship Type="http://schemas.openxmlformats.org/officeDocument/2006/relationships/hyperlink" Target="https://drive.google.com/uc?export=view&amp;id=1doh5HeaKMY1-T140TCP40egIw-z1sba9" TargetMode="External" Id="rId2481" /><Relationship Type="http://schemas.openxmlformats.org/officeDocument/2006/relationships/hyperlink" Target="http://www.lektionsakuten.com/" TargetMode="External" Id="rId2482" /><Relationship Type="http://schemas.openxmlformats.org/officeDocument/2006/relationships/hyperlink" Target="http://www.instagram.com/lektionsakuten_sverige" TargetMode="External" Id="rId2483" /><Relationship Type="http://schemas.openxmlformats.org/officeDocument/2006/relationships/hyperlink" Target="https://www.linkedin.com/company/lektionsakuten/" TargetMode="External" Id="rId2484" /><Relationship Type="http://schemas.openxmlformats.org/officeDocument/2006/relationships/hyperlink" Target="https://drive.google.com/uc?export=view&amp;id=175VQOERsSyJ0yPCPlyRlFA21REzdD0ad" TargetMode="External" Id="rId2485" /><Relationship Type="http://schemas.openxmlformats.org/officeDocument/2006/relationships/hyperlink" Target="https://skillbest.com/" TargetMode="External" Id="rId2486" /><Relationship Type="http://schemas.openxmlformats.org/officeDocument/2006/relationships/hyperlink" Target="https://www.linkedin.com/company/skillbest/" TargetMode="External" Id="rId2487" /><Relationship Type="http://schemas.openxmlformats.org/officeDocument/2006/relationships/hyperlink" Target="https://drive.google.com/uc?export=view&amp;id=1Hn3ZnqEZa2Bw3qfxP5c2Kr3SYAZkdmOe" TargetMode="External" Id="rId2488" /><Relationship Type="http://schemas.openxmlformats.org/officeDocument/2006/relationships/hyperlink" Target="https://www.wiseshot.io/" TargetMode="External" Id="rId2489" /><Relationship Type="http://schemas.openxmlformats.org/officeDocument/2006/relationships/hyperlink" Target="https://drive.google.com/uc?export=view&amp;id=123X7fO-nyjH0zdgvZ2zirwR7egkYcXsW" TargetMode="External" Id="rId2490" /><Relationship Type="http://schemas.openxmlformats.org/officeDocument/2006/relationships/hyperlink" Target="http://scorionportfolio.com/" TargetMode="External" Id="rId2491" /><Relationship Type="http://schemas.openxmlformats.org/officeDocument/2006/relationships/hyperlink" Target="https://www.linkedin.com/showcase/scorion-nederland/" TargetMode="External" Id="rId2492" /><Relationship Type="http://schemas.openxmlformats.org/officeDocument/2006/relationships/hyperlink" Target="https://drive.google.com/uc?export=view&amp;id=1REP-C_d6joDzOtJ3t0tg0tkoyHk1rh_Y" TargetMode="External" Id="rId2493" /><Relationship Type="http://schemas.openxmlformats.org/officeDocument/2006/relationships/hyperlink" Target="https://www.growify.de/" TargetMode="External" Id="rId2494" /><Relationship Type="http://schemas.openxmlformats.org/officeDocument/2006/relationships/hyperlink" Target="https://drive.google.com/uc?export=view&amp;id=1Q8NtsauMey7bHakZonsAAiQPemAVU3Gd" TargetMode="External" Id="rId2495" /><Relationship Type="http://schemas.openxmlformats.org/officeDocument/2006/relationships/hyperlink" Target="http://www.doquagroup.com/" TargetMode="External" Id="rId2496" /><Relationship Type="http://schemas.openxmlformats.org/officeDocument/2006/relationships/hyperlink" Target="https://es.linkedin.com/company/doqua" TargetMode="External" Id="rId2497" /><Relationship Type="http://schemas.openxmlformats.org/officeDocument/2006/relationships/hyperlink" Target="https://drive.google.com/uc?export=view&amp;id=1yYT_VWAC63ZZmDc1bQkFfzDXVJudcZj6" TargetMode="External" Id="rId2498" /><Relationship Type="http://schemas.openxmlformats.org/officeDocument/2006/relationships/hyperlink" Target="https://onlinekidsacademy.org/" TargetMode="External" Id="rId2499" /><Relationship Type="http://schemas.openxmlformats.org/officeDocument/2006/relationships/hyperlink" Target="https://drive.google.com/uc?export=view&amp;id=1mPLWBnUGuuxQmVcLFbMi6IpEJvNP0nCg" TargetMode="External" Id="rId2500" /><Relationship Type="http://schemas.openxmlformats.org/officeDocument/2006/relationships/hyperlink" Target="https://www.coursesonline.co.uk/" TargetMode="External" Id="rId2501" /><Relationship Type="http://schemas.openxmlformats.org/officeDocument/2006/relationships/hyperlink" Target="https://drive.google.com/uc?export=view&amp;id=1aS02suLdlUJJPOfa7xXW1WubJLAMHsEl" TargetMode="External" Id="rId2502" /><Relationship Type="http://schemas.openxmlformats.org/officeDocument/2006/relationships/hyperlink" Target="https://www.codum.cc/" TargetMode="External" Id="rId2503" /><Relationship Type="http://schemas.openxmlformats.org/officeDocument/2006/relationships/hyperlink" Target="https://drive.google.com/uc?export=view&amp;id=16VgmG-LhxpKU8UEk-7q3_kjq2Ye6wq-T" TargetMode="External" Id="rId2504" /><Relationship Type="http://schemas.openxmlformats.org/officeDocument/2006/relationships/hyperlink" Target="http://robocode.uk/" TargetMode="External" Id="rId2505" /><Relationship Type="http://schemas.openxmlformats.org/officeDocument/2006/relationships/hyperlink" Target="https://drive.google.com/uc?export=view&amp;id=1Em-Y7aLAXPQRKmo0L6qBJ7U67KuxIZya" TargetMode="External" Id="rId2506" /><Relationship Type="http://schemas.openxmlformats.org/officeDocument/2006/relationships/hyperlink" Target="https://scoolsy.com/" TargetMode="External" Id="rId2507" /><Relationship Type="http://schemas.openxmlformats.org/officeDocument/2006/relationships/hyperlink" Target="https://www.linkedin.com/company/scoolsy" TargetMode="External" Id="rId2508" /><Relationship Type="http://schemas.openxmlformats.org/officeDocument/2006/relationships/hyperlink" Target="https://drive.google.com/uc?export=view&amp;id=1KFPffP8UrrwcWkA2pybECVI3ZfRJ_mBL" TargetMode="External" Id="rId2509" /><Relationship Type="http://schemas.openxmlformats.org/officeDocument/2006/relationships/hyperlink" Target="https://drive.google.com/uc?export=view&amp;id=12We5N84tGGc6F_1TB6b_TdW6liFeBBuf" TargetMode="External" Id="rId2510" /><Relationship Type="http://schemas.openxmlformats.org/officeDocument/2006/relationships/hyperlink" Target="https://radicalhr.it/" TargetMode="External" Id="rId2511" /><Relationship Type="http://schemas.openxmlformats.org/officeDocument/2006/relationships/hyperlink" Target="https://www.instagram.com/radical_hr/" TargetMode="External" Id="rId2512" /><Relationship Type="http://schemas.openxmlformats.org/officeDocument/2006/relationships/hyperlink" Target="https://www.linkedin.com/school/radicalhr/?viewAsMember=true" TargetMode="External" Id="rId2513" /><Relationship Type="http://schemas.openxmlformats.org/officeDocument/2006/relationships/hyperlink" Target="https://drive.google.com/uc?export=view&amp;id=15ywo_F2QF6oy5jvXPf0W5yN_1ihPwwQT" TargetMode="External" Id="rId2514" /><Relationship Type="http://schemas.openxmlformats.org/officeDocument/2006/relationships/hyperlink" Target="https://www.linkedin.com/company/skillstown/" TargetMode="External" Id="rId2515" /><Relationship Type="http://schemas.openxmlformats.org/officeDocument/2006/relationships/hyperlink" Target="https://drive.google.com/uc?export=view&amp;id=1cdFaS1LdnPlz1j8V6gV_2FYEhjsSetf1" TargetMode="External" Id="rId2516" /><Relationship Type="http://schemas.openxmlformats.org/officeDocument/2006/relationships/hyperlink" Target="http://www.studentlink.it/" TargetMode="External" Id="rId2517" /><Relationship Type="http://schemas.openxmlformats.org/officeDocument/2006/relationships/hyperlink" Target="https://www.instagram.com/studentlink_ita/" TargetMode="External" Id="rId2518" /><Relationship Type="http://schemas.openxmlformats.org/officeDocument/2006/relationships/hyperlink" Target="https://www.linkedin.com/company/studentlinkita/?viewAsMember=true" TargetMode="External" Id="rId2519" /><Relationship Type="http://schemas.openxmlformats.org/officeDocument/2006/relationships/hyperlink" Target="https://drive.google.com/uc?export=view&amp;id=1Q_s-CMGEQWUlgcRM2GpSqqCb-EILYK-L" TargetMode="External" Id="rId2520" /><Relationship Type="http://schemas.openxmlformats.org/officeDocument/2006/relationships/hyperlink" Target="http://www.omniscol.com/" TargetMode="External" Id="rId2521" /><Relationship Type="http://schemas.openxmlformats.org/officeDocument/2006/relationships/hyperlink" Target="https://www.instagram.com/omniscol/" TargetMode="External" Id="rId2522" /><Relationship Type="http://schemas.openxmlformats.org/officeDocument/2006/relationships/hyperlink" Target="https://twitter.com/omniscol" TargetMode="External" Id="rId2523" /><Relationship Type="http://schemas.openxmlformats.org/officeDocument/2006/relationships/hyperlink" Target="https://www.linkedin.com/company/omniscol" TargetMode="External" Id="rId2524" /><Relationship Type="http://schemas.openxmlformats.org/officeDocument/2006/relationships/hyperlink" Target="https://drive.google.com/uc?export=view&amp;id=1UmzTkbJ0pht1WtBI2g4ZfTpKn9m__Fgd" TargetMode="External" Id="rId2525" /><Relationship Type="http://schemas.openxmlformats.org/officeDocument/2006/relationships/hyperlink" Target="https://www.minnalearn.com/" TargetMode="External" Id="rId2526" /><Relationship Type="http://schemas.openxmlformats.org/officeDocument/2006/relationships/hyperlink" Target="https://drive.google.com/uc?export=view&amp;id=1LWlcMZcH8IAHVrH__vqdI-qNvyWHZZPd" TargetMode="External" Id="rId2527" /><Relationship Type="http://schemas.openxmlformats.org/officeDocument/2006/relationships/hyperlink" Target="https://www.linkedin.com/company/motivum-games/" TargetMode="External" Id="rId2528" /><Relationship Type="http://schemas.openxmlformats.org/officeDocument/2006/relationships/hyperlink" Target="https://drive.google.com/uc?export=view&amp;id=1YGz0APIElIvSE_Sdt7u6RVXgkTwOW__j" TargetMode="External" Id="rId2529" /><Relationship Type="http://schemas.openxmlformats.org/officeDocument/2006/relationships/hyperlink" Target="http://www.neukurs.com/" TargetMode="External" Id="rId2530" /><Relationship Type="http://schemas.openxmlformats.org/officeDocument/2006/relationships/hyperlink" Target="https://www.instagram.com/neukurs/?hl=de" TargetMode="External" Id="rId2531" /><Relationship Type="http://schemas.openxmlformats.org/officeDocument/2006/relationships/hyperlink" Target="https://www.linkedin.com/company/neukurs/" TargetMode="External" Id="rId2532" /><Relationship Type="http://schemas.openxmlformats.org/officeDocument/2006/relationships/hyperlink" Target="https://drive.google.com/uc?export=view&amp;id=1DX0gooIYeIEei_UM52AtLhBtxUMQC6-4" TargetMode="External" Id="rId2533" /><Relationship Type="http://schemas.openxmlformats.org/officeDocument/2006/relationships/hyperlink" Target="http://allright.com/" TargetMode="External" Id="rId2534" /><Relationship Type="http://schemas.openxmlformats.org/officeDocument/2006/relationships/hyperlink" Target="https://www.tomorrow.university/" TargetMode="External" Id="rId2535" /><Relationship Type="http://schemas.openxmlformats.org/officeDocument/2006/relationships/hyperlink" Target="https://drive.google.com/uc?export=view&amp;id=12MQXfLPoWfWwEsopMf8ey1c-wZ2ZSqF4" TargetMode="External" Id="rId2536" /><Relationship Type="http://schemas.openxmlformats.org/officeDocument/2006/relationships/hyperlink" Target="https://www.azumuta.com/en/how-it-works/learning-management-system/" TargetMode="External" Id="rId2537" /><Relationship Type="http://schemas.openxmlformats.org/officeDocument/2006/relationships/hyperlink" Target="https://www.instagram.com/azumuta" TargetMode="External" Id="rId2538" /><Relationship Type="http://schemas.openxmlformats.org/officeDocument/2006/relationships/hyperlink" Target="https://twitter.com/azumuta" TargetMode="External" Id="rId2539" /><Relationship Type="http://schemas.openxmlformats.org/officeDocument/2006/relationships/hyperlink" Target="https://www.linkedin.com/company/azumuta/" TargetMode="External" Id="rId2540" /><Relationship Type="http://schemas.openxmlformats.org/officeDocument/2006/relationships/hyperlink" Target="https://drive.google.com/uc?export=view&amp;id=1c3pBPGmkOwR9Dk3XSQe7ObvfVehdlli9" TargetMode="External" Id="rId2541" /><Relationship Type="http://schemas.openxmlformats.org/officeDocument/2006/relationships/hyperlink" Target="http://www.learnworlds.com/" TargetMode="External" Id="rId2542" /><Relationship Type="http://schemas.openxmlformats.org/officeDocument/2006/relationships/hyperlink" Target="https://automatus.be/" TargetMode="External" Id="rId2543" /><Relationship Type="http://schemas.openxmlformats.org/officeDocument/2006/relationships/hyperlink" Target="https://www.linkedin.com/company/automatus-edu/" TargetMode="External" Id="rId2544" /><Relationship Type="http://schemas.openxmlformats.org/officeDocument/2006/relationships/hyperlink" Target="https://drive.google.com/uc?export=view&amp;id=1drAXtOuKAjv_fNf8QSXIMGJpttPiRC14" TargetMode="External" Id="rId2545" /><Relationship Type="http://schemas.openxmlformats.org/officeDocument/2006/relationships/hyperlink" Target="http://10academy.org/" TargetMode="External" Id="rId2546" /><Relationship Type="http://schemas.openxmlformats.org/officeDocument/2006/relationships/hyperlink" Target="https://drive.google.com/uc?export=view&amp;id=14Li43vYRdPTZpkMIkjsRDYHF43tWKPzV" TargetMode="External" Id="rId2547" /><Relationship Type="http://schemas.openxmlformats.org/officeDocument/2006/relationships/hyperlink" Target="http://www.aoz.studio/" TargetMode="External" Id="rId2548" /><Relationship Type="http://schemas.openxmlformats.org/officeDocument/2006/relationships/hyperlink" Target="https://www.instagram.com/aozstudioofficial/" TargetMode="External" Id="rId2549" /><Relationship Type="http://schemas.openxmlformats.org/officeDocument/2006/relationships/hyperlink" Target="https://twitter.com/aoz_studio" TargetMode="External" Id="rId2550" /><Relationship Type="http://schemas.openxmlformats.org/officeDocument/2006/relationships/hyperlink" Target="https://www.linkedin.com/company/aoz-studio/" TargetMode="External" Id="rId2551" /><Relationship Type="http://schemas.openxmlformats.org/officeDocument/2006/relationships/hyperlink" Target="https://drive.google.com/uc?export=view&amp;id=15_IB2EPsBeULnDx-NXyD9JZyj8FnQ81L" TargetMode="External" Id="rId2552" /><Relationship Type="http://schemas.openxmlformats.org/officeDocument/2006/relationships/hyperlink" Target="https://didactech.nl/" TargetMode="External" Id="rId2553" /><Relationship Type="http://schemas.openxmlformats.org/officeDocument/2006/relationships/hyperlink" Target="https://www.linkedin.com/company/didactechnl/" TargetMode="External" Id="rId2554" /><Relationship Type="http://schemas.openxmlformats.org/officeDocument/2006/relationships/hyperlink" Target="https://drive.google.com/uc?export=view&amp;id=18wr-j_HvN8uM6ZF_ZIQqDsRM3wwulr6J" TargetMode="External" Id="rId2555" /><Relationship Type="http://schemas.openxmlformats.org/officeDocument/2006/relationships/hyperlink" Target="http://www.01talent.com/" TargetMode="External" Id="rId2556" /><Relationship Type="http://schemas.openxmlformats.org/officeDocument/2006/relationships/hyperlink" Target="https://drive.google.com/uc?export=view&amp;id=1oEcSbcBQHOP5Df81ohvQv1XPasW4uuIb" TargetMode="External" Id="rId2557" /><Relationship Type="http://schemas.openxmlformats.org/officeDocument/2006/relationships/hyperlink" Target="https://www.ist.com/no/" TargetMode="External" Id="rId2558" /><Relationship Type="http://schemas.openxmlformats.org/officeDocument/2006/relationships/hyperlink" Target="https://www.linkedin.com/company/509615/admin/" TargetMode="External" Id="rId2559" /><Relationship Type="http://schemas.openxmlformats.org/officeDocument/2006/relationships/hyperlink" Target="http://thirdroom.org/" TargetMode="External" Id="rId2560" /><Relationship Type="http://schemas.openxmlformats.org/officeDocument/2006/relationships/hyperlink" Target="https://drive.google.com/uc?export=view&amp;id=1eJbX5AmZT7uh0wWV-qK3lhTJ6O1YXhg_" TargetMode="External" Id="rId2561" /><Relationship Type="http://schemas.openxmlformats.org/officeDocument/2006/relationships/hyperlink" Target="https://www.doctoratehub.com/" TargetMode="External" Id="rId2562" /><Relationship Type="http://schemas.openxmlformats.org/officeDocument/2006/relationships/hyperlink" Target="https://drive.google.com/uc?export=view&amp;id=11HsBW9G0izPFfixDKJ_edT_Q2Kg2YEyN" TargetMode="External" Id="rId2563" /><Relationship Type="http://schemas.openxmlformats.org/officeDocument/2006/relationships/hyperlink" Target="http://www.signpost.eu/" TargetMode="External" Id="rId2564" /><Relationship Type="http://schemas.openxmlformats.org/officeDocument/2006/relationships/hyperlink" Target="https://www.linkedin.com/company/1739838/admin/notifications/all/" TargetMode="External" Id="rId2565" /><Relationship Type="http://schemas.openxmlformats.org/officeDocument/2006/relationships/hyperlink" Target="https://drive.google.com/uc?export=view&amp;id=15COuXar2WIG37p919rJuC6Q-l5emfWVA" TargetMode="External" Id="rId2566" /><Relationship Type="http://schemas.openxmlformats.org/officeDocument/2006/relationships/hyperlink" Target="https://www.arduino.cc/education" TargetMode="External" Id="rId2567" /><Relationship Type="http://schemas.openxmlformats.org/officeDocument/2006/relationships/hyperlink" Target="https://drive.google.com/uc?export=view&amp;id=1YMDsleMIZD80Z5fzMbzy1uDV335yitYZ" TargetMode="External" Id="rId2568" /><Relationship Type="http://schemas.openxmlformats.org/officeDocument/2006/relationships/hyperlink" Target="https://foxeducation.com/fr" TargetMode="External" Id="rId2569" /><Relationship Type="http://schemas.openxmlformats.org/officeDocument/2006/relationships/hyperlink" Target="https://www.instagram.com/foxeducation_fr/" TargetMode="External" Id="rId2570" /><Relationship Type="http://schemas.openxmlformats.org/officeDocument/2006/relationships/hyperlink" Target="https://www.linkedin.com/company/foxeducation-france/" TargetMode="External" Id="rId2571" /><Relationship Type="http://schemas.openxmlformats.org/officeDocument/2006/relationships/hyperlink" Target="https://drive.google.com/uc?export=view&amp;id=1q_3SDTgatc_qWNB_MCxUNABrcAe9dBjz" TargetMode="External" Id="rId2572" /><Relationship Type="http://schemas.openxmlformats.org/officeDocument/2006/relationships/hyperlink" Target="http://hpappen.se/" TargetMode="External" Id="rId2573" /><Relationship Type="http://schemas.openxmlformats.org/officeDocument/2006/relationships/hyperlink" Target="https://drive.google.com/uc?export=view&amp;id=1NQnIfzFykDi1DSvhIjBsyUJng4L8bkFI" TargetMode="External" Id="rId2574" /><Relationship Type="http://schemas.openxmlformats.org/officeDocument/2006/relationships/hyperlink" Target="http://www.ml-labs.com/" TargetMode="External" Id="rId2575" /><Relationship Type="http://schemas.openxmlformats.org/officeDocument/2006/relationships/hyperlink" Target="https://drive.google.com/uc?export=view&amp;id=1hQpW_3yEuyVf-D2tWTHeTVB_6ovLHOum" TargetMode="External" Id="rId2576" /><Relationship Type="http://schemas.openxmlformats.org/officeDocument/2006/relationships/hyperlink" Target="https://www.adaptiv.me/" TargetMode="External" Id="rId2577" /><Relationship Type="http://schemas.openxmlformats.org/officeDocument/2006/relationships/hyperlink" Target="https://www.instagram.com/adaptiv.me/" TargetMode="External" Id="rId2578" /><Relationship Type="http://schemas.openxmlformats.org/officeDocument/2006/relationships/hyperlink" Target="https://twitter.com/adaptiv_me" TargetMode="External" Id="rId2579" /><Relationship Type="http://schemas.openxmlformats.org/officeDocument/2006/relationships/hyperlink" Target="https://www.linkedin.com/company/adaptiv-me" TargetMode="External" Id="rId2580" /><Relationship Type="http://schemas.openxmlformats.org/officeDocument/2006/relationships/hyperlink" Target="https://drive.google.com/uc?export=view&amp;id=1ZvKT6Z_QgF3m-ji_Emh35Iw1TWAZW2Sf" TargetMode="External" Id="rId2581" /><Relationship Type="http://schemas.openxmlformats.org/officeDocument/2006/relationships/hyperlink" Target="http://www.capitanpomelo.com/" TargetMode="External" Id="rId2582" /><Relationship Type="http://schemas.openxmlformats.org/officeDocument/2006/relationships/hyperlink" Target="https://www.instagram.com/capitan.pomelo/" TargetMode="External" Id="rId2583" /><Relationship Type="http://schemas.openxmlformats.org/officeDocument/2006/relationships/hyperlink" Target="https://www.linkedin.com/in/sanda-luca-939b32140/" TargetMode="External" Id="rId2584" /><Relationship Type="http://schemas.openxmlformats.org/officeDocument/2006/relationships/hyperlink" Target="https://drive.google.com/uc?export=view&amp;id=1ZxTAqVCIHAu44PZoSP1D462Ebi4Se1Dk" TargetMode="External" Id="rId2585" /><Relationship Type="http://schemas.openxmlformats.org/officeDocument/2006/relationships/hyperlink" Target="http://www.findmyprogramme.com/" TargetMode="External" Id="rId2586" /><Relationship Type="http://schemas.openxmlformats.org/officeDocument/2006/relationships/hyperlink" Target="https://drive.google.com/uc?export=view&amp;id=1slKGj5SF0KLAUM7kFDXa-957HEIIRA4v" TargetMode="External" Id="rId2587" /><Relationship Type="http://schemas.openxmlformats.org/officeDocument/2006/relationships/hyperlink" Target="https://cephalus.ai/" TargetMode="External" Id="rId2588" /><Relationship Type="http://schemas.openxmlformats.org/officeDocument/2006/relationships/hyperlink" Target="https://drive.google.com/uc?export=view&amp;id=1wSOF2Mndr2rYocRVnCbYYchVfD1Wyefa" TargetMode="External" Id="rId2589" /><Relationship Type="http://schemas.openxmlformats.org/officeDocument/2006/relationships/hyperlink" Target="https://drive.google.com/uc?export=view&amp;id=1BT-mXZUoOdNTNUdcbqRuQxQ7oucb1x5m" TargetMode="External" Id="rId2590" /><Relationship Type="http://schemas.openxmlformats.org/officeDocument/2006/relationships/hyperlink" Target="https://open-bootcamp.com/" TargetMode="External" Id="rId2591" /><Relationship Type="http://schemas.openxmlformats.org/officeDocument/2006/relationships/hyperlink" Target="https://drive.google.com/uc?export=view&amp;id=1OD0nv1m3JInncAGQqVek24VRoCr3Y9IC" TargetMode="External" Id="rId2592" /><Relationship Type="http://schemas.openxmlformats.org/officeDocument/2006/relationships/hyperlink" Target="http://getsession.com/" TargetMode="External" Id="rId2593" /><Relationship Type="http://schemas.openxmlformats.org/officeDocument/2006/relationships/hyperlink" Target="http://getsession.com/" TargetMode="External" Id="rId2594" /><Relationship Type="http://schemas.openxmlformats.org/officeDocument/2006/relationships/hyperlink" Target="https://www.linkedin.com/company/71248948" TargetMode="External" Id="rId2595" /><Relationship Type="http://schemas.openxmlformats.org/officeDocument/2006/relationships/hyperlink" Target="https://drive.google.com/uc?export=view&amp;id=1Hl_NLJ_KaoYgkg17U1QrM-0s9NU6ktHx" TargetMode="External" Id="rId2596" /><Relationship Type="http://schemas.openxmlformats.org/officeDocument/2006/relationships/hyperlink" Target="https://digitalizap.com/" TargetMode="External" Id="rId2597" /><Relationship Type="http://schemas.openxmlformats.org/officeDocument/2006/relationships/hyperlink" Target="https://www.instagram.com/digitalizap.es/" TargetMode="External" Id="rId2598" /><Relationship Type="http://schemas.openxmlformats.org/officeDocument/2006/relationships/hyperlink" Target="https://www.linkedin.com/company/digitalizap/" TargetMode="External" Id="rId2599" /><Relationship Type="http://schemas.openxmlformats.org/officeDocument/2006/relationships/hyperlink" Target="https://drive.google.com/uc?export=view&amp;id=1g4v0NOlcnSS4t9hK9U70Mare-6IPIe60" TargetMode="External" Id="rId2600" /><Relationship Type="http://schemas.openxmlformats.org/officeDocument/2006/relationships/hyperlink" Target="https://educ8all.com/" TargetMode="External" Id="rId2601" /><Relationship Type="http://schemas.openxmlformats.org/officeDocument/2006/relationships/hyperlink" Target="https://drive.google.com/uc?export=view&amp;id=1xYuFlZ-0FvLfFf1Y5YII4VUiN-teA6-f" TargetMode="External" Id="rId2602" /><Relationship Type="http://schemas.openxmlformats.org/officeDocument/2006/relationships/hyperlink" Target="https://www.independent-together.com/" TargetMode="External" Id="rId2603" /><Relationship Type="http://schemas.openxmlformats.org/officeDocument/2006/relationships/hyperlink" Target="https://drive.google.com/uc?export=view&amp;id=1PMY6h4jIX_XXvo_ySf4kjH1pKHWXjKR_" TargetMode="External" Id="rId2604" /><Relationship Type="http://schemas.openxmlformats.org/officeDocument/2006/relationships/hyperlink" Target="https://foxeducation.com/es/" TargetMode="External" Id="rId2605" /><Relationship Type="http://schemas.openxmlformats.org/officeDocument/2006/relationships/hyperlink" Target="https://www.instagram.com/foxeducation_es/" TargetMode="External" Id="rId2606" /><Relationship Type="http://schemas.openxmlformats.org/officeDocument/2006/relationships/hyperlink" Target="https://www.linkedin.com/company/foxeducation-espana" TargetMode="External" Id="rId2607" /><Relationship Type="http://schemas.openxmlformats.org/officeDocument/2006/relationships/hyperlink" Target="https://drive.google.com/uc?export=view&amp;id=10jSYGqK0qNd3hBVzcdBQFWbn91Zc8saE" TargetMode="External" Id="rId2608" /><Relationship Type="http://schemas.openxmlformats.org/officeDocument/2006/relationships/hyperlink" Target="https://www.intralineas.com/" TargetMode="External" Id="rId2609" /><Relationship Type="http://schemas.openxmlformats.org/officeDocument/2006/relationships/hyperlink" Target="https://drive.google.com/uc?export=view&amp;id=1T-ztAP3TrpHpfeY97B3FssXt2YiScdrZ" TargetMode="External" Id="rId2610" /><Relationship Type="http://schemas.openxmlformats.org/officeDocument/2006/relationships/hyperlink" Target="https://simpleclub.com/" TargetMode="External" Id="rId2611" /><Relationship Type="http://schemas.openxmlformats.org/officeDocument/2006/relationships/hyperlink" Target="https://drive.google.com/uc?export=view&amp;id=1mJ9OZBMs2DTmrPAlAMZ4KyaoGXGXhv3G" TargetMode="External" Id="rId2612" /><Relationship Type="http://schemas.openxmlformats.org/officeDocument/2006/relationships/hyperlink" Target="https://aequaland.com/" TargetMode="External" Id="rId2613" /><Relationship Type="http://schemas.openxmlformats.org/officeDocument/2006/relationships/hyperlink" Target="https://www.instagram.com/aequaland/" TargetMode="External" Id="rId2614" /><Relationship Type="http://schemas.openxmlformats.org/officeDocument/2006/relationships/hyperlink" Target="https://twitter.com/aequaland" TargetMode="External" Id="rId2615" /><Relationship Type="http://schemas.openxmlformats.org/officeDocument/2006/relationships/hyperlink" Target="https://www.linkedin.com/company/equaland" TargetMode="External" Id="rId2616" /><Relationship Type="http://schemas.openxmlformats.org/officeDocument/2006/relationships/hyperlink" Target="https://drive.google.com/uc?export=view&amp;id=1N5Ty4o3b_NDTZ_bP-Uk2ycUv0WIg1Jd5" TargetMode="External" Id="rId2617" /><Relationship Type="http://schemas.openxmlformats.org/officeDocument/2006/relationships/hyperlink" Target="https://edquip.co/" TargetMode="External" Id="rId2618" /><Relationship Type="http://schemas.openxmlformats.org/officeDocument/2006/relationships/hyperlink" Target="https://drive.google.com/uc?export=view&amp;id=1USL7CzgOEfx-k5YxDIm-OI5zYys5ycCD" TargetMode="External" Id="rId2619" /><Relationship Type="http://schemas.openxmlformats.org/officeDocument/2006/relationships/hyperlink" Target="https://poppinswayne.com/" TargetMode="External" Id="rId2620" /><Relationship Type="http://schemas.openxmlformats.org/officeDocument/2006/relationships/hyperlink" Target="https://drive.google.com/uc?export=view&amp;id=1tMglr_S9dNwP6dZCCB3vdoet_hyvcijE" TargetMode="External" Id="rId2621" /><Relationship Type="http://schemas.openxmlformats.org/officeDocument/2006/relationships/hyperlink" Target="https://www.sharelms.com/" TargetMode="External" Id="rId2622" /><Relationship Type="http://schemas.openxmlformats.org/officeDocument/2006/relationships/hyperlink" Target="https://drive.google.com/uc?export=view&amp;id=1VFsBa-nQCPhfA_JZKlWRG3wvEG59EOIl" TargetMode="External" Id="rId2623" /><Relationship Type="http://schemas.openxmlformats.org/officeDocument/2006/relationships/hyperlink" Target="http://www.veritas.at/" TargetMode="External" Id="rId2624" /><Relationship Type="http://schemas.openxmlformats.org/officeDocument/2006/relationships/hyperlink" Target="https://drive.google.com/uc?export=view&amp;id=1LTMtc24WebgNhkVQ2QEN8BCCgK4tL_dV" TargetMode="External" Id="rId2625" /><Relationship Type="http://schemas.openxmlformats.org/officeDocument/2006/relationships/hyperlink" Target="http://www.mytribel.com/" TargetMode="External" Id="rId2626" /><Relationship Type="http://schemas.openxmlformats.org/officeDocument/2006/relationships/hyperlink" Target="https://www.instagram.com/mytribel/" TargetMode="External" Id="rId2627" /><Relationship Type="http://schemas.openxmlformats.org/officeDocument/2006/relationships/hyperlink" Target="https://twitter.com/mytribel" TargetMode="External" Id="rId2628" /><Relationship Type="http://schemas.openxmlformats.org/officeDocument/2006/relationships/hyperlink" Target="https://www.linkedin.com/company/mytribel/" TargetMode="External" Id="rId2629" /><Relationship Type="http://schemas.openxmlformats.org/officeDocument/2006/relationships/hyperlink" Target="https://drive.google.com/uc?export=view&amp;id=1Sb8xQ6F2UwQGU1XyS5BpxS7vWnJX7ye6" TargetMode="External" Id="rId2630" /><Relationship Type="http://schemas.openxmlformats.org/officeDocument/2006/relationships/hyperlink" Target="http://eskills.ch/" TargetMode="External" Id="rId2631" /><Relationship Type="http://schemas.openxmlformats.org/officeDocument/2006/relationships/hyperlink" Target="http://www.eskills.ch/" TargetMode="External" Id="rId2632" /><Relationship Type="http://schemas.openxmlformats.org/officeDocument/2006/relationships/hyperlink" Target="https://www.linkedin.com/company/eskills-ch/" TargetMode="External" Id="rId2633" /><Relationship Type="http://schemas.openxmlformats.org/officeDocument/2006/relationships/hyperlink" Target="https://drive.google.com/uc?export=view&amp;id=1WWC2109rosuyV4AZjIuexozy9AUr9tjo" TargetMode="External" Id="rId2634" /><Relationship Type="http://schemas.openxmlformats.org/officeDocument/2006/relationships/hyperlink" Target="http://www.headstart.technology/" TargetMode="External" Id="rId2635" /><Relationship Type="http://schemas.openxmlformats.org/officeDocument/2006/relationships/hyperlink" Target="https://drive.google.com/uc?export=view&amp;id=1qjOEOlz_VoTxML5M-t7UjwZTbHgNi195" TargetMode="External" Id="rId2636" /><Relationship Type="http://schemas.openxmlformats.org/officeDocument/2006/relationships/hyperlink" Target="https://hielearning.com/" TargetMode="External" Id="rId2637" /><Relationship Type="http://schemas.openxmlformats.org/officeDocument/2006/relationships/hyperlink" Target="https://drive.google.com/uc?export=view&amp;id=1aYTlUjwC-bAGUDScsQdbRWKeB4WMIwHM" TargetMode="External" Id="rId2638" /><Relationship Type="http://schemas.openxmlformats.org/officeDocument/2006/relationships/hyperlink" Target="https://www.writefull.com/" TargetMode="External" Id="rId2639" /><Relationship Type="http://schemas.openxmlformats.org/officeDocument/2006/relationships/hyperlink" Target="https://drive.google.com/uc?export=view&amp;id=1AyeajYUNfakKsLpSY3MM0t-YfPfLMuaz" TargetMode="External" Id="rId2640" /><Relationship Type="http://schemas.openxmlformats.org/officeDocument/2006/relationships/hyperlink" Target="https://gar.ninja/" TargetMode="External" Id="rId2641" /><Relationship Type="http://schemas.openxmlformats.org/officeDocument/2006/relationships/hyperlink" Target="https://twitter.com/gar_ninja" TargetMode="External" Id="rId2642" /><Relationship Type="http://schemas.openxmlformats.org/officeDocument/2006/relationships/hyperlink" Target="https://www.linkedin.com/company/gar-ninja/" TargetMode="External" Id="rId2643" /><Relationship Type="http://schemas.openxmlformats.org/officeDocument/2006/relationships/hyperlink" Target="https://drive.google.com/uc?export=view&amp;id=1yIBqi5xEOThUapSO6uN0TSBW8CPCNIN2" TargetMode="External" Id="rId2644" /><Relationship Type="http://schemas.openxmlformats.org/officeDocument/2006/relationships/hyperlink" Target="https://www.quarterfall.com/" TargetMode="External" Id="rId2645" /><Relationship Type="http://schemas.openxmlformats.org/officeDocument/2006/relationships/hyperlink" Target="https://www.linkedin.com/company/quarterfall" TargetMode="External" Id="rId2646" /><Relationship Type="http://schemas.openxmlformats.org/officeDocument/2006/relationships/hyperlink" Target="https://drive.google.com/uc?export=view&amp;id=1EYpFOzxS-rRqxa0Qgi7fq4llOIRJboe-" TargetMode="External" Id="rId2647" /><Relationship Type="http://schemas.openxmlformats.org/officeDocument/2006/relationships/hyperlink" Target="https://equalifai.com/" TargetMode="External" Id="rId2648" /><Relationship Type="http://schemas.openxmlformats.org/officeDocument/2006/relationships/hyperlink" Target="https://www.instagram.com/equalifai.ro/" TargetMode="External" Id="rId2649" /><Relationship Type="http://schemas.openxmlformats.org/officeDocument/2006/relationships/hyperlink" Target="https://ro.linkedin.com/company/equalifai" TargetMode="External" Id="rId2650" /><Relationship Type="http://schemas.openxmlformats.org/officeDocument/2006/relationships/hyperlink" Target="https://drive.google.com/uc?export=view&amp;id=1pdNh4NdBID3v8lfHWHLfzAx98_17mnIJ" TargetMode="External" Id="rId2651" /><Relationship Type="http://schemas.openxmlformats.org/officeDocument/2006/relationships/hyperlink" Target="https://codetochange.org/" TargetMode="External" Id="rId2652" /><Relationship Type="http://schemas.openxmlformats.org/officeDocument/2006/relationships/hyperlink" Target="https://drive.google.com/uc?export=view&amp;id=1XB6mtDEvoe3lFMcxEqYI8IXVFljm5bRD" TargetMode="External" Id="rId2653" /><Relationship Type="http://schemas.openxmlformats.org/officeDocument/2006/relationships/hyperlink" Target="http://gofenix.io/" TargetMode="External" Id="rId2654" /><Relationship Type="http://schemas.openxmlformats.org/officeDocument/2006/relationships/hyperlink" Target="https://drive.google.com/uc?export=view&amp;id=1cZItaRMVPLUreEGj4-cOHlV544sCCZ5r" TargetMode="External" Id="rId2655" /><Relationship Type="http://schemas.openxmlformats.org/officeDocument/2006/relationships/hyperlink" Target="https://digitalkidz.school/" TargetMode="External" Id="rId2656" /><Relationship Type="http://schemas.openxmlformats.org/officeDocument/2006/relationships/hyperlink" Target="https://drive.google.com/uc?export=view&amp;id=13ng1Gy2F3FycAh_nAOljjTlIZ974jZwP" TargetMode="External" Id="rId2657" /><Relationship Type="http://schemas.openxmlformats.org/officeDocument/2006/relationships/hyperlink" Target="https://www.millionroads.com/" TargetMode="External" Id="rId2658" /><Relationship Type="http://schemas.openxmlformats.org/officeDocument/2006/relationships/hyperlink" Target="https://drive.google.com/uc?export=view&amp;id=1FLLz6eloWGc0PASWNw0OUkydyJ3N-Zhu" TargetMode="External" Id="rId2659" /><Relationship Type="http://schemas.openxmlformats.org/officeDocument/2006/relationships/hyperlink" Target="https://www.matific.com/es/es/home/" TargetMode="External" Id="rId2660" /><Relationship Type="http://schemas.openxmlformats.org/officeDocument/2006/relationships/hyperlink" Target="https://drive.google.com/uc?export=view&amp;id=19bxGe1V5ozPDxqE-YccVuk9jK0QFNLYF" TargetMode="External" Id="rId2661" /><Relationship Type="http://schemas.openxmlformats.org/officeDocument/2006/relationships/hyperlink" Target="https://formacion.ninja/" TargetMode="External" Id="rId2662" /><Relationship Type="http://schemas.openxmlformats.org/officeDocument/2006/relationships/hyperlink" Target="https://www.instagram.com/formacion.ninja/" TargetMode="External" Id="rId2663" /><Relationship Type="http://schemas.openxmlformats.org/officeDocument/2006/relationships/hyperlink" Target="https://twitter.com/FormacionNinja" TargetMode="External" Id="rId2664" /><Relationship Type="http://schemas.openxmlformats.org/officeDocument/2006/relationships/hyperlink" Target="https://www.linkedin.com/company/formacionninja/" TargetMode="External" Id="rId2665" /><Relationship Type="http://schemas.openxmlformats.org/officeDocument/2006/relationships/hyperlink" Target="https://drive.google.com/uc?export=view&amp;id=1pIP0FW4HcJazFElBq996xDg5VGtEIa1o" TargetMode="External" Id="rId2666" /><Relationship Type="http://schemas.openxmlformats.org/officeDocument/2006/relationships/hyperlink" Target="https://ligaderroboter.de/" TargetMode="External" Id="rId2667" /><Relationship Type="http://schemas.openxmlformats.org/officeDocument/2006/relationships/hyperlink" Target="https://opo.land/" TargetMode="External" Id="rId2668" /><Relationship Type="http://schemas.openxmlformats.org/officeDocument/2006/relationships/hyperlink" Target="https://www.instagram.com/opoland_es/" TargetMode="External" Id="rId2669" /><Relationship Type="http://schemas.openxmlformats.org/officeDocument/2006/relationships/hyperlink" Target="https://twitter.com/opoland_es" TargetMode="External" Id="rId2670" /><Relationship Type="http://schemas.openxmlformats.org/officeDocument/2006/relationships/hyperlink" Target="https://www.linkedin.com/company/opo-land" TargetMode="External" Id="rId2671" /><Relationship Type="http://schemas.openxmlformats.org/officeDocument/2006/relationships/hyperlink" Target="https://drive.google.com/uc?export=view&amp;id=1X3PDtnknD38ocVPvzQ2zk1I2mVJL8FLo" TargetMode="External" Id="rId2672" /><Relationship Type="http://schemas.openxmlformats.org/officeDocument/2006/relationships/hyperlink" Target="https://cabri.com/" TargetMode="External" Id="rId2673" /><Relationship Type="http://schemas.openxmlformats.org/officeDocument/2006/relationships/hyperlink" Target="https://www.instagram.com/cabrilog_/" TargetMode="External" Id="rId2674" /><Relationship Type="http://schemas.openxmlformats.org/officeDocument/2006/relationships/hyperlink" Target="https://twitter.com/Cabrilog" TargetMode="External" Id="rId2675" /><Relationship Type="http://schemas.openxmlformats.org/officeDocument/2006/relationships/hyperlink" Target="https://www.linkedin.com/company/cabrilog/" TargetMode="External" Id="rId2676" /><Relationship Type="http://schemas.openxmlformats.org/officeDocument/2006/relationships/hyperlink" Target="https://drive.google.com/uc?export=view&amp;id=1V6uKeA9mVE_k9VmSUWddHTq_byGZF2NA" TargetMode="External" Id="rId2677" /><Relationship Type="http://schemas.openxmlformats.org/officeDocument/2006/relationships/hyperlink" Target="https://nuadu.com/" TargetMode="External" Id="rId2678" /><Relationship Type="http://schemas.openxmlformats.org/officeDocument/2006/relationships/hyperlink" Target="https://drive.google.com/uc?export=view&amp;id=1vE3zxoXfaxMQZm3zTZWZaEOXVmGV9ksp" TargetMode="External" Id="rId2679" /><Relationship Type="http://schemas.openxmlformats.org/officeDocument/2006/relationships/hyperlink" Target="http://www.digitallatam.com/" TargetMode="External" Id="rId2680" /><Relationship Type="http://schemas.openxmlformats.org/officeDocument/2006/relationships/hyperlink" Target="https://drive.google.com/uc?export=view&amp;id=1tbJjEwJwD_IAsCio2updvtJgsvJdbQLz" TargetMode="External" Id="rId2681" /><Relationship Type="http://schemas.openxmlformats.org/officeDocument/2006/relationships/hyperlink" Target="https://www.ironhack.com/en" TargetMode="External" Id="rId2682" /><Relationship Type="http://schemas.openxmlformats.org/officeDocument/2006/relationships/hyperlink" Target="https://drive.google.com/uc?export=view&amp;id=11c_KEW7kPmFpXxFE5mXfU9exo2Rgl34f" TargetMode="External" Id="rId2683" /><Relationship Type="http://schemas.openxmlformats.org/officeDocument/2006/relationships/hyperlink" Target="https://www.readyeducation.com/" TargetMode="External" Id="rId2684" /><Relationship Type="http://schemas.openxmlformats.org/officeDocument/2006/relationships/hyperlink" Target="https://twitter.com/ReadyEducation" TargetMode="External" Id="rId2685" /><Relationship Type="http://schemas.openxmlformats.org/officeDocument/2006/relationships/hyperlink" Target="https://www.linkedin.com/company/ready-education" TargetMode="External" Id="rId2686" /><Relationship Type="http://schemas.openxmlformats.org/officeDocument/2006/relationships/hyperlink" Target="https://drive.google.com/uc?export=view&amp;id=1k9DzdXfLWVxVMZOIGMd2FQKY3MxSLEvu" TargetMode="External" Id="rId2687" /><Relationship Type="http://schemas.openxmlformats.org/officeDocument/2006/relationships/hyperlink" Target="https://www.altissia.org/" TargetMode="External" Id="rId2688" /><Relationship Type="http://schemas.openxmlformats.org/officeDocument/2006/relationships/hyperlink" Target="https://twitter.com/Altissia" TargetMode="External" Id="rId2689" /><Relationship Type="http://schemas.openxmlformats.org/officeDocument/2006/relationships/hyperlink" Target="https://www.linkedin.com/company/altissia/" TargetMode="External" Id="rId2690" /><Relationship Type="http://schemas.openxmlformats.org/officeDocument/2006/relationships/hyperlink" Target="https://drive.google.com/uc?export=view&amp;id=19_AokzBOZUAKkW6Sbf6XKuY4WIG0uppG" TargetMode="External" Id="rId2691" /><Relationship Type="http://schemas.openxmlformats.org/officeDocument/2006/relationships/hyperlink" Target="https://www.cantoo.fr/" TargetMode="External" Id="rId2692" /><Relationship Type="http://schemas.openxmlformats.org/officeDocument/2006/relationships/hyperlink" Target="https://drive.google.com/uc?export=view&amp;id=1ZwrHCsWAKzqlVcCSkMIMXdFWbsQBFtEf" TargetMode="External" Id="rId2693" /><Relationship Type="http://schemas.openxmlformats.org/officeDocument/2006/relationships/hyperlink" Target="http://www.mozaweb.com/" TargetMode="External" Id="rId2694" /><Relationship Type="http://schemas.openxmlformats.org/officeDocument/2006/relationships/hyperlink" Target="https://drive.google.com/uc?export=view&amp;id=1wje3Qp5PKzXTlM-zF5X3f-wWO8IkiuES" TargetMode="External" Id="rId2695" /><Relationship Type="http://schemas.openxmlformats.org/officeDocument/2006/relationships/hyperlink" Target="http://spearcareer.org/" TargetMode="External" Id="rId2696" /><Relationship Type="http://schemas.openxmlformats.org/officeDocument/2006/relationships/hyperlink" Target="http://www.spearcareer.org/" TargetMode="External" Id="rId2697" /><Relationship Type="http://schemas.openxmlformats.org/officeDocument/2006/relationships/hyperlink" Target="https://drive.google.com/uc?export=view&amp;id=1cuYdp6j5W5o1I3pGvGpNc3ZUp9ElXoly" TargetMode="External" Id="rId2698" /><Relationship Type="http://schemas.openxmlformats.org/officeDocument/2006/relationships/hyperlink" Target="https://zcooly.se/" TargetMode="External" Id="rId2699" /><Relationship Type="http://schemas.openxmlformats.org/officeDocument/2006/relationships/hyperlink" Target="http://instagram.com/zcooly" TargetMode="External" Id="rId2700" /><Relationship Type="http://schemas.openxmlformats.org/officeDocument/2006/relationships/hyperlink" Target="https://drive.google.com/uc?export=view&amp;id=1DAYKfW4i6Vu26fOPJ8eLVY-wOP-KyMXa" TargetMode="External" Id="rId2701" /><Relationship Type="http://schemas.openxmlformats.org/officeDocument/2006/relationships/hyperlink" Target="https://www.eduneon.de/" TargetMode="External" Id="rId2702" /><Relationship Type="http://schemas.openxmlformats.org/officeDocument/2006/relationships/hyperlink" Target="https://drive.google.com/uc?export=view&amp;id=1eI0RhO3i792ytEgC2GiKMEcICeOQqw6R" TargetMode="External" Id="rId2703" /><Relationship Type="http://schemas.openxmlformats.org/officeDocument/2006/relationships/hyperlink" Target="https://www.enkeleksamen.no/" TargetMode="External" Id="rId2704" /><Relationship Type="http://schemas.openxmlformats.org/officeDocument/2006/relationships/hyperlink" Target="https://www.instagram.com/enkeleksamen.no/" TargetMode="External" Id="rId2705" /><Relationship Type="http://schemas.openxmlformats.org/officeDocument/2006/relationships/hyperlink" Target="https://www.linkedin.com/company/enkeleksamen/" TargetMode="External" Id="rId2706" /><Relationship Type="http://schemas.openxmlformats.org/officeDocument/2006/relationships/hyperlink" Target="https://drive.google.com/uc?export=view&amp;id=14cH94E6EP642ChVg3kCQbfLX61xby-Pt" TargetMode="External" Id="rId2707" /><Relationship Type="http://schemas.openxmlformats.org/officeDocument/2006/relationships/hyperlink" Target="http://futureready.no/" TargetMode="External" Id="rId2708" /><Relationship Type="http://schemas.openxmlformats.org/officeDocument/2006/relationships/hyperlink" Target="https://drive.google.com/uc?export=view&amp;id=1GaZ5_9j7i_FcOTfMdIlEVCYrMowCRKe2" TargetMode="External" Id="rId2709" /><Relationship Type="http://schemas.openxmlformats.org/officeDocument/2006/relationships/hyperlink" Target="https://laerit.dk/" TargetMode="External" Id="rId2710" /><Relationship Type="http://schemas.openxmlformats.org/officeDocument/2006/relationships/hyperlink" Target="https://drive.google.com/uc?export=view&amp;id=12Mh4UW-MRSu98-6sFNkZjAUcY-l6o0Ex" TargetMode="External" Id="rId2711" /><Relationship Type="http://schemas.openxmlformats.org/officeDocument/2006/relationships/hyperlink" Target="http://www.studytogether.com/" TargetMode="External" Id="rId2712" /><Relationship Type="http://schemas.openxmlformats.org/officeDocument/2006/relationships/hyperlink" Target="https://drive.google.com/uc?export=view&amp;id=1ThSGw85y5wFDVZh-pSvRGJcj8W4o9mWM" TargetMode="External" Id="rId2713" /><Relationship Type="http://schemas.openxmlformats.org/officeDocument/2006/relationships/hyperlink" Target="https://www.tuudo.fi/" TargetMode="External" Id="rId2714" /><Relationship Type="http://schemas.openxmlformats.org/officeDocument/2006/relationships/hyperlink" Target="https://www.instagram.com/tuudoapp/?hl=fi" TargetMode="External" Id="rId2715" /><Relationship Type="http://schemas.openxmlformats.org/officeDocument/2006/relationships/hyperlink" Target="https://twitter.com/tuudo_app?lang=fi" TargetMode="External" Id="rId2716" /><Relationship Type="http://schemas.openxmlformats.org/officeDocument/2006/relationships/hyperlink" Target="https://www.linkedin.com/company/tuudo/" TargetMode="External" Id="rId2717" /><Relationship Type="http://schemas.openxmlformats.org/officeDocument/2006/relationships/hyperlink" Target="https://drive.google.com/uc?export=view&amp;id=1cQJGR9_vGsoMLfncnbMI9zLCxkaARBX2" TargetMode="External" Id="rId2718" /><Relationship Type="http://schemas.openxmlformats.org/officeDocument/2006/relationships/hyperlink" Target="https://www.allaitementpourtous.com/" TargetMode="External" Id="rId2719" /><Relationship Type="http://schemas.openxmlformats.org/officeDocument/2006/relationships/hyperlink" Target="https://www.instagram.com/yongecharlotte/?hl=fr" TargetMode="External" Id="rId2720" /><Relationship Type="http://schemas.openxmlformats.org/officeDocument/2006/relationships/hyperlink" Target="https://www.linkedin.com/in/charlotteyonge/?originalSubdomain=fr" TargetMode="External" Id="rId2721" /><Relationship Type="http://schemas.openxmlformats.org/officeDocument/2006/relationships/hyperlink" Target="https://drive.google.com/uc?export=view&amp;id=1EVtU8Bo_08vPAfmzHNYM1NI3f4xZ6L1X" TargetMode="External" Id="rId2722" /><Relationship Type="http://schemas.openxmlformats.org/officeDocument/2006/relationships/hyperlink" Target="http://www.clic-campus.fr/" TargetMode="External" Id="rId2723" /><Relationship Type="http://schemas.openxmlformats.org/officeDocument/2006/relationships/hyperlink" Target="https://www.linkedin.com/company/71545098/admin/" TargetMode="External" Id="rId2724" /><Relationship Type="http://schemas.openxmlformats.org/officeDocument/2006/relationships/hyperlink" Target="https://drive.google.com/uc?export=view&amp;id=1f0biwlJinANNaZhIl_lKLYoA_KkEFSMQ" TargetMode="External" Id="rId2725" /><Relationship Type="http://schemas.openxmlformats.org/officeDocument/2006/relationships/hyperlink" Target="https://schools.by/" TargetMode="External" Id="rId2726" /><Relationship Type="http://schemas.openxmlformats.org/officeDocument/2006/relationships/hyperlink" Target="https://drive.google.com/uc?export=view&amp;id=18oqMsNnfnUyHAooOaQh0tTTymZutVUxM" TargetMode="External" Id="rId2727" /><Relationship Type="http://schemas.openxmlformats.org/officeDocument/2006/relationships/hyperlink" Target="https://unschooler.me/" TargetMode="External" Id="rId2728" /><Relationship Type="http://schemas.openxmlformats.org/officeDocument/2006/relationships/hyperlink" Target="https://www.instagram.com/unschooler_en/" TargetMode="External" Id="rId2729" /><Relationship Type="http://schemas.openxmlformats.org/officeDocument/2006/relationships/hyperlink" Target="https://twitter.com/unschooler_me" TargetMode="External" Id="rId2730" /><Relationship Type="http://schemas.openxmlformats.org/officeDocument/2006/relationships/hyperlink" Target="https://www.linkedin.com/company/69407492/admin/" TargetMode="External" Id="rId2731" /><Relationship Type="http://schemas.openxmlformats.org/officeDocument/2006/relationships/hyperlink" Target="https://drive.google.com/uc?export=view&amp;id=14u08dmQm9LLJ2hvlOzs-I10rM0W8i0gz" TargetMode="External" Id="rId2732" /><Relationship Type="http://schemas.openxmlformats.org/officeDocument/2006/relationships/hyperlink" Target="http://www.aonia.es/" TargetMode="External" Id="rId2733" /><Relationship Type="http://schemas.openxmlformats.org/officeDocument/2006/relationships/hyperlink" Target="http://besolver.io/" TargetMode="External" Id="rId2734" /><Relationship Type="http://schemas.openxmlformats.org/officeDocument/2006/relationships/hyperlink" Target="https://drive.google.com/uc?export=view&amp;id=1Dlxh2oZGh0bAo2cgbDtE1EC-hgpDy671" TargetMode="External" Id="rId2735" /><Relationship Type="http://schemas.openxmlformats.org/officeDocument/2006/relationships/hyperlink" Target="https://cybeerly.com/" TargetMode="External" Id="rId2736" /><Relationship Type="http://schemas.openxmlformats.org/officeDocument/2006/relationships/hyperlink" Target="https://drive.google.com/uc?export=view&amp;id=1jyM6AWb4T_JqkyUH9dIz6Cx8872G1kqV" TargetMode="External" Id="rId2737" /><Relationship Type="http://schemas.openxmlformats.org/officeDocument/2006/relationships/hyperlink" Target="https://www.etsglobal.org/" TargetMode="External" Id="rId2738" /><Relationship Type="http://schemas.openxmlformats.org/officeDocument/2006/relationships/hyperlink" Target="https://twitter.com/ETSGlobal" TargetMode="External" Id="rId2739" /><Relationship Type="http://schemas.openxmlformats.org/officeDocument/2006/relationships/hyperlink" Target="https://fr.linkedin.com/company/ets-global" TargetMode="External" Id="rId2740" /><Relationship Type="http://schemas.openxmlformats.org/officeDocument/2006/relationships/hyperlink" Target="https://drive.google.com/uc?export=view&amp;id=18GM1R_idr4ybNaNOmn5WWE6jKVrKgi6-" TargetMode="External" Id="rId2741" /><Relationship Type="http://schemas.openxmlformats.org/officeDocument/2006/relationships/hyperlink" Target="https://www.intrepid-stars.club/" TargetMode="External" Id="rId2742" /><Relationship Type="http://schemas.openxmlformats.org/officeDocument/2006/relationships/hyperlink" Target="https://drive.google.com/uc?export=view&amp;id=1Mw8diKUFkYVJ33WWDPU1J5AM7Q9fRVXB" TargetMode="External" Id="rId2743" /><Relationship Type="http://schemas.openxmlformats.org/officeDocument/2006/relationships/hyperlink" Target="http://www.learningtour.nl/" TargetMode="External" Id="rId2744" /><Relationship Type="http://schemas.openxmlformats.org/officeDocument/2006/relationships/hyperlink" Target="https://www.linkedin.com/company/learningtour" TargetMode="External" Id="rId2745" /><Relationship Type="http://schemas.openxmlformats.org/officeDocument/2006/relationships/hyperlink" Target="https://drive.google.com/uc?export=view&amp;id=1TsDz-8LIchFQs71vbcFg_tanRPwU06q1" TargetMode="External" Id="rId2746" /><Relationship Type="http://schemas.openxmlformats.org/officeDocument/2006/relationships/hyperlink" Target="http://www.brainix.org/" TargetMode="External" Id="rId2747" /><Relationship Type="http://schemas.openxmlformats.org/officeDocument/2006/relationships/hyperlink" Target="https://drive.google.com/uc?export=view&amp;id=1vkhIfbLJO8zK4C-O9jo3nalaFb-1dIsL" TargetMode="External" Id="rId2748" /><Relationship Type="http://schemas.openxmlformats.org/officeDocument/2006/relationships/hyperlink" Target="http://www.fuzu.com/" TargetMode="External" Id="rId2749" /><Relationship Type="http://schemas.openxmlformats.org/officeDocument/2006/relationships/hyperlink" Target="https://www.instagram.com/fuzukenya/" TargetMode="External" Id="rId2750" /><Relationship Type="http://schemas.openxmlformats.org/officeDocument/2006/relationships/hyperlink" Target="https://twitter.com/fuzukenya" TargetMode="External" Id="rId2751" /><Relationship Type="http://schemas.openxmlformats.org/officeDocument/2006/relationships/hyperlink" Target="https://www.linkedin.com/company/5007486/admin/" TargetMode="External" Id="rId2752" /><Relationship Type="http://schemas.openxmlformats.org/officeDocument/2006/relationships/hyperlink" Target="https://drive.google.com/uc?export=view&amp;id=1YopbASnpX36MiOheo8pUbw3_nIp8DMjI" TargetMode="External" Id="rId2753" /><Relationship Type="http://schemas.openxmlformats.org/officeDocument/2006/relationships/hyperlink" Target="https://www.hackworthltd.uk/" TargetMode="External" Id="rId2754" /><Relationship Type="http://schemas.openxmlformats.org/officeDocument/2006/relationships/hyperlink" Target="https://drive.google.com/uc?export=view&amp;id=1UF6XJB1eKv2ddV2ioGaCzgesILIZ11rF" TargetMode="External" Id="rId2755" /><Relationship Type="http://schemas.openxmlformats.org/officeDocument/2006/relationships/hyperlink" Target="https://studyflow.nl/" TargetMode="External" Id="rId2756" /><Relationship Type="http://schemas.openxmlformats.org/officeDocument/2006/relationships/hyperlink" Target="https://drive.google.com/uc?export=view&amp;id=1Jap9sCQQreLhMgsDrM9zbr11yG4yvJDC" TargetMode="External" Id="rId2757" /><Relationship Type="http://schemas.openxmlformats.org/officeDocument/2006/relationships/hyperlink" Target="http://www.tinqwise.com/" TargetMode="External" Id="rId2758" /><Relationship Type="http://schemas.openxmlformats.org/officeDocument/2006/relationships/hyperlink" Target="https://drive.google.com/uc?export=view&amp;id=1dXdhCEfUM0FGhnoYSUIT1H7-1d0-CWMa" TargetMode="External" Id="rId2759" /><Relationship Type="http://schemas.openxmlformats.org/officeDocument/2006/relationships/hyperlink" Target="http://www.c-learning.net/" TargetMode="External" Id="rId2760" /><Relationship Type="http://schemas.openxmlformats.org/officeDocument/2006/relationships/hyperlink" Target="https://www.linkedin.com/company/18752801" TargetMode="External" Id="rId2761" /><Relationship Type="http://schemas.openxmlformats.org/officeDocument/2006/relationships/hyperlink" Target="https://drive.google.com/uc?export=view&amp;id=1ZSQl1WN1mPJB9s3Wb3N0WRe1fFoOp4dh" TargetMode="External" Id="rId2762" /><Relationship Type="http://schemas.openxmlformats.org/officeDocument/2006/relationships/hyperlink" Target="https://daxap.no/" TargetMode="External" Id="rId2763" /><Relationship Type="http://schemas.openxmlformats.org/officeDocument/2006/relationships/hyperlink" Target="http://www.drieam.com/" TargetMode="External" Id="rId2764" /><Relationship Type="http://schemas.openxmlformats.org/officeDocument/2006/relationships/hyperlink" Target="https://twitter.com/drieamon?lang=de" TargetMode="External" Id="rId2765" /><Relationship Type="http://schemas.openxmlformats.org/officeDocument/2006/relationships/hyperlink" Target="https://www.linkedin.com/company/drieam/" TargetMode="External" Id="rId2766" /><Relationship Type="http://schemas.openxmlformats.org/officeDocument/2006/relationships/hyperlink" Target="https://drive.google.com/uc?export=view&amp;id=1URlK7vfUsHHbd1O0v7mNpTkAKtCIdyru" TargetMode="External" Id="rId2767" /><Relationship Type="http://schemas.openxmlformats.org/officeDocument/2006/relationships/hyperlink" Target="http://www.prowise.com/" TargetMode="External" Id="rId2768" /><Relationship Type="http://schemas.openxmlformats.org/officeDocument/2006/relationships/hyperlink" Target="https://drive.google.com/uc?export=view&amp;id=1syJzcUP07HK5muKYKGf2KUpW8PDoHgin" TargetMode="External" Id="rId2769" /><Relationship Type="http://schemas.openxmlformats.org/officeDocument/2006/relationships/hyperlink" Target="https://znaj.by/" TargetMode="External" Id="rId2770" /><Relationship Type="http://schemas.openxmlformats.org/officeDocument/2006/relationships/hyperlink" Target="https://drive.google.com/uc?export=view&amp;id=1qKmpOh0qz5tB8e-DCGOQ830A5Rp3zV7G" TargetMode="External" Id="rId2771" /><Relationship Type="http://schemas.openxmlformats.org/officeDocument/2006/relationships/hyperlink" Target="https://alcor.academy/" TargetMode="External" Id="rId2772" /><Relationship Type="http://schemas.openxmlformats.org/officeDocument/2006/relationships/hyperlink" Target="https://drive.google.com/uc?export=view&amp;id=1FphPkwShRm_z-PDB1y0brdwi2wIyzR26" TargetMode="External" Id="rId2773" /><Relationship Type="http://schemas.openxmlformats.org/officeDocument/2006/relationships/hyperlink" Target="http://www.arketiks.com/" TargetMode="External" Id="rId2774" /><Relationship Type="http://schemas.openxmlformats.org/officeDocument/2006/relationships/hyperlink" Target="https://www.linkedin.com/company/arketiks" TargetMode="External" Id="rId2775" /><Relationship Type="http://schemas.openxmlformats.org/officeDocument/2006/relationships/hyperlink" Target="https://drive.google.com/uc?export=view&amp;id=1kZZsy8C0Rbs5Bv52cDwmgrXGYb8w6N5f" TargetMode="External" Id="rId2776" /><Relationship Type="http://schemas.openxmlformats.org/officeDocument/2006/relationships/hyperlink" Target="http://www.artcat.dk/" TargetMode="External" Id="rId2777" /><Relationship Type="http://schemas.openxmlformats.org/officeDocument/2006/relationships/hyperlink" Target="https://www.instagram.com/artcat_dk/?hl=da" TargetMode="External" Id="rId2778" /><Relationship Type="http://schemas.openxmlformats.org/officeDocument/2006/relationships/hyperlink" Target="https://www.linkedin.com/company/artcat-aps" TargetMode="External" Id="rId2779" /><Relationship Type="http://schemas.openxmlformats.org/officeDocument/2006/relationships/hyperlink" Target="https://drive.google.com/uc?export=view&amp;id=1SYhVXDo9Q0dTVbd95Z0Ue9IcgOVnbSoE" TargetMode="External" Id="rId2780" /><Relationship Type="http://schemas.openxmlformats.org/officeDocument/2006/relationships/hyperlink" Target="https://www.ascendia.ro/" TargetMode="External" Id="rId2781" /><Relationship Type="http://schemas.openxmlformats.org/officeDocument/2006/relationships/hyperlink" Target="https://drive.google.com/uc?export=view&amp;id=1R9mfV5J39CnlVSUMk3iZn0z_pKyIsK4G" TargetMode="External" Id="rId2782" /><Relationship Type="http://schemas.openxmlformats.org/officeDocument/2006/relationships/hyperlink" Target="http://www.lmfnetwork.com/" TargetMode="External" Id="rId2783" /><Relationship Type="http://schemas.openxmlformats.org/officeDocument/2006/relationships/hyperlink" Target="https://drive.google.com/uc?export=view&amp;id=1XwCkNbP9z7ICAC_eIw5xZbJH099BXy__" TargetMode="External" Id="rId2784" /><Relationship Type="http://schemas.openxmlformats.org/officeDocument/2006/relationships/hyperlink" Target="http://www.123kid.org/" TargetMode="External" Id="rId2785" /><Relationship Type="http://schemas.openxmlformats.org/officeDocument/2006/relationships/hyperlink" Target="https://www.instagram.com/123kid.club/" TargetMode="External" Id="rId2786" /><Relationship Type="http://schemas.openxmlformats.org/officeDocument/2006/relationships/hyperlink" Target="https://www.linkedin.com/company/123kid/?viewAsMember=true" TargetMode="External" Id="rId2787" /><Relationship Type="http://schemas.openxmlformats.org/officeDocument/2006/relationships/hyperlink" Target="https://drive.google.com/uc?export=view&amp;id=1DJkAf2MqVdnY90t_aXGH3rz4GdM-Jivd" TargetMode="External" Id="rId2788" /><Relationship Type="http://schemas.openxmlformats.org/officeDocument/2006/relationships/hyperlink" Target="http://www.e-numeracy.com/" TargetMode="External" Id="rId2789" /><Relationship Type="http://schemas.openxmlformats.org/officeDocument/2006/relationships/hyperlink" Target="https://drive.google.com/uc?export=view&amp;id=1plqw43FIAqOA6QGvhY_2jkc6s5q7BOG5" TargetMode="External" Id="rId2790" /><Relationship Type="http://schemas.openxmlformats.org/officeDocument/2006/relationships/hyperlink" Target="http://www.eduten.com/" TargetMode="External" Id="rId2791" /><Relationship Type="http://schemas.openxmlformats.org/officeDocument/2006/relationships/hyperlink" Target="https://www.instagram.com/edutenofficial/" TargetMode="External" Id="rId2792" /><Relationship Type="http://schemas.openxmlformats.org/officeDocument/2006/relationships/hyperlink" Target="https://twitter.com/EdutenOfficial" TargetMode="External" Id="rId2793" /><Relationship Type="http://schemas.openxmlformats.org/officeDocument/2006/relationships/hyperlink" Target="https://www.linkedin.com/company/eduten" TargetMode="External" Id="rId2794" /><Relationship Type="http://schemas.openxmlformats.org/officeDocument/2006/relationships/hyperlink" Target="https://drive.google.com/uc?export=view&amp;id=1d6zckjbsYCjm4_Yk8KppZJ5ojhjWQs5G" TargetMode="External" Id="rId2795" /><Relationship Type="http://schemas.openxmlformats.org/officeDocument/2006/relationships/hyperlink" Target="http://www.eyejustread.com/" TargetMode="External" Id="rId2796" /><Relationship Type="http://schemas.openxmlformats.org/officeDocument/2006/relationships/hyperlink" Target="https://www.linkedin.com/company/eyejustread/" TargetMode="External" Id="rId2797" /><Relationship Type="http://schemas.openxmlformats.org/officeDocument/2006/relationships/hyperlink" Target="https://drive.google.com/uc?export=view&amp;id=1PKotzgYYDwWVeWZ-FMwej9N4CrEZ3hXa" TargetMode="External" Id="rId2798" /><Relationship Type="http://schemas.openxmlformats.org/officeDocument/2006/relationships/hyperlink" Target="http://www.playincluded.com/" TargetMode="External" Id="rId2799" /><Relationship Type="http://schemas.openxmlformats.org/officeDocument/2006/relationships/hyperlink" Target="https://drive.google.com/uc?export=view&amp;id=1xvCpqv8CTcRUcsEqgHnaTlM2mzWPl5to" TargetMode="External" Id="rId2800" /><Relationship Type="http://schemas.openxmlformats.org/officeDocument/2006/relationships/hyperlink" Target="https://www.teachis.net/" TargetMode="External" Id="rId2801" /><Relationship Type="http://schemas.openxmlformats.org/officeDocument/2006/relationships/hyperlink" Target="https://www.instagram.com/teachisnet" TargetMode="External" Id="rId2802" /><Relationship Type="http://schemas.openxmlformats.org/officeDocument/2006/relationships/hyperlink" Target="https://twitter.com/TeachisNet" TargetMode="External" Id="rId2803" /><Relationship Type="http://schemas.openxmlformats.org/officeDocument/2006/relationships/hyperlink" Target="https://www.linkedin.com/company/teachis/" TargetMode="External" Id="rId2804" /><Relationship Type="http://schemas.openxmlformats.org/officeDocument/2006/relationships/hyperlink" Target="https://drive.google.com/uc?export=view&amp;id=1XQ9jeYSQMNWPVGfy63hYCc4mxb9PXNll" TargetMode="External" Id="rId2805" /><Relationship Type="http://schemas.openxmlformats.org/officeDocument/2006/relationships/hyperlink" Target="http://tutorize.com/" TargetMode="External" Id="rId2806" /><Relationship Type="http://schemas.openxmlformats.org/officeDocument/2006/relationships/hyperlink" Target="https://drive.google.com/uc?export=view&amp;id=1blUQhduBnzJsjvccg8bLuERy2PzuYHoO" TargetMode="External" Id="rId2807" /><Relationship Type="http://schemas.openxmlformats.org/officeDocument/2006/relationships/hyperlink" Target="https://www.featherbedtales.com/" TargetMode="External" Id="rId2808" /><Relationship Type="http://schemas.openxmlformats.org/officeDocument/2006/relationships/hyperlink" Target="https://drive.google.com/uc?export=view&amp;id=1zEYMAvtlUZ9hmZN0xo8cyTHTVmvtilx6" TargetMode="External" Id="rId2809" /><Relationship Type="http://schemas.openxmlformats.org/officeDocument/2006/relationships/hyperlink" Target="http://www.kinaps.co/" TargetMode="External" Id="rId2810" /><Relationship Type="http://schemas.openxmlformats.org/officeDocument/2006/relationships/hyperlink" Target="https://drive.google.com/uc?export=view&amp;id=1pVoRLjGa2FgSvVPo8zsQ0RmkejF8utfi" TargetMode="External" Id="rId2811" /><Relationship Type="http://schemas.openxmlformats.org/officeDocument/2006/relationships/hyperlink" Target="https://www.geegokids.com/" TargetMode="External" Id="rId2812" /><Relationship Type="http://schemas.openxmlformats.org/officeDocument/2006/relationships/hyperlink" Target="http://www.instagram.com/geegokids" TargetMode="External" Id="rId2813" /><Relationship Type="http://schemas.openxmlformats.org/officeDocument/2006/relationships/hyperlink" Target="https://www.linkedin.com/company/geegokids" TargetMode="External" Id="rId2814" /><Relationship Type="http://schemas.openxmlformats.org/officeDocument/2006/relationships/hyperlink" Target="https://drive.google.com/uc?export=view&amp;id=10a7G3anFZyajIBzXXrue2N8w3uPiZ-n_" TargetMode="External" Id="rId2815" /><Relationship Type="http://schemas.openxmlformats.org/officeDocument/2006/relationships/hyperlink" Target="https://hexlet.io/" TargetMode="External" Id="rId2816" /><Relationship Type="http://schemas.openxmlformats.org/officeDocument/2006/relationships/hyperlink" Target="https://drive.google.com/uc?export=view&amp;id=1-V4ILeRgAqq75BrZ7oolnHbCgFdHALWi" TargetMode="External" Id="rId2817" /><Relationship Type="http://schemas.openxmlformats.org/officeDocument/2006/relationships/hyperlink" Target="http://marq.cc/" TargetMode="External" Id="rId2818" /><Relationship Type="http://schemas.openxmlformats.org/officeDocument/2006/relationships/hyperlink" Target="https://drive.google.com/uc?export=view&amp;id=1KiNv57Pzvt2mH1_2GmN9zMz5Y1OSdHNT" TargetMode="External" Id="rId2819" /><Relationship Type="http://schemas.openxmlformats.org/officeDocument/2006/relationships/hyperlink" Target="https://parents-booking.com/" TargetMode="External" Id="rId2820" /><Relationship Type="http://schemas.openxmlformats.org/officeDocument/2006/relationships/hyperlink" Target="https://drive.google.com/uc?export=view&amp;id=10wv-IP1pHe1YJolykJaJwqcCVlRFiCK-" TargetMode="External" Id="rId2821" /><Relationship Type="http://schemas.openxmlformats.org/officeDocument/2006/relationships/hyperlink" Target="http://www.scoyo.de/" TargetMode="External" Id="rId2822" /><Relationship Type="http://schemas.openxmlformats.org/officeDocument/2006/relationships/hyperlink" Target="https://drive.google.com/uc?export=view&amp;id=13jx19BsdFrrq2yoe0ElNnWX2wr_J_XNT" TargetMode="External" Id="rId2823" /><Relationship Type="http://schemas.openxmlformats.org/officeDocument/2006/relationships/hyperlink" Target="https://soundlily.com/" TargetMode="External" Id="rId2824" /><Relationship Type="http://schemas.openxmlformats.org/officeDocument/2006/relationships/hyperlink" Target="https://drive.google.com/uc?export=view&amp;id=1tJgPfnI5GoghyByY9Mmkfktih631dFiq" TargetMode="External" Id="rId2825" /><Relationship Type="http://schemas.openxmlformats.org/officeDocument/2006/relationships/hyperlink" Target="http://stemstudio.org/" TargetMode="External" Id="rId2826" /><Relationship Type="http://schemas.openxmlformats.org/officeDocument/2006/relationships/hyperlink" Target="https://drive.google.com/uc?export=view&amp;id=1jigST2yCipuVtdQbuiq15awQEeBRwwjl" TargetMode="External" Id="rId2827" /><Relationship Type="http://schemas.openxmlformats.org/officeDocument/2006/relationships/hyperlink" Target="https://www.edtech-collider.ch/" TargetMode="External" Id="rId2828" /><Relationship Type="http://schemas.openxmlformats.org/officeDocument/2006/relationships/hyperlink" Target="https://www.instagram.com/swiss_edtech_collider/?hl=en" TargetMode="External" Id="rId2829" /><Relationship Type="http://schemas.openxmlformats.org/officeDocument/2006/relationships/hyperlink" Target="https://twitter.com/SwissEdTech" TargetMode="External" Id="rId2830" /><Relationship Type="http://schemas.openxmlformats.org/officeDocument/2006/relationships/hyperlink" Target="https://www.linkedin.com/company/swiss-edtech-collider/" TargetMode="External" Id="rId2831" /><Relationship Type="http://schemas.openxmlformats.org/officeDocument/2006/relationships/hyperlink" Target="https://drive.google.com/uc?export=view&amp;id=15ne04hsguRgfh-DsCieNM2FZnEKu-fP0" TargetMode="External" Id="rId2832" /><Relationship Type="http://schemas.openxmlformats.org/officeDocument/2006/relationships/hyperlink" Target="http://www.terrastudy.com/" TargetMode="External" Id="rId2833" /><Relationship Type="http://schemas.openxmlformats.org/officeDocument/2006/relationships/hyperlink" Target="https://drive.google.com/uc?export=view&amp;id=1bor2KKz_-hZWQ-1a2ldBFIXKIP7cHRwi" TargetMode="External" Id="rId2834" /><Relationship Type="http://schemas.openxmlformats.org/officeDocument/2006/relationships/hyperlink" Target="http://www.tutor-platform.com/" TargetMode="External" Id="rId2835" /><Relationship Type="http://schemas.openxmlformats.org/officeDocument/2006/relationships/hyperlink" Target="https://www.linkedin.com/company/tutor-platform/mycompany/" TargetMode="External" Id="rId2836" /><Relationship Type="http://schemas.openxmlformats.org/officeDocument/2006/relationships/hyperlink" Target="https://drive.google.com/uc?export=view&amp;id=1ADYkK0OyR9tPQXcl3gmgPjrvVVaA5h19" TargetMode="External" Id="rId2837" /><Relationship Type="http://schemas.openxmlformats.org/officeDocument/2006/relationships/hyperlink" Target="https://unifit.es/" TargetMode="External" Id="rId2838" /><Relationship Type="http://schemas.openxmlformats.org/officeDocument/2006/relationships/hyperlink" Target="https://www.linkedin.com/company/unifit-sl/?viewAsMember=true" TargetMode="External" Id="rId2839" /><Relationship Type="http://schemas.openxmlformats.org/officeDocument/2006/relationships/hyperlink" Target="https://drive.google.com/uc?export=view&amp;id=14Gw89oiQ_Id00qEPyT1jrDjd0E2KfPmV" TargetMode="External" Id="rId2840" /><Relationship Type="http://schemas.openxmlformats.org/officeDocument/2006/relationships/hyperlink" Target="http://corneille.io/" TargetMode="External" Id="rId2841" /><Relationship Type="http://schemas.openxmlformats.org/officeDocument/2006/relationships/hyperlink" Target="https://www.instagram.com/appcorneille/" TargetMode="External" Id="rId2842" /><Relationship Type="http://schemas.openxmlformats.org/officeDocument/2006/relationships/hyperlink" Target="https://twitter.com/AppCorneille" TargetMode="External" Id="rId2843" /><Relationship Type="http://schemas.openxmlformats.org/officeDocument/2006/relationships/hyperlink" Target="https://www.linkedin.com/company/appcorneille/" TargetMode="External" Id="rId2844" /><Relationship Type="http://schemas.openxmlformats.org/officeDocument/2006/relationships/hyperlink" Target="https://drive.google.com/uc?export=view&amp;id=19LWCgVCGFIkSiKjVemA072ityh1CTwyw" TargetMode="External" Id="rId2845" /><Relationship Type="http://schemas.openxmlformats.org/officeDocument/2006/relationships/hyperlink" Target="https://www.curiose.fr/" TargetMode="External" Id="rId2846" /><Relationship Type="http://schemas.openxmlformats.org/officeDocument/2006/relationships/hyperlink" Target="https://www.linkedin.com/company/curiose/?viewAsMember=true" TargetMode="External" Id="rId2847" /><Relationship Type="http://schemas.openxmlformats.org/officeDocument/2006/relationships/hyperlink" Target="https://drive.google.com/uc?export=view&amp;id=1sFyw71bNVYimApdQP_0SCpr2Cisz6aJl" TargetMode="External" Id="rId2848" /><Relationship Type="http://schemas.openxmlformats.org/officeDocument/2006/relationships/hyperlink" Target="https://elbrusboot.camp/" TargetMode="External" Id="rId2849" /><Relationship Type="http://schemas.openxmlformats.org/officeDocument/2006/relationships/hyperlink" Target="https://drive.google.com/uc?export=view&amp;id=1UPiI7jnF0ATRfi8b0HiYCv_cNYdPzNo8" TargetMode="External" Id="rId2850" /><Relationship Type="http://schemas.openxmlformats.org/officeDocument/2006/relationships/hyperlink" Target="http://www.faculty.nl/" TargetMode="External" Id="rId2851" /><Relationship Type="http://schemas.openxmlformats.org/officeDocument/2006/relationships/hyperlink" Target="https://drive.google.com/uc?export=view&amp;id=1l-7LfDCZTFLfN3OIWMmSCcLYpD0sERY7" TargetMode="External" Id="rId2852" /><Relationship Type="http://schemas.openxmlformats.org/officeDocument/2006/relationships/hyperlink" Target="https://isavelives.nl/" TargetMode="External" Id="rId2853" /><Relationship Type="http://schemas.openxmlformats.org/officeDocument/2006/relationships/hyperlink" Target="https://drive.google.com/uc?export=view&amp;id=1X-iOPTK12k75PUxxms4SnHTeV6EEKP3O" TargetMode="External" Id="rId2854" /><Relationship Type="http://schemas.openxmlformats.org/officeDocument/2006/relationships/hyperlink" Target="https://parlangi.net/" TargetMode="External" Id="rId2855" /><Relationship Type="http://schemas.openxmlformats.org/officeDocument/2006/relationships/hyperlink" Target="https://drive.google.com/uc?export=view&amp;id=1aJJpTRoE-4wQSGynhdTE3v1bOwghMRCr" TargetMode="External" Id="rId2856" /><Relationship Type="http://schemas.openxmlformats.org/officeDocument/2006/relationships/hyperlink" Target="http://www.skillmapper.com/" TargetMode="External" Id="rId2857" /><Relationship Type="http://schemas.openxmlformats.org/officeDocument/2006/relationships/hyperlink" Target="https://drive.google.com/uc?export=view&amp;id=1D7YA-7w9SYQiMcEO6WP0t1OjK5sYVADE" TargetMode="External" Id="rId2858" /><Relationship Type="http://schemas.openxmlformats.org/officeDocument/2006/relationships/hyperlink" Target="http://www.skillsuptraining.org/" TargetMode="External" Id="rId2859" /><Relationship Type="http://schemas.openxmlformats.org/officeDocument/2006/relationships/hyperlink" Target="https://drive.google.com/uc?export=view&amp;id=1iF38OdNi1lc_JnMIhYf7bYqIlUVHXpp_" TargetMode="External" Id="rId2860" /><Relationship Type="http://schemas.openxmlformats.org/officeDocument/2006/relationships/hyperlink" Target="https://sustainabilityunlocked.com/" TargetMode="External" Id="rId2861" /><Relationship Type="http://schemas.openxmlformats.org/officeDocument/2006/relationships/hyperlink" Target="https://drive.google.com/uc?export=view&amp;id=1pwVzxfhCv2CmeZEZzwPWzP8w9_d9kPTa" TargetMode="External" Id="rId2862" /><Relationship Type="http://schemas.openxmlformats.org/officeDocument/2006/relationships/hyperlink" Target="http://www.getacta.com/" TargetMode="External" Id="rId2863" /><Relationship Type="http://schemas.openxmlformats.org/officeDocument/2006/relationships/hyperlink" Target="https://drive.google.com/uc?export=view&amp;id=1pivTBRttSkipIJktb_kBnoDBkc9D_SZb" TargetMode="External" Id="rId2864" /><Relationship Type="http://schemas.openxmlformats.org/officeDocument/2006/relationships/hyperlink" Target="https://arcadia-consulting.it/" TargetMode="External" Id="rId2865" /><Relationship Type="http://schemas.openxmlformats.org/officeDocument/2006/relationships/hyperlink" Target="https://drive.google.com/uc?export=view&amp;id=1odQl3-pFyacJEPlOcjRF1JbyQaaeIQ3A" TargetMode="External" Id="rId2866" /><Relationship Type="http://schemas.openxmlformats.org/officeDocument/2006/relationships/hyperlink" Target="https://bonolab.com/" TargetMode="External" Id="rId2867" /><Relationship Type="http://schemas.openxmlformats.org/officeDocument/2006/relationships/hyperlink" Target="https://www.linkedin.com/company/74605646/" TargetMode="External" Id="rId2868" /><Relationship Type="http://schemas.openxmlformats.org/officeDocument/2006/relationships/hyperlink" Target="https://drive.google.com/uc?export=view&amp;id=1k-vcMbIFdYCm1ca7JS7BmtfyDgOXKPaL" TargetMode="External" Id="rId2869" /><Relationship Type="http://schemas.openxmlformats.org/officeDocument/2006/relationships/hyperlink" Target="https://choice31.com/ua/" TargetMode="External" Id="rId2870" /><Relationship Type="http://schemas.openxmlformats.org/officeDocument/2006/relationships/hyperlink" Target="https://drive.google.com/uc?export=view&amp;id=1iAP7yLas2id1ymUzPozkgwozxjEFxqEn" TargetMode="External" Id="rId2871" /><Relationship Type="http://schemas.openxmlformats.org/officeDocument/2006/relationships/hyperlink" Target="https://codementum.com/" TargetMode="External" Id="rId2872" /><Relationship Type="http://schemas.openxmlformats.org/officeDocument/2006/relationships/hyperlink" Target="https://www.instagram.com/codementumglobal/" TargetMode="External" Id="rId2873" /><Relationship Type="http://schemas.openxmlformats.org/officeDocument/2006/relationships/hyperlink" Target="https://twitter.com/Codementum1" TargetMode="External" Id="rId2874" /><Relationship Type="http://schemas.openxmlformats.org/officeDocument/2006/relationships/hyperlink" Target="https://www.linkedin.com/company/codementum-coding-technologies/" TargetMode="External" Id="rId2875" /><Relationship Type="http://schemas.openxmlformats.org/officeDocument/2006/relationships/hyperlink" Target="https://drive.google.com/uc?export=view&amp;id=1rsOYGezw9rklr6P4SZZjhZlf9XIG7P3N" TargetMode="External" Id="rId2876" /><Relationship Type="http://schemas.openxmlformats.org/officeDocument/2006/relationships/hyperlink" Target="https://www.crocodile-health.com/" TargetMode="External" Id="rId2877" /><Relationship Type="http://schemas.openxmlformats.org/officeDocument/2006/relationships/hyperlink" Target="https://drive.google.com/uc?export=view&amp;id=1MsSzKq69-ZdpOVBrZ0bE6Kar2j1OWfiv" TargetMode="External" Id="rId2878" /><Relationship Type="http://schemas.openxmlformats.org/officeDocument/2006/relationships/hyperlink" Target="http://www.devinsense.com/" TargetMode="External" Id="rId2879" /><Relationship Type="http://schemas.openxmlformats.org/officeDocument/2006/relationships/hyperlink" Target="https://drive.google.com/uc?export=view&amp;id=114YGKkixXTELLDuWBKY8ECOfP73LzZXE" TargetMode="External" Id="rId2880" /><Relationship Type="http://schemas.openxmlformats.org/officeDocument/2006/relationships/hyperlink" Target="https://www.dieschulapp.de/" TargetMode="External" Id="rId2881" /><Relationship Type="http://schemas.openxmlformats.org/officeDocument/2006/relationships/hyperlink" Target="https://drive.google.com/uc?export=view&amp;id=1sAZxbMadn9BTBW35yOCuUngYTWfzYqx6" TargetMode="External" Id="rId2882" /><Relationship Type="http://schemas.openxmlformats.org/officeDocument/2006/relationships/hyperlink" Target="https://edkimo.com/" TargetMode="External" Id="rId2883" /><Relationship Type="http://schemas.openxmlformats.org/officeDocument/2006/relationships/hyperlink" Target="https://drive.google.com/uc?export=view&amp;id=1z9kLKEHcWsuRSlc5PK3Dvlq-hecXFYcX" TargetMode="External" Id="rId2884" /><Relationship Type="http://schemas.openxmlformats.org/officeDocument/2006/relationships/hyperlink" Target="https://www.finalist.nl/" TargetMode="External" Id="rId2885" /><Relationship Type="http://schemas.openxmlformats.org/officeDocument/2006/relationships/hyperlink" Target="https://drive.google.com/uc?export=view&amp;id=1SDPDUpEw2lixPZu60929iGt4cY3U4jUh" TargetMode="External" Id="rId2886" /><Relationship Type="http://schemas.openxmlformats.org/officeDocument/2006/relationships/hyperlink" Target="https://www.freigeist-app.de/" TargetMode="External" Id="rId2887" /><Relationship Type="http://schemas.openxmlformats.org/officeDocument/2006/relationships/hyperlink" Target="https://drive.google.com/uc?export=view&amp;id=17G3JI2mHltRfGRdPWOtYsLZ_aSwy3TGV" TargetMode="External" Id="rId2888" /><Relationship Type="http://schemas.openxmlformats.org/officeDocument/2006/relationships/hyperlink" Target="http://inoteam.io/" TargetMode="External" Id="rId2889" /><Relationship Type="http://schemas.openxmlformats.org/officeDocument/2006/relationships/hyperlink" Target="http://www.inoteam.io/" TargetMode="External" Id="rId2890" /><Relationship Type="http://schemas.openxmlformats.org/officeDocument/2006/relationships/hyperlink" Target="https://drive.google.com/uc?export=view&amp;id=1wn-Jp7aGkD5vEqe9-RflJfVO6KKCmJB9" TargetMode="External" Id="rId2891" /><Relationship Type="http://schemas.openxmlformats.org/officeDocument/2006/relationships/hyperlink" Target="https://www.ismart.org/" TargetMode="External" Id="rId2892" /><Relationship Type="http://schemas.openxmlformats.org/officeDocument/2006/relationships/hyperlink" Target="https://drive.google.com/uc?export=view&amp;id=118E3ksRTgODEbpu1bTm-av3JOnv7soZi" TargetMode="External" Id="rId2893" /><Relationship Type="http://schemas.openxmlformats.org/officeDocument/2006/relationships/hyperlink" Target="http://www.learntoquest.com/" TargetMode="External" Id="rId2894" /><Relationship Type="http://schemas.openxmlformats.org/officeDocument/2006/relationships/hyperlink" Target="https://drive.google.com/uc?export=view&amp;id=17pHTlMvva_nCNSL_GJLYAk_xARH35Sq3" TargetMode="External" Id="rId2895" /><Relationship Type="http://schemas.openxmlformats.org/officeDocument/2006/relationships/hyperlink" Target="http://www.nok.se/" TargetMode="External" Id="rId2896" /><Relationship Type="http://schemas.openxmlformats.org/officeDocument/2006/relationships/hyperlink" Target="https://drive.google.com/uc?export=view&amp;id=1ZfHbthU9ccu-SGdM2i4FLAC9Qf9CdNt0" TargetMode="External" Id="rId2897" /><Relationship Type="http://schemas.openxmlformats.org/officeDocument/2006/relationships/hyperlink" Target="http://www.nextlevelenglish.es/" TargetMode="External" Id="rId2898" /><Relationship Type="http://schemas.openxmlformats.org/officeDocument/2006/relationships/hyperlink" Target="https://drive.google.com/uc?export=view&amp;id=1yK1e7tCPoXMcXcfMss3686qTmAYo2BPx" TargetMode="External" Id="rId2899" /><Relationship Type="http://schemas.openxmlformats.org/officeDocument/2006/relationships/hyperlink" Target="https://pi-tech.gr/" TargetMode="External" Id="rId2900" /><Relationship Type="http://schemas.openxmlformats.org/officeDocument/2006/relationships/hyperlink" Target="https://drive.google.com/uc?export=view&amp;id=1vGnRAHtEt_lCpc_8bS-ZcbnqrQ0VrfvB" TargetMode="External" Id="rId2901" /><Relationship Type="http://schemas.openxmlformats.org/officeDocument/2006/relationships/hyperlink" Target="https://sogesnetwork.eu/" TargetMode="External" Id="rId2902" /><Relationship Type="http://schemas.openxmlformats.org/officeDocument/2006/relationships/hyperlink" Target="https://drive.google.com/uc?export=view&amp;id=10nzIiK-mEFwatKQAbcN-XUC6xdpu1q8f" TargetMode="External" Id="rId2903" /><Relationship Type="http://schemas.openxmlformats.org/officeDocument/2006/relationships/hyperlink" Target="https://thebdschool.com/" TargetMode="External" Id="rId2904" /><Relationship Type="http://schemas.openxmlformats.org/officeDocument/2006/relationships/hyperlink" Target="https://drive.google.com/uc?export=view&amp;id=1XNCmVxaYzYxjStJilI5ChnclHzKKN3EB" TargetMode="External" Id="rId2905" /><Relationship Type="http://schemas.openxmlformats.org/officeDocument/2006/relationships/hyperlink" Target="https://tutorium.ru/" TargetMode="External" Id="rId2906" /><Relationship Type="http://schemas.openxmlformats.org/officeDocument/2006/relationships/hyperlink" Target="https://drive.google.com/uc?export=view&amp;id=1LlveplrOJmWjyBx7gp0bWqg5Oks1XQMO" TargetMode="External" Id="rId2907" /><Relationship Type="http://schemas.openxmlformats.org/officeDocument/2006/relationships/hyperlink" Target="http://www.uni-life.nl/" TargetMode="External" Id="rId2908" /><Relationship Type="http://schemas.openxmlformats.org/officeDocument/2006/relationships/hyperlink" Target="https://www.instagram.com/uni_life.nl/" TargetMode="External" Id="rId2909" /><Relationship Type="http://schemas.openxmlformats.org/officeDocument/2006/relationships/hyperlink" Target="https://www.linkedin.com/company/uni-life/" TargetMode="External" Id="rId2910" /><Relationship Type="http://schemas.openxmlformats.org/officeDocument/2006/relationships/hyperlink" Target="https://drive.google.com/uc?export=view&amp;id=1o9tP7nzRwOBuwW9GnuCxB9aqwgXph-sT" TargetMode="External" Id="rId2911" /><Relationship Type="http://schemas.openxmlformats.org/officeDocument/2006/relationships/hyperlink" Target="https://visionyou.de/" TargetMode="External" Id="rId2912" /><Relationship Type="http://schemas.openxmlformats.org/officeDocument/2006/relationships/hyperlink" Target="https://drive.google.com/uc?export=view&amp;id=18fdVGLg5YLSbrBZg-iTrqnxAUhsmeddP" TargetMode="External" Id="rId2913" /><Relationship Type="http://schemas.openxmlformats.org/officeDocument/2006/relationships/hyperlink" Target="http://www.wuolah.com/" TargetMode="External" Id="rId2914" /><Relationship Type="http://schemas.openxmlformats.org/officeDocument/2006/relationships/hyperlink" Target="https://www.instagram.com/wuolah_apuntes" TargetMode="External" Id="rId2915" /><Relationship Type="http://schemas.openxmlformats.org/officeDocument/2006/relationships/hyperlink" Target="https://twitter.com/Wuolah" TargetMode="External" Id="rId2916" /><Relationship Type="http://schemas.openxmlformats.org/officeDocument/2006/relationships/hyperlink" Target="https://es.linkedin.com/company/wuolah" TargetMode="External" Id="rId2917" /><Relationship Type="http://schemas.openxmlformats.org/officeDocument/2006/relationships/hyperlink" Target="http://www.wuolah.com/" TargetMode="External" Id="rId2918" /><Relationship Type="http://schemas.openxmlformats.org/officeDocument/2006/relationships/hyperlink" Target="https://drive.google.com/uc?export=view&amp;id=1QGps9r7HWir5khPo8gucOTRgsVNMJoX6" TargetMode="External" Id="rId2919" /><Relationship Type="http://schemas.openxmlformats.org/officeDocument/2006/relationships/hyperlink" Target="https://www.anvexeducation.com/" TargetMode="External" Id="rId2920" /><Relationship Type="http://schemas.openxmlformats.org/officeDocument/2006/relationships/hyperlink" Target="https://drive.google.com/uc?export=view&amp;id=14vV3xlmRxPM4ZpVxnSl4dHEttAkfB-26" TargetMode="External" Id="rId2921" /><Relationship Type="http://schemas.openxmlformats.org/officeDocument/2006/relationships/hyperlink" Target="http://www.etwinzacademy.com/" TargetMode="External" Id="rId2922" /><Relationship Type="http://schemas.openxmlformats.org/officeDocument/2006/relationships/hyperlink" Target="https://drive.google.com/uc?export=view&amp;id=1BS4snD3wzgglNXfoZ_0SwlLH104SeuNu" TargetMode="External" Id="rId2923" /><Relationship Type="http://schemas.openxmlformats.org/officeDocument/2006/relationships/hyperlink" Target="https://www.uoc.edu/portal/en/index.html" TargetMode="External" Id="rId2924" /><Relationship Type="http://schemas.openxmlformats.org/officeDocument/2006/relationships/hyperlink" Target="https://www.linkedin.com/school/uoc/about/" TargetMode="External" Id="rId2925" /><Relationship Type="http://schemas.openxmlformats.org/officeDocument/2006/relationships/hyperlink" Target="https://drive.google.com/uc?export=view&amp;id=1XaDjMXTqr-n7EEi3rxEp3ibkbJLMTr94" TargetMode="External" Id="rId2926" /><Relationship Type="http://schemas.openxmlformats.org/officeDocument/2006/relationships/hyperlink" Target="http://www.growthtribe.io/" TargetMode="External" Id="rId2927" /><Relationship Type="http://schemas.openxmlformats.org/officeDocument/2006/relationships/hyperlink" Target="https://www.instagram.com/growthtribe/" TargetMode="External" Id="rId2928" /><Relationship Type="http://schemas.openxmlformats.org/officeDocument/2006/relationships/hyperlink" Target="https://twitter.com/GrowthTribe" TargetMode="External" Id="rId2929" /><Relationship Type="http://schemas.openxmlformats.org/officeDocument/2006/relationships/hyperlink" Target="https://www.linkedin.com/school/growth-tribe/" TargetMode="External" Id="rId2930" /><Relationship Type="http://schemas.openxmlformats.org/officeDocument/2006/relationships/hyperlink" Target="https://drive.google.com/uc?export=view&amp;id=1aDYHmg8ayW68iL46ChG37eUCROnCRR79" TargetMode="External" Id="rId2931" /><Relationship Type="http://schemas.openxmlformats.org/officeDocument/2006/relationships/hyperlink" Target="https://www.mentelista.com/" TargetMode="External" Id="rId2932" /><Relationship Type="http://schemas.openxmlformats.org/officeDocument/2006/relationships/hyperlink" Target="https://drive.google.com/uc?export=view&amp;id=1oSJliEtTyngjWORrpjCz6ldn5kt09K3Z" TargetMode="External" Id="rId2933" /><Relationship Type="http://schemas.openxmlformats.org/officeDocument/2006/relationships/hyperlink" Target="https://naurok.com.ua/" TargetMode="External" Id="rId2934" /><Relationship Type="http://schemas.openxmlformats.org/officeDocument/2006/relationships/hyperlink" Target="https://drive.google.com/uc?export=view&amp;id=1JYal9cYA2u3OwXQ2uESALR1Vr40l08vq" TargetMode="External" Id="rId2935" /><Relationship Type="http://schemas.openxmlformats.org/officeDocument/2006/relationships/hyperlink" Target="http://www.ayudame3d.org/colegios" TargetMode="External" Id="rId2936" /><Relationship Type="http://schemas.openxmlformats.org/officeDocument/2006/relationships/hyperlink" Target="https://drive.google.com/uc?export=view&amp;id=1aismwMvDWm4vlp8ytsu53WzUiO517wCw" TargetMode="External" Id="rId2937" /><Relationship Type="http://schemas.openxmlformats.org/officeDocument/2006/relationships/hyperlink" Target="https://dreamshaper.com/en/" TargetMode="External" Id="rId2938" /><Relationship Type="http://schemas.openxmlformats.org/officeDocument/2006/relationships/hyperlink" Target="https://drive.google.com/uc?export=view&amp;id=1kJEfMZAR9G4VbQJ_p3TFAKi8gW4oLxAA" TargetMode="External" Id="rId2939" /><Relationship Type="http://schemas.openxmlformats.org/officeDocument/2006/relationships/hyperlink" Target="http://www.druidlearning.com/" TargetMode="External" Id="rId2940" /><Relationship Type="http://schemas.openxmlformats.org/officeDocument/2006/relationships/hyperlink" Target="https://www.linkedin.com/company/druid-learning-limited" TargetMode="External" Id="rId2941" /><Relationship Type="http://schemas.openxmlformats.org/officeDocument/2006/relationships/hyperlink" Target="https://drive.google.com/uc?export=view&amp;id=1hhY0L_nDI351gW5coFrtlicmzpxVHK_q" TargetMode="External" Id="rId2942" /><Relationship Type="http://schemas.openxmlformats.org/officeDocument/2006/relationships/hyperlink" Target="https://eglencelibilim.com/" TargetMode="External" Id="rId2943" /><Relationship Type="http://schemas.openxmlformats.org/officeDocument/2006/relationships/hyperlink" Target="https://drive.google.com/uc?export=view&amp;id=1v3_Pps2qRSFmS6KeVZx_wJPDMrG69Syr" TargetMode="External" Id="rId2944" /><Relationship Type="http://schemas.openxmlformats.org/officeDocument/2006/relationships/hyperlink" Target="https://www.strangerskills.com/" TargetMode="External" Id="rId2945" /><Relationship Type="http://schemas.openxmlformats.org/officeDocument/2006/relationships/hyperlink" Target="https://drive.google.com/uc?export=view&amp;id=1_L4YMpSKTSSWVZFBOK5Hjav0U3LvszWn" TargetMode="External" Id="rId2946" /><Relationship Type="http://schemas.openxmlformats.org/officeDocument/2006/relationships/hyperlink" Target="https://tmi.one/" TargetMode="External" Id="rId2947" /><Relationship Type="http://schemas.openxmlformats.org/officeDocument/2006/relationships/hyperlink" Target="https://drive.google.com/uc?export=view&amp;id=1BHvXFoqdrxRE5cXcrIvrmj0yJfnXUOnS" TargetMode="External" Id="rId2948" /><Relationship Type="http://schemas.openxmlformats.org/officeDocument/2006/relationships/hyperlink" Target="https://www.atschool.com.ua/en/" TargetMode="External" Id="rId2949" /><Relationship Type="http://schemas.openxmlformats.org/officeDocument/2006/relationships/hyperlink" Target="https://drive.google.com/uc?export=view&amp;id=13IM4nfdjh8nonsnBQO_Zt3LwxNVuuTiA" TargetMode="External" Id="rId2950" /><Relationship Type="http://schemas.openxmlformats.org/officeDocument/2006/relationships/hyperlink" Target="http://www.blueprintlearning.dk/" TargetMode="External" Id="rId2951" /><Relationship Type="http://schemas.openxmlformats.org/officeDocument/2006/relationships/hyperlink" Target="http://advokurser.dk/" TargetMode="External" Id="rId2952" /><Relationship Type="http://schemas.openxmlformats.org/officeDocument/2006/relationships/hyperlink" Target="http://revikurser.dk/" TargetMode="External" Id="rId2953" /><Relationship Type="http://schemas.openxmlformats.org/officeDocument/2006/relationships/hyperlink" Target="https://drive.google.com/uc?export=view&amp;id=14IDcCPbIPKeiG90XjrQLNdjlF92sWmuG" TargetMode="External" Id="rId2954" /><Relationship Type="http://schemas.openxmlformats.org/officeDocument/2006/relationships/hyperlink" Target="http://www.cood.fr/" TargetMode="External" Id="rId2955" /><Relationship Type="http://schemas.openxmlformats.org/officeDocument/2006/relationships/hyperlink" Target="http://cood.fr/" TargetMode="External" Id="rId2956" /><Relationship Type="http://schemas.openxmlformats.org/officeDocument/2006/relationships/hyperlink" Target="https://www.linkedin.com/company/cood-fr" TargetMode="External" Id="rId2957" /><Relationship Type="http://schemas.openxmlformats.org/officeDocument/2006/relationships/hyperlink" Target="https://drive.google.com/uc?export=view&amp;id=1TLnpgwhOIF9nje3Jk9v7WW0fpzQeodz-" TargetMode="External" Id="rId2958" /><Relationship Type="http://schemas.openxmlformats.org/officeDocument/2006/relationships/hyperlink" Target="https://education.eyepass.tech/" TargetMode="External" Id="rId2959" /><Relationship Type="http://schemas.openxmlformats.org/officeDocument/2006/relationships/hyperlink" Target="https://drive.google.com/uc?export=view&amp;id=1tvUBiyZl68PUmqjaaM9nv0o9ORfHlcM5" TargetMode="External" Id="rId2960" /><Relationship Type="http://schemas.openxmlformats.org/officeDocument/2006/relationships/hyperlink" Target="http://www.kimo.ai/" TargetMode="External" Id="rId2961" /><Relationship Type="http://schemas.openxmlformats.org/officeDocument/2006/relationships/hyperlink" Target="https://drive.google.com/uc?export=view&amp;id=1LSdf7QVbmsgCzmd_1ghdPq_3zHy7OvJj" TargetMode="External" Id="rId2962" /><Relationship Type="http://schemas.openxmlformats.org/officeDocument/2006/relationships/hyperlink" Target="https://sopuacademy.com/" TargetMode="External" Id="rId2963" /><Relationship Type="http://schemas.openxmlformats.org/officeDocument/2006/relationships/hyperlink" Target="https://drive.google.com/uc?export=view&amp;id=1GQFjW1yicQjKY1NEWRPXyFuuiNvFNngI" TargetMode="External" Id="rId2964" /><Relationship Type="http://schemas.openxmlformats.org/officeDocument/2006/relationships/hyperlink" Target="https://talken.cloud/" TargetMode="External" Id="rId2965" /><Relationship Type="http://schemas.openxmlformats.org/officeDocument/2006/relationships/hyperlink" Target="https://drive.google.com/uc?export=view&amp;id=1DhddukPZRSjLCrkuFfdF2LeEjFTbbv5E" TargetMode="External" Id="rId2966" /><Relationship Type="http://schemas.openxmlformats.org/officeDocument/2006/relationships/hyperlink" Target="http://unimuseum.io/" TargetMode="External" Id="rId2967" /><Relationship Type="http://schemas.openxmlformats.org/officeDocument/2006/relationships/hyperlink" Target="https://drive.google.com/uc?export=view&amp;id=1brpejJtKkInrEX2b2rhYM6DagIW3DOoq" TargetMode="External" Id="rId2968" /><Relationship Type="http://schemas.openxmlformats.org/officeDocument/2006/relationships/hyperlink" Target="https://video.wiki/" TargetMode="External" Id="rId2969" /><Relationship Type="http://schemas.openxmlformats.org/officeDocument/2006/relationships/hyperlink" Target="https://drive.google.com/uc?export=view&amp;id=1QrJY7rPO3PMZlNuZbkcQ9FTw2YUjgQxI" TargetMode="External" Id="rId2970" /><Relationship Type="http://schemas.openxmlformats.org/officeDocument/2006/relationships/hyperlink" Target="https://www.altris.ai/oct_education/" TargetMode="External" Id="rId2971" /><Relationship Type="http://schemas.openxmlformats.org/officeDocument/2006/relationships/hyperlink" Target="https://www.linkedin.com/showcase/altris-education-oct" TargetMode="External" Id="rId2972" /><Relationship Type="http://schemas.openxmlformats.org/officeDocument/2006/relationships/hyperlink" Target="https://drive.google.com/uc?export=view&amp;id=1tmrsT1CHNsvJDHj0P6uclIcuN-OpkqbK" TargetMode="External" Id="rId2973" /><Relationship Type="http://schemas.openxmlformats.org/officeDocument/2006/relationships/hyperlink" Target="https://ampli.com.ua/" TargetMode="External" Id="rId2974" /><Relationship Type="http://schemas.openxmlformats.org/officeDocument/2006/relationships/hyperlink" Target="https://drive.google.com/uc?export=view&amp;id=1HZdJc5mdzf4hw4IJG88PUF2mFtA5XmA4" TargetMode="External" Id="rId2975" /><Relationship Type="http://schemas.openxmlformats.org/officeDocument/2006/relationships/hyperlink" Target="https://www.artips-factory.fr/" TargetMode="External" Id="rId2976" /><Relationship Type="http://schemas.openxmlformats.org/officeDocument/2006/relationships/hyperlink" Target="https://twitter.com/artips_fr?lang=en" TargetMode="External" Id="rId2977" /><Relationship Type="http://schemas.openxmlformats.org/officeDocument/2006/relationships/hyperlink" Target="https://www.linkedin.com/company/artips" TargetMode="External" Id="rId2978" /><Relationship Type="http://schemas.openxmlformats.org/officeDocument/2006/relationships/hyperlink" Target="https://drive.google.com/uc?export=view&amp;id=10AyvDvrWVrqwkdQGqnVhMrcD-nfqCwx9" TargetMode="External" Id="rId2979" /><Relationship Type="http://schemas.openxmlformats.org/officeDocument/2006/relationships/hyperlink" Target="http://www.autsera.com/" TargetMode="External" Id="rId2980" /><Relationship Type="http://schemas.openxmlformats.org/officeDocument/2006/relationships/hyperlink" Target="https://drive.google.com/uc?export=view&amp;id=1KCj9VeQnRqV8LZRvr_9etkUdigRfdsAQ" TargetMode="External" Id="rId2981" /><Relationship Type="http://schemas.openxmlformats.org/officeDocument/2006/relationships/hyperlink" Target="https://graffos.es/landing/?lang=en" TargetMode="External" Id="rId2982" /><Relationship Type="http://schemas.openxmlformats.org/officeDocument/2006/relationships/hyperlink" Target="https://drive.google.com/uc?export=view&amp;id=11BBTnA-6UXHSsc_TcnXShE-vcrCd2MVi" TargetMode="External" Id="rId2983" /><Relationship Type="http://schemas.openxmlformats.org/officeDocument/2006/relationships/hyperlink" Target="http://www.boffin.com.ua/" TargetMode="External" Id="rId2984" /><Relationship Type="http://schemas.openxmlformats.org/officeDocument/2006/relationships/hyperlink" Target="https://drive.google.com/uc?export=view&amp;id=1xVEVKyhkWNTFJAR9FFLZYdxvhPaUnlik" TargetMode="External" Id="rId2985" /><Relationship Type="http://schemas.openxmlformats.org/officeDocument/2006/relationships/hyperlink" Target="http://choizy.org/" TargetMode="External" Id="rId2986" /><Relationship Type="http://schemas.openxmlformats.org/officeDocument/2006/relationships/hyperlink" Target="https://drive.google.com/uc?export=view&amp;id=1yC2Ue2eLRGZBZ2S7qqcGU0Tk0s4vPXne" TargetMode="External" Id="rId2987" /><Relationship Type="http://schemas.openxmlformats.org/officeDocument/2006/relationships/hyperlink" Target="https://www.clasee.io/" TargetMode="External" Id="rId2988" /><Relationship Type="http://schemas.openxmlformats.org/officeDocument/2006/relationships/hyperlink" Target="https://drive.google.com/uc?export=view&amp;id=1YBsygqTNw5FLKvaIHGkigHn6p-6egeWo" TargetMode="External" Id="rId2989" /><Relationship Type="http://schemas.openxmlformats.org/officeDocument/2006/relationships/hyperlink" Target="https://play.google.com/store/apps/details?id=com.realestate.cleverashka" TargetMode="External" Id="rId2990" /><Relationship Type="http://schemas.openxmlformats.org/officeDocument/2006/relationships/hyperlink" Target="https://drive.google.com/uc?export=view&amp;id=10qR3l5-dAs9cmV70BC8VCWBI6YysfIR7" TargetMode="External" Id="rId2991" /><Relationship Type="http://schemas.openxmlformats.org/officeDocument/2006/relationships/hyperlink" Target="https://clincasequest.hospital/" TargetMode="External" Id="rId2992" /><Relationship Type="http://schemas.openxmlformats.org/officeDocument/2006/relationships/hyperlink" Target="https://drive.google.com/uc?export=view&amp;id=1JcmbtHrU2Xc1jEvr_0-i_ncYJ1YTvZiO" TargetMode="External" Id="rId2993" /><Relationship Type="http://schemas.openxmlformats.org/officeDocument/2006/relationships/hyperlink" Target="https://creativepractice.com.ua/" TargetMode="External" Id="rId2994" /><Relationship Type="http://schemas.openxmlformats.org/officeDocument/2006/relationships/hyperlink" Target="https://drive.google.com/uc?export=view&amp;id=1T81wsSJsjubYCwfG5iAbFJHQ77GXMaT4" TargetMode="External" Id="rId2995" /><Relationship Type="http://schemas.openxmlformats.org/officeDocument/2006/relationships/hyperlink" Target="http://www.dito.education/" TargetMode="External" Id="rId2996" /><Relationship Type="http://schemas.openxmlformats.org/officeDocument/2006/relationships/hyperlink" Target="https://drive.google.com/uc?export=view&amp;id=1r7X2hfEvMLozy3fHYoWMHXkT7ZpyBwCi" TargetMode="External" Id="rId2997" /><Relationship Type="http://schemas.openxmlformats.org/officeDocument/2006/relationships/hyperlink" Target="https://www.facebook.com/eruditoEd" TargetMode="External" Id="rId2998" /><Relationship Type="http://schemas.openxmlformats.org/officeDocument/2006/relationships/hyperlink" Target="https://drive.google.com/uc?export=view&amp;id=1Jep6x1cXWJNzQli2KCO0tZx16fS0ari2" TargetMode="External" Id="rId2999" /><Relationship Type="http://schemas.openxmlformats.org/officeDocument/2006/relationships/hyperlink" Target="https://esemtia.com/" TargetMode="External" Id="rId3000" /><Relationship Type="http://schemas.openxmlformats.org/officeDocument/2006/relationships/hyperlink" Target="https://twitter.com/esemtia?ref_src=twsrc%5Egoogle%7Ctwcamp%5Eserp%7Ctwgr%5Eauthor" TargetMode="External" Id="rId3001" /><Relationship Type="http://schemas.openxmlformats.org/officeDocument/2006/relationships/hyperlink" Target="https://www.linkedin.com/company/40201048/admin/" TargetMode="External" Id="rId3002" /><Relationship Type="http://schemas.openxmlformats.org/officeDocument/2006/relationships/hyperlink" Target="https://drive.google.com/uc?export=view&amp;id=1Pk_TyKIhJgGNXFhPWaSA-oI0XOqtnyLL" TargetMode="External" Id="rId3003" /><Relationship Type="http://schemas.openxmlformats.org/officeDocument/2006/relationships/hyperlink" Target="https://goit.global/pl/" TargetMode="External" Id="rId3004" /><Relationship Type="http://schemas.openxmlformats.org/officeDocument/2006/relationships/hyperlink" Target="https://drive.google.com/uc?export=view&amp;id=1hlGMPtds9ATxm04H5X_F3AfFEM7AKfHQ" TargetMode="External" Id="rId3005" /><Relationship Type="http://schemas.openxmlformats.org/officeDocument/2006/relationships/hyperlink" Target="https://www.hoobi.fun/" TargetMode="External" Id="rId3006" /><Relationship Type="http://schemas.openxmlformats.org/officeDocument/2006/relationships/hyperlink" Target="https://drive.google.com/uc?export=view&amp;id=1IYtxMRJKDqqHiPnsznoXvXWzt-ycNMsL" TargetMode="External" Id="rId3007" /><Relationship Type="http://schemas.openxmlformats.org/officeDocument/2006/relationships/hyperlink" Target="https://www.humanava.com/" TargetMode="External" Id="rId3008" /><Relationship Type="http://schemas.openxmlformats.org/officeDocument/2006/relationships/hyperlink" Target="https://www.instagram.com/humanava_/" TargetMode="External" Id="rId3009" /><Relationship Type="http://schemas.openxmlformats.org/officeDocument/2006/relationships/hyperlink" Target="https://twitter.com/humanava_" TargetMode="External" Id="rId3010" /><Relationship Type="http://schemas.openxmlformats.org/officeDocument/2006/relationships/hyperlink" Target="https://www.linkedin.com/company/humanava" TargetMode="External" Id="rId3011" /><Relationship Type="http://schemas.openxmlformats.org/officeDocument/2006/relationships/hyperlink" Target="https://drive.google.com/uc?export=view&amp;id=10gp7nwXnnm9PKAHLRDomV7iFRrzZbQ7F" TargetMode="External" Id="rId3012" /><Relationship Type="http://schemas.openxmlformats.org/officeDocument/2006/relationships/hyperlink" Target="https://www.knowmore365.com/" TargetMode="External" Id="rId3013" /><Relationship Type="http://schemas.openxmlformats.org/officeDocument/2006/relationships/hyperlink" Target="https://drive.google.com/uc?export=view&amp;id=1qfoyvCuRTimQ1MbCQ6qPQ6YPIiq3fyKF" TargetMode="External" Id="rId3014" /><Relationship Type="http://schemas.openxmlformats.org/officeDocument/2006/relationships/hyperlink" Target="http://www.mysatkit.com/" TargetMode="External" Id="rId3015" /><Relationship Type="http://schemas.openxmlformats.org/officeDocument/2006/relationships/hyperlink" Target="https://drive.google.com/uc?export=view&amp;id=1BNXJ8UHFyYxGqsaTCcGWCORwgXAD6t8d" TargetMode="External" Id="rId3016" /><Relationship Type="http://schemas.openxmlformats.org/officeDocument/2006/relationships/hyperlink" Target="http://plagiarismcheck.org/" TargetMode="External" Id="rId3017" /><Relationship Type="http://schemas.openxmlformats.org/officeDocument/2006/relationships/hyperlink" Target="https://plagiarismcheck.org/" TargetMode="External" Id="rId3018" /><Relationship Type="http://schemas.openxmlformats.org/officeDocument/2006/relationships/hyperlink" Target="https://drive.google.com/uc?export=view&amp;id=1BAB96eDg5y0TOB1bYmwMW0CB92N14NgQ" TargetMode="External" Id="rId3019" /><Relationship Type="http://schemas.openxmlformats.org/officeDocument/2006/relationships/hyperlink" Target="https://prjctr.com/" TargetMode="External" Id="rId3020" /><Relationship Type="http://schemas.openxmlformats.org/officeDocument/2006/relationships/hyperlink" Target="https://drive.google.com/uc?export=view&amp;id=1qWaaqCDL_0xwrMrXS5sry9LmwZFI6zWW" TargetMode="External" Id="rId3021" /><Relationship Type="http://schemas.openxmlformats.org/officeDocument/2006/relationships/hyperlink" Target="https://www.readlax.com/" TargetMode="External" Id="rId3022" /><Relationship Type="http://schemas.openxmlformats.org/officeDocument/2006/relationships/hyperlink" Target="https://drive.google.com/uc?export=view&amp;id=1Htx1BOPj9fQx9j5FuRZ7nk1qGqzLMBno" TargetMode="External" Id="rId3023" /><Relationship Type="http://schemas.openxmlformats.org/officeDocument/2006/relationships/hyperlink" Target="http://roboriseit.com/" TargetMode="External" Id="rId3024" /><Relationship Type="http://schemas.openxmlformats.org/officeDocument/2006/relationships/hyperlink" Target="https://drive.google.com/uc?export=view&amp;id=1RpxLwsFNwM3_7HoIqyxMgyxIUK_XXM_-" TargetMode="External" Id="rId3025" /><Relationship Type="http://schemas.openxmlformats.org/officeDocument/2006/relationships/hyperlink" Target="http://www.stellkey.com/" TargetMode="External" Id="rId3026" /><Relationship Type="http://schemas.openxmlformats.org/officeDocument/2006/relationships/hyperlink" Target="https://drive.google.com/uc?export=view&amp;id=1lO6Y_PiZ0YIOA9tzxNkGuuz1iuAH5KFj" TargetMode="External" Id="rId3027" /><Relationship Type="http://schemas.openxmlformats.org/officeDocument/2006/relationships/hyperlink" Target="https://drive.google.com/uc?export=view&amp;id=1AKR14Tp8t8FDqPzGd0snr8qh6WOHHfEz" TargetMode="External" Id="rId3028" /><Relationship Type="http://schemas.openxmlformats.org/officeDocument/2006/relationships/hyperlink" Target="http://www.altamar.es/" TargetMode="External" Id="rId3029" /><Relationship Type="http://schemas.openxmlformats.org/officeDocument/2006/relationships/hyperlink" Target="https://www.linkedin.com/company/editorial-altamar-s-l-/" TargetMode="External" Id="rId3030" /><Relationship Type="http://schemas.openxmlformats.org/officeDocument/2006/relationships/hyperlink" Target="https://drive.google.com/uc?export=view&amp;id=1YYthl1XG24kpopftkXKrLM72OLVIA1sF" TargetMode="External" Id="rId3031" /><Relationship Type="http://schemas.openxmlformats.org/officeDocument/2006/relationships/hyperlink" Target="http://www.alternativedigitale.com/" TargetMode="External" Id="rId3032" /><Relationship Type="http://schemas.openxmlformats.org/officeDocument/2006/relationships/hyperlink" Target="https://twitter.com/mydigitt" TargetMode="External" Id="rId3033" /><Relationship Type="http://schemas.openxmlformats.org/officeDocument/2006/relationships/hyperlink" Target="https://www.linkedin.com/company/alternative-digitale/" TargetMode="External" Id="rId3034" /><Relationship Type="http://schemas.openxmlformats.org/officeDocument/2006/relationships/hyperlink" Target="https://drive.google.com/uc?export=view&amp;id=1ddiUoKd_TdVGNRVKufAfDhAhEO5n0Zcl" TargetMode="External" Id="rId3035" /><Relationship Type="http://schemas.openxmlformats.org/officeDocument/2006/relationships/hyperlink" Target="https://educacion.bq.com/" TargetMode="External" Id="rId3036" /><Relationship Type="http://schemas.openxmlformats.org/officeDocument/2006/relationships/hyperlink" Target="https://drive.google.com/uc?export=view&amp;id=1wJuYP6KAalYt9L4ZbIyC0lewQ7h6z2bE" TargetMode="External" Id="rId3037" /><Relationship Type="http://schemas.openxmlformats.org/officeDocument/2006/relationships/hyperlink" Target="https://certifier.me/" TargetMode="External" Id="rId3038" /><Relationship Type="http://schemas.openxmlformats.org/officeDocument/2006/relationships/hyperlink" Target="https://drive.google.com/uc?export=view&amp;id=1g5hD9HBStTupBYpLTPpZ1JTYzE-A-Sk1" TargetMode="External" Id="rId3039" /><Relationship Type="http://schemas.openxmlformats.org/officeDocument/2006/relationships/hyperlink" Target="http://www.emprendeconmigo.com/" TargetMode="External" Id="rId3040" /><Relationship Type="http://schemas.openxmlformats.org/officeDocument/2006/relationships/hyperlink" Target="https://drive.google.com/uc?export=view&amp;id=1TZz0miM3mzZk4BRg06prZdOScbbJa_0r" TargetMode="External" Id="rId3041" /><Relationship Type="http://schemas.openxmlformats.org/officeDocument/2006/relationships/hyperlink" Target="https://gimi.com/sv/" TargetMode="External" Id="rId3042" /><Relationship Type="http://schemas.openxmlformats.org/officeDocument/2006/relationships/hyperlink" Target="https://drive.google.com/uc?export=view&amp;id=1KrCc2XIQuQ_Jsqbg63K4XptZY22X-M55" TargetMode="External" Id="rId3043" /><Relationship Type="http://schemas.openxmlformats.org/officeDocument/2006/relationships/hyperlink" Target="http://www.innobambini.it/" TargetMode="External" Id="rId3044" /><Relationship Type="http://schemas.openxmlformats.org/officeDocument/2006/relationships/hyperlink" Target="https://drive.google.com/uc?export=view&amp;id=1yAgs0RhWpbNnktpmAVQKOCqgsJDxZe7v" TargetMode="External" Id="rId3045" /><Relationship Type="http://schemas.openxmlformats.org/officeDocument/2006/relationships/hyperlink" Target="http://www.jollylearning.co.uk/" TargetMode="External" Id="rId3046" /><Relationship Type="http://schemas.openxmlformats.org/officeDocument/2006/relationships/hyperlink" Target="https://drive.google.com/uc?export=view&amp;id=1Nq-vhycI8ptoSa-MLpCc0_-XczeDOSPG" TargetMode="External" Id="rId3047" /><Relationship Type="http://schemas.openxmlformats.org/officeDocument/2006/relationships/hyperlink" Target="https://www.mailo.com/" TargetMode="External" Id="rId3048" /><Relationship Type="http://schemas.openxmlformats.org/officeDocument/2006/relationships/hyperlink" Target="https://www.instagram.com/hellomailo/" TargetMode="External" Id="rId3049" /><Relationship Type="http://schemas.openxmlformats.org/officeDocument/2006/relationships/hyperlink" Target="https://twitter.com/HELLOMAILO" TargetMode="External" Id="rId3050" /><Relationship Type="http://schemas.openxmlformats.org/officeDocument/2006/relationships/hyperlink" Target="https://fr.linkedin.com/company/mailofr?original_referer=https%3A%2F%2Fwww.google.com%2F" TargetMode="External" Id="rId3051" /><Relationship Type="http://schemas.openxmlformats.org/officeDocument/2006/relationships/hyperlink" Target="https://drive.google.com/uc?export=view&amp;id=1id5DECDQVmqN2uLzb0l5wUL_kejauhXJ" TargetMode="External" Id="rId3052" /><Relationship Type="http://schemas.openxmlformats.org/officeDocument/2006/relationships/hyperlink" Target="http://www.manutan-collectivites.fr/" TargetMode="External" Id="rId3053" /><Relationship Type="http://schemas.openxmlformats.org/officeDocument/2006/relationships/hyperlink" Target="https://drive.google.com/uc?export=view&amp;id=1flWMdRIBhDqOOhp5_ovJjNxDqxsJeZYm" TargetMode="External" Id="rId3054" /><Relationship Type="http://schemas.openxmlformats.org/officeDocument/2006/relationships/hyperlink" Target="https://memimababy.com/" TargetMode="External" Id="rId3055" /><Relationship Type="http://schemas.openxmlformats.org/officeDocument/2006/relationships/hyperlink" Target="https://www.linkedin.com/company/memimababy/" TargetMode="External" Id="rId3056" /><Relationship Type="http://schemas.openxmlformats.org/officeDocument/2006/relationships/hyperlink" Target="https://www.linkedin.com/company/memimababy/" TargetMode="External" Id="rId3057" /><Relationship Type="http://schemas.openxmlformats.org/officeDocument/2006/relationships/hyperlink" Target="https://drive.google.com/uc?export=view&amp;id=1vN2ye37nhonXTji71fFuUOyp8BukmIki" TargetMode="External" Id="rId3058" /><Relationship Type="http://schemas.openxmlformats.org/officeDocument/2006/relationships/hyperlink" Target="http://mersys.io/" TargetMode="External" Id="rId3059" /><Relationship Type="http://schemas.openxmlformats.org/officeDocument/2006/relationships/hyperlink" Target="https://drive.google.com/uc?export=view&amp;id=1ysrz3iV5-0ATDEkOwM6Q5tydS05Jkd29" TargetMode="External" Id="rId3060" /><Relationship Type="http://schemas.openxmlformats.org/officeDocument/2006/relationships/hyperlink" Target="https://lab.mobi/realitymaker" TargetMode="External" Id="rId3061" /><Relationship Type="http://schemas.openxmlformats.org/officeDocument/2006/relationships/hyperlink" Target="https://www.instagram.com/lab.mobi/" TargetMode="External" Id="rId3062" /><Relationship Type="http://schemas.openxmlformats.org/officeDocument/2006/relationships/hyperlink" Target="https://twitter.com/labmobi" TargetMode="External" Id="rId3063" /><Relationship Type="http://schemas.openxmlformats.org/officeDocument/2006/relationships/hyperlink" Target="https://www.linkedin.com/company/mobi-lab/" TargetMode="External" Id="rId3064" /><Relationship Type="http://schemas.openxmlformats.org/officeDocument/2006/relationships/hyperlink" Target="https://drive.google.com/uc?export=view&amp;id=1TNFiNdVPEJONDt_bQIub7B2A1Ksi0j1N" TargetMode="External" Id="rId3065" /><Relationship Type="http://schemas.openxmlformats.org/officeDocument/2006/relationships/hyperlink" Target="http://www.prosfy.com/" TargetMode="External" Id="rId3066" /><Relationship Type="http://schemas.openxmlformats.org/officeDocument/2006/relationships/hyperlink" Target="https://www.linkedin.com/company/prosfy/" TargetMode="External" Id="rId3067" /><Relationship Type="http://schemas.openxmlformats.org/officeDocument/2006/relationships/hyperlink" Target="https://drive.google.com/uc?export=view&amp;id=17BYjOyVvgjxrJ4imQz_SfMlZUmOEtVaK" TargetMode="External" Id="rId3068" /><Relationship Type="http://schemas.openxmlformats.org/officeDocument/2006/relationships/hyperlink" Target="https://www.unihelper.dk/?lang=en" TargetMode="External" Id="rId3069" /><Relationship Type="http://schemas.openxmlformats.org/officeDocument/2006/relationships/hyperlink" Target="https://www.linkedin.com/company/unihelper/?viewAsMember=true" TargetMode="External" Id="rId3070" /><Relationship Type="http://schemas.openxmlformats.org/officeDocument/2006/relationships/hyperlink" Target="https://drive.google.com/uc?export=view&amp;id=1-8P1xcEz6pcTWp9tTeJW8yAe-r41EYpm" TargetMode="External" Id="rId3071" /><Relationship Type="http://schemas.openxmlformats.org/officeDocument/2006/relationships/hyperlink" Target="https://www.uptech.team/" TargetMode="External" Id="rId3072" /><Relationship Type="http://schemas.openxmlformats.org/officeDocument/2006/relationships/hyperlink" Target="https://drive.google.com/uc?export=view&amp;id=1oOqnZkcX7aBkFQNjWldm3AU4x2UajYfS" TargetMode="External" Id="rId3073" /><Relationship Type="http://schemas.openxmlformats.org/officeDocument/2006/relationships/hyperlink" Target="http://www.vicole.de/" TargetMode="External" Id="rId3074" /><Relationship Type="http://schemas.openxmlformats.org/officeDocument/2006/relationships/hyperlink" Target="https://drive.google.com/uc?export=view&amp;id=1druVqdZxywwnjXbePIyQFHw31yN69NnP" TargetMode="External" Id="rId3075" /><Relationship Type="http://schemas.openxmlformats.org/officeDocument/2006/relationships/hyperlink" Target="http://www.woonoz.com/" TargetMode="External" Id="rId3076" /><Relationship Type="http://schemas.openxmlformats.org/officeDocument/2006/relationships/hyperlink" Target="https://twitter.com/woonoz" TargetMode="External" Id="rId3077" /><Relationship Type="http://schemas.openxmlformats.org/officeDocument/2006/relationships/hyperlink" Target="https://www.linkedin.com/company/2967089/" TargetMode="External" Id="rId3078" /><Relationship Type="http://schemas.openxmlformats.org/officeDocument/2006/relationships/hyperlink" Target="https://drive.google.com/uc?export=view&amp;id=1YJcY3evg4ew4L85G9TNh5bNU_YaITTol" TargetMode="External" Id="rId3079" /><Relationship Type="http://schemas.openxmlformats.org/officeDocument/2006/relationships/hyperlink" Target="https://wweeddoo.com/" TargetMode="External" Id="rId3080" /><Relationship Type="http://schemas.openxmlformats.org/officeDocument/2006/relationships/hyperlink" Target="https://www.instagram.com/wweeddoofficiel/" TargetMode="External" Id="rId3081" /><Relationship Type="http://schemas.openxmlformats.org/officeDocument/2006/relationships/hyperlink" Target="https://twitter.com/wweeddoofr" TargetMode="External" Id="rId3082" /><Relationship Type="http://schemas.openxmlformats.org/officeDocument/2006/relationships/hyperlink" Target="https://fr.linkedin.com/company/wweeddoo" TargetMode="External" Id="rId3083" /><Relationship Type="http://schemas.openxmlformats.org/officeDocument/2006/relationships/hyperlink" Target="https://drive.google.com/uc?export=view&amp;id=1ogzsBuw9EnFu1Nypuk_yKa11nus8sI_I" TargetMode="External" Id="rId3084" /><Relationship Type="http://schemas.openxmlformats.org/officeDocument/2006/relationships/hyperlink" Target="https://www.toplinemedia.fi/" TargetMode="External" Id="rId3085" /><Relationship Type="http://schemas.openxmlformats.org/officeDocument/2006/relationships/hyperlink" Target="https://cyberskiller.com/" TargetMode="External" Id="rId3086" /><Relationship Type="http://schemas.openxmlformats.org/officeDocument/2006/relationships/hyperlink" Target="https://drive.google.com/uc?export=view&amp;id=1agrw6x52CK4PL6ILlY7aMYnnliKA-hoo" TargetMode="External" Id="rId3087" /><Relationship Type="http://schemas.openxmlformats.org/officeDocument/2006/relationships/hyperlink" Target="https://grasple.com/" TargetMode="External" Id="rId3088" /><Relationship Type="http://schemas.openxmlformats.org/officeDocument/2006/relationships/hyperlink" Target="https://twitter.com/opengrasple" TargetMode="External" Id="rId3089" /><Relationship Type="http://schemas.openxmlformats.org/officeDocument/2006/relationships/hyperlink" Target="https://www.linkedin.com/company/grasple" TargetMode="External" Id="rId3090" /><Relationship Type="http://schemas.openxmlformats.org/officeDocument/2006/relationships/hyperlink" Target="https://drive.google.com/uc?export=view&amp;id=1_2E3wxPy5209rebyhDsriyK04iQMt25u" TargetMode="External" Id="rId3091" /><Relationship Type="http://schemas.openxmlformats.org/officeDocument/2006/relationships/hyperlink" Target="https://helge.app/" TargetMode="External" Id="rId3092" /><Relationship Type="http://schemas.openxmlformats.org/officeDocument/2006/relationships/hyperlink" Target="https://www.instagram.com/helgeapp/" TargetMode="External" Id="rId3093" /><Relationship Type="http://schemas.openxmlformats.org/officeDocument/2006/relationships/hyperlink" Target="https://twitter.com/helgeapp" TargetMode="External" Id="rId3094" /><Relationship Type="http://schemas.openxmlformats.org/officeDocument/2006/relationships/hyperlink" Target="https://www.linkedin.com/company/helge" TargetMode="External" Id="rId3095" /><Relationship Type="http://schemas.openxmlformats.org/officeDocument/2006/relationships/hyperlink" Target="https://drive.google.com/uc?export=view&amp;id=1uu2NA_E3EdR6CB0SD5aP2OfyY0KHqIGi" TargetMode="External" Id="rId3096" /><Relationship Type="http://schemas.openxmlformats.org/officeDocument/2006/relationships/hyperlink" Target="http://www.leaplearning.com/" TargetMode="External" Id="rId3097" /><Relationship Type="http://schemas.openxmlformats.org/officeDocument/2006/relationships/hyperlink" Target="https://drive.google.com/uc?export=view&amp;id=1DtMh9GMJr9PXombxE6wv0fpZoaHOpKRN" TargetMode="External" Id="rId3098" /><Relationship Type="http://schemas.openxmlformats.org/officeDocument/2006/relationships/hyperlink" Target="https://recitaleyes.com/" TargetMode="External" Id="rId3099" /><Relationship Type="http://schemas.openxmlformats.org/officeDocument/2006/relationships/hyperlink" Target="https://drive.google.com/uc?export=view&amp;id=1-zU2hv-fqMSNVp4RMervJNj0Ojwx4C0r" TargetMode="External" Id="rId3100" /><Relationship Type="http://schemas.openxmlformats.org/officeDocument/2006/relationships/hyperlink" Target="http://www.simulise.com/" TargetMode="External" Id="rId3101" /><Relationship Type="http://schemas.openxmlformats.org/officeDocument/2006/relationships/hyperlink" Target="https://drive.google.com/uc?export=view&amp;id=1J4kX3JLkCh0qXuXQOJjHVQtUJM_52sBc" TargetMode="External" Id="rId3102" /><Relationship Type="http://schemas.openxmlformats.org/officeDocument/2006/relationships/hyperlink" Target="http://tutor.id/" TargetMode="External" Id="rId3103" /><Relationship Type="http://schemas.openxmlformats.org/officeDocument/2006/relationships/hyperlink" Target="https://tutor.id/" TargetMode="External" Id="rId3104" /><Relationship Type="http://schemas.openxmlformats.org/officeDocument/2006/relationships/hyperlink" Target="https://drive.google.com/uc?export=view&amp;id=1IYlwzSNhHShda3-X0G6VQ2-YCIIddWXj" TargetMode="External" Id="rId3105" /><Relationship Type="http://schemas.openxmlformats.org/officeDocument/2006/relationships/hyperlink" Target="http://adaptical.io/" TargetMode="External" Id="rId3106" /><Relationship Type="http://schemas.openxmlformats.org/officeDocument/2006/relationships/hyperlink" Target="https://drive.google.com/uc?export=view&amp;id=1EDV2WX73iI8Xt008pUFSxmgUa12KoO6n" TargetMode="External" Id="rId3107" /><Relationship Type="http://schemas.openxmlformats.org/officeDocument/2006/relationships/hyperlink" Target="https://amanote.com/" TargetMode="External" Id="rId3108" /><Relationship Type="http://schemas.openxmlformats.org/officeDocument/2006/relationships/hyperlink" Target="https://drive.google.com/uc?export=view&amp;id=1Wb8Mafh3FqpUEFpS6lQ9KbD7_IDA-BJL" TargetMode="External" Id="rId3109" /><Relationship Type="http://schemas.openxmlformats.org/officeDocument/2006/relationships/hyperlink" Target="https://checknchoose.com/" TargetMode="External" Id="rId3110" /><Relationship Type="http://schemas.openxmlformats.org/officeDocument/2006/relationships/hyperlink" Target="https://drive.google.com/uc?export=view&amp;id=1kQJulA3SKEMwCI0Uzokl4ibPWFJLKgTs" TargetMode="External" Id="rId3111" /><Relationship Type="http://schemas.openxmlformats.org/officeDocument/2006/relationships/hyperlink" Target="https://cirrusassessment.com/" TargetMode="External" Id="rId3112" /><Relationship Type="http://schemas.openxmlformats.org/officeDocument/2006/relationships/hyperlink" Target="https://drive.google.com/uc?export=view&amp;id=1hpvReY11SzhgaUfWRN_aiiR57aRYrNG6" TargetMode="External" Id="rId3113" /><Relationship Type="http://schemas.openxmlformats.org/officeDocument/2006/relationships/hyperlink" Target="http://cloudedu.es/" TargetMode="External" Id="rId3114" /><Relationship Type="http://schemas.openxmlformats.org/officeDocument/2006/relationships/hyperlink" Target="https://drive.google.com/uc?export=view&amp;id=1yhtZbhm7reZKsLWYmYLJtNbABf2tNjYC" TargetMode="External" Id="rId3115" /><Relationship Type="http://schemas.openxmlformats.org/officeDocument/2006/relationships/hyperlink" Target="http://codedarena.com/" TargetMode="External" Id="rId3116" /><Relationship Type="http://schemas.openxmlformats.org/officeDocument/2006/relationships/hyperlink" Target="https://www.linkedin.com/company/codedarena" TargetMode="External" Id="rId3117" /><Relationship Type="http://schemas.openxmlformats.org/officeDocument/2006/relationships/hyperlink" Target="https://drive.google.com/uc?export=view&amp;id=1oB2pztSx7aVYykOi1jzCqv4AxAFApv8P" TargetMode="External" Id="rId3118" /><Relationship Type="http://schemas.openxmlformats.org/officeDocument/2006/relationships/hyperlink" Target="https://www.culturebuffgames.com/" TargetMode="External" Id="rId3119" /><Relationship Type="http://schemas.openxmlformats.org/officeDocument/2006/relationships/hyperlink" Target="https://www.instagram.com/culturebuffgames/" TargetMode="External" Id="rId3120" /><Relationship Type="http://schemas.openxmlformats.org/officeDocument/2006/relationships/hyperlink" Target="https://twitter.com/cultural_games" TargetMode="External" Id="rId3121" /><Relationship Type="http://schemas.openxmlformats.org/officeDocument/2006/relationships/hyperlink" Target="https://www.linkedin.com/in/lucy-fogarty-76099b8/" TargetMode="External" Id="rId3122" /><Relationship Type="http://schemas.openxmlformats.org/officeDocument/2006/relationships/hyperlink" Target="https://drive.google.com/uc?export=view&amp;id=1oeHgEKvWYqpz6AOB0Ti9oQAwv8-qCkq1" TargetMode="External" Id="rId3123" /><Relationship Type="http://schemas.openxmlformats.org/officeDocument/2006/relationships/hyperlink" Target="https://www.cyberfoxapp.com/" TargetMode="External" Id="rId3124" /><Relationship Type="http://schemas.openxmlformats.org/officeDocument/2006/relationships/hyperlink" Target="https://www.instagram.com/cyberfox_app/" TargetMode="External" Id="rId3125" /><Relationship Type="http://schemas.openxmlformats.org/officeDocument/2006/relationships/hyperlink" Target="https://www.linkedin.com/company/76357258/" TargetMode="External" Id="rId3126" /><Relationship Type="http://schemas.openxmlformats.org/officeDocument/2006/relationships/hyperlink" Target="https://drive.google.com/uc?export=view&amp;id=1YAbgDwIr1UiUvknyZ3apfnhDGA8J-STL" TargetMode="External" Id="rId3127" /><Relationship Type="http://schemas.openxmlformats.org/officeDocument/2006/relationships/hyperlink" Target="https://docendo.co/" TargetMode="External" Id="rId3128" /><Relationship Type="http://schemas.openxmlformats.org/officeDocument/2006/relationships/hyperlink" Target="https://drive.google.com/uc?export=view&amp;id=1n6t5EM3chtGcC82FK4A_KDhPzTZZpeXC" TargetMode="External" Id="rId3129" /><Relationship Type="http://schemas.openxmlformats.org/officeDocument/2006/relationships/hyperlink" Target="http://nickvanbreda.com/hackathon" TargetMode="External" Id="rId3130" /><Relationship Type="http://schemas.openxmlformats.org/officeDocument/2006/relationships/hyperlink" Target="about:blank" TargetMode="External" Id="rId3131" /><Relationship Type="http://schemas.openxmlformats.org/officeDocument/2006/relationships/hyperlink" Target="about:blank" TargetMode="External" Id="rId3132" /><Relationship Type="http://schemas.openxmlformats.org/officeDocument/2006/relationships/hyperlink" Target="http://linkedin.com/in/nickvanbreda" TargetMode="External" Id="rId3133" /><Relationship Type="http://schemas.openxmlformats.org/officeDocument/2006/relationships/hyperlink" Target="https://drive.google.com/uc?export=view&amp;id=1F_tT22xEBdjbuGobmzrCx_N0cMwq00WA" TargetMode="External" Id="rId3134" /><Relationship Type="http://schemas.openxmlformats.org/officeDocument/2006/relationships/hyperlink" Target="https://futuclass.com/" TargetMode="External" Id="rId3135" /><Relationship Type="http://schemas.openxmlformats.org/officeDocument/2006/relationships/hyperlink" Target="https://www.instagram.com/futu_class/" TargetMode="External" Id="rId3136" /><Relationship Type="http://schemas.openxmlformats.org/officeDocument/2006/relationships/hyperlink" Target="https://twitter.com/Futuclass" TargetMode="External" Id="rId3137" /><Relationship Type="http://schemas.openxmlformats.org/officeDocument/2006/relationships/hyperlink" Target="https://www.linkedin.com/company/futuclass/" TargetMode="External" Id="rId3138" /><Relationship Type="http://schemas.openxmlformats.org/officeDocument/2006/relationships/hyperlink" Target="https://drive.google.com/uc?export=view&amp;id=1vxkVRmDgiR3mwejmjGapvKMNlm9XAVkV" TargetMode="External" Id="rId3139" /><Relationship Type="http://schemas.openxmlformats.org/officeDocument/2006/relationships/hyperlink" Target="https://infowijs.nl/" TargetMode="External" Id="rId3140" /><Relationship Type="http://schemas.openxmlformats.org/officeDocument/2006/relationships/hyperlink" Target="https://www.instagram.com/infowijs/" TargetMode="External" Id="rId3141" /><Relationship Type="http://schemas.openxmlformats.org/officeDocument/2006/relationships/hyperlink" Target="https://twitter.com/infowijs" TargetMode="External" Id="rId3142" /><Relationship Type="http://schemas.openxmlformats.org/officeDocument/2006/relationships/hyperlink" Target="https://www.linkedin.com/company/infowijs/" TargetMode="External" Id="rId3143" /><Relationship Type="http://schemas.openxmlformats.org/officeDocument/2006/relationships/hyperlink" Target="https://drive.google.com/uc?export=view&amp;id=1m5Bs1wsPDh0x7EcBY6ui5IMpci7HCtup" TargetMode="External" Id="rId3144" /><Relationship Type="http://schemas.openxmlformats.org/officeDocument/2006/relationships/hyperlink" Target="http://www.ist.com/de" TargetMode="External" Id="rId3145" /><Relationship Type="http://schemas.openxmlformats.org/officeDocument/2006/relationships/hyperlink" Target="https://drive.google.com/uc?export=view&amp;id=1wRMzIpNnbhSHEACMUQzkjZmcGddy5Jj4" TargetMode="External" Id="rId3146" /><Relationship Type="http://schemas.openxmlformats.org/officeDocument/2006/relationships/hyperlink" Target="http://learmcove.com/" TargetMode="External" Id="rId3147" /><Relationship Type="http://schemas.openxmlformats.org/officeDocument/2006/relationships/hyperlink" Target="https://instagram.com/learncove?igshid=YmMyMTA2M2Y=" TargetMode="External" Id="rId3148" /><Relationship Type="http://schemas.openxmlformats.org/officeDocument/2006/relationships/hyperlink" Target="https://www.linkedin.com/company/learncove/" TargetMode="External" Id="rId3149" /><Relationship Type="http://schemas.openxmlformats.org/officeDocument/2006/relationships/hyperlink" Target="https://drive.google.com/uc?export=view&amp;id=1q9ZDMoKOvEscc-CnQwZghZ0_lismnzD6" TargetMode="External" Id="rId3150" /><Relationship Type="http://schemas.openxmlformats.org/officeDocument/2006/relationships/hyperlink" Target="http://leerzelfonline.nl/" TargetMode="External" Id="rId3151" /><Relationship Type="http://schemas.openxmlformats.org/officeDocument/2006/relationships/hyperlink" Target="https://www.instagram.com/steffiehelpt/" TargetMode="External" Id="rId3152" /><Relationship Type="http://schemas.openxmlformats.org/officeDocument/2006/relationships/hyperlink" Target="https://twitter.com/leerzelfonline" TargetMode="External" Id="rId3153" /><Relationship Type="http://schemas.openxmlformats.org/officeDocument/2006/relationships/hyperlink" Target="https://www.linkedin.com/company/10372565/admin/" TargetMode="External" Id="rId3154" /><Relationship Type="http://schemas.openxmlformats.org/officeDocument/2006/relationships/hyperlink" Target="https://drive.google.com/uc?export=view&amp;id=1RxrE5GT7RhcQ1NwkZ07Xw87w3UNG7oW1" TargetMode="External" Id="rId3155" /><Relationship Type="http://schemas.openxmlformats.org/officeDocument/2006/relationships/hyperlink" Target="https://mereos.eu/" TargetMode="External" Id="rId3156" /><Relationship Type="http://schemas.openxmlformats.org/officeDocument/2006/relationships/hyperlink" Target="https://drive.google.com/uc?export=view&amp;id=1MaJou1O684Cuooh5HxLW3gE3JrLkFZCf" TargetMode="External" Id="rId3157" /><Relationship Type="http://schemas.openxmlformats.org/officeDocument/2006/relationships/hyperlink" Target="https://nominis.es/" TargetMode="External" Id="rId3158" /><Relationship Type="http://schemas.openxmlformats.org/officeDocument/2006/relationships/hyperlink" Target="https://drive.google.com/uc?export=view&amp;id=1FRC_djKqUnjYd7I-peVn9gjRY-E8oAXs" TargetMode="External" Id="rId3159" /><Relationship Type="http://schemas.openxmlformats.org/officeDocument/2006/relationships/hyperlink" Target="http://www.pearup.de/" TargetMode="External" Id="rId3160" /><Relationship Type="http://schemas.openxmlformats.org/officeDocument/2006/relationships/hyperlink" Target="https://www.instagram.com/pearup_edu/" TargetMode="External" Id="rId3161" /><Relationship Type="http://schemas.openxmlformats.org/officeDocument/2006/relationships/hyperlink" Target="https://twitter.com/pearup_edu" TargetMode="External" Id="rId3162" /><Relationship Type="http://schemas.openxmlformats.org/officeDocument/2006/relationships/hyperlink" Target="https://www.linkedin.com/company/11718283" TargetMode="External" Id="rId3163" /><Relationship Type="http://schemas.openxmlformats.org/officeDocument/2006/relationships/hyperlink" Target="https://drive.google.com/uc?export=view&amp;id=1ynzuI7VamJj22wIyGKdc0ZgNDr1xXz63" TargetMode="External" Id="rId3164" /><Relationship Type="http://schemas.openxmlformats.org/officeDocument/2006/relationships/hyperlink" Target="http://www.pebblepad.com/" TargetMode="External" Id="rId3165" /><Relationship Type="http://schemas.openxmlformats.org/officeDocument/2006/relationships/hyperlink" Target="https://drive.google.com/uc?export=view&amp;id=1XHo35bAfWcQNKwddSD2vSCuBe0um5hwC" TargetMode="External" Id="rId3166" /><Relationship Type="http://schemas.openxmlformats.org/officeDocument/2006/relationships/hyperlink" Target="https://www.poikilingo.com/" TargetMode="External" Id="rId3167" /><Relationship Type="http://schemas.openxmlformats.org/officeDocument/2006/relationships/hyperlink" Target="https://drive.google.com/uc?export=view&amp;id=1BSjr9gQWpuqlh-FFcGxBOI0LeZEQit5k" TargetMode="External" Id="rId3168" /><Relationship Type="http://schemas.openxmlformats.org/officeDocument/2006/relationships/hyperlink" Target="http://www.scorecard.school/" TargetMode="External" Id="rId3169" /><Relationship Type="http://schemas.openxmlformats.org/officeDocument/2006/relationships/hyperlink" Target="https://www.linkedin.com/company/scorecardsuite/" TargetMode="External" Id="rId3170" /><Relationship Type="http://schemas.openxmlformats.org/officeDocument/2006/relationships/hyperlink" Target="https://drive.google.com/uc?export=view&amp;id=1oPtTBVD5cK6ckhfn0thL0h55f76ohqPs" TargetMode="External" Id="rId3171" /><Relationship Type="http://schemas.openxmlformats.org/officeDocument/2006/relationships/hyperlink" Target="http://seethegood.app/" TargetMode="External" Id="rId3172" /><Relationship Type="http://schemas.openxmlformats.org/officeDocument/2006/relationships/hyperlink" Target="https://drive.google.com/uc?export=view&amp;id=1S5GdT-S514enTnfi5qkIHFGuOauIMLBQ" TargetMode="External" Id="rId3173" /><Relationship Type="http://schemas.openxmlformats.org/officeDocument/2006/relationships/hyperlink" Target="https://www.skillogs.com/" TargetMode="External" Id="rId3174" /><Relationship Type="http://schemas.openxmlformats.org/officeDocument/2006/relationships/hyperlink" Target="https://twitter.com/skillogsacarya" TargetMode="External" Id="rId3175" /><Relationship Type="http://schemas.openxmlformats.org/officeDocument/2006/relationships/hyperlink" Target="https://www.linkedin.com/company/skillogs/" TargetMode="External" Id="rId3176" /><Relationship Type="http://schemas.openxmlformats.org/officeDocument/2006/relationships/hyperlink" Target="https://drive.google.com/uc?export=view&amp;id=17Mw6NyNHr9KMHDR4rOeu-laEzt1VxvDK" TargetMode="External" Id="rId3177" /><Relationship Type="http://schemas.openxmlformats.org/officeDocument/2006/relationships/hyperlink" Target="http://www.smartmicrooptics.com/" TargetMode="External" Id="rId3178" /><Relationship Type="http://schemas.openxmlformats.org/officeDocument/2006/relationships/hyperlink" Target="https://drive.google.com/uc?export=view&amp;id=1VJk6Cntf237suTTIvMcMfwmdEnCEBniD" TargetMode="External" Id="rId3179" /><Relationship Type="http://schemas.openxmlformats.org/officeDocument/2006/relationships/hyperlink" Target="https://www.habiit.io/en" TargetMode="External" Id="rId3180" /><Relationship Type="http://schemas.openxmlformats.org/officeDocument/2006/relationships/hyperlink" Target="https://drive.google.com/uc?export=view&amp;id=1m-BDoKejv_KNvqXZcDAEv9Xxkl2Or2L8" TargetMode="External" Id="rId3181" /><Relationship Type="http://schemas.openxmlformats.org/officeDocument/2006/relationships/hyperlink" Target="http://tutored.me/" TargetMode="External" Id="rId3182" /><Relationship Type="http://schemas.openxmlformats.org/officeDocument/2006/relationships/hyperlink" Target="https://drive.google.com/uc?export=view&amp;id=1O9ew02Zks5fDtiDlgxXrLoUloQKl0MUG" TargetMode="External" Id="rId3183" /><Relationship Type="http://schemas.openxmlformats.org/officeDocument/2006/relationships/hyperlink" Target="https://www.typetastic.com/" TargetMode="External" Id="rId3184" /><Relationship Type="http://schemas.openxmlformats.org/officeDocument/2006/relationships/hyperlink" Target="https://drive.google.com/uc?export=view&amp;id=1zC0BjsbALi1EHz83I3pWTa-rSWlVCUsu" TargetMode="External" Id="rId3185" /><Relationship Type="http://schemas.openxmlformats.org/officeDocument/2006/relationships/hyperlink" Target="https://virtuleap.com/" TargetMode="External" Id="rId3186" /><Relationship Type="http://schemas.openxmlformats.org/officeDocument/2006/relationships/hyperlink" Target="https://drive.google.com/uc?export=view&amp;id=1u3BNYbdWBY54PTDKrxy5Aud74YV7S8kM" TargetMode="External" Id="rId3187" /><Relationship Type="http://schemas.openxmlformats.org/officeDocument/2006/relationships/hyperlink" Target="http://www.3dbear.io/" TargetMode="External" Id="rId3188" /><Relationship Type="http://schemas.openxmlformats.org/officeDocument/2006/relationships/hyperlink" Target="https://drive.google.com/uc?export=view&amp;id=1olng-zvSfFosciqSsSv8-6ASCbpDSzry" TargetMode="External" Id="rId3189" /><Relationship Type="http://schemas.openxmlformats.org/officeDocument/2006/relationships/hyperlink" Target="https://a-dapttraining.com/" TargetMode="External" Id="rId3190" /><Relationship Type="http://schemas.openxmlformats.org/officeDocument/2006/relationships/hyperlink" Target="https://drive.google.com/uc?export=view&amp;id=1x81WWixXtmbuWL1UlAS4QZgy_8D9lP1R" TargetMode="External" Id="rId3191" /><Relationship Type="http://schemas.openxmlformats.org/officeDocument/2006/relationships/hyperlink" Target="https://www.additioapp.com/en" TargetMode="External" Id="rId3192" /><Relationship Type="http://schemas.openxmlformats.org/officeDocument/2006/relationships/hyperlink" Target="https://www.instagram.com/additioapp/" TargetMode="External" Id="rId3193" /><Relationship Type="http://schemas.openxmlformats.org/officeDocument/2006/relationships/hyperlink" Target="https://twitter.com/additioapp_EN" TargetMode="External" Id="rId3194" /><Relationship Type="http://schemas.openxmlformats.org/officeDocument/2006/relationships/hyperlink" Target="https://es.linkedin.com/company/additio-for-schools" TargetMode="External" Id="rId3195" /><Relationship Type="http://schemas.openxmlformats.org/officeDocument/2006/relationships/hyperlink" Target="https://drive.google.com/uc?export=view&amp;id=1pq5o7hkgAkw-2dxHpxVaEYnhDIyzS2BT" TargetMode="External" Id="rId3196" /><Relationship Type="http://schemas.openxmlformats.org/officeDocument/2006/relationships/hyperlink" Target="http://www.adservio.education/" TargetMode="External" Id="rId3197" /><Relationship Type="http://schemas.openxmlformats.org/officeDocument/2006/relationships/hyperlink" Target="https://drive.google.com/uc?export=view&amp;id=1QfpxpWMeGJ86hbTSMo_vmvVPvNcDPg_E" TargetMode="External" Id="rId3198" /><Relationship Type="http://schemas.openxmlformats.org/officeDocument/2006/relationships/hyperlink" Target="http://ahoiii.com/" TargetMode="External" Id="rId3199" /><Relationship Type="http://schemas.openxmlformats.org/officeDocument/2006/relationships/hyperlink" Target="https://drive.google.com/uc?export=view&amp;id=1ldZ47F8A_W7Y-IBF1-pWoP45_ZIyeHyL" TargetMode="External" Id="rId3200" /><Relationship Type="http://schemas.openxmlformats.org/officeDocument/2006/relationships/hyperlink" Target="https://www.alpakids.com/" TargetMode="External" Id="rId3201" /><Relationship Type="http://schemas.openxmlformats.org/officeDocument/2006/relationships/hyperlink" Target="https://www.instagram.com/alpa.kids/" TargetMode="External" Id="rId3202" /><Relationship Type="http://schemas.openxmlformats.org/officeDocument/2006/relationships/hyperlink" Target="https://www.linkedin.com/company/alpa-kids/" TargetMode="External" Id="rId3203" /><Relationship Type="http://schemas.openxmlformats.org/officeDocument/2006/relationships/hyperlink" Target="https://drive.google.com/uc?export=view&amp;id=127OWTAFmzA2FE25qCc6bmEoWdHkAQulf" TargetMode="External" Id="rId3204" /><Relationship Type="http://schemas.openxmlformats.org/officeDocument/2006/relationships/hyperlink" Target="http://altacademy.org/" TargetMode="External" Id="rId3205" /><Relationship Type="http://schemas.openxmlformats.org/officeDocument/2006/relationships/hyperlink" Target="https://drive.google.com/uc?export=view&amp;id=1qD-uidGCpG57CETtTr47HPowqTbetHqz" TargetMode="External" Id="rId3206" /><Relationship Type="http://schemas.openxmlformats.org/officeDocument/2006/relationships/hyperlink" Target="https://www.artsci.fr/" TargetMode="External" Id="rId3207" /><Relationship Type="http://schemas.openxmlformats.org/officeDocument/2006/relationships/hyperlink" Target="https://drive.google.com/uc?export=view&amp;id=1Lma8Z2jhTTmcGMxiMhcLmUE7UGXOBRlc" TargetMode="External" Id="rId3208" /><Relationship Type="http://schemas.openxmlformats.org/officeDocument/2006/relationships/hyperlink" Target="http://www.augmentedclass.com/" TargetMode="External" Id="rId3209" /><Relationship Type="http://schemas.openxmlformats.org/officeDocument/2006/relationships/hyperlink" Target="https://drive.google.com/uc?export=view&amp;id=1WoGxbZ9eDL4JGJ2j7z3R0LbNaJG0mP4I" TargetMode="External" Id="rId3210" /><Relationship Type="http://schemas.openxmlformats.org/officeDocument/2006/relationships/hyperlink" Target="http://www.buya.de/" TargetMode="External" Id="rId3211" /><Relationship Type="http://schemas.openxmlformats.org/officeDocument/2006/relationships/hyperlink" Target="https://drive.google.com/uc?export=view&amp;id=1JTPky2jTGHdQfM19qC-B35BRYYG9LFYg" TargetMode="External" Id="rId3212" /><Relationship Type="http://schemas.openxmlformats.org/officeDocument/2006/relationships/hyperlink" Target="http://www.clickedu.net/" TargetMode="External" Id="rId3213" /><Relationship Type="http://schemas.openxmlformats.org/officeDocument/2006/relationships/hyperlink" Target="https://www.instagram.com/clickedu.eu/" TargetMode="External" Id="rId3214" /><Relationship Type="http://schemas.openxmlformats.org/officeDocument/2006/relationships/hyperlink" Target="https://twitter.com/Clickedu" TargetMode="External" Id="rId3215" /><Relationship Type="http://schemas.openxmlformats.org/officeDocument/2006/relationships/hyperlink" Target="https://www.linkedin.com/company/clickart" TargetMode="External" Id="rId3216" /><Relationship Type="http://schemas.openxmlformats.org/officeDocument/2006/relationships/hyperlink" Target="https://drive.google.com/uc?export=view&amp;id=1qceBVyrs2rT7cz31zEOEnGk-Yqq1n0g_" TargetMode="External" Id="rId3217" /><Relationship Type="http://schemas.openxmlformats.org/officeDocument/2006/relationships/hyperlink" Target="https://cognitivekids.org/" TargetMode="External" Id="rId3218" /><Relationship Type="http://schemas.openxmlformats.org/officeDocument/2006/relationships/hyperlink" Target="https://drive.google.com/uc?export=view&amp;id=1Ngn7mRDTCWb2lroudAxMChbZnSp6LMgm" TargetMode="External" Id="rId3219" /><Relationship Type="http://schemas.openxmlformats.org/officeDocument/2006/relationships/hyperlink" Target="https://www.collegial.com/" TargetMode="External" Id="rId3220" /><Relationship Type="http://schemas.openxmlformats.org/officeDocument/2006/relationships/hyperlink" Target="https://www.linkedin.com/company/collegial" TargetMode="External" Id="rId3221" /><Relationship Type="http://schemas.openxmlformats.org/officeDocument/2006/relationships/hyperlink" Target="https://drive.google.com/uc?export=view&amp;id=1Lqx7jRwazc0Wir5-0OLIP9z1MyGc3D7j" TargetMode="External" Id="rId3222" /><Relationship Type="http://schemas.openxmlformats.org/officeDocument/2006/relationships/hyperlink" Target="https://constel-education.com/" TargetMode="External" Id="rId3223" /><Relationship Type="http://schemas.openxmlformats.org/officeDocument/2006/relationships/hyperlink" Target="http://www.differ.chat/" TargetMode="External" Id="rId3224" /><Relationship Type="http://schemas.openxmlformats.org/officeDocument/2006/relationships/hyperlink" Target="https://www.linkedin.com/company/4858076" TargetMode="External" Id="rId3225" /><Relationship Type="http://schemas.openxmlformats.org/officeDocument/2006/relationships/hyperlink" Target="https://drive.google.com/uc?export=view&amp;id=1_tRAy_FvJ-Ot-YMISHJrw6EZI4U18--j" TargetMode="External" Id="rId3226" /><Relationship Type="http://schemas.openxmlformats.org/officeDocument/2006/relationships/hyperlink" Target="https://dothegap.com/en/" TargetMode="External" Id="rId3227" /><Relationship Type="http://schemas.openxmlformats.org/officeDocument/2006/relationships/hyperlink" Target="https://www.instagram.com/dothegap_/" TargetMode="External" Id="rId3228" /><Relationship Type="http://schemas.openxmlformats.org/officeDocument/2006/relationships/hyperlink" Target="https://twitter.com/dothegap_/" TargetMode="External" Id="rId3229" /><Relationship Type="http://schemas.openxmlformats.org/officeDocument/2006/relationships/hyperlink" Target="https://www.linkedin.com/company/dothegap/" TargetMode="External" Id="rId3230" /><Relationship Type="http://schemas.openxmlformats.org/officeDocument/2006/relationships/hyperlink" Target="https://drive.google.com/uc?export=view&amp;id=1ZVfkYVM2r-wvkHOgxkar9wt90WH1f8vT" TargetMode="External" Id="rId3231" /><Relationship Type="http://schemas.openxmlformats.org/officeDocument/2006/relationships/hyperlink" Target="https://www.edebe.com/" TargetMode="External" Id="rId3232" /><Relationship Type="http://schemas.openxmlformats.org/officeDocument/2006/relationships/hyperlink" Target="https://twitter.com/GRUPOEDEBE" TargetMode="External" Id="rId3233" /><Relationship Type="http://schemas.openxmlformats.org/officeDocument/2006/relationships/hyperlink" Target="https://es.linkedin.com/company/editorial-edebe" TargetMode="External" Id="rId3234" /><Relationship Type="http://schemas.openxmlformats.org/officeDocument/2006/relationships/hyperlink" Target="http://www.educai.io/" TargetMode="External" Id="rId3235" /><Relationship Type="http://schemas.openxmlformats.org/officeDocument/2006/relationships/hyperlink" Target="https://drive.google.com/uc?export=view&amp;id=1LtHl4GHi8mq_z-xUJU8CKwAKA7iO0mT1" TargetMode="External" Id="rId3236" /><Relationship Type="http://schemas.openxmlformats.org/officeDocument/2006/relationships/hyperlink" Target="http://www.education21.eu/" TargetMode="External" Id="rId3237" /><Relationship Type="http://schemas.openxmlformats.org/officeDocument/2006/relationships/hyperlink" Target="https://drive.google.com/uc?export=view&amp;id=1yewQgz9lGIx6vIwBydUvhoSDRH27vgbP" TargetMode="External" Id="rId3238" /><Relationship Type="http://schemas.openxmlformats.org/officeDocument/2006/relationships/hyperlink" Target="http://www.edulai.com/" TargetMode="External" Id="rId3239" /><Relationship Type="http://schemas.openxmlformats.org/officeDocument/2006/relationships/hyperlink" Target="https://www.linkedin.com/company/edulai/?viewAsMember=true" TargetMode="External" Id="rId3240" /><Relationship Type="http://schemas.openxmlformats.org/officeDocument/2006/relationships/hyperlink" Target="https://drive.google.com/uc?export=view&amp;id=1MZcWK6cYNPu312bSWVJNQolzvZJl3gPb" TargetMode="External" Id="rId3241" /><Relationship Type="http://schemas.openxmlformats.org/officeDocument/2006/relationships/hyperlink" Target="https://www.edunity.co/" TargetMode="External" Id="rId3242" /><Relationship Type="http://schemas.openxmlformats.org/officeDocument/2006/relationships/hyperlink" Target="https://drive.google.com/uc?export=view&amp;id=1Xl4iLrsi_HG17hr6iPza5Mh2UTQ-z0VZ" TargetMode="External" Id="rId3243" /><Relationship Type="http://schemas.openxmlformats.org/officeDocument/2006/relationships/hyperlink" Target="https://www.linkedin.com/company/edvisor-finland" TargetMode="External" Id="rId3244" /><Relationship Type="http://schemas.openxmlformats.org/officeDocument/2006/relationships/hyperlink" Target="https://drive.google.com/uc?export=view&amp;id=1sxeT0AR03cWM7ltPrK-AQok2-pYoe0ZZ" TargetMode="External" Id="rId3245" /><Relationship Type="http://schemas.openxmlformats.org/officeDocument/2006/relationships/hyperlink" Target="http://www.edvisto.com/" TargetMode="External" Id="rId3246" /><Relationship Type="http://schemas.openxmlformats.org/officeDocument/2006/relationships/hyperlink" Target="https://drive.google.com/uc?export=view&amp;id=173V9Q6sjBpCD4cCxivSUEwWjnJxnRbvJ" TargetMode="External" Id="rId3247" /><Relationship Type="http://schemas.openxmlformats.org/officeDocument/2006/relationships/hyperlink" Target="http://square.lepreschools.com/" TargetMode="External" Id="rId3248" /><Relationship Type="http://schemas.openxmlformats.org/officeDocument/2006/relationships/hyperlink" Target="https://drive.google.com/uc?export=view&amp;id=1HNwxln9o1bCIFCAmEflCZ9iBrhWsBg3k" TargetMode="External" Id="rId3249" /><Relationship Type="http://schemas.openxmlformats.org/officeDocument/2006/relationships/hyperlink" Target="http://www.evulpo.com/" TargetMode="External" Id="rId3250" /><Relationship Type="http://schemas.openxmlformats.org/officeDocument/2006/relationships/hyperlink" Target="https://drive.google.com/uc?export=view&amp;id=1vAuKQP2l0r89bV89zMzZfeYYFA1Zd-eg" TargetMode="External" Id="rId3251" /><Relationship Type="http://schemas.openxmlformats.org/officeDocument/2006/relationships/hyperlink" Target="https://examsforzoom.com/" TargetMode="External" Id="rId3252" /><Relationship Type="http://schemas.openxmlformats.org/officeDocument/2006/relationships/hyperlink" Target="https://drive.google.com/uc?export=view&amp;id=1cQjKSAkHW43xkuT1CbXedzS81KAOEPZF" TargetMode="External" Id="rId3253" /><Relationship Type="http://schemas.openxmlformats.org/officeDocument/2006/relationships/hyperlink" Target="http://www.fullspektrum.co.uk/" TargetMode="External" Id="rId3254" /><Relationship Type="http://schemas.openxmlformats.org/officeDocument/2006/relationships/hyperlink" Target="https://drive.google.com/uc?export=view&amp;id=1bAvVthCr02Tc_X97oLvmK6WrX7OZeeDv" TargetMode="External" Id="rId3255" /><Relationship Type="http://schemas.openxmlformats.org/officeDocument/2006/relationships/hyperlink" Target="https://www.gamedoo.it/" TargetMode="External" Id="rId3256" /><Relationship Type="http://schemas.openxmlformats.org/officeDocument/2006/relationships/hyperlink" Target="https://www.linkedin.com/company/gamedoo" TargetMode="External" Id="rId3257" /><Relationship Type="http://schemas.openxmlformats.org/officeDocument/2006/relationships/hyperlink" Target="https://drive.google.com/uc?export=view&amp;id=1xjVYpE8jPDaqO1QnCHXKY9SvC2SvzFVa" TargetMode="External" Id="rId3258" /><Relationship Type="http://schemas.openxmlformats.org/officeDocument/2006/relationships/hyperlink" Target="http://www.gten.uk/" TargetMode="External" Id="rId3259" /><Relationship Type="http://schemas.openxmlformats.org/officeDocument/2006/relationships/hyperlink" Target="https://drive.google.com/uc?export=view&amp;id=1jxnCYv5l03Nd5OrW9uo7EKrV0Rrw2ZgD" TargetMode="External" Id="rId3260" /><Relationship Type="http://schemas.openxmlformats.org/officeDocument/2006/relationships/hyperlink" Target="http://www.grave.cool/" TargetMode="External" Id="rId3261" /><Relationship Type="http://schemas.openxmlformats.org/officeDocument/2006/relationships/hyperlink" Target="https://www.linkedin.com/company/grave-cool/" TargetMode="External" Id="rId3262" /><Relationship Type="http://schemas.openxmlformats.org/officeDocument/2006/relationships/hyperlink" Target="https://drive.google.com/uc?export=view&amp;id=1ga3CmUt7yGrbhgfZSJxyrPoGz3KV9ckb" TargetMode="External" Id="rId3263" /><Relationship Type="http://schemas.openxmlformats.org/officeDocument/2006/relationships/hyperlink" Target="http://www.guideeducation.co.uk/" TargetMode="External" Id="rId3264" /><Relationship Type="http://schemas.openxmlformats.org/officeDocument/2006/relationships/hyperlink" Target="https://drive.google.com/uc?export=view&amp;id=19VnHOFBYiRYJUWuLO1HZ0W8x7FB2Sl0P" TargetMode="External" Id="rId3265" /><Relationship Type="http://schemas.openxmlformats.org/officeDocument/2006/relationships/hyperlink" Target="http://www.h4young.it/" TargetMode="External" Id="rId3266" /><Relationship Type="http://schemas.openxmlformats.org/officeDocument/2006/relationships/hyperlink" Target="https://www.linkedin.com/company/h4young" TargetMode="External" Id="rId3267" /><Relationship Type="http://schemas.openxmlformats.org/officeDocument/2006/relationships/hyperlink" Target="https://drive.google.com/uc?export=view&amp;id=1fLoaUuARhF5hJMgNySGm5ze6zpPr2Uvj" TargetMode="External" Id="rId3268" /><Relationship Type="http://schemas.openxmlformats.org/officeDocument/2006/relationships/hyperlink" Target="https://www.hololink.io/" TargetMode="External" Id="rId3269" /><Relationship Type="http://schemas.openxmlformats.org/officeDocument/2006/relationships/hyperlink" Target="https://www.linkedin.com/company/23690079" TargetMode="External" Id="rId3270" /><Relationship Type="http://schemas.openxmlformats.org/officeDocument/2006/relationships/hyperlink" Target="https://drive.google.com/uc?export=view&amp;id=1s8VP7Fqjc7X3U2J0piL-pI5agyT-Fzhn" TargetMode="External" Id="rId3271" /><Relationship Type="http://schemas.openxmlformats.org/officeDocument/2006/relationships/hyperlink" Target="https://www.holyowly.com/" TargetMode="External" Id="rId3272" /><Relationship Type="http://schemas.openxmlformats.org/officeDocument/2006/relationships/hyperlink" Target="https://www.instagram.com/holyowlyapp/?hl=fr" TargetMode="External" Id="rId3273" /><Relationship Type="http://schemas.openxmlformats.org/officeDocument/2006/relationships/hyperlink" Target="https://twitter.com/HolyOwlyApp?ref_src=twsrc%5Egoogle%7Ctwcamp%5Eserp%7Ctwgr%5Eauthor" TargetMode="External" Id="rId3274" /><Relationship Type="http://schemas.openxmlformats.org/officeDocument/2006/relationships/hyperlink" Target="https://www.linkedin.com/company/holy-owly-app/?originalSubdomain=fr" TargetMode="External" Id="rId3275" /><Relationship Type="http://schemas.openxmlformats.org/officeDocument/2006/relationships/hyperlink" Target="https://drive.google.com/uc?export=view&amp;id=1cMaC9znsQMT5AF9twNzp_kFuIBn-3Y0h" TargetMode="External" Id="rId3276" /><Relationship Type="http://schemas.openxmlformats.org/officeDocument/2006/relationships/hyperlink" Target="http://www.huhcorporate.com/" TargetMode="External" Id="rId3277" /><Relationship Type="http://schemas.openxmlformats.org/officeDocument/2006/relationships/hyperlink" Target="https://drive.google.com/uc?export=view&amp;id=1NJUL6eclXUWLh5YZAVoAV8A735aZLHCw" TargetMode="External" Id="rId3278" /><Relationship Type="http://schemas.openxmlformats.org/officeDocument/2006/relationships/hyperlink" Target="https://www.iexa.it/" TargetMode="External" Id="rId3279" /><Relationship Type="http://schemas.openxmlformats.org/officeDocument/2006/relationships/hyperlink" Target="https://drive.google.com/uc?export=view&amp;id=14lMi8IvIfDpc-U1HSyr850-cIRi2ZF0g" TargetMode="External" Id="rId3280" /><Relationship Type="http://schemas.openxmlformats.org/officeDocument/2006/relationships/hyperlink" Target="http://www.imtlazarus.com/" TargetMode="External" Id="rId3281" /><Relationship Type="http://schemas.openxmlformats.org/officeDocument/2006/relationships/hyperlink" Target="https://twitter.com/IMTLazarus_EN" TargetMode="External" Id="rId3282" /><Relationship Type="http://schemas.openxmlformats.org/officeDocument/2006/relationships/hyperlink" Target="https://es.linkedin.com/company/imtlazarus" TargetMode="External" Id="rId3283" /><Relationship Type="http://schemas.openxmlformats.org/officeDocument/2006/relationships/hyperlink" Target="https://drive.google.com/uc?export=view&amp;id=173KfMTzwbhXC9kva11Z4fAZaOcL6S2aP" TargetMode="External" Id="rId3284" /><Relationship Type="http://schemas.openxmlformats.org/officeDocument/2006/relationships/hyperlink" Target="https://www.interfora-ifaip.fr/" TargetMode="External" Id="rId3285" /><Relationship Type="http://schemas.openxmlformats.org/officeDocument/2006/relationships/hyperlink" Target="https://www.instagram.com/interfora_ifaip/" TargetMode="External" Id="rId3286" /><Relationship Type="http://schemas.openxmlformats.org/officeDocument/2006/relationships/hyperlink" Target="https://twitter.com/Interfora_Ifaip" TargetMode="External" Id="rId3287" /><Relationship Type="http://schemas.openxmlformats.org/officeDocument/2006/relationships/hyperlink" Target="https://www.linkedin.com/company/interfora-ifaip/" TargetMode="External" Id="rId3288" /><Relationship Type="http://schemas.openxmlformats.org/officeDocument/2006/relationships/hyperlink" Target="https://drive.google.com/uc?export=view&amp;id=1LOaY9H53U_PbwFFxBCzno9ZLNy9XoUrQ" TargetMode="External" Id="rId3289" /><Relationship Type="http://schemas.openxmlformats.org/officeDocument/2006/relationships/hyperlink" Target="https://www.jungleprogram.com/" TargetMode="External" Id="rId3290" /><Relationship Type="http://schemas.openxmlformats.org/officeDocument/2006/relationships/hyperlink" Target="https://twitter.com/jungleprogram" TargetMode="External" Id="rId3291" /><Relationship Type="http://schemas.openxmlformats.org/officeDocument/2006/relationships/hyperlink" Target="https://www.linkedin.com/school/jungleprogram" TargetMode="External" Id="rId3292" /><Relationship Type="http://schemas.openxmlformats.org/officeDocument/2006/relationships/hyperlink" Target="https://kiron.digital/" TargetMode="External" Id="rId3293" /><Relationship Type="http://schemas.openxmlformats.org/officeDocument/2006/relationships/hyperlink" Target="https://drive.google.com/uc?export=view&amp;id=1LsOoOykKzqrTGROuCPsZETbdb2PRPjFW" TargetMode="External" Id="rId3294" /><Relationship Type="http://schemas.openxmlformats.org/officeDocument/2006/relationships/hyperlink" Target="https://www.kronos.fr/" TargetMode="External" Id="rId3295" /><Relationship Type="http://schemas.openxmlformats.org/officeDocument/2006/relationships/hyperlink" Target="https://drive.google.com/uc?export=view&amp;id=1FEZ6r1CdlG7vxHY_OTIsNF0FnxbHOzPi" TargetMode="External" Id="rId3296" /><Relationship Type="http://schemas.openxmlformats.org/officeDocument/2006/relationships/hyperlink" Target="http://lainnovationkitchen.com/" TargetMode="External" Id="rId3297" /><Relationship Type="http://schemas.openxmlformats.org/officeDocument/2006/relationships/hyperlink" Target="https://drive.google.com/uc?export=view&amp;id=1d0iLg0HA6WZQNwzkpCEa4ROxe7vaKIum" TargetMode="External" Id="rId3298" /><Relationship Type="http://schemas.openxmlformats.org/officeDocument/2006/relationships/hyperlink" Target="http://www.premifarm.com/" TargetMode="External" Id="rId3299" /><Relationship Type="http://schemas.openxmlformats.org/officeDocument/2006/relationships/hyperlink" Target="https://www.instagram.com/premifarm/" TargetMode="External" Id="rId3300" /><Relationship Type="http://schemas.openxmlformats.org/officeDocument/2006/relationships/hyperlink" Target="https://drive.google.com/uc?export=view&amp;id=1l3HxNAWC1AeSIRDqRCDhl5PvB87X5h-A" TargetMode="External" Id="rId3301" /><Relationship Type="http://schemas.openxmlformats.org/officeDocument/2006/relationships/hyperlink" Target="http://labla.net/" TargetMode="External" Id="rId3302" /><Relationship Type="http://schemas.openxmlformats.org/officeDocument/2006/relationships/hyperlink" Target="https://drive.google.com/uc?export=view&amp;id=1rINpLjvPr4ml2VKhJ0lJf_0610NrjaSG" TargetMode="External" Id="rId3303" /><Relationship Type="http://schemas.openxmlformats.org/officeDocument/2006/relationships/hyperlink" Target="http://www.languageteams.com/" TargetMode="External" Id="rId3304" /><Relationship Type="http://schemas.openxmlformats.org/officeDocument/2006/relationships/hyperlink" Target="https://drive.google.com/uc?export=view&amp;id=1hLqxpjqiJEV7fFTAkA2Ptqt-HOTtUclf" TargetMode="External" Id="rId3305" /><Relationship Type="http://schemas.openxmlformats.org/officeDocument/2006/relationships/hyperlink" Target="http://www.learn-more.eu/" TargetMode="External" Id="rId3306" /><Relationship Type="http://schemas.openxmlformats.org/officeDocument/2006/relationships/hyperlink" Target="https://www.linkedin.com/company/learnmore" TargetMode="External" Id="rId3307" /><Relationship Type="http://schemas.openxmlformats.org/officeDocument/2006/relationships/hyperlink" Target="https://drive.google.com/uc?export=view&amp;id=1qvdpm26fbOQ2XTHvWJlKI8FqVmfeFeMc" TargetMode="External" Id="rId3308" /><Relationship Type="http://schemas.openxmlformats.org/officeDocument/2006/relationships/hyperlink" Target="http://www.learnship.com/" TargetMode="External" Id="rId3309" /><Relationship Type="http://schemas.openxmlformats.org/officeDocument/2006/relationships/hyperlink" Target="https://drive.google.com/uc?export=view&amp;id=1En0y1sVPIl3ZcYDdaoHgcj2g8m_9Vcb5" TargetMode="External" Id="rId3310" /><Relationship Type="http://schemas.openxmlformats.org/officeDocument/2006/relationships/hyperlink" Target="http://www.levato.no/" TargetMode="External" Id="rId3311" /><Relationship Type="http://schemas.openxmlformats.org/officeDocument/2006/relationships/hyperlink" Target="https://drive.google.com/uc?export=view&amp;id=1FYPmR5doSU53OFph63hwrdX8hWXg31YL" TargetMode="External" Id="rId3312" /><Relationship Type="http://schemas.openxmlformats.org/officeDocument/2006/relationships/hyperlink" Target="http://lincolnmethod.com/" TargetMode="External" Id="rId3313" /><Relationship Type="http://schemas.openxmlformats.org/officeDocument/2006/relationships/hyperlink" Target="https://drive.google.com/uc?export=view&amp;id=1GlHYV1QGYuGK8K0sr1_Z3swv-sn0FA-x" TargetMode="External" Id="rId3314" /><Relationship Type="http://schemas.openxmlformats.org/officeDocument/2006/relationships/hyperlink" Target="https://www.lingua-amigos.com/" TargetMode="External" Id="rId3315" /><Relationship Type="http://schemas.openxmlformats.org/officeDocument/2006/relationships/hyperlink" Target="https://drive.google.com/uc?export=view&amp;id=1DTQu3aOiOyH7AJmTEnJu0oJwYJASxIhF" TargetMode="External" Id="rId3316" /><Relationship Type="http://schemas.openxmlformats.org/officeDocument/2006/relationships/hyperlink" Target="https://mainbot.me/" TargetMode="External" Id="rId3317" /><Relationship Type="http://schemas.openxmlformats.org/officeDocument/2006/relationships/hyperlink" Target="https://twitter.com/mainbotme" TargetMode="External" Id="rId3318" /><Relationship Type="http://schemas.openxmlformats.org/officeDocument/2006/relationships/hyperlink" Target="https://www.linkedin.com/company/mainbot/mycompany/" TargetMode="External" Id="rId3319" /><Relationship Type="http://schemas.openxmlformats.org/officeDocument/2006/relationships/hyperlink" Target="https://drive.google.com/uc?export=view&amp;id=1keCWKxnVgGNmXPPT0-Z45l2YAZFFCPFC" TargetMode="External" Id="rId3320" /><Relationship Type="http://schemas.openxmlformats.org/officeDocument/2006/relationships/hyperlink" Target="http://masttia.com/" TargetMode="External" Id="rId3321" /><Relationship Type="http://schemas.openxmlformats.org/officeDocument/2006/relationships/hyperlink" Target="https://drive.google.com/uc?export=view&amp;id=1vCgKxCOBQYOE3mSNfoQStmG48H71zuxc" TargetMode="External" Id="rId3322" /><Relationship Type="http://schemas.openxmlformats.org/officeDocument/2006/relationships/hyperlink" Target="http://www.meinunterricht.de/" TargetMode="External" Id="rId3323" /><Relationship Type="http://schemas.openxmlformats.org/officeDocument/2006/relationships/hyperlink" Target="https://drive.google.com/uc?export=view&amp;id=1PMNCTuK9cqjFrG0k_c9E0dOsb8nFFmX1" TargetMode="External" Id="rId3324" /><Relationship Type="http://schemas.openxmlformats.org/officeDocument/2006/relationships/hyperlink" Target="https://company.memby.org/" TargetMode="External" Id="rId3325" /><Relationship Type="http://schemas.openxmlformats.org/officeDocument/2006/relationships/hyperlink" Target="https://drive.google.com/uc?export=view&amp;id=1X_TduXYnN-dDDNEGVi_-xBdx9nu0sS0b" TargetMode="External" Id="rId3326" /><Relationship Type="http://schemas.openxmlformats.org/officeDocument/2006/relationships/hyperlink" Target="https://mentorgoal.com/" TargetMode="External" Id="rId3327" /><Relationship Type="http://schemas.openxmlformats.org/officeDocument/2006/relationships/hyperlink" Target="https://drive.google.com/uc?export=view&amp;id=16hr25lzjVp1OfT9H3e1fvZfHGo6VFdh1" TargetMode="External" Id="rId3328" /><Relationship Type="http://schemas.openxmlformats.org/officeDocument/2006/relationships/hyperlink" Target="https://www.metaed.school/" TargetMode="External" Id="rId3329" /><Relationship Type="http://schemas.openxmlformats.org/officeDocument/2006/relationships/hyperlink" Target="http://www.moipanda.com/" TargetMode="External" Id="rId3330" /><Relationship Type="http://schemas.openxmlformats.org/officeDocument/2006/relationships/hyperlink" Target="https://drive.google.com/uc?export=view&amp;id=191pn5U3stLrtaiCKDnAWz8gNidh9l4Al" TargetMode="External" Id="rId3331" /><Relationship Type="http://schemas.openxmlformats.org/officeDocument/2006/relationships/hyperlink" Target="https://www.mydataprotection.world/" TargetMode="External" Id="rId3332" /><Relationship Type="http://schemas.openxmlformats.org/officeDocument/2006/relationships/hyperlink" Target="https://drive.google.com/uc?export=view&amp;id=1HjHBZOFgbvSAalKajK_KY3ax1MzgBsUi" TargetMode="External" Id="rId3333" /><Relationship Type="http://schemas.openxmlformats.org/officeDocument/2006/relationships/hyperlink" Target="http://naimrod.com/" TargetMode="External" Id="rId3334" /><Relationship Type="http://schemas.openxmlformats.org/officeDocument/2006/relationships/hyperlink" Target="https://drive.google.com/uc?export=view&amp;id=1EEuu_E6NqhcxsCHD4ELZ1DsZ30jLYS3J" TargetMode="External" Id="rId3335" /><Relationship Type="http://schemas.openxmlformats.org/officeDocument/2006/relationships/hyperlink" Target="https://www.novatice.com/" TargetMode="External" Id="rId3336" /><Relationship Type="http://schemas.openxmlformats.org/officeDocument/2006/relationships/hyperlink" Target="https://twitter.com/NovaticeTech" TargetMode="External" Id="rId3337" /><Relationship Type="http://schemas.openxmlformats.org/officeDocument/2006/relationships/hyperlink" Target="https://www.linkedin.com/company/novatice/" TargetMode="External" Id="rId3338" /><Relationship Type="http://schemas.openxmlformats.org/officeDocument/2006/relationships/hyperlink" Target="https://drive.google.com/uc?export=view&amp;id=17CDnpDVWJVNkjXPjxCeYixjOHlaHb61f" TargetMode="External" Id="rId3339" /><Relationship Type="http://schemas.openxmlformats.org/officeDocument/2006/relationships/hyperlink" Target="http://www.oktonine.com/" TargetMode="External" Id="rId3340" /><Relationship Type="http://schemas.openxmlformats.org/officeDocument/2006/relationships/hyperlink" Target="https://www.linkedin.com/company/oktonine" TargetMode="External" Id="rId3341" /><Relationship Type="http://schemas.openxmlformats.org/officeDocument/2006/relationships/hyperlink" Target="https://drive.google.com/uc?export=view&amp;id=1S_WdB3w1Yg5rnjw4irIFDSGEqxosxuMU" TargetMode="External" Id="rId3342" /><Relationship Type="http://schemas.openxmlformats.org/officeDocument/2006/relationships/hyperlink" Target="http://www.placetolearn.fr/" TargetMode="External" Id="rId3343" /><Relationship Type="http://schemas.openxmlformats.org/officeDocument/2006/relationships/hyperlink" Target="https://drive.google.com/uc?export=view&amp;id=1mZzi_c5NfU_h2tdxi6AVtiKwTnfy_l3_" TargetMode="External" Id="rId3344" /><Relationship Type="http://schemas.openxmlformats.org/officeDocument/2006/relationships/hyperlink" Target="https://qlosr.se/skola/" TargetMode="External" Id="rId3345" /><Relationship Type="http://schemas.openxmlformats.org/officeDocument/2006/relationships/hyperlink" Target="https://www.linkedin.com/company/qlosr-ab/mycompany/" TargetMode="External" Id="rId3346" /><Relationship Type="http://schemas.openxmlformats.org/officeDocument/2006/relationships/hyperlink" Target="https://drive.google.com/uc?export=view&amp;id=1WtttCqoXImTMuJLSidez_UBy20amODRP" TargetMode="External" Id="rId3347" /><Relationship Type="http://schemas.openxmlformats.org/officeDocument/2006/relationships/hyperlink" Target="http://www.fullstreet.co/" TargetMode="External" Id="rId3348" /><Relationship Type="http://schemas.openxmlformats.org/officeDocument/2006/relationships/hyperlink" Target="https://www.linkedin.com/company/fullstreet" TargetMode="External" Id="rId3349" /><Relationship Type="http://schemas.openxmlformats.org/officeDocument/2006/relationships/hyperlink" Target="https://drive.google.com/uc?export=view&amp;id=1FrJe0rEBZ3Fcou02KCujv-DNlgjTUfC4" TargetMode="External" Id="rId3350" /><Relationship Type="http://schemas.openxmlformats.org/officeDocument/2006/relationships/hyperlink" Target="http://scobees.com/" TargetMode="External" Id="rId3351" /><Relationship Type="http://schemas.openxmlformats.org/officeDocument/2006/relationships/hyperlink" Target="https://drive.google.com/uc?export=view&amp;id=1OOtFfs3FVMbshDFilyvReyPuDOH0GF_Q" TargetMode="External" Id="rId3352" /><Relationship Type="http://schemas.openxmlformats.org/officeDocument/2006/relationships/hyperlink" Target="https://www.skola24.com/" TargetMode="External" Id="rId3353" /><Relationship Type="http://schemas.openxmlformats.org/officeDocument/2006/relationships/hyperlink" Target="https://www.instagram.com/skola24" TargetMode="External" Id="rId3354" /><Relationship Type="http://schemas.openxmlformats.org/officeDocument/2006/relationships/hyperlink" Target="https://www.linkedin.com/company/skola24/mycompany/?viewAsMember=true" TargetMode="External" Id="rId3355" /><Relationship Type="http://schemas.openxmlformats.org/officeDocument/2006/relationships/hyperlink" Target="https://drive.google.com/uc?export=view&amp;id=1_mYi7St9K0GQSD6pdgL34rwtjLu4myXX" TargetMode="External" Id="rId3356" /><Relationship Type="http://schemas.openxmlformats.org/officeDocument/2006/relationships/hyperlink" Target="https://www.start2impact.com/" TargetMode="External" Id="rId3357" /><Relationship Type="http://schemas.openxmlformats.org/officeDocument/2006/relationships/hyperlink" Target="https://drive.google.com/uc?export=view&amp;id=1jEbBvhLEFTFmQQcyn8D-bJWKTlunt6Ua" TargetMode="External" Id="rId3358" /><Relationship Type="http://schemas.openxmlformats.org/officeDocument/2006/relationships/hyperlink" Target="https://www.startlab-education.com/en" TargetMode="External" Id="rId3359" /><Relationship Type="http://schemas.openxmlformats.org/officeDocument/2006/relationships/hyperlink" Target="https://www.linkedin.com/company/fastlane-education/?viewAsMember=true" TargetMode="External" Id="rId3360" /><Relationship Type="http://schemas.openxmlformats.org/officeDocument/2006/relationships/hyperlink" Target="https://drive.google.com/uc?export=view&amp;id=1miKp0nzXbN-SMhjJKyfAqB215r20D14v" TargetMode="External" Id="rId3361" /><Relationship Type="http://schemas.openxmlformats.org/officeDocument/2006/relationships/hyperlink" Target="https://storyals.com/" TargetMode="External" Id="rId3362" /><Relationship Type="http://schemas.openxmlformats.org/officeDocument/2006/relationships/hyperlink" Target="https://www.instagram.com/storyals_/" TargetMode="External" Id="rId3363" /><Relationship Type="http://schemas.openxmlformats.org/officeDocument/2006/relationships/hyperlink" Target="https://twitter.com/Storyals_" TargetMode="External" Id="rId3364" /><Relationship Type="http://schemas.openxmlformats.org/officeDocument/2006/relationships/hyperlink" Target="https://www.linkedin.com/company/storyals/" TargetMode="External" Id="rId3365" /><Relationship Type="http://schemas.openxmlformats.org/officeDocument/2006/relationships/hyperlink" Target="https://drive.google.com/uc?export=view&amp;id=1vfqEgCbDipVxz0cKRsRo6A0-4j2O0eWP" TargetMode="External" Id="rId3366" /><Relationship Type="http://schemas.openxmlformats.org/officeDocument/2006/relationships/hyperlink" Target="http://www.studycentral.eu/" TargetMode="External" Id="rId3367" /><Relationship Type="http://schemas.openxmlformats.org/officeDocument/2006/relationships/hyperlink" Target="https://drive.google.com/uc?export=view&amp;id=1YSYfnrNgaLtZH5hubpGOBAaUyXQK393Q" TargetMode="External" Id="rId3368" /><Relationship Type="http://schemas.openxmlformats.org/officeDocument/2006/relationships/hyperlink" Target="https://stuudium.com/" TargetMode="External" Id="rId3369" /><Relationship Type="http://schemas.openxmlformats.org/officeDocument/2006/relationships/hyperlink" Target="https://drive.google.com/uc?export=view&amp;id=1nznwHt_LH3nTgLIr6zXkQDYR4ZSCaNqE" TargetMode="External" Id="rId3370" /><Relationship Type="http://schemas.openxmlformats.org/officeDocument/2006/relationships/hyperlink" Target="https://usophy.com/" TargetMode="External" Id="rId3371" /><Relationship Type="http://schemas.openxmlformats.org/officeDocument/2006/relationships/hyperlink" Target="https://www.instagram.com/usophy_books/" TargetMode="External" Id="rId3372" /><Relationship Type="http://schemas.openxmlformats.org/officeDocument/2006/relationships/hyperlink" Target="https://www.linkedin.com/company/usophy" TargetMode="External" Id="rId3373" /><Relationship Type="http://schemas.openxmlformats.org/officeDocument/2006/relationships/hyperlink" Target="https://drive.google.com/uc?export=view&amp;id=1dBnQ0FmUzBP-laXDtmtfx5dtXuUlMKvc" TargetMode="External" Id="rId3374" /><Relationship Type="http://schemas.openxmlformats.org/officeDocument/2006/relationships/hyperlink" Target="https://visiblyhq.com/" TargetMode="External" Id="rId3375" /><Relationship Type="http://schemas.openxmlformats.org/officeDocument/2006/relationships/hyperlink" Target="https://drive.google.com/uc?export=view&amp;id=1UTZF8YwWtwxhOT11z5gDbgymHIVkuX2p" TargetMode="External" Id="rId3376" /><Relationship Type="http://schemas.openxmlformats.org/officeDocument/2006/relationships/hyperlink" Target="https://wibo.app/" TargetMode="External" Id="rId3377" /><Relationship Type="http://schemas.openxmlformats.org/officeDocument/2006/relationships/hyperlink" Target="https://www.instagram.com/wibo.family/" TargetMode="External" Id="rId3378" /><Relationship Type="http://schemas.openxmlformats.org/officeDocument/2006/relationships/hyperlink" Target="https://www.linkedin.com/company/wiboapp/" TargetMode="External" Id="rId3379" /><Relationship Type="http://schemas.openxmlformats.org/officeDocument/2006/relationships/hyperlink" Target="https://drive.google.com/uc?export=view&amp;id=1OAe2L3Xn1xHCy5KMWQsykLWYXs92J1vv" TargetMode="External" Id="rId3380" /><Relationship Type="http://schemas.openxmlformats.org/officeDocument/2006/relationships/hyperlink" Target="https://www.wef.education/" TargetMode="External" Id="rId3381" /><Relationship Type="http://schemas.openxmlformats.org/officeDocument/2006/relationships/hyperlink" Target="https://it.linkedin.com/company/wonderfuleducation" TargetMode="External" Id="rId3382" /><Relationship Type="http://schemas.openxmlformats.org/officeDocument/2006/relationships/hyperlink" Target="https://drive.google.com/uc?export=view&amp;id=1u_ilA_MMlH_8XOOoUrxXAxw81xb5AfUv" TargetMode="External" Id="rId3383" /><Relationship Type="http://schemas.openxmlformats.org/officeDocument/2006/relationships/hyperlink" Target="https://www.ximdex.com/" TargetMode="External" Id="rId3384" /><Relationship Type="http://schemas.openxmlformats.org/officeDocument/2006/relationships/hyperlink" Target="https://twitter.com/ximdex" TargetMode="External" Id="rId3385" /><Relationship Type="http://schemas.openxmlformats.org/officeDocument/2006/relationships/hyperlink" Target="https://www.linkedin.com/company/ximdex" TargetMode="External" Id="rId3386" /><Relationship Type="http://schemas.openxmlformats.org/officeDocument/2006/relationships/hyperlink" Target="https://drive.google.com/uc?export=view&amp;id=1YS76ueaqGBQVwjri4R2Mxg-nC6fNm3Ey" TargetMode="External" Id="rId3387" /><Relationship Type="http://schemas.openxmlformats.org/officeDocument/2006/relationships/hyperlink" Target="http://www.xrconsole.net/" TargetMode="External" Id="rId3388" /><Relationship Type="http://schemas.openxmlformats.org/officeDocument/2006/relationships/hyperlink" Target="https://www.linkedin.com/company/xrconsole" TargetMode="External" Id="rId3389" /><Relationship Type="http://schemas.openxmlformats.org/officeDocument/2006/relationships/hyperlink" Target="https://drive.google.com/uc?export=view&amp;id=1FNlObN3rntGIE_wLr9hXRWcjDrhrHak2" TargetMode="External" Id="rId3390" /><Relationship Type="http://schemas.openxmlformats.org/officeDocument/2006/relationships/hyperlink" Target="http://zapiens.ai/" TargetMode="External" Id="rId3391" /><Relationship Type="http://schemas.openxmlformats.org/officeDocument/2006/relationships/hyperlink" Target="https://zapiens.ai/" TargetMode="External" Id="rId3392" /><Relationship Type="http://schemas.openxmlformats.org/officeDocument/2006/relationships/hyperlink" Target="https://drive.google.com/uc?export=view&amp;id=1Jug6aKOywa74jh867TJJ3qNGBYzluz7Z" TargetMode="External" Id="rId3393" /><Relationship Type="http://schemas.openxmlformats.org/officeDocument/2006/relationships/hyperlink" Target="https://4indata.com/fr/" TargetMode="External" Id="rId3394" /><Relationship Type="http://schemas.openxmlformats.org/officeDocument/2006/relationships/hyperlink" Target="https://drive.google.com/uc?export=view&amp;id=18O4BIdudHf_Cn21RGpL2QCN0tybnoJ19" TargetMode="External" Id="rId3395" /><Relationship Type="http://schemas.openxmlformats.org/officeDocument/2006/relationships/hyperlink" Target="https://www.5miles.nl/" TargetMode="External" Id="rId3396" /><Relationship Type="http://schemas.openxmlformats.org/officeDocument/2006/relationships/hyperlink" Target="https://www.instagram.com/5mileshq/" TargetMode="External" Id="rId3397" /><Relationship Type="http://schemas.openxmlformats.org/officeDocument/2006/relationships/hyperlink" Target="https://twitter.com/5milesHQ/" TargetMode="External" Id="rId3398" /><Relationship Type="http://schemas.openxmlformats.org/officeDocument/2006/relationships/hyperlink" Target="https://www.linkedin.com/company/5miles/" TargetMode="External" Id="rId3399" /><Relationship Type="http://schemas.openxmlformats.org/officeDocument/2006/relationships/hyperlink" Target="https://drive.google.com/uc?export=view&amp;id=1InudfeaVxj--tjRsSJE3W4hhdKVrU1ps" TargetMode="External" Id="rId3400" /><Relationship Type="http://schemas.openxmlformats.org/officeDocument/2006/relationships/hyperlink" Target="https://www.algoreducation.com/" TargetMode="External" Id="rId3401" /><Relationship Type="http://schemas.openxmlformats.org/officeDocument/2006/relationships/hyperlink" Target="https://drive.google.com/uc?export=view&amp;id=1nCgMiupgH6gzSJbHvg0x5KpUQ_i6v3II" TargetMode="External" Id="rId3402" /><Relationship Type="http://schemas.openxmlformats.org/officeDocument/2006/relationships/hyperlink" Target="https://askiraski.no/" TargetMode="External" Id="rId3403" /><Relationship Type="http://schemas.openxmlformats.org/officeDocument/2006/relationships/hyperlink" Target="https://www.instagram.com/askiraskinorge/" TargetMode="External" Id="rId3404" /><Relationship Type="http://schemas.openxmlformats.org/officeDocument/2006/relationships/hyperlink" Target="https://www.linkedin.com/company/aski-raski-as/" TargetMode="External" Id="rId3405" /><Relationship Type="http://schemas.openxmlformats.org/officeDocument/2006/relationships/hyperlink" Target="https://drive.google.com/uc?export=view&amp;id=12ahJ1GmDHL5RsvQf1_BueJp6zLrtwtlE" TargetMode="External" Id="rId3406" /><Relationship Type="http://schemas.openxmlformats.org/officeDocument/2006/relationships/hyperlink" Target="https://www.aupairbutrfly.com/" TargetMode="External" Id="rId3407" /><Relationship Type="http://schemas.openxmlformats.org/officeDocument/2006/relationships/hyperlink" Target="https://drive.google.com/uc?export=view&amp;id=1fl6_hsnV2PD138NPaNgJByG-KFZ1msWS" TargetMode="External" Id="rId3408" /><Relationship Type="http://schemas.openxmlformats.org/officeDocument/2006/relationships/hyperlink" Target="https://beyondthebox.it/" TargetMode="External" Id="rId3409" /><Relationship Type="http://schemas.openxmlformats.org/officeDocument/2006/relationships/hyperlink" Target="https://www.instagram.com/_beyondthebox_/" TargetMode="External" Id="rId3410" /><Relationship Type="http://schemas.openxmlformats.org/officeDocument/2006/relationships/hyperlink" Target="https://www.linkedin.com/company/sharingcompetencies/?viewAsMember=true" TargetMode="External" Id="rId3411" /><Relationship Type="http://schemas.openxmlformats.org/officeDocument/2006/relationships/hyperlink" Target="https://drive.google.com/uc?export=view&amp;id=1eAOStAsEFJzYvdYASrhiWfIeSKuj4Vp-" TargetMode="External" Id="rId3412" /><Relationship Type="http://schemas.openxmlformats.org/officeDocument/2006/relationships/hyperlink" Target="https://boksnok.de/" TargetMode="External" Id="rId3413" /><Relationship Type="http://schemas.openxmlformats.org/officeDocument/2006/relationships/hyperlink" Target="https://drive.google.com/uc?export=view&amp;id=1ciBeCVvmEgHTxhdW7i2O7KVetsC79GxP" TargetMode="External" Id="rId3414" /><Relationship Type="http://schemas.openxmlformats.org/officeDocument/2006/relationships/hyperlink" Target="http://corp.bookrkids.com/" TargetMode="External" Id="rId3415" /><Relationship Type="http://schemas.openxmlformats.org/officeDocument/2006/relationships/hyperlink" Target="https://drive.google.com/uc?export=view&amp;id=1zlDBPLKYwmzyt1x9u41pDB6JqNpoLTqR" TargetMode="External" Id="rId3416" /><Relationship Type="http://schemas.openxmlformats.org/officeDocument/2006/relationships/hyperlink" Target="https://clanbeat.com/" TargetMode="External" Id="rId3417" /><Relationship Type="http://schemas.openxmlformats.org/officeDocument/2006/relationships/hyperlink" Target="https://instagram.com/clanbeat" TargetMode="External" Id="rId3418" /><Relationship Type="http://schemas.openxmlformats.org/officeDocument/2006/relationships/hyperlink" Target="https://twitter.com/ClanbeatApp" TargetMode="External" Id="rId3419" /><Relationship Type="http://schemas.openxmlformats.org/officeDocument/2006/relationships/hyperlink" Target="https://www.linkedin.com/company/clanbeat-education/" TargetMode="External" Id="rId3420" /><Relationship Type="http://schemas.openxmlformats.org/officeDocument/2006/relationships/hyperlink" Target="https://drive.google.com/uc?export=view&amp;id=1yqo5yj5FlZY6wmuVmyMVJhT1ADnV2kAV" TargetMode="External" Id="rId3421" /><Relationship Type="http://schemas.openxmlformats.org/officeDocument/2006/relationships/hyperlink" Target="https://join.courseticket.com/" TargetMode="External" Id="rId3422" /><Relationship Type="http://schemas.openxmlformats.org/officeDocument/2006/relationships/hyperlink" Target="https://www.linkedin.com/company/courseticket-com" TargetMode="External" Id="rId3423" /><Relationship Type="http://schemas.openxmlformats.org/officeDocument/2006/relationships/hyperlink" Target="https://drive.google.com/uc?export=view&amp;id=1E7_a2TFwuEiwZQCppHPJYOnjJupGZQ47" TargetMode="External" Id="rId3424" /><Relationship Type="http://schemas.openxmlformats.org/officeDocument/2006/relationships/hyperlink" Target="https://cyberedu.ro/" TargetMode="External" Id="rId3425" /><Relationship Type="http://schemas.openxmlformats.org/officeDocument/2006/relationships/hyperlink" Target="https://drive.google.com/uc?export=view&amp;id=1Me2Yr-3JYg0rlFMKUX5LvwSPSsVm8rin" TargetMode="External" Id="rId3426" /><Relationship Type="http://schemas.openxmlformats.org/officeDocument/2006/relationships/hyperlink" Target="https://www.digiexam.com/" TargetMode="External" Id="rId3427" /><Relationship Type="http://schemas.openxmlformats.org/officeDocument/2006/relationships/hyperlink" Target="https://twitter.com/DigiExam" TargetMode="External" Id="rId3428" /><Relationship Type="http://schemas.openxmlformats.org/officeDocument/2006/relationships/hyperlink" Target="https://www.linkedin.com/company/digiexams" TargetMode="External" Id="rId3429" /><Relationship Type="http://schemas.openxmlformats.org/officeDocument/2006/relationships/hyperlink" Target="https://drive.google.com/uc?export=view&amp;id=1qvs908scc6Aal-klOcbuahuWnTu1LdLs" TargetMode="External" Id="rId3430" /><Relationship Type="http://schemas.openxmlformats.org/officeDocument/2006/relationships/hyperlink" Target="https://www.educationdigitale.com/" TargetMode="External" Id="rId3431" /><Relationship Type="http://schemas.openxmlformats.org/officeDocument/2006/relationships/hyperlink" Target="https://www.linkedin.com/company/%C3%A9ducation-digitale/" TargetMode="External" Id="rId3432" /><Relationship Type="http://schemas.openxmlformats.org/officeDocument/2006/relationships/hyperlink" Target="https://drive.google.com/uc?export=view&amp;id=1FYhDkLHvQycAP3E_b1nxIpFuP9FrvfVp" TargetMode="External" Id="rId3433" /><Relationship Type="http://schemas.openxmlformats.org/officeDocument/2006/relationships/hyperlink" Target="http://www.edulinxs.club/" TargetMode="External" Id="rId3434" /><Relationship Type="http://schemas.openxmlformats.org/officeDocument/2006/relationships/hyperlink" Target="https://drive.google.com/uc?export=view&amp;id=1MdHnXnvnuV6XXcjUrsDFZIiG1ls7L_dM" TargetMode="External" Id="rId3435" /><Relationship Type="http://schemas.openxmlformats.org/officeDocument/2006/relationships/hyperlink" Target="https://www.eduxim.com/" TargetMode="External" Id="rId3436" /><Relationship Type="http://schemas.openxmlformats.org/officeDocument/2006/relationships/hyperlink" Target="https://twitter.com/eduximapp" TargetMode="External" Id="rId3437" /><Relationship Type="http://schemas.openxmlformats.org/officeDocument/2006/relationships/hyperlink" Target="https://www.linkedin.com/company/eduxim" TargetMode="External" Id="rId3438" /><Relationship Type="http://schemas.openxmlformats.org/officeDocument/2006/relationships/hyperlink" Target="https://drive.google.com/uc?export=view&amp;id=1zwmzypNMh3xWzmnktR4CEVROKUIm4iH4" TargetMode="External" Id="rId3439" /><Relationship Type="http://schemas.openxmlformats.org/officeDocument/2006/relationships/hyperlink" Target="http://www.eisf.fr/" TargetMode="External" Id="rId3440" /><Relationship Type="http://schemas.openxmlformats.org/officeDocument/2006/relationships/hyperlink" Target="https://www.instagram.com/e_i_s_f/" TargetMode="External" Id="rId3441" /><Relationship Type="http://schemas.openxmlformats.org/officeDocument/2006/relationships/hyperlink" Target="https://www.linkedin.com/company/27158557/admin/feed/posts/?feedType=following" TargetMode="External" Id="rId3442" /><Relationship Type="http://schemas.openxmlformats.org/officeDocument/2006/relationships/hyperlink" Target="https://drive.google.com/uc?export=view&amp;id=1CTWyvYoxaPe_FLOGdKKVjHkGRUZoS9um" TargetMode="External" Id="rId3443" /><Relationship Type="http://schemas.openxmlformats.org/officeDocument/2006/relationships/hyperlink" Target="https://farmaleaderstalento.com/" TargetMode="External" Id="rId3444" /><Relationship Type="http://schemas.openxmlformats.org/officeDocument/2006/relationships/hyperlink" Target="https://drive.google.com/uc?export=view&amp;id=1lwRkUIaufzIjvDHq6iULrUvrn3WVZ7-i" TargetMode="External" Id="rId3445" /><Relationship Type="http://schemas.openxmlformats.org/officeDocument/2006/relationships/hyperlink" Target="https://www.frenchlab.io/" TargetMode="External" Id="rId3446" /><Relationship Type="http://schemas.openxmlformats.org/officeDocument/2006/relationships/hyperlink" Target="https://www.linkedin.com/company/french-lab/?viewAsMember=true" TargetMode="External" Id="rId3447" /><Relationship Type="http://schemas.openxmlformats.org/officeDocument/2006/relationships/hyperlink" Target="https://drive.google.com/uc?export=view&amp;id=10zIFETR9VnCQbzphZqFNUseA67Zdj6UO" TargetMode="External" Id="rId3448" /><Relationship Type="http://schemas.openxmlformats.org/officeDocument/2006/relationships/hyperlink" Target="https://halfonse.com/" TargetMode="External" Id="rId3449" /><Relationship Type="http://schemas.openxmlformats.org/officeDocument/2006/relationships/hyperlink" Target="https://twitter.com/GetHalfonse" TargetMode="External" Id="rId3450" /><Relationship Type="http://schemas.openxmlformats.org/officeDocument/2006/relationships/hyperlink" Target="https://www.linkedin.com/company/halfonse" TargetMode="External" Id="rId3451" /><Relationship Type="http://schemas.openxmlformats.org/officeDocument/2006/relationships/hyperlink" Target="https://drive.google.com/uc?export=view&amp;id=1dhZWAW57pRo4MtrONDpYx4V5CxzN81Gn" TargetMode="External" Id="rId3452" /><Relationship Type="http://schemas.openxmlformats.org/officeDocument/2006/relationships/hyperlink" Target="https://www.hellowork-group.com/" TargetMode="External" Id="rId3453" /><Relationship Type="http://schemas.openxmlformats.org/officeDocument/2006/relationships/hyperlink" Target="https://twitter.com/helloworkgroup" TargetMode="External" Id="rId3454" /><Relationship Type="http://schemas.openxmlformats.org/officeDocument/2006/relationships/hyperlink" Target="https://www.linkedin.com/company/helloworkcom/" TargetMode="External" Id="rId3455" /><Relationship Type="http://schemas.openxmlformats.org/officeDocument/2006/relationships/hyperlink" Target="http://maformation.fr/" TargetMode="External" Id="rId3456" /><Relationship Type="http://schemas.openxmlformats.org/officeDocument/2006/relationships/hyperlink" Target="https://drive.google.com/uc?export=view&amp;id=1y1mKcFMyZQAk-Cu9psKnqN9bF75hOfaL" TargetMode="External" Id="rId3457" /><Relationship Type="http://schemas.openxmlformats.org/officeDocument/2006/relationships/hyperlink" Target="http://www.hypnoledge.com/" TargetMode="External" Id="rId3458" /><Relationship Type="http://schemas.openxmlformats.org/officeDocument/2006/relationships/hyperlink" Target="https://www.instagram.com/hypnoledge/" TargetMode="External" Id="rId3459" /><Relationship Type="http://schemas.openxmlformats.org/officeDocument/2006/relationships/hyperlink" Target="https://www.linkedin.com/company/hypnoledge" TargetMode="External" Id="rId3460" /><Relationship Type="http://schemas.openxmlformats.org/officeDocument/2006/relationships/hyperlink" Target="https://drive.google.com/uc?export=view&amp;id=1pRQ55hCd9YswBOb9F2DHaFOPDkdwbZ54" TargetMode="External" Id="rId3461" /><Relationship Type="http://schemas.openxmlformats.org/officeDocument/2006/relationships/hyperlink" Target="https://kobiapp.io/" TargetMode="External" Id="rId3462" /><Relationship Type="http://schemas.openxmlformats.org/officeDocument/2006/relationships/hyperlink" Target="https://drive.google.com/uc?export=view&amp;id=1DKvbZiSfu6NtenK9icr0BAbJfKvTHPqV" TargetMode="External" Id="rId3463" /><Relationship Type="http://schemas.openxmlformats.org/officeDocument/2006/relationships/hyperlink" Target="http://liber.se/" TargetMode="External" Id="rId3464" /><Relationship Type="http://schemas.openxmlformats.org/officeDocument/2006/relationships/hyperlink" Target="https://www.linkedin.com/company/liber-ab" TargetMode="External" Id="rId3465" /><Relationship Type="http://schemas.openxmlformats.org/officeDocument/2006/relationships/hyperlink" Target="https://drive.google.com/uc?export=view&amp;id=1Z0cvhsQA8I_GgnDTJ64_s1PQHJUOwCDV" TargetMode="External" Id="rId3466" /><Relationship Type="http://schemas.openxmlformats.org/officeDocument/2006/relationships/hyperlink" Target="https://lifeed.io/en/" TargetMode="External" Id="rId3467" /><Relationship Type="http://schemas.openxmlformats.org/officeDocument/2006/relationships/hyperlink" Target="https://drive.google.com/uc?export=view&amp;id=14yaaUe2PSEVHUwQi8Zo7gTqTJPpns8xT" TargetMode="External" Id="rId3468" /><Relationship Type="http://schemas.openxmlformats.org/officeDocument/2006/relationships/hyperlink" Target="http://www.meek.ventures/" TargetMode="External" Id="rId3469" /><Relationship Type="http://schemas.openxmlformats.org/officeDocument/2006/relationships/hyperlink" Target="https://drive.google.com/uc?export=view&amp;id=1os1Xez8U30hKK1JTpHDUCvcK-LvrRvtg" TargetMode="External" Id="rId3470" /><Relationship Type="http://schemas.openxmlformats.org/officeDocument/2006/relationships/hyperlink" Target="https://mightifier.com/" TargetMode="External" Id="rId3471" /><Relationship Type="http://schemas.openxmlformats.org/officeDocument/2006/relationships/hyperlink" Target="https://drive.google.com/uc?export=view&amp;id=1BHhnIib2H2NWAc8-XhTTmarNh3YdPwaI" TargetMode="External" Id="rId3472" /><Relationship Type="http://schemas.openxmlformats.org/officeDocument/2006/relationships/hyperlink" Target="https://www.myclassevirtuelle.fr/" TargetMode="External" Id="rId3473" /><Relationship Type="http://schemas.openxmlformats.org/officeDocument/2006/relationships/hyperlink" Target="https://twitter.com/MyVClassroom" TargetMode="External" Id="rId3474" /><Relationship Type="http://schemas.openxmlformats.org/officeDocument/2006/relationships/hyperlink" Target="https://www.linkedin.com/company/my-virtual-classroom/" TargetMode="External" Id="rId3475" /><Relationship Type="http://schemas.openxmlformats.org/officeDocument/2006/relationships/hyperlink" Target="https://drive.google.com/uc?export=view&amp;id=1klq0uLURnL21FWjhjfpJxJhcnzvpB35Q" TargetMode="External" Id="rId3476" /><Relationship Type="http://schemas.openxmlformats.org/officeDocument/2006/relationships/hyperlink" Target="https://nomadeducation.fr/" TargetMode="External" Id="rId3477" /><Relationship Type="http://schemas.openxmlformats.org/officeDocument/2006/relationships/hyperlink" Target="https://www.instagram.com/nomad_education/" TargetMode="External" Id="rId3478" /><Relationship Type="http://schemas.openxmlformats.org/officeDocument/2006/relationships/hyperlink" Target="https://twitter.com/nomadeducation?lang=fr" TargetMode="External" Id="rId3479" /><Relationship Type="http://schemas.openxmlformats.org/officeDocument/2006/relationships/hyperlink" Target="https://www.linkedin.com/company/nomad-education" TargetMode="External" Id="rId3480" /><Relationship Type="http://schemas.openxmlformats.org/officeDocument/2006/relationships/hyperlink" Target="https://drive.google.com/uc?export=view&amp;id=1_wweovvH_7FtaOfaLmIdqqNR4kQ7A276" TargetMode="External" Id="rId3481" /><Relationship Type="http://schemas.openxmlformats.org/officeDocument/2006/relationships/hyperlink" Target="http://www.perfectlyspoken.com/" TargetMode="External" Id="rId3482" /><Relationship Type="http://schemas.openxmlformats.org/officeDocument/2006/relationships/hyperlink" Target="https://drive.google.com/uc?export=view&amp;id=1uKcYx5AuDuhTH0Is6daQe3dj_rD7a7jj" TargetMode="External" Id="rId3483" /><Relationship Type="http://schemas.openxmlformats.org/officeDocument/2006/relationships/hyperlink" Target="http://www.rockbotic.com/" TargetMode="External" Id="rId3484" /><Relationship Type="http://schemas.openxmlformats.org/officeDocument/2006/relationships/hyperlink" Target="https://drive.google.com/uc?export=view&amp;id=1mcTtk7dikufJVG_9_BC-qT47FEHd21nE" TargetMode="External" Id="rId3485" /><Relationship Type="http://schemas.openxmlformats.org/officeDocument/2006/relationships/hyperlink" Target="https://www.simtrade.com/" TargetMode="External" Id="rId3486" /><Relationship Type="http://schemas.openxmlformats.org/officeDocument/2006/relationships/hyperlink" Target="https://drive.google.com/uc?export=view&amp;id=1fKHXcgPf-g0xmCjeuTNRIHN9Z_0juRNC" TargetMode="External" Id="rId3487" /><Relationship Type="http://schemas.openxmlformats.org/officeDocument/2006/relationships/hyperlink" Target="https://www.spxlab.com/" TargetMode="External" Id="rId3488" /><Relationship Type="http://schemas.openxmlformats.org/officeDocument/2006/relationships/hyperlink" Target="https://drive.google.com/uc?export=view&amp;id=1uKSlqxsQEZ1vOH19B0FaL48UwEOAvWBs" TargetMode="External" Id="rId3489" /><Relationship Type="http://schemas.openxmlformats.org/officeDocument/2006/relationships/hyperlink" Target="https://www.stratsys.com/" TargetMode="External" Id="rId3490" /><Relationship Type="http://schemas.openxmlformats.org/officeDocument/2006/relationships/hyperlink" Target="https://www.linkedin.com/company/stratsys/mycompany/verification/" TargetMode="External" Id="rId3491" /><Relationship Type="http://schemas.openxmlformats.org/officeDocument/2006/relationships/hyperlink" Target="https://www.teachonmars.com/" TargetMode="External" Id="rId3492" /><Relationship Type="http://schemas.openxmlformats.org/officeDocument/2006/relationships/hyperlink" Target="https://www.instagram.com/teachonmarsfr/" TargetMode="External" Id="rId3493" /><Relationship Type="http://schemas.openxmlformats.org/officeDocument/2006/relationships/hyperlink" Target="https://twitter.com/TeachonMarsfr" TargetMode="External" Id="rId3494" /><Relationship Type="http://schemas.openxmlformats.org/officeDocument/2006/relationships/hyperlink" Target="https://www.linkedin.com/company/teach-on-mars/" TargetMode="External" Id="rId3495" /><Relationship Type="http://schemas.openxmlformats.org/officeDocument/2006/relationships/hyperlink" Target="https://drive.google.com/uc?export=view&amp;id=1pwL-tiOHYjkp1ORNV9aQtNAF2S90Im14" TargetMode="External" Id="rId3496" /><Relationship Type="http://schemas.openxmlformats.org/officeDocument/2006/relationships/hyperlink" Target="https://www.linkedin.com/company/teachers-lead-tech/mycompany/?viewAsMember=true" TargetMode="External" Id="rId3497" /><Relationship Type="http://schemas.openxmlformats.org/officeDocument/2006/relationships/hyperlink" Target="https://www.linkedin.com/company/teachers-lead-tech/about/?viewAsMember=true" TargetMode="External" Id="rId3498" /><Relationship Type="http://schemas.openxmlformats.org/officeDocument/2006/relationships/hyperlink" Target="https://drive.google.com/uc?export=view&amp;id=1fKPPoRVDCo28EdqAjxHjsTgzJClB4iZ4" TargetMode="External" Id="rId3499" /><Relationship Type="http://schemas.openxmlformats.org/officeDocument/2006/relationships/hyperlink" Target="http://www.twentyoneskills.de/" TargetMode="External" Id="rId3500" /><Relationship Type="http://schemas.openxmlformats.org/officeDocument/2006/relationships/hyperlink" Target="https://drive.google.com/uc?export=view&amp;id=1VzirD7DC1hTZKWXw0vUbkKPoB41CVUik" TargetMode="External" Id="rId3501" /><Relationship Type="http://schemas.openxmlformats.org/officeDocument/2006/relationships/hyperlink" Target="https://www.holavilma.com/" TargetMode="External" Id="rId3502" /><Relationship Type="http://schemas.openxmlformats.org/officeDocument/2006/relationships/hyperlink" Target="https://drive.google.com/uc?export=view&amp;id=1HU9tuKqV6FPahvdKKhpw6vRYIGB-n1s1" TargetMode="External" Id="rId3503" /><Relationship Type="http://schemas.openxmlformats.org/officeDocument/2006/relationships/hyperlink" Target="https://wf3.fr/" TargetMode="External" Id="rId3504" /><Relationship Type="http://schemas.openxmlformats.org/officeDocument/2006/relationships/hyperlink" Target="https://www.instagram.com/webforce3" TargetMode="External" Id="rId3505" /><Relationship Type="http://schemas.openxmlformats.org/officeDocument/2006/relationships/hyperlink" Target="https://twitter.com/WebForce3" TargetMode="External" Id="rId3506" /><Relationship Type="http://schemas.openxmlformats.org/officeDocument/2006/relationships/hyperlink" Target="https://www.linkedin.com/school/webforce3/mycompany/" TargetMode="External" Id="rId3507" /><Relationship Type="http://schemas.openxmlformats.org/officeDocument/2006/relationships/hyperlink" Target="https://drive.google.com/uc?export=view&amp;id=1a19O-fvtUrSnDS6PIVl4Lz3SglmxyVSD" TargetMode="External" Id="rId3508" /><Relationship Type="http://schemas.openxmlformats.org/officeDocument/2006/relationships/hyperlink" Target="http://www.wiloki.com/" TargetMode="External" Id="rId3509" /><Relationship Type="http://schemas.openxmlformats.org/officeDocument/2006/relationships/hyperlink" Target="https://www.instagram.com/wiloki_ai/" TargetMode="External" Id="rId3510" /><Relationship Type="http://schemas.openxmlformats.org/officeDocument/2006/relationships/hyperlink" Target="https://twitter.com/wiloki_ai" TargetMode="External" Id="rId3511" /><Relationship Type="http://schemas.openxmlformats.org/officeDocument/2006/relationships/hyperlink" Target="https://www.linkedin.com/company/wiloki/" TargetMode="External" Id="rId3512" /><Relationship Type="http://schemas.openxmlformats.org/officeDocument/2006/relationships/hyperlink" Target="https://drive.google.com/uc?export=view&amp;id=1aMe-VZ1lnKLVoCBZ34hml29Wb5wOOE98" TargetMode="External" Id="rId3513" /><Relationship Type="http://schemas.openxmlformats.org/officeDocument/2006/relationships/hyperlink" Target="https://www.beedeez.com/" TargetMode="External" Id="rId3514" /><Relationship Type="http://schemas.openxmlformats.org/officeDocument/2006/relationships/hyperlink" Target="https://twitter.com/BeedeezApp" TargetMode="External" Id="rId3515" /><Relationship Type="http://schemas.openxmlformats.org/officeDocument/2006/relationships/hyperlink" Target="https://www.linkedin.com/company/beedeez/" TargetMode="External" Id="rId3516" /><Relationship Type="http://schemas.openxmlformats.org/officeDocument/2006/relationships/hyperlink" Target="https://drive.google.com/uc?export=view&amp;id=1xvGBiT6oTPSfkRGtk8TU6yW5Ynszi0bA" TargetMode="External" Id="rId3517" /><Relationship Type="http://schemas.openxmlformats.org/officeDocument/2006/relationships/hyperlink" Target="http://www.bizexaminer.com/" TargetMode="External" Id="rId3518" /><Relationship Type="http://schemas.openxmlformats.org/officeDocument/2006/relationships/hyperlink" Target="https://www.linkedin.com/company/18919892/" TargetMode="External" Id="rId3519" /><Relationship Type="http://schemas.openxmlformats.org/officeDocument/2006/relationships/hyperlink" Target="https://drive.google.com/uc?export=view&amp;id=1dtutgcB5phIZGSNFjxYvziqprm__qwTd" TargetMode="External" Id="rId3520" /><Relationship Type="http://schemas.openxmlformats.org/officeDocument/2006/relationships/hyperlink" Target="http://www.cec.com/" TargetMode="External" Id="rId3521" /><Relationship Type="http://schemas.openxmlformats.org/officeDocument/2006/relationships/hyperlink" Target="https://drive.google.com/uc?export=view&amp;id=1PUV195jj5VHdsX86t6Pmu28V3H4GiJ4Z" TargetMode="External" Id="rId3522" /><Relationship Type="http://schemas.openxmlformats.org/officeDocument/2006/relationships/hyperlink" Target="http://www.companygame.com/" TargetMode="External" Id="rId3523" /><Relationship Type="http://schemas.openxmlformats.org/officeDocument/2006/relationships/hyperlink" Target="https://www.instagram.com/companygame_simuladores" TargetMode="External" Id="rId3524" /><Relationship Type="http://schemas.openxmlformats.org/officeDocument/2006/relationships/hyperlink" Target="https://twitter.com/companygame" TargetMode="External" Id="rId3525" /><Relationship Type="http://schemas.openxmlformats.org/officeDocument/2006/relationships/hyperlink" Target="https://es.linkedin.com/company/companygame" TargetMode="External" Id="rId3526" /><Relationship Type="http://schemas.openxmlformats.org/officeDocument/2006/relationships/hyperlink" Target="https://drive.google.com/uc?export=view&amp;id=1jrLBtwXWdujkPfQtRF9XAjBZg4n-n_HF" TargetMode="External" Id="rId3527" /><Relationship Type="http://schemas.openxmlformats.org/officeDocument/2006/relationships/hyperlink" Target="https://www.linkedin.cn/company/cultydata" TargetMode="External" Id="rId3528" /><Relationship Type="http://schemas.openxmlformats.org/officeDocument/2006/relationships/hyperlink" Target="https://drive.google.com/uc?export=view&amp;id=1Pb8rf-_bbwpKvcrm2cRyWVgXlUbkiDSn" TargetMode="External" Id="rId3529" /><Relationship Type="http://schemas.openxmlformats.org/officeDocument/2006/relationships/hyperlink" Target="https://www.im-c.com/de/at/" TargetMode="External" Id="rId3530" /><Relationship Type="http://schemas.openxmlformats.org/officeDocument/2006/relationships/hyperlink" Target="https://www.instagram.com/imc_learning/?hl=de" TargetMode="External" Id="rId3531" /><Relationship Type="http://schemas.openxmlformats.org/officeDocument/2006/relationships/hyperlink" Target="https://twitter.com/imc_learning" TargetMode="External" Id="rId3532" /><Relationship Type="http://schemas.openxmlformats.org/officeDocument/2006/relationships/hyperlink" Target="https://www.linkedin.com/company/109738/admin/" TargetMode="External" Id="rId3533" /><Relationship Type="http://schemas.openxmlformats.org/officeDocument/2006/relationships/hyperlink" Target="https://drive.google.com/uc?export=view&amp;id=1gdfZgbJP80bCuX24MmAYHEDY4nxJW2gR" TargetMode="External" Id="rId3534" /><Relationship Type="http://schemas.openxmlformats.org/officeDocument/2006/relationships/hyperlink" Target="http://www.innoduel.com/" TargetMode="External" Id="rId3535" /><Relationship Type="http://schemas.openxmlformats.org/officeDocument/2006/relationships/hyperlink" Target="https://twitter.com/innoduel" TargetMode="External" Id="rId3536" /><Relationship Type="http://schemas.openxmlformats.org/officeDocument/2006/relationships/hyperlink" Target="https://www.linkedin.com/company/innoduel" TargetMode="External" Id="rId3537" /><Relationship Type="http://schemas.openxmlformats.org/officeDocument/2006/relationships/hyperlink" Target="https://drive.google.com/uc?export=view&amp;id=1ED0h_SCTDi4w-wsxOF05RHVTItOfJsvW" TargetMode="External" Id="rId3538" /><Relationship Type="http://schemas.openxmlformats.org/officeDocument/2006/relationships/hyperlink" Target="https://www.lexplore.com/" TargetMode="External" Id="rId3539" /><Relationship Type="http://schemas.openxmlformats.org/officeDocument/2006/relationships/hyperlink" Target="https://instagram.com/lexploreinc" TargetMode="External" Id="rId3540" /><Relationship Type="http://schemas.openxmlformats.org/officeDocument/2006/relationships/hyperlink" Target="https://twitter.com/LexploreInc" TargetMode="External" Id="rId3541" /><Relationship Type="http://schemas.openxmlformats.org/officeDocument/2006/relationships/hyperlink" Target="https://www.linkedin.com/company/lexplore-global/" TargetMode="External" Id="rId3542" /><Relationship Type="http://schemas.openxmlformats.org/officeDocument/2006/relationships/hyperlink" Target="https://drive.google.com/uc?export=view&amp;id=1nRJiw6IGZE4MvGV75zFKV811KhrHJdy3" TargetMode="External" Id="rId3543" /><Relationship Type="http://schemas.openxmlformats.org/officeDocument/2006/relationships/hyperlink" Target="https://www.mrchadd.nl/" TargetMode="External" Id="rId3544" /><Relationship Type="http://schemas.openxmlformats.org/officeDocument/2006/relationships/hyperlink" Target="https://drive.google.com/uc?export=view&amp;id=14fT4FXXZ-YiTbXfbqJFqfnbu1XmeJx8C" TargetMode="External" Id="rId3545" /><Relationship Type="http://schemas.openxmlformats.org/officeDocument/2006/relationships/hyperlink" Target="http://myeducation.company/" TargetMode="External" Id="rId3546" /><Relationship Type="http://schemas.openxmlformats.org/officeDocument/2006/relationships/hyperlink" Target="https://drive.google.com/uc?export=view&amp;id=1DsOMND6IPzIUdf6Fhgw3TD4aVaEdsEnu" TargetMode="External" Id="rId3547" /><Relationship Type="http://schemas.openxmlformats.org/officeDocument/2006/relationships/hyperlink" Target="https://orientoi.fr/" TargetMode="External" Id="rId3548" /><Relationship Type="http://schemas.openxmlformats.org/officeDocument/2006/relationships/hyperlink" Target="https://www.instagram.com/orientoi.fr/" TargetMode="External" Id="rId3549" /><Relationship Type="http://schemas.openxmlformats.org/officeDocument/2006/relationships/hyperlink" Target="https://twitter.com/orientoi" TargetMode="External" Id="rId3550" /><Relationship Type="http://schemas.openxmlformats.org/officeDocument/2006/relationships/hyperlink" Target="https://www.linkedin.com/company/orientoi/" TargetMode="External" Id="rId3551" /><Relationship Type="http://schemas.openxmlformats.org/officeDocument/2006/relationships/hyperlink" Target="https://drive.google.com/uc?export=view&amp;id=17moXERTj1ZGNWUaqGQ6UBPoaHz-va5EF" TargetMode="External" Id="rId3552" /><Relationship Type="http://schemas.openxmlformats.org/officeDocument/2006/relationships/hyperlink" Target="https://www.linkedin.com/company/feedbackbox/" TargetMode="External" Id="rId3553" /><Relationship Type="http://schemas.openxmlformats.org/officeDocument/2006/relationships/hyperlink" Target="https://drive.google.com/uc?export=view&amp;id=1RGRmFCFoZkr1QaDuW2XCqtsw2RiGFA4d" TargetMode="External" Id="rId3554" /><Relationship Type="http://schemas.openxmlformats.org/officeDocument/2006/relationships/hyperlink" Target="http://www.praktikal.ee/en" TargetMode="External" Id="rId3555" /><Relationship Type="http://schemas.openxmlformats.org/officeDocument/2006/relationships/hyperlink" Target="https://www.instagram.com/praktikal_edu/" TargetMode="External" Id="rId3556" /><Relationship Type="http://schemas.openxmlformats.org/officeDocument/2006/relationships/hyperlink" Target="https://www.linkedin.com/company/74497960" TargetMode="External" Id="rId3557" /><Relationship Type="http://schemas.openxmlformats.org/officeDocument/2006/relationships/hyperlink" Target="https://drive.google.com/uc?export=view&amp;id=1DahPExhIF6iqK5-ftiAVwq9CGfTBMOOF" TargetMode="External" Id="rId3558" /><Relationship Type="http://schemas.openxmlformats.org/officeDocument/2006/relationships/hyperlink" Target="http://www.qubs.toys/" TargetMode="External" Id="rId3559" /><Relationship Type="http://schemas.openxmlformats.org/officeDocument/2006/relationships/hyperlink" Target="https://drive.google.com/uc?export=view&amp;id=18G2xDI5-8mV4ir5tfLVViKDuERCKjdF7" TargetMode="External" Id="rId3560" /><Relationship Type="http://schemas.openxmlformats.org/officeDocument/2006/relationships/hyperlink" Target="https://re-l.network/" TargetMode="External" Id="rId3561" /><Relationship Type="http://schemas.openxmlformats.org/officeDocument/2006/relationships/hyperlink" Target="https://drive.google.com/uc?export=view&amp;id=1Rl0kN3f3VuTBY5fY2ahciCgSG7vkgaaP" TargetMode="External" Id="rId3562" /><Relationship Type="http://schemas.openxmlformats.org/officeDocument/2006/relationships/hyperlink" Target="https://www.skolengo.com/en/" TargetMode="External" Id="rId3563" /><Relationship Type="http://schemas.openxmlformats.org/officeDocument/2006/relationships/hyperlink" Target="https://twitter.com/skolengo" TargetMode="External" Id="rId3564" /><Relationship Type="http://schemas.openxmlformats.org/officeDocument/2006/relationships/hyperlink" Target="https://drive.google.com/uc?export=view&amp;id=1Fr4xey2vcvAVdqnR9bN2y88ZENlS6Spc" TargetMode="External" Id="rId3565" /><Relationship Type="http://schemas.openxmlformats.org/officeDocument/2006/relationships/hyperlink" Target="https://skolon.com/" TargetMode="External" Id="rId3566" /><Relationship Type="http://schemas.openxmlformats.org/officeDocument/2006/relationships/hyperlink" Target="https://www.instagram.com/skolonsverige/?hl=en" TargetMode="External" Id="rId3567" /><Relationship Type="http://schemas.openxmlformats.org/officeDocument/2006/relationships/hyperlink" Target="https://www.linkedin.com/company/skolon/mycompany/" TargetMode="External" Id="rId3568" /><Relationship Type="http://schemas.openxmlformats.org/officeDocument/2006/relationships/hyperlink" Target="https://drive.google.com/uc?export=view&amp;id=1rgxspV0aJxBpygfV6i_6NJHZN9vRBHEU" TargetMode="External" Id="rId3569" /><Relationship Type="http://schemas.openxmlformats.org/officeDocument/2006/relationships/hyperlink" Target="https://assessmentq.com/?lang=en" TargetMode="External" Id="rId3570" /><Relationship Type="http://schemas.openxmlformats.org/officeDocument/2006/relationships/hyperlink" Target="https://drive.google.com/uc?export=view&amp;id=1JROZxNsm7AVJVqIsOsqAzx0nd97mn14k" TargetMode="External" Id="rId3571" /><Relationship Type="http://schemas.openxmlformats.org/officeDocument/2006/relationships/hyperlink" Target="https://themis.eu/" TargetMode="External" Id="rId3572" /><Relationship Type="http://schemas.openxmlformats.org/officeDocument/2006/relationships/hyperlink" Target="https://drive.google.com/uc?export=view&amp;id=1nlVzrTtyGmWy6H-gb8Jp30AwQQWArBiA" TargetMode="External" Id="rId3573" /><Relationship Type="http://schemas.openxmlformats.org/officeDocument/2006/relationships/hyperlink" Target="http://www.vividbooks.com/" TargetMode="External" Id="rId3574" /><Relationship Type="http://schemas.openxmlformats.org/officeDocument/2006/relationships/hyperlink" Target="https://drive.google.com/uc?export=view&amp;id=19kCFsDgYXiSDplXrz0QLBPeOW8Fm6ulA" TargetMode="External" Id="rId3575" /><Relationship Type="http://schemas.openxmlformats.org/officeDocument/2006/relationships/hyperlink" Target="https://altrifiumi.com/" TargetMode="External" Id="rId3576" /><Relationship Type="http://schemas.openxmlformats.org/officeDocument/2006/relationships/hyperlink" Target="https://drive.google.com/uc?export=view&amp;id=1eVPKvX4rFBGdpsV_nVFgQLD7-IW_MxbQ" TargetMode="External" Id="rId3577" /><Relationship Type="http://schemas.openxmlformats.org/officeDocument/2006/relationships/hyperlink" Target="http://simbound.com/" TargetMode="External" Id="rId3578" /><Relationship Type="http://schemas.openxmlformats.org/officeDocument/2006/relationships/hyperlink" Target="https://drive.google.com/uc?export=view&amp;id=1s4OZ7a7GYnpUhRSEZzRrEsNlrBbOoumR" TargetMode="External" Id="rId3579" /><Relationship Type="http://schemas.openxmlformats.org/officeDocument/2006/relationships/hyperlink" Target="https://www.astrideducation.com/" TargetMode="External" Id="rId3580" /><Relationship Type="http://schemas.openxmlformats.org/officeDocument/2006/relationships/hyperlink" Target="https://www.instagram.com/astrideducation/" TargetMode="External" Id="rId3581" /><Relationship Type="http://schemas.openxmlformats.org/officeDocument/2006/relationships/hyperlink" Target="https://twitter.com/astrideducation" TargetMode="External" Id="rId3582" /><Relationship Type="http://schemas.openxmlformats.org/officeDocument/2006/relationships/hyperlink" Target="https://www.linkedin.com/company/astrid-education" TargetMode="External" Id="rId3583" /><Relationship Type="http://schemas.openxmlformats.org/officeDocument/2006/relationships/hyperlink" Target="https://drive.google.com/uc?export=view&amp;id=13lP_0bfeg62-5ZCqTLTk3wnzQv1XKwBw" TargetMode="External" Id="rId3584" /><Relationship Type="http://schemas.openxmlformats.org/officeDocument/2006/relationships/hyperlink" Target="http://aulab.it/" TargetMode="External" Id="rId3585" /><Relationship Type="http://schemas.openxmlformats.org/officeDocument/2006/relationships/hyperlink" Target="https://www.bcdiploma.com/" TargetMode="External" Id="rId3586" /><Relationship Type="http://schemas.openxmlformats.org/officeDocument/2006/relationships/hyperlink" Target="https://twitter.com/BCDiploma" TargetMode="External" Id="rId3587" /><Relationship Type="http://schemas.openxmlformats.org/officeDocument/2006/relationships/hyperlink" Target="https://www.linkedin.com/company/blockchaincertifieddata" TargetMode="External" Id="rId3588" /><Relationship Type="http://schemas.openxmlformats.org/officeDocument/2006/relationships/hyperlink" Target="https://drive.google.com/uc?export=view&amp;id=1jgF-5lSUcH-u8WXqMzbtjbOqyoKtdIns" TargetMode="External" Id="rId3589" /><Relationship Type="http://schemas.openxmlformats.org/officeDocument/2006/relationships/hyperlink" Target="https://bizplay.ee/" TargetMode="External" Id="rId3590" /><Relationship Type="http://schemas.openxmlformats.org/officeDocument/2006/relationships/hyperlink" Target="https://www.linkedin.com/company/bizplay-o%C3%BC" TargetMode="External" Id="rId3591" /><Relationship Type="http://schemas.openxmlformats.org/officeDocument/2006/relationships/hyperlink" Target="https://drive.google.com/uc?export=view&amp;id=1JlPAvMlMYFYX5A0Bwxvo2YEnp47hgQfy" TargetMode="External" Id="rId3592" /><Relationship Type="http://schemas.openxmlformats.org/officeDocument/2006/relationships/hyperlink" Target="https://www.dokki.app/" TargetMode="External" Id="rId3593" /><Relationship Type="http://schemas.openxmlformats.org/officeDocument/2006/relationships/hyperlink" Target="https://www.instagram.com/dokkiapp" TargetMode="External" Id="rId3594" /><Relationship Type="http://schemas.openxmlformats.org/officeDocument/2006/relationships/hyperlink" Target="https://twitter.com/dokkiapp" TargetMode="External" Id="rId3595" /><Relationship Type="http://schemas.openxmlformats.org/officeDocument/2006/relationships/hyperlink" Target="https://www.linkedin.com/company/dokki" TargetMode="External" Id="rId3596" /><Relationship Type="http://schemas.openxmlformats.org/officeDocument/2006/relationships/hyperlink" Target="https://drive.google.com/uc?export=view&amp;id=1uFPKRU_mc0lOZWYzTkgtx16m4eGYXeF4" TargetMode="External" Id="rId3597" /><Relationship Type="http://schemas.openxmlformats.org/officeDocument/2006/relationships/hyperlink" Target="https://www.dynseo.com/en" TargetMode="External" Id="rId3598" /><Relationship Type="http://schemas.openxmlformats.org/officeDocument/2006/relationships/hyperlink" Target="https://www.instagram.com/coco_educationalgames/" TargetMode="External" Id="rId3599" /><Relationship Type="http://schemas.openxmlformats.org/officeDocument/2006/relationships/hyperlink" Target="https://www.linkedin.com/company/dynseo" TargetMode="External" Id="rId3600" /><Relationship Type="http://schemas.openxmlformats.org/officeDocument/2006/relationships/hyperlink" Target="https://drive.google.com/uc?export=view&amp;id=1bV1NLlGEtI69C60Koyh8oEFV7ei_SYTK" TargetMode="External" Id="rId3601" /><Relationship Type="http://schemas.openxmlformats.org/officeDocument/2006/relationships/hyperlink" Target="http://www.e-pitinglish.com/" TargetMode="External" Id="rId3602" /><Relationship Type="http://schemas.openxmlformats.org/officeDocument/2006/relationships/hyperlink" Target="https://drive.google.com/uc?export=view&amp;id=1z3_EfMU529IcyDjE6sICyEfO1KjnSH0C" TargetMode="External" Id="rId3603" /><Relationship Type="http://schemas.openxmlformats.org/officeDocument/2006/relationships/hyperlink" Target="http://www.edukare.fr/" TargetMode="External" Id="rId3604" /><Relationship Type="http://schemas.openxmlformats.org/officeDocument/2006/relationships/hyperlink" Target="https://drive.google.com/uc?export=view&amp;id=1ZV-gB3H0L106StF9dx07y077PVx0mQlJ" TargetMode="External" Id="rId3605" /><Relationship Type="http://schemas.openxmlformats.org/officeDocument/2006/relationships/hyperlink" Target="https://www.edumundo.com/home" TargetMode="External" Id="rId3606" /><Relationship Type="http://schemas.openxmlformats.org/officeDocument/2006/relationships/hyperlink" Target="https://drive.google.com/uc?export=view&amp;id=1_6JWyTz8R897Uo0FOjgZGG1X_jgpfLiY" TargetMode="External" Id="rId3607" /><Relationship Type="http://schemas.openxmlformats.org/officeDocument/2006/relationships/hyperlink" Target="http://www.evolutiel.com/" TargetMode="External" Id="rId3608" /><Relationship Type="http://schemas.openxmlformats.org/officeDocument/2006/relationships/hyperlink" Target="https://drive.google.com/uc?export=view&amp;id=1h7QWrA0dCXYIurTvpeD5ViaF6R_-9k8A" TargetMode="External" Id="rId3609" /><Relationship Type="http://schemas.openxmlformats.org/officeDocument/2006/relationships/hyperlink" Target="http://www.golearn.dk/" TargetMode="External" Id="rId3610" /><Relationship Type="http://schemas.openxmlformats.org/officeDocument/2006/relationships/hyperlink" Target="https://drive.google.com/uc?export=view&amp;id=1cyhB5pk1v9YEuEI-IKFPFWyNGDfTmH4L" TargetMode="External" Id="rId3611" /><Relationship Type="http://schemas.openxmlformats.org/officeDocument/2006/relationships/hyperlink" Target="http://howdou.net/" TargetMode="External" Id="rId3612" /><Relationship Type="http://schemas.openxmlformats.org/officeDocument/2006/relationships/hyperlink" Target="https://www.linkedin.com/company/evalve/" TargetMode="External" Id="rId3613" /><Relationship Type="http://schemas.openxmlformats.org/officeDocument/2006/relationships/hyperlink" Target="https://drive.google.com/uc?export=view&amp;id=1Fdo-da9NJNiDtDsNWYwwb2D_0_qirjCC" TargetMode="External" Id="rId3614" /><Relationship Type="http://schemas.openxmlformats.org/officeDocument/2006/relationships/hyperlink" Target="http://www.ist.com/" TargetMode="External" Id="rId3615" /><Relationship Type="http://schemas.openxmlformats.org/officeDocument/2006/relationships/hyperlink" Target="https://www.linkedin.com/company/ist-sverige-ab/" TargetMode="External" Id="rId3616" /><Relationship Type="http://schemas.openxmlformats.org/officeDocument/2006/relationships/hyperlink" Target="https://drive.google.com/uc?export=view&amp;id=1k2TYA4Q6roUCv7_UjExGyhoYLs24gVI1" TargetMode="External" Id="rId3617" /><Relationship Type="http://schemas.openxmlformats.org/officeDocument/2006/relationships/hyperlink" Target="https://www.kalyzee.com/en/" TargetMode="External" Id="rId3618" /><Relationship Type="http://schemas.openxmlformats.org/officeDocument/2006/relationships/hyperlink" Target="https://twitter.com/Kalyzee" TargetMode="External" Id="rId3619" /><Relationship Type="http://schemas.openxmlformats.org/officeDocument/2006/relationships/hyperlink" Target="https://www.linkedin.com/company/kalyz-e" TargetMode="External" Id="rId3620" /><Relationship Type="http://schemas.openxmlformats.org/officeDocument/2006/relationships/hyperlink" Target="https://drive.google.com/uc?export=view&amp;id=1B0Hi93eIeepsnwKKq_10us1Gsf78lf7W" TargetMode="External" Id="rId3621" /><Relationship Type="http://schemas.openxmlformats.org/officeDocument/2006/relationships/hyperlink" Target="http://www.kumullus.com/" TargetMode="External" Id="rId3622" /><Relationship Type="http://schemas.openxmlformats.org/officeDocument/2006/relationships/hyperlink" Target="https://drive.google.com/uc?export=view&amp;id=1U-EDrwZld5aZcySe-kRXjQmXTy9b9F3s" TargetMode="External" Id="rId3623" /><Relationship Type="http://schemas.openxmlformats.org/officeDocument/2006/relationships/hyperlink" Target="https://language-clubhouse.com/" TargetMode="External" Id="rId3624" /><Relationship Type="http://schemas.openxmlformats.org/officeDocument/2006/relationships/hyperlink" Target="https://www.instagram.com/language_clubhouse/" TargetMode="External" Id="rId3625" /><Relationship Type="http://schemas.openxmlformats.org/officeDocument/2006/relationships/hyperlink" Target="https://www.linkedin.com/company/language-clubhouse/?viewAsMember=true" TargetMode="External" Id="rId3626" /><Relationship Type="http://schemas.openxmlformats.org/officeDocument/2006/relationships/hyperlink" Target="https://drive.google.com/uc?export=view&amp;id=17tPygsG-MVINQNzYMvlgjJQcKDCybL7L" TargetMode="External" Id="rId3627" /><Relationship Type="http://schemas.openxmlformats.org/officeDocument/2006/relationships/hyperlink" Target="https://www.facebook.com/profile.php?id=100075119155258" TargetMode="External" Id="rId3628" /><Relationship Type="http://schemas.openxmlformats.org/officeDocument/2006/relationships/hyperlink" Target="https://drive.google.com/uc?export=view&amp;id=1gYiwJlyjv64UmVy316dVNgGXmJnLuY9S" TargetMode="External" Id="rId3629" /><Relationship Type="http://schemas.openxmlformats.org/officeDocument/2006/relationships/hyperlink" Target="https://marbotic.com/" TargetMode="External" Id="rId3630" /><Relationship Type="http://schemas.openxmlformats.org/officeDocument/2006/relationships/hyperlink" Target="https://www.instagram.com/marbotic/" TargetMode="External" Id="rId3631" /><Relationship Type="http://schemas.openxmlformats.org/officeDocument/2006/relationships/hyperlink" Target="https://twitter.com/marbotic" TargetMode="External" Id="rId3632" /><Relationship Type="http://schemas.openxmlformats.org/officeDocument/2006/relationships/hyperlink" Target="https://www.linkedin.com/company/marbotic" TargetMode="External" Id="rId3633" /><Relationship Type="http://schemas.openxmlformats.org/officeDocument/2006/relationships/hyperlink" Target="https://drive.google.com/uc?export=view&amp;id=1UlKnqcBY5rAjnfV7bY9JsHDlVtEEU1zX" TargetMode="External" Id="rId3634" /><Relationship Type="http://schemas.openxmlformats.org/officeDocument/2006/relationships/hyperlink" Target="https://www.mathquizily.com/" TargetMode="External" Id="rId3635" /><Relationship Type="http://schemas.openxmlformats.org/officeDocument/2006/relationships/hyperlink" Target="https://drive.google.com/uc?export=view&amp;id=1JaM1pBKfA-ru9EnLsTTnFNh-InnHjsLO" TargetMode="External" Id="rId3636" /><Relationship Type="http://schemas.openxmlformats.org/officeDocument/2006/relationships/hyperlink" Target="http://www.myjobglasses.com/" TargetMode="External" Id="rId3637" /><Relationship Type="http://schemas.openxmlformats.org/officeDocument/2006/relationships/hyperlink" Target="https://www.instagram.com/myjobglasses/" TargetMode="External" Id="rId3638" /><Relationship Type="http://schemas.openxmlformats.org/officeDocument/2006/relationships/hyperlink" Target="https://twitter.com/myjobglasses" TargetMode="External" Id="rId3639" /><Relationship Type="http://schemas.openxmlformats.org/officeDocument/2006/relationships/hyperlink" Target="https://www.linkedin.com/company/7585486" TargetMode="External" Id="rId3640" /><Relationship Type="http://schemas.openxmlformats.org/officeDocument/2006/relationships/hyperlink" Target="https://niryo.com/" TargetMode="External" Id="rId3641" /><Relationship Type="http://schemas.openxmlformats.org/officeDocument/2006/relationships/hyperlink" Target="https://drive.google.com/uc?export=view&amp;id=143_HP-7vU8twA5aAtNgJ9f6-tE0ifHJ_" TargetMode="External" Id="rId3642" /><Relationship Type="http://schemas.openxmlformats.org/officeDocument/2006/relationships/hyperlink" Target="https://www.nxus.eu/" TargetMode="External" Id="rId3643" /><Relationship Type="http://schemas.openxmlformats.org/officeDocument/2006/relationships/hyperlink" Target="https://drive.google.com/uc?export=view&amp;id=1ln8KY8MxUUdo2gxLavfnA-a_BfCWOyhY" TargetMode="External" Id="rId3644" /><Relationship Type="http://schemas.openxmlformats.org/officeDocument/2006/relationships/hyperlink" Target="https://prepmyfuture.com/fr" TargetMode="External" Id="rId3645" /><Relationship Type="http://schemas.openxmlformats.org/officeDocument/2006/relationships/hyperlink" Target="https://www.instagram.com/prepmyfuture/" TargetMode="External" Id="rId3646" /><Relationship Type="http://schemas.openxmlformats.org/officeDocument/2006/relationships/hyperlink" Target="https://www.linkedin.com/company/prepmyfuture/?viewAsMember=true" TargetMode="External" Id="rId3647" /><Relationship Type="http://schemas.openxmlformats.org/officeDocument/2006/relationships/hyperlink" Target="https://drive.google.com/uc?export=view&amp;id=1zC0a8h5oU_oAvnI9CmYEKRcbxJlw2IZx" TargetMode="External" Id="rId3648" /><Relationship Type="http://schemas.openxmlformats.org/officeDocument/2006/relationships/hyperlink" Target="https://www.simskills.io/" TargetMode="External" Id="rId3649" /><Relationship Type="http://schemas.openxmlformats.org/officeDocument/2006/relationships/hyperlink" Target="https://drive.google.com/uc?export=view&amp;id=14mzZMCXdARQ978N9OXmW7fBZB7xirp7m" TargetMode="External" Id="rId3650" /><Relationship Type="http://schemas.openxmlformats.org/officeDocument/2006/relationships/hyperlink" Target="https://www.watura.fr/" TargetMode="External" Id="rId3651" /><Relationship Type="http://schemas.openxmlformats.org/officeDocument/2006/relationships/hyperlink" Target="https://drive.google.com/uc?export=view&amp;id=1U6G9KqTp9IkN7UHVWcSl4lOKpg8syK0d" TargetMode="External" Id="rId3652" /><Relationship Type="http://schemas.openxmlformats.org/officeDocument/2006/relationships/hyperlink" Target="http://www.cleverbooks.eu/" TargetMode="External" Id="rId3653" /><Relationship Type="http://schemas.openxmlformats.org/officeDocument/2006/relationships/hyperlink" Target="https://drive.google.com/uc?export=view&amp;id=1Iqh7csED_6gKOfTTjJqV4nq6QiJ4G7ib" TargetMode="External" Id="rId3654" /><Relationship Type="http://schemas.openxmlformats.org/officeDocument/2006/relationships/hyperlink" Target="https://www.eurekasimulations.com/" TargetMode="External" Id="rId3655" /><Relationship Type="http://schemas.openxmlformats.org/officeDocument/2006/relationships/hyperlink" Target="https://drive.google.com/uc?export=view&amp;id=15Ro0uAN97JFc7ZXn7bL6ozpgXvZHZF0o" TargetMode="External" Id="rId3656" /><Relationship Type="http://schemas.openxmlformats.org/officeDocument/2006/relationships/hyperlink" Target="http://www.flexudy.com/" TargetMode="External" Id="rId3657" /><Relationship Type="http://schemas.openxmlformats.org/officeDocument/2006/relationships/hyperlink" Target="https://drive.google.com/uc?export=view&amp;id=1nvH_MPgfOj__RaxgKqCDTVGk5CZcqRY_" TargetMode="External" Id="rId3658" /><Relationship Type="http://schemas.openxmlformats.org/officeDocument/2006/relationships/hyperlink" Target="https://www.lewagon.com/" TargetMode="External" Id="rId3659" /><Relationship Type="http://schemas.openxmlformats.org/officeDocument/2006/relationships/hyperlink" Target="https://www.instagram.com/lewagonparis" TargetMode="External" Id="rId3660" /><Relationship Type="http://schemas.openxmlformats.org/officeDocument/2006/relationships/hyperlink" Target="https://twitter.com/Lewagonparis/" TargetMode="External" Id="rId3661" /><Relationship Type="http://schemas.openxmlformats.org/officeDocument/2006/relationships/hyperlink" Target="https://www.linkedin.com/school/le-wagon/" TargetMode="External" Id="rId3662" /><Relationship Type="http://schemas.openxmlformats.org/officeDocument/2006/relationships/hyperlink" Target="https://drive.google.com/uc?export=view&amp;id=1FCUNWhvhtjLFtJG5N46qPsg0vZq_gRWo" TargetMode="External" Id="rId3663" /><Relationship Type="http://schemas.openxmlformats.org/officeDocument/2006/relationships/hyperlink" Target="https://lesapprentisdev.fr/" TargetMode="External" Id="rId3664" /><Relationship Type="http://schemas.openxmlformats.org/officeDocument/2006/relationships/hyperlink" Target="https://drive.google.com/uc?export=view&amp;id=1TqAQTQvH2Js4KTC0QHHkalZl88rqt0lx" TargetMode="External" Id="rId3665" /><Relationship Type="http://schemas.openxmlformats.org/officeDocument/2006/relationships/hyperlink" Target="http://www.miralearn.com/" TargetMode="External" Id="rId3666" /><Relationship Type="http://schemas.openxmlformats.org/officeDocument/2006/relationships/hyperlink" Target="https://www.instagram.com/miralearn_com/" TargetMode="External" Id="rId3667" /><Relationship Type="http://schemas.openxmlformats.org/officeDocument/2006/relationships/hyperlink" Target="https://www.linkedin.com/company/miralearn" TargetMode="External" Id="rId3668" /><Relationship Type="http://schemas.openxmlformats.org/officeDocument/2006/relationships/hyperlink" Target="https://drive.google.com/uc?export=view&amp;id=1SHUzG4dkFvGpN2PyKVU1mFc6kJhwxiaG" TargetMode="External" Id="rId3669" /><Relationship Type="http://schemas.openxmlformats.org/officeDocument/2006/relationships/hyperlink" Target="http://profe.com/" TargetMode="External" Id="rId3670" /><Relationship Type="http://schemas.openxmlformats.org/officeDocument/2006/relationships/hyperlink" Target="https://www.profe.com/" TargetMode="External" Id="rId3671" /><Relationship Type="http://schemas.openxmlformats.org/officeDocument/2006/relationships/hyperlink" Target="https://drive.google.com/uc?export=view&amp;id=1PlOcLgjfLgqiiVU5ipq-wKU60Eax-X_d" TargetMode="External" Id="rId3672" /><Relationship Type="http://schemas.openxmlformats.org/officeDocument/2006/relationships/hyperlink" Target="https://www.aiedus.io/" TargetMode="External" Id="rId3673" /><Relationship Type="http://schemas.openxmlformats.org/officeDocument/2006/relationships/hyperlink" Target="https://drive.google.com/uc?export=view&amp;id=1BqR_ddLLbHHt7J5yZynQHOjo0OB5Yy3Z" TargetMode="External" Id="rId3674" /><Relationship Type="http://schemas.openxmlformats.org/officeDocument/2006/relationships/hyperlink" Target="https://www.linguineo.com/" TargetMode="External" Id="rId3675" /><Relationship Type="http://schemas.openxmlformats.org/officeDocument/2006/relationships/hyperlink" Target="https://drive.google.com/uc?export=view&amp;id=1i8f0e2ouKQNHCpIh8bVuuP6eByYFJ15g" TargetMode="External" Id="rId3676" /><Relationship Type="http://schemas.openxmlformats.org/officeDocument/2006/relationships/hyperlink" Target="https://www.pictoescritura.com/" TargetMode="External" Id="rId3677" /><Relationship Type="http://schemas.openxmlformats.org/officeDocument/2006/relationships/hyperlink" Target="http://www.alinebetter.com/" TargetMode="External" Id="rId3678" /><Relationship Type="http://schemas.openxmlformats.org/officeDocument/2006/relationships/hyperlink" Target="https://drive.google.com/uc?export=view&amp;id=17JNUsn2pNnxIwBAEa9Gd3ya6XKjcb65c" TargetMode="External" Id="rId3679" /><Relationship Type="http://schemas.openxmlformats.org/officeDocument/2006/relationships/hyperlink" Target="https://www.becquerel.es/" TargetMode="External" Id="rId3680" /><Relationship Type="http://schemas.openxmlformats.org/officeDocument/2006/relationships/hyperlink" Target="https://drive.google.com/uc?export=view&amp;id=1xpw2qFPjf_Onmwkpf7LPSKbZi-Lrz61r" TargetMode="External" Id="rId3681" /><Relationship Type="http://schemas.openxmlformats.org/officeDocument/2006/relationships/hyperlink" Target="http://bloomsights.com/" TargetMode="External" Id="rId3682" /><Relationship Type="http://schemas.openxmlformats.org/officeDocument/2006/relationships/hyperlink" Target="https://drive.google.com/uc?export=view&amp;id=1r8WZSHmZGHV4m-NRrfGiGMQlnjMALDpK" TargetMode="External" Id="rId3683" /><Relationship Type="http://schemas.openxmlformats.org/officeDocument/2006/relationships/hyperlink" Target="https://www.clio.me/dk/" TargetMode="External" Id="rId3684" /><Relationship Type="http://schemas.openxmlformats.org/officeDocument/2006/relationships/hyperlink" Target="https://www.linkedin.com/company/clio-me/mycompany/verification/" TargetMode="External" Id="rId3685" /><Relationship Type="http://schemas.openxmlformats.org/officeDocument/2006/relationships/hyperlink" Target="https://drive.google.com/uc?export=view&amp;id=1Ln_pHCAuCUN3KMvvObRYs0eH2z3PyQee" TargetMode="External" Id="rId3686" /><Relationship Type="http://schemas.openxmlformats.org/officeDocument/2006/relationships/hyperlink" Target="http://www.dotbite.at/" TargetMode="External" Id="rId3687" /><Relationship Type="http://schemas.openxmlformats.org/officeDocument/2006/relationships/hyperlink" Target="https://drive.google.com/uc?export=view&amp;id=14hbTScBNlVPFVPqIi1M61DMnbJdsZ4iN" TargetMode="External" Id="rId3688" /><Relationship Type="http://schemas.openxmlformats.org/officeDocument/2006/relationships/hyperlink" Target="https://www.educaria.com/" TargetMode="External" Id="rId3689" /><Relationship Type="http://schemas.openxmlformats.org/officeDocument/2006/relationships/hyperlink" Target="https://www.linkedin.com/company/educaria-euro/" TargetMode="External" Id="rId3690" /><Relationship Type="http://schemas.openxmlformats.org/officeDocument/2006/relationships/hyperlink" Target="https://drive.google.com/uc?export=view&amp;id=1RXUF60jwgI4jSpZ-ixCr6JN1Fz5fPwtU" TargetMode="External" Id="rId3691" /><Relationship Type="http://schemas.openxmlformats.org/officeDocument/2006/relationships/hyperlink" Target="https://www.educlever.com/" TargetMode="External" Id="rId3692" /><Relationship Type="http://schemas.openxmlformats.org/officeDocument/2006/relationships/hyperlink" Target="https://twitter.com/educlever" TargetMode="External" Id="rId3693" /><Relationship Type="http://schemas.openxmlformats.org/officeDocument/2006/relationships/hyperlink" Target="https://www.linkedin.com/company/educlever" TargetMode="External" Id="rId3694" /><Relationship Type="http://schemas.openxmlformats.org/officeDocument/2006/relationships/hyperlink" Target="https://drive.google.com/uc?export=view&amp;id=16yB5zNqchKLEqwXPYbc0f2S2H4h0-ZeR" TargetMode="External" Id="rId3695" /><Relationship Type="http://schemas.openxmlformats.org/officeDocument/2006/relationships/hyperlink" Target="https://www.funtechrocket.education/" TargetMode="External" Id="rId3696" /><Relationship Type="http://schemas.openxmlformats.org/officeDocument/2006/relationships/hyperlink" Target="https://drive.google.com/uc?export=view&amp;id=1DsfRSls4Rt0Dt0T8YISohN3XRJS54XYC" TargetMode="External" Id="rId3697" /><Relationship Type="http://schemas.openxmlformats.org/officeDocument/2006/relationships/hyperlink" Target="http://www.geds.eu/" TargetMode="External" Id="rId3698" /><Relationship Type="http://schemas.openxmlformats.org/officeDocument/2006/relationships/hyperlink" Target="https://drive.google.com/uc?export=view&amp;id=18ei3Uow6vWmoq8TIdUP7L33Y2hA6SXWB" TargetMode="External" Id="rId3699" /><Relationship Type="http://schemas.openxmlformats.org/officeDocument/2006/relationships/hyperlink" Target="https://www.gleechi.com/" TargetMode="External" Id="rId3700" /><Relationship Type="http://schemas.openxmlformats.org/officeDocument/2006/relationships/hyperlink" Target="https://www.linkedin.com/company/gleechi" TargetMode="External" Id="rId3701" /><Relationship Type="http://schemas.openxmlformats.org/officeDocument/2006/relationships/hyperlink" Target="https://drive.google.com/uc?export=view&amp;id=1efK9du1CESB3KJK_qp7Dm3BAKQy7D9iY" TargetMode="External" Id="rId3702" /><Relationship Type="http://schemas.openxmlformats.org/officeDocument/2006/relationships/hyperlink" Target="https://www.instructure.com/en-gb" TargetMode="External" Id="rId3703" /><Relationship Type="http://schemas.openxmlformats.org/officeDocument/2006/relationships/hyperlink" Target="https://drive.google.com/uc?export=view&amp;id=1A6rcLa-VqlOz2nEshbdpXB4xM64g7zU8" TargetMode="External" Id="rId3704" /><Relationship Type="http://schemas.openxmlformats.org/officeDocument/2006/relationships/hyperlink" Target="https://drive.google.com/uc?export=view&amp;id=1H1umrveXjDwdmFwqudd8y248oRSi-3hm" TargetMode="External" Id="rId3705" /><Relationship Type="http://schemas.openxmlformats.org/officeDocument/2006/relationships/hyperlink" Target="https://mima-campus.com/" TargetMode="External" Id="rId3706" /><Relationship Type="http://schemas.openxmlformats.org/officeDocument/2006/relationships/hyperlink" Target="https://www.linkedin.com/company/mima-campus" TargetMode="External" Id="rId3707" /><Relationship Type="http://schemas.openxmlformats.org/officeDocument/2006/relationships/hyperlink" Target="https://drive.google.com/uc?export=view&amp;id=1ovsluXIcFcfBK8NChkreSxAX9Kn5FUku" TargetMode="External" Id="rId3708" /><Relationship Type="http://schemas.openxmlformats.org/officeDocument/2006/relationships/hyperlink" Target="http://www.mootion.fr/" TargetMode="External" Id="rId3709" /><Relationship Type="http://schemas.openxmlformats.org/officeDocument/2006/relationships/hyperlink" Target="https://drive.google.com/uc?export=view&amp;id=1XzzKcjRiNkr8eThaUjE3EVkcBpXGLtjY" TargetMode="External" Id="rId3710" /><Relationship Type="http://schemas.openxmlformats.org/officeDocument/2006/relationships/hyperlink" Target="https://www.sanomautbildning.se/" TargetMode="External" Id="rId3711" /><Relationship Type="http://schemas.openxmlformats.org/officeDocument/2006/relationships/hyperlink" Target="https://www.instagram.com/sanoma_utbildning/" TargetMode="External" Id="rId3712" /><Relationship Type="http://schemas.openxmlformats.org/officeDocument/2006/relationships/hyperlink" Target="https://www.linkedin.com/company/sanoma-utbildning/" TargetMode="External" Id="rId3713" /><Relationship Type="http://schemas.openxmlformats.org/officeDocument/2006/relationships/hyperlink" Target="https://drive.google.com/uc?export=view&amp;id=1890FeLf1stHnwdtQv2JrgtOz4gJd4SqV" TargetMode="External" Id="rId3714" /><Relationship Type="http://schemas.openxmlformats.org/officeDocument/2006/relationships/hyperlink" Target="https://teachwithseedling.com/" TargetMode="External" Id="rId3715" /><Relationship Type="http://schemas.openxmlformats.org/officeDocument/2006/relationships/hyperlink" Target="https://drive.google.com/uc?export=view&amp;id=1xyOn6ajqpvQVC82irrLTbdhEwIACfv1o" TargetMode="External" Id="rId3716" /><Relationship Type="http://schemas.openxmlformats.org/officeDocument/2006/relationships/hyperlink" Target="http://simbel.fr/" TargetMode="External" Id="rId3717" /><Relationship Type="http://schemas.openxmlformats.org/officeDocument/2006/relationships/hyperlink" Target="https://www.linkedin.com/company/71783451/admin/feed/posts/" TargetMode="External" Id="rId3718" /><Relationship Type="http://schemas.openxmlformats.org/officeDocument/2006/relationships/hyperlink" Target="https://drive.google.com/uc?export=view&amp;id=14xNPUjN_F1jF6zo9kxdfB9vVwoHbLQ3q" TargetMode="External" Id="rId3719" /><Relationship Type="http://schemas.openxmlformats.org/officeDocument/2006/relationships/hyperlink" Target="https://www.skolenonline.dk/" TargetMode="External" Id="rId3720" /><Relationship Type="http://schemas.openxmlformats.org/officeDocument/2006/relationships/hyperlink" Target="https://www.instagram.com/skolenonline/" TargetMode="External" Id="rId3721" /><Relationship Type="http://schemas.openxmlformats.org/officeDocument/2006/relationships/hyperlink" Target="https://www.linkedin.com/company/skolen-online" TargetMode="External" Id="rId3722" /><Relationship Type="http://schemas.openxmlformats.org/officeDocument/2006/relationships/hyperlink" Target="https://drive.google.com/uc?export=view&amp;id=1OQppT-C4ZfD0gsbXuUEBkXLiELaoFvSB" TargetMode="External" Id="rId3723" /><Relationship Type="http://schemas.openxmlformats.org/officeDocument/2006/relationships/hyperlink" Target="http://www.supermood.com/" TargetMode="External" Id="rId3724" /><Relationship Type="http://schemas.openxmlformats.org/officeDocument/2006/relationships/hyperlink" Target="https://drive.google.com/uc?export=view&amp;id=1nOoKGPesbFM76tucOE-aWKXpQ-Z2LyJh" TargetMode="External" Id="rId3725" /><Relationship Type="http://schemas.openxmlformats.org/officeDocument/2006/relationships/hyperlink" Target="https://www.symbaloo.com/" TargetMode="External" Id="rId3726" /><Relationship Type="http://schemas.openxmlformats.org/officeDocument/2006/relationships/hyperlink" Target="https://drive.google.com/uc?export=view&amp;id=1eE--0NXX_cPLmxzHsOLWML-hxE2qYwjt" TargetMode="External" Id="rId3727" /><Relationship Type="http://schemas.openxmlformats.org/officeDocument/2006/relationships/hyperlink" Target="http://www.wipergaming.com/" TargetMode="External" Id="rId3728" /><Relationship Type="http://schemas.openxmlformats.org/officeDocument/2006/relationships/hyperlink" Target="https://drive.google.com/uc?export=view&amp;id=1XgWsF2POgCIcBQLvHykU1qKU3jydWOiS" TargetMode="External" Id="rId3729" /><Relationship Type="http://schemas.openxmlformats.org/officeDocument/2006/relationships/hyperlink" Target="http://www.33trucs.com/" TargetMode="External" Id="rId3730" /><Relationship Type="http://schemas.openxmlformats.org/officeDocument/2006/relationships/hyperlink" Target="https://drive.google.com/uc?export=view&amp;id=1egkE2tJl_FZPJDXSWvnYCBZYfyjGhD6C" TargetMode="External" Id="rId3731" /><Relationship Type="http://schemas.openxmlformats.org/officeDocument/2006/relationships/hyperlink" Target="http://www.aprendicesvisuales.com/" TargetMode="External" Id="rId3732" /><Relationship Type="http://schemas.openxmlformats.org/officeDocument/2006/relationships/hyperlink" Target="https://drive.google.com/uc?export=view&amp;id=17s7pCJkdQN8ia8fN46zfgiiSqE0a-iLy" TargetMode="External" Id="rId3733" /><Relationship Type="http://schemas.openxmlformats.org/officeDocument/2006/relationships/hyperlink" Target="https://atlasprimer.com/" TargetMode="External" Id="rId3734" /><Relationship Type="http://schemas.openxmlformats.org/officeDocument/2006/relationships/hyperlink" Target="https://drive.google.com/uc?export=view&amp;id=1UowCD2-3pfVbNsDLoSA1WJGYLH00jHJj" TargetMode="External" Id="rId3735" /><Relationship Type="http://schemas.openxmlformats.org/officeDocument/2006/relationships/hyperlink" Target="https://scottiego.com/en/" TargetMode="External" Id="rId3736" /><Relationship Type="http://schemas.openxmlformats.org/officeDocument/2006/relationships/hyperlink" Target="https://www.linkedin.com/company/becreo-technologies/mycompany/" TargetMode="External" Id="rId3737" /><Relationship Type="http://schemas.openxmlformats.org/officeDocument/2006/relationships/hyperlink" Target="https://drive.google.com/uc?export=view&amp;id=1NKCYYOFUTViJyTZPcB0rre6WXOm6THFd" TargetMode="External" Id="rId3738" /><Relationship Type="http://schemas.openxmlformats.org/officeDocument/2006/relationships/hyperlink" Target="https://caira.io/" TargetMode="External" Id="rId3739" /><Relationship Type="http://schemas.openxmlformats.org/officeDocument/2006/relationships/hyperlink" Target="https://drive.google.com/uc?export=view&amp;id=1sfr5Y0nH1hvxkczEjzC9mfGbtU-m5swr" TargetMode="External" Id="rId3740" /><Relationship Type="http://schemas.openxmlformats.org/officeDocument/2006/relationships/hyperlink" Target="https://www.coorpacademy.com/" TargetMode="External" Id="rId3741" /><Relationship Type="http://schemas.openxmlformats.org/officeDocument/2006/relationships/hyperlink" Target="https://drive.google.com/uc?export=view&amp;id=1U7quaYZAC0Qu15iU_FwQd7QtjocSjYli" TargetMode="External" Id="rId3742" /><Relationship Type="http://schemas.openxmlformats.org/officeDocument/2006/relationships/hyperlink" Target="https://dccs-edu.at/" TargetMode="External" Id="rId3743" /><Relationship Type="http://schemas.openxmlformats.org/officeDocument/2006/relationships/hyperlink" Target="https://drive.google.com/uc?export=view&amp;id=1BPQztl38z9iZDNXwiQiL_pFQhtSWKzX2" TargetMode="External" Id="rId3744" /><Relationship Type="http://schemas.openxmlformats.org/officeDocument/2006/relationships/hyperlink" Target="http://www.dugga.com/" TargetMode="External" Id="rId3745" /><Relationship Type="http://schemas.openxmlformats.org/officeDocument/2006/relationships/hyperlink" Target="https://www.instagram.com/dugga.assessment/" TargetMode="External" Id="rId3746" /><Relationship Type="http://schemas.openxmlformats.org/officeDocument/2006/relationships/hyperlink" Target="https://twitter.com/DuggaAssessment" TargetMode="External" Id="rId3747" /><Relationship Type="http://schemas.openxmlformats.org/officeDocument/2006/relationships/hyperlink" Target="https://www.linkedin.com/company/dugga-assessment/" TargetMode="External" Id="rId3748" /><Relationship Type="http://schemas.openxmlformats.org/officeDocument/2006/relationships/hyperlink" Target="https://drive.google.com/uc?export=view&amp;id=1iiJjMEiwVXUY8LML9w64_PunY1O48wnu" TargetMode="External" Id="rId3749" /><Relationship Type="http://schemas.openxmlformats.org/officeDocument/2006/relationships/hyperlink" Target="http://www.edunao.com/" TargetMode="External" Id="rId3750" /><Relationship Type="http://schemas.openxmlformats.org/officeDocument/2006/relationships/hyperlink" Target="https://twitter.com/edunao?lang=fr" TargetMode="External" Id="rId3751" /><Relationship Type="http://schemas.openxmlformats.org/officeDocument/2006/relationships/hyperlink" Target="https://fr.linkedin.com/company/edunao" TargetMode="External" Id="rId3752" /><Relationship Type="http://schemas.openxmlformats.org/officeDocument/2006/relationships/hyperlink" Target="https://drive.google.com/uc?export=view&amp;id=1Go2AHjjJOHYhHuD2bi6SEWNk95FRiJ0X" TargetMode="External" Id="rId3753" /><Relationship Type="http://schemas.openxmlformats.org/officeDocument/2006/relationships/hyperlink" Target="https://emplab.org/" TargetMode="External" Id="rId3754" /><Relationship Type="http://schemas.openxmlformats.org/officeDocument/2006/relationships/hyperlink" Target="https://www.instagram.com/accounts/login/?next=/empowermentlab/" TargetMode="External" Id="rId3755" /><Relationship Type="http://schemas.openxmlformats.org/officeDocument/2006/relationships/hyperlink" Target="https://www.linkedin.com/company/28668673/admin/" TargetMode="External" Id="rId3756" /><Relationship Type="http://schemas.openxmlformats.org/officeDocument/2006/relationships/hyperlink" Target="https://drive.google.com/uc?export=view&amp;id=1MjHUoQVGgMvy84uk35oI_tHrWkiRZFnG" TargetMode="External" Id="rId3757" /><Relationship Type="http://schemas.openxmlformats.org/officeDocument/2006/relationships/hyperlink" Target="http://www.feedtheirminds.com/" TargetMode="External" Id="rId3758" /><Relationship Type="http://schemas.openxmlformats.org/officeDocument/2006/relationships/hyperlink" Target="https://www.instagram.com/feed_their_minds/" TargetMode="External" Id="rId3759" /><Relationship Type="http://schemas.openxmlformats.org/officeDocument/2006/relationships/hyperlink" Target="https://www.linkedin.com/company/72175751/admin/" TargetMode="External" Id="rId3760" /><Relationship Type="http://schemas.openxmlformats.org/officeDocument/2006/relationships/hyperlink" Target="https://drive.google.com/uc?export=view&amp;id=19nE234U2T_wjywyQ42JQkTheNgpTpvsX" TargetMode="External" Id="rId3761" /><Relationship Type="http://schemas.openxmlformats.org/officeDocument/2006/relationships/hyperlink" Target="https://www.gapsmoov.com/en/" TargetMode="External" Id="rId3762" /><Relationship Type="http://schemas.openxmlformats.org/officeDocument/2006/relationships/hyperlink" Target="https://drive.google.com/uc?export=view&amp;id=1kIND2YSP2zKwNi_tdbuFkZV3fzbxXXa0" TargetMode="External" Id="rId3763" /><Relationship Type="http://schemas.openxmlformats.org/officeDocument/2006/relationships/hyperlink" Target="https://www.houseofeducation.com/" TargetMode="External" Id="rId3764" /><Relationship Type="http://schemas.openxmlformats.org/officeDocument/2006/relationships/hyperlink" Target="https://drive.google.com/uc?export=view&amp;id=1yBF636V4XR0ryJTh_wCVUWRVPOiwBBJR" TargetMode="External" Id="rId3765" /><Relationship Type="http://schemas.openxmlformats.org/officeDocument/2006/relationships/hyperlink" Target="http://lemonlearning.com/" TargetMode="External" Id="rId3766" /><Relationship Type="http://schemas.openxmlformats.org/officeDocument/2006/relationships/hyperlink" Target="https://twitter.com/Lemon_Learning" TargetMode="External" Id="rId3767" /><Relationship Type="http://schemas.openxmlformats.org/officeDocument/2006/relationships/hyperlink" Target="https://www.linkedin.com/company/lemon-learning/" TargetMode="External" Id="rId3768" /><Relationship Type="http://schemas.openxmlformats.org/officeDocument/2006/relationships/hyperlink" Target="https://drive.google.com/uc?export=view&amp;id=10HWr1Jn58jCiai9JJaqORe5yTZBW27O-" TargetMode="External" Id="rId3769" /><Relationship Type="http://schemas.openxmlformats.org/officeDocument/2006/relationships/hyperlink" Target="https://www.ludo-vic.com/" TargetMode="External" Id="rId3770" /><Relationship Type="http://schemas.openxmlformats.org/officeDocument/2006/relationships/hyperlink" Target="https://www.linkedin.com/in/jack-amberg-23b18512/?originalSubdomain=fr" TargetMode="External" Id="rId3771" /><Relationship Type="http://schemas.openxmlformats.org/officeDocument/2006/relationships/hyperlink" Target="https://drive.google.com/uc?export=view&amp;id=1CHGvbFVENSsXDWEsobdzldfsSYQiY-A7" TargetMode="External" Id="rId3772" /><Relationship Type="http://schemas.openxmlformats.org/officeDocument/2006/relationships/hyperlink" Target="http://memory-path.com/" TargetMode="External" Id="rId3773" /><Relationship Type="http://schemas.openxmlformats.org/officeDocument/2006/relationships/hyperlink" Target="https://instagram.com/memory__path" TargetMode="External" Id="rId3774" /><Relationship Type="http://schemas.openxmlformats.org/officeDocument/2006/relationships/hyperlink" Target="https://twitter.com/PathMemory" TargetMode="External" Id="rId3775" /><Relationship Type="http://schemas.openxmlformats.org/officeDocument/2006/relationships/hyperlink" Target="https://de.linkedin.com/company/memory-path" TargetMode="External" Id="rId3776" /><Relationship Type="http://schemas.openxmlformats.org/officeDocument/2006/relationships/hyperlink" Target="https://drive.google.com/uc?export=view&amp;id=1bcSYu_DBFkKTmbgceevdN80txjL3f8rh" TargetMode="External" Id="rId3777" /><Relationship Type="http://schemas.openxmlformats.org/officeDocument/2006/relationships/hyperlink" Target="http://www.moneymasters.app/" TargetMode="External" Id="rId3778" /><Relationship Type="http://schemas.openxmlformats.org/officeDocument/2006/relationships/hyperlink" Target="https://drive.google.com/uc?export=view&amp;id=1UNoWMPXsk3vE9Pt9sOR1lUWD5jCiKpPK" TargetMode="External" Id="rId3779" /><Relationship Type="http://schemas.openxmlformats.org/officeDocument/2006/relationships/hyperlink" Target="https://www.moominls.com/" TargetMode="External" Id="rId3780" /><Relationship Type="http://schemas.openxmlformats.org/officeDocument/2006/relationships/hyperlink" Target="https://www.instagram.com/moominls/" TargetMode="External" Id="rId3781" /><Relationship Type="http://schemas.openxmlformats.org/officeDocument/2006/relationships/hyperlink" Target="https://twitter.com/moominls" TargetMode="External" Id="rId3782" /><Relationship Type="http://schemas.openxmlformats.org/officeDocument/2006/relationships/hyperlink" Target="https://www.linkedin.com/company/playvation" TargetMode="External" Id="rId3783" /><Relationship Type="http://schemas.openxmlformats.org/officeDocument/2006/relationships/hyperlink" Target="https://drive.google.com/uc?export=view&amp;id=174Et9G6TtkXVIbzq8dqxbmrIBvoWGxE-" TargetMode="External" Id="rId3784" /><Relationship Type="http://schemas.openxmlformats.org/officeDocument/2006/relationships/hyperlink" Target="http://www.naotic.fr/" TargetMode="External" Id="rId3785" /><Relationship Type="http://schemas.openxmlformats.org/officeDocument/2006/relationships/hyperlink" Target="https://twitter.com/NaoticFR" TargetMode="External" Id="rId3786" /><Relationship Type="http://schemas.openxmlformats.org/officeDocument/2006/relationships/hyperlink" Target="https://www.linkedin.com/company/naotic" TargetMode="External" Id="rId3787" /><Relationship Type="http://schemas.openxmlformats.org/officeDocument/2006/relationships/hyperlink" Target="https://drive.google.com/uc?export=view&amp;id=19fUOeZqHmdJThOw2ef1SXSoSrqDzTteE" TargetMode="External" Id="rId3788" /><Relationship Type="http://schemas.openxmlformats.org/officeDocument/2006/relationships/hyperlink" Target="https://getnate.io/" TargetMode="External" Id="rId3789" /><Relationship Type="http://schemas.openxmlformats.org/officeDocument/2006/relationships/hyperlink" Target="https://drive.google.com/uc?export=view&amp;id=1HjpA7O-tYOaVsQBBljBl5fycNEHYuY48" TargetMode="External" Id="rId3790" /><Relationship Type="http://schemas.openxmlformats.org/officeDocument/2006/relationships/hyperlink" Target="https://www.odilo.es/workplace/?gclid=CjwKCAjw9qiTBhBbEiwAp-GE0cPP8txaza_iW_A08wBTK0NGQKLnzpuOAxmgzTsafh0wPixrNAOfDRoCh80QAvD_BwE" TargetMode="External" Id="rId3791" /><Relationship Type="http://schemas.openxmlformats.org/officeDocument/2006/relationships/hyperlink" Target="https://drive.google.com/uc?export=view&amp;id=1iFVB7MZA3EDO5gJQQP8GLaxNYeLdOLX6" TargetMode="External" Id="rId3792" /><Relationship Type="http://schemas.openxmlformats.org/officeDocument/2006/relationships/hyperlink" Target="http://www.oxsico.com/" TargetMode="External" Id="rId3793" /><Relationship Type="http://schemas.openxmlformats.org/officeDocument/2006/relationships/hyperlink" Target="https://drive.google.com/uc?export=view&amp;id=1E3Fyn3-LCXW3Y77Hc-ocH9JXvYNVa276" TargetMode="External" Id="rId3794" /><Relationship Type="http://schemas.openxmlformats.org/officeDocument/2006/relationships/hyperlink" Target="https://photon.education/" TargetMode="External" Id="rId3795" /><Relationship Type="http://schemas.openxmlformats.org/officeDocument/2006/relationships/hyperlink" Target="https://www.instagram.com/photoneducation/" TargetMode="External" Id="rId3796" /><Relationship Type="http://schemas.openxmlformats.org/officeDocument/2006/relationships/hyperlink" Target="https://twitter.com/Photon_Official" TargetMode="External" Id="rId3797" /><Relationship Type="http://schemas.openxmlformats.org/officeDocument/2006/relationships/hyperlink" Target="https://www.linkedin.com/company/photon-entertainment-sp--z-o-o-/mycompany/" TargetMode="External" Id="rId3798" /><Relationship Type="http://schemas.openxmlformats.org/officeDocument/2006/relationships/hyperlink" Target="https://drive.google.com/uc?export=view&amp;id=1JaEsNjXJYoeue8G5kTxt_1mD9UhsLrUX" TargetMode="External" Id="rId3799" /><Relationship Type="http://schemas.openxmlformats.org/officeDocument/2006/relationships/hyperlink" Target="http://www.remotion.live/" TargetMode="External" Id="rId3800" /><Relationship Type="http://schemas.openxmlformats.org/officeDocument/2006/relationships/hyperlink" Target="https://drive.google.com/uc?export=view&amp;id=1pKVC9DdZ2fJRiGp5HXn8UukB3AByde2V" TargetMode="External" Id="rId3801" /><Relationship Type="http://schemas.openxmlformats.org/officeDocument/2006/relationships/hyperlink" Target="http://strikeplagiarism.com/" TargetMode="External" Id="rId3802" /><Relationship Type="http://schemas.openxmlformats.org/officeDocument/2006/relationships/hyperlink" Target="https://strikeplagiarism.com/" TargetMode="External" Id="rId3803" /><Relationship Type="http://schemas.openxmlformats.org/officeDocument/2006/relationships/hyperlink" Target="https://drive.google.com/uc?export=view&amp;id=1mDhSSPOzJp9PEJ6-5YDYHwx7KypM-Lyb" TargetMode="External" Id="rId3804" /><Relationship Type="http://schemas.openxmlformats.org/officeDocument/2006/relationships/hyperlink" Target="https://www.technext.fr/" TargetMode="External" Id="rId3805" /><Relationship Type="http://schemas.openxmlformats.org/officeDocument/2006/relationships/hyperlink" Target="https://drive.google.com/uc?export=view&amp;id=1oMfLUe1X7HpAghr8-H3mZM-KvR5_g1Vv" TargetMode="External" Id="rId3806" /><Relationship Type="http://schemas.openxmlformats.org/officeDocument/2006/relationships/hyperlink" Target="https://www.tenors.fr/" TargetMode="External" Id="rId3807" /><Relationship Type="http://schemas.openxmlformats.org/officeDocument/2006/relationships/hyperlink" Target="https://twitter.com/TenorsFrance" TargetMode="External" Id="rId3808" /><Relationship Type="http://schemas.openxmlformats.org/officeDocument/2006/relationships/hyperlink" Target="https://www.linkedin.com/company/68142561/" TargetMode="External" Id="rId3809" /><Relationship Type="http://schemas.openxmlformats.org/officeDocument/2006/relationships/hyperlink" Target="http://www.vigilo.no/" TargetMode="External" Id="rId3810" /><Relationship Type="http://schemas.openxmlformats.org/officeDocument/2006/relationships/hyperlink" Target="https://www.instagram.com/vigilooas/" TargetMode="External" Id="rId3811" /><Relationship Type="http://schemas.openxmlformats.org/officeDocument/2006/relationships/hyperlink" Target="http://www.linkedin.com/company/vigilo-as/" TargetMode="External" Id="rId3812" /><Relationship Type="http://schemas.openxmlformats.org/officeDocument/2006/relationships/hyperlink" Target="https://drive.google.com/uc?export=view&amp;id=1ftgcCVzwNHGBsELjyU1tPyCfQ4rR_F7Z" TargetMode="External" Id="rId3813" /><Relationship Type="http://schemas.openxmlformats.org/officeDocument/2006/relationships/hyperlink" Target="http://www.amazyf.com/" TargetMode="External" Id="rId3814" /><Relationship Type="http://schemas.openxmlformats.org/officeDocument/2006/relationships/hyperlink" Target="https://drive.google.com/uc?export=view&amp;id=19z95nPJbzIE1wzeq2rLUCqrNAkUtdA7I" TargetMode="External" Id="rId3815" /><Relationship Type="http://schemas.openxmlformats.org/officeDocument/2006/relationships/hyperlink" Target="https://www.brainshakers.es/" TargetMode="External" Id="rId3816" /><Relationship Type="http://schemas.openxmlformats.org/officeDocument/2006/relationships/hyperlink" Target="https://drive.google.com/uc?export=view&amp;id=1zrB_KifjeHG9JtYZa5mm01Yvdm5h4Tts" TargetMode="External" Id="rId3817" /><Relationship Type="http://schemas.openxmlformats.org/officeDocument/2006/relationships/hyperlink" Target="http://www.deeploai.com/" TargetMode="External" Id="rId3818" /><Relationship Type="http://schemas.openxmlformats.org/officeDocument/2006/relationships/hyperlink" Target="https://www.linkedin.com/company/deeplo-ai/" TargetMode="External" Id="rId3819" /><Relationship Type="http://schemas.openxmlformats.org/officeDocument/2006/relationships/hyperlink" Target="https://drive.google.com/uc?export=view&amp;id=1n2i0BCc2eWCS95Z2tQAImk0zbX49YPD9" TargetMode="External" Id="rId3820" /><Relationship Type="http://schemas.openxmlformats.org/officeDocument/2006/relationships/hyperlink" Target="https://emaze.me/diginnovative" TargetMode="External" Id="rId3821" /><Relationship Type="http://schemas.openxmlformats.org/officeDocument/2006/relationships/hyperlink" Target="https://www.linkedin.com/company/diginnovative/" TargetMode="External" Id="rId3822" /><Relationship Type="http://schemas.openxmlformats.org/officeDocument/2006/relationships/hyperlink" Target="https://drive.google.com/uc?export=view&amp;id=1sVCt5FzqQy0xVl_xu0vRuh3DVa5TlMTE" TargetMode="External" Id="rId3823" /><Relationship Type="http://schemas.openxmlformats.org/officeDocument/2006/relationships/hyperlink" Target="http://edflex.com/en" TargetMode="External" Id="rId3824" /><Relationship Type="http://schemas.openxmlformats.org/officeDocument/2006/relationships/hyperlink" Target="https://www.instagram.com/edflex_fr" TargetMode="External" Id="rId3825" /><Relationship Type="http://schemas.openxmlformats.org/officeDocument/2006/relationships/hyperlink" Target="https://twitter.com/edflex_fr" TargetMode="External" Id="rId3826" /><Relationship Type="http://schemas.openxmlformats.org/officeDocument/2006/relationships/hyperlink" Target="https://www.linkedin.com/company/edflex-hq" TargetMode="External" Id="rId3827" /><Relationship Type="http://schemas.openxmlformats.org/officeDocument/2006/relationships/hyperlink" Target="https://drive.google.com/uc?export=view&amp;id=1oqMbYQMdeDegGd1CtvU_nhKKmPiWwj9k" TargetMode="External" Id="rId3828" /><Relationship Type="http://schemas.openxmlformats.org/officeDocument/2006/relationships/hyperlink" Target="https://edita.fi/" TargetMode="External" Id="rId3829" /><Relationship Type="http://schemas.openxmlformats.org/officeDocument/2006/relationships/hyperlink" Target="https://www.instagram.com/edita_oppiminen/?hl=fi" TargetMode="External" Id="rId3830" /><Relationship Type="http://schemas.openxmlformats.org/officeDocument/2006/relationships/hyperlink" Target="https://twitter.com/editaoppiminen" TargetMode="External" Id="rId3831" /><Relationship Type="http://schemas.openxmlformats.org/officeDocument/2006/relationships/hyperlink" Target="https://www.linkedin.com/company/edita-oppiminen?originalSubdomain=fi" TargetMode="External" Id="rId3832" /><Relationship Type="http://schemas.openxmlformats.org/officeDocument/2006/relationships/hyperlink" Target="https://drive.google.com/uc?export=view&amp;id=1bdGHUz7GG9taDwratfC6lAFQxObaIVq2" TargetMode="External" Id="rId3833" /><Relationship Type="http://schemas.openxmlformats.org/officeDocument/2006/relationships/hyperlink" Target="https://www.educom.at/" TargetMode="External" Id="rId3834" /><Relationship Type="http://schemas.openxmlformats.org/officeDocument/2006/relationships/hyperlink" Target="https://www.instagram.com/educom.at/" TargetMode="External" Id="rId3835" /><Relationship Type="http://schemas.openxmlformats.org/officeDocument/2006/relationships/hyperlink" Target="https://at.linkedin.com/company/educom-at" TargetMode="External" Id="rId3836" /><Relationship Type="http://schemas.openxmlformats.org/officeDocument/2006/relationships/hyperlink" Target="https://www.elendi.ai/" TargetMode="External" Id="rId3837" /><Relationship Type="http://schemas.openxmlformats.org/officeDocument/2006/relationships/hyperlink" Target="https://drive.google.com/uc?export=view&amp;id=16QcgDUU64kqpCbdBvmWkSB-ju3w_zp2n" TargetMode="External" Id="rId3838" /><Relationship Type="http://schemas.openxmlformats.org/officeDocument/2006/relationships/hyperlink" Target="http://www.examiner.ch/" TargetMode="External" Id="rId3839" /><Relationship Type="http://schemas.openxmlformats.org/officeDocument/2006/relationships/hyperlink" Target="https://www.linkedin.com/company/examiner" TargetMode="External" Id="rId3840" /><Relationship Type="http://schemas.openxmlformats.org/officeDocument/2006/relationships/hyperlink" Target="https://drive.google.com/uc?export=view&amp;id=1WoMAkPAMR9AJFz6YGzNohmcGZatRC_4C" TargetMode="External" Id="rId3841" /><Relationship Type="http://schemas.openxmlformats.org/officeDocument/2006/relationships/hyperlink" Target="https://www.funzi.fi/" TargetMode="External" Id="rId3842" /><Relationship Type="http://schemas.openxmlformats.org/officeDocument/2006/relationships/hyperlink" Target="https://www.instagram.com/funzimobi/" TargetMode="External" Id="rId3843" /><Relationship Type="http://schemas.openxmlformats.org/officeDocument/2006/relationships/hyperlink" Target="https://twitter.com/funzi" TargetMode="External" Id="rId3844" /><Relationship Type="http://schemas.openxmlformats.org/officeDocument/2006/relationships/hyperlink" Target="https://www.linkedin.com/company/funzi/" TargetMode="External" Id="rId3845" /><Relationship Type="http://schemas.openxmlformats.org/officeDocument/2006/relationships/hyperlink" Target="http://funzi.mobi/" TargetMode="External" Id="rId3846" /><Relationship Type="http://schemas.openxmlformats.org/officeDocument/2006/relationships/hyperlink" Target="https://drive.google.com/uc?export=view&amp;id=1FMsZNqP0LSnIOfNdjIV8P-sHJV8XE4i6" TargetMode="External" Id="rId3847" /><Relationship Type="http://schemas.openxmlformats.org/officeDocument/2006/relationships/hyperlink" Target="https://makemymusik.fr/" TargetMode="External" Id="rId3848" /><Relationship Type="http://schemas.openxmlformats.org/officeDocument/2006/relationships/hyperlink" Target="https://drive.google.com/uc?export=view&amp;id=1b4713yqA-ZbenOGmkNSR261gRoA1OYwC" TargetMode="External" Id="rId3849" /><Relationship Type="http://schemas.openxmlformats.org/officeDocument/2006/relationships/hyperlink" Target="http://www.marshmallow-games.com/" TargetMode="External" Id="rId3850" /><Relationship Type="http://schemas.openxmlformats.org/officeDocument/2006/relationships/hyperlink" Target="https://drive.google.com/uc?export=view&amp;id=1ysUqfmQggAvfVH48LH5yVy2pexegM-cQ" TargetMode="External" Id="rId3851" /><Relationship Type="http://schemas.openxmlformats.org/officeDocument/2006/relationships/hyperlink" Target="https://nocodehackers.es/" TargetMode="External" Id="rId3852" /><Relationship Type="http://schemas.openxmlformats.org/officeDocument/2006/relationships/hyperlink" Target="https://drive.google.com/uc?export=view&amp;id=1dRnaAgzUVM7yOcWex99wbNVWUdBA5IdC" TargetMode="External" Id="rId3853" /><Relationship Type="http://schemas.openxmlformats.org/officeDocument/2006/relationships/hyperlink" Target="http://www.novo3d.fr/" TargetMode="External" Id="rId3854" /><Relationship Type="http://schemas.openxmlformats.org/officeDocument/2006/relationships/hyperlink" Target="https://drive.google.com/uc?export=view&amp;id=1DC6kA7WaS4aFcSYz8nYrVGHtdfIdCY50" TargetMode="External" Id="rId3855" /><Relationship Type="http://schemas.openxmlformats.org/officeDocument/2006/relationships/hyperlink" Target="https://www.taotesting.com/" TargetMode="External" Id="rId3856" /><Relationship Type="http://schemas.openxmlformats.org/officeDocument/2006/relationships/hyperlink" Target="https://twitter.com/TAOTesting/" TargetMode="External" Id="rId3857" /><Relationship Type="http://schemas.openxmlformats.org/officeDocument/2006/relationships/hyperlink" Target="https://www.linkedin.com/company/open-assessment-technologies-s-a-/" TargetMode="External" Id="rId3858" /><Relationship Type="http://schemas.openxmlformats.org/officeDocument/2006/relationships/hyperlink" Target="https://drive.google.com/uc?export=view&amp;id=1rPb2uf02C55S5F8wLOgSUtu-U7Bs9vML" TargetMode="External" Id="rId3859" /><Relationship Type="http://schemas.openxmlformats.org/officeDocument/2006/relationships/hyperlink" Target="http://www.papua.app/" TargetMode="External" Id="rId3860" /><Relationship Type="http://schemas.openxmlformats.org/officeDocument/2006/relationships/hyperlink" Target="https://www.projet-voltaire.fr/?utm_source=site&amp;utm_medium=referral_partner&amp;utm_campaign=edtech_map" TargetMode="External" Id="rId3861" /><Relationship Type="http://schemas.openxmlformats.org/officeDocument/2006/relationships/hyperlink" Target="https://www.twitter.com/projet_Voltaire" TargetMode="External" Id="rId3862" /><Relationship Type="http://schemas.openxmlformats.org/officeDocument/2006/relationships/hyperlink" Target="https://www.linkedin.com/company/projet-voltaire/" TargetMode="External" Id="rId3863" /><Relationship Type="http://schemas.openxmlformats.org/officeDocument/2006/relationships/hyperlink" Target="https://drive.google.com/uc?export=view&amp;id=1kD27KIuc1xvAflU1BogUqrB9ZmHzPSIB" TargetMode="External" Id="rId3864" /><Relationship Type="http://schemas.openxmlformats.org/officeDocument/2006/relationships/hyperlink" Target="https://rainmakersociety.de/" TargetMode="External" Id="rId3865" /><Relationship Type="http://schemas.openxmlformats.org/officeDocument/2006/relationships/hyperlink" Target="https://drive.google.com/uc?export=view&amp;id=1BwZUf1hHXXHstkUa7vWvUgjcLKuhT0oL" TargetMode="External" Id="rId3866" /><Relationship Type="http://schemas.openxmlformats.org/officeDocument/2006/relationships/hyperlink" Target="https://www.riseup.ai/" TargetMode="External" Id="rId3867" /><Relationship Type="http://schemas.openxmlformats.org/officeDocument/2006/relationships/hyperlink" Target="https://www.instagram.com/riseup.ai/" TargetMode="External" Id="rId3868" /><Relationship Type="http://schemas.openxmlformats.org/officeDocument/2006/relationships/hyperlink" Target="https://twitter.com/RiseUpAI" TargetMode="External" Id="rId3869" /><Relationship Type="http://schemas.openxmlformats.org/officeDocument/2006/relationships/hyperlink" Target="https://www.linkedin.com/company/rise-up-ai-france/" TargetMode="External" Id="rId3870" /><Relationship Type="http://schemas.openxmlformats.org/officeDocument/2006/relationships/hyperlink" Target="https://drive.google.com/uc?export=view&amp;id=1D5-AmnQ8dY0D9XO9SILfD4ZQeSc-3edu" TargetMode="External" Id="rId3871" /><Relationship Type="http://schemas.openxmlformats.org/officeDocument/2006/relationships/hyperlink" Target="https://siltaeducation.com/silta-for-companies/" TargetMode="External" Id="rId3872" /><Relationship Type="http://schemas.openxmlformats.org/officeDocument/2006/relationships/hyperlink" Target="https://www.linkedin.com/company/silta-education/" TargetMode="External" Id="rId3873" /><Relationship Type="http://schemas.openxmlformats.org/officeDocument/2006/relationships/hyperlink" Target="https://drive.google.com/uc?export=view&amp;id=1G-8_9A9AguU55tqxoSqhH1CFqqJqwlDa" TargetMode="External" Id="rId3874" /><Relationship Type="http://schemas.openxmlformats.org/officeDocument/2006/relationships/hyperlink" Target="https://simango.fr/" TargetMode="External" Id="rId3875" /><Relationship Type="http://schemas.openxmlformats.org/officeDocument/2006/relationships/hyperlink" Target="https://twitter.com/simangosante" TargetMode="External" Id="rId3876" /><Relationship Type="http://schemas.openxmlformats.org/officeDocument/2006/relationships/hyperlink" Target="https://www.linkedin.com/company/simango/" TargetMode="External" Id="rId3877" /><Relationship Type="http://schemas.openxmlformats.org/officeDocument/2006/relationships/hyperlink" Target="https://drive.google.com/uc?export=view&amp;id=1NK4JXnUUy7l_aux-msT6OrjYPsfOiKwq" TargetMode="External" Id="rId3878" /><Relationship Type="http://schemas.openxmlformats.org/officeDocument/2006/relationships/hyperlink" Target="https://www.smarteo.co/" TargetMode="External" Id="rId3879" /><Relationship Type="http://schemas.openxmlformats.org/officeDocument/2006/relationships/hyperlink" Target="https://www.instagram.com/smarteo.co" TargetMode="External" Id="rId3880" /><Relationship Type="http://schemas.openxmlformats.org/officeDocument/2006/relationships/hyperlink" Target="https://twitter.com/smarteo_co" TargetMode="External" Id="rId3881" /><Relationship Type="http://schemas.openxmlformats.org/officeDocument/2006/relationships/hyperlink" Target="https://www.linkedin.com/company/smarteo-co/" TargetMode="External" Id="rId3882" /><Relationship Type="http://schemas.openxmlformats.org/officeDocument/2006/relationships/hyperlink" Target="https://drive.google.com/uc?export=view&amp;id=1HPqZa_ok6oQZ1p_a5i7QEnsE2D9gpEuw" TargetMode="External" Id="rId3883" /><Relationship Type="http://schemas.openxmlformats.org/officeDocument/2006/relationships/hyperlink" Target="http://www.splashtop.com/" TargetMode="External" Id="rId3884" /><Relationship Type="http://schemas.openxmlformats.org/officeDocument/2006/relationships/hyperlink" Target="https://drive.google.com/uc?export=view&amp;id=1sjcwwsCR2fLzzwarvVIassgWUQGLBd72" TargetMode="External" Id="rId3885" /><Relationship Type="http://schemas.openxmlformats.org/officeDocument/2006/relationships/hyperlink" Target="https://studinventive.com/" TargetMode="External" Id="rId3886" /><Relationship Type="http://schemas.openxmlformats.org/officeDocument/2006/relationships/hyperlink" Target="https://drive.google.com/uc?export=view&amp;id=1Z-LiKVWiV1z3GmBa0XWoQvl2VzWlYQsF" TargetMode="External" Id="rId3887" /><Relationship Type="http://schemas.openxmlformats.org/officeDocument/2006/relationships/hyperlink" Target="https://www.taskbase.com/" TargetMode="External" Id="rId3888" /><Relationship Type="http://schemas.openxmlformats.org/officeDocument/2006/relationships/hyperlink" Target="https://www.linkedin.com/company/taskbase/" TargetMode="External" Id="rId3889" /><Relationship Type="http://schemas.openxmlformats.org/officeDocument/2006/relationships/hyperlink" Target="https://drive.google.com/uc?export=view&amp;id=1iVeObtlTKykrJDkxj1TnO9-zCTG28e_-" TargetMode="External" Id="rId3890" /><Relationship Type="http://schemas.openxmlformats.org/officeDocument/2006/relationships/hyperlink" Target="https://www.tecive.co.uk/" TargetMode="External" Id="rId3891" /><Relationship Type="http://schemas.openxmlformats.org/officeDocument/2006/relationships/hyperlink" Target="https://drive.google.com/uc?export=view&amp;id=1oNvt5HyELhHouUQ_x0t26UtJtA3ovKN4" TargetMode="External" Id="rId3892" /><Relationship Type="http://schemas.openxmlformats.org/officeDocument/2006/relationships/hyperlink" Target="https://www.tinyapp.biz/" TargetMode="External" Id="rId3893" /><Relationship Type="http://schemas.openxmlformats.org/officeDocument/2006/relationships/hyperlink" Target="https://www.instagram.com/tinyappes/" TargetMode="External" Id="rId3894" /><Relationship Type="http://schemas.openxmlformats.org/officeDocument/2006/relationships/hyperlink" Target="https://www.linkedin.com/company/tinyapp/" TargetMode="External" Id="rId3895" /><Relationship Type="http://schemas.openxmlformats.org/officeDocument/2006/relationships/hyperlink" Target="https://drive.google.com/uc?export=view&amp;id=1fxtJ2a5U2p0E57z1j80c5smXst2SE569" TargetMode="External" Id="rId3896" /><Relationship Type="http://schemas.openxmlformats.org/officeDocument/2006/relationships/hyperlink" Target="http://tuto.com/" TargetMode="External" Id="rId3897" /><Relationship Type="http://schemas.openxmlformats.org/officeDocument/2006/relationships/hyperlink" Target="https://fr.tuto.com/" TargetMode="External" Id="rId3898" /><Relationship Type="http://schemas.openxmlformats.org/officeDocument/2006/relationships/hyperlink" Target="https://drive.google.com/uc?export=view&amp;id=1U_41NJP9Vk5YGjSXGHUBTafxvAvWHWZD" TargetMode="External" Id="rId3899" /><Relationship Type="http://schemas.openxmlformats.org/officeDocument/2006/relationships/hyperlink" Target="https://www.aimaira.fr/" TargetMode="External" Id="rId3900" /><Relationship Type="http://schemas.openxmlformats.org/officeDocument/2006/relationships/hyperlink" Target="https://twitter.com/aimaira_erp" TargetMode="External" Id="rId3901" /><Relationship Type="http://schemas.openxmlformats.org/officeDocument/2006/relationships/hyperlink" Target="https://www.linkedin.com/company/aimaira/" TargetMode="External" Id="rId3902" /><Relationship Type="http://schemas.openxmlformats.org/officeDocument/2006/relationships/hyperlink" Target="https://drive.google.com/uc?export=view&amp;id=1hFYJVHg1WicHtdtRKW8y4s6uN2pNSpZ_" TargetMode="External" Id="rId3903" /><Relationship Type="http://schemas.openxmlformats.org/officeDocument/2006/relationships/hyperlink" Target="https://altusform.fr/" TargetMode="External" Id="rId3904" /><Relationship Type="http://schemas.openxmlformats.org/officeDocument/2006/relationships/hyperlink" Target="https://www.linkedin.com/company/altusform" TargetMode="External" Id="rId3905" /><Relationship Type="http://schemas.openxmlformats.org/officeDocument/2006/relationships/hyperlink" Target="https://drive.google.com/uc?export=view&amp;id=1r4CC6FXNc3WjBP9m5ocW05SW04WmeoxA" TargetMode="External" Id="rId3906" /><Relationship Type="http://schemas.openxmlformats.org/officeDocument/2006/relationships/hyperlink" Target="http://www.aqueduto.com/" TargetMode="External" Id="rId3907" /><Relationship Type="http://schemas.openxmlformats.org/officeDocument/2006/relationships/hyperlink" Target="https://drive.google.com/uc?export=view&amp;id=1SvTjU7nQHCZnLmY3tFDzWf7lsk_6qPl7" TargetMode="External" Id="rId3908" /><Relationship Type="http://schemas.openxmlformats.org/officeDocument/2006/relationships/hyperlink" Target="http://www.attender.uk/" TargetMode="External" Id="rId3909" /><Relationship Type="http://schemas.openxmlformats.org/officeDocument/2006/relationships/hyperlink" Target="https://drive.google.com/uc?export=view&amp;id=1_mS3n6n6zPp3FKoXsIJ1NMwxvMkJNKlM" TargetMode="External" Id="rId3910" /><Relationship Type="http://schemas.openxmlformats.org/officeDocument/2006/relationships/hyperlink" Target="https://beyondeducation.tech/" TargetMode="External" Id="rId3911" /><Relationship Type="http://schemas.openxmlformats.org/officeDocument/2006/relationships/hyperlink" Target="https://www.instagram.com/beyondeducation21st/" TargetMode="External" Id="rId3912" /><Relationship Type="http://schemas.openxmlformats.org/officeDocument/2006/relationships/hyperlink" Target="https://www.linkedin.com/company/be-beyond-education-company/?viewAsMember=true" TargetMode="External" Id="rId3913" /><Relationship Type="http://schemas.openxmlformats.org/officeDocument/2006/relationships/hyperlink" Target="https://drive.google.com/uc?export=view&amp;id=1wv-QoJp0POrGv7U4efqchrGaBeznFR8V" TargetMode="External" Id="rId3914" /><Relationship Type="http://schemas.openxmlformats.org/officeDocument/2006/relationships/hyperlink" Target="https://bodyswaps.co/" TargetMode="External" Id="rId3915" /><Relationship Type="http://schemas.openxmlformats.org/officeDocument/2006/relationships/hyperlink" Target="https://drive.google.com/uc?export=view&amp;id=1PDDXU8RtDlnZcK0p1xp5t_BYdg2svavC" TargetMode="External" Id="rId3916" /><Relationship Type="http://schemas.openxmlformats.org/officeDocument/2006/relationships/hyperlink" Target="https://www.cambridgeinternational.academy/" TargetMode="External" Id="rId3917" /><Relationship Type="http://schemas.openxmlformats.org/officeDocument/2006/relationships/hyperlink" Target="https://drive.google.com/uc?export=view&amp;id=1PO0oPl0fU1tfhRv0BsjS7hsYj16UMFvT" TargetMode="External" Id="rId3918" /><Relationship Type="http://schemas.openxmlformats.org/officeDocument/2006/relationships/hyperlink" Target="http://www.civinc.co/" TargetMode="External" Id="rId3919" /><Relationship Type="http://schemas.openxmlformats.org/officeDocument/2006/relationships/hyperlink" Target="https://www.linkedin.com/company/civinc" TargetMode="External" Id="rId3920" /><Relationship Type="http://schemas.openxmlformats.org/officeDocument/2006/relationships/hyperlink" Target="https://drive.google.com/uc?export=view&amp;id=1PUYazmoVsGKYvCrAxXUu4x0JpALZmURc" TargetMode="External" Id="rId3921" /><Relationship Type="http://schemas.openxmlformats.org/officeDocument/2006/relationships/hyperlink" Target="https://www.classlife.education/" TargetMode="External" Id="rId3922" /><Relationship Type="http://schemas.openxmlformats.org/officeDocument/2006/relationships/hyperlink" Target="https://drive.google.com/uc?export=view&amp;id=1KwtNLU1apZdqBSlpxD-EimE7CPxBFit1" TargetMode="External" Id="rId3923" /><Relationship Type="http://schemas.openxmlformats.org/officeDocument/2006/relationships/hyperlink" Target="https://comproved.com/en/" TargetMode="External" Id="rId3924" /><Relationship Type="http://schemas.openxmlformats.org/officeDocument/2006/relationships/hyperlink" Target="https://drive.google.com/uc?export=view&amp;id=1C1o3QWFEkCDG1usz6Jq7z5NpaGjwjeWN" TargetMode="External" Id="rId3925" /><Relationship Type="http://schemas.openxmlformats.org/officeDocument/2006/relationships/hyperlink" Target="https://www.cornelsen-gruppe.de/en" TargetMode="External" Id="rId3926" /><Relationship Type="http://schemas.openxmlformats.org/officeDocument/2006/relationships/hyperlink" Target="https://drive.google.com/uc?export=view&amp;id=19ypDvnjn_4Z12rPjDnNL5MxmdYWeA0l8" TargetMode="External" Id="rId3927" /><Relationship Type="http://schemas.openxmlformats.org/officeDocument/2006/relationships/hyperlink" Target="https://www.craft.ai/" TargetMode="External" Id="rId3928" /><Relationship Type="http://schemas.openxmlformats.org/officeDocument/2006/relationships/hyperlink" Target="https://twitter.com/craft_ai" TargetMode="External" Id="rId3929" /><Relationship Type="http://schemas.openxmlformats.org/officeDocument/2006/relationships/hyperlink" Target="https://www.linkedin.com/company/9460012/" TargetMode="External" Id="rId3930" /><Relationship Type="http://schemas.openxmlformats.org/officeDocument/2006/relationships/hyperlink" Target="https://drive.google.com/uc?export=view&amp;id=1GyQym391kyXn4a89-MetLQTbml6Ycm6N" TargetMode="External" Id="rId3931" /><Relationship Type="http://schemas.openxmlformats.org/officeDocument/2006/relationships/hyperlink" Target="http://www.dokeos.com/" TargetMode="External" Id="rId3932" /><Relationship Type="http://schemas.openxmlformats.org/officeDocument/2006/relationships/hyperlink" Target="https://www.instagram.com/dokeoslms/?hl=fr" TargetMode="External" Id="rId3933" /><Relationship Type="http://schemas.openxmlformats.org/officeDocument/2006/relationships/hyperlink" Target="https://twitter.com/dokeos" TargetMode="External" Id="rId3934" /><Relationship Type="http://schemas.openxmlformats.org/officeDocument/2006/relationships/hyperlink" Target="https://www.linkedin.com/company/dokeos" TargetMode="External" Id="rId3935" /><Relationship Type="http://schemas.openxmlformats.org/officeDocument/2006/relationships/hyperlink" Target="https://drive.google.com/uc?export=view&amp;id=1xGugivr8_wiL4QT2_aSQHWNhkSVjI78X" TargetMode="External" Id="rId3936" /><Relationship Type="http://schemas.openxmlformats.org/officeDocument/2006/relationships/hyperlink" Target="https://www.fasterclass.fr/" TargetMode="External" Id="rId3937" /><Relationship Type="http://schemas.openxmlformats.org/officeDocument/2006/relationships/hyperlink" Target="https://www.linkedin.com/company/10414242" TargetMode="External" Id="rId3938" /><Relationship Type="http://schemas.openxmlformats.org/officeDocument/2006/relationships/hyperlink" Target="https://drive.google.com/uc?export=view&amp;id=1xLZfCI4xD4uQitugXFJz9gmwak0uXHAb" TargetMode="External" Id="rId3939" /><Relationship Type="http://schemas.openxmlformats.org/officeDocument/2006/relationships/hyperlink" Target="https://grimp.io/" TargetMode="External" Id="rId3940" /><Relationship Type="http://schemas.openxmlformats.org/officeDocument/2006/relationships/hyperlink" Target="http://grimp.io/" TargetMode="External" Id="rId3941" /><Relationship Type="http://schemas.openxmlformats.org/officeDocument/2006/relationships/hyperlink" Target="https://twitter.com/grimphq" TargetMode="External" Id="rId3942" /><Relationship Type="http://schemas.openxmlformats.org/officeDocument/2006/relationships/hyperlink" Target="https://www.linkedin.com/company/grimp-hq" TargetMode="External" Id="rId3943" /><Relationship Type="http://schemas.openxmlformats.org/officeDocument/2006/relationships/hyperlink" Target="https://drive.google.com/uc?export=view&amp;id=1lhWB8mgqr3GhKCYp4p7hbREDRcUzAKMi" TargetMode="External" Id="rId3944" /><Relationship Type="http://schemas.openxmlformats.org/officeDocument/2006/relationships/hyperlink" Target="https://www.gymglish.com/" TargetMode="External" Id="rId3945" /><Relationship Type="http://schemas.openxmlformats.org/officeDocument/2006/relationships/hyperlink" Target="https://www.instagram.com/gymglish/" TargetMode="External" Id="rId3946" /><Relationship Type="http://schemas.openxmlformats.org/officeDocument/2006/relationships/hyperlink" Target="https://twitter.com/GymGlish" TargetMode="External" Id="rId3947" /><Relationship Type="http://schemas.openxmlformats.org/officeDocument/2006/relationships/hyperlink" Target="https://www.linkedin.com/company/gymglish/" TargetMode="External" Id="rId3948" /><Relationship Type="http://schemas.openxmlformats.org/officeDocument/2006/relationships/hyperlink" Target="https://drive.google.com/uc?export=view&amp;id=1MdCvkj9qbbjR5gLNr3SUDEyDvjBXRcOe" TargetMode="External" Id="rId3949" /><Relationship Type="http://schemas.openxmlformats.org/officeDocument/2006/relationships/hyperlink" Target="https://www.hopspots.dk/" TargetMode="External" Id="rId3950" /><Relationship Type="http://schemas.openxmlformats.org/officeDocument/2006/relationships/hyperlink" Target="https://www.instagram.com/hopspots/" TargetMode="External" Id="rId3951" /><Relationship Type="http://schemas.openxmlformats.org/officeDocument/2006/relationships/hyperlink" Target="https://www.linkedin.com/company/cxd--child-experience-design" TargetMode="External" Id="rId3952" /><Relationship Type="http://schemas.openxmlformats.org/officeDocument/2006/relationships/hyperlink" Target="https://drive.google.com/uc?export=view&amp;id=1avebXazKPl3R0ZemfcD5OxGhaXfQ5-yM" TargetMode="External" Id="rId3953" /><Relationship Type="http://schemas.openxmlformats.org/officeDocument/2006/relationships/hyperlink" Target="https://www.icdlfrance.org/" TargetMode="External" Id="rId3954" /><Relationship Type="http://schemas.openxmlformats.org/officeDocument/2006/relationships/hyperlink" Target="https://www.instagram.com/icdl_france/" TargetMode="External" Id="rId3955" /><Relationship Type="http://schemas.openxmlformats.org/officeDocument/2006/relationships/hyperlink" Target="https://mobile.twitter.com/icdlfrance" TargetMode="External" Id="rId3956" /><Relationship Type="http://schemas.openxmlformats.org/officeDocument/2006/relationships/hyperlink" Target="https://www.linkedin.com/company/pcie---icdl" TargetMode="External" Id="rId3957" /><Relationship Type="http://schemas.openxmlformats.org/officeDocument/2006/relationships/hyperlink" Target="https://drive.google.com/uc?export=view&amp;id=1PVXqrYKHZ7gh0jjLFg7Nu0BnvNbzAFY6" TargetMode="External" Id="rId3958" /><Relationship Type="http://schemas.openxmlformats.org/officeDocument/2006/relationships/hyperlink" Target="https://idruide.com/" TargetMode="External" Id="rId3959" /><Relationship Type="http://schemas.openxmlformats.org/officeDocument/2006/relationships/hyperlink" Target="https://twitter.com/idruide" TargetMode="External" Id="rId3960" /><Relationship Type="http://schemas.openxmlformats.org/officeDocument/2006/relationships/hyperlink" Target="https://www.linkedin.com/company/idruide/" TargetMode="External" Id="rId3961" /><Relationship Type="http://schemas.openxmlformats.org/officeDocument/2006/relationships/hyperlink" Target="https://drive.google.com/uc?export=view&amp;id=1Ybwksx-d4kZqR5fjglqp-cOFGqFYMfiI" TargetMode="External" Id="rId3962" /><Relationship Type="http://schemas.openxmlformats.org/officeDocument/2006/relationships/hyperlink" Target="https://investoryapp.com/" TargetMode="External" Id="rId3963" /><Relationship Type="http://schemas.openxmlformats.org/officeDocument/2006/relationships/hyperlink" Target="https://drive.google.com/uc?export=view&amp;id=18abHIP-8RZNT_W0-Xyy8BYLrPvL_NbDi" TargetMode="External" Id="rId3964" /><Relationship Type="http://schemas.openxmlformats.org/officeDocument/2006/relationships/hyperlink" Target="https://iteach.world/" TargetMode="External" Id="rId3965" /><Relationship Type="http://schemas.openxmlformats.org/officeDocument/2006/relationships/hyperlink" Target="https://www.facebook.com/Iteachworld" TargetMode="External" Id="rId3966" /><Relationship Type="http://schemas.openxmlformats.org/officeDocument/2006/relationships/hyperlink" Target="https://www.linkedin.com/company/iteach-world/" TargetMode="External" Id="rId3967" /><Relationship Type="http://schemas.openxmlformats.org/officeDocument/2006/relationships/hyperlink" Target="https://drive.google.com/uc?export=view&amp;id=1RQ-FvR9rMM2WaL5ZYatyvb3lpTbL4QUu" TargetMode="External" Id="rId3968" /><Relationship Type="http://schemas.openxmlformats.org/officeDocument/2006/relationships/hyperlink" Target="http://www.itorium.org/" TargetMode="External" Id="rId3969" /><Relationship Type="http://schemas.openxmlformats.org/officeDocument/2006/relationships/hyperlink" Target="https://www.linkedin.com/company/itorium/" TargetMode="External" Id="rId3970" /><Relationship Type="http://schemas.openxmlformats.org/officeDocument/2006/relationships/hyperlink" Target="https://drive.google.com/uc?export=view&amp;id=172KbpIJyhObW9VNZCgHSi2J8l5LiNMx6" TargetMode="External" Id="rId3971" /><Relationship Type="http://schemas.openxmlformats.org/officeDocument/2006/relationships/hyperlink" Target="http://www.kalivi.fr/" TargetMode="External" Id="rId3972" /><Relationship Type="http://schemas.openxmlformats.org/officeDocument/2006/relationships/hyperlink" Target="https://drive.google.com/uc?export=view&amp;id=19V-c6Vx-zsyibAB_Acb9xWXSDpknN66j" TargetMode="External" Id="rId3973" /><Relationship Type="http://schemas.openxmlformats.org/officeDocument/2006/relationships/hyperlink" Target="https://www.kingpact.fr/" TargetMode="External" Id="rId3974" /><Relationship Type="http://schemas.openxmlformats.org/officeDocument/2006/relationships/hyperlink" Target="https://www.instagram.com/king_pact/?hl=en" TargetMode="External" Id="rId3975" /><Relationship Type="http://schemas.openxmlformats.org/officeDocument/2006/relationships/hyperlink" Target="https://www.linkedin.com/company/kingpact" TargetMode="External" Id="rId3976" /><Relationship Type="http://schemas.openxmlformats.org/officeDocument/2006/relationships/hyperlink" Target="https://drive.google.com/uc?export=view&amp;id=1rxycs4aClc-rsFUADSHbP3UvYqQ2ILsZ" TargetMode="External" Id="rId3977" /><Relationship Type="http://schemas.openxmlformats.org/officeDocument/2006/relationships/hyperlink" Target="http://www.atelierdeschefs.fr/" TargetMode="External" Id="rId3978" /><Relationship Type="http://schemas.openxmlformats.org/officeDocument/2006/relationships/hyperlink" Target="https://www.instagram.com/atelierdeschefs/?hl=fr" TargetMode="External" Id="rId3979" /><Relationship Type="http://schemas.openxmlformats.org/officeDocument/2006/relationships/hyperlink" Target="https://www.linkedin.com/school/91825/admin/" TargetMode="External" Id="rId3980" /><Relationship Type="http://schemas.openxmlformats.org/officeDocument/2006/relationships/hyperlink" Target="https://drive.google.com/uc?export=view&amp;id=1LDxZPlc9z0_2a_kYkGKR-OE3lfa9_raG" TargetMode="External" Id="rId3981" /><Relationship Type="http://schemas.openxmlformats.org/officeDocument/2006/relationships/hyperlink" Target="http://www.ladante-in-cambridge.org/" TargetMode="External" Id="rId3982" /><Relationship Type="http://schemas.openxmlformats.org/officeDocument/2006/relationships/hyperlink" Target="https://drive.google.com/uc?export=view&amp;id=15dWE7_Jkm0qikbnfw6A3MS6r5NGCXBGC" TargetMode="External" Id="rId3983" /><Relationship Type="http://schemas.openxmlformats.org/officeDocument/2006/relationships/hyperlink" Target="https://www.lesadultesdedemain.com/" TargetMode="External" Id="rId3984" /><Relationship Type="http://schemas.openxmlformats.org/officeDocument/2006/relationships/hyperlink" Target="https://drive.google.com/uc?export=view&amp;id=1XsrIJPCpnCsiEMCc-ffZqiD5ji-O_RuH" TargetMode="External" Id="rId3985" /><Relationship Type="http://schemas.openxmlformats.org/officeDocument/2006/relationships/hyperlink" Target="http://www.lili.cool/" TargetMode="External" Id="rId3986" /><Relationship Type="http://schemas.openxmlformats.org/officeDocument/2006/relationships/hyperlink" Target="https://www.instagram.com/lili.cool.app/" TargetMode="External" Id="rId3987" /><Relationship Type="http://schemas.openxmlformats.org/officeDocument/2006/relationships/hyperlink" Target="https://www.linkedin.com/company/lili-cool-app/" TargetMode="External" Id="rId3988" /><Relationship Type="http://schemas.openxmlformats.org/officeDocument/2006/relationships/hyperlink" Target="https://drive.google.com/uc?export=view&amp;id=1WDZQ9Ue3Ry14i48aH2z38cWeGK56QnNs" TargetMode="External" Id="rId3989" /><Relationship Type="http://schemas.openxmlformats.org/officeDocument/2006/relationships/hyperlink" Target="https://www.lillup.com/" TargetMode="External" Id="rId3990" /><Relationship Type="http://schemas.openxmlformats.org/officeDocument/2006/relationships/hyperlink" Target="https://drive.google.com/uc?export=view&amp;id=10jfcbMIxHCWCuPijkl7kdwdYlL3S-Z8M" TargetMode="External" Id="rId3991" /><Relationship Type="http://schemas.openxmlformats.org/officeDocument/2006/relationships/hyperlink" Target="https://maitrelucas.fr/" TargetMode="External" Id="rId3992" /><Relationship Type="http://schemas.openxmlformats.org/officeDocument/2006/relationships/hyperlink" Target="https://www.instagram.com/maitre_lucas_officiel/" TargetMode="External" Id="rId3993" /><Relationship Type="http://schemas.openxmlformats.org/officeDocument/2006/relationships/hyperlink" Target="https://drive.google.com/uc?export=view&amp;id=1q8FAdIKhIs1konGHCutwoDRTv9W4Q6ke" TargetMode="External" Id="rId3994" /><Relationship Type="http://schemas.openxmlformats.org/officeDocument/2006/relationships/hyperlink" Target="https://massiveimmersive.com/" TargetMode="External" Id="rId3995" /><Relationship Type="http://schemas.openxmlformats.org/officeDocument/2006/relationships/hyperlink" Target="https://www.instagram.com/massive_immersive/" TargetMode="External" Id="rId3996" /><Relationship Type="http://schemas.openxmlformats.org/officeDocument/2006/relationships/hyperlink" Target="https://twitter.com/Mass_Immersive" TargetMode="External" Id="rId3997" /><Relationship Type="http://schemas.openxmlformats.org/officeDocument/2006/relationships/hyperlink" Target="https://www.linkedin.com/company/massive-immersive/" TargetMode="External" Id="rId3998" /><Relationship Type="http://schemas.openxmlformats.org/officeDocument/2006/relationships/hyperlink" Target="https://drive.google.com/uc?export=view&amp;id=1WaFFO26j0-v6HF_oMXt2iTxt3nD46tb4" TargetMode="External" Id="rId3999" /><Relationship Type="http://schemas.openxmlformats.org/officeDocument/2006/relationships/hyperlink" Target="http://mavoie.org/" TargetMode="External" Id="rId4000" /><Relationship Type="http://schemas.openxmlformats.org/officeDocument/2006/relationships/hyperlink" Target="http://www.mavoie.org/" TargetMode="External" Id="rId4001" /><Relationship Type="http://schemas.openxmlformats.org/officeDocument/2006/relationships/hyperlink" Target="https://www.instagram.com/mavoieorg/" TargetMode="External" Id="rId4002" /><Relationship Type="http://schemas.openxmlformats.org/officeDocument/2006/relationships/hyperlink" Target="https://twitter.com/mavoie_org" TargetMode="External" Id="rId4003" /><Relationship Type="http://schemas.openxmlformats.org/officeDocument/2006/relationships/hyperlink" Target="https://www.linkedin.com/company/mavoie-org" TargetMode="External" Id="rId4004" /><Relationship Type="http://schemas.openxmlformats.org/officeDocument/2006/relationships/hyperlink" Target="https://drive.google.com/uc?export=view&amp;id=1W3ho_mVXPZGwmLvx0PxB1B_JNdKfvZIs" TargetMode="External" Id="rId4005" /><Relationship Type="http://schemas.openxmlformats.org/officeDocument/2006/relationships/hyperlink" Target="https://mysalesacademy.fr/" TargetMode="External" Id="rId4006" /><Relationship Type="http://schemas.openxmlformats.org/officeDocument/2006/relationships/hyperlink" Target="https://www.linkedin.com/company/my-sales-academy-lyon/?viewAsMember=true" TargetMode="External" Id="rId4007" /><Relationship Type="http://schemas.openxmlformats.org/officeDocument/2006/relationships/hyperlink" Target="http://www.nabook.co/" TargetMode="External" Id="rId4008" /><Relationship Type="http://schemas.openxmlformats.org/officeDocument/2006/relationships/hyperlink" Target="https://www.instagram.com/nabook_app" TargetMode="External" Id="rId4009" /><Relationship Type="http://schemas.openxmlformats.org/officeDocument/2006/relationships/hyperlink" Target="https://twitter.com/nabook_app" TargetMode="External" Id="rId4010" /><Relationship Type="http://schemas.openxmlformats.org/officeDocument/2006/relationships/hyperlink" Target="https://www.linkedin.com/company/14454529/" TargetMode="External" Id="rId4011" /><Relationship Type="http://schemas.openxmlformats.org/officeDocument/2006/relationships/hyperlink" Target="https://drive.google.com/uc?export=view&amp;id=1e5U0t5OzR3bqBfXsaSt6nh_bprodcnuE" TargetMode="External" Id="rId4012" /><Relationship Type="http://schemas.openxmlformats.org/officeDocument/2006/relationships/hyperlink" Target="https://labpossible.com/" TargetMode="External" Id="rId4013" /><Relationship Type="http://schemas.openxmlformats.org/officeDocument/2006/relationships/hyperlink" Target="https://drive.google.com/uc?export=view&amp;id=1fqIjAMqQw84zXYqcKLZwfaYlMkmPSGRU" TargetMode="External" Id="rId4014" /><Relationship Type="http://schemas.openxmlformats.org/officeDocument/2006/relationships/hyperlink" Target="https://ww.pro-pulsar.com/" TargetMode="External" Id="rId4015" /><Relationship Type="http://schemas.openxmlformats.org/officeDocument/2006/relationships/hyperlink" Target="https://www.prosoon.eu/" TargetMode="External" Id="rId4016" /><Relationship Type="http://schemas.openxmlformats.org/officeDocument/2006/relationships/hyperlink" Target="https://www.linkedin.com/company/prosoon/?viewAsMember=true" TargetMode="External" Id="rId4017" /><Relationship Type="http://schemas.openxmlformats.org/officeDocument/2006/relationships/hyperlink" Target="https://drive.google.com/uc?export=view&amp;id=124cnukxbkZeszRLLSs9MGjeT7Ld7q5qG" TargetMode="External" Id="rId4018" /><Relationship Type="http://schemas.openxmlformats.org/officeDocument/2006/relationships/hyperlink" Target="https://www.readyforred.com/" TargetMode="External" Id="rId4019" /><Relationship Type="http://schemas.openxmlformats.org/officeDocument/2006/relationships/hyperlink" Target="https://www.instagram.com/erdbeerwoche_/" TargetMode="External" Id="rId4020" /><Relationship Type="http://schemas.openxmlformats.org/officeDocument/2006/relationships/hyperlink" Target="https://drive.google.com/uc?export=view&amp;id=1sp0ZYfzfMeCQSgRadItFh_B0vtcD3Z1j" TargetMode="External" Id="rId4021" /><Relationship Type="http://schemas.openxmlformats.org/officeDocument/2006/relationships/hyperlink" Target="https://www.relevancelearning.com/" TargetMode="External" Id="rId4022" /><Relationship Type="http://schemas.openxmlformats.org/officeDocument/2006/relationships/hyperlink" Target="https://www.linkedin.com/company/relevance-learning/" TargetMode="External" Id="rId4023" /><Relationship Type="http://schemas.openxmlformats.org/officeDocument/2006/relationships/hyperlink" Target="https://drive.google.com/uc?export=view&amp;id=1mbyM4wNtVWoaxfdrBEuYlchV3r4-AZvE" TargetMode="External" Id="rId4024" /><Relationship Type="http://schemas.openxmlformats.org/officeDocument/2006/relationships/hyperlink" Target="http://www.ro-botica.com/" TargetMode="External" Id="rId4025" /><Relationship Type="http://schemas.openxmlformats.org/officeDocument/2006/relationships/hyperlink" Target="https://drive.google.com/uc?export=view&amp;id=1uA0VCcxLClpMRsq5xY3lgTYwBqEskUWt" TargetMode="External" Id="rId4026" /><Relationship Type="http://schemas.openxmlformats.org/officeDocument/2006/relationships/hyperlink" Target="https://skilit.io/" TargetMode="External" Id="rId4027" /><Relationship Type="http://schemas.openxmlformats.org/officeDocument/2006/relationships/hyperlink" Target="https://www.linkedin.com/company/skilit-io" TargetMode="External" Id="rId4028" /><Relationship Type="http://schemas.openxmlformats.org/officeDocument/2006/relationships/hyperlink" Target="https://drive.google.com/uc?export=view&amp;id=1KKddj_0VgeVWOzVFYEHLzraeeOjynugb" TargetMode="External" Id="rId4029" /><Relationship Type="http://schemas.openxmlformats.org/officeDocument/2006/relationships/hyperlink" Target="https://www.skilmi.fr/" TargetMode="External" Id="rId4030" /><Relationship Type="http://schemas.openxmlformats.org/officeDocument/2006/relationships/hyperlink" Target="https://www.instagram.com/skilmi.fr/" TargetMode="External" Id="rId4031" /><Relationship Type="http://schemas.openxmlformats.org/officeDocument/2006/relationships/hyperlink" Target="https://twitter.com/skilmi_fr" TargetMode="External" Id="rId4032" /><Relationship Type="http://schemas.openxmlformats.org/officeDocument/2006/relationships/hyperlink" Target="https://www.linkedin.com/company/skilmi/?viewAsMember=true" TargetMode="External" Id="rId4033" /><Relationship Type="http://schemas.openxmlformats.org/officeDocument/2006/relationships/hyperlink" Target="https://drive.google.com/uc?export=view&amp;id=1BBWOQ1HPN0JNV9lOFCbdkCjDTOcjaGAJ" TargetMode="External" Id="rId4034" /><Relationship Type="http://schemas.openxmlformats.org/officeDocument/2006/relationships/hyperlink" Target="http://www.smileandlearn.com/" TargetMode="External" Id="rId4035" /><Relationship Type="http://schemas.openxmlformats.org/officeDocument/2006/relationships/hyperlink" Target="https://www.linkedin.com/company/9408157" TargetMode="External" Id="rId4036" /><Relationship Type="http://schemas.openxmlformats.org/officeDocument/2006/relationships/hyperlink" Target="https://drive.google.com/uc?export=view&amp;id=11EHEP7cc7jGMuFzjvwFcNhWSWrAtbLOd" TargetMode="External" Id="rId4037" /><Relationship Type="http://schemas.openxmlformats.org/officeDocument/2006/relationships/hyperlink" Target="http://www.smowl.net/" TargetMode="External" Id="rId4038" /><Relationship Type="http://schemas.openxmlformats.org/officeDocument/2006/relationships/hyperlink" Target="http://www.societycollege.nl/" TargetMode="External" Id="rId4039" /><Relationship Type="http://schemas.openxmlformats.org/officeDocument/2006/relationships/hyperlink" Target="https://nl.linkedin.com/company/society-college" TargetMode="External" Id="rId4040" /><Relationship Type="http://schemas.openxmlformats.org/officeDocument/2006/relationships/hyperlink" Target="https://drive.google.com/uc?export=view&amp;id=1JVjRBSyCS61RMCCu8cRo_OUozBmoPII-" TargetMode="External" Id="rId4041" /><Relationship Type="http://schemas.openxmlformats.org/officeDocument/2006/relationships/hyperlink" Target="https://www.sparted.com/" TargetMode="External" Id="rId4042" /><Relationship Type="http://schemas.openxmlformats.org/officeDocument/2006/relationships/hyperlink" Target="https://drive.google.com/uc?export=view&amp;id=1OUPEQEnOoA0u_eX_5n8RNxiV2t-juSp8" TargetMode="External" Id="rId4043" /><Relationship Type="http://schemas.openxmlformats.org/officeDocument/2006/relationships/hyperlink" Target="https://sylexapp.com/" TargetMode="External" Id="rId4044" /><Relationship Type="http://schemas.openxmlformats.org/officeDocument/2006/relationships/hyperlink" Target="https://www.instagram.com/sylexapp/" TargetMode="External" Id="rId4045" /><Relationship Type="http://schemas.openxmlformats.org/officeDocument/2006/relationships/hyperlink" Target="https://twitter.com/sylexapp" TargetMode="External" Id="rId4046" /><Relationship Type="http://schemas.openxmlformats.org/officeDocument/2006/relationships/hyperlink" Target="https://www.linkedin.com/company/76330568" TargetMode="External" Id="rId4047" /><Relationship Type="http://schemas.openxmlformats.org/officeDocument/2006/relationships/hyperlink" Target="https://drive.google.com/uc?export=view&amp;id=1Uo900LSpwcy0Z-vbp6zejgdb6llCdtqJ" TargetMode="External" Id="rId4048" /><Relationship Type="http://schemas.openxmlformats.org/officeDocument/2006/relationships/hyperlink" Target="http://syntagmadigital.com/" TargetMode="External" Id="rId4049" /><Relationship Type="http://schemas.openxmlformats.org/officeDocument/2006/relationships/hyperlink" Target="https://www.instagram.com/syntagma_analizador_sintactico/" TargetMode="External" Id="rId4050" /><Relationship Type="http://schemas.openxmlformats.org/officeDocument/2006/relationships/hyperlink" Target="https://twitter.com/SyntagmaD" TargetMode="External" Id="rId4051" /><Relationship Type="http://schemas.openxmlformats.org/officeDocument/2006/relationships/hyperlink" Target="https://www.linkedin.com/company/syntagmadigital" TargetMode="External" Id="rId4052" /><Relationship Type="http://schemas.openxmlformats.org/officeDocument/2006/relationships/hyperlink" Target="https://drive.google.com/uc?export=view&amp;id=1GIzpBDb_x7x10sHJ4_EL8XKZGi5BPHka" TargetMode="External" Id="rId4053" /><Relationship Type="http://schemas.openxmlformats.org/officeDocument/2006/relationships/hyperlink" Target="https://takk.app/" TargetMode="External" Id="rId4054" /><Relationship Type="http://schemas.openxmlformats.org/officeDocument/2006/relationships/hyperlink" Target="https://drive.google.com/uc?export=view&amp;id=15CsNMUfypfn7y2BlBmahS1h7EhY_wi13" TargetMode="External" Id="rId4055" /><Relationship Type="http://schemas.openxmlformats.org/officeDocument/2006/relationships/hyperlink" Target="https://www.talanddev.com/" TargetMode="External" Id="rId4056" /><Relationship Type="http://schemas.openxmlformats.org/officeDocument/2006/relationships/hyperlink" Target="https://drive.google.com/uc?export=view&amp;id=1uTk_qyJPZMFsWiW-vLD_vg1Kptk13cOo" TargetMode="External" Id="rId4057" /><Relationship Type="http://schemas.openxmlformats.org/officeDocument/2006/relationships/hyperlink" Target="http://techkidsacademy.com/" TargetMode="External" Id="rId4058" /><Relationship Type="http://schemas.openxmlformats.org/officeDocument/2006/relationships/hyperlink" Target="https://www.instagram.com/techkidsacademy/" TargetMode="External" Id="rId4059" /><Relationship Type="http://schemas.openxmlformats.org/officeDocument/2006/relationships/hyperlink" Target="https://twitter.com/techkidsacademy" TargetMode="External" Id="rId4060" /><Relationship Type="http://schemas.openxmlformats.org/officeDocument/2006/relationships/hyperlink" Target="https://www.linkedin.com/company/45964857/" TargetMode="External" Id="rId4061" /><Relationship Type="http://schemas.openxmlformats.org/officeDocument/2006/relationships/hyperlink" Target="https://drive.google.com/uc?export=view&amp;id=1Te0XaUR4-3wgcmPhqlAwtClFPBJ2cNMn" TargetMode="External" Id="rId4062" /><Relationship Type="http://schemas.openxmlformats.org/officeDocument/2006/relationships/hyperlink" Target="https://testwe.eu/en/" TargetMode="External" Id="rId4063" /><Relationship Type="http://schemas.openxmlformats.org/officeDocument/2006/relationships/hyperlink" Target="https://www.instagram.com/testwe_eu/" TargetMode="External" Id="rId4064" /><Relationship Type="http://schemas.openxmlformats.org/officeDocument/2006/relationships/hyperlink" Target="https://twitter.com/testwe_eu" TargetMode="External" Id="rId4065" /><Relationship Type="http://schemas.openxmlformats.org/officeDocument/2006/relationships/hyperlink" Target="https://www.linkedin.com/company/testwe" TargetMode="External" Id="rId4066" /><Relationship Type="http://schemas.openxmlformats.org/officeDocument/2006/relationships/hyperlink" Target="https://drive.google.com/uc?export=view&amp;id=1iEVw_HadK7sPYKIj1otl8chfgGpbuiFV" TargetMode="External" Id="rId4067" /><Relationship Type="http://schemas.openxmlformats.org/officeDocument/2006/relationships/hyperlink" Target="http://www.thephotoacademy.com/" TargetMode="External" Id="rId4068" /><Relationship Type="http://schemas.openxmlformats.org/officeDocument/2006/relationships/hyperlink" Target="https://drive.google.com/uc?export=view&amp;id=1a9Gs_i2bv-KsdeNnDQsb4Lm0yWvDVIF3" TargetMode="External" Id="rId4069" /><Relationship Type="http://schemas.openxmlformats.org/officeDocument/2006/relationships/hyperlink" Target="http://toddl.co/" TargetMode="External" Id="rId4070" /><Relationship Type="http://schemas.openxmlformats.org/officeDocument/2006/relationships/hyperlink" Target="http://www.toddl.co/" TargetMode="External" Id="rId4071" /><Relationship Type="http://schemas.openxmlformats.org/officeDocument/2006/relationships/hyperlink" Target="https://www.tosa.org/EN/index" TargetMode="External" Id="rId4072" /><Relationship Type="http://schemas.openxmlformats.org/officeDocument/2006/relationships/hyperlink" Target="https://www.linkedin.com/company/tosacertifications/" TargetMode="External" Id="rId4073" /><Relationship Type="http://schemas.openxmlformats.org/officeDocument/2006/relationships/hyperlink" Target="https://drive.google.com/uc?export=view&amp;id=16TJ0KiiE1Fu1-OeWrfghjROa8pbt_KKG" TargetMode="External" Id="rId4074" /><Relationship Type="http://schemas.openxmlformats.org/officeDocument/2006/relationships/hyperlink" Target="https://unly.org/" TargetMode="External" Id="rId4075" /><Relationship Type="http://schemas.openxmlformats.org/officeDocument/2006/relationships/hyperlink" Target="https://www.instagram.com/propulseo/" TargetMode="External" Id="rId4076" /><Relationship Type="http://schemas.openxmlformats.org/officeDocument/2006/relationships/hyperlink" Target="https://twitter.com/unlyed" TargetMode="External" Id="rId4077" /><Relationship Type="http://schemas.openxmlformats.org/officeDocument/2006/relationships/hyperlink" Target="https://www.linkedin.com/company/unly/" TargetMode="External" Id="rId4078" /><Relationship Type="http://schemas.openxmlformats.org/officeDocument/2006/relationships/hyperlink" Target="https://drive.google.com/uc?export=view&amp;id=1xliyHvm-rirbaW4SkkXooG2ouNpBrCl0" TargetMode="External" Id="rId4079" /><Relationship Type="http://schemas.openxmlformats.org/officeDocument/2006/relationships/hyperlink" Target="http://upskyld.com/" TargetMode="External" Id="rId4080" /><Relationship Type="http://schemas.openxmlformats.org/officeDocument/2006/relationships/hyperlink" Target="https://www.linkedin.com/company/84367156/" TargetMode="External" Id="rId4081" /><Relationship Type="http://schemas.openxmlformats.org/officeDocument/2006/relationships/hyperlink" Target="https://drive.google.com/uc?export=view&amp;id=1Xzopr91dmMwctfgSfU4v-O8hqe2GTrjr" TargetMode="External" Id="rId4082" /><Relationship Type="http://schemas.openxmlformats.org/officeDocument/2006/relationships/hyperlink" Target="https://www.vbuddies.world/" TargetMode="External" Id="rId4083" /><Relationship Type="http://schemas.openxmlformats.org/officeDocument/2006/relationships/hyperlink" Target="https://drive.google.com/uc?export=view&amp;id=10i9jLilfNja6oiGYWjSn4mxhYbB7_55O" TargetMode="External" Id="rId4084" /><Relationship Type="http://schemas.openxmlformats.org/officeDocument/2006/relationships/hyperlink" Target="http://verifyed.io/" TargetMode="External" Id="rId4085" /><Relationship Type="http://schemas.openxmlformats.org/officeDocument/2006/relationships/hyperlink" Target="https://drive.google.com/uc?export=view&amp;id=1pHCmazhqzvaA7TrkPFo6jXqqaA7vX16C" TargetMode="External" Id="rId4086" /><Relationship Type="http://schemas.openxmlformats.org/officeDocument/2006/relationships/hyperlink" Target="http://weeki.io/" TargetMode="External" Id="rId4087" /><Relationship Type="http://schemas.openxmlformats.org/officeDocument/2006/relationships/hyperlink" Target="https://drive.google.com/uc?export=view&amp;id=1WyeJb8cH6GRodx1C35_AgaVsCU2aTXOu" TargetMode="External" Id="rId4088" /><Relationship Type="http://schemas.openxmlformats.org/officeDocument/2006/relationships/hyperlink" Target="https://www.weschool.com/en" TargetMode="External" Id="rId4089" /><Relationship Type="http://schemas.openxmlformats.org/officeDocument/2006/relationships/hyperlink" Target="https://www.instagram.com/weschool_it/" TargetMode="External" Id="rId4090" /><Relationship Type="http://schemas.openxmlformats.org/officeDocument/2006/relationships/hyperlink" Target="https://twitter.com/_weschool" TargetMode="External" Id="rId4091" /><Relationship Type="http://schemas.openxmlformats.org/officeDocument/2006/relationships/hyperlink" Target="https://www.linkedin.com/company/weschool" TargetMode="External" Id="rId4092" /><Relationship Type="http://schemas.openxmlformats.org/officeDocument/2006/relationships/hyperlink" Target="https://whaller.com/" TargetMode="External" Id="rId4093" /><Relationship Type="http://schemas.openxmlformats.org/officeDocument/2006/relationships/hyperlink" Target="https://twitter.com/whaller_en" TargetMode="External" Id="rId4094" /><Relationship Type="http://schemas.openxmlformats.org/officeDocument/2006/relationships/hyperlink" Target="https://www.linkedin.com/company/whaller" TargetMode="External" Id="rId4095" /><Relationship Type="http://schemas.openxmlformats.org/officeDocument/2006/relationships/hyperlink" Target="https://drive.google.com/uc?export=view&amp;id=1rXK3BL3xTvEp6YnOoCvY4uKcofHyRN1m" TargetMode="External" Id="rId4096" /><Relationship Type="http://schemas.openxmlformats.org/officeDocument/2006/relationships/hyperlink" Target="https://academa.de/" TargetMode="External" Id="rId4097" /><Relationship Type="http://schemas.openxmlformats.org/officeDocument/2006/relationships/hyperlink" Target="https://drive.google.com/uc?export=view&amp;id=1AQgpgCyLZeGulCay7lylWpMPdiT_xw-u" TargetMode="External" Id="rId4098" /><Relationship Type="http://schemas.openxmlformats.org/officeDocument/2006/relationships/hyperlink" Target="http://www.admentum.se/" TargetMode="External" Id="rId4099" /><Relationship Type="http://schemas.openxmlformats.org/officeDocument/2006/relationships/hyperlink" Target="https://www.linkedin.com/company/skolplattformen" TargetMode="External" Id="rId4100" /><Relationship Type="http://schemas.openxmlformats.org/officeDocument/2006/relationships/hyperlink" Target="https://drive.google.com/uc?export=view&amp;id=129cHBdnzZ35rpshNhMzjImatpP0vUtiG" TargetMode="External" Id="rId4101" /><Relationship Type="http://schemas.openxmlformats.org/officeDocument/2006/relationships/hyperlink" Target="http://www.area9lyceum.com/" TargetMode="External" Id="rId4102" /><Relationship Type="http://schemas.openxmlformats.org/officeDocument/2006/relationships/hyperlink" Target="https://twitter.com/area9lyceum" TargetMode="External" Id="rId4103" /><Relationship Type="http://schemas.openxmlformats.org/officeDocument/2006/relationships/hyperlink" Target="https://www.linkedin.com/company/area9lyceum" TargetMode="External" Id="rId4104" /><Relationship Type="http://schemas.openxmlformats.org/officeDocument/2006/relationships/hyperlink" Target="https://drive.google.com/uc?export=view&amp;id=1p5SxfRPj34o-oHh8fNB7bBDFC4G6dqB_" TargetMode="External" Id="rId4105" /><Relationship Type="http://schemas.openxmlformats.org/officeDocument/2006/relationships/hyperlink" Target="https://codegrade.com/" TargetMode="External" Id="rId4106" /><Relationship Type="http://schemas.openxmlformats.org/officeDocument/2006/relationships/hyperlink" Target="https://twitter.com/CodeGradeCom" TargetMode="External" Id="rId4107" /><Relationship Type="http://schemas.openxmlformats.org/officeDocument/2006/relationships/hyperlink" Target="https://www.linkedin.com/company/codegrade/" TargetMode="External" Id="rId4108" /><Relationship Type="http://schemas.openxmlformats.org/officeDocument/2006/relationships/hyperlink" Target="https://drive.google.com/uc?export=view&amp;id=13iLT4uxN7ff9vwuvbhxw4GGGXhTIjn92" TargetMode="External" Id="rId4109" /><Relationship Type="http://schemas.openxmlformats.org/officeDocument/2006/relationships/hyperlink" Target="https://globalcoss.com/" TargetMode="External" Id="rId4110" /><Relationship Type="http://schemas.openxmlformats.org/officeDocument/2006/relationships/hyperlink" Target="https://drive.google.com/uc?export=view&amp;id=1mR3HjV2Ubt8jIBhiTSGgwHBfr15aRgaL" TargetMode="External" Id="rId4111" /><Relationship Type="http://schemas.openxmlformats.org/officeDocument/2006/relationships/hyperlink" Target="https://www.digleefy.no/" TargetMode="External" Id="rId4112" /><Relationship Type="http://schemas.openxmlformats.org/officeDocument/2006/relationships/hyperlink" Target="https://eduki.com/" TargetMode="External" Id="rId4113" /><Relationship Type="http://schemas.openxmlformats.org/officeDocument/2006/relationships/hyperlink" Target="https://drive.google.com/uc?export=view&amp;id=1iqds_j-_bNpFZ4qyiPP_03OWWmOH1_Dl" TargetMode="External" Id="rId4114" /><Relationship Type="http://schemas.openxmlformats.org/officeDocument/2006/relationships/hyperlink" Target="http://www.emotionhack.com/" TargetMode="External" Id="rId4115" /><Relationship Type="http://schemas.openxmlformats.org/officeDocument/2006/relationships/hyperlink" Target="https://drive.google.com/uc?export=view&amp;id=1hUDH8ZIJeJAo_8423Be-94k00zOCS1dW" TargetMode="External" Id="rId4116" /><Relationship Type="http://schemas.openxmlformats.org/officeDocument/2006/relationships/hyperlink" Target="https://www.funacademy.org/" TargetMode="External" Id="rId4117" /><Relationship Type="http://schemas.openxmlformats.org/officeDocument/2006/relationships/hyperlink" Target="https://www.linkedin.com/search/results/all/?keywords=fun%20academy&amp;origin=GLOBAL_SEARCH_HEADER&amp;sid=u*2" TargetMode="External" Id="rId4118" /><Relationship Type="http://schemas.openxmlformats.org/officeDocument/2006/relationships/hyperlink" Target="https://drive.google.com/uc?export=view&amp;id=1DrJgMqXiFPJZnBm-JHUntmb6taLWtvYR" TargetMode="External" Id="rId4119" /><Relationship Type="http://schemas.openxmlformats.org/officeDocument/2006/relationships/hyperlink" Target="https://heroapp.ai/" TargetMode="External" Id="rId4120" /><Relationship Type="http://schemas.openxmlformats.org/officeDocument/2006/relationships/hyperlink" Target="https://drive.google.com/uc?export=view&amp;id=18OoJhR33MvPz61Kpabv7xY6RjXTFGLdm" TargetMode="External" Id="rId4121" /><Relationship Type="http://schemas.openxmlformats.org/officeDocument/2006/relationships/hyperlink" Target="http://kings.lt/" TargetMode="External" Id="rId4122" /><Relationship Type="http://schemas.openxmlformats.org/officeDocument/2006/relationships/hyperlink" Target="https://drive.google.com/uc?export=view&amp;id=15z9REUQowvXlWBZVxxidwFesMKeaVOUn" TargetMode="External" Id="rId4123" /><Relationship Type="http://schemas.openxmlformats.org/officeDocument/2006/relationships/hyperlink" Target="https://www.lingio.com/en" TargetMode="External" Id="rId4124" /><Relationship Type="http://schemas.openxmlformats.org/officeDocument/2006/relationships/hyperlink" Target="https://www.linkedin.com/company/lingio" TargetMode="External" Id="rId4125" /><Relationship Type="http://schemas.openxmlformats.org/officeDocument/2006/relationships/hyperlink" Target="https://drive.google.com/uc?export=view&amp;id=1UC5IHoaTV757dxz8n9nFVJ_so690SL0z" TargetMode="External" Id="rId4126" /><Relationship Type="http://schemas.openxmlformats.org/officeDocument/2006/relationships/hyperlink" Target="https://www.magmalearning.com/" TargetMode="External" Id="rId4127" /><Relationship Type="http://schemas.openxmlformats.org/officeDocument/2006/relationships/hyperlink" Target="https://www.linkedin.com/company/magma-learning" TargetMode="External" Id="rId4128" /><Relationship Type="http://schemas.openxmlformats.org/officeDocument/2006/relationships/hyperlink" Target="https://drive.google.com/uc?export=view&amp;id=1u31TDPk-Ut4ct4gTzRgG76gMBrDMOCNw" TargetMode="External" Id="rId4129" /><Relationship Type="http://schemas.openxmlformats.org/officeDocument/2006/relationships/hyperlink" Target="http://www.magmamath.com/" TargetMode="External" Id="rId4130" /><Relationship Type="http://schemas.openxmlformats.org/officeDocument/2006/relationships/hyperlink" Target="http://instagram.com/magma_math" TargetMode="External" Id="rId4131" /><Relationship Type="http://schemas.openxmlformats.org/officeDocument/2006/relationships/hyperlink" Target="http://twitter.com/magmamath" TargetMode="External" Id="rId4132" /><Relationship Type="http://schemas.openxmlformats.org/officeDocument/2006/relationships/hyperlink" Target="https://www.linkedin.com/company/magma-math" TargetMode="External" Id="rId4133" /><Relationship Type="http://schemas.openxmlformats.org/officeDocument/2006/relationships/hyperlink" Target="https://drive.google.com/uc?export=view&amp;id=1KawoERUFQfFikHlRSnMKFNbiaUuZL6xz" TargetMode="External" Id="rId4134" /><Relationship Type="http://schemas.openxmlformats.org/officeDocument/2006/relationships/hyperlink" Target="https://www.meebook.org/" TargetMode="External" Id="rId4135" /><Relationship Type="http://schemas.openxmlformats.org/officeDocument/2006/relationships/hyperlink" Target="https://drive.google.com/uc?export=view&amp;id=1fh3eyiLhJMGGQ4oj8NqA7nVBIL8hCj5L" TargetMode="External" Id="rId4136" /><Relationship Type="http://schemas.openxmlformats.org/officeDocument/2006/relationships/hyperlink" Target="https://www.mobietrain.com/" TargetMode="External" Id="rId4137" /><Relationship Type="http://schemas.openxmlformats.org/officeDocument/2006/relationships/hyperlink" Target="https://drive.google.com/uc?export=view&amp;id=1cZjFsdmcGZsygV0t8hzOKS31SRL_Y1BF" TargetMode="External" Id="rId4138" /><Relationship Type="http://schemas.openxmlformats.org/officeDocument/2006/relationships/hyperlink" Target="http://www.noobe.es/" TargetMode="External" Id="rId4139" /><Relationship Type="http://schemas.openxmlformats.org/officeDocument/2006/relationships/hyperlink" Target="https://www.instagram.com/noobeagilelearning/" TargetMode="External" Id="rId4140" /><Relationship Type="http://schemas.openxmlformats.org/officeDocument/2006/relationships/hyperlink" Target="https://twitter.com/Noobe_AL" TargetMode="External" Id="rId4141" /><Relationship Type="http://schemas.openxmlformats.org/officeDocument/2006/relationships/hyperlink" Target="https://www.linkedin.com/company/noobeeducation/" TargetMode="External" Id="rId4142" /><Relationship Type="http://schemas.openxmlformats.org/officeDocument/2006/relationships/hyperlink" Target="https://drive.google.com/uc?export=view&amp;id=1iKwNLIl1olsJV47PftqjWuIMn13cqmS2" TargetMode="External" Id="rId4143" /><Relationship Type="http://schemas.openxmlformats.org/officeDocument/2006/relationships/hyperlink" Target="http://www.paideialondon.com/" TargetMode="External" Id="rId4144" /><Relationship Type="http://schemas.openxmlformats.org/officeDocument/2006/relationships/hyperlink" Target="https://drive.google.com/uc?export=view&amp;id=10TjOvjGvEVQQ9XiSsjaKtz3Qja5zanBi" TargetMode="External" Id="rId4145" /><Relationship Type="http://schemas.openxmlformats.org/officeDocument/2006/relationships/hyperlink" Target="https://www.pitchboy.sc/" TargetMode="External" Id="rId4146" /><Relationship Type="http://schemas.openxmlformats.org/officeDocument/2006/relationships/hyperlink" Target="https://twitter.com/PitchboyVR" TargetMode="External" Id="rId4147" /><Relationship Type="http://schemas.openxmlformats.org/officeDocument/2006/relationships/hyperlink" Target="https://www.linkedin.com/company/pitchboy/" TargetMode="External" Id="rId4148" /><Relationship Type="http://schemas.openxmlformats.org/officeDocument/2006/relationships/hyperlink" Target="https://tunteetjataidot.fi/en/home/" TargetMode="External" Id="rId4149" /><Relationship Type="http://schemas.openxmlformats.org/officeDocument/2006/relationships/hyperlink" Target="https://drive.google.com/uc?export=view&amp;id=1wpWc5yzNVib6tyQsHwtXaw7z4-7OuqQW" TargetMode="External" Id="rId4150" /><Relationship Type="http://schemas.openxmlformats.org/officeDocument/2006/relationships/hyperlink" Target="https://www.schoolparrot.co.uk/" TargetMode="External" Id="rId4151" /><Relationship Type="http://schemas.openxmlformats.org/officeDocument/2006/relationships/hyperlink" Target="https://www.instagram.com/schoolparrot/" TargetMode="External" Id="rId4152" /><Relationship Type="http://schemas.openxmlformats.org/officeDocument/2006/relationships/hyperlink" Target="https://twitter.com/schoolparrotoff" TargetMode="External" Id="rId4153" /><Relationship Type="http://schemas.openxmlformats.org/officeDocument/2006/relationships/hyperlink" Target="https://www.linkedin.com/company/schoolparrot" TargetMode="External" Id="rId4154" /><Relationship Type="http://schemas.openxmlformats.org/officeDocument/2006/relationships/hyperlink" Target="https://drive.google.com/uc?export=view&amp;id=1v7_UPnE7zhHHqGRBk5PN-tTUGg-ooEC8" TargetMode="External" Id="rId4155" /><Relationship Type="http://schemas.openxmlformats.org/officeDocument/2006/relationships/hyperlink" Target="http://www.siliconhagen.com/" TargetMode="External" Id="rId4156" /><Relationship Type="http://schemas.openxmlformats.org/officeDocument/2006/relationships/hyperlink" Target="https://drive.google.com/uc?export=view&amp;id=1X6vPeqda-H7oxzAQDy45wLVGIVRRYTLy" TargetMode="External" Id="rId4157" /><Relationship Type="http://schemas.openxmlformats.org/officeDocument/2006/relationships/hyperlink" Target="https://startsteps.org/" TargetMode="External" Id="rId4158" /><Relationship Type="http://schemas.openxmlformats.org/officeDocument/2006/relationships/hyperlink" Target="https://drive.google.com/uc?export=view&amp;id=1OHeulynBf601ThHWH1sW_LWaRC6Tcmc1" TargetMode="External" Id="rId4159" /><Relationship Type="http://schemas.openxmlformats.org/officeDocument/2006/relationships/hyperlink" Target="http://www.swisslearninghub.com/" TargetMode="External" Id="rId4160" /><Relationship Type="http://schemas.openxmlformats.org/officeDocument/2006/relationships/hyperlink" Target="https://drive.google.com/uc?export=view&amp;id=1Jbip0Ecr93LrAqFNM0R14EqRBN1t4XQc" TargetMode="External" Id="rId4161" /><Relationship Type="http://schemas.openxmlformats.org/officeDocument/2006/relationships/hyperlink" Target="http://www.vrplatformen.dk/platform/xpandr/" TargetMode="External" Id="rId4162" /><Relationship Type="http://schemas.openxmlformats.org/officeDocument/2006/relationships/hyperlink" Target="https://www.linkedin.com/company/takeawalkvr" TargetMode="External" Id="rId4163" /><Relationship Type="http://schemas.openxmlformats.org/officeDocument/2006/relationships/hyperlink" Target="https://drive.google.com/uc?export=view&amp;id=1lVtHWRaC-b84Wzm8aDA_mxZ0jOtXABOP" TargetMode="External" Id="rId4164" /><Relationship Type="http://schemas.openxmlformats.org/officeDocument/2006/relationships/hyperlink" Target="https://tiny-coaching.com/index.php/en/tinycoaching-le-coach-virtuel-english/" TargetMode="External" Id="rId4165" /><Relationship Type="http://schemas.openxmlformats.org/officeDocument/2006/relationships/hyperlink" Target="https://drive.google.com/uc?export=view&amp;id=1Yxtxp--q-tMpwRcecGXpcTEGIbo6MKTf" TargetMode="External" Id="rId4166" /><Relationship Type="http://schemas.openxmlformats.org/officeDocument/2006/relationships/hyperlink" Target="https://www.tokeyfinance.com/home" TargetMode="External" Id="rId4167" /><Relationship Type="http://schemas.openxmlformats.org/officeDocument/2006/relationships/hyperlink" Target="https://drive.google.com/uc?export=view&amp;id=18OGAQXEQSJEJx9k3URZP1fYcKiZWtQjT" TargetMode="External" Id="rId4168" /><Relationship Type="http://schemas.openxmlformats.org/officeDocument/2006/relationships/hyperlink" Target="http://www.valamonacademy.com/" TargetMode="External" Id="rId4169" /><Relationship Type="http://schemas.openxmlformats.org/officeDocument/2006/relationships/hyperlink" Target="https://drive.google.com/uc?export=view&amp;id=1bRCKsMWAJeasqV_c_PpH3-MrJ35Mu6cO" TargetMode="External" Id="rId4170" /><Relationship Type="http://schemas.openxmlformats.org/officeDocument/2006/relationships/hyperlink" Target="http://www.learnmatch.com/" TargetMode="External" Id="rId4171" /><Relationship Type="http://schemas.openxmlformats.org/officeDocument/2006/relationships/hyperlink" Target="https://www.linkedin.com/company/11433216/" TargetMode="External" Id="rId4172" /><Relationship Type="http://schemas.openxmlformats.org/officeDocument/2006/relationships/hyperlink" Target="https://drive.google.com/uc?export=view&amp;id=1-0lZ4gMZAUKZ-peL7fBS4rQZFZdT_1Zl" TargetMode="External" Id="rId4173" /><Relationship Type="http://schemas.openxmlformats.org/officeDocument/2006/relationships/hyperlink" Target="http://www.weirdsciencelab.com/" TargetMode="External" Id="rId4174" /><Relationship Type="http://schemas.openxmlformats.org/officeDocument/2006/relationships/hyperlink" Target="https://drive.google.com/uc?export=view&amp;id=1F7PJijQCKUSeVbq51Il8BWpA9NxcEaoz" TargetMode="External" Id="rId4175" /><Relationship Type="http://schemas.openxmlformats.org/officeDocument/2006/relationships/hyperlink" Target="http://www.wryte.io/" TargetMode="External" Id="rId4176" /><Relationship Type="http://schemas.openxmlformats.org/officeDocument/2006/relationships/hyperlink" Target="https://drive.google.com/uc?export=view&amp;id=1UDmjwmSea9PdNQaL3wzAOugIJunRxHhx" TargetMode="External" Id="rId4177" /><Relationship Type="http://schemas.openxmlformats.org/officeDocument/2006/relationships/hyperlink" Target="http://jenseigne.fr/" TargetMode="External" Id="rId4178" /><Relationship Type="http://schemas.openxmlformats.org/officeDocument/2006/relationships/hyperlink" Target="https://www.jenseigne.fr/" TargetMode="External" Id="rId4179" /><Relationship Type="http://schemas.openxmlformats.org/officeDocument/2006/relationships/hyperlink" Target="http://jenseigne.fr/" TargetMode="External" Id="rId4180" /><Relationship Type="http://schemas.openxmlformats.org/officeDocument/2006/relationships/hyperlink" Target="http://meseleves.fr/" TargetMode="External" Id="rId4181" /><Relationship Type="http://schemas.openxmlformats.org/officeDocument/2006/relationships/hyperlink" Target="https://leemons.io/" TargetMode="External" Id="rId4182" /><Relationship Type="http://schemas.openxmlformats.org/officeDocument/2006/relationships/hyperlink" Target="https://drive.google.com/uc?export=view&amp;id=1V8OozST_kd9ag9oPJFfAA-e6h54WhTpI" TargetMode="External" Id="rId4183" /><Relationship Type="http://schemas.openxmlformats.org/officeDocument/2006/relationships/hyperlink" Target="http://wingup.io/" TargetMode="External" Id="rId4184" /><Relationship Type="http://schemas.openxmlformats.org/officeDocument/2006/relationships/hyperlink" Target="https://comodinuniversitario.com/" TargetMode="External" Id="rId4185" /><Relationship Type="http://schemas.openxmlformats.org/officeDocument/2006/relationships/hyperlink" Target="https://www.linkedin.com/in/%C3%B3liver-n%C3%BA%C3%B1ez-rozas-84a15681/" TargetMode="External" Id="rId4186" /><Relationship Type="http://schemas.openxmlformats.org/officeDocument/2006/relationships/hyperlink" Target="https://drive.google.com/uc?export=view&amp;id=1kXUrFXEOjMgnLtQamvmp00s7RjS74IB5" TargetMode="External" Id="rId4187" /><Relationship Type="http://schemas.openxmlformats.org/officeDocument/2006/relationships/hyperlink" Target="http://www.moveen.eu/" TargetMode="External" Id="rId4188" /><Relationship Type="http://schemas.openxmlformats.org/officeDocument/2006/relationships/hyperlink" Target="https://www.paragin.com/" TargetMode="External" Id="rId4189" /><Relationship Type="http://schemas.openxmlformats.org/officeDocument/2006/relationships/hyperlink" Target="https://nl.linkedin.com/company/paragin" TargetMode="External" Id="rId4190" /><Relationship Type="http://schemas.openxmlformats.org/officeDocument/2006/relationships/hyperlink" Target="https://drive.google.com/uc?export=view&amp;id=1qddC_-Ncj4F8miS5vBoVknxYiN2ChOlR" TargetMode="External" Id="rId4191" /><Relationship Type="http://schemas.openxmlformats.org/officeDocument/2006/relationships/hyperlink" Target="http://voluta.coop/" TargetMode="External" Id="rId4192" /><Relationship Type="http://schemas.openxmlformats.org/officeDocument/2006/relationships/hyperlink" Target="https://www.voluta.coop/" TargetMode="External" Id="rId4193" /><Relationship Type="http://schemas.openxmlformats.org/officeDocument/2006/relationships/hyperlink" Target="https://drive.google.com/uc?export=view&amp;id=1HxQu0nO916M7ioS3S-K4xMDcGUjcLiyU" TargetMode="External" Id="rId4194" /><Relationship Type="http://schemas.openxmlformats.org/officeDocument/2006/relationships/hyperlink" Target="http://www.wowplayexperience.com/" TargetMode="External" Id="rId4195" /><Relationship Type="http://schemas.openxmlformats.org/officeDocument/2006/relationships/hyperlink" Target="https://www.linkedin.com/company/wowplayexperience/" TargetMode="External" Id="rId4196" /><Relationship Type="http://schemas.openxmlformats.org/officeDocument/2006/relationships/hyperlink" Target="https://drive.google.com/uc?export=view&amp;id=1sK6JVXdKrAhvJ-XQ_8iiAkd_lZ5XoFeS" TargetMode="External" Id="rId4197" /><Relationship Type="http://schemas.openxmlformats.org/officeDocument/2006/relationships/hyperlink" Target="https://abstract-technology.com/" TargetMode="External" Id="rId4198" /><Relationship Type="http://schemas.openxmlformats.org/officeDocument/2006/relationships/hyperlink" Target="https://azav-pilot.de/" TargetMode="External" Id="rId4199" /><Relationship Type="http://schemas.openxmlformats.org/officeDocument/2006/relationships/hyperlink" Target="https://drive.google.com/uc?export=view&amp;id=1rORReOctkTPBqaGDRxb5BGhjJEaWl52B" TargetMode="External" Id="rId4200" /><Relationship Type="http://schemas.openxmlformats.org/officeDocument/2006/relationships/hyperlink" Target="https://beedle.co/" TargetMode="External" Id="rId4201" /><Relationship Type="http://schemas.openxmlformats.org/officeDocument/2006/relationships/hyperlink" Target="https://drive.google.com/uc?export=view&amp;id=1VLbgHPxO0KpFMX-NHHO-K5X6xke2ezCq" TargetMode="External" Id="rId4202" /><Relationship Type="http://schemas.openxmlformats.org/officeDocument/2006/relationships/hyperlink" Target="http://buku.io/" TargetMode="External" Id="rId4203" /><Relationship Type="http://schemas.openxmlformats.org/officeDocument/2006/relationships/hyperlink" Target="https://www.linkedin.com/company/buku-world/mycompany/" TargetMode="External" Id="rId4204" /><Relationship Type="http://schemas.openxmlformats.org/officeDocument/2006/relationships/hyperlink" Target="https://drive.google.com/uc?export=view&amp;id=1MODGVJgpEACpQssCBm0hG-9lD8osuEL2" TargetMode="External" Id="rId4205" /><Relationship Type="http://schemas.openxmlformats.org/officeDocument/2006/relationships/hyperlink" Target="http://cresory.com/" TargetMode="External" Id="rId4206" /><Relationship Type="http://schemas.openxmlformats.org/officeDocument/2006/relationships/hyperlink" Target="https://drive.google.com/uc?export=view&amp;id=1QqCfUZo9pe3nBaemrIsGNNVgrFTT-we9" TargetMode="External" Id="rId4207" /><Relationship Type="http://schemas.openxmlformats.org/officeDocument/2006/relationships/hyperlink" Target="https://www.d-teachschool.com/" TargetMode="External" Id="rId4208" /><Relationship Type="http://schemas.openxmlformats.org/officeDocument/2006/relationships/hyperlink" Target="https://www.linkedin.com/company/d-teach/about/?viewAsMember=true" TargetMode="External" Id="rId4209" /><Relationship Type="http://schemas.openxmlformats.org/officeDocument/2006/relationships/hyperlink" Target="https://drive.google.com/uc?export=view&amp;id=1JTlv8QkiVUaMk8CjNnATToDcSB-XWhkU" TargetMode="External" Id="rId4210" /><Relationship Type="http://schemas.openxmlformats.org/officeDocument/2006/relationships/hyperlink" Target="https://d-teachtraining.com/" TargetMode="External" Id="rId4211" /><Relationship Type="http://schemas.openxmlformats.org/officeDocument/2006/relationships/hyperlink" Target="https://www.linkedin.com/company/d-teach-training/about/" TargetMode="External" Id="rId4212" /><Relationship Type="http://schemas.openxmlformats.org/officeDocument/2006/relationships/hyperlink" Target="https://drive.google.com/uc?export=view&amp;id=1sgAjrqKrYUVr2gSXwJcoS5WH-w12U4E3" TargetMode="External" Id="rId4213" /><Relationship Type="http://schemas.openxmlformats.org/officeDocument/2006/relationships/hyperlink" Target="https://www.docsity.com/" TargetMode="External" Id="rId4214" /><Relationship Type="http://schemas.openxmlformats.org/officeDocument/2006/relationships/hyperlink" Target="https://drive.google.com/uc?export=view&amp;id=1w22Va9WYBnhGKivKrRUb8C0jllWQpiNQ" TargetMode="External" Id="rId4215" /><Relationship Type="http://schemas.openxmlformats.org/officeDocument/2006/relationships/hyperlink" Target="http://www.edaider.com/" TargetMode="External" Id="rId4216" /><Relationship Type="http://schemas.openxmlformats.org/officeDocument/2006/relationships/hyperlink" Target="http://www.linkedin.com/ed-aider" TargetMode="External" Id="rId4217" /><Relationship Type="http://schemas.openxmlformats.org/officeDocument/2006/relationships/hyperlink" Target="https://drive.google.com/uc?export=view&amp;id=155jqeHP5qMATmq3awUm7FFDJqW3RGbNs" TargetMode="External" Id="rId4218" /><Relationship Type="http://schemas.openxmlformats.org/officeDocument/2006/relationships/hyperlink" Target="http://www.edberry.digital/" TargetMode="External" Id="rId4219" /><Relationship Type="http://schemas.openxmlformats.org/officeDocument/2006/relationships/hyperlink" Target="https://drive.google.com/uc?export=view&amp;id=1k8e_m0fJVs_g9-h13MDxxSnoEywRk1xP" TargetMode="External" Id="rId4220" /><Relationship Type="http://schemas.openxmlformats.org/officeDocument/2006/relationships/hyperlink" Target="http://educat.study/" TargetMode="External" Id="rId4221" /><Relationship Type="http://schemas.openxmlformats.org/officeDocument/2006/relationships/hyperlink" Target="https://drive.google.com/uc?export=view&amp;id=12SX9CETeukP7HRtY2QHJeHuT7yZrotcN" TargetMode="External" Id="rId4222" /><Relationship Type="http://schemas.openxmlformats.org/officeDocument/2006/relationships/hyperlink" Target="http://www.edusiia.com/" TargetMode="External" Id="rId4223" /><Relationship Type="http://schemas.openxmlformats.org/officeDocument/2006/relationships/hyperlink" Target="https://drive.google.com/uc?export=view&amp;id=18ytvzXk_6I7cdviy4NET-6T-kyzYKjX5" TargetMode="External" Id="rId4224" /><Relationship Type="http://schemas.openxmlformats.org/officeDocument/2006/relationships/hyperlink" Target="http://www.edutec.one/" TargetMode="External" Id="rId4225" /><Relationship Type="http://schemas.openxmlformats.org/officeDocument/2006/relationships/hyperlink" Target="https://drive.google.com/uc?export=view&amp;id=1bv2tYMM1vow-4NBuzGzU1pA3b6_aGh-q" TargetMode="External" Id="rId4226" /><Relationship Type="http://schemas.openxmlformats.org/officeDocument/2006/relationships/hyperlink" Target="http://www.endurae.com/" TargetMode="External" Id="rId4227" /><Relationship Type="http://schemas.openxmlformats.org/officeDocument/2006/relationships/hyperlink" Target="https://drive.google.com/uc?export=view&amp;id=1qU9572SbPFpzBNxo9OFgcu15ZRY4QHk2" TargetMode="External" Id="rId4228" /><Relationship Type="http://schemas.openxmlformats.org/officeDocument/2006/relationships/hyperlink" Target="https://www.enzima12.com/home-enzima12" TargetMode="External" Id="rId4229" /><Relationship Type="http://schemas.openxmlformats.org/officeDocument/2006/relationships/hyperlink" Target="https://drive.google.com/uc?export=view&amp;id=18GZqFcjfZQbp02K-gHONI5uHu8O_F2p2" TargetMode="External" Id="rId4230" /><Relationship Type="http://schemas.openxmlformats.org/officeDocument/2006/relationships/hyperlink" Target="https://financeunlocked.com/" TargetMode="External" Id="rId4231" /><Relationship Type="http://schemas.openxmlformats.org/officeDocument/2006/relationships/hyperlink" Target="https://drive.google.com/uc?export=view&amp;id=1F40JV5OzRdvbu3jMoqGJqGOyF8tvr1dp" TargetMode="External" Id="rId4232" /><Relationship Type="http://schemas.openxmlformats.org/officeDocument/2006/relationships/hyperlink" Target="http://genyusschool.com/" TargetMode="External" Id="rId4233" /><Relationship Type="http://schemas.openxmlformats.org/officeDocument/2006/relationships/hyperlink" Target="https://www.instagram.com/genyusschool/" TargetMode="External" Id="rId4234" /><Relationship Type="http://schemas.openxmlformats.org/officeDocument/2006/relationships/hyperlink" Target="https://twitter.com/GenyusSchool" TargetMode="External" Id="rId4235" /><Relationship Type="http://schemas.openxmlformats.org/officeDocument/2006/relationships/hyperlink" Target="https://www.linkedin.com/company/genyusschool" TargetMode="External" Id="rId4236" /><Relationship Type="http://schemas.openxmlformats.org/officeDocument/2006/relationships/hyperlink" Target="https://drive.google.com/uc?export=view&amp;id=1S3d3GBJlnaUutwUhf6Q_4jCXH0IlBkuI" TargetMode="External" Id="rId4237" /><Relationship Type="http://schemas.openxmlformats.org/officeDocument/2006/relationships/hyperlink" Target="https://www.gomapped.com/" TargetMode="External" Id="rId4238" /><Relationship Type="http://schemas.openxmlformats.org/officeDocument/2006/relationships/hyperlink" Target="https://twitter.com/GoMappED" TargetMode="External" Id="rId4239" /><Relationship Type="http://schemas.openxmlformats.org/officeDocument/2006/relationships/hyperlink" Target="https://ie.linkedin.com/company/gomappedlimited" TargetMode="External" Id="rId4240" /><Relationship Type="http://schemas.openxmlformats.org/officeDocument/2006/relationships/hyperlink" Target="https://drive.google.com/uc?export=view&amp;id=1cT2mqK0gPXNkX816R_YXwDO7ElNoaB8W" TargetMode="External" Id="rId4241" /><Relationship Type="http://schemas.openxmlformats.org/officeDocument/2006/relationships/hyperlink" Target="https://www.guilds42.com/" TargetMode="External" Id="rId4242" /><Relationship Type="http://schemas.openxmlformats.org/officeDocument/2006/relationships/hyperlink" Target="https://drive.google.com/uc?export=view&amp;id=1cyqxkHlMBWUyzpqaKUmxdfeUeU6O4Ina" TargetMode="External" Id="rId4243" /><Relationship Type="http://schemas.openxmlformats.org/officeDocument/2006/relationships/hyperlink" Target="https://www.hostudents.com/" TargetMode="External" Id="rId4244" /><Relationship Type="http://schemas.openxmlformats.org/officeDocument/2006/relationships/hyperlink" Target="https://drive.google.com/uc?export=view&amp;id=1DkNYHB9dy5hUiUlafMB6E1OlEvbsaz7d" TargetMode="External" Id="rId4245" /><Relationship Type="http://schemas.openxmlformats.org/officeDocument/2006/relationships/hyperlink" Target="https://www.impactschool.org.ls/" TargetMode="External" Id="rId4246" /><Relationship Type="http://schemas.openxmlformats.org/officeDocument/2006/relationships/hyperlink" Target="https://drive.google.com/uc?export=view&amp;id=18g_v4eJjlefBjRhSqKW_KekZ8KL-hBCN" TargetMode="External" Id="rId4247" /><Relationship Type="http://schemas.openxmlformats.org/officeDocument/2006/relationships/hyperlink" Target="https://www.edukimple.com/" TargetMode="External" Id="rId4248" /><Relationship Type="http://schemas.openxmlformats.org/officeDocument/2006/relationships/hyperlink" Target="https://www.linkedin.com/company/kimple-education" TargetMode="External" Id="rId4249" /><Relationship Type="http://schemas.openxmlformats.org/officeDocument/2006/relationships/hyperlink" Target="https://drive.google.com/uc?export=view&amp;id=1GXpKDGRSJkHyaIrRrK6hayOpeVcWiAzT" TargetMode="External" Id="rId4250" /><Relationship Type="http://schemas.openxmlformats.org/officeDocument/2006/relationships/hyperlink" Target="http://www.learnster.com/?utm_source=european_edtech_map&amp;utm_medium=banner&amp;utm_campaign=profile" TargetMode="External" Id="rId4251" /><Relationship Type="http://schemas.openxmlformats.org/officeDocument/2006/relationships/hyperlink" Target="https://drive.google.com/uc?export=view&amp;id=1iEqsTf-0-k7DNzKuGL1jnSTTIGG7RMZ7" TargetMode="External" Id="rId4252" /><Relationship Type="http://schemas.openxmlformats.org/officeDocument/2006/relationships/hyperlink" Target="http://www.makersredbox.com/" TargetMode="External" Id="rId4253" /><Relationship Type="http://schemas.openxmlformats.org/officeDocument/2006/relationships/hyperlink" Target="http://www.mysnapshot.co/" TargetMode="External" Id="rId4254" /><Relationship Type="http://schemas.openxmlformats.org/officeDocument/2006/relationships/hyperlink" Target="http://nauczeni.pl/" TargetMode="External" Id="rId4255" /><Relationship Type="http://schemas.openxmlformats.org/officeDocument/2006/relationships/hyperlink" Target="https://www.nauczeni.pl/" TargetMode="External" Id="rId4256" /><Relationship Type="http://schemas.openxmlformats.org/officeDocument/2006/relationships/hyperlink" Target="https://drive.google.com/uc?export=view&amp;id=1vJPvZ3q_jaKPCrSbJTtg49byxy8I9rQa" TargetMode="External" Id="rId4257" /><Relationship Type="http://schemas.openxmlformats.org/officeDocument/2006/relationships/hyperlink" Target="http://www.ne.se/" TargetMode="External" Id="rId4258" /><Relationship Type="http://schemas.openxmlformats.org/officeDocument/2006/relationships/hyperlink" Target="https://drive.google.com/uc?export=view&amp;id=1yU1VBj0VTtBKOCyTkSG_LEq3TlJVz2z6" TargetMode="External" Id="rId4259" /><Relationship Type="http://schemas.openxmlformats.org/officeDocument/2006/relationships/hyperlink" Target="http://www.neddux.com/" TargetMode="External" Id="rId4260" /><Relationship Type="http://schemas.openxmlformats.org/officeDocument/2006/relationships/hyperlink" Target="https://drive.google.com/uc?export=view&amp;id=1uIwIYtLckEWZOje3PQgPJ9-oi3u_452y" TargetMode="External" Id="rId4261" /><Relationship Type="http://schemas.openxmlformats.org/officeDocument/2006/relationships/hyperlink" Target="http://www.proyectoa.es/" TargetMode="External" Id="rId4262" /><Relationship Type="http://schemas.openxmlformats.org/officeDocument/2006/relationships/hyperlink" Target="https://drive.google.com/uc?export=view&amp;id=1qXxbwMbwim-nC9YTV91qI-toCWm0ebRg" TargetMode="External" Id="rId4263" /><Relationship Type="http://schemas.openxmlformats.org/officeDocument/2006/relationships/hyperlink" Target="http://quaestiones.com/" TargetMode="External" Id="rId4264" /><Relationship Type="http://schemas.openxmlformats.org/officeDocument/2006/relationships/hyperlink" Target="http://www.quaestiones.com/" TargetMode="External" Id="rId4265" /><Relationship Type="http://schemas.openxmlformats.org/officeDocument/2006/relationships/hyperlink" Target="https://drive.google.com/uc?export=view&amp;id=1Ax8xlb8ujECvfwfEi9oDqx0pCOtV-25W" TargetMode="External" Id="rId4266" /><Relationship Type="http://schemas.openxmlformats.org/officeDocument/2006/relationships/hyperlink" Target="http://www.smartest.io/" TargetMode="External" Id="rId4267" /><Relationship Type="http://schemas.openxmlformats.org/officeDocument/2006/relationships/hyperlink" Target="https://www.linkedin.com/company/smartestlearning/" TargetMode="External" Id="rId4268" /><Relationship Type="http://schemas.openxmlformats.org/officeDocument/2006/relationships/hyperlink" Target="https://drive.google.com/uc?export=view&amp;id=1P-EbPZSLEDTcW4L-OYzmlcSW4PQH7Tdg" TargetMode="External" Id="rId4269" /><Relationship Type="http://schemas.openxmlformats.org/officeDocument/2006/relationships/hyperlink" Target="https://www.sonant.fi/" TargetMode="External" Id="rId4270" /><Relationship Type="http://schemas.openxmlformats.org/officeDocument/2006/relationships/hyperlink" Target="https://www.linkedin.com/company/sonant-oy/" TargetMode="External" Id="rId4271" /><Relationship Type="http://schemas.openxmlformats.org/officeDocument/2006/relationships/hyperlink" Target="https://drive.google.com/uc?export=view&amp;id=1Hi9nNl9BQ-tHqIGRceyUDUnMLIjYC4wE" TargetMode="External" Id="rId4272" /><Relationship Type="http://schemas.openxmlformats.org/officeDocument/2006/relationships/hyperlink" Target="https://www.sparkademy.com/" TargetMode="External" Id="rId4273" /><Relationship Type="http://schemas.openxmlformats.org/officeDocument/2006/relationships/hyperlink" Target="https://drive.google.com/uc?export=view&amp;id=1QFNLwwwBRmTBan6CH8wyZhFVlONmlj64" TargetMode="External" Id="rId4274" /><Relationship Type="http://schemas.openxmlformats.org/officeDocument/2006/relationships/hyperlink" Target="http://www.studyhelp.de/" TargetMode="External" Id="rId4275" /><Relationship Type="http://schemas.openxmlformats.org/officeDocument/2006/relationships/hyperlink" Target="https://drive.google.com/uc?export=view&amp;id=17U4chQ7FRs1Ivkv4z9sEuBThx3_fhFFX" TargetMode="External" Id="rId4276" /><Relationship Type="http://schemas.openxmlformats.org/officeDocument/2006/relationships/hyperlink" Target="https://studyportals.com/" TargetMode="External" Id="rId4277" /><Relationship Type="http://schemas.openxmlformats.org/officeDocument/2006/relationships/hyperlink" Target="https://www.linkedin.com/company/studyportals" TargetMode="External" Id="rId4278" /><Relationship Type="http://schemas.openxmlformats.org/officeDocument/2006/relationships/hyperlink" Target="https://drive.google.com/uc?export=view&amp;id=10XymHp0LQLleQBefZZeP6AtwAPBT847V" TargetMode="External" Id="rId4279" /><Relationship Type="http://schemas.openxmlformats.org/officeDocument/2006/relationships/hyperlink" Target="https://teachup.com/" TargetMode="External" Id="rId4280" /><Relationship Type="http://schemas.openxmlformats.org/officeDocument/2006/relationships/hyperlink" Target="http://www.instagram.com/teachup_inside/" TargetMode="External" Id="rId4281" /><Relationship Type="http://schemas.openxmlformats.org/officeDocument/2006/relationships/hyperlink" Target="http://twitter.com/teachup_france?lang=fr" TargetMode="External" Id="rId4282" /><Relationship Type="http://schemas.openxmlformats.org/officeDocument/2006/relationships/hyperlink" Target="http://www.linkedin.com/company/teachup.com" TargetMode="External" Id="rId4283" /><Relationship Type="http://schemas.openxmlformats.org/officeDocument/2006/relationships/hyperlink" Target="https://drive.google.com/uc?export=view&amp;id=1A0ZBEoqgjhz4nipxx5RUsSNNnvHCysEa" TargetMode="External" Id="rId4284" /><Relationship Type="http://schemas.openxmlformats.org/officeDocument/2006/relationships/hyperlink" Target="https://www.tekmaneducation.com/" TargetMode="External" Id="rId4285" /><Relationship Type="http://schemas.openxmlformats.org/officeDocument/2006/relationships/hyperlink" Target="https://www.linkedin.com/company/tekman-education" TargetMode="External" Id="rId4286" /><Relationship Type="http://schemas.openxmlformats.org/officeDocument/2006/relationships/hyperlink" Target="https://drive.google.com/uc?export=view&amp;id=1sT-_S4FRxtWXjYZD5pSJ8-jyK2fLb8O7" TargetMode="External" Id="rId4287" /><Relationship Type="http://schemas.openxmlformats.org/officeDocument/2006/relationships/hyperlink" Target="https://academicrouteplanner.com/" TargetMode="External" Id="rId4288" /><Relationship Type="http://schemas.openxmlformats.org/officeDocument/2006/relationships/hyperlink" Target="https://drive.google.com/uc?export=view&amp;id=1ePDqr8rU1cldb5f6A06ge_uWfctBBXMF" TargetMode="External" Id="rId4289" /><Relationship Type="http://schemas.openxmlformats.org/officeDocument/2006/relationships/hyperlink" Target="https://www.atlanticdevices.com/" TargetMode="External" Id="rId4290" /><Relationship Type="http://schemas.openxmlformats.org/officeDocument/2006/relationships/hyperlink" Target="https://www.instagram.com/atlanticdevices/" TargetMode="External" Id="rId4291" /><Relationship Type="http://schemas.openxmlformats.org/officeDocument/2006/relationships/hyperlink" Target="https://twitter.com/AtlanticDevices" TargetMode="External" Id="rId4292" /><Relationship Type="http://schemas.openxmlformats.org/officeDocument/2006/relationships/hyperlink" Target="https://www.linkedin.com/company/1026890/admin/" TargetMode="External" Id="rId4293" /><Relationship Type="http://schemas.openxmlformats.org/officeDocument/2006/relationships/hyperlink" Target="https://drive.google.com/uc?export=view&amp;id=1R8wB57vDL7CWaFCFpRI5PbCp69Fn4sWk" TargetMode="External" Id="rId4294" /><Relationship Type="http://schemas.openxmlformats.org/officeDocument/2006/relationships/hyperlink" Target="http://www.babbu.co.uk/" TargetMode="External" Id="rId4295" /><Relationship Type="http://schemas.openxmlformats.org/officeDocument/2006/relationships/hyperlink" Target="https://drive.google.com/uc?export=view&amp;id=1_nlNi-HeOsNsnpOokZUdfwQpqxdrzB0i" TargetMode="External" Id="rId4296" /><Relationship Type="http://schemas.openxmlformats.org/officeDocument/2006/relationships/hyperlink" Target="http://www.bsmartlabs.com/" TargetMode="External" Id="rId4297" /><Relationship Type="http://schemas.openxmlformats.org/officeDocument/2006/relationships/hyperlink" Target="https://drive.google.com/uc?export=view&amp;id=1AnYa065fnserEze0s9ml1AUPJmi2phTQ" TargetMode="External" Id="rId4298" /><Relationship Type="http://schemas.openxmlformats.org/officeDocument/2006/relationships/hyperlink" Target="https://www.chalkboard.education/" TargetMode="External" Id="rId4299" /><Relationship Type="http://schemas.openxmlformats.org/officeDocument/2006/relationships/hyperlink" Target="https://twitter.com/TeamChalkboard" TargetMode="External" Id="rId4300" /><Relationship Type="http://schemas.openxmlformats.org/officeDocument/2006/relationships/hyperlink" Target="https://www.linkedin.com/company/chalkboard-education/" TargetMode="External" Id="rId4301" /><Relationship Type="http://schemas.openxmlformats.org/officeDocument/2006/relationships/hyperlink" Target="https://drive.google.com/uc?export=view&amp;id=14q5GQkHObB8spjFVbRHkcLHvSUEW5PjZ" TargetMode="External" Id="rId4302" /><Relationship Type="http://schemas.openxmlformats.org/officeDocument/2006/relationships/hyperlink" Target="http://www.classtime.com/" TargetMode="External" Id="rId4303" /><Relationship Type="http://schemas.openxmlformats.org/officeDocument/2006/relationships/hyperlink" Target="https://www.instagram.com/classtimecom/" TargetMode="External" Id="rId4304" /><Relationship Type="http://schemas.openxmlformats.org/officeDocument/2006/relationships/hyperlink" Target="https://twitter.com/classtimecom" TargetMode="External" Id="rId4305" /><Relationship Type="http://schemas.openxmlformats.org/officeDocument/2006/relationships/hyperlink" Target="https://www.linkedin.com/company/classtime/mycompany/verification/?viewAsMember=true" TargetMode="External" Id="rId4306" /><Relationship Type="http://schemas.openxmlformats.org/officeDocument/2006/relationships/hyperlink" Target="https://drive.google.com/uc?export=view&amp;id=1nR39oqfyoWty5RxWbkqMqjp3B9m3NBkc" TargetMode="External" Id="rId4307" /><Relationship Type="http://schemas.openxmlformats.org/officeDocument/2006/relationships/hyperlink" Target="http://www.codeschool.fi/" TargetMode="External" Id="rId4308" /><Relationship Type="http://schemas.openxmlformats.org/officeDocument/2006/relationships/hyperlink" Target="https://www.linkedin.com/company/codeschoolfinland/" TargetMode="External" Id="rId4309" /><Relationship Type="http://schemas.openxmlformats.org/officeDocument/2006/relationships/hyperlink" Target="https://drive.google.com/uc?export=view&amp;id=1gs6lHJKYDepBwXxzYj68682CfV15AfFS" TargetMode="External" Id="rId4310" /><Relationship Type="http://schemas.openxmlformats.org/officeDocument/2006/relationships/hyperlink" Target="http://www.clc-learning.de/" TargetMode="External" Id="rId4311" /><Relationship Type="http://schemas.openxmlformats.org/officeDocument/2006/relationships/hyperlink" Target="https://drive.google.com/uc?export=view&amp;id=1MQhH0BwAL92G4hg-R4GYCupwI8wMaiuX" TargetMode="External" Id="rId4312" /><Relationship Type="http://schemas.openxmlformats.org/officeDocument/2006/relationships/hyperlink" Target="http://www.dialoguetrainer.com/" TargetMode="External" Id="rId4313" /><Relationship Type="http://schemas.openxmlformats.org/officeDocument/2006/relationships/hyperlink" Target="https://drive.google.com/uc?export=view&amp;id=1fbbzEf-0XNnqB1hRYxvrq2HgVCWqxSjK" TargetMode="External" Id="rId4314" /><Relationship Type="http://schemas.openxmlformats.org/officeDocument/2006/relationships/hyperlink" Target="https://www.digitalpioneers.co/" TargetMode="External" Id="rId4315" /><Relationship Type="http://schemas.openxmlformats.org/officeDocument/2006/relationships/hyperlink" Target="https://drive.google.com/uc?export=view&amp;id=15C0KNOwjPLBWydHyYP3jwCZoGyTzG-OW" TargetMode="External" Id="rId4316" /><Relationship Type="http://schemas.openxmlformats.org/officeDocument/2006/relationships/hyperlink" Target="http://www.easyeducation.se/" TargetMode="External" Id="rId4317" /><Relationship Type="http://schemas.openxmlformats.org/officeDocument/2006/relationships/hyperlink" Target="https://www.linkedin.com/company/easy-education-sweden-ab/?viewAsMember=true" TargetMode="External" Id="rId4318" /><Relationship Type="http://schemas.openxmlformats.org/officeDocument/2006/relationships/hyperlink" Target="https://drive.google.com/uc?export=view&amp;id=11XC3qZjGpnOlJgeoShDG6Wb9CqxDOshn" TargetMode="External" Id="rId4319" /><Relationship Type="http://schemas.openxmlformats.org/officeDocument/2006/relationships/hyperlink" Target="http://www.edds-education.org/" TargetMode="External" Id="rId4320" /><Relationship Type="http://schemas.openxmlformats.org/officeDocument/2006/relationships/hyperlink" Target="https://drive.google.com/uc?export=view&amp;id=1vuDdsLuyNRiinUt3mhCkgHEUgzWR3nN9" TargetMode="External" Id="rId4321" /><Relationship Type="http://schemas.openxmlformats.org/officeDocument/2006/relationships/hyperlink" Target="http://www.edu-suite.com/" TargetMode="External" Id="rId4322" /><Relationship Type="http://schemas.openxmlformats.org/officeDocument/2006/relationships/hyperlink" Target="https://www.instagram.com/edu_suite_/" TargetMode="External" Id="rId4323" /><Relationship Type="http://schemas.openxmlformats.org/officeDocument/2006/relationships/hyperlink" Target="https://www.linkedin.com/company/edu-suite/?viewAsMember=true" TargetMode="External" Id="rId4324" /><Relationship Type="http://schemas.openxmlformats.org/officeDocument/2006/relationships/hyperlink" Target="https://drive.google.com/uc?export=view&amp;id=1ZOmfUKQ-hetRm1Nh7NP7vEvWQ2SmmLQt" TargetMode="External" Id="rId4325" /><Relationship Type="http://schemas.openxmlformats.org/officeDocument/2006/relationships/hyperlink" Target="https://www.educaplay.com/" TargetMode="External" Id="rId4326" /><Relationship Type="http://schemas.openxmlformats.org/officeDocument/2006/relationships/hyperlink" Target="https://drive.google.com/uc?export=view&amp;id=1USZTeSaV-qGDNpk43W1IT_dafUK2zgzo" TargetMode="External" Id="rId4327" /><Relationship Type="http://schemas.openxmlformats.org/officeDocument/2006/relationships/hyperlink" Target="https://edugamitec.com/" TargetMode="External" Id="rId4328" /><Relationship Type="http://schemas.openxmlformats.org/officeDocument/2006/relationships/hyperlink" Target="https://drive.google.com/uc?export=view&amp;id=1lqUpw_gwVqF-BM0G93ANz22xd7a_dNmE" TargetMode="External" Id="rId4329" /><Relationship Type="http://schemas.openxmlformats.org/officeDocument/2006/relationships/hyperlink" Target="https://edumentors.co.uk/" TargetMode="External" Id="rId4330" /><Relationship Type="http://schemas.openxmlformats.org/officeDocument/2006/relationships/hyperlink" Target="https://www.instagram.com/edumentors.co.uk/" TargetMode="External" Id="rId4331" /><Relationship Type="http://schemas.openxmlformats.org/officeDocument/2006/relationships/hyperlink" Target="https://twitter.com/TEdumentors" TargetMode="External" Id="rId4332" /><Relationship Type="http://schemas.openxmlformats.org/officeDocument/2006/relationships/hyperlink" Target="https://www.linkedin.com/company/edumentorsuk/" TargetMode="External" Id="rId4333" /><Relationship Type="http://schemas.openxmlformats.org/officeDocument/2006/relationships/hyperlink" Target="https://drive.google.com/uc?export=view&amp;id=1TIPhJjPN6yGSisiG0DCFpVEi9KIHuZ5b" TargetMode="External" Id="rId4334" /><Relationship Type="http://schemas.openxmlformats.org/officeDocument/2006/relationships/hyperlink" Target="https://www.ekidz.eu/" TargetMode="External" Id="rId4335" /><Relationship Type="http://schemas.openxmlformats.org/officeDocument/2006/relationships/hyperlink" Target="https://www.instagram.com/ekidz.eu/" TargetMode="External" Id="rId4336" /><Relationship Type="http://schemas.openxmlformats.org/officeDocument/2006/relationships/hyperlink" Target="https://twitter.com/eKidz_eu" TargetMode="External" Id="rId4337" /><Relationship Type="http://schemas.openxmlformats.org/officeDocument/2006/relationships/hyperlink" Target="https://www.linkedin.com/company/17961410/admin/" TargetMode="External" Id="rId4338" /><Relationship Type="http://schemas.openxmlformats.org/officeDocument/2006/relationships/hyperlink" Target="https://drive.google.com/uc?export=view&amp;id=1GDSlTxv2_UqA8HQbwfG8hs0L1OdjHRwl" TargetMode="External" Id="rId4339" /><Relationship Type="http://schemas.openxmlformats.org/officeDocument/2006/relationships/hyperlink" Target="https://enlighted.app/" TargetMode="External" Id="rId4340" /><Relationship Type="http://schemas.openxmlformats.org/officeDocument/2006/relationships/hyperlink" Target="https://drive.google.com/uc?export=view&amp;id=1Tvo__8cEngfyPIdylpneeTwrGRLdjog9" TargetMode="External" Id="rId4341" /><Relationship Type="http://schemas.openxmlformats.org/officeDocument/2006/relationships/hyperlink" Target="https://www.evrlearn.ch/" TargetMode="External" Id="rId4342" /><Relationship Type="http://schemas.openxmlformats.org/officeDocument/2006/relationships/hyperlink" Target="https://drive.google.com/uc?export=view&amp;id=1dMugZR0fP8uORhsyOBfLBnYwn1Li_eL6" TargetMode="External" Id="rId4343" /><Relationship Type="http://schemas.openxmlformats.org/officeDocument/2006/relationships/hyperlink" Target="http://exam.net/" TargetMode="External" Id="rId4344" /><Relationship Type="http://schemas.openxmlformats.org/officeDocument/2006/relationships/hyperlink" Target="https://exam.net/" TargetMode="External" Id="rId4345" /><Relationship Type="http://schemas.openxmlformats.org/officeDocument/2006/relationships/hyperlink" Target="https://drive.google.com/uc?export=view&amp;id=1r4zx5Dt9TBtRxJGSWVGP3dhERXMiabIL" TargetMode="External" Id="rId4346" /><Relationship Type="http://schemas.openxmlformats.org/officeDocument/2006/relationships/hyperlink" Target="http://eximiatutor.com/" TargetMode="External" Id="rId4347" /><Relationship Type="http://schemas.openxmlformats.org/officeDocument/2006/relationships/hyperlink" Target="https://www.instagram.com/valmennustiimi_eximia/channel/?hl=fi" TargetMode="External" Id="rId4348" /><Relationship Type="http://schemas.openxmlformats.org/officeDocument/2006/relationships/hyperlink" Target="https://www.linkedin.com/company/valmennustiimi-eximia/mycompany/?viewAsMember=true" TargetMode="External" Id="rId4349" /><Relationship Type="http://schemas.openxmlformats.org/officeDocument/2006/relationships/hyperlink" Target="http://eximiatutor.com/" TargetMode="External" Id="rId4350" /><Relationship Type="http://schemas.openxmlformats.org/officeDocument/2006/relationships/hyperlink" Target="https://feedbackfruits.com/" TargetMode="External" Id="rId4351" /><Relationship Type="http://schemas.openxmlformats.org/officeDocument/2006/relationships/hyperlink" Target="https://www.instagram.com/feedbackfruits" TargetMode="External" Id="rId4352" /><Relationship Type="http://schemas.openxmlformats.org/officeDocument/2006/relationships/hyperlink" Target="https://www.twitter.com/feedbackfruits" TargetMode="External" Id="rId4353" /><Relationship Type="http://schemas.openxmlformats.org/officeDocument/2006/relationships/hyperlink" Target="https://www.linkedin.com/company/feedbackfruits" TargetMode="External" Id="rId4354" /><Relationship Type="http://schemas.openxmlformats.org/officeDocument/2006/relationships/hyperlink" Target="https://drive.google.com/uc?export=view&amp;id=1zJTM2wgDxCMGc2Slc2310Q3G4OE7rsFo" TargetMode="External" Id="rId4355" /><Relationship Type="http://schemas.openxmlformats.org/officeDocument/2006/relationships/hyperlink" Target="https://www.funnifin.com/" TargetMode="External" Id="rId4356" /><Relationship Type="http://schemas.openxmlformats.org/officeDocument/2006/relationships/hyperlink" Target="https://instagram.com/funnifin_app?igshid=MzRlODBiNWFlZA==" TargetMode="External" Id="rId4357" /><Relationship Type="http://schemas.openxmlformats.org/officeDocument/2006/relationships/hyperlink" Target="https://www.linkedin.com/company/funnifin/?viewAsMember=true" TargetMode="External" Id="rId4358" /><Relationship Type="http://schemas.openxmlformats.org/officeDocument/2006/relationships/hyperlink" Target="https://drive.google.com/uc?export=view&amp;id=1teAsuFWEpm3Uk29BFk140S5AigUEdQBU" TargetMode="External" Id="rId4359" /><Relationship Type="http://schemas.openxmlformats.org/officeDocument/2006/relationships/hyperlink" Target="https://genially.com/?utm_source=EuropeanEdtechAllianceMap&amp;utm_medium=web&amp;utm_campaign=EdTechMap" TargetMode="External" Id="rId4360" /><Relationship Type="http://schemas.openxmlformats.org/officeDocument/2006/relationships/hyperlink" Target="https://www.instagram.com/genially_official/" TargetMode="External" Id="rId4361" /><Relationship Type="http://schemas.openxmlformats.org/officeDocument/2006/relationships/hyperlink" Target="https://twitter.com/genially" TargetMode="External" Id="rId4362" /><Relationship Type="http://schemas.openxmlformats.org/officeDocument/2006/relationships/hyperlink" Target="https://www.linkedin.com/company/geniallyofficial/" TargetMode="External" Id="rId4363" /><Relationship Type="http://schemas.openxmlformats.org/officeDocument/2006/relationships/hyperlink" Target="https://drive.google.com/uc?export=view&amp;id=1ItOWzrqzN816-Lt2ezVugBj7CswsK9fD" TargetMode="External" Id="rId4364" /><Relationship Type="http://schemas.openxmlformats.org/officeDocument/2006/relationships/hyperlink" Target="https://ginntech.com/" TargetMode="External" Id="rId4365" /><Relationship Type="http://schemas.openxmlformats.org/officeDocument/2006/relationships/hyperlink" Target="https://drive.google.com/uc?export=view&amp;id=1xTlyWrmVQp73geQm72KLEsNfMyc4yEMt" TargetMode="External" Id="rId4366" /><Relationship Type="http://schemas.openxmlformats.org/officeDocument/2006/relationships/hyperlink" Target="http://www.go4clic.com/" TargetMode="External" Id="rId4367" /><Relationship Type="http://schemas.openxmlformats.org/officeDocument/2006/relationships/hyperlink" Target="https://drive.google.com/uc?export=view&amp;id=1ENjkokpe4MYR0tJlreJ8UMynWgPy-yK9" TargetMode="External" Id="rId4368" /><Relationship Type="http://schemas.openxmlformats.org/officeDocument/2006/relationships/hyperlink" Target="https://www.growthroad.org/" TargetMode="External" Id="rId4369" /><Relationship Type="http://schemas.openxmlformats.org/officeDocument/2006/relationships/hyperlink" Target="https://drive.google.com/uc?export=view&amp;id=1R267LQA-4rFGbFVLj4B_iP_z2QGxp3II" TargetMode="External" Id="rId4370" /><Relationship Type="http://schemas.openxmlformats.org/officeDocument/2006/relationships/hyperlink" Target="https://www.healthinnovationacademy.com/home-en" TargetMode="External" Id="rId4371" /><Relationship Type="http://schemas.openxmlformats.org/officeDocument/2006/relationships/hyperlink" Target="https://drive.google.com/uc?export=view&amp;id=1Ytwl4rIf7A4GqxIaDgRdN1NDJnsEyIPv" TargetMode="External" Id="rId4372" /><Relationship Type="http://schemas.openxmlformats.org/officeDocument/2006/relationships/hyperlink" Target="https://imedu.io/" TargetMode="External" Id="rId4373" /><Relationship Type="http://schemas.openxmlformats.org/officeDocument/2006/relationships/hyperlink" Target="https://www.linkedin.com/company/imedu" TargetMode="External" Id="rId4374" /><Relationship Type="http://schemas.openxmlformats.org/officeDocument/2006/relationships/hyperlink" Target="https://drive.google.com/uc?export=view&amp;id=1PkcolxNXpA_Dx2BWLb18ZcFtqfmjMRqh" TargetMode="External" Id="rId4375" /><Relationship Type="http://schemas.openxmlformats.org/officeDocument/2006/relationships/hyperlink" Target="http://www.jicki.de/" TargetMode="External" Id="rId4376" /><Relationship Type="http://schemas.openxmlformats.org/officeDocument/2006/relationships/hyperlink" Target="https://drive.google.com/uc?export=view&amp;id=1RUoE2kDYdk6IJCNsGpLonkx_2hi7q8QM" TargetMode="External" Id="rId4377" /><Relationship Type="http://schemas.openxmlformats.org/officeDocument/2006/relationships/hyperlink" Target="https://www.kondeor.at/de/portfolio/aus-und-weiterbildung/marktforschungskurse/" TargetMode="External" Id="rId4378" /><Relationship Type="http://schemas.openxmlformats.org/officeDocument/2006/relationships/hyperlink" Target="https://twitter.com/kondeor" TargetMode="External" Id="rId4379" /><Relationship Type="http://schemas.openxmlformats.org/officeDocument/2006/relationships/hyperlink" Target="https://www.linkedin.com/in/kepplinger/" TargetMode="External" Id="rId4380" /><Relationship Type="http://schemas.openxmlformats.org/officeDocument/2006/relationships/hyperlink" Target="https://drive.google.com/uc?export=view&amp;id=15aecDF6p63MQgQjoKim1fmM6NOrLqap7" TargetMode="External" Id="rId4381" /><Relationship Type="http://schemas.openxmlformats.org/officeDocument/2006/relationships/hyperlink" Target="https://www.kendirstudios.org/" TargetMode="External" Id="rId4382" /><Relationship Type="http://schemas.openxmlformats.org/officeDocument/2006/relationships/hyperlink" Target="https://drive.google.com/uc?export=view&amp;id=13PwNUObND0mQGoJRqKChaAD5plhH_9JM" TargetMode="External" Id="rId4383" /><Relationship Type="http://schemas.openxmlformats.org/officeDocument/2006/relationships/hyperlink" Target="http://www.laromedia.se/" TargetMode="External" Id="rId4384" /><Relationship Type="http://schemas.openxmlformats.org/officeDocument/2006/relationships/hyperlink" Target="https://drive.google.com/uc?export=view&amp;id=1q4JmcEeiDB2q1L0fvsX94iiqUqgSmjsO" TargetMode="External" Id="rId4385" /><Relationship Type="http://schemas.openxmlformats.org/officeDocument/2006/relationships/hyperlink" Target="http://lingua-attack.com/" TargetMode="External" Id="rId4386" /><Relationship Type="http://schemas.openxmlformats.org/officeDocument/2006/relationships/hyperlink" Target="https://www.linkedin.com/company/lingua-attack/" TargetMode="External" Id="rId4387" /><Relationship Type="http://schemas.openxmlformats.org/officeDocument/2006/relationships/hyperlink" Target="https://drive.google.com/uc?export=view&amp;id=1srh1zwB-21F_sdzJtB1lH18eUecucIuz" TargetMode="External" Id="rId4388" /><Relationship Type="http://schemas.openxmlformats.org/officeDocument/2006/relationships/hyperlink" Target="http://www.linguaphone.fr/" TargetMode="External" Id="rId4389" /><Relationship Type="http://schemas.openxmlformats.org/officeDocument/2006/relationships/hyperlink" Target="https://www.linkedin.com/company/linguaphone-france" TargetMode="External" Id="rId4390" /><Relationship Type="http://schemas.openxmlformats.org/officeDocument/2006/relationships/hyperlink" Target="https://drive.google.com/uc?export=view&amp;id=1fQm6YxvQ-DCsRZiwFjw18xmSOJV5_TmL" TargetMode="External" Id="rId4391" /><Relationship Type="http://schemas.openxmlformats.org/officeDocument/2006/relationships/hyperlink" Target="https://www.mapiblocks.com/" TargetMode="External" Id="rId4392" /><Relationship Type="http://schemas.openxmlformats.org/officeDocument/2006/relationships/hyperlink" Target="https://drive.google.com/uc?export=view&amp;id=1JLFoOueAh46f8GUOFccVCBqoThKJqjg2" TargetMode="External" Id="rId4393" /><Relationship Type="http://schemas.openxmlformats.org/officeDocument/2006/relationships/hyperlink" Target="https://masterchallenge.me/" TargetMode="External" Id="rId4394" /><Relationship Type="http://schemas.openxmlformats.org/officeDocument/2006/relationships/hyperlink" Target="https://drive.google.com/uc?export=view&amp;id=1L9zOfzbeIMzLAon3SOpqgLeGAapOmrfq" TargetMode="External" Id="rId4395" /><Relationship Type="http://schemas.openxmlformats.org/officeDocument/2006/relationships/hyperlink" Target="https://www.mentalup.co/" TargetMode="External" Id="rId4396" /><Relationship Type="http://schemas.openxmlformats.org/officeDocument/2006/relationships/hyperlink" Target="https://drive.google.com/uc?export=view&amp;id=1jGBP8RYZMnAxJ-soARIsaan7-14PRCt5" TargetMode="External" Id="rId4397" /><Relationship Type="http://schemas.openxmlformats.org/officeDocument/2006/relationships/hyperlink" Target="https://nextus.global/en" TargetMode="External" Id="rId4398" /><Relationship Type="http://schemas.openxmlformats.org/officeDocument/2006/relationships/hyperlink" Target="https://www.instagram.com/nextus_glob/" TargetMode="External" Id="rId4399" /><Relationship Type="http://schemas.openxmlformats.org/officeDocument/2006/relationships/hyperlink" Target="https://twitter.com/nextus_global" TargetMode="External" Id="rId4400" /><Relationship Type="http://schemas.openxmlformats.org/officeDocument/2006/relationships/hyperlink" Target="https://www.linkedin.com/company/nextusglobal" TargetMode="External" Id="rId4401" /><Relationship Type="http://schemas.openxmlformats.org/officeDocument/2006/relationships/hyperlink" Target="https://drive.google.com/uc?export=view&amp;id=15sXLk9yDs64Zjr-oZi2z63zawKzG0_Vq" TargetMode="External" Id="rId4402" /><Relationship Type="http://schemas.openxmlformats.org/officeDocument/2006/relationships/hyperlink" Target="https://www.onlineacademy.nl/" TargetMode="External" Id="rId4403" /><Relationship Type="http://schemas.openxmlformats.org/officeDocument/2006/relationships/hyperlink" Target="https://www.linkedin.com/school/onlineacademy" TargetMode="External" Id="rId4404" /><Relationship Type="http://schemas.openxmlformats.org/officeDocument/2006/relationships/hyperlink" Target="https://drive.google.com/uc?export=view&amp;id=1iIdA7xUkMvfR7pRlyWbpCJ2fsgNsQTNU" TargetMode="External" Id="rId4405" /><Relationship Type="http://schemas.openxmlformats.org/officeDocument/2006/relationships/hyperlink" Target="https://openskool.be/" TargetMode="External" Id="rId4406" /><Relationship Type="http://schemas.openxmlformats.org/officeDocument/2006/relationships/hyperlink" Target="https://drive.google.com/uc?export=view&amp;id=1uY-WcQt4KctZXyYgOe9t58FzzYy3MnQT" TargetMode="External" Id="rId4407" /><Relationship Type="http://schemas.openxmlformats.org/officeDocument/2006/relationships/hyperlink" Target="https://ovos.at/en/" TargetMode="External" Id="rId4408" /><Relationship Type="http://schemas.openxmlformats.org/officeDocument/2006/relationships/hyperlink" Target="https://drive.google.com/uc?export=view&amp;id=149yM4qSBX5oPD2QRBAL05Cjxn5LY4Aqg" TargetMode="External" Id="rId4409" /><Relationship Type="http://schemas.openxmlformats.org/officeDocument/2006/relationships/hyperlink" Target="http://www.playit.training/" TargetMode="External" Id="rId4410" /><Relationship Type="http://schemas.openxmlformats.org/officeDocument/2006/relationships/hyperlink" Target="https://www.linkedin.com/company/playitsafe" TargetMode="External" Id="rId4411" /><Relationship Type="http://schemas.openxmlformats.org/officeDocument/2006/relationships/hyperlink" Target="https://drive.google.com/uc?export=view&amp;id=13Ch-wtltvzv2sEl8hcl_zphtSoy7-Qfl" TargetMode="External" Id="rId4412" /><Relationship Type="http://schemas.openxmlformats.org/officeDocument/2006/relationships/hyperlink" Target="https://quizco.de/" TargetMode="External" Id="rId4413" /><Relationship Type="http://schemas.openxmlformats.org/officeDocument/2006/relationships/hyperlink" Target="https://drive.google.com/uc?export=view&amp;id=1VotAlKN_fdF5VfUNLn5O9-L0I1klWNGi" TargetMode="External" Id="rId4414" /><Relationship Type="http://schemas.openxmlformats.org/officeDocument/2006/relationships/hyperlink" Target="http://www.quofox.com/" TargetMode="External" Id="rId4415" /><Relationship Type="http://schemas.openxmlformats.org/officeDocument/2006/relationships/hyperlink" Target="https://drive.google.com/uc?export=view&amp;id=1UaCY2OOs6xc26pw9Oq_Oz-q-F-eve03X" TargetMode="External" Id="rId4416" /><Relationship Type="http://schemas.openxmlformats.org/officeDocument/2006/relationships/hyperlink" Target="about:blank" TargetMode="External" Id="rId4417" /><Relationship Type="http://schemas.openxmlformats.org/officeDocument/2006/relationships/hyperlink" Target="https://www.instagram.com/reactoredcom/?hl=fi" TargetMode="External" Id="rId4418" /><Relationship Type="http://schemas.openxmlformats.org/officeDocument/2006/relationships/hyperlink" Target="https://twitter.com/reactoredcom" TargetMode="External" Id="rId4419" /><Relationship Type="http://schemas.openxmlformats.org/officeDocument/2006/relationships/hyperlink" Target="https://www.linkedin.com/company/reactored" TargetMode="External" Id="rId4420" /><Relationship Type="http://schemas.openxmlformats.org/officeDocument/2006/relationships/hyperlink" Target="https://drive.google.com/uc?export=view&amp;id=1DWYjoUOP_g6fmJ0dXHhK85a0l9wwZvIB" TargetMode="External" Id="rId4421" /><Relationship Type="http://schemas.openxmlformats.org/officeDocument/2006/relationships/hyperlink" Target="https://rimud.com/" TargetMode="External" Id="rId4422" /><Relationship Type="http://schemas.openxmlformats.org/officeDocument/2006/relationships/hyperlink" Target="https://drive.google.com/uc?export=view&amp;id=1QAO8BT1DX9V9Fv3GSZint0jbCj2Hq4-0" TargetMode="External" Id="rId4423" /><Relationship Type="http://schemas.openxmlformats.org/officeDocument/2006/relationships/hyperlink" Target="https://schoolr.net/it" TargetMode="External" Id="rId4424" /><Relationship Type="http://schemas.openxmlformats.org/officeDocument/2006/relationships/hyperlink" Target="https://www.instagram.com/schoolrhq/" TargetMode="External" Id="rId4425" /><Relationship Type="http://schemas.openxmlformats.org/officeDocument/2006/relationships/hyperlink" Target="https://twitter.com/SchoolrHQ" TargetMode="External" Id="rId4426" /><Relationship Type="http://schemas.openxmlformats.org/officeDocument/2006/relationships/hyperlink" Target="https://www.linkedin.com/company/schoolr/" TargetMode="External" Id="rId4427" /><Relationship Type="http://schemas.openxmlformats.org/officeDocument/2006/relationships/hyperlink" Target="https://drive.google.com/uc?export=view&amp;id=10HfIkY9FC-lenOAg1xioEJ7rHrOkyjlV" TargetMode="External" Id="rId4428" /><Relationship Type="http://schemas.openxmlformats.org/officeDocument/2006/relationships/hyperlink" Target="https://seppo.io/" TargetMode="External" Id="rId4429" /><Relationship Type="http://schemas.openxmlformats.org/officeDocument/2006/relationships/hyperlink" Target="http://seppo.io/" TargetMode="External" Id="rId4430" /><Relationship Type="http://schemas.openxmlformats.org/officeDocument/2006/relationships/hyperlink" Target="https://www.linkedin.com/company/seppo" TargetMode="External" Id="rId4431" /><Relationship Type="http://schemas.openxmlformats.org/officeDocument/2006/relationships/hyperlink" Target="https://drive.google.com/uc?export=view&amp;id=1p1G6ywGxGOfd9WLu5YCsDHt0FWywNQLF" TargetMode="External" Id="rId4432" /><Relationship Type="http://schemas.openxmlformats.org/officeDocument/2006/relationships/hyperlink" Target="http://www.skoledu.dk/" TargetMode="External" Id="rId4433" /><Relationship Type="http://schemas.openxmlformats.org/officeDocument/2006/relationships/hyperlink" Target="https://drive.google.com/uc?export=view&amp;id=1P833_KJPmmF9-WiTfnL4hchDBMZNhbTD" TargetMode="External" Id="rId4434" /><Relationship Type="http://schemas.openxmlformats.org/officeDocument/2006/relationships/hyperlink" Target="http://www.snabbfoting.com/" TargetMode="External" Id="rId4435" /><Relationship Type="http://schemas.openxmlformats.org/officeDocument/2006/relationships/hyperlink" Target="https://www.instagram.com/snabbfoting/" TargetMode="External" Id="rId4436" /><Relationship Type="http://schemas.openxmlformats.org/officeDocument/2006/relationships/hyperlink" Target="https://www.linkedin.com/company/snabbfoting" TargetMode="External" Id="rId4437" /><Relationship Type="http://schemas.openxmlformats.org/officeDocument/2006/relationships/hyperlink" Target="http://www.squla.nl/" TargetMode="External" Id="rId4438" /><Relationship Type="http://schemas.openxmlformats.org/officeDocument/2006/relationships/hyperlink" Target="https://drive.google.com/uc?export=view&amp;id=1AXssrq2h0C-kIWHUW6mEuaAzZkg5ieGz" TargetMode="External" Id="rId4439" /><Relationship Type="http://schemas.openxmlformats.org/officeDocument/2006/relationships/hyperlink" Target="https://www.sylva.ac/" TargetMode="External" Id="rId4440" /><Relationship Type="http://schemas.openxmlformats.org/officeDocument/2006/relationships/hyperlink" Target="https://www.linkedin.com/company/sylva-education" TargetMode="External" Id="rId4441" /><Relationship Type="http://schemas.openxmlformats.org/officeDocument/2006/relationships/hyperlink" Target="https://drive.google.com/uc?export=view&amp;id=1IKhOJxR1Vn7EU4srf04yBuQPJ9lbC-YZ" TargetMode="External" Id="rId4442" /><Relationship Type="http://schemas.openxmlformats.org/officeDocument/2006/relationships/hyperlink" Target="https://www.teachremote.ch/" TargetMode="External" Id="rId4443" /><Relationship Type="http://schemas.openxmlformats.org/officeDocument/2006/relationships/hyperlink" Target="https://twitter.com/teachremote?s=20" TargetMode="External" Id="rId4444" /><Relationship Type="http://schemas.openxmlformats.org/officeDocument/2006/relationships/hyperlink" Target="https://www.linkedin.com/in/teach-remote/" TargetMode="External" Id="rId4445" /><Relationship Type="http://schemas.openxmlformats.org/officeDocument/2006/relationships/hyperlink" Target="https://drive.google.com/uc?export=view&amp;id=1tbhYSMRBCY-NhVZSwg2bXQzDz-gdSdTs" TargetMode="External" Id="rId4446" /><Relationship Type="http://schemas.openxmlformats.org/officeDocument/2006/relationships/hyperlink" Target="https://teenit.app/" TargetMode="External" Id="rId4447" /><Relationship Type="http://schemas.openxmlformats.org/officeDocument/2006/relationships/hyperlink" Target="https://www.linkedin.com/company/74991718/" TargetMode="External" Id="rId4448" /><Relationship Type="http://schemas.openxmlformats.org/officeDocument/2006/relationships/hyperlink" Target="https://drive.google.com/uc?export=view&amp;id=18ZIYf9ZH3CzDZiyytiQ_hU9hDoeTjYfW" TargetMode="External" Id="rId4449" /><Relationship Type="http://schemas.openxmlformats.org/officeDocument/2006/relationships/hyperlink" Target="http://www.rentcompany.be/" TargetMode="External" Id="rId4450" /><Relationship Type="http://schemas.openxmlformats.org/officeDocument/2006/relationships/hyperlink" Target="https://drive.google.com/uc?export=view&amp;id=1v3aUVV6BldpdEGy1SqY0Fjn0XuuNH4sl" TargetMode="External" Id="rId4451" /><Relationship Type="http://schemas.openxmlformats.org/officeDocument/2006/relationships/hyperlink" Target="https://trueoriginal.com/" TargetMode="External" Id="rId4452" /><Relationship Type="http://schemas.openxmlformats.org/officeDocument/2006/relationships/hyperlink" Target="https://www.instagram.com/truedocuments/" TargetMode="External" Id="rId4453" /><Relationship Type="http://schemas.openxmlformats.org/officeDocument/2006/relationships/hyperlink" Target="https://twitter.com/TrueDocuments" TargetMode="External" Id="rId4454" /><Relationship Type="http://schemas.openxmlformats.org/officeDocument/2006/relationships/hyperlink" Target="https://www.linkedin.com/company/37549025/" TargetMode="External" Id="rId4455" /><Relationship Type="http://schemas.openxmlformats.org/officeDocument/2006/relationships/hyperlink" Target="https://drive.google.com/uc?export=view&amp;id=1Hp6dlsWPf6xPtqF8gi9OWhaeb8qK-a28" TargetMode="External" Id="rId4456" /><Relationship Type="http://schemas.openxmlformats.org/officeDocument/2006/relationships/hyperlink" Target="https://uchronic.ch/" TargetMode="External" Id="rId4457" /><Relationship Type="http://schemas.openxmlformats.org/officeDocument/2006/relationships/hyperlink" Target="https://www.instagram.com/uchronic.geneve/" TargetMode="External" Id="rId4458" /><Relationship Type="http://schemas.openxmlformats.org/officeDocument/2006/relationships/hyperlink" Target="https://www.linkedin.com/company/uchronicsarl" TargetMode="External" Id="rId4459" /><Relationship Type="http://schemas.openxmlformats.org/officeDocument/2006/relationships/hyperlink" Target="https://drive.google.com/uc?export=view&amp;id=1haAf6-SyxjdUsiKU2YJNX8RM0vwZ5maL" TargetMode="External" Id="rId4460" /><Relationship Type="http://schemas.openxmlformats.org/officeDocument/2006/relationships/hyperlink" Target="https://www.upgrowz.com/" TargetMode="External" Id="rId4461" /><Relationship Type="http://schemas.openxmlformats.org/officeDocument/2006/relationships/hyperlink" Target="https://drive.google.com/uc?export=view&amp;id=1Kv5BTo0NOQBzTzrcR1_EFXZFdI3ww_MH" TargetMode="External" Id="rId4462" /><Relationship Type="http://schemas.openxmlformats.org/officeDocument/2006/relationships/hyperlink" Target="https://videobit.io/" TargetMode="External" Id="rId4463" /><Relationship Type="http://schemas.openxmlformats.org/officeDocument/2006/relationships/hyperlink" Target="https://www.linkedin.com/company/videobit" TargetMode="External" Id="rId4464" /><Relationship Type="http://schemas.openxmlformats.org/officeDocument/2006/relationships/hyperlink" Target="https://drive.google.com/uc?export=view&amp;id=1AGSL3grrb1zF7lt5ju-NsVHIZJd8Xltd" TargetMode="External" Id="rId4465" /><Relationship Type="http://schemas.openxmlformats.org/officeDocument/2006/relationships/hyperlink" Target="http://wecoplay.com/" TargetMode="External" Id="rId4466" /><Relationship Type="http://schemas.openxmlformats.org/officeDocument/2006/relationships/hyperlink" Target="https://www.linkedin.com/company/wecoplay/" TargetMode="External" Id="rId4467" /><Relationship Type="http://schemas.openxmlformats.org/officeDocument/2006/relationships/hyperlink" Target="https://drive.google.com/uc?export=view&amp;id=1IxYDWHRgK-yvLdtAnOy9tTGbnsjvxWg5" TargetMode="External" Id="rId4468" /><Relationship Type="http://schemas.openxmlformats.org/officeDocument/2006/relationships/hyperlink" Target="https://www.wixar.io/" TargetMode="External" Id="rId4469" /><Relationship Type="http://schemas.openxmlformats.org/officeDocument/2006/relationships/hyperlink" Target="https://www.instagram.com/wixar360/" TargetMode="External" Id="rId4470" /><Relationship Type="http://schemas.openxmlformats.org/officeDocument/2006/relationships/hyperlink" Target="https://twitter.com/WiXar360" TargetMode="External" Id="rId4471" /><Relationship Type="http://schemas.openxmlformats.org/officeDocument/2006/relationships/hyperlink" Target="https://www.linkedin.com/company/wixar" TargetMode="External" Id="rId4472" /><Relationship Type="http://schemas.openxmlformats.org/officeDocument/2006/relationships/hyperlink" Target="https://drive.google.com/uc?export=view&amp;id=1RzbLMc7JnxU4pxFCgq9ZAZ-8WWYRm4rh" TargetMode="External" Id="rId4473" /><Relationship Type="http://schemas.openxmlformats.org/officeDocument/2006/relationships/hyperlink" Target="https://theworkademy.com/" TargetMode="External" Id="rId4474" /><Relationship Type="http://schemas.openxmlformats.org/officeDocument/2006/relationships/hyperlink" Target="https://drive.google.com/uc?export=view&amp;id=1syQPPcsf4Z4jDM07FG6AwpRrbKit7qZj" TargetMode="External" Id="rId4475" /><Relationship Type="http://schemas.openxmlformats.org/officeDocument/2006/relationships/hyperlink" Target="http://www.alteredu.it/" TargetMode="External" Id="rId4476" /><Relationship Type="http://schemas.openxmlformats.org/officeDocument/2006/relationships/hyperlink" Target="https://www.instagram.com/alteredu.it/" TargetMode="External" Id="rId4477" /><Relationship Type="http://schemas.openxmlformats.org/officeDocument/2006/relationships/hyperlink" Target="https://www.linkedin.com/company/alteredu" TargetMode="External" Id="rId4478" /><Relationship Type="http://schemas.openxmlformats.org/officeDocument/2006/relationships/hyperlink" Target="https://drive.google.com/uc?export=view&amp;id=1bmUU4AfeT64l2Rq26L3nxHbTkPZKKnBP" TargetMode="External" Id="rId4479" /><Relationship Type="http://schemas.openxmlformats.org/officeDocument/2006/relationships/hyperlink" Target="https://alumnelms.com/" TargetMode="External" Id="rId4480" /><Relationship Type="http://schemas.openxmlformats.org/officeDocument/2006/relationships/hyperlink" Target="https://twitter.com/alumneelearning" TargetMode="External" Id="rId4481" /><Relationship Type="http://schemas.openxmlformats.org/officeDocument/2006/relationships/hyperlink" Target="https://www.linkedin.com/company/alumneelearning/" TargetMode="External" Id="rId4482" /><Relationship Type="http://schemas.openxmlformats.org/officeDocument/2006/relationships/hyperlink" Target="https://drive.google.com/uc?export=view&amp;id=1qvOYvCGScY7oQtnk9qg2GLDet42ATM2k" TargetMode="External" Id="rId4483" /><Relationship Type="http://schemas.openxmlformats.org/officeDocument/2006/relationships/hyperlink" Target="https://www.atea.se/digitalisering-i-skolan/" TargetMode="External" Id="rId4484" /><Relationship Type="http://schemas.openxmlformats.org/officeDocument/2006/relationships/hyperlink" Target="https://www.instagram.com/atea_skola/" TargetMode="External" Id="rId4485" /><Relationship Type="http://schemas.openxmlformats.org/officeDocument/2006/relationships/hyperlink" Target="https://www.linkedin.com/company/atea-sverige/" TargetMode="External" Id="rId4486" /><Relationship Type="http://schemas.openxmlformats.org/officeDocument/2006/relationships/hyperlink" Target="https://drive.google.com/uc?export=view&amp;id=1f-dNT9meTB5j-0SsbDqSckMqQcVubXeo" TargetMode="External" Id="rId4487" /><Relationship Type="http://schemas.openxmlformats.org/officeDocument/2006/relationships/hyperlink" Target="https://batonroute.com/en/" TargetMode="External" Id="rId4488" /><Relationship Type="http://schemas.openxmlformats.org/officeDocument/2006/relationships/hyperlink" Target="https://drive.google.com/uc?export=view&amp;id=1ltkX9NQcR_doiTboT2H1jG-0kz3mopQf" TargetMode="External" Id="rId4489" /><Relationship Type="http://schemas.openxmlformats.org/officeDocument/2006/relationships/hyperlink" Target="https://be-skiller.com/" TargetMode="External" Id="rId4490" /><Relationship Type="http://schemas.openxmlformats.org/officeDocument/2006/relationships/hyperlink" Target="https://drive.google.com/uc?export=view&amp;id=16yqCsgbQk5a5Tk8U1K6wQl0V4fNMdb5_" TargetMode="External" Id="rId4491" /><Relationship Type="http://schemas.openxmlformats.org/officeDocument/2006/relationships/hyperlink" Target="https://bioprofe.com/" TargetMode="External" Id="rId4492" /><Relationship Type="http://schemas.openxmlformats.org/officeDocument/2006/relationships/hyperlink" Target="https://www.linkedin.com/company/bioprofe" TargetMode="External" Id="rId4493" /><Relationship Type="http://schemas.openxmlformats.org/officeDocument/2006/relationships/hyperlink" Target="https://drive.google.com/uc?export=view&amp;id=1FF_kCQ2iRJvoo91Hly1RWppIEaZU9Cqn" TargetMode="External" Id="rId4494" /><Relationship Type="http://schemas.openxmlformats.org/officeDocument/2006/relationships/hyperlink" Target="https://www.cns-edu.com/" TargetMode="External" Id="rId4495" /><Relationship Type="http://schemas.openxmlformats.org/officeDocument/2006/relationships/hyperlink" Target="https://drive.google.com/uc?export=view&amp;id=14SDVazfE5ddoJ9U-32V9w4sI-r57_sRo" TargetMode="External" Id="rId4496" /><Relationship Type="http://schemas.openxmlformats.org/officeDocument/2006/relationships/hyperlink" Target="https://www.cifraeducacion.com/" TargetMode="External" Id="rId4497" /><Relationship Type="http://schemas.openxmlformats.org/officeDocument/2006/relationships/hyperlink" Target="https://drive.google.com/uc?export=view&amp;id=1hpzgWAWbWoJZpu04Ot3F1dlyxwq9lJrm" TargetMode="External" Id="rId4498" /><Relationship Type="http://schemas.openxmlformats.org/officeDocument/2006/relationships/hyperlink" Target="https://www.edulib.fr/" TargetMode="External" Id="rId4499" /><Relationship Type="http://schemas.openxmlformats.org/officeDocument/2006/relationships/hyperlink" Target="https://drive.google.com/uc?export=view&amp;id=1Zty4eoxgO4vUxWIOUvksJg747t-Z9LIn" TargetMode="External" Id="rId4500" /><Relationship Type="http://schemas.openxmlformats.org/officeDocument/2006/relationships/hyperlink" Target="http://www.etrivium.es/" TargetMode="External" Id="rId4501" /><Relationship Type="http://schemas.openxmlformats.org/officeDocument/2006/relationships/hyperlink" Target="https://drive.google.com/uc?export=view&amp;id=1Nd9ed9C5yEtOPAt2RLC0K1FGYI7aFGz7" TargetMode="External" Id="rId4502" /><Relationship Type="http://schemas.openxmlformats.org/officeDocument/2006/relationships/hyperlink" Target="https://www.forabetterworld.es/" TargetMode="External" Id="rId4503" /><Relationship Type="http://schemas.openxmlformats.org/officeDocument/2006/relationships/hyperlink" Target="https://drive.google.com/uc?export=view&amp;id=1dKlWE6998UG98nASQ2hZ00BezZpRZKF8" TargetMode="External" Id="rId4504" /><Relationship Type="http://schemas.openxmlformats.org/officeDocument/2006/relationships/hyperlink" Target="https://www.hazu.io/" TargetMode="External" Id="rId4505" /><Relationship Type="http://schemas.openxmlformats.org/officeDocument/2006/relationships/hyperlink" Target="https://www.linkedin.com/company/hazu" TargetMode="External" Id="rId4506" /><Relationship Type="http://schemas.openxmlformats.org/officeDocument/2006/relationships/hyperlink" Target="https://drive.google.com/uc?export=view&amp;id=1uvFzUGUxKkvHALoAF2gsmtT3oj5RS0je" TargetMode="External" Id="rId4507" /><Relationship Type="http://schemas.openxmlformats.org/officeDocument/2006/relationships/hyperlink" Target="https://kjuicer.com/" TargetMode="External" Id="rId4508" /><Relationship Type="http://schemas.openxmlformats.org/officeDocument/2006/relationships/hyperlink" Target="https://twitter.com/KnowledgeJuicer" TargetMode="External" Id="rId4509" /><Relationship Type="http://schemas.openxmlformats.org/officeDocument/2006/relationships/hyperlink" Target="https://www.linkedin.com/company/10288288" TargetMode="External" Id="rId4510" /><Relationship Type="http://schemas.openxmlformats.org/officeDocument/2006/relationships/hyperlink" Target="https://drive.google.com/uc?export=view&amp;id=1iHy94ihTeZQeW_yBVB8Z5GHtJ2mYB9wc" TargetMode="External" Id="rId4511" /><Relationship Type="http://schemas.openxmlformats.org/officeDocument/2006/relationships/hyperlink" Target="https://legiland.club/" TargetMode="External" Id="rId4512" /><Relationship Type="http://schemas.openxmlformats.org/officeDocument/2006/relationships/hyperlink" Target="https://drive.google.com/uc?export=view&amp;id=1P4-lWlL6mBUUR0-d195aIhMLWHju0Fz1" TargetMode="External" Id="rId4513" /><Relationship Type="http://schemas.openxmlformats.org/officeDocument/2006/relationships/hyperlink" Target="https://www.makercamp.it/" TargetMode="External" Id="rId4514" /><Relationship Type="http://schemas.openxmlformats.org/officeDocument/2006/relationships/hyperlink" Target="https://drive.google.com/uc?export=view&amp;id=1L1-YzOVHTOMSWyQWcZ0daqekwbk2-aQG" TargetMode="External" Id="rId4515" /><Relationship Type="http://schemas.openxmlformats.org/officeDocument/2006/relationships/hyperlink" Target="https://www.micole.net/" TargetMode="External" Id="rId4516" /><Relationship Type="http://schemas.openxmlformats.org/officeDocument/2006/relationships/hyperlink" Target="https://www.instagram.com/micoleoficial/" TargetMode="External" Id="rId4517" /><Relationship Type="http://schemas.openxmlformats.org/officeDocument/2006/relationships/hyperlink" Target="https://www.linkedin.com/company/micole" TargetMode="External" Id="rId4518" /><Relationship Type="http://schemas.openxmlformats.org/officeDocument/2006/relationships/hyperlink" Target="https://drive.google.com/uc?export=view&amp;id=1S5IOCUyYAgAYRQabwWLvULfLjDIZRfRm" TargetMode="External" Id="rId4519" /><Relationship Type="http://schemas.openxmlformats.org/officeDocument/2006/relationships/hyperlink" Target="http://www.mil-edu.es/" TargetMode="External" Id="rId4520" /><Relationship Type="http://schemas.openxmlformats.org/officeDocument/2006/relationships/hyperlink" Target="https://drive.google.com/uc?export=view&amp;id=1Fi5KfX9sXAA7Q_TP84huK4UyOh3uu11K" TargetMode="External" Id="rId4521" /><Relationship Type="http://schemas.openxmlformats.org/officeDocument/2006/relationships/hyperlink" Target="http://www.professorfilm.eu/" TargetMode="External" Id="rId4522" /><Relationship Type="http://schemas.openxmlformats.org/officeDocument/2006/relationships/hyperlink" Target="https://drive.google.com/uc?export=view&amp;id=1wFMPtDowA1IpyMcLckUsHMETf_DOCQ8B" TargetMode="External" Id="rId4523" /><Relationship Type="http://schemas.openxmlformats.org/officeDocument/2006/relationships/hyperlink" Target="https://www.seidor.com/es-es/industrias/educacion" TargetMode="External" Id="rId4524" /><Relationship Type="http://schemas.openxmlformats.org/officeDocument/2006/relationships/hyperlink" Target="https://www.linkedin.com/company/seidor/mycompany/verification/" TargetMode="External" Id="rId4525" /><Relationship Type="http://schemas.openxmlformats.org/officeDocument/2006/relationships/hyperlink" Target="https://drive.google.com/uc?export=view&amp;id=1VzIVXhrczyEw2JMDGU-8KmMuWHDD9NGx" TargetMode="External" Id="rId4526" /><Relationship Type="http://schemas.openxmlformats.org/officeDocument/2006/relationships/hyperlink" Target="https://www.linkedin.com/company/studentsuccessapp/" TargetMode="External" Id="rId4527" /><Relationship Type="http://schemas.openxmlformats.org/officeDocument/2006/relationships/hyperlink" Target="https://drive.google.com/uc?export=view&amp;id=1kSqDPn_fn-Q9DU2lGr6A4wu0WCCYGtZc" TargetMode="External" Id="rId4528" /><Relationship Type="http://schemas.openxmlformats.org/officeDocument/2006/relationships/hyperlink" Target="http://systematic.com/sverige" TargetMode="External" Id="rId4529" /><Relationship Type="http://schemas.openxmlformats.org/officeDocument/2006/relationships/hyperlink" Target="https://twitter.com/SystematicGroup" TargetMode="External" Id="rId4530" /><Relationship Type="http://schemas.openxmlformats.org/officeDocument/2006/relationships/hyperlink" Target="https://www.linkedin.com/company/systematic/" TargetMode="External" Id="rId4531" /><Relationship Type="http://schemas.openxmlformats.org/officeDocument/2006/relationships/hyperlink" Target="https://drive.google.com/uc?export=view&amp;id=1Z8c4wyb7v8522EdFeTIhWmugJNN5UDUR" TargetMode="External" Id="rId4532" /><Relationship Type="http://schemas.openxmlformats.org/officeDocument/2006/relationships/hyperlink" Target="https://www.talky-app.com/" TargetMode="External" Id="rId4533" /><Relationship Type="http://schemas.openxmlformats.org/officeDocument/2006/relationships/hyperlink" Target="https://drive.google.com/uc?export=view&amp;id=1bbLWaQlGZO7_PH9s4PaloX9UKWyt6R5d" TargetMode="External" Id="rId4534" /><Relationship Type="http://schemas.openxmlformats.org/officeDocument/2006/relationships/hyperlink" Target="http://thepowermba.com/" TargetMode="External" Id="rId4535" /><Relationship Type="http://schemas.openxmlformats.org/officeDocument/2006/relationships/hyperlink" Target="http://tietoevry.com/" TargetMode="External" Id="rId4536" /><Relationship Type="http://schemas.openxmlformats.org/officeDocument/2006/relationships/hyperlink" Target="https://www.linkedin.com/company/tietoevry" TargetMode="External" Id="rId4537" /><Relationship Type="http://schemas.openxmlformats.org/officeDocument/2006/relationships/hyperlink" Target="https://drive.google.com/uc?export=view&amp;id=1-EbNcCFHwSzb_NpxNpwCAhRZTcDNyzxm" TargetMode="External" Id="rId4538" /><Relationship Type="http://schemas.openxmlformats.org/officeDocument/2006/relationships/hyperlink" Target="http://www.tracker-apps.com/" TargetMode="External" Id="rId4539" /><Relationship Type="http://schemas.openxmlformats.org/officeDocument/2006/relationships/hyperlink" Target="https://www.linkedin.com/company/trackerapps/" TargetMode="External" Id="rId4540" /><Relationship Type="http://schemas.openxmlformats.org/officeDocument/2006/relationships/hyperlink" Target="https://drive.google.com/uc?export=view&amp;id=1bIENNpUnO9giupb46Y4QZUNtTBKd3KHS" TargetMode="External" Id="rId4541" /><Relationship Type="http://schemas.openxmlformats.org/officeDocument/2006/relationships/hyperlink" Target="https://ucademy.es/" TargetMode="External" Id="rId4542" /><Relationship Type="http://schemas.openxmlformats.org/officeDocument/2006/relationships/hyperlink" Target="https://drive.google.com/uc?export=view&amp;id=1lnuKVdhfvGKvlDX1qOFWcWBuscPDnpt3" TargetMode="External" Id="rId4543" /><Relationship Type="http://schemas.openxmlformats.org/officeDocument/2006/relationships/hyperlink" Target="https://www.wisepath.ai/" TargetMode="External" Id="rId4544" /><Relationship Type="http://schemas.openxmlformats.org/officeDocument/2006/relationships/hyperlink" Target="https://www.linkedin.com/company/79811623/admin/" TargetMode="External" Id="rId4545" /><Relationship Type="http://schemas.openxmlformats.org/officeDocument/2006/relationships/hyperlink" Target="https://drive.google.com/uc?export=view&amp;id=1SciQqwd3YGqSf_PAKBCu6Ao_ZYyUZDPK" TargetMode="External" Id="rId4546" /><Relationship Type="http://schemas.openxmlformats.org/officeDocument/2006/relationships/hyperlink" Target="https://www.yourstep.ai/" TargetMode="External" Id="rId4547" /><Relationship Type="http://schemas.openxmlformats.org/officeDocument/2006/relationships/hyperlink" Target="https://drive.google.com/uc?export=view&amp;id=1ZEN0-h3BgttKje0kFyAkga-GjFAk1wDJ" TargetMode="External" Id="rId4548" /><Relationship Type="http://schemas.openxmlformats.org/officeDocument/2006/relationships/hyperlink" Target="https://1to1progress.fr/" TargetMode="External" Id="rId4549" /><Relationship Type="http://schemas.openxmlformats.org/officeDocument/2006/relationships/hyperlink" Target="https://fr.linkedin.com/company/1to1progress" TargetMode="External" Id="rId4550" /><Relationship Type="http://schemas.openxmlformats.org/officeDocument/2006/relationships/hyperlink" Target="https://drive.google.com/uc?export=view&amp;id=1h2ZgRt6qY-A_4AHdskLkIaHQrlIxsV9y" TargetMode="External" Id="rId4551" /><Relationship Type="http://schemas.openxmlformats.org/officeDocument/2006/relationships/hyperlink" Target="https://aulasteam.com/" TargetMode="External" Id="rId4552" /><Relationship Type="http://schemas.openxmlformats.org/officeDocument/2006/relationships/hyperlink" Target="https://drive.google.com/uc?export=view&amp;id=1e3CM-y6mNhzmnWuVKYZGkZ1lIZfomlAy" TargetMode="External" Id="rId4553" /><Relationship Type="http://schemas.openxmlformats.org/officeDocument/2006/relationships/hyperlink" Target="https://www.beunicoos.com/" TargetMode="External" Id="rId4554" /><Relationship Type="http://schemas.openxmlformats.org/officeDocument/2006/relationships/hyperlink" Target="https://drive.google.com/uc?export=view&amp;id=18WUxnxQhTvwoSwJxM54qKdNKxpNXkpnN" TargetMode="External" Id="rId4555" /><Relationship Type="http://schemas.openxmlformats.org/officeDocument/2006/relationships/hyperlink" Target="http://www.ethafa.com/" TargetMode="External" Id="rId4556" /><Relationship Type="http://schemas.openxmlformats.org/officeDocument/2006/relationships/hyperlink" Target="https://twitter.com/ethafakit" TargetMode="External" Id="rId4557" /><Relationship Type="http://schemas.openxmlformats.org/officeDocument/2006/relationships/hyperlink" Target="https://www.linkedin.com/company/38148290/admin/" TargetMode="External" Id="rId4558" /><Relationship Type="http://schemas.openxmlformats.org/officeDocument/2006/relationships/hyperlink" Target="https://drive.google.com/uc?export=view&amp;id=1j0ccBGU1Mc9rNJRSM3c_RMj5zsRK0IHW" TargetMode="External" Id="rId4559" /><Relationship Type="http://schemas.openxmlformats.org/officeDocument/2006/relationships/hyperlink" Target="https://www.eventful.se/" TargetMode="External" Id="rId4560" /><Relationship Type="http://schemas.openxmlformats.org/officeDocument/2006/relationships/hyperlink" Target="https://www.linkedin.com/company/eventful-ab" TargetMode="External" Id="rId4561" /><Relationship Type="http://schemas.openxmlformats.org/officeDocument/2006/relationships/hyperlink" Target="https://drive.google.com/uc?export=view&amp;id=1t8NOBcYHZUCax5OgnSJebxH_dI2l4Rbg" TargetMode="External" Id="rId4562" /><Relationship Type="http://schemas.openxmlformats.org/officeDocument/2006/relationships/hyperlink" Target="http://www.friendbase.com/" TargetMode="External" Id="rId4563" /><Relationship Type="http://schemas.openxmlformats.org/officeDocument/2006/relationships/hyperlink" Target="https://instagram.com/friendbase.official" TargetMode="External" Id="rId4564" /><Relationship Type="http://schemas.openxmlformats.org/officeDocument/2006/relationships/hyperlink" Target="https://www.linkedin.com/company/friendbase-ab/" TargetMode="External" Id="rId4565" /><Relationship Type="http://schemas.openxmlformats.org/officeDocument/2006/relationships/hyperlink" Target="https://drive.google.com/uc?export=view&amp;id=1EqWvpbJojOr4-HOabS10_go69bu4byuf" TargetMode="External" Id="rId4566" /><Relationship Type="http://schemas.openxmlformats.org/officeDocument/2006/relationships/hyperlink" Target="https://hackrocks.com/" TargetMode="External" Id="rId4567" /><Relationship Type="http://schemas.openxmlformats.org/officeDocument/2006/relationships/hyperlink" Target="https://drive.google.com/uc?export=view&amp;id=1lbCroNa_vVFrL638ElmpzH8V2-F4jNO1" TargetMode="External" Id="rId4568" /><Relationship Type="http://schemas.openxmlformats.org/officeDocument/2006/relationships/hyperlink" Target="http://www.ikurius.com/" TargetMode="External" Id="rId4569" /><Relationship Type="http://schemas.openxmlformats.org/officeDocument/2006/relationships/hyperlink" Target="https://drive.google.com/uc?export=view&amp;id=1UfVeizSejTh_Cz2yTKrkHbXsWu_t-kFD" TargetMode="External" Id="rId4570" /><Relationship Type="http://schemas.openxmlformats.org/officeDocument/2006/relationships/hyperlink" Target="https://www.inspera.com/" TargetMode="External" Id="rId4571" /><Relationship Type="http://schemas.openxmlformats.org/officeDocument/2006/relationships/hyperlink" Target="https://www.linkedin.com/company/inspera/mycompany/verification/" TargetMode="External" Id="rId4572" /><Relationship Type="http://schemas.openxmlformats.org/officeDocument/2006/relationships/hyperlink" Target="https://drive.google.com/uc?export=view&amp;id=12JBGKFla4CfMtQ6gahyPpeCVHcvUhI1n" TargetMode="External" Id="rId4573" /><Relationship Type="http://schemas.openxmlformats.org/officeDocument/2006/relationships/hyperlink" Target="https://www.intermatia.com/" TargetMode="External" Id="rId4574" /><Relationship Type="http://schemas.openxmlformats.org/officeDocument/2006/relationships/hyperlink" Target="https://drive.google.com/uc?export=view&amp;id=1jEkm6rbgbElk0RItewx0nqlYYbIVLWLI" TargetMode="External" Id="rId4575" /><Relationship Type="http://schemas.openxmlformats.org/officeDocument/2006/relationships/hyperlink" Target="http://www.jvsp.io/" TargetMode="External" Id="rId4576" /><Relationship Type="http://schemas.openxmlformats.org/officeDocument/2006/relationships/hyperlink" Target="https://drive.google.com/uc?export=view&amp;id=1D1XsV6F3U7A6J7aSzM9bXpRnXJ1MfyNJ" TargetMode="External" Id="rId4577" /><Relationship Type="http://schemas.openxmlformats.org/officeDocument/2006/relationships/hyperlink" Target="https://labsland.com/" TargetMode="External" Id="rId4578" /><Relationship Type="http://schemas.openxmlformats.org/officeDocument/2006/relationships/hyperlink" Target="https://drive.google.com/uc?export=view&amp;id=1pGYfGSnBWbO09DrPvqgNwxXSoRPjVGnB" TargetMode="External" Id="rId4579" /><Relationship Type="http://schemas.openxmlformats.org/officeDocument/2006/relationships/hyperlink" Target="http://learnetic.com/" TargetMode="External" Id="rId4580" /><Relationship Type="http://schemas.openxmlformats.org/officeDocument/2006/relationships/hyperlink" Target="https://www.linkedin.com/company/learnetic" TargetMode="External" Id="rId4581" /><Relationship Type="http://schemas.openxmlformats.org/officeDocument/2006/relationships/hyperlink" Target="https://drive.google.com/uc?export=view&amp;id=10-cWWf6p64z0dCc7L3Lq7nKABUZE85Io" TargetMode="External" Id="rId4582" /><Relationship Type="http://schemas.openxmlformats.org/officeDocument/2006/relationships/hyperlink" Target="https://www.leialtechnologies.com/" TargetMode="External" Id="rId4583" /><Relationship Type="http://schemas.openxmlformats.org/officeDocument/2006/relationships/hyperlink" Target="https://drive.google.com/uc?export=view&amp;id=1jXVc3cvQPrmw3c-hTXD68WYawMa_n6Bx" TargetMode="External" Id="rId4584" /><Relationship Type="http://schemas.openxmlformats.org/officeDocument/2006/relationships/hyperlink" Target="http://masquelearning.com/" TargetMode="External" Id="rId4585" /><Relationship Type="http://schemas.openxmlformats.org/officeDocument/2006/relationships/hyperlink" Target="https://www.instagram.com/masquelearning/?hl=es" TargetMode="External" Id="rId4586" /><Relationship Type="http://schemas.openxmlformats.org/officeDocument/2006/relationships/hyperlink" Target="https://twitter.com/MasQueLearning" TargetMode="External" Id="rId4587" /><Relationship Type="http://schemas.openxmlformats.org/officeDocument/2006/relationships/hyperlink" Target="https://es.linkedin.com/company/mqlplay" TargetMode="External" Id="rId4588" /><Relationship Type="http://schemas.openxmlformats.org/officeDocument/2006/relationships/hyperlink" Target="https://drive.google.com/uc?export=view&amp;id=1D7vaiwp4PWexcF_2EBUHmlqv54u8PMpH" TargetMode="External" Id="rId4589" /><Relationship Type="http://schemas.openxmlformats.org/officeDocument/2006/relationships/hyperlink" Target="https://quodus.ai/" TargetMode="External" Id="rId4590" /><Relationship Type="http://schemas.openxmlformats.org/officeDocument/2006/relationships/hyperlink" Target="https://drive.google.com/uc?export=view&amp;id=1Nij2ibAzNi8pUTJLIEzH953hcsVRMfn2" TargetMode="External" Id="rId4591" /><Relationship Type="http://schemas.openxmlformats.org/officeDocument/2006/relationships/hyperlink" Target="https://rbean.io/" TargetMode="External" Id="rId4592" /><Relationship Type="http://schemas.openxmlformats.org/officeDocument/2006/relationships/hyperlink" Target="https://www.linkedin.com/company/30967711/" TargetMode="External" Id="rId4593" /><Relationship Type="http://schemas.openxmlformats.org/officeDocument/2006/relationships/hyperlink" Target="https://drive.google.com/uc?export=view&amp;id=1tFTIKiXgS7IteYSGw21rFR2mHqdgXn-n" TargetMode="External" Id="rId4594" /><Relationship Type="http://schemas.openxmlformats.org/officeDocument/2006/relationships/hyperlink" Target="https://reconcept.nl/" TargetMode="External" Id="rId4595" /><Relationship Type="http://schemas.openxmlformats.org/officeDocument/2006/relationships/hyperlink" Target="https://www.linkedin.com/company/reconcept-it" TargetMode="External" Id="rId4596" /><Relationship Type="http://schemas.openxmlformats.org/officeDocument/2006/relationships/hyperlink" Target="https://drive.google.com/uc?export=view&amp;id=1-QdWXem9dKa6dhy9DV2Ra8cDMGiDBzT4" TargetMode="External" Id="rId4597" /><Relationship Type="http://schemas.openxmlformats.org/officeDocument/2006/relationships/hyperlink" Target="https://robokidsrobotica.com/" TargetMode="External" Id="rId4598" /><Relationship Type="http://schemas.openxmlformats.org/officeDocument/2006/relationships/hyperlink" Target="https://drive.google.com/uc?export=view&amp;id=1l8Lpxo4xv8-MEcnjJ6F6ZsSk2lRevtCH" TargetMode="External" Id="rId4599" /><Relationship Type="http://schemas.openxmlformats.org/officeDocument/2006/relationships/hyperlink" Target="https://royalschedule.com/" TargetMode="External" Id="rId4600" /><Relationship Type="http://schemas.openxmlformats.org/officeDocument/2006/relationships/hyperlink" Target="https://www.linkedin.com/company/royalschedule" TargetMode="External" Id="rId4601" /><Relationship Type="http://schemas.openxmlformats.org/officeDocument/2006/relationships/hyperlink" Target="https://drive.google.com/uc?export=view&amp;id=1whNpUOMWu7fdOFaS_lOl8JeOV66igEMr" TargetMode="External" Id="rId4602" /><Relationship Type="http://schemas.openxmlformats.org/officeDocument/2006/relationships/hyperlink" Target="https://www.spacetechies.com/" TargetMode="External" Id="rId4603" /><Relationship Type="http://schemas.openxmlformats.org/officeDocument/2006/relationships/hyperlink" Target="https://drive.google.com/uc?export=view&amp;id=1ON1eu7XSyuNfHhKcmFhjZZr1JE5nxSGf" TargetMode="External" Id="rId4604" /><Relationship Type="http://schemas.openxmlformats.org/officeDocument/2006/relationships/hyperlink" Target="https://www.spuernasenecke.com/" TargetMode="External" Id="rId4605" /><Relationship Type="http://schemas.openxmlformats.org/officeDocument/2006/relationships/hyperlink" Target="http://www.untis.at/" TargetMode="External" Id="rId4606" /><Relationship Type="http://schemas.openxmlformats.org/officeDocument/2006/relationships/hyperlink" Target="https://drive.google.com/uc?export=view&amp;id=1tTgCwOtIBd-WISdDO0cFGJ-sdhIC5FK7" TargetMode="External" Id="rId4607" /><Relationship Type="http://schemas.openxmlformats.org/officeDocument/2006/relationships/hyperlink" Target="https://www.judicia.app/" TargetMode="External" Id="rId4608" /><Relationship Type="http://schemas.openxmlformats.org/officeDocument/2006/relationships/hyperlink" Target="https://drive.google.com/uc?export=view&amp;id=1OobHUoE1398omjrJuU_Jjy2mxrcb_GAA" TargetMode="External" Id="rId4609" /><Relationship Type="http://schemas.openxmlformats.org/officeDocument/2006/relationships/hyperlink" Target="https://www.7speaking.com/" TargetMode="External" Id="rId4610" /><Relationship Type="http://schemas.openxmlformats.org/officeDocument/2006/relationships/hyperlink" Target="https://drive.google.com/uc?export=view&amp;id=1NHaUxnWKf23_Y2ZK_TjavMimWylrYNmv" TargetMode="External" Id="rId4611" /><Relationship Type="http://schemas.openxmlformats.org/officeDocument/2006/relationships/hyperlink" Target="https://colori.education/" TargetMode="External" Id="rId4612" /><Relationship Type="http://schemas.openxmlformats.org/officeDocument/2006/relationships/hyperlink" Target="https://www.instagram.com/colori.officiel/" TargetMode="External" Id="rId4613" /><Relationship Type="http://schemas.openxmlformats.org/officeDocument/2006/relationships/hyperlink" Target="https://twitter.com/COLORIeducation" TargetMode="External" Id="rId4614" /><Relationship Type="http://schemas.openxmlformats.org/officeDocument/2006/relationships/hyperlink" Target="https://www.linkedin.com/company/colori-montessori" TargetMode="External" Id="rId4615" /><Relationship Type="http://schemas.openxmlformats.org/officeDocument/2006/relationships/hyperlink" Target="https://drive.google.com/uc?export=view&amp;id=1b7XVmp7dwOIwtZwFFqOBbnGrm1bkPF4D" TargetMode="External" Id="rId4616" /><Relationship Type="http://schemas.openxmlformats.org/officeDocument/2006/relationships/hyperlink" Target="https://evaluo.eu/" TargetMode="External" Id="rId4617" /><Relationship Type="http://schemas.openxmlformats.org/officeDocument/2006/relationships/hyperlink" Target="https://twitter.com/evaluo20" TargetMode="External" Id="rId4618" /><Relationship Type="http://schemas.openxmlformats.org/officeDocument/2006/relationships/hyperlink" Target="https://www.linkedin.com/company/e-valuo/?viewAsMember=true" TargetMode="External" Id="rId4619" /><Relationship Type="http://schemas.openxmlformats.org/officeDocument/2006/relationships/hyperlink" Target="https://drive.google.com/uc?export=view&amp;id=14Ba0fXAI1cuNvOLDuQ_FShFSG1YeO6zR" TargetMode="External" Id="rId4620" /><Relationship Type="http://schemas.openxmlformats.org/officeDocument/2006/relationships/hyperlink" Target="http://impala.in/" TargetMode="External" Id="rId4621" /><Relationship Type="http://schemas.openxmlformats.org/officeDocument/2006/relationships/hyperlink" Target="https://twitter.com/ImpalaEdu" TargetMode="External" Id="rId4622" /><Relationship Type="http://schemas.openxmlformats.org/officeDocument/2006/relationships/hyperlink" Target="https://www.linkedin.com/company/10779330/" TargetMode="External" Id="rId4623" /><Relationship Type="http://schemas.openxmlformats.org/officeDocument/2006/relationships/hyperlink" Target="https://drive.google.com/uc?export=view&amp;id=1yE96NIiFdV0L9XjQ05QgNUQGTPd-wZyJ" TargetMode="External" Id="rId4624" /><Relationship Type="http://schemas.openxmlformats.org/officeDocument/2006/relationships/hyperlink" Target="https://kirae.io/" TargetMode="External" Id="rId4625" /><Relationship Type="http://schemas.openxmlformats.org/officeDocument/2006/relationships/hyperlink" Target="https://www.instagram.com/kirae.learning/" TargetMode="External" Id="rId4626" /><Relationship Type="http://schemas.openxmlformats.org/officeDocument/2006/relationships/hyperlink" Target="https://twitter.com/kiraelearning" TargetMode="External" Id="rId4627" /><Relationship Type="http://schemas.openxmlformats.org/officeDocument/2006/relationships/hyperlink" Target="https://www.linkedin.com/company/kirae/" TargetMode="External" Id="rId4628" /><Relationship Type="http://schemas.openxmlformats.org/officeDocument/2006/relationships/hyperlink" Target="https://drive.google.com/uc?export=view&amp;id=1bsx5yJvwRECNfXqdsZiocslTVHdYJ9yr" TargetMode="External" Id="rId4629" /><Relationship Type="http://schemas.openxmlformats.org/officeDocument/2006/relationships/hyperlink" Target="https://kokorolingua.com/" TargetMode="External" Id="rId4630" /><Relationship Type="http://schemas.openxmlformats.org/officeDocument/2006/relationships/hyperlink" Target="https://www.instagram.com/kokorolingua/" TargetMode="External" Id="rId4631" /><Relationship Type="http://schemas.openxmlformats.org/officeDocument/2006/relationships/hyperlink" Target="https://twitter.com/kokoro_lingua" TargetMode="External" Id="rId4632" /><Relationship Type="http://schemas.openxmlformats.org/officeDocument/2006/relationships/hyperlink" Target="https://www.linkedin.com/company/18446476/" TargetMode="External" Id="rId4633" /><Relationship Type="http://schemas.openxmlformats.org/officeDocument/2006/relationships/hyperlink" Target="https://drive.google.com/uc?export=view&amp;id=1XxNXGt-hAyt3oUc1YliLBIKxWi5q2kEl" TargetMode="External" Id="rId4634" /><Relationship Type="http://schemas.openxmlformats.org/officeDocument/2006/relationships/hyperlink" Target="http://myracle.io/" TargetMode="External" Id="rId4635" /><Relationship Type="http://schemas.openxmlformats.org/officeDocument/2006/relationships/hyperlink" Target="https://myracle.io/" TargetMode="External" Id="rId4636" /><Relationship Type="http://schemas.openxmlformats.org/officeDocument/2006/relationships/hyperlink" Target="https://drive.google.com/uc?export=view&amp;id=1K91tzrcCUGRzk61bkCztQqhMIlKjmNiT" TargetMode="External" Id="rId4637" /><Relationship Type="http://schemas.openxmlformats.org/officeDocument/2006/relationships/hyperlink" Target="http://www.ipesland.com/" TargetMode="External" Id="rId4638" /><Relationship Type="http://schemas.openxmlformats.org/officeDocument/2006/relationships/hyperlink" Target="https://drive.google.com/uc?export=view&amp;id=1_LHB4kmfWswxuwLURNe2O4US1JyMmNEr" TargetMode="External" Id="rId4639" /><Relationship Type="http://schemas.openxmlformats.org/officeDocument/2006/relationships/hyperlink" Target="http://www.kharty.com/" TargetMode="External" Id="rId4640" /><Relationship Type="http://schemas.openxmlformats.org/officeDocument/2006/relationships/hyperlink" Target="https://www.linkedin.com/company/kharty" TargetMode="External" Id="rId4641" /><Relationship Type="http://schemas.openxmlformats.org/officeDocument/2006/relationships/hyperlink" Target="https://drive.google.com/uc?export=view&amp;id=1KNKPweaMO0jPR7UpNasVC6kXyYRq2qaK" TargetMode="External" Id="rId4642" /><Relationship Type="http://schemas.openxmlformats.org/officeDocument/2006/relationships/hyperlink" Target="http://www.learnenjoy.com/" TargetMode="External" Id="rId4643" /><Relationship Type="http://schemas.openxmlformats.org/officeDocument/2006/relationships/hyperlink" Target="https://twitter.com/learnenjoy" TargetMode="External" Id="rId4644" /><Relationship Type="http://schemas.openxmlformats.org/officeDocument/2006/relationships/hyperlink" Target="https://www.linkedin.com/company/learnenjoy/mycompany/" TargetMode="External" Id="rId4645" /><Relationship Type="http://schemas.openxmlformats.org/officeDocument/2006/relationships/hyperlink" Target="https://drive.google.com/uc?export=view&amp;id=1lbQk3vPTUH5MT1DgN1OpgR5RetNEKAFz" TargetMode="External" Id="rId4646" /><Relationship Type="http://schemas.openxmlformats.org/officeDocument/2006/relationships/hyperlink" Target="https://opendigitaleducation.com/index.php?lang=en" TargetMode="External" Id="rId4647" /><Relationship Type="http://schemas.openxmlformats.org/officeDocument/2006/relationships/hyperlink" Target="https://twitter.com/OpenDigitEduc" TargetMode="External" Id="rId4648" /><Relationship Type="http://schemas.openxmlformats.org/officeDocument/2006/relationships/hyperlink" Target="https://fr.linkedin.com/company/open-digital-education" TargetMode="External" Id="rId4649" /><Relationship Type="http://schemas.openxmlformats.org/officeDocument/2006/relationships/hyperlink" Target="https://drive.google.com/uc?export=view&amp;id=1v-6iY4N9DA3hgoR68othaWTvbHHaMkTd" TargetMode="External" Id="rId4650" /><Relationship Type="http://schemas.openxmlformats.org/officeDocument/2006/relationships/hyperlink" Target="https://rapidmooc.com/" TargetMode="External" Id="rId4651" /><Relationship Type="http://schemas.openxmlformats.org/officeDocument/2006/relationships/hyperlink" Target="https://twitter.com/rapidmooc" TargetMode="External" Id="rId4652" /><Relationship Type="http://schemas.openxmlformats.org/officeDocument/2006/relationships/hyperlink" Target="https://www.linkedin.com/company/rapidmooc/" TargetMode="External" Id="rId4653" /><Relationship Type="http://schemas.openxmlformats.org/officeDocument/2006/relationships/hyperlink" Target="https://drive.google.com/uc?export=view&amp;id=1kZeQu4tt7k_ZJiH40UHm5QmTgaLwisVR" TargetMode="External" Id="rId4654" /><Relationship Type="http://schemas.openxmlformats.org/officeDocument/2006/relationships/hyperlink" Target="https://unigow.com/" TargetMode="External" Id="rId4655" /><Relationship Type="http://schemas.openxmlformats.org/officeDocument/2006/relationships/hyperlink" Target="https://drive.google.com/uc?export=view&amp;id=1GT65GYanEK3HhnNv33ZzqP1GPpZidMgd" TargetMode="External" Id="rId4656" /><Relationship Type="http://schemas.openxmlformats.org/officeDocument/2006/relationships/hyperlink" Target="http://8bitcade.com/" TargetMode="External" Id="rId4657" /><Relationship Type="http://schemas.openxmlformats.org/officeDocument/2006/relationships/hyperlink" Target="https://drive.google.com/uc?export=view&amp;id=14PMhKKlBCnoendBakvE4Szwkjylmz5qj" TargetMode="External" Id="rId4658" /><Relationship Type="http://schemas.openxmlformats.org/officeDocument/2006/relationships/hyperlink" Target="https://apolearn.com/" TargetMode="External" Id="rId4659" /><Relationship Type="http://schemas.openxmlformats.org/officeDocument/2006/relationships/hyperlink" Target="https://twitter.com/apolearn" TargetMode="External" Id="rId4660" /><Relationship Type="http://schemas.openxmlformats.org/officeDocument/2006/relationships/hyperlink" Target="https://www.linkedin.com/company/apolearn" TargetMode="External" Id="rId4661" /><Relationship Type="http://schemas.openxmlformats.org/officeDocument/2006/relationships/hyperlink" Target="https://drive.google.com/uc?export=view&amp;id=13xT1Ii3usn9h_dHWUs7-6Zbm7EJzBnJL" TargetMode="External" Id="rId4662" /><Relationship Type="http://schemas.openxmlformats.org/officeDocument/2006/relationships/hyperlink" Target="https://artivive.com/" TargetMode="External" Id="rId4663" /><Relationship Type="http://schemas.openxmlformats.org/officeDocument/2006/relationships/hyperlink" Target="https://www.instagram.com/artiviveapp/" TargetMode="External" Id="rId4664" /><Relationship Type="http://schemas.openxmlformats.org/officeDocument/2006/relationships/hyperlink" Target="https://twitter.com/ArtiviveApp" TargetMode="External" Id="rId4665" /><Relationship Type="http://schemas.openxmlformats.org/officeDocument/2006/relationships/hyperlink" Target="https://www.linkedin.com/company/artivive/" TargetMode="External" Id="rId4666" /><Relationship Type="http://schemas.openxmlformats.org/officeDocument/2006/relationships/hyperlink" Target="https://drive.google.com/uc?export=view&amp;id=1_-TdzL8HNcwYMRN8js9pXwwbfBa8sxXH" TargetMode="External" Id="rId4667" /><Relationship Type="http://schemas.openxmlformats.org/officeDocument/2006/relationships/hyperlink" Target="https://beekee.ch/" TargetMode="External" Id="rId4668" /><Relationship Type="http://schemas.openxmlformats.org/officeDocument/2006/relationships/hyperlink" Target="https://twitter.com/beekee_ch" TargetMode="External" Id="rId4669" /><Relationship Type="http://schemas.openxmlformats.org/officeDocument/2006/relationships/hyperlink" Target="https://www.linkedin.com/company/beekee/" TargetMode="External" Id="rId4670" /><Relationship Type="http://schemas.openxmlformats.org/officeDocument/2006/relationships/hyperlink" Target="https://drive.google.com/uc?export=view&amp;id=1ZfxM41Op9Ykoa9z2v1uPL3Y7bLyQI839" TargetMode="External" Id="rId4671" /><Relationship Type="http://schemas.openxmlformats.org/officeDocument/2006/relationships/hyperlink" Target="https://calerga.com/" TargetMode="External" Id="rId4672" /><Relationship Type="http://schemas.openxmlformats.org/officeDocument/2006/relationships/hyperlink" Target="https://drive.google.com/uc?export=view&amp;id=1_5X_I5RCltPHZ5-iFP1HKKVSA3NWQ3He" TargetMode="External" Id="rId4673" /><Relationship Type="http://schemas.openxmlformats.org/officeDocument/2006/relationships/hyperlink" Target="https://www.doubleyoukids.com/" TargetMode="External" Id="rId4674" /><Relationship Type="http://schemas.openxmlformats.org/officeDocument/2006/relationships/hyperlink" Target="https://twitter.com/DoubleyouKids" TargetMode="External" Id="rId4675" /><Relationship Type="http://schemas.openxmlformats.org/officeDocument/2006/relationships/hyperlink" Target="https://www.linkedin.com/company/doubleyoukids/" TargetMode="External" Id="rId4676" /><Relationship Type="http://schemas.openxmlformats.org/officeDocument/2006/relationships/hyperlink" Target="https://drive.google.com/uc?export=view&amp;id=1lx8pg1yp2BYUVOxzrIW2AgMAPn3TUTqQ" TargetMode="External" Id="rId4677" /><Relationship Type="http://schemas.openxmlformats.org/officeDocument/2006/relationships/hyperlink" Target="http://www.edufactory.com/" TargetMode="External" Id="rId4678" /><Relationship Type="http://schemas.openxmlformats.org/officeDocument/2006/relationships/hyperlink" Target="https://www.instagram.com/_edufactory/?hl=fr" TargetMode="External" Id="rId4679" /><Relationship Type="http://schemas.openxmlformats.org/officeDocument/2006/relationships/hyperlink" Target="https://twitter.com/_edufactory" TargetMode="External" Id="rId4680" /><Relationship Type="http://schemas.openxmlformats.org/officeDocument/2006/relationships/hyperlink" Target="https://www.linkedin.com/company/edufactory" TargetMode="External" Id="rId4681" /><Relationship Type="http://schemas.openxmlformats.org/officeDocument/2006/relationships/hyperlink" Target="https://drive.google.com/uc?export=view&amp;id=1Cf92a3a8jsgjm5jq7fx2liJwKsWzXxB6" TargetMode="External" Id="rId4682" /><Relationship Type="http://schemas.openxmlformats.org/officeDocument/2006/relationships/hyperlink" Target="http://www.fifty.do/" TargetMode="External" Id="rId4683" /><Relationship Type="http://schemas.openxmlformats.org/officeDocument/2006/relationships/hyperlink" Target="https://www.linkedin.com/company/fifty-edoing/" TargetMode="External" Id="rId4684" /><Relationship Type="http://schemas.openxmlformats.org/officeDocument/2006/relationships/hyperlink" Target="https://drive.google.com/uc?export=view&amp;id=1x2IVAax4UqTXsiajtvTJ-3jSJo-euwEp" TargetMode="External" Id="rId4685" /><Relationship Type="http://schemas.openxmlformats.org/officeDocument/2006/relationships/hyperlink" Target="https://hellorse.fr/" TargetMode="External" Id="rId4686" /><Relationship Type="http://schemas.openxmlformats.org/officeDocument/2006/relationships/hyperlink" Target="https://www.linkedin.com/company/hellorse/mycompany/?viewAsMember=true" TargetMode="External" Id="rId4687" /><Relationship Type="http://schemas.openxmlformats.org/officeDocument/2006/relationships/hyperlink" Target="https://drive.google.com/uc?export=view&amp;id=1w_aq8VOojnCK8o31ME7BdTHvAnoaEHuN" TargetMode="External" Id="rId4688" /><Relationship Type="http://schemas.openxmlformats.org/officeDocument/2006/relationships/hyperlink" Target="http://www.iamprogrez.com/" TargetMode="External" Id="rId4689" /><Relationship Type="http://schemas.openxmlformats.org/officeDocument/2006/relationships/hyperlink" Target="https://twitter.com/IamProgrez" TargetMode="External" Id="rId4690" /><Relationship Type="http://schemas.openxmlformats.org/officeDocument/2006/relationships/hyperlink" Target="https://www.linkedin.com/company/5102576/admin/" TargetMode="External" Id="rId4691" /><Relationship Type="http://schemas.openxmlformats.org/officeDocument/2006/relationships/hyperlink" Target="https://drive.google.com/uc?export=view&amp;id=1us57gsY4-z0ACSO2K_jYut24iok0oeFi" TargetMode="External" Id="rId4692" /><Relationship Type="http://schemas.openxmlformats.org/officeDocument/2006/relationships/hyperlink" Target="https://www.isicrunch.com/" TargetMode="External" Id="rId4693" /><Relationship Type="http://schemas.openxmlformats.org/officeDocument/2006/relationships/hyperlink" Target="https://twitter.com/ISIcrunch" TargetMode="External" Id="rId4694" /><Relationship Type="http://schemas.openxmlformats.org/officeDocument/2006/relationships/hyperlink" Target="https://www.linkedin.com/in/vincentwartelle/" TargetMode="External" Id="rId4695" /><Relationship Type="http://schemas.openxmlformats.org/officeDocument/2006/relationships/hyperlink" Target="https://drive.google.com/uc?export=view&amp;id=1sfm4HtYWhkhcaNfO0Z8NjUlFSnGP1XDO" TargetMode="External" Id="rId4696" /><Relationship Type="http://schemas.openxmlformats.org/officeDocument/2006/relationships/hyperlink" Target="https://www.learning-boost.com/" TargetMode="External" Id="rId4697" /><Relationship Type="http://schemas.openxmlformats.org/officeDocument/2006/relationships/hyperlink" Target="https://twitter.com/Learning_Boost" TargetMode="External" Id="rId4698" /><Relationship Type="http://schemas.openxmlformats.org/officeDocument/2006/relationships/hyperlink" Target="https://www.linkedin.com/showcase/learningboost/" TargetMode="External" Id="rId4699" /><Relationship Type="http://schemas.openxmlformats.org/officeDocument/2006/relationships/hyperlink" Target="https://drive.google.com/uc?export=view&amp;id=1LynT39ezg8vDMQvCO437rPsI3Z8SWH3V" TargetMode="External" Id="rId4700" /><Relationship Type="http://schemas.openxmlformats.org/officeDocument/2006/relationships/hyperlink" Target="https://www.lynxeducate.com/" TargetMode="External" Id="rId4701" /><Relationship Type="http://schemas.openxmlformats.org/officeDocument/2006/relationships/hyperlink" Target="https://www.instagram.com/lynxeducate/" TargetMode="External" Id="rId4702" /><Relationship Type="http://schemas.openxmlformats.org/officeDocument/2006/relationships/hyperlink" Target="https://twitter.com/LynxEducate" TargetMode="External" Id="rId4703" /><Relationship Type="http://schemas.openxmlformats.org/officeDocument/2006/relationships/hyperlink" Target="https://www.linkedin.com/company/lynxeducate/" TargetMode="External" Id="rId4704" /><Relationship Type="http://schemas.openxmlformats.org/officeDocument/2006/relationships/hyperlink" Target="https://drive.google.com/uc?export=view&amp;id=1wU9PXCp2dSGAEvNRIuWTFQU7x8xnA32K" TargetMode="External" Id="rId4705" /><Relationship Type="http://schemas.openxmlformats.org/officeDocument/2006/relationships/hyperlink" Target="http://mokosi.lt/" TargetMode="External" Id="rId4706" /><Relationship Type="http://schemas.openxmlformats.org/officeDocument/2006/relationships/hyperlink" Target="http://www.mokosi.lt/" TargetMode="External" Id="rId4707" /><Relationship Type="http://schemas.openxmlformats.org/officeDocument/2006/relationships/hyperlink" Target="https://www.instagram.com/mokosi.lt/" TargetMode="External" Id="rId4708" /><Relationship Type="http://schemas.openxmlformats.org/officeDocument/2006/relationships/hyperlink" Target="https://www.linkedin.com/search/results/all/?keywords=mokosi&amp;origin=RICH_QUERY_SUGGESTION&amp;position=0&amp;searchId=5d3a9742-42b3-415a-859d-77bcebf2982b&amp;sid=3K0" TargetMode="External" Id="rId4709" /><Relationship Type="http://schemas.openxmlformats.org/officeDocument/2006/relationships/hyperlink" Target="http://mokosi.lt/" TargetMode="External" Id="rId4710" /><Relationship Type="http://schemas.openxmlformats.org/officeDocument/2006/relationships/hyperlink" Target="https://drive.google.com/uc?export=view&amp;id=18an0fgPkiqoP-l5zPehiyE3TED94W9Wk" TargetMode="External" Id="rId4711" /><Relationship Type="http://schemas.openxmlformats.org/officeDocument/2006/relationships/hyperlink" Target="http://www.mygreentrainingbox.com/" TargetMode="External" Id="rId4712" /><Relationship Type="http://schemas.openxmlformats.org/officeDocument/2006/relationships/hyperlink" Target="https://drive.google.com/uc?export=view&amp;id=1IGNvwyYjuTQeDJDDkA9zqH8l3l95Jv69" TargetMode="External" Id="rId4713" /><Relationship Type="http://schemas.openxmlformats.org/officeDocument/2006/relationships/hyperlink" Target="http://www.neocosmo.de/" TargetMode="External" Id="rId4714" /><Relationship Type="http://schemas.openxmlformats.org/officeDocument/2006/relationships/hyperlink" Target="https://mobile.twitter.com/neocosmo_" TargetMode="External" Id="rId4715" /><Relationship Type="http://schemas.openxmlformats.org/officeDocument/2006/relationships/hyperlink" Target="https://www.linkedin.com/company/neocosmo" TargetMode="External" Id="rId4716" /><Relationship Type="http://schemas.openxmlformats.org/officeDocument/2006/relationships/hyperlink" Target="https://drive.google.com/uc?export=view&amp;id=1ATZrm0Rq2tmemNqG1-vOmPl-MBXbAi_u" TargetMode="External" Id="rId4717" /><Relationship Type="http://schemas.openxmlformats.org/officeDocument/2006/relationships/hyperlink" Target="http://www.pingpong.se/" TargetMode="External" Id="rId4718" /><Relationship Type="http://schemas.openxmlformats.org/officeDocument/2006/relationships/hyperlink" Target="https://www.linkedin.com/company/ping-pong-ab/" TargetMode="External" Id="rId4719" /><Relationship Type="http://schemas.openxmlformats.org/officeDocument/2006/relationships/hyperlink" Target="https://drive.google.com/uc?export=view&amp;id=1rIezXc_54H737IYf4NlvTIyg_lNk1bWo" TargetMode="External" Id="rId4720" /><Relationship Type="http://schemas.openxmlformats.org/officeDocument/2006/relationships/hyperlink" Target="http://www.plume-app.co/" TargetMode="External" Id="rId4721" /><Relationship Type="http://schemas.openxmlformats.org/officeDocument/2006/relationships/hyperlink" Target="https://www.instagram.com/plume_app" TargetMode="External" Id="rId4722" /><Relationship Type="http://schemas.openxmlformats.org/officeDocument/2006/relationships/hyperlink" Target="https://twitter.com/plume_app" TargetMode="External" Id="rId4723" /><Relationship Type="http://schemas.openxmlformats.org/officeDocument/2006/relationships/hyperlink" Target="https://www.linkedin.com/company/plume-app" TargetMode="External" Id="rId4724" /><Relationship Type="http://schemas.openxmlformats.org/officeDocument/2006/relationships/hyperlink" Target="https://drive.google.com/uc?export=view&amp;id=184wKg7zOcr7rU8Qkuu3VM2bqyXDhKln2" TargetMode="External" Id="rId4725" /><Relationship Type="http://schemas.openxmlformats.org/officeDocument/2006/relationships/hyperlink" Target="about:blank" TargetMode="External" Id="rId4726" /><Relationship Type="http://schemas.openxmlformats.org/officeDocument/2006/relationships/hyperlink" Target="https://www.instagram.com/powerz.official/" TargetMode="External" Id="rId4727" /><Relationship Type="http://schemas.openxmlformats.org/officeDocument/2006/relationships/hyperlink" Target="https://twitter.com/PowerZ_official" TargetMode="External" Id="rId4728" /><Relationship Type="http://schemas.openxmlformats.org/officeDocument/2006/relationships/hyperlink" Target="https://www.linkedin.com/company/powerz/" TargetMode="External" Id="rId4729" /><Relationship Type="http://schemas.openxmlformats.org/officeDocument/2006/relationships/hyperlink" Target="https://drive.google.com/uc?export=view&amp;id=12hGQ7P-tEKOt3HPdZLVGyJ8dpkn0WXsa" TargetMode="External" Id="rId4730" /><Relationship Type="http://schemas.openxmlformats.org/officeDocument/2006/relationships/hyperlink" Target="http://www.reflectus.eu/" TargetMode="External" Id="rId4731" /><Relationship Type="http://schemas.openxmlformats.org/officeDocument/2006/relationships/hyperlink" Target="https://www.instagram.com/reflectus.lt/" TargetMode="External" Id="rId4732" /><Relationship Type="http://schemas.openxmlformats.org/officeDocument/2006/relationships/hyperlink" Target="https://www.linkedin.com/company/reflectus-lt/" TargetMode="External" Id="rId4733" /><Relationship Type="http://schemas.openxmlformats.org/officeDocument/2006/relationships/hyperlink" Target="https://drive.google.com/uc?export=view&amp;id=1t-1eurjLCjufBLFY9VGynI07XlYWkJRZ" TargetMode="External" Id="rId4734" /><Relationship Type="http://schemas.openxmlformats.org/officeDocument/2006/relationships/hyperlink" Target="https://sproof.io/" TargetMode="External" Id="rId4735" /><Relationship Type="http://schemas.openxmlformats.org/officeDocument/2006/relationships/hyperlink" Target="http://www.linkedin.com/company/sproof" TargetMode="External" Id="rId4736" /><Relationship Type="http://schemas.openxmlformats.org/officeDocument/2006/relationships/hyperlink" Target="https://drive.google.com/uc?export=view&amp;id=1UOop4R32NgNdfohuWNkiWTrjzmCwUZGw" TargetMode="External" Id="rId4737" /><Relationship Type="http://schemas.openxmlformats.org/officeDocument/2006/relationships/hyperlink" Target="http://traindy.io/" TargetMode="External" Id="rId4738" /><Relationship Type="http://schemas.openxmlformats.org/officeDocument/2006/relationships/hyperlink" Target="https://drive.google.com/uc?export=view&amp;id=1-UNejTA3R8cJvZCBIvrxqsYC7QJhg4HK" TargetMode="External" Id="rId4739" /><Relationship Type="http://schemas.openxmlformats.org/officeDocument/2006/relationships/hyperlink" Target="https://www.tridan.tech/" TargetMode="External" Id="rId4740" /><Relationship Type="http://schemas.openxmlformats.org/officeDocument/2006/relationships/hyperlink" Target="https://twitter.com/tridan_test" TargetMode="External" Id="rId4741" /><Relationship Type="http://schemas.openxmlformats.org/officeDocument/2006/relationships/hyperlink" Target="https://www.linkedin.com/company/tridan-test" TargetMode="External" Id="rId4742" /><Relationship Type="http://schemas.openxmlformats.org/officeDocument/2006/relationships/hyperlink" Target="https://drive.google.com/uc?export=view&amp;id=1qb7HZ-a9t40qD5db8d2_SVHIbizLNJup" TargetMode="External" Id="rId4743" /><Relationship Type="http://schemas.openxmlformats.org/officeDocument/2006/relationships/hyperlink" Target="https://vextur.com/" TargetMode="External" Id="rId4744" /><Relationship Type="http://schemas.openxmlformats.org/officeDocument/2006/relationships/hyperlink" Target="https://www.linkedin.com/company/vextur" TargetMode="External" Id="rId4745" /><Relationship Type="http://schemas.openxmlformats.org/officeDocument/2006/relationships/hyperlink" Target="https://drive.google.com/uc?export=view&amp;id=1KTmjupBPRQ4o4Wue9gd9kPBAus666k-m" TargetMode="External" Id="rId4746" /><Relationship Type="http://schemas.openxmlformats.org/officeDocument/2006/relationships/hyperlink" Target="https://www.alumnforce.com/" TargetMode="External" Id="rId4747" /><Relationship Type="http://schemas.openxmlformats.org/officeDocument/2006/relationships/hyperlink" Target="https://twitter.com/AlumnForce" TargetMode="External" Id="rId4748" /><Relationship Type="http://schemas.openxmlformats.org/officeDocument/2006/relationships/hyperlink" Target="https://www.linkedin.com/company/alumnforce-alumni-success-platform/" TargetMode="External" Id="rId4749" /><Relationship Type="http://schemas.openxmlformats.org/officeDocument/2006/relationships/hyperlink" Target="https://drive.google.com/uc?export=view&amp;id=1IBGpek4F-8bPP3TbN8NTTeEuDNuLZ0KE" TargetMode="External" Id="rId4750" /><Relationship Type="http://schemas.openxmlformats.org/officeDocument/2006/relationships/hyperlink" Target="http://www.appscapes.com/" TargetMode="External" Id="rId4751" /><Relationship Type="http://schemas.openxmlformats.org/officeDocument/2006/relationships/hyperlink" Target="https://drive.google.com/uc?export=view&amp;id=1jq3TfUnlbKQQ_62vXpvGFO7cD_O0qkOw" TargetMode="External" Id="rId4752" /><Relationship Type="http://schemas.openxmlformats.org/officeDocument/2006/relationships/hyperlink" Target="https://areeka.net/" TargetMode="External" Id="rId4753" /><Relationship Type="http://schemas.openxmlformats.org/officeDocument/2006/relationships/hyperlink" Target="https://drive.google.com/uc?export=view&amp;id=1e3FvGcHIv9khtbOKZDb4kOBpw4AcO_lr" TargetMode="External" Id="rId4754" /><Relationship Type="http://schemas.openxmlformats.org/officeDocument/2006/relationships/hyperlink" Target="https://areneducation.com/en/" TargetMode="External" Id="rId4755" /><Relationship Type="http://schemas.openxmlformats.org/officeDocument/2006/relationships/hyperlink" Target="https://www.linkedin.com/company/36144549/admin/feed/posts/" TargetMode="External" Id="rId4756" /><Relationship Type="http://schemas.openxmlformats.org/officeDocument/2006/relationships/hyperlink" Target="https://drive.google.com/uc?export=view&amp;id=1FNV-tXlhxHr375OgON_e9NsZmHSzXf7T" TargetMode="External" Id="rId4757" /><Relationship Type="http://schemas.openxmlformats.org/officeDocument/2006/relationships/hyperlink" Target="http://www.asbpublishing.com/" TargetMode="External" Id="rId4758" /><Relationship Type="http://schemas.openxmlformats.org/officeDocument/2006/relationships/hyperlink" Target="https://drive.google.com/uc?export=view&amp;id=1WeC4JVjBzZs-QTbEVlTn5bEQat-WEFQH" TargetMode="External" Id="rId4759" /><Relationship Type="http://schemas.openxmlformats.org/officeDocument/2006/relationships/hyperlink" Target="https://balio.app/" TargetMode="External" Id="rId4760" /><Relationship Type="http://schemas.openxmlformats.org/officeDocument/2006/relationships/hyperlink" Target="https://www.instagram.com/balioapp/" TargetMode="External" Id="rId4761" /><Relationship Type="http://schemas.openxmlformats.org/officeDocument/2006/relationships/hyperlink" Target="https://twitter.com/Balio" TargetMode="External" Id="rId4762" /><Relationship Type="http://schemas.openxmlformats.org/officeDocument/2006/relationships/hyperlink" Target="https://www.linkedin.com/company/balio" TargetMode="External" Id="rId4763" /><Relationship Type="http://schemas.openxmlformats.org/officeDocument/2006/relationships/hyperlink" Target="https://drive.google.com/uc?export=view&amp;id=1OsQikp6yK5hKG8chxyaL2blyiMqfyU_e" TargetMode="External" Id="rId4764" /><Relationship Type="http://schemas.openxmlformats.org/officeDocument/2006/relationships/hyperlink" Target="https://bitmark-association.org/" TargetMode="External" Id="rId4765" /><Relationship Type="http://schemas.openxmlformats.org/officeDocument/2006/relationships/hyperlink" Target="https://twitter.com/bitmarkstandard" TargetMode="External" Id="rId4766" /><Relationship Type="http://schemas.openxmlformats.org/officeDocument/2006/relationships/hyperlink" Target="https://www.linkedin.com/company/bitmark-association" TargetMode="External" Id="rId4767" /><Relationship Type="http://schemas.openxmlformats.org/officeDocument/2006/relationships/hyperlink" Target="https://drive.google.com/uc?export=view&amp;id=1UPRJH_FA9-7pmBTmX5ZqzGNhjvnB4PwC" TargetMode="External" Id="rId4768" /><Relationship Type="http://schemas.openxmlformats.org/officeDocument/2006/relationships/hyperlink" Target="http://www.bluefrogrobotics.com/" TargetMode="External" Id="rId4769" /><Relationship Type="http://schemas.openxmlformats.org/officeDocument/2006/relationships/hyperlink" Target="https://www.linkedin.com/company/bluefrogrobotics" TargetMode="External" Id="rId4770" /><Relationship Type="http://schemas.openxmlformats.org/officeDocument/2006/relationships/hyperlink" Target="https://drive.google.com/uc?export=view&amp;id=1Xx2VlMDxUvQFP6UnoWkOwU94zFq29uQF" TargetMode="External" Id="rId4771" /><Relationship Type="http://schemas.openxmlformats.org/officeDocument/2006/relationships/hyperlink" Target="https://www.catnclever.com/" TargetMode="External" Id="rId4772" /><Relationship Type="http://schemas.openxmlformats.org/officeDocument/2006/relationships/hyperlink" Target="https://drive.google.com/uc?export=view&amp;id=1c4JCwPFoK0AHTcC_qoTR4hC9pH9JuSe4" TargetMode="External" Id="rId4773" /><Relationship Type="http://schemas.openxmlformats.org/officeDocument/2006/relationships/hyperlink" Target="https://www.classninjas.com/" TargetMode="External" Id="rId4774" /><Relationship Type="http://schemas.openxmlformats.org/officeDocument/2006/relationships/hyperlink" Target="https://www.linkedin.com/company/classninjas/" TargetMode="External" Id="rId4775" /><Relationship Type="http://schemas.openxmlformats.org/officeDocument/2006/relationships/hyperlink" Target="https://drive.google.com/uc?export=view&amp;id=1qColL1Ml0T535yc1xwANJoJnsUXZ_RKF" TargetMode="External" Id="rId4776" /><Relationship Type="http://schemas.openxmlformats.org/officeDocument/2006/relationships/hyperlink" Target="http://www.crocosgodigital.com/" TargetMode="External" Id="rId4777" /><Relationship Type="http://schemas.openxmlformats.org/officeDocument/2006/relationships/hyperlink" Target="https://drive.google.com/uc?export=view&amp;id=1U9D7pPksCKxNCt4rVcObuAHPr1FwhqgV" TargetMode="External" Id="rId4778" /><Relationship Type="http://schemas.openxmlformats.org/officeDocument/2006/relationships/hyperlink" Target="http://www.materdoppiodiploma.it/" TargetMode="External" Id="rId4779" /><Relationship Type="http://schemas.openxmlformats.org/officeDocument/2006/relationships/hyperlink" Target="https://drive.google.com/uc?export=view&amp;id=1LlR2LOyAudD4-PexIkGLcnfH3sqGaZvA" TargetMode="External" Id="rId4780" /><Relationship Type="http://schemas.openxmlformats.org/officeDocument/2006/relationships/hyperlink" Target="http://www.docendum.it/" TargetMode="External" Id="rId4781" /><Relationship Type="http://schemas.openxmlformats.org/officeDocument/2006/relationships/hyperlink" Target="https://www.instagram.com/docendum/" TargetMode="External" Id="rId4782" /><Relationship Type="http://schemas.openxmlformats.org/officeDocument/2006/relationships/hyperlink" Target="https://www.linkedin.com/company/10153088/" TargetMode="External" Id="rId4783" /><Relationship Type="http://schemas.openxmlformats.org/officeDocument/2006/relationships/hyperlink" Target="https://drive.google.com/uc?export=view&amp;id=1ebK1zFh7dTJzTbCVy3VhL6rj5HU7Vo5r" TargetMode="External" Id="rId4784" /><Relationship Type="http://schemas.openxmlformats.org/officeDocument/2006/relationships/hyperlink" Target="http://www.escuelab.es/" TargetMode="External" Id="rId4785" /><Relationship Type="http://schemas.openxmlformats.org/officeDocument/2006/relationships/hyperlink" Target="https://instagram.com/escuelab.innov.educ" TargetMode="External" Id="rId4786" /><Relationship Type="http://schemas.openxmlformats.org/officeDocument/2006/relationships/hyperlink" Target="https://twitter.com/EscuelabMadrid" TargetMode="External" Id="rId4787" /><Relationship Type="http://schemas.openxmlformats.org/officeDocument/2006/relationships/hyperlink" Target="https://www.linkedin.com/company/escuelab" TargetMode="External" Id="rId4788" /><Relationship Type="http://schemas.openxmlformats.org/officeDocument/2006/relationships/hyperlink" Target="https://drive.google.com/uc?export=view&amp;id=18WlyZcBQJkaprvVmBc9z-tIkxQT5m6QK" TargetMode="External" Id="rId4789" /><Relationship Type="http://schemas.openxmlformats.org/officeDocument/2006/relationships/hyperlink" Target="http://www.fabula-games.de/" TargetMode="External" Id="rId4790" /><Relationship Type="http://schemas.openxmlformats.org/officeDocument/2006/relationships/hyperlink" Target="https://drive.google.com/uc?export=view&amp;id=1cFXdTTOM9S5GxHNs3gjwJhZEFtFCXz7A" TargetMode="External" Id="rId4791" /><Relationship Type="http://schemas.openxmlformats.org/officeDocument/2006/relationships/hyperlink" Target="https://www.feamzy.com/" TargetMode="External" Id="rId4792" /><Relationship Type="http://schemas.openxmlformats.org/officeDocument/2006/relationships/hyperlink" Target="https://www.instagram.com/feamzy_application/" TargetMode="External" Id="rId4793" /><Relationship Type="http://schemas.openxmlformats.org/officeDocument/2006/relationships/hyperlink" Target="https://twitter.com/MarieLewin_18" TargetMode="External" Id="rId4794" /><Relationship Type="http://schemas.openxmlformats.org/officeDocument/2006/relationships/hyperlink" Target="https://www.linkedin.com/company/34700226" TargetMode="External" Id="rId4795" /><Relationship Type="http://schemas.openxmlformats.org/officeDocument/2006/relationships/hyperlink" Target="https://drive.google.com/uc?export=view&amp;id=1-VbH4MZSNFHc5B_dXwRZ8HexdC-Kvo0X" TargetMode="External" Id="rId4796" /><Relationship Type="http://schemas.openxmlformats.org/officeDocument/2006/relationships/hyperlink" Target="https://flowchase.app/" TargetMode="External" Id="rId4797" /><Relationship Type="http://schemas.openxmlformats.org/officeDocument/2006/relationships/hyperlink" Target="https://www.instagram.com/flowchase.app/" TargetMode="External" Id="rId4798" /><Relationship Type="http://schemas.openxmlformats.org/officeDocument/2006/relationships/hyperlink" Target="https://www.linkedin.com/company/flowchase/" TargetMode="External" Id="rId4799" /><Relationship Type="http://schemas.openxmlformats.org/officeDocument/2006/relationships/hyperlink" Target="https://drive.google.com/uc?export=view&amp;id=1soQN9VQYUkJcmbEJUpE08ojeIlslJ1rL" TargetMode="External" Id="rId4800" /><Relationship Type="http://schemas.openxmlformats.org/officeDocument/2006/relationships/hyperlink" Target="https://www.getmorebrain.com/" TargetMode="External" Id="rId4801" /><Relationship Type="http://schemas.openxmlformats.org/officeDocument/2006/relationships/hyperlink" Target="https://www.instagram.com/getmorebraindevs" TargetMode="External" Id="rId4802" /><Relationship Type="http://schemas.openxmlformats.org/officeDocument/2006/relationships/hyperlink" Target="https://www.linkedin.com/company/getmorebrain" TargetMode="External" Id="rId4803" /><Relationship Type="http://schemas.openxmlformats.org/officeDocument/2006/relationships/hyperlink" Target="https://drive.google.com/uc?export=view&amp;id=1kn21N-Bw4ty4pT6Ke9ZK4TNYVtVxdbqp" TargetMode="External" Id="rId4804" /><Relationship Type="http://schemas.openxmlformats.org/officeDocument/2006/relationships/hyperlink" Target="http://www.gostudent.org/" TargetMode="External" Id="rId4805" /><Relationship Type="http://schemas.openxmlformats.org/officeDocument/2006/relationships/hyperlink" Target="https://www.instagram.com/gostudent_life" TargetMode="External" Id="rId4806" /><Relationship Type="http://schemas.openxmlformats.org/officeDocument/2006/relationships/hyperlink" Target="https://twitter.com/gostudent1" TargetMode="External" Id="rId4807" /><Relationship Type="http://schemas.openxmlformats.org/officeDocument/2006/relationships/hyperlink" Target="https://www.linkedin.com/company/gostudent-gmbh" TargetMode="External" Id="rId4808" /><Relationship Type="http://schemas.openxmlformats.org/officeDocument/2006/relationships/hyperlink" Target="https://drive.google.com/uc?export=view&amp;id=1ZcMYf4OPYAAb7Su3QzoA3S63ejEFsWjw" TargetMode="External" Id="rId4809" /><Relationship Type="http://schemas.openxmlformats.org/officeDocument/2006/relationships/hyperlink" Target="https://habilitatem.com/" TargetMode="External" Id="rId4810" /><Relationship Type="http://schemas.openxmlformats.org/officeDocument/2006/relationships/hyperlink" Target="https://drive.google.com/uc?export=view&amp;id=1AoAHbMKLdRaz2anYunxKy93W8ULZN3_x" TargetMode="External" Id="rId4811" /><Relationship Type="http://schemas.openxmlformats.org/officeDocument/2006/relationships/hyperlink" Target="http://www.isdicrm.com/fr" TargetMode="External" Id="rId4812" /><Relationship Type="http://schemas.openxmlformats.org/officeDocument/2006/relationships/hyperlink" Target="https://www.linkedin.com/company/19200104" TargetMode="External" Id="rId4813" /><Relationship Type="http://schemas.openxmlformats.org/officeDocument/2006/relationships/hyperlink" Target="https://drive.google.com/uc?export=view&amp;id=15-1OvEuONOoqHE3fI56KXsvUB0R5503v" TargetMode="External" Id="rId4814" /><Relationship Type="http://schemas.openxmlformats.org/officeDocument/2006/relationships/hyperlink" Target="https://www.jeuxandco.com/" TargetMode="External" Id="rId4815" /><Relationship Type="http://schemas.openxmlformats.org/officeDocument/2006/relationships/hyperlink" Target="https://drive.google.com/uc?export=view&amp;id=1VKsJ4X0o00-xlzLv84e1LgZxCKkWe_U3" TargetMode="External" Id="rId4816" /><Relationship Type="http://schemas.openxmlformats.org/officeDocument/2006/relationships/hyperlink" Target="https://www.kalea-formation.com/" TargetMode="External" Id="rId4817" /><Relationship Type="http://schemas.openxmlformats.org/officeDocument/2006/relationships/hyperlink" Target="https://www.linkedin.com/company/877277" TargetMode="External" Id="rId4818" /><Relationship Type="http://schemas.openxmlformats.org/officeDocument/2006/relationships/hyperlink" Target="https://drive.google.com/uc?export=view&amp;id=1ptLDTYiraAtR98N3agT-Y4-IaVehKEjI" TargetMode="External" Id="rId4819" /><Relationship Type="http://schemas.openxmlformats.org/officeDocument/2006/relationships/hyperlink" Target="http://www.lawebox.com/" TargetMode="External" Id="rId4820" /><Relationship Type="http://schemas.openxmlformats.org/officeDocument/2006/relationships/hyperlink" Target="https://www.instagram.com/lawebox/?hl=fr" TargetMode="External" Id="rId4821" /><Relationship Type="http://schemas.openxmlformats.org/officeDocument/2006/relationships/hyperlink" Target="https://mobile.twitter.com/adebernardy" TargetMode="External" Id="rId4822" /><Relationship Type="http://schemas.openxmlformats.org/officeDocument/2006/relationships/hyperlink" Target="https://www.linkedin.com/company/18363081/admin/" TargetMode="External" Id="rId4823" /><Relationship Type="http://schemas.openxmlformats.org/officeDocument/2006/relationships/hyperlink" Target="https://drive.google.com/uc?export=view&amp;id=1btGQlVTjZ3akbFF6Z9bJGeFP_VLP3ili" TargetMode="External" Id="rId4824" /><Relationship Type="http://schemas.openxmlformats.org/officeDocument/2006/relationships/hyperlink" Target="http://www.lawstar.at/" TargetMode="External" Id="rId4825" /><Relationship Type="http://schemas.openxmlformats.org/officeDocument/2006/relationships/hyperlink" Target="https://drive.google.com/uc?export=view&amp;id=1P2GVMc3kitRyEuwnimfored0CbyyPwF8" TargetMode="External" Id="rId4826" /><Relationship Type="http://schemas.openxmlformats.org/officeDocument/2006/relationships/hyperlink" Target="https://le-bahut.com/" TargetMode="External" Id="rId4827" /><Relationship Type="http://schemas.openxmlformats.org/officeDocument/2006/relationships/hyperlink" Target="https://twitter.com/sydopedago" TargetMode="External" Id="rId4828" /><Relationship Type="http://schemas.openxmlformats.org/officeDocument/2006/relationships/hyperlink" Target="https://www.linkedin.com/school/le-bahut-lyon/" TargetMode="External" Id="rId4829" /><Relationship Type="http://schemas.openxmlformats.org/officeDocument/2006/relationships/hyperlink" Target="https://drive.google.com/uc?export=view&amp;id=18yCtVW8hwBti0HkRjnCog_NtZV5K4aCT" TargetMode="External" Id="rId4830" /><Relationship Type="http://schemas.openxmlformats.org/officeDocument/2006/relationships/hyperlink" Target="http://www.lecoinduprof.fr/" TargetMode="External" Id="rId4831" /><Relationship Type="http://schemas.openxmlformats.org/officeDocument/2006/relationships/hyperlink" Target="https://www.linkedin.com/company/le-coin-du-prof/" TargetMode="External" Id="rId4832" /><Relationship Type="http://schemas.openxmlformats.org/officeDocument/2006/relationships/hyperlink" Target="https://drive.google.com/uc?export=view&amp;id=13nG-7BeWGwwRxgF81WIn8SqgPkE8WPcL" TargetMode="External" Id="rId4833" /><Relationship Type="http://schemas.openxmlformats.org/officeDocument/2006/relationships/hyperlink" Target="https://www.lereacteur.io/" TargetMode="External" Id="rId4834" /><Relationship Type="http://schemas.openxmlformats.org/officeDocument/2006/relationships/hyperlink" Target="https://www.instagram.com/lereacteur.io" TargetMode="External" Id="rId4835" /><Relationship Type="http://schemas.openxmlformats.org/officeDocument/2006/relationships/hyperlink" Target="https://twitter.com/LeReacteurIO" TargetMode="External" Id="rId4836" /><Relationship Type="http://schemas.openxmlformats.org/officeDocument/2006/relationships/hyperlink" Target="https://www.linkedin.com/school/13211127/admin/" TargetMode="External" Id="rId4837" /><Relationship Type="http://schemas.openxmlformats.org/officeDocument/2006/relationships/hyperlink" Target="https://drive.google.com/uc?export=view&amp;id=1JJs9LwYrFPgU0cS00mS_G0Ovw5G2HgkW" TargetMode="External" Id="rId4838" /><Relationship Type="http://schemas.openxmlformats.org/officeDocument/2006/relationships/hyperlink" Target="https://www.mariaschools.com/" TargetMode="External" Id="rId4839" /><Relationship Type="http://schemas.openxmlformats.org/officeDocument/2006/relationships/hyperlink" Target="https://drive.google.com/uc?export=view&amp;id=19lPxeoZ7D003S5ClcJ2bcpKIEZOj_nIo" TargetMode="External" Id="rId4840" /><Relationship Type="http://schemas.openxmlformats.org/officeDocument/2006/relationships/hyperlink" Target="https://mathlive.fr/" TargetMode="External" Id="rId4841" /><Relationship Type="http://schemas.openxmlformats.org/officeDocument/2006/relationships/hyperlink" Target="https://twitter.com/MathliveFR" TargetMode="External" Id="rId4842" /><Relationship Type="http://schemas.openxmlformats.org/officeDocument/2006/relationships/hyperlink" Target="https://www.linkedin.com/company/75763624" TargetMode="External" Id="rId4843" /><Relationship Type="http://schemas.openxmlformats.org/officeDocument/2006/relationships/hyperlink" Target="https://drive.google.com/uc?export=view&amp;id=1HXR6Sz5qrmYrebZcVo7i07Uq6L3nhhYJ" TargetMode="External" Id="rId4844" /><Relationship Type="http://schemas.openxmlformats.org/officeDocument/2006/relationships/hyperlink" Target="http://pro.meetyourschool.com/" TargetMode="External" Id="rId4845" /><Relationship Type="http://schemas.openxmlformats.org/officeDocument/2006/relationships/hyperlink" Target="https://drive.google.com/uc?export=view&amp;id=1LbvM2sfuK6q7TjO7DYYiabYdR47a9OPj" TargetMode="External" Id="rId4846" /><Relationship Type="http://schemas.openxmlformats.org/officeDocument/2006/relationships/hyperlink" Target="https://merci-ecommerce.fr/" TargetMode="External" Id="rId4847" /><Relationship Type="http://schemas.openxmlformats.org/officeDocument/2006/relationships/hyperlink" Target="https://www.instagram.com/merciecommerce/?hl=fr" TargetMode="External" Id="rId4848" /><Relationship Type="http://schemas.openxmlformats.org/officeDocument/2006/relationships/hyperlink" Target="https://www.linkedin.com/company/merci-e-commerce" TargetMode="External" Id="rId4849" /><Relationship Type="http://schemas.openxmlformats.org/officeDocument/2006/relationships/hyperlink" Target="https://drive.google.com/uc?export=view&amp;id=1G0mfPbvyDjqDX8SSUVosRRaDO5-JPV4C" TargetMode="External" Id="rId4850" /><Relationship Type="http://schemas.openxmlformats.org/officeDocument/2006/relationships/hyperlink" Target="http://mescahiersnumeriques.com/" TargetMode="External" Id="rId4851" /><Relationship Type="http://schemas.openxmlformats.org/officeDocument/2006/relationships/hyperlink" Target="http://www.mescahiersnumeriques.com/" TargetMode="External" Id="rId4852" /><Relationship Type="http://schemas.openxmlformats.org/officeDocument/2006/relationships/hyperlink" Target="https://www.instagram.com/mescahiersnumeriques/" TargetMode="External" Id="rId4853" /><Relationship Type="http://schemas.openxmlformats.org/officeDocument/2006/relationships/hyperlink" Target="https://www.linkedin.com/company/mes-cahiers-num%C3%A9riques/?viewAsMember=true" TargetMode="External" Id="rId4854" /><Relationship Type="http://schemas.openxmlformats.org/officeDocument/2006/relationships/hyperlink" Target="http://mescahiersdevacances.com/" TargetMode="External" Id="rId4855" /><Relationship Type="http://schemas.openxmlformats.org/officeDocument/2006/relationships/hyperlink" Target="http://mescahiersderevisions.com/" TargetMode="External" Id="rId4856" /><Relationship Type="http://schemas.openxmlformats.org/officeDocument/2006/relationships/hyperlink" Target="https://drive.google.com/uc?export=view&amp;id=1IhJxNiTdw-yDp_nRpPYkXq7EYdzLtOeG" TargetMode="External" Id="rId4857" /><Relationship Type="http://schemas.openxmlformats.org/officeDocument/2006/relationships/hyperlink" Target="https://ofcourse.me/" TargetMode="External" Id="rId4858" /><Relationship Type="http://schemas.openxmlformats.org/officeDocument/2006/relationships/hyperlink" Target="https://twitter.com/Of_Course_Me" TargetMode="External" Id="rId4859" /><Relationship Type="http://schemas.openxmlformats.org/officeDocument/2006/relationships/hyperlink" Target="https://www.linkedin.com/company/ofcourseme-official/mycompany/?viewAsMember=true" TargetMode="External" Id="rId4860" /><Relationship Type="http://schemas.openxmlformats.org/officeDocument/2006/relationships/hyperlink" Target="https://drive.google.com/uc?export=view&amp;id=15iM05Bj7uP4drIB-p5gzQJdRZYnZFIgz" TargetMode="External" Id="rId4861" /><Relationship Type="http://schemas.openxmlformats.org/officeDocument/2006/relationships/hyperlink" Target="https://www.pipplet.com/" TargetMode="External" Id="rId4862" /><Relationship Type="http://schemas.openxmlformats.org/officeDocument/2006/relationships/hyperlink" Target="https://twitter.com/pipplet" TargetMode="External" Id="rId4863" /><Relationship Type="http://schemas.openxmlformats.org/officeDocument/2006/relationships/hyperlink" Target="https://fr.linkedin.com/company/pipplet" TargetMode="External" Id="rId4864" /><Relationship Type="http://schemas.openxmlformats.org/officeDocument/2006/relationships/hyperlink" Target="https://drive.google.com/uc?export=view&amp;id=1dVY7kcaZ3aEfEgJZzkOw12IO-5BAfVuj" TargetMode="External" Id="rId4865" /><Relationship Type="http://schemas.openxmlformats.org/officeDocument/2006/relationships/hyperlink" Target="http://www.reality-academy.fr/" TargetMode="External" Id="rId4866" /><Relationship Type="http://schemas.openxmlformats.org/officeDocument/2006/relationships/hyperlink" Target="https://twitter.com/realityacademyf" TargetMode="External" Id="rId4867" /><Relationship Type="http://schemas.openxmlformats.org/officeDocument/2006/relationships/hyperlink" Target="https://www.linkedin.com/company/reality-academy" TargetMode="External" Id="rId4868" /><Relationship Type="http://schemas.openxmlformats.org/officeDocument/2006/relationships/hyperlink" Target="https://drive.google.com/uc?export=view&amp;id=1TVBy94oBak8NOpKYf99jIy20Mbb6l-Hi" TargetMode="External" Id="rId4869" /><Relationship Type="http://schemas.openxmlformats.org/officeDocument/2006/relationships/hyperlink" Target="http://www.robotikosakademija.lt/" TargetMode="External" Id="rId4870" /><Relationship Type="http://schemas.openxmlformats.org/officeDocument/2006/relationships/hyperlink" Target="https://www.instagram.com/robotikosakademija/?hl=en" TargetMode="External" Id="rId4871" /><Relationship Type="http://schemas.openxmlformats.org/officeDocument/2006/relationships/hyperlink" Target="https://www.linkedin.com/company/robotikosakademija" TargetMode="External" Id="rId4872" /><Relationship Type="http://schemas.openxmlformats.org/officeDocument/2006/relationships/hyperlink" Target="https://drive.google.com/uc?export=view&amp;id=1dZlGDvBJ_hyyophdqlQbsbDRaE6SWRYS" TargetMode="External" Id="rId4873" /><Relationship Type="http://schemas.openxmlformats.org/officeDocument/2006/relationships/hyperlink" Target="https://sharingacademy.com/" TargetMode="External" Id="rId4874" /><Relationship Type="http://schemas.openxmlformats.org/officeDocument/2006/relationships/hyperlink" Target="https://www.instagram.com/sharingacademy/" TargetMode="External" Id="rId4875" /><Relationship Type="http://schemas.openxmlformats.org/officeDocument/2006/relationships/hyperlink" Target="https://twitter.com/SharingAcademy" TargetMode="External" Id="rId4876" /><Relationship Type="http://schemas.openxmlformats.org/officeDocument/2006/relationships/hyperlink" Target="https://www.linkedin.com/company/5217616/admin/" TargetMode="External" Id="rId4877" /><Relationship Type="http://schemas.openxmlformats.org/officeDocument/2006/relationships/hyperlink" Target="https://drive.google.com/uc?export=view&amp;id=1QOI7WEQov6DsbAG_qIVpJ7ZZBClCoZ_J" TargetMode="External" Id="rId4878" /><Relationship Type="http://schemas.openxmlformats.org/officeDocument/2006/relationships/hyperlink" Target="https://www.sight-o.io/" TargetMode="External" Id="rId4879" /><Relationship Type="http://schemas.openxmlformats.org/officeDocument/2006/relationships/hyperlink" Target="https://www.instagram.com/sighto.io/" TargetMode="External" Id="rId4880" /><Relationship Type="http://schemas.openxmlformats.org/officeDocument/2006/relationships/hyperlink" Target="https://twitter.com/sighto_io" TargetMode="External" Id="rId4881" /><Relationship Type="http://schemas.openxmlformats.org/officeDocument/2006/relationships/hyperlink" Target="https://fr.linkedin.com/company/sight-o" TargetMode="External" Id="rId4882" /><Relationship Type="http://schemas.openxmlformats.org/officeDocument/2006/relationships/hyperlink" Target="https://drive.google.com/uc?export=view&amp;id=1RVw34vAkgVRdFhXUNtikn3V2lfUG0bC_" TargetMode="External" Id="rId4883" /><Relationship Type="http://schemas.openxmlformats.org/officeDocument/2006/relationships/hyperlink" Target="https://www.globalknowledge.com/fr-fr/" TargetMode="External" Id="rId4884" /><Relationship Type="http://schemas.openxmlformats.org/officeDocument/2006/relationships/hyperlink" Target="https://www.linkedin.com/company/global-knowledge-training/" TargetMode="External" Id="rId4885" /><Relationship Type="http://schemas.openxmlformats.org/officeDocument/2006/relationships/hyperlink" Target="http://www.smartch.fr/" TargetMode="External" Id="rId4886" /><Relationship Type="http://schemas.openxmlformats.org/officeDocument/2006/relationships/hyperlink" Target="https://www.linkedin.com/company/smartch/" TargetMode="External" Id="rId4887" /><Relationship Type="http://schemas.openxmlformats.org/officeDocument/2006/relationships/hyperlink" Target="https://drive.google.com/uc?export=view&amp;id=1dGNT6OLhI8APNt83gu61_YvR09aTKfgC" TargetMode="External" Id="rId4888" /><Relationship Type="http://schemas.openxmlformats.org/officeDocument/2006/relationships/hyperlink" Target="https://www.softkids.net/en/home/" TargetMode="External" Id="rId4889" /><Relationship Type="http://schemas.openxmlformats.org/officeDocument/2006/relationships/hyperlink" Target="https://www.instagram.com/soft_kids_apps/?hl=fr" TargetMode="External" Id="rId4890" /><Relationship Type="http://schemas.openxmlformats.org/officeDocument/2006/relationships/hyperlink" Target="https://twitter.com/kids_soft" TargetMode="External" Id="rId4891" /><Relationship Type="http://schemas.openxmlformats.org/officeDocument/2006/relationships/hyperlink" Target="https://www.linkedin.com/company/soft-kids/?viewAsMember=true" TargetMode="External" Id="rId4892" /><Relationship Type="http://schemas.openxmlformats.org/officeDocument/2006/relationships/hyperlink" Target="https://drive.google.com/uc?export=view&amp;id=1DKOaVlm6LkveEnlDJqMknO58jsVr95NQ" TargetMode="External" Id="rId4893" /><Relationship Type="http://schemas.openxmlformats.org/officeDocument/2006/relationships/hyperlink" Target="https://sowesign.com/" TargetMode="External" Id="rId4894" /><Relationship Type="http://schemas.openxmlformats.org/officeDocument/2006/relationships/hyperlink" Target="https://www.instagram.com/sws_sowesign/" TargetMode="External" Id="rId4895" /><Relationship Type="http://schemas.openxmlformats.org/officeDocument/2006/relationships/hyperlink" Target="https://twitter.com/SoWeSign" TargetMode="External" Id="rId4896" /><Relationship Type="http://schemas.openxmlformats.org/officeDocument/2006/relationships/hyperlink" Target="https://www.linkedin.com/company/sowesign-1" TargetMode="External" Id="rId4897" /><Relationship Type="http://schemas.openxmlformats.org/officeDocument/2006/relationships/hyperlink" Target="https://theexperienceaccelerator.com/" TargetMode="External" Id="rId4898" /><Relationship Type="http://schemas.openxmlformats.org/officeDocument/2006/relationships/hyperlink" Target="https://www.instagram.com/theexperienceaccelerator/" TargetMode="External" Id="rId4899" /><Relationship Type="http://schemas.openxmlformats.org/officeDocument/2006/relationships/hyperlink" Target="https://twitter.com/ExpAccelerator" TargetMode="External" Id="rId4900" /><Relationship Type="http://schemas.openxmlformats.org/officeDocument/2006/relationships/hyperlink" Target="https://www.linkedin.com/company/theexperienceaccelerator/" TargetMode="External" Id="rId4901" /><Relationship Type="http://schemas.openxmlformats.org/officeDocument/2006/relationships/hyperlink" Target="https://drive.google.com/uc?export=view&amp;id=1xlUbPMvPt_BewbYbx-cOd4HtPkAln8KI" TargetMode="External" Id="rId4902" /><Relationship Type="http://schemas.openxmlformats.org/officeDocument/2006/relationships/hyperlink" Target="http://www.theinventors.io/" TargetMode="External" Id="rId4903" /><Relationship Type="http://schemas.openxmlformats.org/officeDocument/2006/relationships/hyperlink" Target="https://drive.google.com/uc?export=view&amp;id=1Cs8HfXzEoKFvcvQQQ4-u2IngO50Cy820" TargetMode="External" Id="rId4904" /><Relationship Type="http://schemas.openxmlformats.org/officeDocument/2006/relationships/hyperlink" Target="http://thelongfingercompany.com/" TargetMode="External" Id="rId4905" /><Relationship Type="http://schemas.openxmlformats.org/officeDocument/2006/relationships/hyperlink" Target="https://drive.google.com/uc?export=view&amp;id=12X4t1M7K82mJQM9LgkeX4GezMu-zN5D6" TargetMode="External" Id="rId4906" /><Relationship Type="http://schemas.openxmlformats.org/officeDocument/2006/relationships/hyperlink" Target="https://vocacoach.fr/" TargetMode="External" Id="rId4907" /><Relationship Type="http://schemas.openxmlformats.org/officeDocument/2006/relationships/hyperlink" Target="https://www.instagram.com/vocacoach/" TargetMode="External" Id="rId4908" /><Relationship Type="http://schemas.openxmlformats.org/officeDocument/2006/relationships/hyperlink" Target="https://twitter.com/VocaCoach" TargetMode="External" Id="rId4909" /><Relationship Type="http://schemas.openxmlformats.org/officeDocument/2006/relationships/hyperlink" Target="https://www.linkedin.com/company/30675854/" TargetMode="External" Id="rId4910" /><Relationship Type="http://schemas.openxmlformats.org/officeDocument/2006/relationships/hyperlink" Target="https://drive.google.com/uc?export=view&amp;id=1_Mmk7mWmDwzqwjH3g6jMT5yAQ3KxAxpM" TargetMode="External" Id="rId4911" /><Relationship Type="http://schemas.openxmlformats.org/officeDocument/2006/relationships/hyperlink" Target="http://www.vyturys.lt/" TargetMode="External" Id="rId4912" /><Relationship Type="http://schemas.openxmlformats.org/officeDocument/2006/relationships/hyperlink" Target="https://drive.google.com/uc?export=view&amp;id=1-DFqfCDhLkHCxoNsYaQJ4dYF8IqfHH8G" TargetMode="External" Id="rId4913" /><Relationship Type="http://schemas.openxmlformats.org/officeDocument/2006/relationships/hyperlink" Target="https://kinescope.io/" TargetMode="External" Id="rId4914" /><Relationship Type="http://schemas.openxmlformats.org/officeDocument/2006/relationships/hyperlink" Target="https://www.linkedin.com/company/kinescopeio/" TargetMode="External" Id="rId4915" /><Relationship Type="http://schemas.openxmlformats.org/officeDocument/2006/relationships/hyperlink" Target="https://drive.google.com/uc?export=view&amp;id=1WyulEauxUCtISAhVhbxFjxDKtB9zXX-A" TargetMode="External" Id="rId4916" /><Relationship Type="http://schemas.openxmlformats.org/officeDocument/2006/relationships/hyperlink" Target="https://www.accento.app/" TargetMode="External" Id="rId4917" /><Relationship Type="http://schemas.openxmlformats.org/officeDocument/2006/relationships/hyperlink" Target="https://twitter.com/AccentoApp" TargetMode="External" Id="rId4918" /><Relationship Type="http://schemas.openxmlformats.org/officeDocument/2006/relationships/hyperlink" Target="https://www.linkedin.com/company/bacco-software-systems" TargetMode="External" Id="rId4919" /><Relationship Type="http://schemas.openxmlformats.org/officeDocument/2006/relationships/hyperlink" Target="https://drive.google.com/uc?export=view&amp;id=19XZ0KipXO_51Tb6ojZ13DTogUG6eJecc" TargetMode="External" Id="rId4920" /><Relationship Type="http://schemas.openxmlformats.org/officeDocument/2006/relationships/hyperlink" Target="https://mystudyweb.com/corporate/" TargetMode="External" Id="rId4921" /><Relationship Type="http://schemas.openxmlformats.org/officeDocument/2006/relationships/hyperlink" Target="https://www.instagram.com/mystudyweb" TargetMode="External" Id="rId4922" /><Relationship Type="http://schemas.openxmlformats.org/officeDocument/2006/relationships/hyperlink" Target="https://www.linkedin.com/company/mystudyweb-sweden-ab" TargetMode="External" Id="rId4923" /><Relationship Type="http://schemas.openxmlformats.org/officeDocument/2006/relationships/hyperlink" Target="https://drive.google.com/uc?export=view&amp;id=16BQz96vGyusEltAkDCnaSrGGqflZJcBJ" TargetMode="External" Id="rId4924" /><Relationship Type="http://schemas.openxmlformats.org/officeDocument/2006/relationships/hyperlink" Target="https://edutech.recrout.com/" TargetMode="External" Id="rId4925" /><Relationship Type="http://schemas.openxmlformats.org/officeDocument/2006/relationships/hyperlink" Target="https://twitter.com/recrout" TargetMode="External" Id="rId4926" /><Relationship Type="http://schemas.openxmlformats.org/officeDocument/2006/relationships/hyperlink" Target="https://twitter.com/recrout" TargetMode="External" Id="rId4927" /><Relationship Type="http://schemas.openxmlformats.org/officeDocument/2006/relationships/hyperlink" Target="https://www.linkedin.com/company/recrout/" TargetMode="External" Id="rId4928" /><Relationship Type="http://schemas.openxmlformats.org/officeDocument/2006/relationships/hyperlink" Target="https://drive.google.com/uc?export=view&amp;id=1nMDHfWuE6BgutaO69ojv2JarV_z27m8f" TargetMode="External" Id="rId4929" /><Relationship Type="http://schemas.openxmlformats.org/officeDocument/2006/relationships/hyperlink" Target="https://www.warpvr.com/" TargetMode="External" Id="rId4930" /><Relationship Type="http://schemas.openxmlformats.org/officeDocument/2006/relationships/hyperlink" Target="https://www.instagram.com/warp_vr/" TargetMode="External" Id="rId4931" /><Relationship Type="http://schemas.openxmlformats.org/officeDocument/2006/relationships/hyperlink" Target="https://twitter.com/WarpVR" TargetMode="External" Id="rId4932" /><Relationship Type="http://schemas.openxmlformats.org/officeDocument/2006/relationships/hyperlink" Target="https://www.linkedin.com/company/warpvr/" TargetMode="External" Id="rId4933" /><Relationship Type="http://schemas.openxmlformats.org/officeDocument/2006/relationships/hyperlink" Target="https://drive.google.com/uc?export=view&amp;id=1iHLsHQmvi6CMrUAS4EjrNtw8-wa943zh" TargetMode="External" Id="rId4934" /><Relationship Type="http://schemas.openxmlformats.org/officeDocument/2006/relationships/hyperlink" Target="https://annieadvisor.com/" TargetMode="External" Id="rId4935" /><Relationship Type="http://schemas.openxmlformats.org/officeDocument/2006/relationships/hyperlink" Target="https://www.instagram.com/annieadvisor/" TargetMode="External" Id="rId4936" /><Relationship Type="http://schemas.openxmlformats.org/officeDocument/2006/relationships/hyperlink" Target="https://twitter.com/advisor_annie" TargetMode="External" Id="rId4937" /><Relationship Type="http://schemas.openxmlformats.org/officeDocument/2006/relationships/hyperlink" Target="https://www.linkedin.com/company/annie-advisor" TargetMode="External" Id="rId4938" /><Relationship Type="http://schemas.openxmlformats.org/officeDocument/2006/relationships/hyperlink" Target="https://drive.google.com/uc?export=view&amp;id=1uaf-f_GtQBvh7Jv8nqewNe1iwd2LmEbr" TargetMode="External" Id="rId4939" /><Relationship Type="http://schemas.openxmlformats.org/officeDocument/2006/relationships/hyperlink" Target="https://sdui.de/" TargetMode="External" Id="rId4940" /><Relationship Type="http://schemas.openxmlformats.org/officeDocument/2006/relationships/hyperlink" Target="https://drive.google.com/uc?export=view&amp;id=1jAklF2tlq7qW761LQaC6EW9dsp_noXHl" TargetMode="External" Id="rId4941" /><Relationship Type="http://schemas.openxmlformats.org/officeDocument/2006/relationships/hyperlink" Target="https://www.conurse.net/" TargetMode="External" Id="rId4942" /><Relationship Type="http://schemas.openxmlformats.org/officeDocument/2006/relationships/hyperlink" Target="https://www.instagram.com/conurse_app/" TargetMode="External" Id="rId4943" /><Relationship Type="http://schemas.openxmlformats.org/officeDocument/2006/relationships/hyperlink" Target="https://www.linkedin.com/company/conurseapp/" TargetMode="External" Id="rId4944" /><Relationship Type="http://schemas.openxmlformats.org/officeDocument/2006/relationships/hyperlink" Target="https://drive.google.com/uc?export=view&amp;id=1XITi5nGcUd-p8dgV_AtMufVnZlrEk2Zq" TargetMode="External" Id="rId4945" /><Relationship Type="http://schemas.openxmlformats.org/officeDocument/2006/relationships/hyperlink" Target="https://jeeni.ai/" TargetMode="External" Id="rId4946" /><Relationship Type="http://schemas.openxmlformats.org/officeDocument/2006/relationships/hyperlink" Target="https://drive.google.com/uc?export=view&amp;id=1ZzILKXiBNvuFCsdU4HTO5kMNWjEV5Du7" TargetMode="External" Id="rId4947" /><Relationship Type="http://schemas.openxmlformats.org/officeDocument/2006/relationships/hyperlink" Target="https://recruither.co.uk/" TargetMode="External" Id="rId4948" /><Relationship Type="http://schemas.openxmlformats.org/officeDocument/2006/relationships/hyperlink" Target="https://www.instagram.com/recruit_her_uk/" TargetMode="External" Id="rId4949" /><Relationship Type="http://schemas.openxmlformats.org/officeDocument/2006/relationships/hyperlink" Target="https://www.linkedin.com/company/recruither-consulting/" TargetMode="External" Id="rId4950" /><Relationship Type="http://schemas.openxmlformats.org/officeDocument/2006/relationships/hyperlink" Target="https://drive.google.com/uc?export=view&amp;id=15qpCI4JeZVZ8Qa_mXesuP2dfzELmkyh3" TargetMode="External" Id="rId4951" /><Relationship Type="http://schemas.openxmlformats.org/officeDocument/2006/relationships/hyperlink" Target="http://eduzone.ai/" TargetMode="External" Id="rId4952" /><Relationship Type="http://schemas.openxmlformats.org/officeDocument/2006/relationships/hyperlink" Target="https://www.eduzone.ai/" TargetMode="External" Id="rId4953" /><Relationship Type="http://schemas.openxmlformats.org/officeDocument/2006/relationships/hyperlink" Target="https://www.linkedin.com/company/eduzone-ai" TargetMode="External" Id="rId4954" /><Relationship Type="http://schemas.openxmlformats.org/officeDocument/2006/relationships/hyperlink" Target="http://eduzone.ai/" TargetMode="External" Id="rId4955" /><Relationship Type="http://schemas.openxmlformats.org/officeDocument/2006/relationships/hyperlink" Target="https://drive.google.com/uc?export=view&amp;id=1ty4U9VEFG-Z0TQ35sMHG2E2MeCOWcfwE" TargetMode="External" Id="rId4956" /><Relationship Type="http://schemas.openxmlformats.org/officeDocument/2006/relationships/hyperlink" Target="https://zihinlerfora.com/" TargetMode="External" Id="rId4957" /><Relationship Type="http://schemas.openxmlformats.org/officeDocument/2006/relationships/hyperlink" Target="https://drive.google.com/uc?export=view&amp;id=1POOxX5IiZFezvU0KVvfqt4nh-LqTqYUX" TargetMode="External" Id="rId4958" /><Relationship Type="http://schemas.openxmlformats.org/officeDocument/2006/relationships/hyperlink" Target="http://www.swissmentor.com/" TargetMode="External" Id="rId4959" /><Relationship Type="http://schemas.openxmlformats.org/officeDocument/2006/relationships/hyperlink" Target="https://www.linkedin.com/company/swissmentor" TargetMode="External" Id="rId4960" /><Relationship Type="http://schemas.openxmlformats.org/officeDocument/2006/relationships/hyperlink" Target="https://drive.google.com/uc?export=view&amp;id=1ay57RweT3yd5eZp6rwr2uLO4bkB0OrN3" TargetMode="External" Id="rId4961" /><Relationship Type="http://schemas.openxmlformats.org/officeDocument/2006/relationships/hyperlink" Target="http://miltoneducation.com/" TargetMode="External" Id="rId4962" /><Relationship Type="http://schemas.openxmlformats.org/officeDocument/2006/relationships/hyperlink" Target="https://www.instagram.com/miltonenglishteachers" TargetMode="External" Id="rId4963" /><Relationship Type="http://schemas.openxmlformats.org/officeDocument/2006/relationships/hyperlink" Target="https://x.com/MiltonEducation" TargetMode="External" Id="rId4964" /><Relationship Type="http://schemas.openxmlformats.org/officeDocument/2006/relationships/hyperlink" Target="https://www.linkedin.com/company" TargetMode="External" Id="rId4965" /><Relationship Type="http://schemas.openxmlformats.org/officeDocument/2006/relationships/hyperlink" Target="https://drive.google.com/uc?export=view&amp;id=1E9ZhRuyPTk2j9YDta1rH6Aln-0ruSYk-" TargetMode="External" Id="rId4966" /><Relationship Type="http://schemas.openxmlformats.org/officeDocument/2006/relationships/hyperlink" Target="https://www.facebook.com/educationmilton" TargetMode="External" Id="rId4967" /><Relationship Type="http://schemas.openxmlformats.org/officeDocument/2006/relationships/hyperlink" Target="https://academysmart.com/" TargetMode="External" Id="rId4968" /><Relationship Type="http://schemas.openxmlformats.org/officeDocument/2006/relationships/hyperlink" Target="https://www.instagram.com/academysmart.team/" TargetMode="External" Id="rId4969" /><Relationship Type="http://schemas.openxmlformats.org/officeDocument/2006/relationships/hyperlink" Target="https://www.linkedin.com/company/academy-smart-ltd-/" TargetMode="External" Id="rId4970" /><Relationship Type="http://schemas.openxmlformats.org/officeDocument/2006/relationships/hyperlink" Target="https://drive.google.com/uc?export=view&amp;id=138gwu4ntlUssSwNjaCqfiENP4pcAVqIT" TargetMode="External" Id="rId4971" /><Relationship Type="http://schemas.openxmlformats.org/officeDocument/2006/relationships/hyperlink" Target="https://www.facebook.com/academysmart.com.ua" TargetMode="External" Id="rId4972" /><Relationship Type="http://schemas.openxmlformats.org/officeDocument/2006/relationships/hyperlink" Target="https://www.lessonup.com/" TargetMode="External" Id="rId4973" /><Relationship Type="http://schemas.openxmlformats.org/officeDocument/2006/relationships/hyperlink" Target="https://www.instagram.com/_lessonup" TargetMode="External" Id="rId4974" /><Relationship Type="http://schemas.openxmlformats.org/officeDocument/2006/relationships/hyperlink" Target="https://x.com/lessonup" TargetMode="External" Id="rId4975" /><Relationship Type="http://schemas.openxmlformats.org/officeDocument/2006/relationships/hyperlink" Target="https://www.linkedin.com/company/lessonupnl" TargetMode="External" Id="rId4976" /><Relationship Type="http://schemas.openxmlformats.org/officeDocument/2006/relationships/hyperlink" Target="https://drive.google.com/uc?export=view&amp;id=1KsUAway5y5G1kJk-nypzbf3ee1F939s5" TargetMode="External" Id="rId4977" /><Relationship Type="http://schemas.openxmlformats.org/officeDocument/2006/relationships/hyperlink" Target="https://www.facebook.com/lessonup" TargetMode="External" Id="rId4978" /><Relationship Type="http://schemas.openxmlformats.org/officeDocument/2006/relationships/hyperlink" Target="https://www.simoneetlesrobots.com/" TargetMode="External" Id="rId4979" /><Relationship Type="http://schemas.openxmlformats.org/officeDocument/2006/relationships/hyperlink" Target="https://www.instagram.com/simoneetlesrobots/?hl=fr" TargetMode="External" Id="rId4980" /><Relationship Type="http://schemas.openxmlformats.org/officeDocument/2006/relationships/hyperlink" Target="https://fr.linkedin.com/company/simone-et-les-robots" TargetMode="External" Id="rId4981" /><Relationship Type="http://schemas.openxmlformats.org/officeDocument/2006/relationships/hyperlink" Target="https://drive.google.com/uc?export=view&amp;id=13wXCRW7cvNc_PsJXd5i_y4QfKA5kKOx4" TargetMode="External" Id="rId4982" /><Relationship Type="http://schemas.openxmlformats.org/officeDocument/2006/relationships/hyperlink" Target="http://www.abdn.ac.uk/education" TargetMode="External" Id="rId4983" /><Relationship Type="http://schemas.openxmlformats.org/officeDocument/2006/relationships/hyperlink" Target="http://linkedin.com/school/university-of-aberdeen" TargetMode="External" Id="rId4984" /><Relationship Type="http://schemas.openxmlformats.org/officeDocument/2006/relationships/hyperlink" Target="https://drive.google.com/uc?export=view&amp;id=1IIqU782MVMSjBi7mLgI3ySNtgh4kXnNV" TargetMode="External" Id="rId4985" /><Relationship Type="http://schemas.openxmlformats.org/officeDocument/2006/relationships/hyperlink" Target="http://www.classigogo.com/" TargetMode="External" Id="rId4986" /><Relationship Type="http://schemas.openxmlformats.org/officeDocument/2006/relationships/hyperlink" Target="https://www.instagram.com/classigogo" TargetMode="External" Id="rId4987" /><Relationship Type="http://schemas.openxmlformats.org/officeDocument/2006/relationships/hyperlink" Target="https://www.linkedin.com/company/classigogo/" TargetMode="External" Id="rId4988" /><Relationship Type="http://schemas.openxmlformats.org/officeDocument/2006/relationships/hyperlink" Target="https://drive.google.com/uc?export=view&amp;id=1ie3LH2eboxquj8zmqCFmFFA0Nt3mL-ao" TargetMode="External" Id="rId4989" /><Relationship Type="http://schemas.openxmlformats.org/officeDocument/2006/relationships/hyperlink" Target="http://www.copernia.eu/" TargetMode="External" Id="rId4990" /><Relationship Type="http://schemas.openxmlformats.org/officeDocument/2006/relationships/hyperlink" Target="https://www.linkedin.com/school/coperniaedu/" TargetMode="External" Id="rId4991" /><Relationship Type="http://schemas.openxmlformats.org/officeDocument/2006/relationships/hyperlink" Target="https://drive.google.com/uc?export=view&amp;id=1TJXbzJ0VQVnxHUY_tWGmuuJjLYvlHMRF" TargetMode="External" Id="rId4992" /><Relationship Type="http://schemas.openxmlformats.org/officeDocument/2006/relationships/hyperlink" Target="https://abstract-technology.de/" TargetMode="External" Id="rId4993" /><Relationship Type="http://schemas.openxmlformats.org/officeDocument/2006/relationships/hyperlink" Target="https://www.linkedin.com/company/abstract-technology-gmbh/" TargetMode="External" Id="rId4994" /><Relationship Type="http://schemas.openxmlformats.org/officeDocument/2006/relationships/hyperlink" Target="https://drive.google.com/uc?export=view&amp;id=17rDOWvX1OJ62DWNtyUuTEDXqX3L03NNm" TargetMode="External" Id="rId4995" /><Relationship Type="http://schemas.openxmlformats.org/officeDocument/2006/relationships/hyperlink" Target="http://www.edgetutor.co/" TargetMode="External" Id="rId4996" /><Relationship Type="http://schemas.openxmlformats.org/officeDocument/2006/relationships/hyperlink" Target="https://www.linkedin.com/company/edge-tutor-international/" TargetMode="External" Id="rId4997" /><Relationship Type="http://schemas.openxmlformats.org/officeDocument/2006/relationships/hyperlink" Target="https://drive.google.com/uc?export=view&amp;id=1QWlTsipFr7qK0CSHrzNrpalSg64Cl-ow" TargetMode="External" Id="rId4998" /><Relationship Type="http://schemas.openxmlformats.org/officeDocument/2006/relationships/hyperlink" Target="https://www.thinglink.com/" TargetMode="External" Id="rId4999" /><Relationship Type="http://schemas.openxmlformats.org/officeDocument/2006/relationships/hyperlink" Target="https://www.instagram.com/thinglink/" TargetMode="External" Id="rId5000" /><Relationship Type="http://schemas.openxmlformats.org/officeDocument/2006/relationships/hyperlink" Target="https://x.com/ThingLink" TargetMode="External" Id="rId5001" /><Relationship Type="http://schemas.openxmlformats.org/officeDocument/2006/relationships/hyperlink" Target="https://www.linkedin.com/groups/9054683/" TargetMode="External" Id="rId5002" /><Relationship Type="http://schemas.openxmlformats.org/officeDocument/2006/relationships/hyperlink" Target="https://drive.google.com/uc?export=view&amp;id=1TWfLk2INUjFBxwFJofeM53FKFWmxh79W" TargetMode="External" Id="rId5003" /><Relationship Type="http://schemas.openxmlformats.org/officeDocument/2006/relationships/hyperlink" Target="https://www.facebook.com/ThingLink/" TargetMode="External" Id="rId5004" /><Relationship Type="http://schemas.openxmlformats.org/officeDocument/2006/relationships/hyperlink" Target="http://www.open-cpd.com/" TargetMode="External" Id="rId5005" /><Relationship Type="http://schemas.openxmlformats.org/officeDocument/2006/relationships/hyperlink" Target="https://www.instagram.com/@open_cpd" TargetMode="External" Id="rId5006" /><Relationship Type="http://schemas.openxmlformats.org/officeDocument/2006/relationships/hyperlink" Target="https://www.linkedin.com/company/open-cpd/" TargetMode="External" Id="rId5007" /><Relationship Type="http://schemas.openxmlformats.org/officeDocument/2006/relationships/hyperlink" Target="https://drive.google.com/uc?export=view&amp;id=1ZZrzP4b8B0qrqFZT_6l4UqmJutPHiP3x" TargetMode="External" Id="rId5008" /><Relationship Type="http://schemas.openxmlformats.org/officeDocument/2006/relationships/hyperlink" Target="https://www.facebook.com/open.cpd.w3/" TargetMode="External" Id="rId5009" /><Relationship Type="http://schemas.openxmlformats.org/officeDocument/2006/relationships/hyperlink" Target="https://www.zexsoft.eu/" TargetMode="External" Id="rId5010" /><Relationship Type="http://schemas.openxmlformats.org/officeDocument/2006/relationships/hyperlink" Target="https://www.instagram.com/zexsoft/" TargetMode="External" Id="rId5011" /><Relationship Type="http://schemas.openxmlformats.org/officeDocument/2006/relationships/hyperlink" Target="https://twitter.com/zexsoft" TargetMode="External" Id="rId5012" /><Relationship Type="http://schemas.openxmlformats.org/officeDocument/2006/relationships/hyperlink" Target="https://www.linkedin.com/company/zexsoft" TargetMode="External" Id="rId5013" /><Relationship Type="http://schemas.openxmlformats.org/officeDocument/2006/relationships/hyperlink" Target="https://drive.google.com/uc?export=view&amp;id=1M6u6pMjBfsk_wHyST6m3PbNKkGa31dpm" TargetMode="External" Id="rId5014" /><Relationship Type="http://schemas.openxmlformats.org/officeDocument/2006/relationships/hyperlink" Target="https://www.facebook.com/zexsoft/" TargetMode="External" Id="rId5015" /><Relationship Type="http://schemas.openxmlformats.org/officeDocument/2006/relationships/hyperlink" Target="https://x.com/stacshq" TargetMode="External" Id="rId5016" /><Relationship Type="http://schemas.openxmlformats.org/officeDocument/2006/relationships/hyperlink" Target="https://www.linkedin.com/company/stacshq" TargetMode="External" Id="rId5017" /><Relationship Type="http://schemas.openxmlformats.org/officeDocument/2006/relationships/hyperlink" Target="https://drive.google.com/uc?export=view&amp;id=1M0uLV-YTG_060pOCln1umBvR3uJy2FVo" TargetMode="External" Id="rId5018" /><Relationship Type="http://schemas.openxmlformats.org/officeDocument/2006/relationships/hyperlink" Target="https://x.com/dresscodehq" TargetMode="External" Id="rId5019" /><Relationship Type="http://schemas.openxmlformats.org/officeDocument/2006/relationships/hyperlink" Target="https://www.linkedin.com/company/dresscodehq" TargetMode="External" Id="rId5020" /><Relationship Type="http://schemas.openxmlformats.org/officeDocument/2006/relationships/hyperlink" Target="https://drive.google.com/uc?export=view&amp;id=1ktD5oIYyX3DVhJfD_lcGd24MeeNY8tpx" TargetMode="External" Id="rId5021" /><Relationship Type="http://schemas.openxmlformats.org/officeDocument/2006/relationships/hyperlink" Target="http://www.klapp.pro/" TargetMode="External" Id="rId5022" /><Relationship Type="http://schemas.openxmlformats.org/officeDocument/2006/relationships/hyperlink" Target="https://www.instagram.com/klappgmbh/" TargetMode="External" Id="rId5023" /><Relationship Type="http://schemas.openxmlformats.org/officeDocument/2006/relationships/hyperlink" Target="https://x.com/KlappInfo" TargetMode="External" Id="rId5024" /><Relationship Type="http://schemas.openxmlformats.org/officeDocument/2006/relationships/hyperlink" Target="https://ch.linkedin.com/company/klapp-eg" TargetMode="External" Id="rId5025" /><Relationship Type="http://schemas.openxmlformats.org/officeDocument/2006/relationships/hyperlink" Target="https://drive.google.com/uc?export=view&amp;id=1FxQfooMPIR8ExYyRHKfjR1sf7PV1pakC" TargetMode="External" Id="rId5026" /><Relationship Type="http://schemas.openxmlformats.org/officeDocument/2006/relationships/hyperlink" Target="https://www.facebook.com/klapp.pro" TargetMode="External" Id="rId5027" /><Relationship Type="http://schemas.openxmlformats.org/officeDocument/2006/relationships/hyperlink" Target="http://www.learntechunleashed.com/" TargetMode="External" Id="rId5028" /><Relationship Type="http://schemas.openxmlformats.org/officeDocument/2006/relationships/hyperlink" Target="https://drive.google.com/uc?export=view&amp;id=1O6MpxCiaRtdVRhSIYd0Q-WgcuQnncorD" TargetMode="External" Id="rId5029" /><Relationship Type="http://schemas.openxmlformats.org/officeDocument/2006/relationships/hyperlink" Target="https://technologyreadiness.org/" TargetMode="External" Id="rId5030" /><Relationship Type="http://schemas.openxmlformats.org/officeDocument/2006/relationships/hyperlink" Target="https://www.linkedin.com/company/thetrc" TargetMode="External" Id="rId5031" /><Relationship Type="http://schemas.openxmlformats.org/officeDocument/2006/relationships/hyperlink" Target="https://drive.google.com/uc?export=view&amp;id=178NZuuh_CXxDwT6V72miO4W9EmMttOGu" TargetMode="External" Id="rId5032" /><Relationship Type="http://schemas.openxmlformats.org/officeDocument/2006/relationships/hyperlink" Target="http://www.my-serious-game.com/" TargetMode="External" Id="rId5033" /><Relationship Type="http://schemas.openxmlformats.org/officeDocument/2006/relationships/hyperlink" Target="https://www.linkedin.com/company/my-serious-game" TargetMode="External" Id="rId5034" /><Relationship Type="http://schemas.openxmlformats.org/officeDocument/2006/relationships/hyperlink" Target="https://drive.google.com/uc?export=view&amp;id=18UlZVFAkLBFx_AfzI1tZJIp_lTP-1TNp" TargetMode="External" Id="rId5035" /><Relationship Type="http://schemas.openxmlformats.org/officeDocument/2006/relationships/hyperlink" Target="https://www.tutornow.it/" TargetMode="External" Id="rId5036" /><Relationship Type="http://schemas.openxmlformats.org/officeDocument/2006/relationships/hyperlink" Target="https://drive.google.com/uc?export=view&amp;id=1A4__9BviFXTlk46iZrXWdrRwXWY1TblH" TargetMode="External" Id="rId5037" /><Relationship Type="http://schemas.openxmlformats.org/officeDocument/2006/relationships/hyperlink" Target="http://zamizen.fr/" TargetMode="External" Id="rId5038" /><Relationship Type="http://schemas.openxmlformats.org/officeDocument/2006/relationships/hyperlink" Target="https://www.instagram.com/leszamizen/?hl=fr" TargetMode="External" Id="rId5039" /><Relationship Type="http://schemas.openxmlformats.org/officeDocument/2006/relationships/hyperlink" Target="https://www.linkedin.com/company" TargetMode="External" Id="rId5040" /><Relationship Type="http://schemas.openxmlformats.org/officeDocument/2006/relationships/hyperlink" Target="https://drive.google.com/uc?export=view&amp;id=1oTFX4Ef-8TyosUaL3Tsf04l0xXK03nxG" TargetMode="External" Id="rId5041" /><Relationship Type="http://schemas.openxmlformats.org/officeDocument/2006/relationships/hyperlink" Target="https://www.facebook.com/leszamizen" TargetMode="External" Id="rId5042" /><Relationship Type="http://schemas.openxmlformats.org/officeDocument/2006/relationships/hyperlink" Target="http://www.mygreentraningbox.com/" TargetMode="External" Id="rId5043" /><Relationship Type="http://schemas.openxmlformats.org/officeDocument/2006/relationships/hyperlink" Target="https://www.linkedin.com/showcase/mygreentrainingbox/?viewAsMember=true" TargetMode="External" Id="rId5044" /><Relationship Type="http://schemas.openxmlformats.org/officeDocument/2006/relationships/hyperlink" Target="https://drive.google.com/uc?export=view&amp;id=1bhvlXqXjUTrt2Yx0yta5gD_izlVlRYay" TargetMode="External" Id="rId5045" /><Relationship Type="http://schemas.openxmlformats.org/officeDocument/2006/relationships/hyperlink" Target="http://www.develhope.co/" TargetMode="External" Id="rId5046" /><Relationship Type="http://schemas.openxmlformats.org/officeDocument/2006/relationships/hyperlink" Target="https://www.instagram.com/devel.hope/" TargetMode="External" Id="rId5047" /><Relationship Type="http://schemas.openxmlformats.org/officeDocument/2006/relationships/hyperlink" Target="https://www.linkedin.com/school/develhope/" TargetMode="External" Id="rId5048" /><Relationship Type="http://schemas.openxmlformats.org/officeDocument/2006/relationships/hyperlink" Target="https://drive.google.com/uc?export=view&amp;id=1c8XkAHEU7gpWuRNLkTkUqhmdtPX59FBR" TargetMode="External" Id="rId5049" /><Relationship Type="http://schemas.openxmlformats.org/officeDocument/2006/relationships/hyperlink" Target="https://www.facebook.com/go.develhope" TargetMode="External" Id="rId5050" /><Relationship Type="http://schemas.openxmlformats.org/officeDocument/2006/relationships/hyperlink" Target="https://abilous.com/" TargetMode="External" Id="rId5051" /><Relationship Type="http://schemas.openxmlformats.org/officeDocument/2006/relationships/hyperlink" Target="https://www.instagram.com/abilousapp/" TargetMode="External" Id="rId5052" /><Relationship Type="http://schemas.openxmlformats.org/officeDocument/2006/relationships/hyperlink" Target="https://www.linkedin.com/company/abilous" TargetMode="External" Id="rId5053" /><Relationship Type="http://schemas.openxmlformats.org/officeDocument/2006/relationships/hyperlink" Target="https://drive.google.com/uc?export=view&amp;id=1Xk-k5BbAib1-M5-O7j8Us4aggKUZArmU" TargetMode="External" Id="rId5054" /><Relationship Type="http://schemas.openxmlformats.org/officeDocument/2006/relationships/hyperlink" Target="https://www.facebook.com/abilousfb" TargetMode="External" Id="rId5055" /><Relationship Type="http://schemas.openxmlformats.org/officeDocument/2006/relationships/hyperlink" Target="http://www.godeal.ai/" TargetMode="External" Id="rId5056" /><Relationship Type="http://schemas.openxmlformats.org/officeDocument/2006/relationships/hyperlink" Target="https://www.linkedin.com/company/godeal-ai" TargetMode="External" Id="rId5057" /><Relationship Type="http://schemas.openxmlformats.org/officeDocument/2006/relationships/hyperlink" Target="https://drive.google.com/uc?export=view&amp;id=1EzZogNy1ydfk279hF6B-04Wpj2hnrZpN" TargetMode="External" Id="rId5058" /><Relationship Type="http://schemas.openxmlformats.org/officeDocument/2006/relationships/hyperlink" Target="http://exeko.ai/" TargetMode="External" Id="rId5059" /><Relationship Type="http://schemas.openxmlformats.org/officeDocument/2006/relationships/hyperlink" Target="https://www.linkedin.com/company/exeko-ai" TargetMode="External" Id="rId5060" /><Relationship Type="http://schemas.openxmlformats.org/officeDocument/2006/relationships/hyperlink" Target="https://drive.google.com/uc?export=view&amp;id=1xS1W0egYTDkosl0LN0CymOEMd3gwevaw" TargetMode="External" Id="rId5061" /><Relationship Type="http://schemas.openxmlformats.org/officeDocument/2006/relationships/hyperlink" Target="https://uipathfoundation.com/" TargetMode="External" Id="rId5062" /><Relationship Type="http://schemas.openxmlformats.org/officeDocument/2006/relationships/hyperlink" Target="https://www.linkedin.com/company/uipathfoundation/posts/?feedView=all" TargetMode="External" Id="rId5063" /><Relationship Type="http://schemas.openxmlformats.org/officeDocument/2006/relationships/hyperlink" Target="https://drive.google.com/uc?export=view&amp;id=1yIURW1NGa1yRiayEZEVVBa9kK-QwmDUx" TargetMode="External" Id="rId5064" /><Relationship Type="http://schemas.openxmlformats.org/officeDocument/2006/relationships/hyperlink" Target="https://www.revas.online/" TargetMode="External" Id="rId5065" /><Relationship Type="http://schemas.openxmlformats.org/officeDocument/2006/relationships/hyperlink" Target="https://www.linkedin.com/company/revas-business-simulation-gamesfac" TargetMode="External" Id="rId5066" /><Relationship Type="http://schemas.openxmlformats.org/officeDocument/2006/relationships/hyperlink" Target="https://drive.google.com/uc?export=view&amp;id=1CjSkXMNgfUvIo3ZtmAPIrtbMhy5lju2T" TargetMode="External" Id="rId5067" /><Relationship Type="http://schemas.openxmlformats.org/officeDocument/2006/relationships/hyperlink" Target="https://www.facebook.com/revaspl" TargetMode="External" Id="rId5068" /><Relationship Type="http://schemas.openxmlformats.org/officeDocument/2006/relationships/hyperlink" Target="https://dutchedtech.com/" TargetMode="External" Id="rId5069" /><Relationship Type="http://schemas.openxmlformats.org/officeDocument/2006/relationships/hyperlink" Target="https://www.linkedin.com/company/dutchedtech/" TargetMode="External" Id="rId5070" /><Relationship Type="http://schemas.openxmlformats.org/officeDocument/2006/relationships/hyperlink" Target="https://drive.google.com/uc?export=view&amp;id=1rNeXmXLJRbfM1B_wu40EDoQLVmnYpKsO" TargetMode="External" Id="rId5071" /><Relationship Type="http://schemas.openxmlformats.org/officeDocument/2006/relationships/hyperlink" Target="https://haldoredu.com/" TargetMode="External" Id="rId5072" /><Relationship Type="http://schemas.openxmlformats.org/officeDocument/2006/relationships/hyperlink" Target="https://www.instagram.com/haldoredu/" TargetMode="External" Id="rId5073" /><Relationship Type="http://schemas.openxmlformats.org/officeDocument/2006/relationships/hyperlink" Target="https://x.com/HaldorEdu" TargetMode="External" Id="rId5074" /><Relationship Type="http://schemas.openxmlformats.org/officeDocument/2006/relationships/hyperlink" Target="https://www.linkedin.com/company/17880084/" TargetMode="External" Id="rId5075" /><Relationship Type="http://schemas.openxmlformats.org/officeDocument/2006/relationships/hyperlink" Target="https://drive.google.com/uc?export=view&amp;id=1llqrht6eDgXQlStVT1Kui7MPeT0Q52Fd" TargetMode="External" Id="rId5076" /><Relationship Type="http://schemas.openxmlformats.org/officeDocument/2006/relationships/hyperlink" Target="https://www.facebook.com/HaldorEducation/" TargetMode="External" Id="rId5077" /><Relationship Type="http://schemas.openxmlformats.org/officeDocument/2006/relationships/hyperlink" Target="https://mysoly.nl/learning/" TargetMode="External" Id="rId5078" /><Relationship Type="http://schemas.openxmlformats.org/officeDocument/2006/relationships/hyperlink" Target="https://www.instagram.com/mysoly_nl/?hl=en" TargetMode="External" Id="rId5079" /><Relationship Type="http://schemas.openxmlformats.org/officeDocument/2006/relationships/hyperlink" Target="https://www.linkedin.com/company/82955558/" TargetMode="External" Id="rId5080" /><Relationship Type="http://schemas.openxmlformats.org/officeDocument/2006/relationships/hyperlink" Target="http://nt2campus.nl/" TargetMode="External" Id="rId5081" /><Relationship Type="http://schemas.openxmlformats.org/officeDocument/2006/relationships/hyperlink" Target="http://testgerman.de/" TargetMode="External" Id="rId5082" /><Relationship Type="http://schemas.openxmlformats.org/officeDocument/2006/relationships/hyperlink" Target="https://drive.google.com/uc?export=view&amp;id=1AqQiAOb1-xQdvWNhiTk2zDSzKC4LZxGT" TargetMode="External" Id="rId5083" /><Relationship Type="http://schemas.openxmlformats.org/officeDocument/2006/relationships/hyperlink" Target="https://www.facebook.com/mysoly.nl/" TargetMode="External" Id="rId5084" /><Relationship Type="http://schemas.openxmlformats.org/officeDocument/2006/relationships/hyperlink" Target="http://enablr-ai.com/" TargetMode="External" Id="rId5085" /><Relationship Type="http://schemas.openxmlformats.org/officeDocument/2006/relationships/hyperlink" Target="https://www.linkedin.com/company/enablrai/" TargetMode="External" Id="rId5086" /><Relationship Type="http://schemas.openxmlformats.org/officeDocument/2006/relationships/hyperlink" Target="https://drive.google.com/uc?export=view&amp;id=1st1LLgi8wCygQbFdxIhSKrewOTohE2V5" TargetMode="External" Id="rId5087" /><Relationship Type="http://schemas.openxmlformats.org/officeDocument/2006/relationships/hyperlink" Target="http://www.lalilo.com/" TargetMode="External" Id="rId5088" /><Relationship Type="http://schemas.openxmlformats.org/officeDocument/2006/relationships/hyperlink" Target="https://drive.google.com/uc?export=view&amp;id=1FO6cnJ2yNeLsw9OY0ouPnXQq2S4Q9EU7" TargetMode="External" Id="rId5089" /><Relationship Type="http://schemas.openxmlformats.org/officeDocument/2006/relationships/hyperlink" Target="https://formulearn.org/" TargetMode="External" Id="rId5090" /><Relationship Type="http://schemas.openxmlformats.org/officeDocument/2006/relationships/hyperlink" Target="https://www.linkedin.com/company/formulearn" TargetMode="External" Id="rId5091" /><Relationship Type="http://schemas.openxmlformats.org/officeDocument/2006/relationships/hyperlink" Target="https://drive.google.com/uc?export=view&amp;id=1iJIIceIO_n57DrpRgRR96i4yhbWcfj4a" TargetMode="External" Id="rId5092" /><Relationship Type="http://schemas.openxmlformats.org/officeDocument/2006/relationships/hyperlink" Target="http://www.lessonslearnt.eu/" TargetMode="External" Id="rId5093" /><Relationship Type="http://schemas.openxmlformats.org/officeDocument/2006/relationships/hyperlink" Target="https://www.linkedin.com/company/lessonslearnt-eu/" TargetMode="External" Id="rId5094" /><Relationship Type="http://schemas.openxmlformats.org/officeDocument/2006/relationships/hyperlink" Target="https://drive.google.com/uc?export=view&amp;id=1Ec-EBrHrC7Tiql8taqzYIbynL7uPKQkT" TargetMode="External" Id="rId5095" /><Relationship Type="http://schemas.openxmlformats.org/officeDocument/2006/relationships/hyperlink" Target="http://www.edulai.com/" TargetMode="External" Id="rId5096" /><Relationship Type="http://schemas.openxmlformats.org/officeDocument/2006/relationships/hyperlink" Target="https://www.linkedin.com/company/edulai/?viewAsMember=true" TargetMode="External" Id="rId5097" /><Relationship Type="http://schemas.openxmlformats.org/officeDocument/2006/relationships/hyperlink" Target="https://drive.google.com/uc?export=view&amp;id=1lcsxF1OaNHii4HBLSErw-rW_SfY1441c" TargetMode="External" Id="rId5098" /><Relationship Type="http://schemas.openxmlformats.org/officeDocument/2006/relationships/hyperlink" Target="https://www.facebook.com/edulaismarthink" TargetMode="External" Id="rId5099" /><Relationship Type="http://schemas.openxmlformats.org/officeDocument/2006/relationships/hyperlink" Target="https://www.scolnet.com/" TargetMode="External" Id="rId5100" /><Relationship Type="http://schemas.openxmlformats.org/officeDocument/2006/relationships/hyperlink" Target="https://www.instagram.com/scolnetapp/" TargetMode="External" Id="rId5101" /><Relationship Type="http://schemas.openxmlformats.org/officeDocument/2006/relationships/hyperlink" Target="https://x.com/scolnetapp" TargetMode="External" Id="rId5102" /><Relationship Type="http://schemas.openxmlformats.org/officeDocument/2006/relationships/hyperlink" Target="https://linkedin.com/company/scolnet" TargetMode="External" Id="rId5103" /><Relationship Type="http://schemas.openxmlformats.org/officeDocument/2006/relationships/hyperlink" Target="https://drive.google.com/uc?export=view&amp;id=1svyXQGScFnYMsdC-dV_T-NlvJmZ-AX5l" TargetMode="External" Id="rId5104" /><Relationship Type="http://schemas.openxmlformats.org/officeDocument/2006/relationships/hyperlink" Target="https://www.facebook.com/ScolnetApp" TargetMode="External" Id="rId5105" /><Relationship Type="http://schemas.openxmlformats.org/officeDocument/2006/relationships/hyperlink" Target="https://skillbeam.fr/" TargetMode="External" Id="rId5106" /><Relationship Type="http://schemas.openxmlformats.org/officeDocument/2006/relationships/hyperlink" Target="https://www.linkedin.com/company/skilbeam/" TargetMode="External" Id="rId5107" /><Relationship Type="http://schemas.openxmlformats.org/officeDocument/2006/relationships/hyperlink" Target="https://drive.google.com/uc?export=view&amp;id=18SmANAyEvXEcsVuY7azfW0WXzGT5MwBY" TargetMode="External" Id="rId5108" /><Relationship Type="http://schemas.openxmlformats.org/officeDocument/2006/relationships/hyperlink" Target="http://www.steamminds.org/" TargetMode="External" Id="rId5109" /><Relationship Type="http://schemas.openxmlformats.org/officeDocument/2006/relationships/hyperlink" Target="https://drive.google.com/uc?export=view&amp;id=15T_daYE9ONj31IbgNxuiVd1RQAxdph7e" TargetMode="External" Id="rId5110" /><Relationship Type="http://schemas.openxmlformats.org/officeDocument/2006/relationships/hyperlink" Target="https://fernstudium.study/" TargetMode="External" Id="rId5111" /><Relationship Type="http://schemas.openxmlformats.org/officeDocument/2006/relationships/hyperlink" Target="https://www.instagram.com/e_learning_group/" TargetMode="External" Id="rId5112" /><Relationship Type="http://schemas.openxmlformats.org/officeDocument/2006/relationships/hyperlink" Target="https://www.linkedin.com/school/elc-e-learning-consulting-gmbh/" TargetMode="External" Id="rId5113" /><Relationship Type="http://schemas.openxmlformats.org/officeDocument/2006/relationships/hyperlink" Target="https://drive.google.com/uc?export=view&amp;id=11TQRxIXZm-w1pj9UFkXenR12AIX_HPZH" TargetMode="External" Id="rId5114" /><Relationship Type="http://schemas.openxmlformats.org/officeDocument/2006/relationships/hyperlink" Target="http://socialshuffle.com/" TargetMode="External" Id="rId5115" /><Relationship Type="http://schemas.openxmlformats.org/officeDocument/2006/relationships/hyperlink" Target="https://www.instagram.com/_socialshuffle/" TargetMode="External" Id="rId5116" /><Relationship Type="http://schemas.openxmlformats.org/officeDocument/2006/relationships/hyperlink" Target="https://www.linkedin.com/company/socialshuffle" TargetMode="External" Id="rId5117" /><Relationship Type="http://schemas.openxmlformats.org/officeDocument/2006/relationships/hyperlink" Target="https://drive.google.com/uc?export=view&amp;id=16ik9xvsSLuzkGrK95J5TRPkD-LLcWGZ_" TargetMode="External" Id="rId5118" /><Relationship Type="http://schemas.openxmlformats.org/officeDocument/2006/relationships/hyperlink" Target="https://datamasters.it/" TargetMode="External" Id="rId5119" /><Relationship Type="http://schemas.openxmlformats.org/officeDocument/2006/relationships/hyperlink" Target="https://www.instagram.com/datamasters.it/" TargetMode="External" Id="rId5120" /><Relationship Type="http://schemas.openxmlformats.org/officeDocument/2006/relationships/hyperlink" Target="https://www.linkedin.com/school/datamasters-it/" TargetMode="External" Id="rId5121" /><Relationship Type="http://schemas.openxmlformats.org/officeDocument/2006/relationships/hyperlink" Target="https://drive.google.com/uc?export=view&amp;id=1BittYd8GqOk7O8QXOmKKxE9sVS-PD0Id" TargetMode="External" Id="rId5122" /><Relationship Type="http://schemas.openxmlformats.org/officeDocument/2006/relationships/hyperlink" Target="https://www.facebook.com/datamasters" TargetMode="External" Id="rId5123" /><Relationship Type="http://schemas.openxmlformats.org/officeDocument/2006/relationships/hyperlink" Target="http://www.studystash.com/" TargetMode="External" Id="rId5124" /><Relationship Type="http://schemas.openxmlformats.org/officeDocument/2006/relationships/hyperlink" Target="https://www.linkedin.com/company/studystash" TargetMode="External" Id="rId5125" /><Relationship Type="http://schemas.openxmlformats.org/officeDocument/2006/relationships/hyperlink" Target="https://drive.google.com/uc?export=view&amp;id=1M_lk7hkqSITsyM-EMNGPYFY7EXbA0Ae9" TargetMode="External" Id="rId5126" /><Relationship Type="http://schemas.openxmlformats.org/officeDocument/2006/relationships/hyperlink" Target="https://macenta.com.tr/" TargetMode="External" Id="rId5127" /><Relationship Type="http://schemas.openxmlformats.org/officeDocument/2006/relationships/hyperlink" Target="https://www.linkedin.com/company/macenta-publishing-digital-solutions/posts/?feedView=all" TargetMode="External" Id="rId5128" /><Relationship Type="http://schemas.openxmlformats.org/officeDocument/2006/relationships/hyperlink" Target="https://drive.google.com/uc?export=view&amp;id=1_LHqebcoy3RkEZKN41slkVw6jom7v06_" TargetMode="External" Id="rId5129" /><Relationship Type="http://schemas.openxmlformats.org/officeDocument/2006/relationships/hyperlink" Target="https://global.kingsolympiad.com/" TargetMode="External" Id="rId5130" /><Relationship Type="http://schemas.openxmlformats.org/officeDocument/2006/relationships/hyperlink" Target="https://www.linkedin.com/company/kingseducation/" TargetMode="External" Id="rId5131" /><Relationship Type="http://schemas.openxmlformats.org/officeDocument/2006/relationships/hyperlink" Target="https://drive.google.com/uc?export=view&amp;id=14WzQutFrXWr6fyLHmQB56BW6UYvfLn-7" TargetMode="External" Id="rId5132" /><Relationship Type="http://schemas.openxmlformats.org/officeDocument/2006/relationships/hyperlink" Target="http://www.sapered.com/" TargetMode="External" Id="rId5133" /><Relationship Type="http://schemas.openxmlformats.org/officeDocument/2006/relationships/hyperlink" Target="https://www.instagram.com/sapered_gmbh/?hl=de" TargetMode="External" Id="rId5134" /><Relationship Type="http://schemas.openxmlformats.org/officeDocument/2006/relationships/hyperlink" Target="https://de.linkedin.com/company/sapered" TargetMode="External" Id="rId5135" /><Relationship Type="http://schemas.openxmlformats.org/officeDocument/2006/relationships/hyperlink" Target="https://drive.google.com/uc?export=view&amp;id=1EDdkSefV1M5nedW6ZI_ZZAlxTQDaWx3a" TargetMode="External" Id="rId5136" /><Relationship Type="http://schemas.openxmlformats.org/officeDocument/2006/relationships/hyperlink" Target="https://web2learn.eu/" TargetMode="External" Id="rId5137" /><Relationship Type="http://schemas.openxmlformats.org/officeDocument/2006/relationships/hyperlink" Target="https://www.instagram.com/web2learn_eu/" TargetMode="External" Id="rId5138" /><Relationship Type="http://schemas.openxmlformats.org/officeDocument/2006/relationships/hyperlink" Target="https://www.linkedin.com/company/web2learn/" TargetMode="External" Id="rId5139" /><Relationship Type="http://schemas.openxmlformats.org/officeDocument/2006/relationships/hyperlink" Target="https://drive.google.com/uc?export=view&amp;id=1KunglAI4FAjeBvJxINUt1NX4vmTih-d9" TargetMode="External" Id="rId5140" /><Relationship Type="http://schemas.openxmlformats.org/officeDocument/2006/relationships/hyperlink" Target="https://www.buzzgage.org/" TargetMode="External" Id="rId5141" /><Relationship Type="http://schemas.openxmlformats.org/officeDocument/2006/relationships/hyperlink" Target="https://www.linkedin.com/company/buzzgage" TargetMode="External" Id="rId5142" /><Relationship Type="http://schemas.openxmlformats.org/officeDocument/2006/relationships/hyperlink" Target="https://drive.google.com/uc?export=view&amp;id=1o25hnd1mj80lZdigDLYPCG71gZ1lYOsW" TargetMode="External" Id="rId5143" /><Relationship Type="http://schemas.openxmlformats.org/officeDocument/2006/relationships/hyperlink" Target="http://nolej.io/" TargetMode="External" Id="rId5144" /><Relationship Type="http://schemas.openxmlformats.org/officeDocument/2006/relationships/hyperlink" Target="https://drive.google.com/uc?export=view&amp;id=1qMr7ygDY_E7SDE66NsKuGIo0Fovg9H4n" TargetMode="External" Id="rId5145" /><Relationship Type="http://schemas.openxmlformats.org/officeDocument/2006/relationships/hyperlink" Target="http://www.websitex5.com/" TargetMode="External" Id="rId5146" /><Relationship Type="http://schemas.openxmlformats.org/officeDocument/2006/relationships/hyperlink" Target="https://x.com/Incomedia" TargetMode="External" Id="rId5147" /><Relationship Type="http://schemas.openxmlformats.org/officeDocument/2006/relationships/hyperlink" Target="https://it.linkedin.com/company/incomedia" TargetMode="External" Id="rId5148" /><Relationship Type="http://schemas.openxmlformats.org/officeDocument/2006/relationships/hyperlink" Target="https://drive.google.com/uc?export=view&amp;id=1mbKSMizlAEMemGand1s4Y6IWUEPcUvNG" TargetMode="External" Id="rId5149" /><Relationship Type="http://schemas.openxmlformats.org/officeDocument/2006/relationships/hyperlink" Target="https://www.facebook.com/Incomedia/" TargetMode="External" Id="rId5150" /><Relationship Type="http://schemas.openxmlformats.org/officeDocument/2006/relationships/hyperlink" Target="https://www.brainlane.nl/" TargetMode="External" Id="rId5151" /><Relationship Type="http://schemas.openxmlformats.org/officeDocument/2006/relationships/hyperlink" Target="https://www.instagram.com/brainlanehq/" TargetMode="External" Id="rId5152" /><Relationship Type="http://schemas.openxmlformats.org/officeDocument/2006/relationships/hyperlink" Target="https://www.linkedin.com/company/brainlanehq/" TargetMode="External" Id="rId5153" /><Relationship Type="http://schemas.openxmlformats.org/officeDocument/2006/relationships/hyperlink" Target="https://drive.google.com/uc?export=view&amp;id=1Hzz1yEpCOVVhwdnKN5a5MPd6MrRmYwG6" TargetMode="External" Id="rId5154" /><Relationship Type="http://schemas.openxmlformats.org/officeDocument/2006/relationships/hyperlink" Target="https://www.facebook.com/BrainlaneHQ/" TargetMode="External" Id="rId5155" /><Relationship Type="http://schemas.openxmlformats.org/officeDocument/2006/relationships/hyperlink" Target="https://www.gamindo.com/" TargetMode="External" Id="rId5156" /><Relationship Type="http://schemas.openxmlformats.org/officeDocument/2006/relationships/hyperlink" Target="https://www.linkedin.com/company/gamindo/" TargetMode="External" Id="rId5157" /><Relationship Type="http://schemas.openxmlformats.org/officeDocument/2006/relationships/hyperlink" Target="https://drive.google.com/uc?export=view&amp;id=19FEF2Yk180DCdJz-Ny-8kGTc9r69px-r" TargetMode="External" Id="rId5158" /><Relationship Type="http://schemas.openxmlformats.org/officeDocument/2006/relationships/hyperlink" Target="https://www.beeapro.academy/" TargetMode="External" Id="rId5159" /><Relationship Type="http://schemas.openxmlformats.org/officeDocument/2006/relationships/hyperlink" Target="https://www.linkedin.com/company/beeapro/" TargetMode="External" Id="rId5160" /><Relationship Type="http://schemas.openxmlformats.org/officeDocument/2006/relationships/hyperlink" Target="https://drive.google.com/uc?export=view&amp;id=1hNAY0CtMriEQatjx1Aaf_xMnP-YSJhuK" TargetMode="External" Id="rId5161" /><Relationship Type="http://schemas.openxmlformats.org/officeDocument/2006/relationships/hyperlink" Target="https://www.univerbal.app/" TargetMode="External" Id="rId5162" /><Relationship Type="http://schemas.openxmlformats.org/officeDocument/2006/relationships/hyperlink" Target="https://www.instagram.com/univerbalapp/" TargetMode="External" Id="rId5163" /><Relationship Type="http://schemas.openxmlformats.org/officeDocument/2006/relationships/hyperlink" Target="https://www.linkedin.com/company/univerbalapp/" TargetMode="External" Id="rId5164" /><Relationship Type="http://schemas.openxmlformats.org/officeDocument/2006/relationships/hyperlink" Target="https://drive.google.com/uc?export=view&amp;id=1CKOwL2hXw4kjLZqd3aWxUJW_NEsQoRi7" TargetMode="External" Id="rId5165" /><Relationship Type="http://schemas.openxmlformats.org/officeDocument/2006/relationships/hyperlink" Target="https://techtitans.cloud/" TargetMode="External" Id="rId5166" /><Relationship Type="http://schemas.openxmlformats.org/officeDocument/2006/relationships/hyperlink" Target="https://www.instagram.com/techtitans_creativetechnology" TargetMode="External" Id="rId5167" /><Relationship Type="http://schemas.openxmlformats.org/officeDocument/2006/relationships/hyperlink" Target="https://x.com/TechTitanshub" TargetMode="External" Id="rId5168" /><Relationship Type="http://schemas.openxmlformats.org/officeDocument/2006/relationships/hyperlink" Target="https://www.linkedin.com/company/techtitanscreativetechnologyhub" TargetMode="External" Id="rId5169" /><Relationship Type="http://schemas.openxmlformats.org/officeDocument/2006/relationships/hyperlink" Target="https://drive.google.com/uc?export=view&amp;id=1NeqWDoMCfouaLjLOj_fFYaUzsVfjprhC" TargetMode="External" Id="rId5170" /><Relationship Type="http://schemas.openxmlformats.org/officeDocument/2006/relationships/hyperlink" Target="https://www.facebook.com/techtitans.creativetechnology" TargetMode="External" Id="rId5171" /><Relationship Type="http://schemas.openxmlformats.org/officeDocument/2006/relationships/hyperlink" Target="https://www.ampullarium.app/" TargetMode="External" Id="rId5172" /><Relationship Type="http://schemas.openxmlformats.org/officeDocument/2006/relationships/hyperlink" Target="https://www.instagram.com/team_ampullarium/?hl=de" TargetMode="External" Id="rId5173" /><Relationship Type="http://schemas.openxmlformats.org/officeDocument/2006/relationships/hyperlink" Target="https://drive.google.com/uc?export=view&amp;id=1Mg44z7Gip-e32zguojj6cEyKdd9x87m0" TargetMode="External" Id="rId5174" /><Relationship Type="http://schemas.openxmlformats.org/officeDocument/2006/relationships/hyperlink" Target="https://www.blify.co/" TargetMode="External" Id="rId5175" /><Relationship Type="http://schemas.openxmlformats.org/officeDocument/2006/relationships/hyperlink" Target="https://x.com/blifyapp" TargetMode="External" Id="rId5176" /><Relationship Type="http://schemas.openxmlformats.org/officeDocument/2006/relationships/hyperlink" Target="https://www.linkedin.com/company/blify/" TargetMode="External" Id="rId5177" /><Relationship Type="http://schemas.openxmlformats.org/officeDocument/2006/relationships/hyperlink" Target="https://drive.google.com/uc?export=view&amp;id=1_JH2F4Bw6DXFNcIkkd_7Vw_MW7vpzLw9" TargetMode="External" Id="rId5178" /><Relationship Type="http://schemas.openxmlformats.org/officeDocument/2006/relationships/hyperlink" Target="http://coachello.ai/" TargetMode="External" Id="rId5179" /><Relationship Type="http://schemas.openxmlformats.org/officeDocument/2006/relationships/hyperlink" Target="http://fr.linkedin.com/company/coachello-ai-coaching-platform" TargetMode="External" Id="rId5180" /><Relationship Type="http://schemas.openxmlformats.org/officeDocument/2006/relationships/hyperlink" Target="https://drive.google.com/uc?export=view&amp;id=1O89FJBuxVxn8mkOo4QzBgoxcD1dR2fWY" TargetMode="External" Id="rId5181" /><Relationship Type="http://schemas.openxmlformats.org/officeDocument/2006/relationships/hyperlink" Target="http://expliq.fr/" TargetMode="External" Id="rId5182" /><Relationship Type="http://schemas.openxmlformats.org/officeDocument/2006/relationships/hyperlink" Target="https://www.instagram.com/mathena_education/" TargetMode="External" Id="rId5183" /><Relationship Type="http://schemas.openxmlformats.org/officeDocument/2006/relationships/hyperlink" Target="https://www.linkedin.com/company/108908457" TargetMode="External" Id="rId5184" /><Relationship Type="http://schemas.openxmlformats.org/officeDocument/2006/relationships/hyperlink" Target="https://drive.google.com/uc?export=view&amp;id=10px5gYRAai8tk2xzzB1sPT2EFpif2v7e" TargetMode="External" Id="rId5185" /><Relationship Type="http://schemas.openxmlformats.org/officeDocument/2006/relationships/hyperlink" Target="http://primeprofs.fr/" TargetMode="External" Id="rId5186" /><Relationship Type="http://schemas.openxmlformats.org/officeDocument/2006/relationships/hyperlink" Target="https://www.linkedin.com/company/prime-profs/?viewAsMember=true" TargetMode="External" Id="rId5187" /><Relationship Type="http://schemas.openxmlformats.org/officeDocument/2006/relationships/hyperlink" Target="https://drive.google.com/uc?export=view&amp;id=1S7-nZ4zFlFWDGpIcElqRMyNxm_H1uvk7" TargetMode="External" Id="rId5188" /><Relationship Type="http://schemas.openxmlformats.org/officeDocument/2006/relationships/hyperlink" Target="https://www.mybookinou.com/" TargetMode="External" Id="rId5189" /><Relationship Type="http://schemas.openxmlformats.org/officeDocument/2006/relationships/hyperlink" Target="https://www.instagram.com/bookinou/?hl=fr" TargetMode="External" Id="rId5190" /><Relationship Type="http://schemas.openxmlformats.org/officeDocument/2006/relationships/hyperlink" Target="https://x.com/mybookinou" TargetMode="External" Id="rId5191" /><Relationship Type="http://schemas.openxmlformats.org/officeDocument/2006/relationships/hyperlink" Target="https://www.linkedin.com/company/bookinou" TargetMode="External" Id="rId5192" /><Relationship Type="http://schemas.openxmlformats.org/officeDocument/2006/relationships/hyperlink" Target="https://drive.google.com/uc?export=view&amp;id=1or7a4dwWWjQ2Looq7WMMDyC06BmU4bpg" TargetMode="External" Id="rId5193" /><Relationship Type="http://schemas.openxmlformats.org/officeDocument/2006/relationships/hyperlink" Target="https://www.aptilink.com/" TargetMode="External" Id="rId5194" /><Relationship Type="http://schemas.openxmlformats.org/officeDocument/2006/relationships/hyperlink" Target="https://www.linkedin.com/company/aptilink/" TargetMode="External" Id="rId5195" /><Relationship Type="http://schemas.openxmlformats.org/officeDocument/2006/relationships/hyperlink" Target="https://drive.google.com/uc?export=view&amp;id=1Z6h2ofQORfeT-rCL5_Jo1DxR1FuvAw9-" TargetMode="External" Id="rId5196" /><Relationship Type="http://schemas.openxmlformats.org/officeDocument/2006/relationships/hyperlink" Target="https://www.beedeez.com/fr/" TargetMode="External" Id="rId5197" /><Relationship Type="http://schemas.openxmlformats.org/officeDocument/2006/relationships/hyperlink" Target="https://www.linkedin.com/company/beedeez/posts/?feedView=all" TargetMode="External" Id="rId5198" /><Relationship Type="http://schemas.openxmlformats.org/officeDocument/2006/relationships/hyperlink" Target="https://drive.google.com/uc?export=view&amp;id=15dYoEAn7Jf0GiVopuIHGhqCBBuobiA4H" TargetMode="External" Id="rId5199" /><Relationship Type="http://schemas.openxmlformats.org/officeDocument/2006/relationships/hyperlink" Target="http://www.hopteo.com/" TargetMode="External" Id="rId5200" /><Relationship Type="http://schemas.openxmlformats.org/officeDocument/2006/relationships/hyperlink" Target="https://www.instagram.com/hopteo_app/" TargetMode="External" Id="rId5201" /><Relationship Type="http://schemas.openxmlformats.org/officeDocument/2006/relationships/hyperlink" Target="https://www.linkedin.com/company/hopteo" TargetMode="External" Id="rId5202" /><Relationship Type="http://schemas.openxmlformats.org/officeDocument/2006/relationships/hyperlink" Target="https://drive.google.com/uc?export=view&amp;id=1PG0epXFvC-fNUDOafNtApPcJ2kcNQY97" TargetMode="External" Id="rId5203" /><Relationship Type="http://schemas.openxmlformats.org/officeDocument/2006/relationships/hyperlink" Target="https://www.facebook.com/p/Hopteo-100092716956707/" TargetMode="External" Id="rId5204" /><Relationship Type="http://schemas.openxmlformats.org/officeDocument/2006/relationships/hyperlink" Target="https://www.facil-iti.fr/" TargetMode="External" Id="rId5205" /><Relationship Type="http://schemas.openxmlformats.org/officeDocument/2006/relationships/hyperlink" Target="https://www.instagram.com/facil_iti/" TargetMode="External" Id="rId5206" /><Relationship Type="http://schemas.openxmlformats.org/officeDocument/2006/relationships/hyperlink" Target="https://twitter.com/facil_iti" TargetMode="External" Id="rId5207" /><Relationship Type="http://schemas.openxmlformats.org/officeDocument/2006/relationships/hyperlink" Target="https://www.linkedin.com/company/facil-iti-france/" TargetMode="External" Id="rId5208" /><Relationship Type="http://schemas.openxmlformats.org/officeDocument/2006/relationships/hyperlink" Target="https://drive.google.com/uc?export=view&amp;id=1S7LL3RxuHou84CrNHPGMAtFAIdZLkbyD" TargetMode="External" Id="rId5209" /><Relationship Type="http://schemas.openxmlformats.org/officeDocument/2006/relationships/hyperlink" Target="https://fr-fr.facebook.com/solutionfaciliti/" TargetMode="External" Id="rId5210" /><Relationship Type="http://schemas.openxmlformats.org/officeDocument/2006/relationships/hyperlink" Target="https://www.youscribe.com/" TargetMode="External" Id="rId5211" /><Relationship Type="http://schemas.openxmlformats.org/officeDocument/2006/relationships/hyperlink" Target="https://www.linkedin.com/company/youscribe/?originalSubdomain=fr" TargetMode="External" Id="rId5212" /><Relationship Type="http://schemas.openxmlformats.org/officeDocument/2006/relationships/hyperlink" Target="https://drive.google.com/uc?export=view&amp;id=1dB8TqyBB-DSd4IIF0GfMH9knkRXsBbJ4" TargetMode="External" Id="rId5213" /><Relationship Type="http://schemas.openxmlformats.org/officeDocument/2006/relationships/hyperlink" Target="https://sankliche.org/" TargetMode="External" Id="rId5214" /><Relationship Type="http://schemas.openxmlformats.org/officeDocument/2006/relationships/hyperlink" Target="https://drive.google.com/uc?export=view&amp;id=1zH8AQ3ZNmeioci_BTBJkJVwi2d4UEnub" TargetMode="External" Id="rId5215" /><Relationship Type="http://schemas.openxmlformats.org/officeDocument/2006/relationships/hyperlink" Target="https://acadeclic.fr/" TargetMode="External" Id="rId5216" /><Relationship Type="http://schemas.openxmlformats.org/officeDocument/2006/relationships/hyperlink" Target="https://www.instagram.com/acadeclic_france/" TargetMode="External" Id="rId5217" /><Relationship Type="http://schemas.openxmlformats.org/officeDocument/2006/relationships/hyperlink" Target="https://twitter.com/acadeclic" TargetMode="External" Id="rId5218" /><Relationship Type="http://schemas.openxmlformats.org/officeDocument/2006/relationships/hyperlink" Target="https://www.linkedin.com/company/acadeclic" TargetMode="External" Id="rId5219" /><Relationship Type="http://schemas.openxmlformats.org/officeDocument/2006/relationships/hyperlink" Target="https://drive.google.com/uc?export=view&amp;id=1CQJU4TNVQySNVaS_8qJdMDDci_5w99bq" TargetMode="External" Id="rId5220" /><Relationship Type="http://schemas.openxmlformats.org/officeDocument/2006/relationships/hyperlink" Target="https://www.facebook.com/Acadeclic/" TargetMode="External" Id="rId5221" /><Relationship Type="http://schemas.openxmlformats.org/officeDocument/2006/relationships/hyperlink" Target="https://www.adesoft.com/" TargetMode="External" Id="rId5222" /><Relationship Type="http://schemas.openxmlformats.org/officeDocument/2006/relationships/hyperlink" Target="https://www.linkedin.com/company/adesoft/" TargetMode="External" Id="rId5223" /><Relationship Type="http://schemas.openxmlformats.org/officeDocument/2006/relationships/hyperlink" Target="https://drive.google.com/uc?export=view&amp;id=1C4e1_s_bva05yGJP3Woah_jAdssB7FlU" TargetMode="External" Id="rId5224" /><Relationship Type="http://schemas.openxmlformats.org/officeDocument/2006/relationships/hyperlink" Target="http://edviatec.com/" TargetMode="External" Id="rId5225" /><Relationship Type="http://schemas.openxmlformats.org/officeDocument/2006/relationships/hyperlink" Target="https://www.linkedin.com/company/edviatec/" TargetMode="External" Id="rId5226" /><Relationship Type="http://schemas.openxmlformats.org/officeDocument/2006/relationships/hyperlink" Target="https://drive.google.com/uc?export=view&amp;id=1b35qc_viPcam870c1JqkVQDJuG9pNlQj" TargetMode="External" Id="rId5227" /><Relationship Type="http://schemas.openxmlformats.org/officeDocument/2006/relationships/hyperlink" Target="http://www.snapplify.com/" TargetMode="External" Id="rId5228" /><Relationship Type="http://schemas.openxmlformats.org/officeDocument/2006/relationships/hyperlink" Target="https://www.linkedin.com/company/snapplify/about/?viewAsMember=true" TargetMode="External" Id="rId5229" /><Relationship Type="http://schemas.openxmlformats.org/officeDocument/2006/relationships/hyperlink" Target="https://drive.google.com/uc?export=view&amp;id=13nxBF61BEdYrB-vAwStF95eyTlJ5QmdG" TargetMode="External" Id="rId5230" /><Relationship Type="http://schemas.openxmlformats.org/officeDocument/2006/relationships/hyperlink" Target="https://anotherbrick.it/" TargetMode="External" Id="rId5231" /><Relationship Type="http://schemas.openxmlformats.org/officeDocument/2006/relationships/hyperlink" Target="https://www.linkedin.com/company/another-brick/" TargetMode="External" Id="rId5232" /><Relationship Type="http://schemas.openxmlformats.org/officeDocument/2006/relationships/hyperlink" Target="https://drive.google.com/uc?export=view&amp;id=1n9DI21cdA4_DKaTNP85uLwd-Jp4QHV9S" TargetMode="External" Id="rId5233" /><Relationship Type="http://schemas.openxmlformats.org/officeDocument/2006/relationships/hyperlink" Target="http://leazy.net/" TargetMode="External" Id="rId5234" /><Relationship Type="http://schemas.openxmlformats.org/officeDocument/2006/relationships/hyperlink" Target="https://www.linkedin.com/company/leazy-edu/" TargetMode="External" Id="rId5235" /><Relationship Type="http://schemas.openxmlformats.org/officeDocument/2006/relationships/hyperlink" Target="https://drive.google.com/uc?export=view&amp;id=1lo1enbPy3wY58mXH9dh9YAEwRxNWzd4s" TargetMode="External" Id="rId5236" /><Relationship Type="http://schemas.openxmlformats.org/officeDocument/2006/relationships/hyperlink" Target="https://marschallenge.space/" TargetMode="External" Id="rId5237" /><Relationship Type="http://schemas.openxmlformats.org/officeDocument/2006/relationships/hyperlink" Target="https://www.linkedin.com/company/marschallenge" TargetMode="External" Id="rId5238" /><Relationship Type="http://schemas.openxmlformats.org/officeDocument/2006/relationships/hyperlink" Target="https://drive.google.com/uc?export=view&amp;id=1Hp39nL5D9218k9J0Cgew9ho67v2OPCal" TargetMode="External" Id="rId5239" /><Relationship Type="http://schemas.openxmlformats.org/officeDocument/2006/relationships/hyperlink" Target="http://www.chess-junior.com/" TargetMode="External" Id="rId5240" /><Relationship Type="http://schemas.openxmlformats.org/officeDocument/2006/relationships/hyperlink" Target="https://www.linkedin.com/company/cubes-art-chess-innovations" TargetMode="External" Id="rId5241" /><Relationship Type="http://schemas.openxmlformats.org/officeDocument/2006/relationships/hyperlink" Target="https://drive.google.com/uc?export=view&amp;id=1mt9zvcekHbUvbwz88R42mbcAsR26aQGt" TargetMode="External" Id="rId5242" /><Relationship Type="http://schemas.openxmlformats.org/officeDocument/2006/relationships/hyperlink" Target="https://www.egitimgpt.com/" TargetMode="External" Id="rId5243" /><Relationship Type="http://schemas.openxmlformats.org/officeDocument/2006/relationships/hyperlink" Target="https://drive.google.com/uc?export=view&amp;id=1vDumgN3Lhn0yjYyc2kTqcn3_GlIlzZac" TargetMode="External" Id="rId5244" /><Relationship Type="http://schemas.openxmlformats.org/officeDocument/2006/relationships/hyperlink" Target="https://askowlo.com/?ref=edtech-map" TargetMode="External" Id="rId5245" /><Relationship Type="http://schemas.openxmlformats.org/officeDocument/2006/relationships/hyperlink" Target="https://www.instagram.com/ask.owlo" TargetMode="External" Id="rId5246" /><Relationship Type="http://schemas.openxmlformats.org/officeDocument/2006/relationships/hyperlink" Target="https://x.com/askowlo" TargetMode="External" Id="rId5247" /><Relationship Type="http://schemas.openxmlformats.org/officeDocument/2006/relationships/hyperlink" Target="https://www.linkedin.com/company/askowlo/" TargetMode="External" Id="rId5248" /><Relationship Type="http://schemas.openxmlformats.org/officeDocument/2006/relationships/hyperlink" Target="https://drive.google.com/uc?export=view&amp;id=1PRZm-cwATShgTOKyeaESlzJTlWFSBB6w" TargetMode="External" Id="rId5249" /><Relationship Type="http://schemas.openxmlformats.org/officeDocument/2006/relationships/hyperlink" Target="https://www.facebook.com/profile.php?id=61576192206238" TargetMode="External" Id="rId5250" /><Relationship Type="http://schemas.openxmlformats.org/officeDocument/2006/relationships/hyperlink" Target="http://www.kindiedays.com/" TargetMode="External" Id="rId5251" /><Relationship Type="http://schemas.openxmlformats.org/officeDocument/2006/relationships/hyperlink" Target="https://www.instagram.com/kindiedays" TargetMode="External" Id="rId5252" /><Relationship Type="http://schemas.openxmlformats.org/officeDocument/2006/relationships/hyperlink" Target="https://www.facebook.com/kindiedays" TargetMode="External" Id="rId5253" /><Relationship Type="http://schemas.openxmlformats.org/officeDocument/2006/relationships/hyperlink" Target="https://www.linkedin.com/company/kindiedays" TargetMode="External" Id="rId5254" /><Relationship Type="http://schemas.openxmlformats.org/officeDocument/2006/relationships/hyperlink" Target="https://drive.google.com/uc?export=view&amp;id=1nXe9zRSj79SfUXbuaLZiDhM7AwG57ToT" TargetMode="External" Id="rId5255" /><Relationship Type="http://schemas.openxmlformats.org/officeDocument/2006/relationships/hyperlink" Target="https://www.chemmedia.de/" TargetMode="External" Id="rId5256" /><Relationship Type="http://schemas.openxmlformats.org/officeDocument/2006/relationships/hyperlink" Target="https://www.instagram.com/chemmedia_ag/" TargetMode="External" Id="rId5257" /><Relationship Type="http://schemas.openxmlformats.org/officeDocument/2006/relationships/hyperlink" Target="https://www.linkedin.com/company/chemmedia-ag/" TargetMode="External" Id="rId5258" /><Relationship Type="http://schemas.openxmlformats.org/officeDocument/2006/relationships/hyperlink" Target="https://drive.google.com/uc?export=view&amp;id=1DvEkGqSUlMuVZotESevBbRUbgkog7fAU" TargetMode="External" Id="rId5259" /><Relationship Type="http://schemas.openxmlformats.org/officeDocument/2006/relationships/hyperlink" Target="https://jojoschool.nl/" TargetMode="External" Id="rId5260" /><Relationship Type="http://schemas.openxmlformats.org/officeDocument/2006/relationships/hyperlink" Target="https://www.instagram.com/jojoschoolnl/" TargetMode="External" Id="rId5261" /><Relationship Type="http://schemas.openxmlformats.org/officeDocument/2006/relationships/hyperlink" Target="https://nl.linkedin.com/company/jojoschool" TargetMode="External" Id="rId5262" /><Relationship Type="http://schemas.openxmlformats.org/officeDocument/2006/relationships/hyperlink" Target="https://drive.google.com/uc?export=view&amp;id=1MMvR2KiX9FCqI16OwwTFSh_7rZuC_F3a" TargetMode="External" Id="rId5263" /><Relationship Type="http://schemas.openxmlformats.org/officeDocument/2006/relationships/hyperlink" Target="https://arlicious.com/" TargetMode="External" Id="rId5264" /><Relationship Type="http://schemas.openxmlformats.org/officeDocument/2006/relationships/hyperlink" Target="https://drive.google.com/uc?export=view&amp;id=1oB4tdTA37tIggrE0Cks81kD5gWDw0WqY" TargetMode="External" Id="rId5265" /><Relationship Type="http://schemas.openxmlformats.org/officeDocument/2006/relationships/hyperlink" Target="https://www.checkademia.de/" TargetMode="External" Id="rId5266" /><Relationship Type="http://schemas.openxmlformats.org/officeDocument/2006/relationships/hyperlink" Target="https://www.instagram.com/checkademia/" TargetMode="External" Id="rId5267" /><Relationship Type="http://schemas.openxmlformats.org/officeDocument/2006/relationships/hyperlink" Target="https://www.linkedin.com/company/checkademia/" TargetMode="External" Id="rId5268" /><Relationship Type="http://schemas.openxmlformats.org/officeDocument/2006/relationships/hyperlink" Target="https://drive.google.com/uc?export=view&amp;id=1VUEQZUczy5DRHD3u-2hODdqrqKcpPp3B" TargetMode="External" Id="rId5269" /><Relationship Type="http://schemas.openxmlformats.org/officeDocument/2006/relationships/hyperlink" Target="https://www.aidevsolutions.dk/" TargetMode="External" Id="rId5270" /><Relationship Type="http://schemas.openxmlformats.org/officeDocument/2006/relationships/hyperlink" Target="https://drive.google.com/uc?export=view&amp;id=1vb2wKuf8UFE9C71lFC2-3rtCKrkwJH0Q" TargetMode="External" Id="rId5271" /><Relationship Type="http://schemas.openxmlformats.org/officeDocument/2006/relationships/hyperlink" Target="http://www.tokichat.fr/" TargetMode="External" Id="rId5272" /><Relationship Type="http://schemas.openxmlformats.org/officeDocument/2006/relationships/hyperlink" Target="https://www.linkedin.com/showcase/tokichat" TargetMode="External" Id="rId5273" /><Relationship Type="http://schemas.openxmlformats.org/officeDocument/2006/relationships/hyperlink" Target="https://drive.google.com/uc?export=view&amp;id=1-nJ1im3j1M_lknK-HXEGSJN_UqAYIAV5" TargetMode="External" Id="rId5274" /><Relationship Type="http://schemas.openxmlformats.org/officeDocument/2006/relationships/hyperlink" Target="http://www.arlls.com/" TargetMode="External" Id="rId5275" /><Relationship Type="http://schemas.openxmlformats.org/officeDocument/2006/relationships/hyperlink" Target="https://www.instagram.com/arlls_official/" TargetMode="External" Id="rId5276" /><Relationship Type="http://schemas.openxmlformats.org/officeDocument/2006/relationships/hyperlink" Target="https://www.linkedin.com/company/arlls" TargetMode="External" Id="rId5277" /><Relationship Type="http://schemas.openxmlformats.org/officeDocument/2006/relationships/hyperlink" Target="https://drive.google.com/uc?export=view&amp;id=14H_JHeRiCc0KNc2GkwYkzSXAEip427lq" TargetMode="External" Id="rId5278" /><Relationship Type="http://schemas.openxmlformats.org/officeDocument/2006/relationships/hyperlink" Target="http://www.fullfabric.com/" TargetMode="External" Id="rId5279" /><Relationship Type="http://schemas.openxmlformats.org/officeDocument/2006/relationships/hyperlink" Target="https://www.instagram.com/full_fabric/" TargetMode="External" Id="rId5280" /><Relationship Type="http://schemas.openxmlformats.org/officeDocument/2006/relationships/hyperlink" Target="https://www.linkedin.com/company/fullfabric/" TargetMode="External" Id="rId5281" /><Relationship Type="http://schemas.openxmlformats.org/officeDocument/2006/relationships/hyperlink" Target="https://drive.google.com/uc?export=view&amp;id=1yQnfX_rCO-uKJR4DNku53U7-xKJAKxyI" TargetMode="External" Id="rId5282" /><Relationship Type="http://schemas.openxmlformats.org/officeDocument/2006/relationships/hyperlink" Target="https://www.facebook.com/fullfabriccrm" TargetMode="External" Id="rId5283" /><Relationship Type="http://schemas.openxmlformats.org/officeDocument/2006/relationships/hyperlink" Target="http://www.zmudri.sk/" TargetMode="External" Id="rId5284" /><Relationship Type="http://schemas.openxmlformats.org/officeDocument/2006/relationships/hyperlink" Target="http://www.instagram.com/zmudri_g" TargetMode="External" Id="rId5285" /><Relationship Type="http://schemas.openxmlformats.org/officeDocument/2006/relationships/hyperlink" Target="https://www.linkedin.com/company/zmudri/" TargetMode="External" Id="rId5286" /><Relationship Type="http://schemas.openxmlformats.org/officeDocument/2006/relationships/hyperlink" Target="https://drive.google.com/uc?export=view&amp;id=1QtRVNxaB-XiljYVBffV1CS5_gP1lISQo" TargetMode="External" Id="rId5287" /><Relationship Type="http://schemas.openxmlformats.org/officeDocument/2006/relationships/hyperlink" Target="https://www.facebook.com/zmudri.sk" TargetMode="External" Id="rId5288" /><Relationship Type="http://schemas.openxmlformats.org/officeDocument/2006/relationships/hyperlink" Target="https://procraft.dk/" TargetMode="External" Id="rId5289" /><Relationship Type="http://schemas.openxmlformats.org/officeDocument/2006/relationships/hyperlink" Target="https://www.instagram.com/procraft.dk/" TargetMode="External" Id="rId5290" /><Relationship Type="http://schemas.openxmlformats.org/officeDocument/2006/relationships/hyperlink" Target="https://www.linkedin.com/company/procraft/" TargetMode="External" Id="rId5291" /><Relationship Type="http://schemas.openxmlformats.org/officeDocument/2006/relationships/hyperlink" Target="https://drive.google.com/uc?export=view&amp;id=1mqqE8kLNgeOoi8sGAEnfG_cv3pCttH4k" TargetMode="External" Id="rId5292" /><Relationship Type="http://schemas.openxmlformats.org/officeDocument/2006/relationships/hyperlink" Target="https://www.facebook.com/ProcraftAps" TargetMode="External" Id="rId5293" /><Relationship Type="http://schemas.openxmlformats.org/officeDocument/2006/relationships/hyperlink" Target="https://eu-track.eu/" TargetMode="External" Id="rId5294" /><Relationship Type="http://schemas.openxmlformats.org/officeDocument/2006/relationships/hyperlink" Target="https://www.instagram.com/eutrack/?hl=en" TargetMode="External" Id="rId5295" /><Relationship Type="http://schemas.openxmlformats.org/officeDocument/2006/relationships/hyperlink" Target="https://it.linkedin.com/company/eu-track" TargetMode="External" Id="rId5296" /><Relationship Type="http://schemas.openxmlformats.org/officeDocument/2006/relationships/hyperlink" Target="https://drive.google.com/uc?export=view&amp;id=1ixEvsHRd8ZC-gb3PEyuG1DL_w0gEgsU_" TargetMode="External" Id="rId5297" /><Relationship Type="http://schemas.openxmlformats.org/officeDocument/2006/relationships/hyperlink" Target="https://www.facebook.com/eu.track/" TargetMode="External" Id="rId5298" /></Relationships>
</file>

<file path=xl/worksheets/sheet1.xml><?xml version="1.0" encoding="utf-8"?>
<worksheet xmlns="http://schemas.openxmlformats.org/spreadsheetml/2006/main">
  <sheetPr>
    <outlinePr summaryBelow="0" summaryRight="0"/>
    <pageSetUpPr/>
  </sheetPr>
  <dimension ref="B1:B1009"/>
  <sheetViews>
    <sheetView showGridLines="0" workbookViewId="0">
      <selection activeCell="A1" sqref="A1"/>
    </sheetView>
  </sheetViews>
  <sheetFormatPr baseColWidth="8" defaultColWidth="12.6328125" defaultRowHeight="15.75" customHeight="1"/>
  <cols>
    <col width="111.6328125" customWidth="1" min="2" max="2"/>
  </cols>
  <sheetData>
    <row r="1" ht="15.75" customHeight="1">
      <c r="B1" s="2" t="inlineStr">
        <is>
          <t>Instructions</t>
        </is>
      </c>
    </row>
    <row r="2">
      <c r="B2" s="3" t="inlineStr">
        <is>
          <t xml:space="preserve">This dataset is linked to WeMap, specifcally the map called 'New Organisation Map' </t>
        </is>
      </c>
    </row>
    <row r="3" ht="15.75" customHeight="1">
      <c r="B3" s="4" t="n"/>
    </row>
    <row r="4">
      <c r="B4" s="5" t="inlineStr">
        <is>
          <t>Do's &amp; Don'ts</t>
        </is>
      </c>
    </row>
    <row r="5">
      <c r="B5" s="7" t="inlineStr">
        <is>
          <t xml:space="preserve">Changes to the data input should not be made in this sheet. Always make any essentail changes in the Master file. </t>
        </is>
      </c>
    </row>
    <row r="7">
      <c r="B7" s="3" t="n"/>
    </row>
    <row r="8">
      <c r="B8" s="5" t="inlineStr">
        <is>
          <t>Sheets</t>
        </is>
      </c>
    </row>
    <row r="9">
      <c r="B9" s="8" t="inlineStr">
        <is>
          <t>1. WeMap_Staging (hidden)</t>
        </is>
      </c>
    </row>
    <row r="10">
      <c r="B10" s="9" t="inlineStr">
        <is>
          <t>The content on this sheet should never be directly altered, otherwise all the content will disappear. There is a formula in cell A1 which imports selected data from the Master dataset. The order of the columns in the formula is the order they will be imported.</t>
        </is>
      </c>
    </row>
    <row r="11">
      <c r="B11" s="8" t="inlineStr">
        <is>
          <t>If any new columns are added to the Master dataset that should be added to WeMap, in this formula:</t>
        </is>
      </c>
    </row>
    <row r="12">
      <c r="B12" s="8" t="n"/>
    </row>
    <row r="13">
      <c r="B13" s="3" t="n"/>
    </row>
    <row r="14" ht="15.75" customHeight="1">
      <c r="B14" s="4" t="n"/>
    </row>
    <row r="15" ht="15.75" customHeight="1">
      <c r="B15" s="4" t="n"/>
    </row>
    <row r="16">
      <c r="B16" s="5" t="n"/>
    </row>
    <row r="17">
      <c r="B17" s="8" t="inlineStr">
        <is>
          <t>Edit the range (circled) and add the appropriate column number in the desired location in the SELECT that follows.</t>
        </is>
      </c>
    </row>
    <row r="18">
      <c r="B18" s="9" t="inlineStr">
        <is>
          <t>In this formula, ‘WHERE Col4 = TRUE’ means that only records with is_current = TRUE will be imported into WeMap. When a record changes to FALSE, this will remove it from this file and then remove it from WeMap.</t>
        </is>
      </c>
    </row>
    <row r="19">
      <c r="B19" s="5" t="n"/>
    </row>
    <row r="20">
      <c r="B20" s="9" t="inlineStr">
        <is>
          <t>2. WeMap_Live_Data</t>
        </is>
      </c>
    </row>
    <row r="21">
      <c r="B21" s="9" t="inlineStr">
        <is>
          <t>This tab takes the data from WeMap_Staging so that it can be read by WeMap. This is the tab that is linked to WeMap as the staging data is not in a format that could be read.</t>
        </is>
      </c>
    </row>
    <row r="22">
      <c r="B22" s="11" t="inlineStr">
        <is>
          <t>There is one App Script (Code.gs) that transfers the data between these tabs hourly.</t>
        </is>
      </c>
    </row>
    <row r="23">
      <c r="B23" s="9" t="inlineStr">
        <is>
          <t>This script should not need to be changed - it won’t be affected by changes to data, columns, etc.</t>
        </is>
      </c>
    </row>
    <row r="24">
      <c r="B24" s="3" t="n"/>
    </row>
    <row r="25">
      <c r="B25" s="5" t="inlineStr">
        <is>
          <t>Data Dictionary</t>
        </is>
      </c>
    </row>
    <row r="26">
      <c r="B26" s="12" t="inlineStr">
        <is>
          <t xml:space="preserve">Data dictionary from 20250618_OrganisationMap_dataset_MASTER is relevant for these sheets. </t>
        </is>
      </c>
    </row>
    <row r="27" ht="15.75" customHeight="1">
      <c r="B27" s="4" t="n"/>
    </row>
    <row r="28" ht="15.75" customHeight="1">
      <c r="B28" s="4" t="n"/>
    </row>
    <row r="29">
      <c r="B29" s="8" t="n"/>
    </row>
    <row r="30">
      <c r="B30" s="8" t="n"/>
    </row>
    <row r="31">
      <c r="B31" s="8" t="n"/>
    </row>
    <row r="32">
      <c r="B32" s="8" t="n"/>
    </row>
    <row r="33">
      <c r="B33" s="8" t="n"/>
    </row>
    <row r="34">
      <c r="B34" s="8" t="n"/>
    </row>
    <row r="35">
      <c r="B35" s="8" t="n"/>
    </row>
    <row r="36">
      <c r="B36" s="8" t="n"/>
    </row>
    <row r="37" ht="14" customHeight="1">
      <c r="B37" s="8" t="n"/>
    </row>
    <row r="39" ht="14" customHeight="1">
      <c r="B39" s="8" t="n"/>
    </row>
    <row r="44" ht="14" customHeight="1">
      <c r="B44" s="8" t="n"/>
    </row>
    <row r="45" ht="12.5" customHeight="1">
      <c r="B45" s="4" t="n"/>
    </row>
    <row r="46" ht="12.5" customHeight="1">
      <c r="B46" s="4" t="n"/>
    </row>
    <row r="47" ht="12.5" customHeight="1">
      <c r="B47" s="4" t="n"/>
    </row>
    <row r="48" ht="12.5" customHeight="1">
      <c r="B48" s="4" t="n"/>
    </row>
    <row r="49" ht="12.5" customHeight="1">
      <c r="B49" s="4" t="n"/>
    </row>
    <row r="50" ht="12.5" customHeight="1">
      <c r="B50" s="4" t="n"/>
    </row>
    <row r="51" ht="12.5" customHeight="1">
      <c r="B51" s="4" t="n"/>
    </row>
    <row r="52" ht="12.5" customHeight="1">
      <c r="B52" s="4" t="n"/>
    </row>
    <row r="53" ht="12.5" customHeight="1">
      <c r="B53" s="4" t="n"/>
    </row>
    <row r="54" ht="12.5" customHeight="1">
      <c r="B54" s="4" t="n"/>
    </row>
    <row r="55" ht="12.5" customHeight="1">
      <c r="B55" s="4" t="n"/>
    </row>
    <row r="56" ht="12.5" customHeight="1">
      <c r="B56" s="4" t="n"/>
    </row>
    <row r="57" ht="12.5" customHeight="1">
      <c r="B57" s="4" t="n"/>
    </row>
    <row r="58" ht="12.5" customHeight="1">
      <c r="B58" s="4" t="n"/>
    </row>
    <row r="59" ht="12.5" customHeight="1">
      <c r="B59" s="4" t="n"/>
    </row>
    <row r="60" ht="12.5" customHeight="1">
      <c r="B60" s="4" t="n"/>
    </row>
    <row r="61" ht="12.5" customHeight="1">
      <c r="B61" s="4" t="n"/>
    </row>
    <row r="62" ht="12.5" customHeight="1">
      <c r="B62" s="4" t="n"/>
    </row>
    <row r="63" ht="12.5" customHeight="1">
      <c r="B63" s="4" t="n"/>
    </row>
    <row r="64" ht="12.5" customHeight="1">
      <c r="B64" s="4" t="n"/>
    </row>
    <row r="65" ht="12.5" customHeight="1">
      <c r="B65" s="4" t="n"/>
    </row>
    <row r="66" ht="12.5" customHeight="1">
      <c r="B66" s="4" t="n"/>
    </row>
    <row r="67" ht="12.5" customHeight="1">
      <c r="B67" s="4" t="n"/>
    </row>
    <row r="68" ht="12.5" customHeight="1">
      <c r="B68" s="4" t="n"/>
    </row>
    <row r="69" ht="12.5" customHeight="1">
      <c r="B69" s="4" t="n"/>
    </row>
    <row r="70" ht="12.5" customHeight="1">
      <c r="B70" s="4" t="n"/>
    </row>
    <row r="71" ht="12.5" customHeight="1">
      <c r="B71" s="4" t="n"/>
    </row>
    <row r="72" ht="12.5" customHeight="1">
      <c r="B72" s="4" t="n"/>
    </row>
    <row r="73" ht="12.5" customHeight="1">
      <c r="B73" s="4" t="n"/>
    </row>
    <row r="74" ht="12.5" customHeight="1">
      <c r="B74" s="4" t="n"/>
    </row>
    <row r="75" ht="12.5" customHeight="1">
      <c r="B75" s="4" t="n"/>
    </row>
    <row r="76" ht="12.5" customHeight="1">
      <c r="B76" s="4" t="n"/>
    </row>
    <row r="77" ht="12.5" customHeight="1">
      <c r="B77" s="4" t="n"/>
    </row>
    <row r="78" ht="12.5" customHeight="1">
      <c r="B78" s="4" t="n"/>
    </row>
    <row r="79" ht="12.5" customHeight="1">
      <c r="B79" s="4" t="n"/>
    </row>
    <row r="80" ht="12.5" customHeight="1">
      <c r="B80" s="4" t="n"/>
    </row>
    <row r="81" ht="12.5" customHeight="1">
      <c r="B81" s="4" t="n"/>
    </row>
    <row r="82" ht="12.5" customHeight="1">
      <c r="B82" s="4" t="n"/>
    </row>
    <row r="83" ht="12.5" customHeight="1">
      <c r="B83" s="4" t="n"/>
    </row>
    <row r="84" ht="12.5" customHeight="1">
      <c r="B84" s="4" t="n"/>
    </row>
    <row r="85" ht="12.5" customHeight="1">
      <c r="B85" s="4" t="n"/>
    </row>
    <row r="86" ht="12.5" customHeight="1">
      <c r="B86" s="4" t="n"/>
    </row>
    <row r="87" ht="12.5" customHeight="1">
      <c r="B87" s="4" t="n"/>
    </row>
    <row r="88" ht="12.5" customHeight="1">
      <c r="B88" s="4" t="n"/>
    </row>
    <row r="89" ht="12.5" customHeight="1">
      <c r="B89" s="4" t="n"/>
    </row>
    <row r="90" ht="12.5" customHeight="1">
      <c r="B90" s="4" t="n"/>
    </row>
    <row r="91" ht="12.5" customHeight="1">
      <c r="B91" s="4" t="n"/>
    </row>
    <row r="92" ht="12.5" customHeight="1">
      <c r="B92" s="4" t="n"/>
    </row>
    <row r="93" ht="12.5" customHeight="1">
      <c r="B93" s="4" t="n"/>
    </row>
    <row r="94" ht="12.5" customHeight="1">
      <c r="B94" s="4" t="n"/>
    </row>
    <row r="95" ht="12.5" customHeight="1">
      <c r="B95" s="4" t="n"/>
    </row>
    <row r="96" ht="12.5" customHeight="1">
      <c r="B96" s="4" t="n"/>
    </row>
    <row r="97" ht="12.5" customHeight="1">
      <c r="B97" s="4" t="n"/>
    </row>
    <row r="98" ht="12.5" customHeight="1">
      <c r="B98" s="4" t="n"/>
    </row>
    <row r="99" ht="12.5" customHeight="1">
      <c r="B99" s="4" t="n"/>
    </row>
    <row r="100" ht="12.5" customHeight="1">
      <c r="B100" s="4" t="n"/>
    </row>
    <row r="101" ht="12.5" customHeight="1">
      <c r="B101" s="4" t="n"/>
    </row>
    <row r="102" ht="12.5" customHeight="1">
      <c r="B102" s="4" t="n"/>
    </row>
    <row r="103" ht="12.5" customHeight="1">
      <c r="B103" s="4" t="n"/>
    </row>
    <row r="104" ht="12.5" customHeight="1">
      <c r="B104" s="4" t="n"/>
    </row>
    <row r="105" ht="12.5" customHeight="1">
      <c r="B105" s="4" t="n"/>
    </row>
    <row r="106" ht="12.5" customHeight="1">
      <c r="B106" s="4" t="n"/>
    </row>
    <row r="107" ht="12.5" customHeight="1">
      <c r="B107" s="4" t="n"/>
    </row>
    <row r="108" ht="12.5" customHeight="1">
      <c r="B108" s="4" t="n"/>
    </row>
    <row r="109" ht="12.5" customHeight="1">
      <c r="B109" s="4" t="n"/>
    </row>
    <row r="110" ht="12.5" customHeight="1">
      <c r="B110" s="4" t="n"/>
    </row>
    <row r="111" ht="12.5" customHeight="1">
      <c r="B111" s="4" t="n"/>
    </row>
    <row r="112" ht="12.5" customHeight="1">
      <c r="B112" s="4" t="n"/>
    </row>
    <row r="113" ht="12.5" customHeight="1">
      <c r="B113" s="4" t="n"/>
    </row>
    <row r="114" ht="12.5" customHeight="1">
      <c r="B114" s="4" t="n"/>
    </row>
    <row r="115" ht="12.5" customHeight="1">
      <c r="B115" s="4" t="n"/>
    </row>
    <row r="116" ht="12.5" customHeight="1">
      <c r="B116" s="4" t="n"/>
    </row>
    <row r="117" ht="12.5" customHeight="1">
      <c r="B117" s="4" t="n"/>
    </row>
    <row r="118" ht="12.5" customHeight="1">
      <c r="B118" s="4" t="n"/>
    </row>
    <row r="119" ht="12.5" customHeight="1">
      <c r="B119" s="4" t="n"/>
    </row>
    <row r="120" ht="12.5" customHeight="1">
      <c r="B120" s="4" t="n"/>
    </row>
    <row r="121" ht="12.5" customHeight="1">
      <c r="B121" s="4" t="n"/>
    </row>
    <row r="122" ht="12.5" customHeight="1">
      <c r="B122" s="4" t="n"/>
    </row>
    <row r="123" ht="12.5" customHeight="1">
      <c r="B123" s="4" t="n"/>
    </row>
    <row r="124" ht="12.5" customHeight="1">
      <c r="B124" s="4" t="n"/>
    </row>
    <row r="125" ht="12.5" customHeight="1">
      <c r="B125" s="4" t="n"/>
    </row>
    <row r="126" ht="12.5" customHeight="1">
      <c r="B126" s="4" t="n"/>
    </row>
    <row r="127" ht="12.5" customHeight="1">
      <c r="B127" s="4" t="n"/>
    </row>
    <row r="128" ht="12.5" customHeight="1">
      <c r="B128" s="4" t="n"/>
    </row>
    <row r="129" ht="12.5" customHeight="1">
      <c r="B129" s="4" t="n"/>
    </row>
    <row r="130" ht="12.5" customHeight="1">
      <c r="B130" s="4" t="n"/>
    </row>
    <row r="131" ht="12.5" customHeight="1">
      <c r="B131" s="4" t="n"/>
    </row>
    <row r="132" ht="12.5" customHeight="1">
      <c r="B132" s="4" t="n"/>
    </row>
    <row r="133" ht="12.5" customHeight="1">
      <c r="B133" s="4" t="n"/>
    </row>
    <row r="134" ht="12.5" customHeight="1">
      <c r="B134" s="4" t="n"/>
    </row>
    <row r="135" ht="12.5" customHeight="1">
      <c r="B135" s="4" t="n"/>
    </row>
    <row r="136" ht="12.5" customHeight="1">
      <c r="B136" s="4" t="n"/>
    </row>
    <row r="137" ht="12.5" customHeight="1">
      <c r="B137" s="4" t="n"/>
    </row>
    <row r="138" ht="12.5" customHeight="1">
      <c r="B138" s="4" t="n"/>
    </row>
    <row r="139" ht="12.5" customHeight="1">
      <c r="B139" s="4" t="n"/>
    </row>
    <row r="140" ht="12.5" customHeight="1">
      <c r="B140" s="4" t="n"/>
    </row>
    <row r="141" ht="12.5" customHeight="1">
      <c r="B141" s="4" t="n"/>
    </row>
    <row r="142" ht="12.5" customHeight="1">
      <c r="B142" s="4" t="n"/>
    </row>
    <row r="143" ht="12.5" customHeight="1">
      <c r="B143" s="4" t="n"/>
    </row>
    <row r="144" ht="12.5" customHeight="1">
      <c r="B144" s="4" t="n"/>
    </row>
    <row r="145" ht="12.5" customHeight="1">
      <c r="B145" s="4" t="n"/>
    </row>
    <row r="146" ht="12.5" customHeight="1">
      <c r="B146" s="4" t="n"/>
    </row>
    <row r="147" ht="12.5" customHeight="1">
      <c r="B147" s="4" t="n"/>
    </row>
    <row r="148" ht="12.5" customHeight="1">
      <c r="B148" s="4" t="n"/>
    </row>
    <row r="149" ht="12.5" customHeight="1">
      <c r="B149" s="4" t="n"/>
    </row>
    <row r="150" ht="12.5" customHeight="1">
      <c r="B150" s="4" t="n"/>
    </row>
    <row r="151" ht="12.5" customHeight="1">
      <c r="B151" s="4" t="n"/>
    </row>
    <row r="152" ht="12.5" customHeight="1">
      <c r="B152" s="4" t="n"/>
    </row>
    <row r="153" ht="12.5" customHeight="1">
      <c r="B153" s="4" t="n"/>
    </row>
    <row r="154" ht="12.5" customHeight="1">
      <c r="B154" s="4" t="n"/>
    </row>
    <row r="155" ht="12.5" customHeight="1">
      <c r="B155" s="4" t="n"/>
    </row>
    <row r="156" ht="12.5" customHeight="1">
      <c r="B156" s="4" t="n"/>
    </row>
    <row r="157" ht="12.5" customHeight="1">
      <c r="B157" s="4" t="n"/>
    </row>
    <row r="158" ht="12.5" customHeight="1">
      <c r="B158" s="4" t="n"/>
    </row>
    <row r="159" ht="12.5" customHeight="1">
      <c r="B159" s="4" t="n"/>
    </row>
    <row r="160" ht="12.5" customHeight="1">
      <c r="B160" s="4" t="n"/>
    </row>
    <row r="161" ht="12.5" customHeight="1">
      <c r="B161" s="4" t="n"/>
    </row>
    <row r="162" ht="12.5" customHeight="1">
      <c r="B162" s="4" t="n"/>
    </row>
    <row r="163" ht="12.5" customHeight="1">
      <c r="B163" s="4" t="n"/>
    </row>
    <row r="164" ht="12.5" customHeight="1">
      <c r="B164" s="4" t="n"/>
    </row>
    <row r="165" ht="12.5" customHeight="1">
      <c r="B165" s="4" t="n"/>
    </row>
    <row r="166" ht="12.5" customHeight="1">
      <c r="B166" s="4" t="n"/>
    </row>
    <row r="167" ht="12.5" customHeight="1">
      <c r="B167" s="4" t="n"/>
    </row>
    <row r="168" ht="12.5" customHeight="1">
      <c r="B168" s="4" t="n"/>
    </row>
    <row r="169" ht="12.5" customHeight="1">
      <c r="B169" s="4" t="n"/>
    </row>
    <row r="170" ht="12.5" customHeight="1">
      <c r="B170" s="4" t="n"/>
    </row>
    <row r="171" ht="12.5" customHeight="1">
      <c r="B171" s="4" t="n"/>
    </row>
    <row r="172" ht="12.5" customHeight="1">
      <c r="B172" s="4" t="n"/>
    </row>
    <row r="173" ht="12.5" customHeight="1">
      <c r="B173" s="4" t="n"/>
    </row>
    <row r="174" ht="12.5" customHeight="1">
      <c r="B174" s="4" t="n"/>
    </row>
    <row r="175" ht="12.5" customHeight="1">
      <c r="B175" s="4" t="n"/>
    </row>
    <row r="176" ht="12.5" customHeight="1">
      <c r="B176" s="4" t="n"/>
    </row>
    <row r="177" ht="12.5" customHeight="1">
      <c r="B177" s="4" t="n"/>
    </row>
    <row r="178" ht="12.5" customHeight="1">
      <c r="B178" s="4" t="n"/>
    </row>
    <row r="179" ht="12.5" customHeight="1">
      <c r="B179" s="4" t="n"/>
    </row>
    <row r="180" ht="12.5" customHeight="1">
      <c r="B180" s="4" t="n"/>
    </row>
    <row r="181" ht="12.5" customHeight="1">
      <c r="B181" s="4" t="n"/>
    </row>
    <row r="182" ht="12.5" customHeight="1">
      <c r="B182" s="4" t="n"/>
    </row>
    <row r="183" ht="12.5" customHeight="1">
      <c r="B183" s="4" t="n"/>
    </row>
    <row r="184" ht="12.5" customHeight="1">
      <c r="B184" s="4" t="n"/>
    </row>
    <row r="185" ht="12.5" customHeight="1">
      <c r="B185" s="4" t="n"/>
    </row>
    <row r="186" ht="12.5" customHeight="1">
      <c r="B186" s="4" t="n"/>
    </row>
    <row r="187" ht="12.5" customHeight="1">
      <c r="B187" s="4" t="n"/>
    </row>
    <row r="188" ht="12.5" customHeight="1">
      <c r="B188" s="4" t="n"/>
    </row>
    <row r="189" ht="12.5" customHeight="1">
      <c r="B189" s="4" t="n"/>
    </row>
    <row r="190" ht="12.5" customHeight="1">
      <c r="B190" s="4" t="n"/>
    </row>
    <row r="191" ht="12.5" customHeight="1">
      <c r="B191" s="4" t="n"/>
    </row>
    <row r="192" ht="12.5" customHeight="1">
      <c r="B192" s="4" t="n"/>
    </row>
    <row r="193" ht="12.5" customHeight="1">
      <c r="B193" s="4" t="n"/>
    </row>
    <row r="194" ht="12.5" customHeight="1">
      <c r="B194" s="4" t="n"/>
    </row>
    <row r="195" ht="12.5" customHeight="1">
      <c r="B195" s="4" t="n"/>
    </row>
    <row r="196" ht="12.5" customHeight="1">
      <c r="B196" s="4" t="n"/>
    </row>
    <row r="197" ht="12.5" customHeight="1">
      <c r="B197" s="4" t="n"/>
    </row>
    <row r="198" ht="12.5" customHeight="1">
      <c r="B198" s="4" t="n"/>
    </row>
    <row r="199" ht="12.5" customHeight="1">
      <c r="B199" s="4" t="n"/>
    </row>
    <row r="200" ht="12.5" customHeight="1">
      <c r="B200" s="4" t="n"/>
    </row>
    <row r="201" ht="12.5" customHeight="1">
      <c r="B201" s="4" t="n"/>
    </row>
    <row r="202" ht="12.5" customHeight="1">
      <c r="B202" s="4" t="n"/>
    </row>
    <row r="203" ht="12.5" customHeight="1">
      <c r="B203" s="4" t="n"/>
    </row>
    <row r="204" ht="12.5" customHeight="1">
      <c r="B204" s="4" t="n"/>
    </row>
    <row r="205" ht="12.5" customHeight="1">
      <c r="B205" s="4" t="n"/>
    </row>
    <row r="206" ht="12.5" customHeight="1">
      <c r="B206" s="4" t="n"/>
    </row>
    <row r="207" ht="12.5" customHeight="1">
      <c r="B207" s="4" t="n"/>
    </row>
    <row r="208" ht="12.5" customHeight="1">
      <c r="B208" s="4" t="n"/>
    </row>
    <row r="209" ht="12.5" customHeight="1">
      <c r="B209" s="4" t="n"/>
    </row>
    <row r="210" ht="12.5" customHeight="1">
      <c r="B210" s="4" t="n"/>
    </row>
    <row r="211" ht="12.5" customHeight="1">
      <c r="B211" s="4" t="n"/>
    </row>
    <row r="212" ht="12.5" customHeight="1">
      <c r="B212" s="4" t="n"/>
    </row>
    <row r="213" ht="12.5" customHeight="1">
      <c r="B213" s="4" t="n"/>
    </row>
    <row r="214" ht="12.5" customHeight="1">
      <c r="B214" s="4" t="n"/>
    </row>
    <row r="215" ht="12.5" customHeight="1">
      <c r="B215" s="4" t="n"/>
    </row>
    <row r="216" ht="12.5" customHeight="1">
      <c r="B216" s="4" t="n"/>
    </row>
    <row r="217" ht="12.5" customHeight="1">
      <c r="B217" s="4" t="n"/>
    </row>
    <row r="218" ht="12.5" customHeight="1">
      <c r="B218" s="4" t="n"/>
    </row>
    <row r="219" ht="12.5" customHeight="1">
      <c r="B219" s="4" t="n"/>
    </row>
    <row r="220" ht="12.5" customHeight="1">
      <c r="B220" s="4" t="n"/>
    </row>
    <row r="221" ht="12.5" customHeight="1">
      <c r="B221" s="4" t="n"/>
    </row>
    <row r="222" ht="12.5" customHeight="1">
      <c r="B222" s="4" t="n"/>
    </row>
    <row r="223" ht="12.5" customHeight="1">
      <c r="B223" s="4" t="n"/>
    </row>
    <row r="224" ht="12.5" customHeight="1">
      <c r="B224" s="4" t="n"/>
    </row>
    <row r="225" ht="12.5" customHeight="1">
      <c r="B225" s="4" t="n"/>
    </row>
    <row r="226" ht="12.5" customHeight="1">
      <c r="B226" s="4" t="n"/>
    </row>
    <row r="227" ht="12.5" customHeight="1">
      <c r="B227" s="4" t="n"/>
    </row>
    <row r="228" ht="12.5" customHeight="1">
      <c r="B228" s="4" t="n"/>
    </row>
    <row r="229" ht="12.5" customHeight="1">
      <c r="B229" s="4" t="n"/>
    </row>
    <row r="230" ht="12.5" customHeight="1">
      <c r="B230" s="4" t="n"/>
    </row>
    <row r="231" ht="12.5" customHeight="1">
      <c r="B231" s="4" t="n"/>
    </row>
    <row r="232" ht="12.5" customHeight="1">
      <c r="B232" s="4" t="n"/>
    </row>
    <row r="233" ht="12.5" customHeight="1">
      <c r="B233" s="4" t="n"/>
    </row>
    <row r="234" ht="12.5" customHeight="1">
      <c r="B234" s="4" t="n"/>
    </row>
    <row r="235" ht="12.5" customHeight="1">
      <c r="B235" s="4" t="n"/>
    </row>
    <row r="236" ht="12.5" customHeight="1">
      <c r="B236" s="4" t="n"/>
    </row>
    <row r="237" ht="12.5" customHeight="1">
      <c r="B237" s="4" t="n"/>
    </row>
    <row r="238" ht="12.5" customHeight="1">
      <c r="B238" s="4" t="n"/>
    </row>
    <row r="239" ht="12.5" customHeight="1">
      <c r="B239" s="4" t="n"/>
    </row>
    <row r="240" ht="12.5" customHeight="1">
      <c r="B240" s="4" t="n"/>
    </row>
    <row r="241" ht="12.5" customHeight="1">
      <c r="B241" s="4" t="n"/>
    </row>
    <row r="242" ht="12.5" customHeight="1">
      <c r="B242" s="4" t="n"/>
    </row>
    <row r="243" ht="12.5" customHeight="1">
      <c r="B243" s="4" t="n"/>
    </row>
    <row r="244" ht="12.5" customHeight="1">
      <c r="B244" s="4" t="n"/>
    </row>
    <row r="245" ht="12.5" customHeight="1">
      <c r="B245" s="4" t="n"/>
    </row>
    <row r="246" ht="12.5" customHeight="1">
      <c r="B246" s="4" t="n"/>
    </row>
    <row r="247" ht="12.5" customHeight="1">
      <c r="B247" s="4" t="n"/>
    </row>
    <row r="248" ht="12.5" customHeight="1">
      <c r="B248" s="4" t="n"/>
    </row>
    <row r="249" ht="12.5" customHeight="1">
      <c r="B249" s="4" t="n"/>
    </row>
    <row r="250" ht="12.5" customHeight="1">
      <c r="B250" s="4" t="n"/>
    </row>
    <row r="251" ht="12.5" customHeight="1">
      <c r="B251" s="4" t="n"/>
    </row>
    <row r="252" ht="12.5" customHeight="1">
      <c r="B252" s="4" t="n"/>
    </row>
    <row r="253" ht="12.5" customHeight="1">
      <c r="B253" s="4" t="n"/>
    </row>
    <row r="254" ht="12.5" customHeight="1">
      <c r="B254" s="4" t="n"/>
    </row>
    <row r="255" ht="12.5" customHeight="1">
      <c r="B255" s="4" t="n"/>
    </row>
    <row r="256" ht="12.5" customHeight="1">
      <c r="B256" s="4" t="n"/>
    </row>
    <row r="257" ht="12.5" customHeight="1">
      <c r="B257" s="4" t="n"/>
    </row>
    <row r="258" ht="12.5" customHeight="1">
      <c r="B258" s="4" t="n"/>
    </row>
    <row r="259" ht="12.5" customHeight="1">
      <c r="B259" s="4" t="n"/>
    </row>
    <row r="260" ht="12.5" customHeight="1">
      <c r="B260" s="4" t="n"/>
    </row>
    <row r="261" ht="12.5" customHeight="1">
      <c r="B261" s="4" t="n"/>
    </row>
    <row r="262" ht="12.5" customHeight="1">
      <c r="B262" s="4" t="n"/>
    </row>
    <row r="263" ht="12.5" customHeight="1">
      <c r="B263" s="4" t="n"/>
    </row>
    <row r="264" ht="12.5" customHeight="1">
      <c r="B264" s="4" t="n"/>
    </row>
    <row r="265" ht="12.5" customHeight="1">
      <c r="B265" s="4" t="n"/>
    </row>
    <row r="266" ht="12.5" customHeight="1">
      <c r="B266" s="4" t="n"/>
    </row>
    <row r="267" ht="12.5" customHeight="1">
      <c r="B267" s="4" t="n"/>
    </row>
    <row r="268" ht="12.5" customHeight="1">
      <c r="B268" s="4" t="n"/>
    </row>
    <row r="269" ht="12.5" customHeight="1">
      <c r="B269" s="4" t="n"/>
    </row>
    <row r="270" ht="12.5" customHeight="1">
      <c r="B270" s="4" t="n"/>
    </row>
    <row r="271" ht="12.5" customHeight="1">
      <c r="B271" s="4" t="n"/>
    </row>
    <row r="272" ht="12.5" customHeight="1">
      <c r="B272" s="4" t="n"/>
    </row>
    <row r="273" ht="12.5" customHeight="1">
      <c r="B273" s="4" t="n"/>
    </row>
    <row r="274" ht="12.5" customHeight="1">
      <c r="B274" s="4" t="n"/>
    </row>
    <row r="275" ht="12.5" customHeight="1">
      <c r="B275" s="4" t="n"/>
    </row>
    <row r="276" ht="12.5" customHeight="1">
      <c r="B276" s="4" t="n"/>
    </row>
    <row r="277" ht="12.5" customHeight="1">
      <c r="B277" s="4" t="n"/>
    </row>
    <row r="278" ht="12.5" customHeight="1">
      <c r="B278" s="4" t="n"/>
    </row>
    <row r="279" ht="12.5" customHeight="1">
      <c r="B279" s="4" t="n"/>
    </row>
    <row r="280" ht="12.5" customHeight="1">
      <c r="B280" s="4" t="n"/>
    </row>
    <row r="281" ht="12.5" customHeight="1">
      <c r="B281" s="4" t="n"/>
    </row>
    <row r="282" ht="12.5" customHeight="1">
      <c r="B282" s="4" t="n"/>
    </row>
    <row r="283" ht="12.5" customHeight="1">
      <c r="B283" s="4" t="n"/>
    </row>
    <row r="284" ht="12.5" customHeight="1">
      <c r="B284" s="4" t="n"/>
    </row>
    <row r="285" ht="12.5" customHeight="1">
      <c r="B285" s="4" t="n"/>
    </row>
    <row r="286" ht="12.5" customHeight="1">
      <c r="B286" s="4" t="n"/>
    </row>
    <row r="287" ht="12.5" customHeight="1">
      <c r="B287" s="4" t="n"/>
    </row>
    <row r="288" ht="12.5" customHeight="1">
      <c r="B288" s="4" t="n"/>
    </row>
    <row r="289" ht="12.5" customHeight="1">
      <c r="B289" s="4" t="n"/>
    </row>
    <row r="290" ht="12.5" customHeight="1">
      <c r="B290" s="4" t="n"/>
    </row>
    <row r="291" ht="12.5" customHeight="1">
      <c r="B291" s="4" t="n"/>
    </row>
    <row r="292" ht="12.5" customHeight="1">
      <c r="B292" s="4" t="n"/>
    </row>
    <row r="293" ht="12.5" customHeight="1">
      <c r="B293" s="4" t="n"/>
    </row>
    <row r="294" ht="12.5" customHeight="1">
      <c r="B294" s="4" t="n"/>
    </row>
    <row r="295" ht="12.5" customHeight="1">
      <c r="B295" s="4" t="n"/>
    </row>
    <row r="296" ht="12.5" customHeight="1">
      <c r="B296" s="4" t="n"/>
    </row>
    <row r="297" ht="12.5" customHeight="1">
      <c r="B297" s="4" t="n"/>
    </row>
    <row r="298" ht="12.5" customHeight="1">
      <c r="B298" s="4" t="n"/>
    </row>
    <row r="299" ht="12.5" customHeight="1">
      <c r="B299" s="4" t="n"/>
    </row>
    <row r="300" ht="12.5" customHeight="1">
      <c r="B300" s="4" t="n"/>
    </row>
    <row r="301" ht="12.5" customHeight="1">
      <c r="B301" s="4" t="n"/>
    </row>
    <row r="302" ht="12.5" customHeight="1">
      <c r="B302" s="4" t="n"/>
    </row>
    <row r="303" ht="12.5" customHeight="1">
      <c r="B303" s="4" t="n"/>
    </row>
    <row r="304" ht="12.5" customHeight="1">
      <c r="B304" s="4" t="n"/>
    </row>
    <row r="305" ht="12.5" customHeight="1">
      <c r="B305" s="4" t="n"/>
    </row>
    <row r="306" ht="12.5" customHeight="1">
      <c r="B306" s="4" t="n"/>
    </row>
    <row r="307" ht="12.5" customHeight="1">
      <c r="B307" s="4" t="n"/>
    </row>
    <row r="308" ht="12.5" customHeight="1">
      <c r="B308" s="4" t="n"/>
    </row>
    <row r="309" ht="12.5" customHeight="1">
      <c r="B309" s="4" t="n"/>
    </row>
    <row r="310" ht="12.5" customHeight="1">
      <c r="B310" s="4" t="n"/>
    </row>
    <row r="311" ht="12.5" customHeight="1">
      <c r="B311" s="4" t="n"/>
    </row>
    <row r="312" ht="12.5" customHeight="1">
      <c r="B312" s="4" t="n"/>
    </row>
    <row r="313" ht="12.5" customHeight="1">
      <c r="B313" s="4" t="n"/>
    </row>
    <row r="314" ht="12.5" customHeight="1">
      <c r="B314" s="4" t="n"/>
    </row>
    <row r="315" ht="12.5" customHeight="1">
      <c r="B315" s="4" t="n"/>
    </row>
    <row r="316" ht="12.5" customHeight="1">
      <c r="B316" s="4" t="n"/>
    </row>
    <row r="317" ht="12.5" customHeight="1">
      <c r="B317" s="4" t="n"/>
    </row>
    <row r="318" ht="12.5" customHeight="1">
      <c r="B318" s="4" t="n"/>
    </row>
    <row r="319" ht="12.5" customHeight="1">
      <c r="B319" s="4" t="n"/>
    </row>
    <row r="320" ht="12.5" customHeight="1">
      <c r="B320" s="4" t="n"/>
    </row>
    <row r="321" ht="12.5" customHeight="1">
      <c r="B321" s="4" t="n"/>
    </row>
    <row r="322" ht="12.5" customHeight="1">
      <c r="B322" s="4" t="n"/>
    </row>
    <row r="323" ht="12.5" customHeight="1">
      <c r="B323" s="4" t="n"/>
    </row>
    <row r="324" ht="12.5" customHeight="1">
      <c r="B324" s="4" t="n"/>
    </row>
    <row r="325" ht="12.5" customHeight="1">
      <c r="B325" s="4" t="n"/>
    </row>
    <row r="326" ht="12.5" customHeight="1">
      <c r="B326" s="4" t="n"/>
    </row>
    <row r="327" ht="12.5" customHeight="1">
      <c r="B327" s="4" t="n"/>
    </row>
    <row r="328" ht="12.5" customHeight="1">
      <c r="B328" s="4" t="n"/>
    </row>
    <row r="329" ht="12.5" customHeight="1">
      <c r="B329" s="4" t="n"/>
    </row>
    <row r="330" ht="12.5" customHeight="1">
      <c r="B330" s="4" t="n"/>
    </row>
    <row r="331" ht="12.5" customHeight="1">
      <c r="B331" s="4" t="n"/>
    </row>
    <row r="332" ht="12.5" customHeight="1">
      <c r="B332" s="4" t="n"/>
    </row>
    <row r="333" ht="12.5" customHeight="1">
      <c r="B333" s="4" t="n"/>
    </row>
    <row r="334" ht="12.5" customHeight="1">
      <c r="B334" s="4" t="n"/>
    </row>
    <row r="335" ht="12.5" customHeight="1">
      <c r="B335" s="4" t="n"/>
    </row>
    <row r="336" ht="12.5" customHeight="1">
      <c r="B336" s="4" t="n"/>
    </row>
    <row r="337" ht="12.5" customHeight="1">
      <c r="B337" s="4" t="n"/>
    </row>
    <row r="338" ht="12.5" customHeight="1">
      <c r="B338" s="4" t="n"/>
    </row>
    <row r="339" ht="12.5" customHeight="1">
      <c r="B339" s="4" t="n"/>
    </row>
    <row r="340" ht="12.5" customHeight="1">
      <c r="B340" s="4" t="n"/>
    </row>
    <row r="341" ht="12.5" customHeight="1">
      <c r="B341" s="4" t="n"/>
    </row>
    <row r="342" ht="12.5" customHeight="1">
      <c r="B342" s="4" t="n"/>
    </row>
    <row r="343" ht="12.5" customHeight="1">
      <c r="B343" s="4" t="n"/>
    </row>
    <row r="344" ht="12.5" customHeight="1">
      <c r="B344" s="4" t="n"/>
    </row>
    <row r="345" ht="12.5" customHeight="1">
      <c r="B345" s="4" t="n"/>
    </row>
    <row r="346" ht="12.5" customHeight="1">
      <c r="B346" s="4" t="n"/>
    </row>
    <row r="347" ht="12.5" customHeight="1">
      <c r="B347" s="4" t="n"/>
    </row>
    <row r="348" ht="12.5" customHeight="1">
      <c r="B348" s="4" t="n"/>
    </row>
    <row r="349" ht="12.5" customHeight="1">
      <c r="B349" s="4" t="n"/>
    </row>
    <row r="350" ht="12.5" customHeight="1">
      <c r="B350" s="4" t="n"/>
    </row>
    <row r="351" ht="12.5" customHeight="1">
      <c r="B351" s="4" t="n"/>
    </row>
    <row r="352" ht="12.5" customHeight="1">
      <c r="B352" s="4" t="n"/>
    </row>
    <row r="353" ht="12.5" customHeight="1">
      <c r="B353" s="4" t="n"/>
    </row>
    <row r="354" ht="12.5" customHeight="1">
      <c r="B354" s="4" t="n"/>
    </row>
    <row r="355" ht="12.5" customHeight="1">
      <c r="B355" s="4" t="n"/>
    </row>
    <row r="356" ht="12.5" customHeight="1">
      <c r="B356" s="4" t="n"/>
    </row>
    <row r="357" ht="12.5" customHeight="1">
      <c r="B357" s="4" t="n"/>
    </row>
    <row r="358" ht="12.5" customHeight="1">
      <c r="B358" s="4" t="n"/>
    </row>
    <row r="359" ht="12.5" customHeight="1">
      <c r="B359" s="4" t="n"/>
    </row>
    <row r="360" ht="12.5" customHeight="1">
      <c r="B360" s="4" t="n"/>
    </row>
    <row r="361" ht="12.5" customHeight="1">
      <c r="B361" s="4" t="n"/>
    </row>
    <row r="362" ht="12.5" customHeight="1">
      <c r="B362" s="4" t="n"/>
    </row>
    <row r="363" ht="12.5" customHeight="1">
      <c r="B363" s="4" t="n"/>
    </row>
    <row r="364" ht="12.5" customHeight="1">
      <c r="B364" s="4" t="n"/>
    </row>
    <row r="365" ht="12.5" customHeight="1">
      <c r="B365" s="4" t="n"/>
    </row>
    <row r="366" ht="12.5" customHeight="1">
      <c r="B366" s="4" t="n"/>
    </row>
    <row r="367" ht="12.5" customHeight="1">
      <c r="B367" s="4" t="n"/>
    </row>
    <row r="368" ht="12.5" customHeight="1">
      <c r="B368" s="4" t="n"/>
    </row>
    <row r="369" ht="12.5" customHeight="1">
      <c r="B369" s="4" t="n"/>
    </row>
    <row r="370" ht="12.5" customHeight="1">
      <c r="B370" s="4" t="n"/>
    </row>
    <row r="371" ht="12.5" customHeight="1">
      <c r="B371" s="4" t="n"/>
    </row>
    <row r="372" ht="12.5" customHeight="1">
      <c r="B372" s="4" t="n"/>
    </row>
    <row r="373" ht="12.5" customHeight="1">
      <c r="B373" s="4" t="n"/>
    </row>
    <row r="374" ht="12.5" customHeight="1">
      <c r="B374" s="4" t="n"/>
    </row>
    <row r="375" ht="12.5" customHeight="1">
      <c r="B375" s="4" t="n"/>
    </row>
    <row r="376" ht="12.5" customHeight="1">
      <c r="B376" s="4" t="n"/>
    </row>
    <row r="377" ht="12.5" customHeight="1">
      <c r="B377" s="4" t="n"/>
    </row>
    <row r="378" ht="12.5" customHeight="1">
      <c r="B378" s="4" t="n"/>
    </row>
    <row r="379" ht="12.5" customHeight="1">
      <c r="B379" s="4" t="n"/>
    </row>
    <row r="380" ht="12.5" customHeight="1">
      <c r="B380" s="4" t="n"/>
    </row>
    <row r="381" ht="12.5" customHeight="1">
      <c r="B381" s="4" t="n"/>
    </row>
    <row r="382" ht="12.5" customHeight="1">
      <c r="B382" s="4" t="n"/>
    </row>
    <row r="383" ht="12.5" customHeight="1">
      <c r="B383" s="4" t="n"/>
    </row>
    <row r="384" ht="12.5" customHeight="1">
      <c r="B384" s="4" t="n"/>
    </row>
    <row r="385" ht="12.5" customHeight="1">
      <c r="B385" s="4" t="n"/>
    </row>
    <row r="386" ht="12.5" customHeight="1">
      <c r="B386" s="4" t="n"/>
    </row>
    <row r="387" ht="12.5" customHeight="1">
      <c r="B387" s="4" t="n"/>
    </row>
    <row r="388" ht="12.5" customHeight="1">
      <c r="B388" s="4" t="n"/>
    </row>
    <row r="389" ht="12.5" customHeight="1">
      <c r="B389" s="4" t="n"/>
    </row>
    <row r="390" ht="12.5" customHeight="1">
      <c r="B390" s="4" t="n"/>
    </row>
    <row r="391" ht="12.5" customHeight="1">
      <c r="B391" s="4" t="n"/>
    </row>
    <row r="392" ht="12.5" customHeight="1">
      <c r="B392" s="4" t="n"/>
    </row>
    <row r="393" ht="12.5" customHeight="1">
      <c r="B393" s="4" t="n"/>
    </row>
    <row r="394" ht="12.5" customHeight="1">
      <c r="B394" s="4" t="n"/>
    </row>
    <row r="395" ht="12.5" customHeight="1">
      <c r="B395" s="4" t="n"/>
    </row>
    <row r="396" ht="12.5" customHeight="1">
      <c r="B396" s="4" t="n"/>
    </row>
    <row r="397" ht="12.5" customHeight="1">
      <c r="B397" s="4" t="n"/>
    </row>
    <row r="398" ht="12.5" customHeight="1">
      <c r="B398" s="4" t="n"/>
    </row>
    <row r="399" ht="12.5" customHeight="1">
      <c r="B399" s="4" t="n"/>
    </row>
    <row r="400" ht="12.5" customHeight="1">
      <c r="B400" s="4" t="n"/>
    </row>
    <row r="401" ht="12.5" customHeight="1">
      <c r="B401" s="4" t="n"/>
    </row>
    <row r="402" ht="12.5" customHeight="1">
      <c r="B402" s="4" t="n"/>
    </row>
    <row r="403" ht="12.5" customHeight="1">
      <c r="B403" s="4" t="n"/>
    </row>
    <row r="404" ht="12.5" customHeight="1">
      <c r="B404" s="4" t="n"/>
    </row>
    <row r="405" ht="12.5" customHeight="1">
      <c r="B405" s="4" t="n"/>
    </row>
    <row r="406" ht="12.5" customHeight="1">
      <c r="B406" s="4" t="n"/>
    </row>
    <row r="407" ht="12.5" customHeight="1">
      <c r="B407" s="4" t="n"/>
    </row>
    <row r="408" ht="12.5" customHeight="1">
      <c r="B408" s="4" t="n"/>
    </row>
    <row r="409" ht="12.5" customHeight="1">
      <c r="B409" s="4" t="n"/>
    </row>
    <row r="410" ht="12.5" customHeight="1">
      <c r="B410" s="4" t="n"/>
    </row>
    <row r="411" ht="12.5" customHeight="1">
      <c r="B411" s="4" t="n"/>
    </row>
    <row r="412" ht="12.5" customHeight="1">
      <c r="B412" s="4" t="n"/>
    </row>
    <row r="413" ht="12.5" customHeight="1">
      <c r="B413" s="4" t="n"/>
    </row>
    <row r="414" ht="12.5" customHeight="1">
      <c r="B414" s="4" t="n"/>
    </row>
    <row r="415" ht="12.5" customHeight="1">
      <c r="B415" s="4" t="n"/>
    </row>
    <row r="416" ht="12.5" customHeight="1">
      <c r="B416" s="4" t="n"/>
    </row>
    <row r="417" ht="12.5" customHeight="1">
      <c r="B417" s="4" t="n"/>
    </row>
    <row r="418" ht="12.5" customHeight="1">
      <c r="B418" s="4" t="n"/>
    </row>
    <row r="419" ht="12.5" customHeight="1">
      <c r="B419" s="4" t="n"/>
    </row>
    <row r="420" ht="12.5" customHeight="1">
      <c r="B420" s="4" t="n"/>
    </row>
    <row r="421" ht="12.5" customHeight="1">
      <c r="B421" s="4" t="n"/>
    </row>
    <row r="422" ht="12.5" customHeight="1">
      <c r="B422" s="4" t="n"/>
    </row>
    <row r="423" ht="12.5" customHeight="1">
      <c r="B423" s="4" t="n"/>
    </row>
    <row r="424" ht="12.5" customHeight="1">
      <c r="B424" s="4" t="n"/>
    </row>
    <row r="425" ht="12.5" customHeight="1">
      <c r="B425" s="4" t="n"/>
    </row>
    <row r="426" ht="12.5" customHeight="1">
      <c r="B426" s="4" t="n"/>
    </row>
    <row r="427" ht="12.5" customHeight="1">
      <c r="B427" s="4" t="n"/>
    </row>
    <row r="428" ht="12.5" customHeight="1">
      <c r="B428" s="4" t="n"/>
    </row>
    <row r="429" ht="12.5" customHeight="1">
      <c r="B429" s="4" t="n"/>
    </row>
    <row r="430" ht="12.5" customHeight="1">
      <c r="B430" s="4" t="n"/>
    </row>
    <row r="431" ht="12.5" customHeight="1">
      <c r="B431" s="4" t="n"/>
    </row>
    <row r="432" ht="12.5" customHeight="1">
      <c r="B432" s="4" t="n"/>
    </row>
    <row r="433" ht="12.5" customHeight="1">
      <c r="B433" s="4" t="n"/>
    </row>
    <row r="434" ht="12.5" customHeight="1">
      <c r="B434" s="4" t="n"/>
    </row>
    <row r="435" ht="12.5" customHeight="1">
      <c r="B435" s="4" t="n"/>
    </row>
    <row r="436" ht="12.5" customHeight="1">
      <c r="B436" s="4" t="n"/>
    </row>
    <row r="437" ht="12.5" customHeight="1">
      <c r="B437" s="4" t="n"/>
    </row>
    <row r="438" ht="12.5" customHeight="1">
      <c r="B438" s="4" t="n"/>
    </row>
    <row r="439" ht="12.5" customHeight="1">
      <c r="B439" s="4" t="n"/>
    </row>
    <row r="440" ht="12.5" customHeight="1">
      <c r="B440" s="4" t="n"/>
    </row>
    <row r="441" ht="12.5" customHeight="1">
      <c r="B441" s="4" t="n"/>
    </row>
    <row r="442" ht="12.5" customHeight="1">
      <c r="B442" s="4" t="n"/>
    </row>
    <row r="443" ht="12.5" customHeight="1">
      <c r="B443" s="4" t="n"/>
    </row>
    <row r="444" ht="12.5" customHeight="1">
      <c r="B444" s="4" t="n"/>
    </row>
    <row r="445" ht="12.5" customHeight="1">
      <c r="B445" s="4" t="n"/>
    </row>
    <row r="446" ht="12.5" customHeight="1">
      <c r="B446" s="4" t="n"/>
    </row>
    <row r="447" ht="12.5" customHeight="1">
      <c r="B447" s="4" t="n"/>
    </row>
    <row r="448" ht="12.5" customHeight="1">
      <c r="B448" s="4" t="n"/>
    </row>
    <row r="449" ht="12.5" customHeight="1">
      <c r="B449" s="4" t="n"/>
    </row>
    <row r="450" ht="12.5" customHeight="1">
      <c r="B450" s="4" t="n"/>
    </row>
    <row r="451" ht="12.5" customHeight="1">
      <c r="B451" s="4" t="n"/>
    </row>
    <row r="452" ht="12.5" customHeight="1">
      <c r="B452" s="4" t="n"/>
    </row>
    <row r="453" ht="12.5" customHeight="1">
      <c r="B453" s="4" t="n"/>
    </row>
    <row r="454" ht="12.5" customHeight="1">
      <c r="B454" s="4" t="n"/>
    </row>
    <row r="455" ht="12.5" customHeight="1">
      <c r="B455" s="4" t="n"/>
    </row>
    <row r="456" ht="12.5" customHeight="1">
      <c r="B456" s="4" t="n"/>
    </row>
    <row r="457" ht="12.5" customHeight="1">
      <c r="B457" s="4" t="n"/>
    </row>
    <row r="458" ht="12.5" customHeight="1">
      <c r="B458" s="4" t="n"/>
    </row>
    <row r="459" ht="12.5" customHeight="1">
      <c r="B459" s="4" t="n"/>
    </row>
    <row r="460" ht="12.5" customHeight="1">
      <c r="B460" s="4" t="n"/>
    </row>
    <row r="461" ht="12.5" customHeight="1">
      <c r="B461" s="4" t="n"/>
    </row>
    <row r="462" ht="12.5" customHeight="1">
      <c r="B462" s="4" t="n"/>
    </row>
    <row r="463" ht="12.5" customHeight="1">
      <c r="B463" s="4" t="n"/>
    </row>
    <row r="464" ht="12.5" customHeight="1">
      <c r="B464" s="4" t="n"/>
    </row>
    <row r="465" ht="12.5" customHeight="1">
      <c r="B465" s="4" t="n"/>
    </row>
    <row r="466" ht="12.5" customHeight="1">
      <c r="B466" s="4" t="n"/>
    </row>
    <row r="467" ht="12.5" customHeight="1">
      <c r="B467" s="4" t="n"/>
    </row>
    <row r="468" ht="12.5" customHeight="1">
      <c r="B468" s="4" t="n"/>
    </row>
    <row r="469" ht="12.5" customHeight="1">
      <c r="B469" s="4" t="n"/>
    </row>
    <row r="470" ht="12.5" customHeight="1">
      <c r="B470" s="4" t="n"/>
    </row>
    <row r="471" ht="12.5" customHeight="1">
      <c r="B471" s="4" t="n"/>
    </row>
    <row r="472" ht="12.5" customHeight="1">
      <c r="B472" s="4" t="n"/>
    </row>
    <row r="473" ht="12.5" customHeight="1">
      <c r="B473" s="4" t="n"/>
    </row>
    <row r="474" ht="12.5" customHeight="1">
      <c r="B474" s="4" t="n"/>
    </row>
    <row r="475" ht="12.5" customHeight="1">
      <c r="B475" s="4" t="n"/>
    </row>
    <row r="476" ht="12.5" customHeight="1">
      <c r="B476" s="4" t="n"/>
    </row>
    <row r="477" ht="12.5" customHeight="1">
      <c r="B477" s="4" t="n"/>
    </row>
    <row r="478" ht="12.5" customHeight="1">
      <c r="B478" s="4" t="n"/>
    </row>
    <row r="479" ht="12.5" customHeight="1">
      <c r="B479" s="4" t="n"/>
    </row>
    <row r="480" ht="12.5" customHeight="1">
      <c r="B480" s="4" t="n"/>
    </row>
    <row r="481" ht="12.5" customHeight="1">
      <c r="B481" s="4" t="n"/>
    </row>
    <row r="482" ht="12.5" customHeight="1">
      <c r="B482" s="4" t="n"/>
    </row>
    <row r="483" ht="12.5" customHeight="1">
      <c r="B483" s="4" t="n"/>
    </row>
    <row r="484" ht="12.5" customHeight="1">
      <c r="B484" s="4" t="n"/>
    </row>
    <row r="485" ht="12.5" customHeight="1">
      <c r="B485" s="4" t="n"/>
    </row>
    <row r="486" ht="12.5" customHeight="1">
      <c r="B486" s="4" t="n"/>
    </row>
    <row r="487" ht="12.5" customHeight="1">
      <c r="B487" s="4" t="n"/>
    </row>
    <row r="488" ht="12.5" customHeight="1">
      <c r="B488" s="4" t="n"/>
    </row>
    <row r="489" ht="12.5" customHeight="1">
      <c r="B489" s="4" t="n"/>
    </row>
    <row r="490" ht="12.5" customHeight="1">
      <c r="B490" s="4" t="n"/>
    </row>
    <row r="491" ht="12.5" customHeight="1">
      <c r="B491" s="4" t="n"/>
    </row>
    <row r="492" ht="12.5" customHeight="1">
      <c r="B492" s="4" t="n"/>
    </row>
    <row r="493" ht="12.5" customHeight="1">
      <c r="B493" s="4" t="n"/>
    </row>
    <row r="494" ht="12.5" customHeight="1">
      <c r="B494" s="4" t="n"/>
    </row>
    <row r="495" ht="12.5" customHeight="1">
      <c r="B495" s="4" t="n"/>
    </row>
    <row r="496" ht="12.5" customHeight="1">
      <c r="B496" s="4" t="n"/>
    </row>
    <row r="497" ht="12.5" customHeight="1">
      <c r="B497" s="4" t="n"/>
    </row>
    <row r="498" ht="12.5" customHeight="1">
      <c r="B498" s="4" t="n"/>
    </row>
    <row r="499" ht="12.5" customHeight="1">
      <c r="B499" s="4" t="n"/>
    </row>
    <row r="500" ht="12.5" customHeight="1">
      <c r="B500" s="4" t="n"/>
    </row>
    <row r="501" ht="12.5" customHeight="1">
      <c r="B501" s="4" t="n"/>
    </row>
    <row r="502" ht="12.5" customHeight="1">
      <c r="B502" s="4" t="n"/>
    </row>
    <row r="503" ht="12.5" customHeight="1">
      <c r="B503" s="4" t="n"/>
    </row>
    <row r="504" ht="12.5" customHeight="1">
      <c r="B504" s="4" t="n"/>
    </row>
    <row r="505" ht="12.5" customHeight="1">
      <c r="B505" s="4" t="n"/>
    </row>
    <row r="506" ht="12.5" customHeight="1">
      <c r="B506" s="4" t="n"/>
    </row>
    <row r="507" ht="12.5" customHeight="1">
      <c r="B507" s="4" t="n"/>
    </row>
    <row r="508" ht="12.5" customHeight="1">
      <c r="B508" s="4" t="n"/>
    </row>
    <row r="509" ht="12.5" customHeight="1">
      <c r="B509" s="4" t="n"/>
    </row>
    <row r="510" ht="12.5" customHeight="1">
      <c r="B510" s="4" t="n"/>
    </row>
    <row r="511" ht="12.5" customHeight="1">
      <c r="B511" s="4" t="n"/>
    </row>
    <row r="512" ht="12.5" customHeight="1">
      <c r="B512" s="4" t="n"/>
    </row>
    <row r="513" ht="12.5" customHeight="1">
      <c r="B513" s="4" t="n"/>
    </row>
    <row r="514" ht="12.5" customHeight="1">
      <c r="B514" s="4" t="n"/>
    </row>
    <row r="515" ht="12.5" customHeight="1">
      <c r="B515" s="4" t="n"/>
    </row>
    <row r="516" ht="12.5" customHeight="1">
      <c r="B516" s="4" t="n"/>
    </row>
    <row r="517" ht="12.5" customHeight="1">
      <c r="B517" s="4" t="n"/>
    </row>
    <row r="518" ht="12.5" customHeight="1">
      <c r="B518" s="4" t="n"/>
    </row>
    <row r="519" ht="12.5" customHeight="1">
      <c r="B519" s="4" t="n"/>
    </row>
    <row r="520" ht="12.5" customHeight="1">
      <c r="B520" s="4" t="n"/>
    </row>
    <row r="521" ht="12.5" customHeight="1">
      <c r="B521" s="4" t="n"/>
    </row>
    <row r="522" ht="12.5" customHeight="1">
      <c r="B522" s="4" t="n"/>
    </row>
    <row r="523" ht="12.5" customHeight="1">
      <c r="B523" s="4" t="n"/>
    </row>
    <row r="524" ht="12.5" customHeight="1">
      <c r="B524" s="4" t="n"/>
    </row>
    <row r="525" ht="12.5" customHeight="1">
      <c r="B525" s="4" t="n"/>
    </row>
    <row r="526" ht="12.5" customHeight="1">
      <c r="B526" s="4" t="n"/>
    </row>
    <row r="527" ht="12.5" customHeight="1">
      <c r="B527" s="4" t="n"/>
    </row>
    <row r="528" ht="12.5" customHeight="1">
      <c r="B528" s="4" t="n"/>
    </row>
    <row r="529" ht="12.5" customHeight="1">
      <c r="B529" s="4" t="n"/>
    </row>
    <row r="530" ht="12.5" customHeight="1">
      <c r="B530" s="4" t="n"/>
    </row>
    <row r="531" ht="12.5" customHeight="1">
      <c r="B531" s="4" t="n"/>
    </row>
    <row r="532" ht="12.5" customHeight="1">
      <c r="B532" s="4" t="n"/>
    </row>
    <row r="533" ht="12.5" customHeight="1">
      <c r="B533" s="4" t="n"/>
    </row>
    <row r="534" ht="12.5" customHeight="1">
      <c r="B534" s="4" t="n"/>
    </row>
    <row r="535" ht="12.5" customHeight="1">
      <c r="B535" s="4" t="n"/>
    </row>
    <row r="536" ht="12.5" customHeight="1">
      <c r="B536" s="4" t="n"/>
    </row>
    <row r="537" ht="12.5" customHeight="1">
      <c r="B537" s="4" t="n"/>
    </row>
    <row r="538" ht="12.5" customHeight="1">
      <c r="B538" s="4" t="n"/>
    </row>
    <row r="539" ht="12.5" customHeight="1">
      <c r="B539" s="4" t="n"/>
    </row>
    <row r="540" ht="12.5" customHeight="1">
      <c r="B540" s="4" t="n"/>
    </row>
    <row r="541" ht="12.5" customHeight="1">
      <c r="B541" s="4" t="n"/>
    </row>
    <row r="542" ht="12.5" customHeight="1">
      <c r="B542" s="4" t="n"/>
    </row>
    <row r="543" ht="12.5" customHeight="1">
      <c r="B543" s="4" t="n"/>
    </row>
    <row r="544" ht="12.5" customHeight="1">
      <c r="B544" s="4" t="n"/>
    </row>
    <row r="545" ht="12.5" customHeight="1">
      <c r="B545" s="4" t="n"/>
    </row>
    <row r="546" ht="12.5" customHeight="1">
      <c r="B546" s="4" t="n"/>
    </row>
    <row r="547" ht="12.5" customHeight="1">
      <c r="B547" s="4" t="n"/>
    </row>
    <row r="548" ht="12.5" customHeight="1">
      <c r="B548" s="4" t="n"/>
    </row>
    <row r="549" ht="12.5" customHeight="1">
      <c r="B549" s="4" t="n"/>
    </row>
    <row r="550" ht="12.5" customHeight="1">
      <c r="B550" s="4" t="n"/>
    </row>
    <row r="551" ht="12.5" customHeight="1">
      <c r="B551" s="4" t="n"/>
    </row>
    <row r="552" ht="12.5" customHeight="1">
      <c r="B552" s="4" t="n"/>
    </row>
    <row r="553" ht="12.5" customHeight="1">
      <c r="B553" s="4" t="n"/>
    </row>
    <row r="554" ht="12.5" customHeight="1">
      <c r="B554" s="4" t="n"/>
    </row>
    <row r="555" ht="12.5" customHeight="1">
      <c r="B555" s="4" t="n"/>
    </row>
    <row r="556" ht="12.5" customHeight="1">
      <c r="B556" s="4" t="n"/>
    </row>
    <row r="557" ht="12.5" customHeight="1">
      <c r="B557" s="4" t="n"/>
    </row>
    <row r="558" ht="12.5" customHeight="1">
      <c r="B558" s="4" t="n"/>
    </row>
    <row r="559" ht="12.5" customHeight="1">
      <c r="B559" s="4" t="n"/>
    </row>
    <row r="560" ht="12.5" customHeight="1">
      <c r="B560" s="4" t="n"/>
    </row>
    <row r="561" ht="12.5" customHeight="1">
      <c r="B561" s="4" t="n"/>
    </row>
    <row r="562" ht="12.5" customHeight="1">
      <c r="B562" s="4" t="n"/>
    </row>
    <row r="563" ht="12.5" customHeight="1">
      <c r="B563" s="4" t="n"/>
    </row>
    <row r="564" ht="12.5" customHeight="1">
      <c r="B564" s="4" t="n"/>
    </row>
    <row r="565" ht="12.5" customHeight="1">
      <c r="B565" s="4" t="n"/>
    </row>
    <row r="566" ht="12.5" customHeight="1">
      <c r="B566" s="4" t="n"/>
    </row>
    <row r="567" ht="12.5" customHeight="1">
      <c r="B567" s="4" t="n"/>
    </row>
    <row r="568" ht="12.5" customHeight="1">
      <c r="B568" s="4" t="n"/>
    </row>
    <row r="569" ht="12.5" customHeight="1">
      <c r="B569" s="4" t="n"/>
    </row>
    <row r="570" ht="12.5" customHeight="1">
      <c r="B570" s="4" t="n"/>
    </row>
    <row r="571" ht="12.5" customHeight="1">
      <c r="B571" s="4" t="n"/>
    </row>
    <row r="572" ht="12.5" customHeight="1">
      <c r="B572" s="4" t="n"/>
    </row>
    <row r="573" ht="12.5" customHeight="1">
      <c r="B573" s="4" t="n"/>
    </row>
    <row r="574" ht="12.5" customHeight="1">
      <c r="B574" s="4" t="n"/>
    </row>
    <row r="575" ht="12.5" customHeight="1">
      <c r="B575" s="4" t="n"/>
    </row>
    <row r="576" ht="12.5" customHeight="1">
      <c r="B576" s="4" t="n"/>
    </row>
    <row r="577" ht="12.5" customHeight="1">
      <c r="B577" s="4" t="n"/>
    </row>
    <row r="578" ht="12.5" customHeight="1">
      <c r="B578" s="4" t="n"/>
    </row>
    <row r="579" ht="12.5" customHeight="1">
      <c r="B579" s="4" t="n"/>
    </row>
    <row r="580" ht="12.5" customHeight="1">
      <c r="B580" s="4" t="n"/>
    </row>
    <row r="581" ht="12.5" customHeight="1">
      <c r="B581" s="4" t="n"/>
    </row>
    <row r="582" ht="12.5" customHeight="1">
      <c r="B582" s="4" t="n"/>
    </row>
    <row r="583" ht="12.5" customHeight="1">
      <c r="B583" s="4" t="n"/>
    </row>
    <row r="584" ht="12.5" customHeight="1">
      <c r="B584" s="4" t="n"/>
    </row>
    <row r="585" ht="12.5" customHeight="1">
      <c r="B585" s="4" t="n"/>
    </row>
    <row r="586" ht="12.5" customHeight="1">
      <c r="B586" s="4" t="n"/>
    </row>
    <row r="587" ht="12.5" customHeight="1">
      <c r="B587" s="4" t="n"/>
    </row>
    <row r="588" ht="12.5" customHeight="1">
      <c r="B588" s="4" t="n"/>
    </row>
    <row r="589" ht="12.5" customHeight="1">
      <c r="B589" s="4" t="n"/>
    </row>
    <row r="590" ht="12.5" customHeight="1">
      <c r="B590" s="4" t="n"/>
    </row>
    <row r="591" ht="12.5" customHeight="1">
      <c r="B591" s="4" t="n"/>
    </row>
    <row r="592" ht="12.5" customHeight="1">
      <c r="B592" s="4" t="n"/>
    </row>
    <row r="593" ht="12.5" customHeight="1">
      <c r="B593" s="4" t="n"/>
    </row>
    <row r="594" ht="12.5" customHeight="1">
      <c r="B594" s="4" t="n"/>
    </row>
    <row r="595" ht="12.5" customHeight="1">
      <c r="B595" s="4" t="n"/>
    </row>
    <row r="596" ht="12.5" customHeight="1">
      <c r="B596" s="4" t="n"/>
    </row>
    <row r="597" ht="12.5" customHeight="1">
      <c r="B597" s="4" t="n"/>
    </row>
    <row r="598" ht="12.5" customHeight="1">
      <c r="B598" s="4" t="n"/>
    </row>
    <row r="599" ht="12.5" customHeight="1">
      <c r="B599" s="4" t="n"/>
    </row>
    <row r="600" ht="12.5" customHeight="1">
      <c r="B600" s="4" t="n"/>
    </row>
    <row r="601" ht="12.5" customHeight="1">
      <c r="B601" s="4" t="n"/>
    </row>
    <row r="602" ht="12.5" customHeight="1">
      <c r="B602" s="4" t="n"/>
    </row>
    <row r="603" ht="12.5" customHeight="1">
      <c r="B603" s="4" t="n"/>
    </row>
    <row r="604" ht="12.5" customHeight="1">
      <c r="B604" s="4" t="n"/>
    </row>
    <row r="605" ht="12.5" customHeight="1">
      <c r="B605" s="4" t="n"/>
    </row>
    <row r="606" ht="12.5" customHeight="1">
      <c r="B606" s="4" t="n"/>
    </row>
    <row r="607" ht="12.5" customHeight="1">
      <c r="B607" s="4" t="n"/>
    </row>
    <row r="608" ht="12.5" customHeight="1">
      <c r="B608" s="4" t="n"/>
    </row>
    <row r="609" ht="12.5" customHeight="1">
      <c r="B609" s="4" t="n"/>
    </row>
    <row r="610" ht="12.5" customHeight="1">
      <c r="B610" s="4" t="n"/>
    </row>
    <row r="611" ht="12.5" customHeight="1">
      <c r="B611" s="4" t="n"/>
    </row>
    <row r="612" ht="12.5" customHeight="1">
      <c r="B612" s="4" t="n"/>
    </row>
    <row r="613" ht="12.5" customHeight="1">
      <c r="B613" s="4" t="n"/>
    </row>
    <row r="614" ht="12.5" customHeight="1">
      <c r="B614" s="4" t="n"/>
    </row>
    <row r="615" ht="12.5" customHeight="1">
      <c r="B615" s="4" t="n"/>
    </row>
    <row r="616" ht="12.5" customHeight="1">
      <c r="B616" s="4" t="n"/>
    </row>
    <row r="617" ht="12.5" customHeight="1">
      <c r="B617" s="4" t="n"/>
    </row>
    <row r="618" ht="12.5" customHeight="1">
      <c r="B618" s="4" t="n"/>
    </row>
    <row r="619" ht="12.5" customHeight="1">
      <c r="B619" s="4" t="n"/>
    </row>
    <row r="620" ht="12.5" customHeight="1">
      <c r="B620" s="4" t="n"/>
    </row>
    <row r="621" ht="12.5" customHeight="1">
      <c r="B621" s="4" t="n"/>
    </row>
    <row r="622" ht="12.5" customHeight="1">
      <c r="B622" s="4" t="n"/>
    </row>
    <row r="623" ht="12.5" customHeight="1">
      <c r="B623" s="4" t="n"/>
    </row>
    <row r="624" ht="12.5" customHeight="1">
      <c r="B624" s="4" t="n"/>
    </row>
    <row r="625" ht="12.5" customHeight="1">
      <c r="B625" s="4" t="n"/>
    </row>
    <row r="626" ht="12.5" customHeight="1">
      <c r="B626" s="4" t="n"/>
    </row>
    <row r="627" ht="12.5" customHeight="1">
      <c r="B627" s="4" t="n"/>
    </row>
    <row r="628" ht="12.5" customHeight="1">
      <c r="B628" s="4" t="n"/>
    </row>
    <row r="629" ht="12.5" customHeight="1">
      <c r="B629" s="4" t="n"/>
    </row>
    <row r="630" ht="12.5" customHeight="1">
      <c r="B630" s="4" t="n"/>
    </row>
    <row r="631" ht="12.5" customHeight="1">
      <c r="B631" s="4" t="n"/>
    </row>
    <row r="632" ht="12.5" customHeight="1">
      <c r="B632" s="4" t="n"/>
    </row>
    <row r="633" ht="12.5" customHeight="1">
      <c r="B633" s="4" t="n"/>
    </row>
    <row r="634" ht="12.5" customHeight="1">
      <c r="B634" s="4" t="n"/>
    </row>
    <row r="635" ht="12.5" customHeight="1">
      <c r="B635" s="4" t="n"/>
    </row>
    <row r="636" ht="12.5" customHeight="1">
      <c r="B636" s="4" t="n"/>
    </row>
    <row r="637" ht="12.5" customHeight="1">
      <c r="B637" s="4" t="n"/>
    </row>
    <row r="638" ht="12.5" customHeight="1">
      <c r="B638" s="4" t="n"/>
    </row>
    <row r="639" ht="12.5" customHeight="1">
      <c r="B639" s="4" t="n"/>
    </row>
    <row r="640" ht="12.5" customHeight="1">
      <c r="B640" s="4" t="n"/>
    </row>
    <row r="641" ht="12.5" customHeight="1">
      <c r="B641" s="4" t="n"/>
    </row>
    <row r="642" ht="12.5" customHeight="1">
      <c r="B642" s="4" t="n"/>
    </row>
    <row r="643" ht="12.5" customHeight="1">
      <c r="B643" s="4" t="n"/>
    </row>
    <row r="644" ht="12.5" customHeight="1">
      <c r="B644" s="4" t="n"/>
    </row>
    <row r="645" ht="12.5" customHeight="1">
      <c r="B645" s="4" t="n"/>
    </row>
    <row r="646" ht="12.5" customHeight="1">
      <c r="B646" s="4" t="n"/>
    </row>
    <row r="647" ht="12.5" customHeight="1">
      <c r="B647" s="4" t="n"/>
    </row>
    <row r="648" ht="12.5" customHeight="1">
      <c r="B648" s="4" t="n"/>
    </row>
    <row r="649" ht="12.5" customHeight="1">
      <c r="B649" s="4" t="n"/>
    </row>
    <row r="650" ht="12.5" customHeight="1">
      <c r="B650" s="4" t="n"/>
    </row>
    <row r="651" ht="12.5" customHeight="1">
      <c r="B651" s="4" t="n"/>
    </row>
    <row r="652" ht="12.5" customHeight="1">
      <c r="B652" s="4" t="n"/>
    </row>
    <row r="653" ht="12.5" customHeight="1">
      <c r="B653" s="4" t="n"/>
    </row>
    <row r="654" ht="12.5" customHeight="1">
      <c r="B654" s="4" t="n"/>
    </row>
    <row r="655" ht="12.5" customHeight="1">
      <c r="B655" s="4" t="n"/>
    </row>
    <row r="656" ht="12.5" customHeight="1">
      <c r="B656" s="4" t="n"/>
    </row>
    <row r="657" ht="12.5" customHeight="1">
      <c r="B657" s="4" t="n"/>
    </row>
    <row r="658" ht="12.5" customHeight="1">
      <c r="B658" s="4" t="n"/>
    </row>
    <row r="659" ht="12.5" customHeight="1">
      <c r="B659" s="4" t="n"/>
    </row>
    <row r="660" ht="12.5" customHeight="1">
      <c r="B660" s="4" t="n"/>
    </row>
    <row r="661" ht="12.5" customHeight="1">
      <c r="B661" s="4" t="n"/>
    </row>
    <row r="662" ht="12.5" customHeight="1">
      <c r="B662" s="4" t="n"/>
    </row>
    <row r="663" ht="12.5" customHeight="1">
      <c r="B663" s="4" t="n"/>
    </row>
    <row r="664" ht="12.5" customHeight="1">
      <c r="B664" s="4" t="n"/>
    </row>
    <row r="665" ht="12.5" customHeight="1">
      <c r="B665" s="4" t="n"/>
    </row>
    <row r="666" ht="12.5" customHeight="1">
      <c r="B666" s="4" t="n"/>
    </row>
    <row r="667" ht="12.5" customHeight="1">
      <c r="B667" s="4" t="n"/>
    </row>
    <row r="668" ht="12.5" customHeight="1">
      <c r="B668" s="4" t="n"/>
    </row>
    <row r="669" ht="12.5" customHeight="1">
      <c r="B669" s="4" t="n"/>
    </row>
    <row r="670" ht="12.5" customHeight="1">
      <c r="B670" s="4" t="n"/>
    </row>
    <row r="671" ht="12.5" customHeight="1">
      <c r="B671" s="4" t="n"/>
    </row>
    <row r="672" ht="12.5" customHeight="1">
      <c r="B672" s="4" t="n"/>
    </row>
    <row r="673" ht="12.5" customHeight="1">
      <c r="B673" s="4" t="n"/>
    </row>
    <row r="674" ht="12.5" customHeight="1">
      <c r="B674" s="4" t="n"/>
    </row>
    <row r="675" ht="12.5" customHeight="1">
      <c r="B675" s="4" t="n"/>
    </row>
    <row r="676" ht="12.5" customHeight="1">
      <c r="B676" s="4" t="n"/>
    </row>
    <row r="677" ht="12.5" customHeight="1">
      <c r="B677" s="4" t="n"/>
    </row>
    <row r="678" ht="12.5" customHeight="1">
      <c r="B678" s="4" t="n"/>
    </row>
    <row r="679" ht="12.5" customHeight="1">
      <c r="B679" s="4" t="n"/>
    </row>
    <row r="680" ht="12.5" customHeight="1">
      <c r="B680" s="4" t="n"/>
    </row>
    <row r="681" ht="12.5" customHeight="1">
      <c r="B681" s="4" t="n"/>
    </row>
    <row r="682" ht="12.5" customHeight="1">
      <c r="B682" s="4" t="n"/>
    </row>
    <row r="683" ht="12.5" customHeight="1">
      <c r="B683" s="4" t="n"/>
    </row>
    <row r="684" ht="12.5" customHeight="1">
      <c r="B684" s="4" t="n"/>
    </row>
    <row r="685" ht="12.5" customHeight="1">
      <c r="B685" s="4" t="n"/>
    </row>
    <row r="686" ht="12.5" customHeight="1">
      <c r="B686" s="4" t="n"/>
    </row>
    <row r="687" ht="12.5" customHeight="1">
      <c r="B687" s="4" t="n"/>
    </row>
    <row r="688" ht="12.5" customHeight="1">
      <c r="B688" s="4" t="n"/>
    </row>
    <row r="689" ht="12.5" customHeight="1">
      <c r="B689" s="4" t="n"/>
    </row>
    <row r="690" ht="12.5" customHeight="1">
      <c r="B690" s="4" t="n"/>
    </row>
    <row r="691" ht="12.5" customHeight="1">
      <c r="B691" s="4" t="n"/>
    </row>
    <row r="692" ht="12.5" customHeight="1">
      <c r="B692" s="4" t="n"/>
    </row>
    <row r="693" ht="12.5" customHeight="1">
      <c r="B693" s="4" t="n"/>
    </row>
    <row r="694" ht="12.5" customHeight="1">
      <c r="B694" s="4" t="n"/>
    </row>
    <row r="695" ht="12.5" customHeight="1">
      <c r="B695" s="4" t="n"/>
    </row>
    <row r="696" ht="12.5" customHeight="1">
      <c r="B696" s="4" t="n"/>
    </row>
    <row r="697" ht="12.5" customHeight="1">
      <c r="B697" s="4" t="n"/>
    </row>
    <row r="698" ht="12.5" customHeight="1">
      <c r="B698" s="4" t="n"/>
    </row>
    <row r="699" ht="12.5" customHeight="1">
      <c r="B699" s="4" t="n"/>
    </row>
    <row r="700" ht="12.5" customHeight="1">
      <c r="B700" s="4" t="n"/>
    </row>
    <row r="701" ht="12.5" customHeight="1">
      <c r="B701" s="4" t="n"/>
    </row>
    <row r="702" ht="12.5" customHeight="1">
      <c r="B702" s="4" t="n"/>
    </row>
    <row r="703" ht="12.5" customHeight="1">
      <c r="B703" s="4" t="n"/>
    </row>
    <row r="704" ht="12.5" customHeight="1">
      <c r="B704" s="4" t="n"/>
    </row>
    <row r="705" ht="12.5" customHeight="1">
      <c r="B705" s="4" t="n"/>
    </row>
    <row r="706" ht="12.5" customHeight="1">
      <c r="B706" s="4" t="n"/>
    </row>
    <row r="707" ht="12.5" customHeight="1">
      <c r="B707" s="4" t="n"/>
    </row>
    <row r="708" ht="12.5" customHeight="1">
      <c r="B708" s="4" t="n"/>
    </row>
    <row r="709" ht="12.5" customHeight="1">
      <c r="B709" s="4" t="n"/>
    </row>
    <row r="710" ht="12.5" customHeight="1">
      <c r="B710" s="4" t="n"/>
    </row>
    <row r="711" ht="12.5" customHeight="1">
      <c r="B711" s="4" t="n"/>
    </row>
    <row r="712" ht="12.5" customHeight="1">
      <c r="B712" s="4" t="n"/>
    </row>
    <row r="713" ht="12.5" customHeight="1">
      <c r="B713" s="4" t="n"/>
    </row>
    <row r="714" ht="12.5" customHeight="1">
      <c r="B714" s="4" t="n"/>
    </row>
    <row r="715" ht="12.5" customHeight="1">
      <c r="B715" s="4" t="n"/>
    </row>
    <row r="716" ht="12.5" customHeight="1">
      <c r="B716" s="4" t="n"/>
    </row>
    <row r="717" ht="12.5" customHeight="1">
      <c r="B717" s="4" t="n"/>
    </row>
    <row r="718" ht="12.5" customHeight="1">
      <c r="B718" s="4" t="n"/>
    </row>
    <row r="719" ht="12.5" customHeight="1">
      <c r="B719" s="4" t="n"/>
    </row>
    <row r="720" ht="12.5" customHeight="1">
      <c r="B720" s="4" t="n"/>
    </row>
    <row r="721" ht="12.5" customHeight="1">
      <c r="B721" s="4" t="n"/>
    </row>
    <row r="722" ht="12.5" customHeight="1">
      <c r="B722" s="4" t="n"/>
    </row>
    <row r="723" ht="12.5" customHeight="1">
      <c r="B723" s="4" t="n"/>
    </row>
    <row r="724" ht="12.5" customHeight="1">
      <c r="B724" s="4" t="n"/>
    </row>
    <row r="725" ht="12.5" customHeight="1">
      <c r="B725" s="4" t="n"/>
    </row>
    <row r="726" ht="12.5" customHeight="1">
      <c r="B726" s="4" t="n"/>
    </row>
    <row r="727" ht="12.5" customHeight="1">
      <c r="B727" s="4" t="n"/>
    </row>
    <row r="728" ht="12.5" customHeight="1">
      <c r="B728" s="4" t="n"/>
    </row>
    <row r="729" ht="12.5" customHeight="1">
      <c r="B729" s="4" t="n"/>
    </row>
    <row r="730" ht="12.5" customHeight="1">
      <c r="B730" s="4" t="n"/>
    </row>
    <row r="731" ht="12.5" customHeight="1">
      <c r="B731" s="4" t="n"/>
    </row>
    <row r="732" ht="12.5" customHeight="1">
      <c r="B732" s="4" t="n"/>
    </row>
    <row r="733" ht="12.5" customHeight="1">
      <c r="B733" s="4" t="n"/>
    </row>
    <row r="734" ht="12.5" customHeight="1">
      <c r="B734" s="4" t="n"/>
    </row>
    <row r="735" ht="12.5" customHeight="1">
      <c r="B735" s="4" t="n"/>
    </row>
    <row r="736" ht="12.5" customHeight="1">
      <c r="B736" s="4" t="n"/>
    </row>
    <row r="737" ht="12.5" customHeight="1">
      <c r="B737" s="4" t="n"/>
    </row>
    <row r="738" ht="12.5" customHeight="1">
      <c r="B738" s="4" t="n"/>
    </row>
    <row r="739" ht="12.5" customHeight="1">
      <c r="B739" s="4" t="n"/>
    </row>
    <row r="740" ht="12.5" customHeight="1">
      <c r="B740" s="4" t="n"/>
    </row>
    <row r="741" ht="12.5" customHeight="1">
      <c r="B741" s="4" t="n"/>
    </row>
    <row r="742" ht="12.5" customHeight="1">
      <c r="B742" s="4" t="n"/>
    </row>
    <row r="743" ht="12.5" customHeight="1">
      <c r="B743" s="4" t="n"/>
    </row>
    <row r="744" ht="12.5" customHeight="1">
      <c r="B744" s="4" t="n"/>
    </row>
    <row r="745" ht="12.5" customHeight="1">
      <c r="B745" s="4" t="n"/>
    </row>
    <row r="746" ht="12.5" customHeight="1">
      <c r="B746" s="4" t="n"/>
    </row>
    <row r="747" ht="12.5" customHeight="1">
      <c r="B747" s="4" t="n"/>
    </row>
    <row r="748" ht="12.5" customHeight="1">
      <c r="B748" s="4" t="n"/>
    </row>
    <row r="749" ht="12.5" customHeight="1">
      <c r="B749" s="4" t="n"/>
    </row>
    <row r="750" ht="12.5" customHeight="1">
      <c r="B750" s="4" t="n"/>
    </row>
    <row r="751" ht="12.5" customHeight="1">
      <c r="B751" s="4" t="n"/>
    </row>
    <row r="752" ht="12.5" customHeight="1">
      <c r="B752" s="4" t="n"/>
    </row>
    <row r="753" ht="12.5" customHeight="1">
      <c r="B753" s="4" t="n"/>
    </row>
    <row r="754" ht="12.5" customHeight="1">
      <c r="B754" s="4" t="n"/>
    </row>
    <row r="755" ht="12.5" customHeight="1">
      <c r="B755" s="4" t="n"/>
    </row>
    <row r="756" ht="12.5" customHeight="1">
      <c r="B756" s="4" t="n"/>
    </row>
    <row r="757" ht="12.5" customHeight="1">
      <c r="B757" s="4" t="n"/>
    </row>
    <row r="758" ht="12.5" customHeight="1">
      <c r="B758" s="4" t="n"/>
    </row>
    <row r="759" ht="12.5" customHeight="1">
      <c r="B759" s="4" t="n"/>
    </row>
    <row r="760" ht="12.5" customHeight="1">
      <c r="B760" s="4" t="n"/>
    </row>
    <row r="761" ht="12.5" customHeight="1">
      <c r="B761" s="4" t="n"/>
    </row>
    <row r="762" ht="12.5" customHeight="1">
      <c r="B762" s="4" t="n"/>
    </row>
    <row r="763" ht="12.5" customHeight="1">
      <c r="B763" s="4" t="n"/>
    </row>
    <row r="764" ht="12.5" customHeight="1">
      <c r="B764" s="4" t="n"/>
    </row>
    <row r="765" ht="12.5" customHeight="1">
      <c r="B765" s="4" t="n"/>
    </row>
    <row r="766" ht="12.5" customHeight="1">
      <c r="B766" s="4" t="n"/>
    </row>
    <row r="767" ht="12.5" customHeight="1">
      <c r="B767" s="4" t="n"/>
    </row>
    <row r="768" ht="12.5" customHeight="1">
      <c r="B768" s="4" t="n"/>
    </row>
    <row r="769" ht="12.5" customHeight="1">
      <c r="B769" s="4" t="n"/>
    </row>
    <row r="770" ht="12.5" customHeight="1">
      <c r="B770" s="4" t="n"/>
    </row>
    <row r="771" ht="12.5" customHeight="1">
      <c r="B771" s="4" t="n"/>
    </row>
    <row r="772" ht="12.5" customHeight="1">
      <c r="B772" s="4" t="n"/>
    </row>
    <row r="773" ht="12.5" customHeight="1">
      <c r="B773" s="4" t="n"/>
    </row>
    <row r="774" ht="12.5" customHeight="1">
      <c r="B774" s="4" t="n"/>
    </row>
    <row r="775" ht="12.5" customHeight="1">
      <c r="B775" s="4" t="n"/>
    </row>
    <row r="776" ht="12.5" customHeight="1">
      <c r="B776" s="4" t="n"/>
    </row>
    <row r="777" ht="12.5" customHeight="1">
      <c r="B777" s="4" t="n"/>
    </row>
    <row r="778" ht="12.5" customHeight="1">
      <c r="B778" s="4" t="n"/>
    </row>
    <row r="779" ht="12.5" customHeight="1">
      <c r="B779" s="4" t="n"/>
    </row>
    <row r="780" ht="12.5" customHeight="1">
      <c r="B780" s="4" t="n"/>
    </row>
    <row r="781" ht="12.5" customHeight="1">
      <c r="B781" s="4" t="n"/>
    </row>
    <row r="782" ht="12.5" customHeight="1">
      <c r="B782" s="4" t="n"/>
    </row>
    <row r="783" ht="12.5" customHeight="1">
      <c r="B783" s="4" t="n"/>
    </row>
    <row r="784" ht="12.5" customHeight="1">
      <c r="B784" s="4" t="n"/>
    </row>
    <row r="785" ht="12.5" customHeight="1">
      <c r="B785" s="4" t="n"/>
    </row>
    <row r="786" ht="12.5" customHeight="1">
      <c r="B786" s="4" t="n"/>
    </row>
    <row r="787" ht="12.5" customHeight="1">
      <c r="B787" s="4" t="n"/>
    </row>
    <row r="788" ht="12.5" customHeight="1">
      <c r="B788" s="4" t="n"/>
    </row>
    <row r="789" ht="12.5" customHeight="1">
      <c r="B789" s="4" t="n"/>
    </row>
    <row r="790" ht="12.5" customHeight="1">
      <c r="B790" s="4" t="n"/>
    </row>
    <row r="791" ht="12.5" customHeight="1">
      <c r="B791" s="4" t="n"/>
    </row>
    <row r="792" ht="12.5" customHeight="1">
      <c r="B792" s="4" t="n"/>
    </row>
    <row r="793" ht="12.5" customHeight="1">
      <c r="B793" s="4" t="n"/>
    </row>
    <row r="794" ht="12.5" customHeight="1">
      <c r="B794" s="4" t="n"/>
    </row>
    <row r="795" ht="12.5" customHeight="1">
      <c r="B795" s="4" t="n"/>
    </row>
    <row r="796" ht="12.5" customHeight="1">
      <c r="B796" s="4" t="n"/>
    </row>
    <row r="797" ht="12.5" customHeight="1">
      <c r="B797" s="4" t="n"/>
    </row>
    <row r="798" ht="12.5" customHeight="1">
      <c r="B798" s="4" t="n"/>
    </row>
    <row r="799" ht="12.5" customHeight="1">
      <c r="B799" s="4" t="n"/>
    </row>
    <row r="800" ht="12.5" customHeight="1">
      <c r="B800" s="4" t="n"/>
    </row>
    <row r="801" ht="12.5" customHeight="1">
      <c r="B801" s="4" t="n"/>
    </row>
    <row r="802" ht="12.5" customHeight="1">
      <c r="B802" s="4" t="n"/>
    </row>
    <row r="803" ht="12.5" customHeight="1">
      <c r="B803" s="4" t="n"/>
    </row>
    <row r="804" ht="12.5" customHeight="1">
      <c r="B804" s="4" t="n"/>
    </row>
    <row r="805" ht="12.5" customHeight="1">
      <c r="B805" s="4" t="n"/>
    </row>
    <row r="806" ht="12.5" customHeight="1">
      <c r="B806" s="4" t="n"/>
    </row>
    <row r="807" ht="12.5" customHeight="1">
      <c r="B807" s="4" t="n"/>
    </row>
    <row r="808" ht="12.5" customHeight="1">
      <c r="B808" s="4" t="n"/>
    </row>
    <row r="809" ht="12.5" customHeight="1">
      <c r="B809" s="4" t="n"/>
    </row>
    <row r="810" ht="12.5" customHeight="1">
      <c r="B810" s="4" t="n"/>
    </row>
    <row r="811" ht="12.5" customHeight="1">
      <c r="B811" s="4" t="n"/>
    </row>
    <row r="812" ht="12.5" customHeight="1">
      <c r="B812" s="4" t="n"/>
    </row>
    <row r="813" ht="12.5" customHeight="1">
      <c r="B813" s="4" t="n"/>
    </row>
    <row r="814" ht="12.5" customHeight="1">
      <c r="B814" s="4" t="n"/>
    </row>
    <row r="815" ht="12.5" customHeight="1">
      <c r="B815" s="4" t="n"/>
    </row>
    <row r="816" ht="12.5" customHeight="1">
      <c r="B816" s="4" t="n"/>
    </row>
    <row r="817" ht="12.5" customHeight="1">
      <c r="B817" s="4" t="n"/>
    </row>
    <row r="818" ht="12.5" customHeight="1">
      <c r="B818" s="4" t="n"/>
    </row>
    <row r="819" ht="12.5" customHeight="1">
      <c r="B819" s="4" t="n"/>
    </row>
    <row r="820" ht="12.5" customHeight="1">
      <c r="B820" s="4" t="n"/>
    </row>
    <row r="821" ht="12.5" customHeight="1">
      <c r="B821" s="4" t="n"/>
    </row>
    <row r="822" ht="12.5" customHeight="1">
      <c r="B822" s="4" t="n"/>
    </row>
    <row r="823" ht="12.5" customHeight="1">
      <c r="B823" s="4" t="n"/>
    </row>
    <row r="824" ht="12.5" customHeight="1">
      <c r="B824" s="4" t="n"/>
    </row>
    <row r="825" ht="12.5" customHeight="1">
      <c r="B825" s="4" t="n"/>
    </row>
    <row r="826" ht="12.5" customHeight="1">
      <c r="B826" s="4" t="n"/>
    </row>
    <row r="827" ht="12.5" customHeight="1">
      <c r="B827" s="4" t="n"/>
    </row>
    <row r="828" ht="12.5" customHeight="1">
      <c r="B828" s="4" t="n"/>
    </row>
    <row r="829" ht="12.5" customHeight="1">
      <c r="B829" s="4" t="n"/>
    </row>
    <row r="830" ht="12.5" customHeight="1">
      <c r="B830" s="4" t="n"/>
    </row>
    <row r="831" ht="12.5" customHeight="1">
      <c r="B831" s="4" t="n"/>
    </row>
    <row r="832" ht="12.5" customHeight="1">
      <c r="B832" s="4" t="n"/>
    </row>
    <row r="833" ht="12.5" customHeight="1">
      <c r="B833" s="4" t="n"/>
    </row>
    <row r="834" ht="12.5" customHeight="1">
      <c r="B834" s="4" t="n"/>
    </row>
    <row r="835" ht="12.5" customHeight="1">
      <c r="B835" s="4" t="n"/>
    </row>
    <row r="836" ht="12.5" customHeight="1">
      <c r="B836" s="4" t="n"/>
    </row>
    <row r="837" ht="12.5" customHeight="1">
      <c r="B837" s="4" t="n"/>
    </row>
    <row r="838" ht="12.5" customHeight="1">
      <c r="B838" s="4" t="n"/>
    </row>
    <row r="839" ht="12.5" customHeight="1">
      <c r="B839" s="4" t="n"/>
    </row>
    <row r="840" ht="12.5" customHeight="1">
      <c r="B840" s="4" t="n"/>
    </row>
    <row r="841" ht="12.5" customHeight="1">
      <c r="B841" s="4" t="n"/>
    </row>
    <row r="842" ht="12.5" customHeight="1">
      <c r="B842" s="4" t="n"/>
    </row>
    <row r="843" ht="12.5" customHeight="1">
      <c r="B843" s="4" t="n"/>
    </row>
    <row r="844" ht="12.5" customHeight="1">
      <c r="B844" s="4" t="n"/>
    </row>
    <row r="845" ht="12.5" customHeight="1">
      <c r="B845" s="4" t="n"/>
    </row>
    <row r="846" ht="12.5" customHeight="1">
      <c r="B846" s="4" t="n"/>
    </row>
    <row r="847" ht="12.5" customHeight="1">
      <c r="B847" s="4" t="n"/>
    </row>
    <row r="848" ht="12.5" customHeight="1">
      <c r="B848" s="4" t="n"/>
    </row>
    <row r="849" ht="12.5" customHeight="1">
      <c r="B849" s="4" t="n"/>
    </row>
    <row r="850" ht="12.5" customHeight="1">
      <c r="B850" s="4" t="n"/>
    </row>
    <row r="851" ht="12.5" customHeight="1">
      <c r="B851" s="4" t="n"/>
    </row>
    <row r="852" ht="12.5" customHeight="1">
      <c r="B852" s="4" t="n"/>
    </row>
    <row r="853" ht="12.5" customHeight="1">
      <c r="B853" s="4" t="n"/>
    </row>
    <row r="854" ht="12.5" customHeight="1">
      <c r="B854" s="4" t="n"/>
    </row>
    <row r="855" ht="12.5" customHeight="1">
      <c r="B855" s="4" t="n"/>
    </row>
    <row r="856" ht="12.5" customHeight="1">
      <c r="B856" s="4" t="n"/>
    </row>
    <row r="857" ht="12.5" customHeight="1">
      <c r="B857" s="4" t="n"/>
    </row>
    <row r="858" ht="12.5" customHeight="1">
      <c r="B858" s="4" t="n"/>
    </row>
    <row r="859" ht="12.5" customHeight="1">
      <c r="B859" s="4" t="n"/>
    </row>
    <row r="860" ht="12.5" customHeight="1">
      <c r="B860" s="4" t="n"/>
    </row>
    <row r="861" ht="12.5" customHeight="1">
      <c r="B861" s="4" t="n"/>
    </row>
    <row r="862" ht="12.5" customHeight="1">
      <c r="B862" s="4" t="n"/>
    </row>
    <row r="863" ht="12.5" customHeight="1">
      <c r="B863" s="4" t="n"/>
    </row>
    <row r="864" ht="12.5" customHeight="1">
      <c r="B864" s="4" t="n"/>
    </row>
    <row r="865" ht="12.5" customHeight="1">
      <c r="B865" s="4" t="n"/>
    </row>
    <row r="866" ht="12.5" customHeight="1">
      <c r="B866" s="4" t="n"/>
    </row>
    <row r="867" ht="12.5" customHeight="1">
      <c r="B867" s="4" t="n"/>
    </row>
    <row r="868" ht="12.5" customHeight="1">
      <c r="B868" s="4" t="n"/>
    </row>
    <row r="869" ht="12.5" customHeight="1">
      <c r="B869" s="4" t="n"/>
    </row>
    <row r="870" ht="12.5" customHeight="1">
      <c r="B870" s="4" t="n"/>
    </row>
    <row r="871" ht="12.5" customHeight="1">
      <c r="B871" s="4" t="n"/>
    </row>
    <row r="872" ht="12.5" customHeight="1">
      <c r="B872" s="4" t="n"/>
    </row>
    <row r="873" ht="12.5" customHeight="1">
      <c r="B873" s="4" t="n"/>
    </row>
    <row r="874" ht="12.5" customHeight="1">
      <c r="B874" s="4" t="n"/>
    </row>
    <row r="875" ht="12.5" customHeight="1">
      <c r="B875" s="4" t="n"/>
    </row>
    <row r="876" ht="12.5" customHeight="1">
      <c r="B876" s="4" t="n"/>
    </row>
    <row r="877" ht="12.5" customHeight="1">
      <c r="B877" s="4" t="n"/>
    </row>
    <row r="878" ht="12.5" customHeight="1">
      <c r="B878" s="4" t="n"/>
    </row>
    <row r="879" ht="12.5" customHeight="1">
      <c r="B879" s="4" t="n"/>
    </row>
    <row r="880" ht="12.5" customHeight="1">
      <c r="B880" s="4" t="n"/>
    </row>
    <row r="881" ht="12.5" customHeight="1">
      <c r="B881" s="4" t="n"/>
    </row>
    <row r="882" ht="12.5" customHeight="1">
      <c r="B882" s="4" t="n"/>
    </row>
    <row r="883" ht="12.5" customHeight="1">
      <c r="B883" s="4" t="n"/>
    </row>
    <row r="884" ht="12.5" customHeight="1">
      <c r="B884" s="4" t="n"/>
    </row>
    <row r="885" ht="12.5" customHeight="1">
      <c r="B885" s="4" t="n"/>
    </row>
    <row r="886" ht="12.5" customHeight="1">
      <c r="B886" s="4" t="n"/>
    </row>
    <row r="887" ht="12.5" customHeight="1">
      <c r="B887" s="4" t="n"/>
    </row>
    <row r="888" ht="12.5" customHeight="1">
      <c r="B888" s="4" t="n"/>
    </row>
    <row r="889" ht="12.5" customHeight="1">
      <c r="B889" s="4" t="n"/>
    </row>
    <row r="890" ht="12.5" customHeight="1">
      <c r="B890" s="4" t="n"/>
    </row>
    <row r="891" ht="12.5" customHeight="1">
      <c r="B891" s="4" t="n"/>
    </row>
    <row r="892" ht="12.5" customHeight="1">
      <c r="B892" s="4" t="n"/>
    </row>
    <row r="893" ht="12.5" customHeight="1">
      <c r="B893" s="4" t="n"/>
    </row>
    <row r="894" ht="12.5" customHeight="1">
      <c r="B894" s="4" t="n"/>
    </row>
    <row r="895" ht="12.5" customHeight="1">
      <c r="B895" s="4" t="n"/>
    </row>
    <row r="896" ht="12.5" customHeight="1">
      <c r="B896" s="4" t="n"/>
    </row>
    <row r="897" ht="12.5" customHeight="1">
      <c r="B897" s="4" t="n"/>
    </row>
    <row r="898" ht="12.5" customHeight="1">
      <c r="B898" s="4" t="n"/>
    </row>
    <row r="899" ht="12.5" customHeight="1">
      <c r="B899" s="4" t="n"/>
    </row>
    <row r="900" ht="12.5" customHeight="1">
      <c r="B900" s="4" t="n"/>
    </row>
    <row r="901" ht="12.5" customHeight="1">
      <c r="B901" s="4" t="n"/>
    </row>
    <row r="902" ht="12.5" customHeight="1">
      <c r="B902" s="4" t="n"/>
    </row>
    <row r="903" ht="12.5" customHeight="1">
      <c r="B903" s="4" t="n"/>
    </row>
    <row r="904" ht="12.5" customHeight="1">
      <c r="B904" s="4" t="n"/>
    </row>
    <row r="905" ht="12.5" customHeight="1">
      <c r="B905" s="4" t="n"/>
    </row>
    <row r="906" ht="12.5" customHeight="1">
      <c r="B906" s="4" t="n"/>
    </row>
    <row r="907" ht="12.5" customHeight="1">
      <c r="B907" s="4" t="n"/>
    </row>
    <row r="908" ht="12.5" customHeight="1">
      <c r="B908" s="4" t="n"/>
    </row>
    <row r="909" ht="12.5" customHeight="1">
      <c r="B909" s="4" t="n"/>
    </row>
    <row r="910" ht="12.5" customHeight="1">
      <c r="B910" s="4" t="n"/>
    </row>
    <row r="911" ht="12.5" customHeight="1">
      <c r="B911" s="4" t="n"/>
    </row>
    <row r="912" ht="12.5" customHeight="1">
      <c r="B912" s="4" t="n"/>
    </row>
    <row r="913" ht="12.5" customHeight="1">
      <c r="B913" s="4" t="n"/>
    </row>
    <row r="914" ht="12.5" customHeight="1">
      <c r="B914" s="4" t="n"/>
    </row>
    <row r="915" ht="12.5" customHeight="1">
      <c r="B915" s="4" t="n"/>
    </row>
    <row r="916" ht="12.5" customHeight="1">
      <c r="B916" s="4" t="n"/>
    </row>
    <row r="917" ht="12.5" customHeight="1">
      <c r="B917" s="4" t="n"/>
    </row>
    <row r="918" ht="12.5" customHeight="1">
      <c r="B918" s="4" t="n"/>
    </row>
    <row r="919" ht="12.5" customHeight="1">
      <c r="B919" s="4" t="n"/>
    </row>
    <row r="920" ht="12.5" customHeight="1">
      <c r="B920" s="4" t="n"/>
    </row>
    <row r="921" ht="12.5" customHeight="1">
      <c r="B921" s="4" t="n"/>
    </row>
    <row r="922" ht="12.5" customHeight="1">
      <c r="B922" s="4" t="n"/>
    </row>
    <row r="923" ht="12.5" customHeight="1">
      <c r="B923" s="4" t="n"/>
    </row>
    <row r="924" ht="12.5" customHeight="1">
      <c r="B924" s="4" t="n"/>
    </row>
    <row r="925" ht="12.5" customHeight="1">
      <c r="B925" s="4" t="n"/>
    </row>
    <row r="926" ht="12.5" customHeight="1">
      <c r="B926" s="4" t="n"/>
    </row>
    <row r="927" ht="12.5" customHeight="1">
      <c r="B927" s="4" t="n"/>
    </row>
    <row r="928" ht="12.5" customHeight="1">
      <c r="B928" s="4" t="n"/>
    </row>
    <row r="929" ht="12.5" customHeight="1">
      <c r="B929" s="4" t="n"/>
    </row>
    <row r="930" ht="12.5" customHeight="1">
      <c r="B930" s="4" t="n"/>
    </row>
    <row r="931" ht="12.5" customHeight="1">
      <c r="B931" s="4" t="n"/>
    </row>
    <row r="932" ht="12.5" customHeight="1">
      <c r="B932" s="4" t="n"/>
    </row>
    <row r="933" ht="12.5" customHeight="1">
      <c r="B933" s="4" t="n"/>
    </row>
    <row r="934" ht="12.5" customHeight="1">
      <c r="B934" s="4" t="n"/>
    </row>
    <row r="935" ht="12.5" customHeight="1">
      <c r="B935" s="4" t="n"/>
    </row>
    <row r="936" ht="12.5" customHeight="1">
      <c r="B936" s="4" t="n"/>
    </row>
    <row r="937" ht="12.5" customHeight="1">
      <c r="B937" s="4" t="n"/>
    </row>
    <row r="938" ht="12.5" customHeight="1">
      <c r="B938" s="4" t="n"/>
    </row>
    <row r="939" ht="12.5" customHeight="1">
      <c r="B939" s="4" t="n"/>
    </row>
    <row r="940" ht="12.5" customHeight="1">
      <c r="B940" s="4" t="n"/>
    </row>
    <row r="941" ht="12.5" customHeight="1">
      <c r="B941" s="4" t="n"/>
    </row>
    <row r="942" ht="12.5" customHeight="1">
      <c r="B942" s="4" t="n"/>
    </row>
    <row r="943" ht="12.5" customHeight="1">
      <c r="B943" s="4" t="n"/>
    </row>
    <row r="944" ht="12.5" customHeight="1">
      <c r="B944" s="4" t="n"/>
    </row>
    <row r="945" ht="12.5" customHeight="1">
      <c r="B945" s="4" t="n"/>
    </row>
    <row r="946" ht="12.5" customHeight="1">
      <c r="B946" s="4" t="n"/>
    </row>
    <row r="947" ht="12.5" customHeight="1">
      <c r="B947" s="4" t="n"/>
    </row>
    <row r="948" ht="12.5" customHeight="1">
      <c r="B948" s="4" t="n"/>
    </row>
    <row r="949" ht="12.5" customHeight="1">
      <c r="B949" s="4" t="n"/>
    </row>
    <row r="950" ht="12.5" customHeight="1">
      <c r="B950" s="4" t="n"/>
    </row>
    <row r="951" ht="12.5" customHeight="1">
      <c r="B951" s="4" t="n"/>
    </row>
    <row r="952" ht="12.5" customHeight="1">
      <c r="B952" s="4" t="n"/>
    </row>
    <row r="953" ht="12.5" customHeight="1">
      <c r="B953" s="4" t="n"/>
    </row>
    <row r="954" ht="12.5" customHeight="1">
      <c r="B954" s="4" t="n"/>
    </row>
    <row r="955" ht="12.5" customHeight="1">
      <c r="B955" s="4" t="n"/>
    </row>
    <row r="956" ht="12.5" customHeight="1">
      <c r="B956" s="4" t="n"/>
    </row>
    <row r="957" ht="12.5" customHeight="1">
      <c r="B957" s="4" t="n"/>
    </row>
    <row r="958" ht="12.5" customHeight="1">
      <c r="B958" s="4" t="n"/>
    </row>
    <row r="959" ht="12.5" customHeight="1">
      <c r="B959" s="4" t="n"/>
    </row>
    <row r="960" ht="12.5" customHeight="1">
      <c r="B960" s="4" t="n"/>
    </row>
    <row r="961" ht="12.5" customHeight="1">
      <c r="B961" s="4" t="n"/>
    </row>
    <row r="962" ht="12.5" customHeight="1">
      <c r="B962" s="4" t="n"/>
    </row>
    <row r="963" ht="12.5" customHeight="1">
      <c r="B963" s="4" t="n"/>
    </row>
    <row r="964" ht="12.5" customHeight="1">
      <c r="B964" s="4" t="n"/>
    </row>
    <row r="965" ht="12.5" customHeight="1">
      <c r="B965" s="4" t="n"/>
    </row>
    <row r="966" ht="12.5" customHeight="1">
      <c r="B966" s="4" t="n"/>
    </row>
    <row r="967" ht="12.5" customHeight="1">
      <c r="B967" s="4" t="n"/>
    </row>
    <row r="968" ht="12.5" customHeight="1">
      <c r="B968" s="4" t="n"/>
    </row>
    <row r="969" ht="12.5" customHeight="1">
      <c r="B969" s="4" t="n"/>
    </row>
    <row r="970" ht="12.5" customHeight="1">
      <c r="B970" s="4" t="n"/>
    </row>
    <row r="971" ht="12.5" customHeight="1">
      <c r="B971" s="4" t="n"/>
    </row>
    <row r="972" ht="12.5" customHeight="1">
      <c r="B972" s="4" t="n"/>
    </row>
    <row r="973" ht="12.5" customHeight="1">
      <c r="B973" s="4" t="n"/>
    </row>
    <row r="974" ht="12.5" customHeight="1">
      <c r="B974" s="4" t="n"/>
    </row>
    <row r="975" ht="12.5" customHeight="1">
      <c r="B975" s="4" t="n"/>
    </row>
    <row r="976" ht="12.5" customHeight="1">
      <c r="B976" s="4" t="n"/>
    </row>
    <row r="977" ht="12.5" customHeight="1">
      <c r="B977" s="4" t="n"/>
    </row>
    <row r="978" ht="12.5" customHeight="1">
      <c r="B978" s="4" t="n"/>
    </row>
    <row r="979" ht="12.5" customHeight="1">
      <c r="B979" s="4" t="n"/>
    </row>
    <row r="980" ht="12.5" customHeight="1">
      <c r="B980" s="4" t="n"/>
    </row>
    <row r="981" ht="12.5" customHeight="1">
      <c r="B981" s="4" t="n"/>
    </row>
    <row r="982" ht="12.5" customHeight="1">
      <c r="B982" s="4" t="n"/>
    </row>
    <row r="983" ht="12.5" customHeight="1">
      <c r="B983" s="4" t="n"/>
    </row>
    <row r="984" ht="12.5" customHeight="1">
      <c r="B984" s="4" t="n"/>
    </row>
    <row r="985" ht="12.5" customHeight="1">
      <c r="B985" s="4" t="n"/>
    </row>
    <row r="986" ht="12.5" customHeight="1">
      <c r="B986" s="4" t="n"/>
    </row>
    <row r="987" ht="12.5" customHeight="1">
      <c r="B987" s="4" t="n"/>
    </row>
    <row r="988" ht="12.5" customHeight="1">
      <c r="B988" s="4" t="n"/>
    </row>
    <row r="989" ht="12.5" customHeight="1">
      <c r="B989" s="4" t="n"/>
    </row>
    <row r="990" ht="12.5" customHeight="1">
      <c r="B990" s="4" t="n"/>
    </row>
    <row r="991" ht="12.5" customHeight="1">
      <c r="B991" s="4" t="n"/>
    </row>
    <row r="992" ht="12.5" customHeight="1">
      <c r="B992" s="4" t="n"/>
    </row>
    <row r="993" ht="12.5" customHeight="1">
      <c r="B993" s="4" t="n"/>
    </row>
    <row r="994" ht="12.5" customHeight="1">
      <c r="B994" s="4" t="n"/>
    </row>
    <row r="995" ht="12.5" customHeight="1">
      <c r="B995" s="4" t="n"/>
    </row>
    <row r="996" ht="12.5" customHeight="1">
      <c r="B996" s="4" t="n"/>
    </row>
    <row r="997" ht="12.5" customHeight="1">
      <c r="B997" s="4" t="n"/>
    </row>
    <row r="998" ht="12.5" customHeight="1">
      <c r="B998" s="4" t="n"/>
    </row>
    <row r="999" ht="12.5" customHeight="1">
      <c r="B999" s="4" t="n"/>
    </row>
    <row r="1000" ht="12.5" customHeight="1">
      <c r="B1000" s="4" t="n"/>
    </row>
    <row r="1001" ht="12.5" customHeight="1">
      <c r="B1001" s="4" t="n"/>
    </row>
    <row r="1002" ht="12.5" customHeight="1">
      <c r="B1002" s="4" t="n"/>
    </row>
    <row r="1003" ht="12.5" customHeight="1">
      <c r="B1003" s="4" t="n"/>
    </row>
    <row r="1004" ht="12.5" customHeight="1">
      <c r="B1004" s="4" t="n"/>
    </row>
    <row r="1005" ht="12.5" customHeight="1">
      <c r="B1005" s="4" t="n"/>
    </row>
    <row r="1006" ht="12.5" customHeight="1">
      <c r="B1006" s="4" t="n"/>
    </row>
    <row r="1007" ht="12.5" customHeight="1">
      <c r="B1007" s="4" t="n"/>
    </row>
    <row r="1008" ht="12.5" customHeight="1">
      <c r="B1008" s="4" t="n"/>
    </row>
    <row r="1009" ht="12.5" customHeight="1">
      <c r="B1009" s="4" t="n"/>
    </row>
  </sheetData>
  <hyperlinks>
    <hyperlink xmlns:r="http://schemas.openxmlformats.org/officeDocument/2006/relationships" ref="B5" r:id="rId1"/>
    <hyperlink xmlns:r="http://schemas.openxmlformats.org/officeDocument/2006/relationships" ref="B22" r:id="rId2"/>
    <hyperlink xmlns:r="http://schemas.openxmlformats.org/officeDocument/2006/relationships" ref="B26" r:id="rId3"/>
  </hyperlink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J1716"/>
  <sheetViews>
    <sheetView tabSelected="1" topLeftCell="A16" workbookViewId="0">
      <selection activeCell="I1" sqref="I1:J1048576"/>
    </sheetView>
  </sheetViews>
  <sheetFormatPr baseColWidth="8" defaultColWidth="12.6328125" defaultRowHeight="15.75" customHeight="1"/>
  <cols>
    <col width="15.90625" customWidth="1" min="8" max="8"/>
  </cols>
  <sheetData>
    <row r="1" ht="15.75" customHeight="1">
      <c r="A1" s="1" t="inlineStr">
        <is>
          <t>last_update_date</t>
        </is>
      </c>
      <c r="B1" s="1" t="inlineStr">
        <is>
          <t>org_id</t>
        </is>
      </c>
      <c r="C1" s="1" t="inlineStr">
        <is>
          <t>is_current</t>
        </is>
      </c>
      <c r="D1" s="1" t="inlineStr">
        <is>
          <t>public_name</t>
        </is>
      </c>
      <c r="E1" s="1" t="inlineStr">
        <is>
          <t>website</t>
        </is>
      </c>
      <c r="F1" t="inlineStr">
        <is>
          <t>website_standardized</t>
        </is>
      </c>
      <c r="G1" s="1" t="inlineStr">
        <is>
          <t>org_desc</t>
        </is>
      </c>
      <c r="H1" s="1" t="inlineStr">
        <is>
          <t>member_association</t>
        </is>
      </c>
      <c r="I1" s="1" t="inlineStr">
        <is>
          <t>product_language</t>
        </is>
      </c>
      <c r="J1" s="1" t="inlineStr">
        <is>
          <t>city</t>
        </is>
      </c>
      <c r="K1" t="inlineStr">
        <is>
          <t>suggested_city</t>
        </is>
      </c>
      <c r="L1" t="inlineStr">
        <is>
          <t>city_country</t>
        </is>
      </c>
      <c r="M1" t="inlineStr">
        <is>
          <t>lat</t>
        </is>
      </c>
      <c r="N1" t="inlineStr">
        <is>
          <t>lon</t>
        </is>
      </c>
      <c r="O1" s="1" t="inlineStr">
        <is>
          <t>country</t>
        </is>
      </c>
      <c r="P1" s="1" t="inlineStr">
        <is>
          <t>sell_countries</t>
        </is>
      </c>
      <c r="Q1" s="1" t="inlineStr">
        <is>
          <t>employees_number</t>
        </is>
      </c>
      <c r="R1" t="inlineStr">
        <is>
          <t>employees_number_category</t>
        </is>
      </c>
      <c r="S1" s="1" t="inlineStr">
        <is>
          <t>business_model</t>
        </is>
      </c>
      <c r="T1" s="1" t="inlineStr">
        <is>
          <t>market_segments</t>
        </is>
      </c>
      <c r="U1" s="1" t="inlineStr">
        <is>
          <t>target_audience</t>
        </is>
      </c>
      <c r="V1" s="1" t="inlineStr">
        <is>
          <t>product_1_name</t>
        </is>
      </c>
      <c r="W1" s="1" t="inlineStr">
        <is>
          <t>product_1_desc</t>
        </is>
      </c>
      <c r="X1" s="1" t="inlineStr">
        <is>
          <t>product_2_name</t>
        </is>
      </c>
      <c r="Y1" t="inlineStr">
        <is>
          <t>product_2_desc</t>
        </is>
      </c>
      <c r="Z1" s="1" t="inlineStr">
        <is>
          <t>WeMap_URL</t>
        </is>
      </c>
      <c r="AA1" s="1" t="inlineStr">
        <is>
          <t>verified</t>
        </is>
      </c>
      <c r="AB1" s="1" t="inlineStr">
        <is>
          <t>partnerships</t>
        </is>
      </c>
      <c r="AC1" s="1" t="inlineStr">
        <is>
          <t>profit_status</t>
        </is>
      </c>
      <c r="AD1" s="1" t="inlineStr">
        <is>
          <t>edu_settings</t>
        </is>
      </c>
      <c r="AE1" s="1" t="inlineStr">
        <is>
          <t>edu_content</t>
        </is>
      </c>
      <c r="AF1" s="1" t="inlineStr">
        <is>
          <t>socials_available</t>
        </is>
      </c>
      <c r="AG1" s="1" t="inlineStr">
        <is>
          <t>socials_insta</t>
        </is>
      </c>
      <c r="AH1" s="1" t="inlineStr">
        <is>
          <t>socials_x</t>
        </is>
      </c>
      <c r="AI1" s="1" t="inlineStr">
        <is>
          <t>socials_linkedin</t>
        </is>
      </c>
      <c r="AJ1" s="1" t="inlineStr">
        <is>
          <t>facebook</t>
        </is>
      </c>
    </row>
    <row r="2" ht="15.75" customHeight="1">
      <c r="A2" s="6" t="n">
        <v>45896</v>
      </c>
      <c r="B2" s="1" t="inlineStr">
        <is>
          <t>ORG_2164</t>
        </is>
      </c>
      <c r="C2" s="1" t="b">
        <v>1</v>
      </c>
      <c r="D2" s="1" t="inlineStr">
        <is>
          <t>ReadSpeaker</t>
        </is>
      </c>
      <c r="E2" s="10" t="inlineStr">
        <is>
          <t>www.readspeaker.com</t>
        </is>
      </c>
      <c r="F2" t="inlineStr">
        <is>
          <t>readspeaker.com</t>
        </is>
      </c>
      <c r="G2" s="1" t="inlineStr">
        <is>
          <t>With 25 years of expertise, ReadSpeaker’s text-to-speech solutions and voice-enhanced learning tools help make content accessible and engaging for a diverse population of learners. Integrated directly in learning platforms, or as an individual tool, ReadSpeaker provides easy-to-access and easy-to-use text to speech for any content, on any device, including assessments, assignments, STEM, OCR and quizzes. ReadSpeaker is 200+ voices in 70+ languages, working with 12000+ customers in over 70 countries.</t>
        </is>
      </c>
      <c r="H2" s="1" t="inlineStr">
        <is>
          <t>EdTech Italia, EduTech Cluster Spain, EdTech France, AFINEF, Swedish EdTech Industry</t>
        </is>
      </c>
      <c r="I2" s="1" t="inlineStr">
        <is>
          <t>English, German, Portuguese, Czech, Finnish, Irish, Maltese, Slovak, Ukrainian, Catalan, Slovenian, Polish, Latvian, Greek, Danish, Bulgarian, Italian, French, Spanish, Dutch, Croatian, Estonian, Hungarian, Lithuanian, Romanian, Swedish</t>
        </is>
      </c>
      <c r="J2" s="1" t="inlineStr">
        <is>
          <t>Driebergen-Rijsenburg</t>
        </is>
      </c>
      <c r="K2" t="inlineStr">
        <is>
          <t>Driebergen-Rijsenburg</t>
        </is>
      </c>
      <c r="L2" t="inlineStr">
        <is>
          <t>Driebergen-Rijsenburg, The Netherlands</t>
        </is>
      </c>
      <c r="M2" t="n">
        <v>52.0559829</v>
      </c>
      <c r="N2" t="n">
        <v>5.276128</v>
      </c>
      <c r="O2" s="1" t="inlineStr">
        <is>
          <t>The Netherlands</t>
        </is>
      </c>
      <c r="P2" s="1" t="inlineStr">
        <is>
          <t>Albania, Belarus, Bulgaria, Czechia, Finland, Greece, Ireland, Latvia, Luxembourg, Monaco, North Macedonia, Portugal, Slovakia, Sweden, United Kingdom, Switzerland, Slovenia, Romania, Norway, Montenegro, Malta, Liechtenstein, Italy, Hungary, France, Denmark, Croatia, Belgium, Andorra, Austria, Bosnia and Herzegovina, Republic of Cyprus, Estonia, Germany, Iceland, Kosovo, Lithuania, Moldova, Netherlands, Poland, San Marino, Spain, Turkey, Ukraine</t>
        </is>
      </c>
      <c r="Q2" s="1" t="inlineStr">
        <is>
          <t>Medium (50-250 FTE employees)</t>
        </is>
      </c>
      <c r="R2" t="inlineStr">
        <is>
          <t>Medium</t>
        </is>
      </c>
      <c r="S2" s="1" t="inlineStr">
        <is>
          <t>Business to Business, Business to Government, Business to Schools</t>
        </is>
      </c>
      <c r="T2" s="1" t="inlineStr">
        <is>
          <t>Primary Education, Secondary Education, Vocational Education and Training (VET), Higher Education, Corporate Training, Lifelong learning/Adult education, Special Education</t>
        </is>
      </c>
      <c r="U2" s="1" t="inlineStr">
        <is>
          <t>Student interfacing, Teacher interfacing, System/Administrative</t>
        </is>
      </c>
      <c r="V2" s="1" t="inlineStr">
        <is>
          <t>ReadSpeaker for Education</t>
        </is>
      </c>
      <c r="W2" s="1" t="inlineStr">
        <is>
          <t>Seamessly integrate audio across all platforms and content with one text to speech partner. ReadSpeaker allows you to add voice, text to speech (TTS) to all course content throughout your chosen platform environment and provide a suite of audio-enhanced learning tools.</t>
        </is>
      </c>
      <c r="X2" s="10" t="inlineStr">
        <is>
          <t>ReadSpeaker TextAid</t>
        </is>
      </c>
      <c r="Y2" t="inlineStr">
        <is>
          <t>Provide personal reading, writing and studying tools to individuals. Reads aloud any content including assessments, images, all file types and helps teachers, institutions, and parents face accessibility challenges with its reading, writing, and studying tools.</t>
        </is>
      </c>
      <c r="Z2" s="1" t="inlineStr">
        <is>
          <t>https://drive.google.com/uc?export=view&amp;id=1EoXAOyrAChJ2L1USkuThFZzlJENfPDQl</t>
        </is>
      </c>
      <c r="AA2" s="1" t="inlineStr">
        <is>
          <t>Verified</t>
        </is>
      </c>
      <c r="AB2" s="1" t="inlineStr">
        <is>
          <t>Collaborations between EdTech organisations, Project consortium building, Public-private partnerships, Industry-academia partnerships</t>
        </is>
      </c>
      <c r="AC2" s="1" t="inlineStr">
        <is>
          <t>For-profit company</t>
        </is>
      </c>
      <c r="AD2" s="10" t="b">
        <v>1</v>
      </c>
      <c r="AE2" s="1" t="b">
        <v>0</v>
      </c>
      <c r="AF2" s="1" t="inlineStr">
        <is>
          <t>Yes</t>
        </is>
      </c>
      <c r="AG2" s="1" t="inlineStr">
        <is>
          <t>@readspeaker</t>
        </is>
      </c>
      <c r="AH2" s="1" t="inlineStr">
        <is>
          <t>https://www.linkedin.com/company/readspeaker/</t>
        </is>
      </c>
      <c r="AI2" s="1" t="inlineStr">
        <is>
          <t>https://www.linkedin.com/company/readspeaker/</t>
        </is>
      </c>
      <c r="AJ2" s="1" t="inlineStr">
        <is>
          <t>@readspeaker</t>
        </is>
      </c>
    </row>
    <row r="3" ht="15.75" customHeight="1">
      <c r="A3" s="6" t="n">
        <v>45896</v>
      </c>
      <c r="B3" s="1" t="inlineStr">
        <is>
          <t>ORG_2187</t>
        </is>
      </c>
      <c r="C3" s="1" t="b">
        <v>1</v>
      </c>
      <c r="D3" s="1" t="inlineStr">
        <is>
          <t>RM Assessment</t>
        </is>
      </c>
      <c r="E3" s="10" t="inlineStr">
        <is>
          <t>https://www.rm.com/assessment</t>
        </is>
      </c>
      <c r="F3" t="inlineStr">
        <is>
          <t>rm.com/assessment</t>
        </is>
      </c>
      <c r="G3" s="1" t="inlineStr">
        <is>
          <t>RM has been enriching the lives of learners since 1973, harnessing the power of technology to improve educational outcomes.  Since developing its onscreen marking capability in 2005, and acquiring its end-to-end digital assessment platform in 2019, RM has gone on to provide its proven digital assessment technology and expertise to over 40 organisations in more than 150 countries.</t>
        </is>
      </c>
      <c r="H3" s="1" t="inlineStr">
        <is>
          <t>I'm not part of any EdTech association</t>
        </is>
      </c>
      <c r="I3" s="1" t="inlineStr">
        <is>
          <t>English, German, Portuguese, Czech, Finnish, Irish, Maltese, Slovak, Ukrainian, French, Italian, Bulgarian, Danish, Greek, Latvian, Polish, Slovenian, Catalan, Basque, Swedish, Romanian, Lithuanian, Hungarian, Estonian, Croatian, Dutch, Spanish</t>
        </is>
      </c>
      <c r="J3" s="1" t="inlineStr">
        <is>
          <t>Oxford</t>
        </is>
      </c>
      <c r="K3" t="inlineStr">
        <is>
          <t>Oxford</t>
        </is>
      </c>
      <c r="L3" t="inlineStr">
        <is>
          <t>Oxford, United Kingdom</t>
        </is>
      </c>
      <c r="M3" t="n">
        <v>51.7520131</v>
      </c>
      <c r="N3" t="n">
        <v>-1.2578499</v>
      </c>
      <c r="O3" s="1" t="inlineStr">
        <is>
          <t>United Kingdom</t>
        </is>
      </c>
      <c r="P3" s="1" t="inlineStr">
        <is>
          <t>United Kingdom, Sweden, Switzerland, Spain, Netherlands, Malta, Ireland, Finland</t>
        </is>
      </c>
      <c r="Q3" s="1" t="inlineStr">
        <is>
          <t>Large (250+ FTE employees)</t>
        </is>
      </c>
      <c r="R3" t="inlineStr">
        <is>
          <t>Large</t>
        </is>
      </c>
      <c r="S3" s="1" t="inlineStr">
        <is>
          <t>Business to Business, Business to Government, Business to Schools</t>
        </is>
      </c>
      <c r="T3" s="1" t="inlineStr">
        <is>
          <t>Primary Education, Secondary Education, Vocational Education and Training (VET), Higher Education, Corporate Training, Lifelong learning/Adult education, Special Education</t>
        </is>
      </c>
      <c r="U3" s="1" t="inlineStr">
        <is>
          <t>Student interfacing, Teacher interfacing, System/Administrative</t>
        </is>
      </c>
      <c r="V3" s="1" t="inlineStr">
        <is>
          <t>RM AVA</t>
        </is>
      </c>
      <c r="W3" s="1" t="inlineStr">
        <is>
          <t>Adaptive virtual accreditation platform</t>
        </is>
      </c>
      <c r="X3" s="10" t="inlineStr">
        <is>
          <t>RM Compare</t>
        </is>
      </c>
      <c r="Y3" t="inlineStr">
        <is>
          <t>RM Compare is an online tool that uses Adaptive Comparative Judgement to efficiently rank, assess, and standardise various types of work, including documents, audio, and video, for educational and professional purposes.</t>
        </is>
      </c>
      <c r="Z3" s="1" t="inlineStr">
        <is>
          <t>https://drive.google.com/uc?export=view&amp;id=1swdiVSteVfaTfMJH_O2uzZ7Ux33ZPFg9</t>
        </is>
      </c>
      <c r="AA3" s="1" t="inlineStr">
        <is>
          <t>Verified</t>
        </is>
      </c>
      <c r="AB3" s="1" t="inlineStr">
        <is>
          <t>Collaborations between EdTech organisations, Project consortium building, Public-private partnerships, Industry-academia partnerships</t>
        </is>
      </c>
      <c r="AC3" s="1" t="inlineStr">
        <is>
          <t>For-profit company</t>
        </is>
      </c>
      <c r="AD3" s="10" t="b">
        <v>1</v>
      </c>
      <c r="AE3" s="1" t="b">
        <v>1</v>
      </c>
      <c r="AF3" s="1" t="inlineStr">
        <is>
          <t>Yes</t>
        </is>
      </c>
      <c r="AG3" s="1" t="inlineStr">
        <is>
          <t>https://www.linkedin.com/company/assessment-from-rm/</t>
        </is>
      </c>
      <c r="AH3" s="1" t="inlineStr">
        <is>
          <t>https://www.linkedin.com/company/assessment-from-rm/</t>
        </is>
      </c>
      <c r="AI3" s="1" t="inlineStr">
        <is>
          <t>https://www.linkedin.com/company/assessment-from-rm/</t>
        </is>
      </c>
      <c r="AJ3" s="1" t="n"/>
    </row>
    <row r="4" ht="15.75" customHeight="1">
      <c r="A4" s="6" t="n">
        <v>45895</v>
      </c>
      <c r="B4" s="1" t="inlineStr">
        <is>
          <t>ORG_2667</t>
        </is>
      </c>
      <c r="C4" s="1" t="b">
        <v>1</v>
      </c>
      <c r="D4" s="1" t="inlineStr">
        <is>
          <t>EdTools AB</t>
        </is>
      </c>
      <c r="E4" s="10" t="inlineStr">
        <is>
          <t>mappi.ai</t>
        </is>
      </c>
      <c r="F4" t="inlineStr">
        <is>
          <t>mappi.ai</t>
        </is>
      </c>
      <c r="G4" s="1" t="inlineStr">
        <is>
          <t>Mappi, AI-Powered learning platform for computational subjects.  Mappi paves the way for a new study experience by acting as a teacher assistant in every students computer.  Seamless integration of learning materials, personal videos, infinite tasks allows tailored learning for everybody!</t>
        </is>
      </c>
      <c r="H4" s="1" t="inlineStr">
        <is>
          <t>I'm not part of any EdTech association</t>
        </is>
      </c>
      <c r="I4" s="1" t="inlineStr">
        <is>
          <t>English, German, Spanish, Finnish, Swedish</t>
        </is>
      </c>
      <c r="J4" s="1" t="inlineStr">
        <is>
          <t>Stockholm</t>
        </is>
      </c>
      <c r="K4" t="inlineStr">
        <is>
          <t>Stockholm</t>
        </is>
      </c>
      <c r="L4" t="inlineStr">
        <is>
          <t>Stockholm, Sweden</t>
        </is>
      </c>
      <c r="M4" t="n">
        <v>59.3251172</v>
      </c>
      <c r="N4" t="n">
        <v>18.0710935</v>
      </c>
      <c r="O4" s="1" t="inlineStr">
        <is>
          <t>Sweden</t>
        </is>
      </c>
      <c r="P4" s="1" t="inlineStr">
        <is>
          <t>Sweden, United Kingdom, Spain, Germany, Norway, Denmark</t>
        </is>
      </c>
      <c r="Q4" s="1" t="inlineStr">
        <is>
          <t>Micro (1-9 FTE employees)</t>
        </is>
      </c>
      <c r="R4" t="inlineStr">
        <is>
          <t>Micro</t>
        </is>
      </c>
      <c r="S4" s="1" t="inlineStr">
        <is>
          <t>Business to Consumer, Business to Schools</t>
        </is>
      </c>
      <c r="T4" s="1" t="inlineStr">
        <is>
          <t>Secondary Education</t>
        </is>
      </c>
      <c r="U4" s="1" t="inlineStr">
        <is>
          <t>Student interfacing, Teacher interfacing, System/Administrative</t>
        </is>
      </c>
      <c r="V4" s="1" t="inlineStr">
        <is>
          <t>AI Assistant</t>
        </is>
      </c>
      <c r="W4" s="1" t="inlineStr">
        <is>
          <t>AI Assistant for students within computational subjects</t>
        </is>
      </c>
      <c r="X4" s="10" t="inlineStr">
        <is>
          <t>https://drive.google.com/uc?export=view&amp;id=1w0trt3dI4DobGqTes3kogcZMRJAewoEl</t>
        </is>
      </c>
      <c r="Y4" t="inlineStr">
        <is>
          <t>https://drive.google.com/uc?export=view&amp;id=1w0trt3dI4DobGqTes3kogcZMRJAewoEl</t>
        </is>
      </c>
      <c r="Z4" s="1" t="inlineStr">
        <is>
          <t>https://drive.google.com/uc?export=view&amp;id=1w0trt3dI4DobGqTes3kogcZMRJAewoEl</t>
        </is>
      </c>
      <c r="AA4" s="1" t="inlineStr">
        <is>
          <t>Verified</t>
        </is>
      </c>
      <c r="AB4" s="1" t="inlineStr">
        <is>
          <t>Collaborations between EdTech organisations, Public-private partnerships, Industry-academia partnerships</t>
        </is>
      </c>
      <c r="AC4" s="1" t="inlineStr">
        <is>
          <t>For-profit company</t>
        </is>
      </c>
      <c r="AD4" s="10" t="b">
        <v>1</v>
      </c>
      <c r="AE4" s="1" t="b">
        <v>1</v>
      </c>
      <c r="AF4" s="1" t="inlineStr">
        <is>
          <t>Yes</t>
        </is>
      </c>
      <c r="AG4" s="1" t="inlineStr">
        <is>
          <t>https://www.linkedin.com/company/mappi-ab/</t>
        </is>
      </c>
      <c r="AH4" s="1" t="inlineStr">
        <is>
          <t>https://www.linkedin.com/company/mappi-ab/</t>
        </is>
      </c>
      <c r="AI4" s="1" t="inlineStr">
        <is>
          <t>https://www.linkedin.com/company/mappi-ab/</t>
        </is>
      </c>
      <c r="AJ4" s="1" t="n"/>
    </row>
    <row r="5" ht="15.75" customHeight="1">
      <c r="A5" s="6" t="n">
        <v>45895</v>
      </c>
      <c r="B5" s="1" t="inlineStr">
        <is>
          <t>ORG_2666</t>
        </is>
      </c>
      <c r="C5" s="1" t="b">
        <v>1</v>
      </c>
      <c r="D5" s="1" t="inlineStr">
        <is>
          <t>Gamifactory</t>
        </is>
      </c>
      <c r="E5" s="10" t="inlineStr">
        <is>
          <t>www.gamifactory.eu</t>
        </is>
      </c>
      <c r="F5" t="inlineStr">
        <is>
          <t>gamifactory.eu</t>
        </is>
      </c>
      <c r="G5" s="1" t="inlineStr">
        <is>
          <t>Gamifactory is a library of award winning learning and serious games. Games on Gamifactory are fun, curriculum based and supplemented by methodical guidelines for teachers and parents.</t>
        </is>
      </c>
      <c r="H5" s="1" t="inlineStr">
        <is>
          <t>I'm not part of any EdTech association</t>
        </is>
      </c>
      <c r="I5" s="1" t="inlineStr">
        <is>
          <t>English, Slovak, Czech</t>
        </is>
      </c>
      <c r="J5" s="1" t="inlineStr">
        <is>
          <t>Bratislava</t>
        </is>
      </c>
      <c r="K5" t="inlineStr">
        <is>
          <t>Bratislava</t>
        </is>
      </c>
      <c r="L5" t="inlineStr">
        <is>
          <t>Bratislava, Slovakia</t>
        </is>
      </c>
      <c r="M5" t="n">
        <v>48.1359085</v>
      </c>
      <c r="N5" t="n">
        <v>17.1597441</v>
      </c>
      <c r="O5" s="1" t="inlineStr">
        <is>
          <t>Slovakia</t>
        </is>
      </c>
      <c r="P5" s="1" t="inlineStr">
        <is>
          <t>Slovakia, Global</t>
        </is>
      </c>
      <c r="Q5" s="1" t="inlineStr">
        <is>
          <t>Small (10-49 FTE employees)</t>
        </is>
      </c>
      <c r="R5" t="inlineStr">
        <is>
          <t>Small</t>
        </is>
      </c>
      <c r="S5" s="1" t="inlineStr">
        <is>
          <t>Business to Government, Business to Schools, Business to Consumer</t>
        </is>
      </c>
      <c r="T5" s="1" t="inlineStr">
        <is>
          <t>Primary Education, Secondary Education</t>
        </is>
      </c>
      <c r="U5" s="1" t="inlineStr">
        <is>
          <t>Student interfacing, Teacher interfacing</t>
        </is>
      </c>
      <c r="V5" s="10" t="inlineStr">
        <is>
          <t>Curated learning games library</t>
        </is>
      </c>
      <c r="W5" s="1" t="inlineStr">
        <is>
          <t>https://drive.google.com/uc?export=view&amp;id=1mHvSbKO5pkeYTqYnPAnUI8EGtyu3v3Ud</t>
        </is>
      </c>
      <c r="X5" s="10" t="inlineStr">
        <is>
          <t>Production and Distribution of 3rd party learning games to teachers and parents</t>
        </is>
      </c>
      <c r="Y5" t="inlineStr">
        <is>
          <t>https://drive.google.com/uc?export=view&amp;id=1mHvSbKO5pkeYTqYnPAnUI8EGtyu3v3Ud</t>
        </is>
      </c>
      <c r="Z5" s="1" t="inlineStr">
        <is>
          <t>https://drive.google.com/uc?export=view&amp;id=1mHvSbKO5pkeYTqYnPAnUI8EGtyu3v3Ud</t>
        </is>
      </c>
      <c r="AA5" s="1" t="inlineStr">
        <is>
          <t>Verified</t>
        </is>
      </c>
      <c r="AB5" s="1" t="inlineStr">
        <is>
          <t>Project consortium building, Collaborations between EdTech organisations, Public-private partnerships, Industry-academia partnerships</t>
        </is>
      </c>
      <c r="AC5" s="1" t="inlineStr">
        <is>
          <t>Non-profit organisation</t>
        </is>
      </c>
      <c r="AD5" s="10" t="b">
        <v>1</v>
      </c>
      <c r="AE5" s="1" t="b">
        <v>1</v>
      </c>
      <c r="AF5" s="1" t="inlineStr">
        <is>
          <t>Yes</t>
        </is>
      </c>
      <c r="AG5" s="1" t="inlineStr">
        <is>
          <t>https://www.instagram.com/gamifactory.sk/</t>
        </is>
      </c>
      <c r="AH5" s="1" t="inlineStr">
        <is>
          <t>https://www.linkedin.com/company/impact-games-eu/?viewAsMember=true</t>
        </is>
      </c>
      <c r="AI5" s="1" t="inlineStr">
        <is>
          <t>https://www.linkedin.com/company/impact-games-eu/?viewAsMember=true</t>
        </is>
      </c>
      <c r="AJ5" s="10" t="inlineStr">
        <is>
          <t>https://www.facebook.com/gamifactory</t>
        </is>
      </c>
    </row>
    <row r="6" ht="15.75" customHeight="1">
      <c r="A6" s="6" t="n">
        <v>45895</v>
      </c>
      <c r="B6" s="1" t="inlineStr">
        <is>
          <t>ORG_2665</t>
        </is>
      </c>
      <c r="C6" s="1" t="b">
        <v>1</v>
      </c>
      <c r="D6" s="1" t="inlineStr">
        <is>
          <t>Gaptain</t>
        </is>
      </c>
      <c r="E6" s="10" t="inlineStr">
        <is>
          <t>https://www.gaptain.com</t>
        </is>
      </c>
      <c r="F6" t="inlineStr">
        <is>
          <t>gaptain.com</t>
        </is>
      </c>
      <c r="G6" s="1" t="inlineStr">
        <is>
          <t>Gaptain has developed Kids Centric Universe, the educational platform for schools that educate in the prevention of digital risks and healthy habits of use, enhancing the digital skills of students. Recognized in 2024 by UNESCO as 'Good educational practice', it helps teachers in generating a personalized didactic unit for the classroom.</t>
        </is>
      </c>
      <c r="H6" s="1" t="inlineStr">
        <is>
          <t>SEK Lab</t>
        </is>
      </c>
      <c r="I6" s="1" t="inlineStr">
        <is>
          <t>English, Spanish, Basque</t>
        </is>
      </c>
      <c r="J6" s="1" t="inlineStr">
        <is>
          <t>Bilbao</t>
        </is>
      </c>
      <c r="K6" t="inlineStr">
        <is>
          <t>Bilbao</t>
        </is>
      </c>
      <c r="L6" t="inlineStr">
        <is>
          <t>Bilbao, Spain</t>
        </is>
      </c>
      <c r="M6" t="n">
        <v>43.2630018</v>
      </c>
      <c r="N6" t="n">
        <v>-2.9350039</v>
      </c>
      <c r="O6" s="1" t="inlineStr">
        <is>
          <t>Spain</t>
        </is>
      </c>
      <c r="P6" s="1" t="inlineStr">
        <is>
          <t>Spain</t>
        </is>
      </c>
      <c r="Q6" s="1" t="inlineStr">
        <is>
          <t>Micro (1-9 FTE employees)</t>
        </is>
      </c>
      <c r="R6" t="inlineStr">
        <is>
          <t>Micro</t>
        </is>
      </c>
      <c r="S6" s="1" t="inlineStr">
        <is>
          <t>Business to Schools, Business to Consumer, Business to Government</t>
        </is>
      </c>
      <c r="T6" s="1" t="inlineStr">
        <is>
          <t>Primary Education, Secondary Education</t>
        </is>
      </c>
      <c r="U6" s="1" t="inlineStr">
        <is>
          <t>Teacher interfacing</t>
        </is>
      </c>
      <c r="V6" s="1" t="inlineStr">
        <is>
          <t>Kids Centric Universe</t>
        </is>
      </c>
      <c r="W6" s="10" t="inlineStr">
        <is>
          <t>Kids Centric Universe is the educational platform for schools that
educate in the prevention of digital risks and healthy habits of use,
enhancing the digital skills of students.</t>
        </is>
      </c>
      <c r="X6" s="10" t="inlineStr">
        <is>
          <t>https://drive.google.com/uc?export=view&amp;id=1qv6JLxuvHhgUTrGgL-x15UdG-UOzxjwd</t>
        </is>
      </c>
      <c r="Y6" t="inlineStr">
        <is>
          <t>https://drive.google.com/uc?export=view&amp;id=1qv6JLxuvHhgUTrGgL-x15UdG-UOzxjwd</t>
        </is>
      </c>
      <c r="Z6" s="1" t="inlineStr">
        <is>
          <t>https://drive.google.com/uc?export=view&amp;id=1qv6JLxuvHhgUTrGgL-x15UdG-UOzxjwd</t>
        </is>
      </c>
      <c r="AA6" s="1" t="inlineStr">
        <is>
          <t>Verified</t>
        </is>
      </c>
      <c r="AB6" s="1" t="inlineStr">
        <is>
          <t>Project consortium building, Public-private partnerships, Collaborations between EdTech organisations</t>
        </is>
      </c>
      <c r="AC6" s="1" t="inlineStr">
        <is>
          <t>For-profit company</t>
        </is>
      </c>
      <c r="AD6" s="10" t="b">
        <v>1</v>
      </c>
      <c r="AE6" s="1" t="b">
        <v>1</v>
      </c>
      <c r="AF6" s="1" t="inlineStr">
        <is>
          <t>Yes</t>
        </is>
      </c>
      <c r="AG6" s="1" t="inlineStr">
        <is>
          <t>https://x.com/gaptain_es</t>
        </is>
      </c>
      <c r="AH6" s="1" t="inlineStr">
        <is>
          <t>https://x.com/gaptain_es</t>
        </is>
      </c>
      <c r="AI6" s="1" t="inlineStr">
        <is>
          <t>https://www.linkedin.com/company/gaptain/</t>
        </is>
      </c>
      <c r="AJ6" s="1" t="n"/>
    </row>
    <row r="7" ht="15.75" customHeight="1">
      <c r="A7" s="6" t="n">
        <v>45895</v>
      </c>
      <c r="B7" s="1" t="inlineStr">
        <is>
          <t>ORG_2664</t>
        </is>
      </c>
      <c r="C7" s="1" t="b">
        <v>1</v>
      </c>
      <c r="D7" s="1" t="inlineStr">
        <is>
          <t>Ifous Edtest</t>
        </is>
      </c>
      <c r="E7" s="10" t="inlineStr">
        <is>
          <t>www.edtest.se</t>
        </is>
      </c>
      <c r="F7" t="inlineStr">
        <is>
          <t>edtest.se</t>
        </is>
      </c>
      <c r="G7" s="1" t="inlineStr">
        <is>
          <t>Digital platform for testing edtech products</t>
        </is>
      </c>
      <c r="H7" s="1" t="inlineStr">
        <is>
          <t>I'm not part of any EdTech association</t>
        </is>
      </c>
      <c r="I7" s="1" t="inlineStr">
        <is>
          <t>Swedish</t>
        </is>
      </c>
      <c r="J7" s="1" t="inlineStr">
        <is>
          <t>Stockholm</t>
        </is>
      </c>
      <c r="K7" t="inlineStr">
        <is>
          <t>Stockholm</t>
        </is>
      </c>
      <c r="L7" t="inlineStr">
        <is>
          <t>Stockholm, Sweden</t>
        </is>
      </c>
      <c r="M7" t="n">
        <v>59.3251172</v>
      </c>
      <c r="N7" t="n">
        <v>18.0710935</v>
      </c>
      <c r="O7" s="1" t="inlineStr">
        <is>
          <t>Sweden</t>
        </is>
      </c>
      <c r="P7" s="1" t="inlineStr">
        <is>
          <t>Sweden</t>
        </is>
      </c>
      <c r="Q7" s="1" t="inlineStr">
        <is>
          <t>Micro (1-9 FTE employees)</t>
        </is>
      </c>
      <c r="R7" t="inlineStr">
        <is>
          <t>Micro</t>
        </is>
      </c>
      <c r="S7" s="1" t="inlineStr">
        <is>
          <t>Business to Schools, Business to Business</t>
        </is>
      </c>
      <c r="T7" s="1" t="inlineStr">
        <is>
          <t>Early childhood development (0-5 years), Primary Education, Secondary Education</t>
        </is>
      </c>
      <c r="U7" s="1" t="inlineStr">
        <is>
          <t>Student interfacing, Teacher interfacing</t>
        </is>
      </c>
      <c r="V7" s="1" t="inlineStr">
        <is>
          <t>Edtest platform</t>
        </is>
      </c>
      <c r="W7" s="1" t="inlineStr">
        <is>
          <t>Testbed for testning edtech products</t>
        </is>
      </c>
      <c r="X7" s="10" t="inlineStr">
        <is>
          <t>https://drive.google.com/uc?export=view&amp;id=1cukMspgiP1DtGqXqXD7IpjKHf8trfj7J</t>
        </is>
      </c>
      <c r="Y7" t="inlineStr">
        <is>
          <t>https://drive.google.com/uc?export=view&amp;id=1cukMspgiP1DtGqXqXD7IpjKHf8trfj7J</t>
        </is>
      </c>
      <c r="Z7" s="1" t="inlineStr">
        <is>
          <t>https://drive.google.com/uc?export=view&amp;id=1cukMspgiP1DtGqXqXD7IpjKHf8trfj7J</t>
        </is>
      </c>
      <c r="AA7" s="1" t="inlineStr">
        <is>
          <t>Verified</t>
        </is>
      </c>
      <c r="AB7" s="1" t="inlineStr">
        <is>
          <t>Collaborations between EdTech organisations</t>
        </is>
      </c>
      <c r="AC7" s="1" t="inlineStr">
        <is>
          <t>Non-profit organisation</t>
        </is>
      </c>
      <c r="AD7" s="10" t="b">
        <v>1</v>
      </c>
      <c r="AE7" s="1" t="b">
        <v>0</v>
      </c>
      <c r="AF7" s="1" t="inlineStr">
        <is>
          <t>Yes</t>
        </is>
      </c>
      <c r="AG7" s="1" t="inlineStr">
        <is>
          <t>https://www.linkedin.com/company/36990427/</t>
        </is>
      </c>
      <c r="AH7" s="1" t="inlineStr">
        <is>
          <t>https://www.linkedin.com/company/36990427/</t>
        </is>
      </c>
      <c r="AI7" s="1" t="inlineStr">
        <is>
          <t>https://www.linkedin.com/company/36990427/</t>
        </is>
      </c>
      <c r="AJ7" s="1" t="n"/>
    </row>
    <row r="8" ht="15.75" customHeight="1">
      <c r="A8" s="6" t="n">
        <v>45895</v>
      </c>
      <c r="B8" s="1" t="inlineStr">
        <is>
          <t>ORG_2663</t>
        </is>
      </c>
      <c r="C8" s="1" t="b">
        <v>1</v>
      </c>
      <c r="D8" s="1" t="inlineStr">
        <is>
          <t>Ginntech AS</t>
        </is>
      </c>
      <c r="E8" s="10" t="inlineStr">
        <is>
          <t>ginntech.com</t>
        </is>
      </c>
      <c r="F8" t="inlineStr">
        <is>
          <t>ginntech.com</t>
        </is>
      </c>
      <c r="G8" s="1" t="inlineStr">
        <is>
          <t>Ginntech AS, founded in 2010 and based in Trondheim, develops SaaS tools tailored for higher education institutions and vocational colleges. Our flagship platform, Edutorium, simplifies study plan design, approval, publishing, and archiving through intuitive workflows and dashboards. We also offers additional solutions that support data-driven management and academic administration. One such tool streamlines the creation and presentation of reading lists directly within the Edutorium platform. This solution ensures consistently updated, well-structured literature information for both internal users and students. Ginntech’s products integrate smoothly with educational sector systems, enabling efficient process automation and strategic insight. Designed to support academic staff, administrators, and leadership, the offerings enhance transparency, quality assurance, and operational efficiency across institutions.</t>
        </is>
      </c>
      <c r="H8" s="1" t="inlineStr">
        <is>
          <t>I'm not part of any EdTech association</t>
        </is>
      </c>
      <c r="I8" s="1" t="inlineStr">
        <is>
          <t>English, Swedish, Danish, German, Finnish, Norwegian</t>
        </is>
      </c>
      <c r="J8" s="1" t="inlineStr">
        <is>
          <t>Trondheim</t>
        </is>
      </c>
      <c r="K8" t="inlineStr">
        <is>
          <t>Trondheim</t>
        </is>
      </c>
      <c r="L8" t="inlineStr">
        <is>
          <t>Trondheim, Norway</t>
        </is>
      </c>
      <c r="M8" t="n">
        <v>63.4304475</v>
      </c>
      <c r="N8" t="n">
        <v>10.3952118</v>
      </c>
      <c r="O8" s="1" t="inlineStr">
        <is>
          <t>Norway</t>
        </is>
      </c>
      <c r="P8" s="1" t="inlineStr">
        <is>
          <t>Denmark, Sweden, Norway</t>
        </is>
      </c>
      <c r="Q8" s="1" t="inlineStr">
        <is>
          <t>Micro (1-9 FTE employees)</t>
        </is>
      </c>
      <c r="R8" t="inlineStr">
        <is>
          <t>Micro</t>
        </is>
      </c>
      <c r="S8" s="1" t="inlineStr">
        <is>
          <t>Business to Schools</t>
        </is>
      </c>
      <c r="T8" s="1" t="inlineStr">
        <is>
          <t>Vocational Education and Training (VET), Higher Education</t>
        </is>
      </c>
      <c r="U8" s="1" t="inlineStr">
        <is>
          <t>System/Administrative, Teacher interfacing</t>
        </is>
      </c>
      <c r="V8" s="1" t="inlineStr">
        <is>
          <t>Edutorium</t>
        </is>
      </c>
      <c r="W8" s="1" t="inlineStr">
        <is>
          <t>Edutorium simplifies study plan design, approval, publishing, and archiving through intuitive workflows and dashboards.</t>
        </is>
      </c>
      <c r="X8" s="1" t="inlineStr">
        <is>
          <t>https://drive.google.com/uc?export=view&amp;id=1Qw2pCy3j6SVJnkQI4ylpqV81k7oquK-y</t>
        </is>
      </c>
      <c r="Y8" t="inlineStr">
        <is>
          <t>https://drive.google.com/uc?export=view&amp;id=1Qw2pCy3j6SVJnkQI4ylpqV81k7oquK-y</t>
        </is>
      </c>
      <c r="Z8" s="1" t="inlineStr">
        <is>
          <t>https://drive.google.com/uc?export=view&amp;id=1Qw2pCy3j6SVJnkQI4ylpqV81k7oquK-y</t>
        </is>
      </c>
      <c r="AA8" s="1" t="inlineStr">
        <is>
          <t>Verified</t>
        </is>
      </c>
      <c r="AB8" s="1" t="inlineStr">
        <is>
          <t>Collaborations between EdTech organisations, Industry-academia partnerships, Other, Project consortium building, Public-private partnerships</t>
        </is>
      </c>
      <c r="AC8" s="1" t="inlineStr">
        <is>
          <t>For-profit company</t>
        </is>
      </c>
      <c r="AD8" s="10" t="b">
        <v>0</v>
      </c>
      <c r="AE8" s="1" t="b">
        <v>1</v>
      </c>
      <c r="AF8" s="1" t="inlineStr">
        <is>
          <t>No</t>
        </is>
      </c>
      <c r="AG8" s="1" t="n"/>
      <c r="AH8" s="1" t="n"/>
      <c r="AI8" s="1" t="n"/>
      <c r="AJ8" s="1" t="n"/>
    </row>
    <row r="9" ht="15.75" customHeight="1">
      <c r="A9" s="6" t="n">
        <v>45895</v>
      </c>
      <c r="B9" s="1" t="inlineStr">
        <is>
          <t>ORG_2662</t>
        </is>
      </c>
      <c r="C9" s="1" t="b">
        <v>1</v>
      </c>
      <c r="D9" s="1" t="inlineStr">
        <is>
          <t>Swedish Edtech Industry</t>
        </is>
      </c>
      <c r="E9" s="10" t="inlineStr">
        <is>
          <t>https://swedishedtechindustry.se/</t>
        </is>
      </c>
      <c r="F9" t="inlineStr">
        <is>
          <t>swedishedtechindustry.se</t>
        </is>
      </c>
      <c r="G9" s="1" t="inlineStr">
        <is>
          <t>Trade Association for Edtech Companies in Sweden</t>
        </is>
      </c>
      <c r="H9" s="1" t="inlineStr">
        <is>
          <t>Swedish EdTech Industry</t>
        </is>
      </c>
      <c r="I9" s="1" t="inlineStr">
        <is>
          <t>Swedish</t>
        </is>
      </c>
      <c r="J9" s="1" t="inlineStr">
        <is>
          <t>Stockholm</t>
        </is>
      </c>
      <c r="K9" t="inlineStr">
        <is>
          <t>Stockholm</t>
        </is>
      </c>
      <c r="L9" t="inlineStr">
        <is>
          <t>Stockholm, Sweden</t>
        </is>
      </c>
      <c r="M9" t="n">
        <v>59.3251172</v>
      </c>
      <c r="N9" t="n">
        <v>18.0710935</v>
      </c>
      <c r="O9" s="1" t="inlineStr">
        <is>
          <t>Sweden</t>
        </is>
      </c>
      <c r="P9" s="1" t="inlineStr">
        <is>
          <t>Sweden</t>
        </is>
      </c>
      <c r="Q9" s="1" t="inlineStr">
        <is>
          <t>Micro (1-9 FTE employees)</t>
        </is>
      </c>
      <c r="R9" t="inlineStr">
        <is>
          <t>Micro</t>
        </is>
      </c>
      <c r="S9" s="1" t="inlineStr">
        <is>
          <t>Business to Government</t>
        </is>
      </c>
      <c r="T9" s="1" t="inlineStr">
        <is>
          <t>Early childhood development (0-5 years), Primary Education, Secondary Education, Vocational Education and Training (VET), Higher Education, Corporate Training, Lifelong learning/Adult education, Special Education</t>
        </is>
      </c>
      <c r="U9" s="1" t="inlineStr">
        <is>
          <t>Other</t>
        </is>
      </c>
      <c r="V9" s="1" t="inlineStr">
        <is>
          <t>Edtechkartan.se</t>
        </is>
      </c>
      <c r="W9" s="1" t="inlineStr">
        <is>
          <t>We are a trade association- do not have products/services to market</t>
        </is>
      </c>
      <c r="X9" s="10" t="inlineStr">
        <is>
          <t>We are a trade association- do not have products/services to market</t>
        </is>
      </c>
      <c r="Y9" t="inlineStr">
        <is>
          <t>We are a trade association- do not have products/services to market</t>
        </is>
      </c>
      <c r="Z9" s="10" t="inlineStr">
        <is>
          <t>https://drive.google.com/uc?export=view&amp;id=1Gmx6dOrRjsFoS8t19Icqm0hQBJj1ywwv</t>
        </is>
      </c>
      <c r="AA9" s="1" t="inlineStr">
        <is>
          <t>Verified</t>
        </is>
      </c>
      <c r="AB9" s="1" t="inlineStr">
        <is>
          <t>Collaborations between EdTech organisations, Project consortium building, Public-private partnerships, Industry-academia partnerships</t>
        </is>
      </c>
      <c r="AC9" s="1" t="inlineStr">
        <is>
          <t>Non-profit organisation</t>
        </is>
      </c>
      <c r="AD9" s="10" t="b">
        <v>0</v>
      </c>
      <c r="AE9" s="1" t="b">
        <v>1</v>
      </c>
      <c r="AF9" s="1" t="inlineStr">
        <is>
          <t>Yes</t>
        </is>
      </c>
      <c r="AG9" s="1" t="inlineStr">
        <is>
          <t>https://www.linkedin.com/company/16192020</t>
        </is>
      </c>
      <c r="AH9" s="1" t="inlineStr">
        <is>
          <t>https://www.linkedin.com/company/16192020</t>
        </is>
      </c>
      <c r="AI9" s="1" t="inlineStr">
        <is>
          <t>https://www.linkedin.com/company/16192020</t>
        </is>
      </c>
      <c r="AJ9" s="1" t="n"/>
    </row>
    <row r="10" ht="15.75" customHeight="1">
      <c r="A10" s="6" t="n">
        <v>45895</v>
      </c>
      <c r="B10" s="1" t="inlineStr">
        <is>
          <t>ORG_2661</t>
        </is>
      </c>
      <c r="C10" s="1" t="b">
        <v>1</v>
      </c>
      <c r="D10" s="1" t="inlineStr">
        <is>
          <t>Seidor</t>
        </is>
      </c>
      <c r="E10" s="10" t="inlineStr">
        <is>
          <t>www.seidor.es</t>
        </is>
      </c>
      <c r="F10" t="inlineStr">
        <is>
          <t>seidor.es</t>
        </is>
      </c>
      <c r="G10" s="1" t="inlineStr">
        <is>
          <t>A large system integrator and ICT consultancy company, with an specific added value proposition for the Education Sector.</t>
        </is>
      </c>
      <c r="H10" s="1" t="inlineStr">
        <is>
          <t>EduTech Cluster Spain</t>
        </is>
      </c>
      <c r="I10" s="1" t="inlineStr">
        <is>
          <t>English, Spanish, French, German, Italian, Dutch, Catalan</t>
        </is>
      </c>
      <c r="J10" s="1" t="inlineStr">
        <is>
          <t>España</t>
        </is>
      </c>
      <c r="K10" t="inlineStr">
        <is>
          <t>España</t>
        </is>
      </c>
      <c r="L10" t="inlineStr">
        <is>
          <t>España, Spain</t>
        </is>
      </c>
      <c r="M10" t="n">
        <v>39.3260685</v>
      </c>
      <c r="N10" t="n">
        <v>-4.8379791</v>
      </c>
      <c r="O10" s="1" t="inlineStr">
        <is>
          <t>Spain</t>
        </is>
      </c>
      <c r="P10" s="1" t="inlineStr">
        <is>
          <t>Andorra, Italy, Spain</t>
        </is>
      </c>
      <c r="Q10" s="1" t="inlineStr">
        <is>
          <t>Large (250+ FTE employees)</t>
        </is>
      </c>
      <c r="R10" t="inlineStr">
        <is>
          <t>Large</t>
        </is>
      </c>
      <c r="S10" s="1" t="inlineStr">
        <is>
          <t>Business to Business, Business to Government</t>
        </is>
      </c>
      <c r="T10" s="1" t="inlineStr">
        <is>
          <t>Higher Education, Corporate Training</t>
        </is>
      </c>
      <c r="U10" s="1" t="inlineStr">
        <is>
          <t>Student interfacing, Teacher interfacing, System/Administrative</t>
        </is>
      </c>
      <c r="V10" s="1" t="inlineStr">
        <is>
          <t>Student information Systems</t>
        </is>
      </c>
      <c r="W10" s="1" t="inlineStr">
        <is>
          <t>Seidor has a broad knowledge of the main education processes with specific consultants coming from the education sector that combined with the capacities of a large systems integrator, allow to us to implement specific SIS solutions comimg from solid providers like Microsoft or Salesforce.</t>
        </is>
      </c>
      <c r="X10" s="1" t="inlineStr">
        <is>
          <t>LMS implementation</t>
        </is>
      </c>
      <c r="Y10" t="inlineStr">
        <is>
          <t>Seidor has a broad knowledge of the main education processes with specific consultants skilled in differents LMS plattforms (Moodle, OPenLMS, Blackboard, Cornerstone, SAP Sucees Factors) that allow to us to implement specific LMS solutions</t>
        </is>
      </c>
      <c r="Z10" s="1" t="inlineStr">
        <is>
          <t>https://drive.google.com/uc?export=view&amp;id=1P0Vufy_g3qa4ULHMIUOn058E_3962hMh</t>
        </is>
      </c>
      <c r="AA10" s="1" t="inlineStr">
        <is>
          <t>Verified</t>
        </is>
      </c>
      <c r="AB10" s="1" t="inlineStr">
        <is>
          <t>Public-private partnerships, Project consortium building, Collaborations between EdTech organisations</t>
        </is>
      </c>
      <c r="AC10" s="1" t="inlineStr">
        <is>
          <t>For-profit company</t>
        </is>
      </c>
      <c r="AD10" s="10" t="b">
        <v>1</v>
      </c>
      <c r="AE10" s="1" t="b">
        <v>0</v>
      </c>
      <c r="AF10" s="1" t="inlineStr">
        <is>
          <t>No</t>
        </is>
      </c>
      <c r="AG10" s="1" t="n"/>
      <c r="AH10" s="1" t="n"/>
      <c r="AI10" s="1" t="n"/>
      <c r="AJ10" s="1" t="n"/>
    </row>
    <row r="11" ht="15.75" customHeight="1">
      <c r="A11" s="6" t="n">
        <v>45895</v>
      </c>
      <c r="B11" s="1" t="inlineStr">
        <is>
          <t>ORG_2660</t>
        </is>
      </c>
      <c r="C11" s="1" t="b">
        <v>1</v>
      </c>
      <c r="D11" s="1" t="inlineStr">
        <is>
          <t>Climb</t>
        </is>
      </c>
      <c r="E11" s="10" t="inlineStr">
        <is>
          <t>https://www.climb2learn.com/</t>
        </is>
      </c>
      <c r="F11" t="inlineStr">
        <is>
          <t>climb2learn.com</t>
        </is>
      </c>
      <c r="G11" s="1" t="inlineStr">
        <is>
          <t>Climb uses technology tools to enhance the effectiveness of digital training.   Develop an interactive simulation for hands-on practice, leveraging game-based learning dynamics.   CLIMB uses a simple and concrete approach:  - Virtual world for the course - AI-based characters to interact with - AI trained with experts from the industry</t>
        </is>
      </c>
      <c r="H11" s="1" t="inlineStr">
        <is>
          <t>I'm not part of any EdTech association</t>
        </is>
      </c>
      <c r="I11" s="1" t="inlineStr">
        <is>
          <t>English</t>
        </is>
      </c>
      <c r="J11" s="1" t="inlineStr">
        <is>
          <t>Turin</t>
        </is>
      </c>
      <c r="K11" t="inlineStr">
        <is>
          <t>Turin</t>
        </is>
      </c>
      <c r="L11" t="inlineStr">
        <is>
          <t>Turin, Italy</t>
        </is>
      </c>
      <c r="M11" t="n">
        <v>45.0677551</v>
      </c>
      <c r="N11" t="n">
        <v>7.6824892</v>
      </c>
      <c r="O11" s="1" t="inlineStr">
        <is>
          <t>Italy</t>
        </is>
      </c>
      <c r="P11" s="1" t="inlineStr">
        <is>
          <t>Italy, San Marino</t>
        </is>
      </c>
      <c r="Q11" s="1" t="inlineStr">
        <is>
          <t>Micro (1-9 FTE employees)</t>
        </is>
      </c>
      <c r="R11" t="inlineStr">
        <is>
          <t>Micro</t>
        </is>
      </c>
      <c r="S11" s="1" t="inlineStr">
        <is>
          <t>Business to Business</t>
        </is>
      </c>
      <c r="T11" s="1" t="inlineStr">
        <is>
          <t>Corporate Training</t>
        </is>
      </c>
      <c r="U11" s="1" t="inlineStr">
        <is>
          <t>Student interfacing</t>
        </is>
      </c>
      <c r="V11" s="1" t="inlineStr">
        <is>
          <t>Game as a service platform</t>
        </is>
      </c>
      <c r="W11" s="1" t="inlineStr">
        <is>
          <t>We utilize a Retrieval-Augmented Generation (RAG) model integrated with Generative AI.
This enables our platform to create realistic NPCs (Non-Playable Characters) and adaptive challenges, making each scenario rich and contextually relevant.</t>
        </is>
      </c>
      <c r="X11" s="10" t="inlineStr">
        <is>
          <t>https://drive.google.com/uc?export=view&amp;id=1r5ES3ZwlkS74wDjc4NLkLGPnQxGvZ08c</t>
        </is>
      </c>
      <c r="Y11" t="inlineStr">
        <is>
          <t>https://drive.google.com/uc?export=view&amp;id=1r5ES3ZwlkS74wDjc4NLkLGPnQxGvZ08c</t>
        </is>
      </c>
      <c r="Z11" s="1" t="inlineStr">
        <is>
          <t>https://drive.google.com/uc?export=view&amp;id=1r5ES3ZwlkS74wDjc4NLkLGPnQxGvZ08c</t>
        </is>
      </c>
      <c r="AA11" s="1" t="inlineStr">
        <is>
          <t>Verified</t>
        </is>
      </c>
      <c r="AB11" s="1" t="inlineStr">
        <is>
          <t>Collaborations between EdTech organisations, Public-private partnerships, Project consortium building</t>
        </is>
      </c>
      <c r="AC11" s="1" t="inlineStr">
        <is>
          <t>For-profit company</t>
        </is>
      </c>
      <c r="AD11" s="10" t="b">
        <v>1</v>
      </c>
      <c r="AE11" s="1" t="b">
        <v>1</v>
      </c>
      <c r="AF11" s="1" t="inlineStr">
        <is>
          <t>Yes</t>
        </is>
      </c>
      <c r="AG11" s="1" t="inlineStr">
        <is>
          <t>https://www.linkedin.com/company/climb2learn/posts/?feedView=all</t>
        </is>
      </c>
      <c r="AH11" s="1" t="inlineStr">
        <is>
          <t>https://www.linkedin.com/company/climb2learn/posts/?feedView=all</t>
        </is>
      </c>
      <c r="AI11" s="1" t="inlineStr">
        <is>
          <t>https://www.linkedin.com/company/climb2learn/posts/?feedView=all</t>
        </is>
      </c>
      <c r="AJ11" s="1" t="n"/>
    </row>
    <row r="12" ht="15.75" customHeight="1">
      <c r="A12" s="6" t="n">
        <v>45895</v>
      </c>
      <c r="B12" s="1" t="inlineStr">
        <is>
          <t>ORG_1626</t>
        </is>
      </c>
      <c r="C12" s="1" t="b">
        <v>1</v>
      </c>
      <c r="D12" s="1" t="inlineStr">
        <is>
          <t>GLIFING</t>
        </is>
      </c>
      <c r="E12" s="10" t="inlineStr">
        <is>
          <t>www.glifing.com</t>
        </is>
      </c>
      <c r="F12" t="inlineStr">
        <is>
          <t>glifing.com</t>
        </is>
      </c>
      <c r="G12" s="1" t="inlineStr">
        <is>
          <t>Evidence-based platform that trains reading skills through games, improving comprehension, speed, and early detection of reading difficulties. Used by 200,000+ users, 800 learning centers, and 750 schools.</t>
        </is>
      </c>
      <c r="H12" s="1" t="inlineStr">
        <is>
          <t>EduTech Cluster Spain</t>
        </is>
      </c>
      <c r="I12" s="1" t="inlineStr">
        <is>
          <t>Spanish, Catalan, Basque</t>
        </is>
      </c>
      <c r="J12" s="1" t="inlineStr">
        <is>
          <t>Barcelona</t>
        </is>
      </c>
      <c r="K12" t="inlineStr">
        <is>
          <t>Barcelona</t>
        </is>
      </c>
      <c r="L12" t="inlineStr">
        <is>
          <t>Barcelona, Spain</t>
        </is>
      </c>
      <c r="M12" t="n">
        <v>41.3825802</v>
      </c>
      <c r="N12" t="n">
        <v>2.177073</v>
      </c>
      <c r="O12" s="1" t="inlineStr">
        <is>
          <t>Spain</t>
        </is>
      </c>
      <c r="P12" s="1" t="inlineStr">
        <is>
          <t>Andorra, Belgium, Spain</t>
        </is>
      </c>
      <c r="Q12" s="1" t="inlineStr">
        <is>
          <t>Small (10-49 FTE employees)</t>
        </is>
      </c>
      <c r="R12" t="inlineStr">
        <is>
          <t>Small</t>
        </is>
      </c>
      <c r="S12" s="1" t="inlineStr">
        <is>
          <t>Business to Business, Business to Consumer, Business to Government, Business to Schools</t>
        </is>
      </c>
      <c r="T12" s="1" t="inlineStr">
        <is>
          <t>Early childhood development (0-5 years), Primary Education, Secondary Education</t>
        </is>
      </c>
      <c r="U12" s="1" t="inlineStr">
        <is>
          <t>Student interfacing, Teacher interfacing</t>
        </is>
      </c>
      <c r="V12" s="10" t="inlineStr">
        <is>
          <t>GLIFING</t>
        </is>
      </c>
      <c r="W12" s="10" t="inlineStr">
        <is>
          <t>An evidence-based reading training method for professionals and families, designed to improve reading speed, comprehension, and early detection of reading difficulties through engaging, game-based practice.</t>
        </is>
      </c>
      <c r="X12" s="10" t="inlineStr">
        <is>
          <t>GLIFAULA</t>
        </is>
      </c>
      <c r="Y12" t="inlineStr">
        <is>
          <t>A school-adapted version of Glifing that combines classroom group activities with individualized reading training, allowing each student to practice at their own level while teachers monitor progress and support literacy development.</t>
        </is>
      </c>
      <c r="Z12" s="1" t="inlineStr">
        <is>
          <t>https://drive.google.com/uc?export=view&amp;id=1BP-iD8dOWKxZ0rR_R_FUp6iO3_mg7QMK</t>
        </is>
      </c>
      <c r="AA12" s="1" t="inlineStr">
        <is>
          <t>Verified</t>
        </is>
      </c>
      <c r="AB12" s="1" t="inlineStr">
        <is>
          <t>Collaborations between EdTech organisations, Industry-academia partnerships, Public-private partnerships</t>
        </is>
      </c>
      <c r="AC12" s="1" t="inlineStr">
        <is>
          <t>For-profit company</t>
        </is>
      </c>
      <c r="AD12" s="10" t="b">
        <v>1</v>
      </c>
      <c r="AE12" s="1" t="b">
        <v>1</v>
      </c>
      <c r="AF12" s="1" t="inlineStr">
        <is>
          <t>Yes</t>
        </is>
      </c>
      <c r="AG12" s="1" t="inlineStr">
        <is>
          <t>https://www.instagram.com/glifing/</t>
        </is>
      </c>
      <c r="AH12" s="1" t="inlineStr">
        <is>
          <t>https://x.com/glifing</t>
        </is>
      </c>
      <c r="AI12" s="1" t="inlineStr">
        <is>
          <t>https://www.linkedin.com/company/glifing/posts/?feedView=all</t>
        </is>
      </c>
      <c r="AJ12" s="10" t="inlineStr">
        <is>
          <t>https://www.facebook.com/glifing</t>
        </is>
      </c>
    </row>
    <row r="13" ht="15.75" customHeight="1">
      <c r="A13" s="6" t="n">
        <v>45894</v>
      </c>
      <c r="B13" s="1" t="inlineStr">
        <is>
          <t>ORG_2659</t>
        </is>
      </c>
      <c r="C13" s="1" t="b">
        <v>1</v>
      </c>
      <c r="D13" s="1" t="inlineStr">
        <is>
          <t>Labirinth</t>
        </is>
      </c>
      <c r="E13" s="10" t="inlineStr">
        <is>
          <t>https://www.labirinth.it/</t>
        </is>
      </c>
      <c r="F13" t="inlineStr">
        <is>
          <t>labirinth.it</t>
        </is>
      </c>
      <c r="G13" s="1" t="inlineStr">
        <is>
          <t>Helping people find jobs that match their aptitudes, interests, and market opportunities</t>
        </is>
      </c>
      <c r="H13" s="1" t="inlineStr">
        <is>
          <t>EdTech Italia</t>
        </is>
      </c>
      <c r="I13" s="1" t="inlineStr">
        <is>
          <t>Italian</t>
        </is>
      </c>
      <c r="J13" s="1" t="inlineStr">
        <is>
          <t>Milano</t>
        </is>
      </c>
      <c r="K13" t="inlineStr">
        <is>
          <t>Milano</t>
        </is>
      </c>
      <c r="L13" t="inlineStr">
        <is>
          <t>Milano, Italy</t>
        </is>
      </c>
      <c r="M13" t="n">
        <v>45.4641943</v>
      </c>
      <c r="N13" t="n">
        <v>9.1896346</v>
      </c>
      <c r="O13" s="1" t="inlineStr">
        <is>
          <t>Italy</t>
        </is>
      </c>
      <c r="P13" s="1" t="inlineStr">
        <is>
          <t>Italy</t>
        </is>
      </c>
      <c r="Q13" s="1" t="inlineStr">
        <is>
          <t>Micro (1-9 FTE employees)</t>
        </is>
      </c>
      <c r="R13" t="inlineStr">
        <is>
          <t>Micro</t>
        </is>
      </c>
      <c r="S13" s="1" t="inlineStr">
        <is>
          <t>Business to Consumer, Business to Business</t>
        </is>
      </c>
      <c r="T13" s="1" t="inlineStr">
        <is>
          <t>Lifelong learning/Adult education, Higher Education, Corporate Training</t>
        </is>
      </c>
      <c r="U13" s="1" t="inlineStr">
        <is>
          <t>Student interfacing, System/Administrative</t>
        </is>
      </c>
      <c r="V13" s="1" t="inlineStr">
        <is>
          <t>Virtual Internships</t>
        </is>
      </c>
      <c r="W13" t="inlineStr">
        <is>
          <t>Take on theoretical modules to understand the fundamentals, then put yourself to the test with real projects</t>
        </is>
      </c>
      <c r="X13" s="10" t="inlineStr">
        <is>
          <t>https://drive.google.com/uc?export=view&amp;id=1JOwHJVCkhPDmSAZxn4vHyUHpoaKDitRa</t>
        </is>
      </c>
      <c r="Y13" t="inlineStr">
        <is>
          <t>https://drive.google.com/uc?export=view&amp;id=1JOwHJVCkhPDmSAZxn4vHyUHpoaKDitRa</t>
        </is>
      </c>
      <c r="Z13" s="1" t="inlineStr">
        <is>
          <t>https://drive.google.com/uc?export=view&amp;id=1JOwHJVCkhPDmSAZxn4vHyUHpoaKDitRa</t>
        </is>
      </c>
      <c r="AA13" s="1" t="inlineStr">
        <is>
          <t>Verified</t>
        </is>
      </c>
      <c r="AB13" s="1" t="inlineStr">
        <is>
          <t>Collaborations between EdTech organisations, Public-private partnerships</t>
        </is>
      </c>
      <c r="AC13" s="1" t="inlineStr">
        <is>
          <t>For-profit company</t>
        </is>
      </c>
      <c r="AD13" s="10" t="b">
        <v>0</v>
      </c>
      <c r="AE13" s="1" t="n"/>
      <c r="AF13" s="1" t="inlineStr">
        <is>
          <t>Yes</t>
        </is>
      </c>
      <c r="AG13" s="1" t="inlineStr">
        <is>
          <t>https://www.linkedin.com/company/labirinth</t>
        </is>
      </c>
      <c r="AH13" s="1" t="inlineStr">
        <is>
          <t>https://www.linkedin.com/company/labirinth</t>
        </is>
      </c>
      <c r="AI13" s="1" t="inlineStr">
        <is>
          <t>https://www.linkedin.com/company/labirinth</t>
        </is>
      </c>
      <c r="AJ13" s="1" t="n"/>
    </row>
    <row r="14" ht="15.75" customHeight="1">
      <c r="A14" s="6" t="n">
        <v>45894</v>
      </c>
      <c r="B14" s="1" t="inlineStr">
        <is>
          <t>ORG_2275</t>
        </is>
      </c>
      <c r="C14" s="1" t="b">
        <v>1</v>
      </c>
      <c r="D14" s="1" t="inlineStr">
        <is>
          <t>Smart Symbols</t>
        </is>
      </c>
      <c r="E14" s="10" t="inlineStr">
        <is>
          <t>www.smartsymbols.com</t>
        </is>
      </c>
      <c r="F14" t="inlineStr">
        <is>
          <t>smartsymbols.com</t>
        </is>
      </c>
      <c r="G14" s="1" t="inlineStr">
        <is>
          <t>Smart Symbols is a SaaS solution designed with a clear focus on early childhood education. We provide actionable insights into daily activities of toddlers in crowded classrooms by collecting data from both teachers and children. Smart Symbols translates theory (teachers schedule) into practice by providing digital activity boards for toddlers. Letting toddlers interact with our software by choosing activities, giving feedback and sharing their emotions enables teachers to obtain deeper insights about emotions, interest, social interaction and much more.</t>
        </is>
      </c>
      <c r="H14" s="1" t="inlineStr">
        <is>
          <t>edtechstation</t>
        </is>
      </c>
      <c r="I14" s="1" t="inlineStr">
        <is>
          <t>English, French, Spanish, Dutch, German</t>
        </is>
      </c>
      <c r="J14" s="1" t="inlineStr">
        <is>
          <t>Ledegem</t>
        </is>
      </c>
      <c r="K14" t="inlineStr">
        <is>
          <t>Ledegem</t>
        </is>
      </c>
      <c r="L14" t="inlineStr">
        <is>
          <t>Ledegem, Belgium</t>
        </is>
      </c>
      <c r="M14" t="n">
        <v>50.8689412</v>
      </c>
      <c r="N14" t="n">
        <v>3.1174705</v>
      </c>
      <c r="O14" s="1" t="inlineStr">
        <is>
          <t>Belgium</t>
        </is>
      </c>
      <c r="P14" s="1" t="inlineStr">
        <is>
          <t>Belgium, Bulgaria, Finland, Netherlands, United Kingdom, Spain</t>
        </is>
      </c>
      <c r="Q14" s="1" t="inlineStr">
        <is>
          <t>Micro (1-9 FTE employees)</t>
        </is>
      </c>
      <c r="R14" t="inlineStr">
        <is>
          <t>Micro</t>
        </is>
      </c>
      <c r="S14" s="1" t="inlineStr">
        <is>
          <t>Business to Schools</t>
        </is>
      </c>
      <c r="T14" s="1" t="inlineStr">
        <is>
          <t>Early childhood development (0-5 years), Primary Education</t>
        </is>
      </c>
      <c r="U14" s="1" t="inlineStr">
        <is>
          <t>Student interfacing, Teacher interfacing</t>
        </is>
      </c>
      <c r="V14" s="10" t="inlineStr">
        <is>
          <t>Smart Symbols</t>
        </is>
      </c>
      <c r="W14" s="10" t="inlineStr">
        <is>
          <t>Smart Symbols is a webapp designed with a clear focus on early childhood education &amp; care. We provide actionable dashboards and insights into daily activities of toddlers in crowded classrooms by collecting data from both teachers and children. We transform mobile devices into pedagocical tools.</t>
        </is>
      </c>
      <c r="X14" s="10" t="inlineStr">
        <is>
          <t>https://drive.google.com/uc?export=view&amp;id=1xOy8U-VZt4mrAlob73djAu7aOgxDnA1R</t>
        </is>
      </c>
      <c r="Y14" t="inlineStr">
        <is>
          <t>https://drive.google.com/uc?export=view&amp;id=1xOy8U-VZt4mrAlob73djAu7aOgxDnA1R</t>
        </is>
      </c>
      <c r="Z14" s="1" t="inlineStr">
        <is>
          <t>https://drive.google.com/uc?export=view&amp;id=1xOy8U-VZt4mrAlob73djAu7aOgxDnA1R</t>
        </is>
      </c>
      <c r="AA14" s="1" t="inlineStr">
        <is>
          <t>Verified</t>
        </is>
      </c>
      <c r="AB14" s="1" t="inlineStr">
        <is>
          <t>Collaborations between EdTech organisations, Industry-academia partnerships</t>
        </is>
      </c>
      <c r="AC14" s="1" t="inlineStr">
        <is>
          <t>For-profit company</t>
        </is>
      </c>
      <c r="AD14" s="10" t="b">
        <v>1</v>
      </c>
      <c r="AE14" s="1" t="b">
        <v>1</v>
      </c>
      <c r="AF14" s="1" t="inlineStr">
        <is>
          <t>Yes</t>
        </is>
      </c>
      <c r="AG14" s="1" t="inlineStr">
        <is>
          <t>https://www.instagram.com/smartsymbols/</t>
        </is>
      </c>
      <c r="AH14" s="1" t="inlineStr">
        <is>
          <t>https://www.facebook.com/smartsymbols</t>
        </is>
      </c>
      <c r="AI14" s="1" t="inlineStr">
        <is>
          <t>https://www.linkedin.com/company/smart-symbols/</t>
        </is>
      </c>
      <c r="AJ14" s="1" t="n"/>
    </row>
    <row r="15" ht="15.75" customHeight="1">
      <c r="A15" s="6" t="n">
        <v>45894</v>
      </c>
      <c r="B15" s="1" t="inlineStr">
        <is>
          <t>ORG_2451</t>
        </is>
      </c>
      <c r="C15" s="1" t="b">
        <v>1</v>
      </c>
      <c r="D15" s="1" t="inlineStr">
        <is>
          <t>UbiCast</t>
        </is>
      </c>
      <c r="E15" s="10" t="inlineStr">
        <is>
          <t>https://www.ubicast.eu/</t>
        </is>
      </c>
      <c r="F15" t="inlineStr">
        <is>
          <t>ubicast.eu</t>
        </is>
      </c>
      <c r="G15" s="1" t="inlineStr">
        <is>
          <t>Born in 2007, UbiCast is the European leader in video learning solutions. Our mission is to improve learning and communication by making video engaging, collaborative and durable. To do so, UbiCast has developed Nudgis, a customisable private video platform made for teachers to record, store and stream interactive and impactful content in video format. Thanks to its engaging sidebar and social features, Nudgis is the perfect tool to easily captivate students’ attention and enhance the whole learning experience!</t>
        </is>
      </c>
      <c r="H15" s="1" t="inlineStr">
        <is>
          <t>EdTech France</t>
        </is>
      </c>
      <c r="I15" s="1" t="inlineStr">
        <is>
          <t>English, French, German, Dutch, Spanish, Finnish</t>
        </is>
      </c>
      <c r="J15" s="1" t="inlineStr">
        <is>
          <t>Paris</t>
        </is>
      </c>
      <c r="K15" t="inlineStr">
        <is>
          <t>Paris</t>
        </is>
      </c>
      <c r="L15" t="inlineStr">
        <is>
          <t>Paris, France</t>
        </is>
      </c>
      <c r="M15" t="n">
        <v>48.8534951</v>
      </c>
      <c r="N15" t="n">
        <v>2.3483915</v>
      </c>
      <c r="O15" s="1" t="inlineStr">
        <is>
          <t>France</t>
        </is>
      </c>
      <c r="P15" s="1" t="inlineStr">
        <is>
          <t>Belgium, France, Germany, Finland, Ireland, Italy, Netherlands, Spain, Switzerland, United Kingdom, Austria, Monaco</t>
        </is>
      </c>
      <c r="Q15" s="1" t="inlineStr">
        <is>
          <t>Small (10-49 FTE employees)</t>
        </is>
      </c>
      <c r="R15" t="inlineStr">
        <is>
          <t>Small</t>
        </is>
      </c>
      <c r="S15" s="1" t="inlineStr">
        <is>
          <t>Business to Business, Business to Schools, Business to Government</t>
        </is>
      </c>
      <c r="T15" s="1" t="inlineStr">
        <is>
          <t>Higher Education, Corporate Training, Lifelong learning/Adult education</t>
        </is>
      </c>
      <c r="U15" s="1" t="inlineStr">
        <is>
          <t>Student interfacing, Teacher interfacing, System/Administrative</t>
        </is>
      </c>
      <c r="V15" s="10" t="inlineStr">
        <is>
          <t>Nudgis</t>
        </is>
      </c>
      <c r="W15" s="1" t="inlineStr">
        <is>
          <t>Nudgis is a private video platform that helps teachers create and share interactive lessons. They can enrich videos with quizzes and polls, while students learn at their own pace. The platform also gives teachers valuable insights to improve their content and integrates with all existing LMS!</t>
        </is>
      </c>
      <c r="X15" s="10" t="inlineStr">
        <is>
          <t>Miris</t>
        </is>
      </c>
      <c r="Y15" t="inlineStr">
        <is>
          <t>Want to digitise your lectures, create video content for your courses, or broadcast live conferences? The Miris range has you covered. Miris provides turnkey recorders that automatically capture both the speaker and their presentation, helping you deliver a rich media experience to your au</t>
        </is>
      </c>
      <c r="Z15" s="1" t="inlineStr">
        <is>
          <t>https://drive.google.com/uc?export=view&amp;id=1kBxp-jslfQ-avf9_eMvLk7Wb9zMgy_pK</t>
        </is>
      </c>
      <c r="AA15" s="1" t="inlineStr">
        <is>
          <t>Verified</t>
        </is>
      </c>
      <c r="AB15" s="1" t="inlineStr">
        <is>
          <t>Collaborations between EdTech organisations, Project consortium building, Public-private partnerships</t>
        </is>
      </c>
      <c r="AC15" s="1" t="inlineStr">
        <is>
          <t>For-profit company</t>
        </is>
      </c>
      <c r="AD15" s="10" t="b">
        <v>1</v>
      </c>
      <c r="AE15" s="1" t="b">
        <v>1</v>
      </c>
      <c r="AF15" s="1" t="inlineStr">
        <is>
          <t>Yes</t>
        </is>
      </c>
      <c r="AG15" s="1" t="inlineStr">
        <is>
          <t>https://www.instagram.com/ubicast_official/</t>
        </is>
      </c>
      <c r="AH15" s="1" t="inlineStr">
        <is>
          <t>https://www.linkedin.com/company/ubicast</t>
        </is>
      </c>
      <c r="AI15" s="1" t="inlineStr">
        <is>
          <t>https://www.linkedin.com/company/ubicast</t>
        </is>
      </c>
      <c r="AJ15" s="1" t="n"/>
    </row>
    <row r="16" ht="15.75" customHeight="1">
      <c r="A16" s="6" t="n">
        <v>45894</v>
      </c>
      <c r="B16" s="1" t="inlineStr">
        <is>
          <t>ORG_2658</t>
        </is>
      </c>
      <c r="C16" s="1" t="b">
        <v>1</v>
      </c>
      <c r="D16" s="1" t="inlineStr">
        <is>
          <t>NINEFEB Technical Documentation GmbH</t>
        </is>
      </c>
      <c r="E16" s="10" t="inlineStr">
        <is>
          <t>www.ninefeb.com</t>
        </is>
      </c>
      <c r="F16" t="inlineStr">
        <is>
          <t>ninefeb.com</t>
        </is>
      </c>
      <c r="G16" s="1" t="inlineStr">
        <is>
          <t>We are drafting eLearning and consulting eLearning for machinery, automotive, aviation, railway</t>
        </is>
      </c>
      <c r="H16" s="1" t="inlineStr">
        <is>
          <t>EdTech Austria</t>
        </is>
      </c>
      <c r="I16" s="1" t="inlineStr">
        <is>
          <t>English, German</t>
        </is>
      </c>
      <c r="J16" s="1" t="inlineStr">
        <is>
          <t>Vienna</t>
        </is>
      </c>
      <c r="K16" t="inlineStr">
        <is>
          <t>Vienna</t>
        </is>
      </c>
      <c r="L16" t="inlineStr">
        <is>
          <t>Vienna, Austria</t>
        </is>
      </c>
      <c r="M16" t="n">
        <v>48.2083537</v>
      </c>
      <c r="N16" t="n">
        <v>16.3725042</v>
      </c>
      <c r="O16" s="1" t="inlineStr">
        <is>
          <t>Austria</t>
        </is>
      </c>
      <c r="P16" s="1" t="inlineStr">
        <is>
          <t>Austria, Germany, United Kingdom, Switzerland</t>
        </is>
      </c>
      <c r="Q16" s="1" t="inlineStr">
        <is>
          <t>Medium (50-250 FTE employees)</t>
        </is>
      </c>
      <c r="R16" t="inlineStr">
        <is>
          <t>Medium</t>
        </is>
      </c>
      <c r="S16" s="1" t="inlineStr">
        <is>
          <t>Business to Business</t>
        </is>
      </c>
      <c r="T16" s="1" t="inlineStr">
        <is>
          <t>Corporate Training</t>
        </is>
      </c>
      <c r="U16" s="1" t="inlineStr">
        <is>
          <t>Other</t>
        </is>
      </c>
      <c r="V16" s="1" t="inlineStr">
        <is>
          <t>drafting educationally sound eLearnings</t>
        </is>
      </c>
      <c r="W16" s="1" t="inlineStr">
        <is>
          <t>conceptualizing instructional paths</t>
        </is>
      </c>
      <c r="X16" s="1" t="inlineStr">
        <is>
          <t>AR/VR environments with learning analytics</t>
        </is>
      </c>
      <c r="Y16" t="inlineStr">
        <is>
          <t>https://drive.google.com/uc?export=view&amp;id=1qGWZsyCai52rhZbM-MP3xLMqtBUW95Hf</t>
        </is>
      </c>
      <c r="Z16" s="1" t="inlineStr">
        <is>
          <t>https://drive.google.com/uc?export=view&amp;id=1qGWZsyCai52rhZbM-MP3xLMqtBUW95Hf</t>
        </is>
      </c>
      <c r="AA16" s="1" t="inlineStr">
        <is>
          <t>Verified</t>
        </is>
      </c>
      <c r="AB16" s="1" t="inlineStr">
        <is>
          <t>Collaborations between EdTech organisations</t>
        </is>
      </c>
      <c r="AC16" s="1" t="inlineStr">
        <is>
          <t>For-profit company</t>
        </is>
      </c>
      <c r="AD16" s="10" t="b">
        <v>1</v>
      </c>
      <c r="AE16" s="1" t="b">
        <v>0</v>
      </c>
      <c r="AF16" s="1" t="inlineStr">
        <is>
          <t>No</t>
        </is>
      </c>
      <c r="AG16" s="1" t="n"/>
      <c r="AH16" s="1" t="n"/>
      <c r="AI16" s="1" t="n"/>
      <c r="AJ16" s="1" t="n"/>
    </row>
    <row r="17" ht="15.75" customHeight="1">
      <c r="A17" s="6" t="n">
        <v>45894</v>
      </c>
      <c r="B17" s="1" t="inlineStr">
        <is>
          <t>ORG_1888</t>
        </is>
      </c>
      <c r="C17" s="1" t="b">
        <v>1</v>
      </c>
      <c r="D17" s="1" t="inlineStr">
        <is>
          <t>Little Bridge</t>
        </is>
      </c>
      <c r="E17" s="10" t="inlineStr">
        <is>
          <t>https://www.littlebridge.com/</t>
        </is>
      </c>
      <c r="F17" t="inlineStr">
        <is>
          <t>littlebridge.com</t>
        </is>
      </c>
      <c r="G17" s="1" t="inlineStr">
        <is>
          <t>Delivering English Language Learning to children (6-12 years) everywhere with a unique, AI supported combination of quality educational content and a safe, social experience.</t>
        </is>
      </c>
      <c r="H17" s="1" t="inlineStr">
        <is>
          <t>I'm not part of any EdTech association</t>
        </is>
      </c>
      <c r="I17" s="1" t="inlineStr">
        <is>
          <t>English, German, French, Spanish, Italian, Greek, Portuguese</t>
        </is>
      </c>
      <c r="J17" s="1" t="inlineStr">
        <is>
          <t>London</t>
        </is>
      </c>
      <c r="K17" t="inlineStr">
        <is>
          <t>London</t>
        </is>
      </c>
      <c r="L17" t="inlineStr">
        <is>
          <t>London, United Kingdom</t>
        </is>
      </c>
      <c r="M17" t="n">
        <v>51.5074456</v>
      </c>
      <c r="N17" t="n">
        <v>-0.1277653</v>
      </c>
      <c r="O17" s="1" t="inlineStr">
        <is>
          <t>United Kingdom</t>
        </is>
      </c>
      <c r="P17" s="1" t="inlineStr">
        <is>
          <t>Greece, United Kingdom, France, Belgium, Germany, Netherlands, Spain, Turkey</t>
        </is>
      </c>
      <c r="Q17" s="1" t="inlineStr">
        <is>
          <t>Micro (1-9 FTE employees)</t>
        </is>
      </c>
      <c r="R17" t="inlineStr">
        <is>
          <t>Micro</t>
        </is>
      </c>
      <c r="S17" s="1" t="inlineStr">
        <is>
          <t>Business to Government, Business to Schools, Business to Consumer</t>
        </is>
      </c>
      <c r="T17" s="1" t="inlineStr">
        <is>
          <t>Primary Education</t>
        </is>
      </c>
      <c r="U17" s="1" t="inlineStr">
        <is>
          <t>Student interfacing, Teacher interfacing, System/Administrative</t>
        </is>
      </c>
      <c r="V17" s="10" t="inlineStr">
        <is>
          <t>Little Bridge</t>
        </is>
      </c>
      <c r="W17" s="10" t="inlineStr">
        <is>
          <t>Research-backed, Ai supported, outcomes driven online platform, providing quality English Language Learning and a unique social experience for children (6-12 years) globally. Cultivating cultural curiosity, collaboration, critical thinking and connection.</t>
        </is>
      </c>
      <c r="X17" s="10" t="inlineStr">
        <is>
          <t>https://drive.google.com/uc?export=view&amp;id=1lcp9F6wIdmfQO3s2l3kM-059qWwG9YlF</t>
        </is>
      </c>
      <c r="Y17" t="inlineStr">
        <is>
          <t>https://drive.google.com/uc?export=view&amp;id=1lcp9F6wIdmfQO3s2l3kM-059qWwG9YlF</t>
        </is>
      </c>
      <c r="Z17" s="1" t="inlineStr">
        <is>
          <t>https://drive.google.com/uc?export=view&amp;id=1lcp9F6wIdmfQO3s2l3kM-059qWwG9YlF</t>
        </is>
      </c>
      <c r="AA17" s="1" t="inlineStr">
        <is>
          <t>Verified</t>
        </is>
      </c>
      <c r="AB17" s="1" t="inlineStr">
        <is>
          <t>Collaborations between EdTech organisations, Project consortium building, Public-private partnerships, Industry-academia partnerships</t>
        </is>
      </c>
      <c r="AC17" s="1" t="inlineStr">
        <is>
          <t>For-profit company</t>
        </is>
      </c>
      <c r="AD17" s="10" t="b">
        <v>1</v>
      </c>
      <c r="AE17" s="1" t="b">
        <v>1</v>
      </c>
      <c r="AF17" s="1" t="inlineStr">
        <is>
          <t>Yes</t>
        </is>
      </c>
      <c r="AG17" s="1" t="inlineStr">
        <is>
          <t>https://www.instagram.com/littlebridgeworld/</t>
        </is>
      </c>
      <c r="AH17" s="1" t="inlineStr">
        <is>
          <t>https://x.com/Little_Bridge</t>
        </is>
      </c>
      <c r="AI17" s="1" t="inlineStr">
        <is>
          <t>https://www.linkedin.com/company/little-bridge-world</t>
        </is>
      </c>
      <c r="AJ17" s="10" t="inlineStr">
        <is>
          <t>https://www.facebook.com/LittleBridgeWorld/</t>
        </is>
      </c>
    </row>
    <row r="18" ht="15.75" customHeight="1">
      <c r="A18" s="6" t="n">
        <v>45894</v>
      </c>
      <c r="B18" s="1" t="inlineStr">
        <is>
          <t>ORG_2657</t>
        </is>
      </c>
      <c r="C18" s="1" t="b">
        <v>1</v>
      </c>
      <c r="D18" s="1" t="inlineStr">
        <is>
          <t>Dokimazo</t>
        </is>
      </c>
      <c r="E18" s="10" t="inlineStr">
        <is>
          <t>www.dokimazo.io</t>
        </is>
      </c>
      <c r="F18" t="inlineStr">
        <is>
          <t>dokimazo.io</t>
        </is>
      </c>
      <c r="G18" s="1" t="inlineStr">
        <is>
          <t>Dokimazo is a new EdTech startup that aims to transform skills into a universal currency. Thanks to an AI-based Skill Wallet, individuals, training providers, and organisations can easily define development goals, collect learning evidence and certificates, and document their development over time In April 2025, a jury of experts and investors at the Innovation Training Summit in Rome awarded Dokimazo "Startup of the Year".</t>
        </is>
      </c>
      <c r="H18" s="1" t="inlineStr">
        <is>
          <t>EdTech Italia</t>
        </is>
      </c>
      <c r="I18" s="1" t="inlineStr">
        <is>
          <t>Italian, English</t>
        </is>
      </c>
      <c r="J18" s="1" t="inlineStr">
        <is>
          <t>Milan</t>
        </is>
      </c>
      <c r="K18" t="inlineStr">
        <is>
          <t>Milan</t>
        </is>
      </c>
      <c r="L18" t="inlineStr">
        <is>
          <t>Milan, Italy</t>
        </is>
      </c>
      <c r="M18" t="n">
        <v>45.4641943</v>
      </c>
      <c r="N18" t="n">
        <v>9.1896346</v>
      </c>
      <c r="O18" s="1" t="inlineStr">
        <is>
          <t>Italy</t>
        </is>
      </c>
      <c r="P18" s="1" t="inlineStr">
        <is>
          <t>Italy</t>
        </is>
      </c>
      <c r="Q18" s="1" t="inlineStr">
        <is>
          <t>Micro (1-9 FTE employees)</t>
        </is>
      </c>
      <c r="R18" t="inlineStr">
        <is>
          <t>Micro</t>
        </is>
      </c>
      <c r="S18" s="1" t="inlineStr">
        <is>
          <t>Business to Business, Business to Consumer, Business to Schools</t>
        </is>
      </c>
      <c r="T18" s="1" t="inlineStr">
        <is>
          <t>Higher Education, Vocational Education and Training (VET), Corporate Training, Lifelong learning/Adult education</t>
        </is>
      </c>
      <c r="U18" s="1" t="inlineStr">
        <is>
          <t>System/Administrative, Teacher interfacing, Student interfacing</t>
        </is>
      </c>
      <c r="V18" s="1" t="inlineStr">
        <is>
          <t>Dokimazo for organisations</t>
        </is>
      </c>
      <c r="W18" s="1" t="inlineStr">
        <is>
          <t>Our innovative tool is a Skill Wallet to turn skills into tangible value with the aid of Dokipilot, our AI Assistant. 
Organisations can quickly create skills and job roles and assign them to the employees in their Skill Wallets, validate and monitor them.</t>
        </is>
      </c>
      <c r="X18" s="10" t="inlineStr">
        <is>
          <t>Dokimazo for training providers</t>
        </is>
      </c>
      <c r="Y18" t="inlineStr">
        <is>
          <t>Our innovative tool is a Skill Wallet to turn skill into tangible value with the aid of Dokipilot, our AI Assistant. 
Training providers can quickly extract target skills from syllabi and course descriptions, assign them to students, and validate them in the students' Skill Wallets.</t>
        </is>
      </c>
      <c r="Z18" s="1" t="inlineStr">
        <is>
          <t>https://drive.google.com/uc?export=view&amp;id=1l6XrvSusnNphymMofSdddulF5Vn7h67V</t>
        </is>
      </c>
      <c r="AA18" s="1" t="inlineStr">
        <is>
          <t>Verified</t>
        </is>
      </c>
      <c r="AB18" s="1" t="inlineStr">
        <is>
          <t>Collaborations between EdTech organisations, Project consortium building, Public-private partnerships, Industry-academia partnerships, Other</t>
        </is>
      </c>
      <c r="AC18" s="1" t="inlineStr">
        <is>
          <t>For-profit company</t>
        </is>
      </c>
      <c r="AD18" s="10" t="b">
        <v>1</v>
      </c>
      <c r="AE18" s="1" t="b">
        <v>1</v>
      </c>
      <c r="AF18" s="1" t="inlineStr">
        <is>
          <t>Yes</t>
        </is>
      </c>
      <c r="AG18" s="1" t="inlineStr">
        <is>
          <t>https://www.linkedin.com/company/dokimazo</t>
        </is>
      </c>
      <c r="AH18" s="1" t="inlineStr">
        <is>
          <t>https://www.linkedin.com/company/dokimazo</t>
        </is>
      </c>
      <c r="AI18" s="1" t="inlineStr">
        <is>
          <t>https://www.linkedin.com/company/dokimazo</t>
        </is>
      </c>
      <c r="AJ18" s="1" t="n"/>
    </row>
    <row r="19" ht="15.75" customHeight="1">
      <c r="A19" s="6" t="n">
        <v>45894</v>
      </c>
      <c r="B19" s="1" t="inlineStr">
        <is>
          <t>ORG_2656</t>
        </is>
      </c>
      <c r="C19" s="1" t="b">
        <v>1</v>
      </c>
      <c r="D19" s="1" t="inlineStr">
        <is>
          <t>Scoolsy</t>
        </is>
      </c>
      <c r="E19" s="10" t="inlineStr">
        <is>
          <t>www.scoolsy.lt</t>
        </is>
      </c>
      <c r="F19" t="inlineStr">
        <is>
          <t>scoolsy.lt</t>
        </is>
      </c>
      <c r="G19" s="1" t="inlineStr">
        <is>
          <t>Scoolsy is an online solution for teachers and learners which helps to manage personalized learning at any school. Scoolsy has: subject matrixes that help to see the whole curriculum scope. Learning goals from basic to advanced level in each subject; diagnostics where student's knowledge in each subject might have gapped or exceeded the requirements; personalized learning plans with personal learning goals; a way to empower students to learn independently or in a group in the way suitable for them by providing content in different formats and multiple assessment possibilities; automated tracking of individual learner progress.</t>
        </is>
      </c>
      <c r="H19" s="1" t="inlineStr">
        <is>
          <t>EdTech Lithuania</t>
        </is>
      </c>
      <c r="I19" s="1" t="inlineStr">
        <is>
          <t>Lithuanian</t>
        </is>
      </c>
      <c r="J19" s="1" t="inlineStr">
        <is>
          <t>Vilnius</t>
        </is>
      </c>
      <c r="K19" t="inlineStr">
        <is>
          <t>Vilnius</t>
        </is>
      </c>
      <c r="L19" t="inlineStr">
        <is>
          <t>Vilnius, Lithuania</t>
        </is>
      </c>
      <c r="M19" t="n">
        <v>54.6870458</v>
      </c>
      <c r="N19" t="n">
        <v>25.2829111</v>
      </c>
      <c r="O19" s="1" t="inlineStr">
        <is>
          <t>Lithuania</t>
        </is>
      </c>
      <c r="P19" s="1" t="inlineStr">
        <is>
          <t>Lithuania</t>
        </is>
      </c>
      <c r="Q19" s="1" t="inlineStr">
        <is>
          <t>Micro (1-9 FTE employees)</t>
        </is>
      </c>
      <c r="R19" t="inlineStr">
        <is>
          <t>Micro</t>
        </is>
      </c>
      <c r="S19" s="1" t="inlineStr">
        <is>
          <t>Business to Government, Business to Schools</t>
        </is>
      </c>
      <c r="T19" s="1" t="inlineStr">
        <is>
          <t>Secondary Education, Higher Education</t>
        </is>
      </c>
      <c r="U19" s="1" t="inlineStr">
        <is>
          <t>Student interfacing, Teacher interfacing</t>
        </is>
      </c>
      <c r="V19" s="10" t="inlineStr">
        <is>
          <t>Scoolsy</t>
        </is>
      </c>
      <c r="W19" s="1" t="inlineStr">
        <is>
          <t>Scoolsy is an online solution for teachers and learners which helps to manage personalized learning at any school. Scoolsy has:
subject matrixes that help to see the whole curriculum scope. Learning goals from basic to advanced level in each subject;
diagnostics where student's knowledge in each sub</t>
        </is>
      </c>
      <c r="X19" s="10" t="inlineStr">
        <is>
          <t>https://drive.google.com/uc?export=view&amp;id=1mavns124-k1cHq0L_Kvy86e3mnLlqpKd</t>
        </is>
      </c>
      <c r="Y19" t="inlineStr">
        <is>
          <t>https://drive.google.com/uc?export=view&amp;id=1mavns124-k1cHq0L_Kvy86e3mnLlqpKd</t>
        </is>
      </c>
      <c r="Z19" s="1" t="inlineStr">
        <is>
          <t>https://drive.google.com/uc?export=view&amp;id=1mavns124-k1cHq0L_Kvy86e3mnLlqpKd</t>
        </is>
      </c>
      <c r="AA19" s="1" t="inlineStr">
        <is>
          <t>Verified</t>
        </is>
      </c>
      <c r="AB19" s="1" t="inlineStr">
        <is>
          <t>Collaborations between EdTech organisations, Project consortium building</t>
        </is>
      </c>
      <c r="AC19" s="1" t="inlineStr">
        <is>
          <t>For-profit company</t>
        </is>
      </c>
      <c r="AD19" s="10" t="b">
        <v>1</v>
      </c>
      <c r="AE19" s="1" t="b">
        <v>1</v>
      </c>
      <c r="AF19" s="1" t="inlineStr">
        <is>
          <t>Yes</t>
        </is>
      </c>
      <c r="AG19" s="1" t="inlineStr">
        <is>
          <t>https://www.instagram.com/scoolsy_/</t>
        </is>
      </c>
      <c r="AH19" s="1" t="inlineStr">
        <is>
          <t>https://www.linkedin.com/company/77000831/admin/dashboard/</t>
        </is>
      </c>
      <c r="AI19" s="1" t="inlineStr">
        <is>
          <t>https://www.linkedin.com/company/77000831/admin/dashboard/</t>
        </is>
      </c>
      <c r="AJ19" s="10" t="inlineStr">
        <is>
          <t>https://www.facebook.com/scoolsy</t>
        </is>
      </c>
    </row>
    <row r="20" ht="15.75" customHeight="1">
      <c r="A20" s="6" t="n">
        <v>45894</v>
      </c>
      <c r="B20" s="1" t="inlineStr">
        <is>
          <t>ORG_2655</t>
        </is>
      </c>
      <c r="C20" s="1" t="b">
        <v>1</v>
      </c>
      <c r="D20" s="1" t="inlineStr">
        <is>
          <t>BeeSpeaker AB</t>
        </is>
      </c>
      <c r="E20" s="10" t="inlineStr">
        <is>
          <t>beespeaker.com</t>
        </is>
      </c>
      <c r="F20" t="inlineStr">
        <is>
          <t>beespeaker.com</t>
        </is>
      </c>
      <c r="G20" s="1" t="inlineStr">
        <is>
          <t>At BeeSpeaker, we believe in breaking down language barriers. Our mission is to make language learning accessible to everyone, regardless of background or resources, by delivering an experience that feels as close as possible to speaking with a native speaker.  By leveraging the power of cutting-edge AI technology in dedicated mobile apps, we aim to offer a learning experience equivalent to live conversations with native speakers—at a cost up to 100 times lower for the user. Our vision is a world where everyone has equal opportunities to grow, connect, and succeed through fluent communication.</t>
        </is>
      </c>
      <c r="H20" s="1" t="inlineStr">
        <is>
          <t>I'm not part of any EdTech association</t>
        </is>
      </c>
      <c r="I20" s="1" t="inlineStr">
        <is>
          <t>English, Spanish, French, German, Italian, Dutch, Portuguese, Czech, Finnish, Hungarian, Polish, Swedish, Romanian, Slovenian, Slovak, Ukrainian</t>
        </is>
      </c>
      <c r="J20" s="1" t="inlineStr">
        <is>
          <t>Stockholm</t>
        </is>
      </c>
      <c r="K20" t="inlineStr">
        <is>
          <t>Stockholm</t>
        </is>
      </c>
      <c r="L20" t="inlineStr">
        <is>
          <t>Stockholm, Sweden</t>
        </is>
      </c>
      <c r="M20" t="n">
        <v>59.3251172</v>
      </c>
      <c r="N20" t="n">
        <v>18.0710935</v>
      </c>
      <c r="O20" s="1" t="inlineStr">
        <is>
          <t>Sweden</t>
        </is>
      </c>
      <c r="P20" s="1" t="inlineStr">
        <is>
          <t>Albania, Andorra, Austria, Bosnia and Herzegovina, Belgium, Belarus, Bulgaria, Croatia, Republic of Cyprus, Estonia, Denmark, Czechia, Finland, France, Germany, Iceland, Hungary, Greece, Ireland, Italy, Kosovo, Lithuania, Liechtenstein, Latvia, Luxembourg, Malta, Moldova, Netherlands, Montenegro, Monaco, North Macedonia, Norway, Poland, San Marino, Romania, Portugal, Slovakia, Slovenia, Spain, Turkey, Switzerland, Sweden, Ukraine, United Kingdom, all</t>
        </is>
      </c>
      <c r="Q20" s="1" t="inlineStr">
        <is>
          <t>Small (10-49 FTE employees)</t>
        </is>
      </c>
      <c r="R20" t="inlineStr">
        <is>
          <t>Small</t>
        </is>
      </c>
      <c r="S20" s="1" t="inlineStr">
        <is>
          <t>Business to Consumer, Business to Business</t>
        </is>
      </c>
      <c r="T20" s="1" t="inlineStr">
        <is>
          <t>Vocational Education and Training (VET), Corporate Training, Lifelong learning/Adult education</t>
        </is>
      </c>
      <c r="U20" s="1" t="inlineStr">
        <is>
          <t>Student interfacing, System/Administrative</t>
        </is>
      </c>
      <c r="V20" s="10" t="inlineStr">
        <is>
          <t>BeeSpeaker mobile app</t>
        </is>
      </c>
      <c r="W20" s="1" t="inlineStr">
        <is>
          <t>BeeSpeaker is an AI-powered mobile application that enables users to have realistic English conversations with a virtual language partner. It uses advanced technologies such as speech recognition, natural language processing (NLP), and generative language models.</t>
        </is>
      </c>
      <c r="X20" s="10" t="inlineStr">
        <is>
          <t>https://drive.google.com/uc?export=view&amp;id=1a1BExb6wEL2mlyQaDBCzrxeP9iq4t0OW</t>
        </is>
      </c>
      <c r="Y20" t="inlineStr">
        <is>
          <t>https://drive.google.com/uc?export=view&amp;id=1a1BExb6wEL2mlyQaDBCzrxeP9iq4t0OW</t>
        </is>
      </c>
      <c r="Z20" s="1" t="inlineStr">
        <is>
          <t>https://drive.google.com/uc?export=view&amp;id=1a1BExb6wEL2mlyQaDBCzrxeP9iq4t0OW</t>
        </is>
      </c>
      <c r="AA20" s="1" t="inlineStr">
        <is>
          <t>Verified</t>
        </is>
      </c>
      <c r="AB20" s="1" t="n"/>
      <c r="AC20" s="1" t="inlineStr">
        <is>
          <t>For-profit company</t>
        </is>
      </c>
      <c r="AD20" s="10" t="b">
        <v>1</v>
      </c>
      <c r="AE20" s="1" t="b">
        <v>1</v>
      </c>
      <c r="AF20" s="1" t="inlineStr">
        <is>
          <t>Yes</t>
        </is>
      </c>
      <c r="AG20" s="1" t="inlineStr">
        <is>
          <t>https://www.instagram.com/beespeakerapp/</t>
        </is>
      </c>
      <c r="AH20" s="1" t="inlineStr">
        <is>
          <t>https://pl.linkedin.com/company/beespeaker</t>
        </is>
      </c>
      <c r="AI20" s="1" t="inlineStr">
        <is>
          <t>https://pl.linkedin.com/company/beespeaker</t>
        </is>
      </c>
      <c r="AJ20" s="10" t="inlineStr">
        <is>
          <t>https://www.facebook.com/people/BeeSpeaker-Learn-to-SPEAK-English/61564122652907/</t>
        </is>
      </c>
    </row>
    <row r="21" ht="15.75" customHeight="1">
      <c r="A21" s="6" t="n">
        <v>45893</v>
      </c>
      <c r="B21" s="1" t="inlineStr">
        <is>
          <t>ORG_2654</t>
        </is>
      </c>
      <c r="C21" s="1" t="b">
        <v>1</v>
      </c>
      <c r="D21" s="1" t="inlineStr">
        <is>
          <t>Worlds4Education - Jogos e Ambientes Educativos, Lda.</t>
        </is>
      </c>
      <c r="E21" s="10" t="inlineStr">
        <is>
          <t>www.kendirstudios.pt</t>
        </is>
      </c>
      <c r="F21" t="inlineStr">
        <is>
          <t>kendirstudios.pt</t>
        </is>
      </c>
      <c r="G21" s="1" t="inlineStr">
        <is>
          <t>Creative studio that focuses on providing interactive and motivating learning experiences with an emphasis on visual and dynamic gamified architectures. We provide both companies and public sector with e-learning, gamified and game-based services and develop our own market solutions.</t>
        </is>
      </c>
      <c r="H21" s="1" t="inlineStr">
        <is>
          <t>I'm not part of any EdTech association</t>
        </is>
      </c>
      <c r="I21" s="1" t="inlineStr">
        <is>
          <t>Portuguese</t>
        </is>
      </c>
      <c r="J21" s="1" t="inlineStr">
        <is>
          <t>Vila Nova De Gaia</t>
        </is>
      </c>
      <c r="K21" t="inlineStr">
        <is>
          <t>Vila Nova De Gaia</t>
        </is>
      </c>
      <c r="L21" t="inlineStr">
        <is>
          <t>Vila Nova De Gaia, Portugal</t>
        </is>
      </c>
      <c r="M21" t="n">
        <v>41.1292264</v>
      </c>
      <c r="N21" t="n">
        <v>-8.6057396</v>
      </c>
      <c r="O21" s="1" t="inlineStr">
        <is>
          <t>Portugal</t>
        </is>
      </c>
      <c r="P21" s="1" t="inlineStr">
        <is>
          <t>Portugal</t>
        </is>
      </c>
      <c r="Q21" s="1" t="inlineStr">
        <is>
          <t>Small (10-49 FTE employees)</t>
        </is>
      </c>
      <c r="R21" t="inlineStr">
        <is>
          <t>Small</t>
        </is>
      </c>
      <c r="S21" s="1" t="inlineStr">
        <is>
          <t>Business to Government, Business to Business, Business to Schools</t>
        </is>
      </c>
      <c r="T21" s="1" t="inlineStr">
        <is>
          <t>Primary Education, Secondary Education, Vocational Education and Training (VET), Corporate Training, Lifelong learning/Adult education</t>
        </is>
      </c>
      <c r="U21" s="1" t="inlineStr">
        <is>
          <t>Student interfacing</t>
        </is>
      </c>
      <c r="V21" s="10" t="inlineStr">
        <is>
          <t>Digital Educational Resources</t>
        </is>
      </c>
      <c r="W21" s="1" t="inlineStr">
        <is>
          <t>Sets of learning sequences that target learning objectives through a multitude of structured (and sometimes narrative-oriented) and interactive paths to guide students to reach autonomous and complete understanding of one or multiple subjects (often interdisciplinary) in a formal school setting.</t>
        </is>
      </c>
      <c r="X21" s="10" t="inlineStr">
        <is>
          <t>https://drive.google.com/uc?export=view&amp;id=1iJiEG1O_r9Ed23hGrmkH0WX1yAbeDFA1</t>
        </is>
      </c>
      <c r="Y21" t="inlineStr">
        <is>
          <t>https://drive.google.com/uc?export=view&amp;id=1iJiEG1O_r9Ed23hGrmkH0WX1yAbeDFA1</t>
        </is>
      </c>
      <c r="Z21" s="1" t="inlineStr">
        <is>
          <t>https://drive.google.com/uc?export=view&amp;id=1iJiEG1O_r9Ed23hGrmkH0WX1yAbeDFA1</t>
        </is>
      </c>
      <c r="AA21" s="1" t="inlineStr">
        <is>
          <t>Verified</t>
        </is>
      </c>
      <c r="AB21" s="1" t="inlineStr">
        <is>
          <t>Collaborations between EdTech organisations, Project consortium building, Public-private partnerships, Industry-academia partnerships</t>
        </is>
      </c>
      <c r="AC21" s="1" t="inlineStr">
        <is>
          <t>For-profit company</t>
        </is>
      </c>
      <c r="AD21" s="10" t="b">
        <v>1</v>
      </c>
      <c r="AE21" s="1" t="b">
        <v>1</v>
      </c>
      <c r="AF21" s="1" t="inlineStr">
        <is>
          <t>Yes</t>
        </is>
      </c>
      <c r="AG21" s="1" t="inlineStr">
        <is>
          <t>https://www.instagram.com/kendirstudios</t>
        </is>
      </c>
      <c r="AH21" s="1" t="inlineStr">
        <is>
          <t>https://www.linkedin.com/company/kendir-studios/</t>
        </is>
      </c>
      <c r="AI21" s="1" t="inlineStr">
        <is>
          <t>https://www.linkedin.com/company/kendir-studios/</t>
        </is>
      </c>
      <c r="AJ21" s="1" t="n"/>
    </row>
    <row r="22" ht="15.75" customHeight="1">
      <c r="A22" s="6" t="n">
        <v>45893</v>
      </c>
      <c r="B22" s="1" t="inlineStr">
        <is>
          <t>ORG_2653</t>
        </is>
      </c>
      <c r="C22" s="1" t="b">
        <v>1</v>
      </c>
      <c r="D22" s="1" t="inlineStr">
        <is>
          <t>IMPROOVO 12 S.R.L. SOCIETÀ BENEFIT</t>
        </is>
      </c>
      <c r="E22" s="10" t="inlineStr">
        <is>
          <t>www.improovo.com</t>
        </is>
      </c>
      <c r="F22" t="inlineStr">
        <is>
          <t>improovo.com</t>
        </is>
      </c>
      <c r="G22" s="1" t="inlineStr">
        <is>
          <t>Improovo is an online, crowdsourced platform that helps companies quickly and affordably find, compare, and select corporate training providers tailored to their needs.</t>
        </is>
      </c>
      <c r="H22" s="1" t="inlineStr">
        <is>
          <t>EdTech Italia</t>
        </is>
      </c>
      <c r="I22" s="1" t="inlineStr">
        <is>
          <t>Italian</t>
        </is>
      </c>
      <c r="J22" s="1" t="inlineStr">
        <is>
          <t>Lugo (Ra)</t>
        </is>
      </c>
      <c r="K22" t="inlineStr">
        <is>
          <t>Lugo</t>
        </is>
      </c>
      <c r="L22" t="inlineStr">
        <is>
          <t>Lugo, Italy</t>
        </is>
      </c>
      <c r="M22" t="n">
        <v>44.4765987</v>
      </c>
      <c r="N22" t="n">
        <v>11.89807</v>
      </c>
      <c r="O22" s="1" t="inlineStr">
        <is>
          <t>Italy</t>
        </is>
      </c>
      <c r="P22" s="1" t="inlineStr">
        <is>
          <t>Italy</t>
        </is>
      </c>
      <c r="Q22" s="1" t="inlineStr">
        <is>
          <t>Micro (1-9 FTE employees)</t>
        </is>
      </c>
      <c r="R22" t="inlineStr">
        <is>
          <t>Micro</t>
        </is>
      </c>
      <c r="S22" s="1" t="inlineStr">
        <is>
          <t>Business to Business, Business to Consumer</t>
        </is>
      </c>
      <c r="T22" s="1" t="inlineStr">
        <is>
          <t>Corporate Training, Lifelong learning/Adult education</t>
        </is>
      </c>
      <c r="U22" s="1" t="inlineStr">
        <is>
          <t>Other</t>
        </is>
      </c>
      <c r="V22" s="1" t="inlineStr">
        <is>
          <t>Improovo</t>
        </is>
      </c>
      <c r="W22" s="1" t="inlineStr">
        <is>
          <t>Improovo is an online, crowdsourced platform that helps companies quickly and affordably find, compare, and select corporate training providers tailored to their needs.</t>
        </is>
      </c>
      <c r="X22" s="10" t="inlineStr">
        <is>
          <t>https://drive.google.com/uc?export=view&amp;id=1LSWaFU_g62NZWmAm_Prsev9HdkJS11uP</t>
        </is>
      </c>
      <c r="Y22" t="inlineStr">
        <is>
          <t>https://drive.google.com/uc?export=view&amp;id=1LSWaFU_g62NZWmAm_Prsev9HdkJS11uP</t>
        </is>
      </c>
      <c r="Z22" s="1" t="inlineStr">
        <is>
          <t>https://drive.google.com/uc?export=view&amp;id=1LSWaFU_g62NZWmAm_Prsev9HdkJS11uP</t>
        </is>
      </c>
      <c r="AA22" s="1" t="inlineStr">
        <is>
          <t>Verified</t>
        </is>
      </c>
      <c r="AB22" s="1" t="inlineStr">
        <is>
          <t>Collaborations between EdTech organisations, Project consortium building</t>
        </is>
      </c>
      <c r="AC22" s="1" t="inlineStr">
        <is>
          <t>For-profit company</t>
        </is>
      </c>
      <c r="AD22" s="10" t="b">
        <v>1</v>
      </c>
      <c r="AE22" s="1" t="b">
        <v>1</v>
      </c>
      <c r="AF22" s="1" t="inlineStr">
        <is>
          <t>Yes</t>
        </is>
      </c>
      <c r="AG22" s="1" t="inlineStr">
        <is>
          <t>https://www.linkedin.com/company/improovo</t>
        </is>
      </c>
      <c r="AH22" s="1" t="inlineStr">
        <is>
          <t>https://www.linkedin.com/company/improovo</t>
        </is>
      </c>
      <c r="AI22" s="1" t="inlineStr">
        <is>
          <t>https://www.linkedin.com/company/improovo</t>
        </is>
      </c>
      <c r="AJ22" s="1" t="n"/>
    </row>
    <row r="23" ht="15.75" customHeight="1">
      <c r="A23" s="6" t="n">
        <v>45893</v>
      </c>
      <c r="B23" s="1" t="inlineStr">
        <is>
          <t>ORG_2306</t>
        </is>
      </c>
      <c r="C23" s="1" t="b">
        <v>1</v>
      </c>
      <c r="D23" s="1" t="inlineStr">
        <is>
          <t>SpeakTX</t>
        </is>
      </c>
      <c r="E23" s="10" t="inlineStr">
        <is>
          <t>www.speaktx.com</t>
        </is>
      </c>
      <c r="F23" t="inlineStr">
        <is>
          <t>speaktx.com</t>
        </is>
      </c>
      <c r="G23" s="1" t="inlineStr">
        <is>
          <t>Digital speech and language therapy platform for kindergartens, schools, hospitals, therapists and home users.</t>
        </is>
      </c>
      <c r="H23" s="1" t="inlineStr">
        <is>
          <t>EdTech Estonia</t>
        </is>
      </c>
      <c r="I23" s="1" t="inlineStr">
        <is>
          <t>English, German, Estonian, Greek, Lithuanian, Latvian, Maltese, Ukrainian, Serbian</t>
        </is>
      </c>
      <c r="J23" s="1" t="inlineStr">
        <is>
          <t>Tallinn</t>
        </is>
      </c>
      <c r="K23" t="inlineStr">
        <is>
          <t>Tallinn</t>
        </is>
      </c>
      <c r="L23" t="inlineStr">
        <is>
          <t>Tallinn, Estonia</t>
        </is>
      </c>
      <c r="M23" t="n">
        <v>59.437242</v>
      </c>
      <c r="N23" t="n">
        <v>24.7572693</v>
      </c>
      <c r="O23" s="1" t="inlineStr">
        <is>
          <t>Estonia</t>
        </is>
      </c>
      <c r="P23" s="1" t="inlineStr">
        <is>
          <t>Estonia, Germany, Greece, Latvia, Lithuania, Malta, United Kingdom, Ukraine, Serbia</t>
        </is>
      </c>
      <c r="Q23" s="1" t="inlineStr">
        <is>
          <t>Micro (1-9 FTE employees)</t>
        </is>
      </c>
      <c r="R23" t="inlineStr">
        <is>
          <t>Micro</t>
        </is>
      </c>
      <c r="S23" s="1" t="inlineStr">
        <is>
          <t>Business to Business, Business to Consumer, Business to Government, Business to Schools</t>
        </is>
      </c>
      <c r="T23" s="1" t="inlineStr">
        <is>
          <t>Early childhood development (0-5 years), Primary Education, Secondary Education, Vocational Education and Training (VET), Higher Education, Lifelong learning/Adult education, Special Education, Other</t>
        </is>
      </c>
      <c r="U23" s="1" t="inlineStr">
        <is>
          <t>Student interfacing, Teacher interfacing, System/Administrative, Other</t>
        </is>
      </c>
      <c r="V23" s="10" t="inlineStr">
        <is>
          <t>SpeakTX.com</t>
        </is>
      </c>
      <c r="W23" s="1" t="inlineStr">
        <is>
          <t>SpeakTX is an online speech therapy platform that provides interactive exercises created by experienced speech therapists. The environment can be adapted to multiple devices and is location-independent. We personalise the therapy sessions and give flexibility and increased control over the exercises</t>
        </is>
      </c>
      <c r="X23" s="10" t="inlineStr">
        <is>
          <t>https://drive.google.com/uc?export=view&amp;id=1csWbMWGhVExj_kk_QWgGWzkgzfmkfryK</t>
        </is>
      </c>
      <c r="Y23" t="inlineStr">
        <is>
          <t>https://drive.google.com/uc?export=view&amp;id=1csWbMWGhVExj_kk_QWgGWzkgzfmkfryK</t>
        </is>
      </c>
      <c r="Z23" s="10" t="inlineStr">
        <is>
          <t>https://drive.google.com/uc?export=view&amp;id=1csWbMWGhVExj_kk_QWgGWzkgzfmkfryK</t>
        </is>
      </c>
      <c r="AA23" s="1" t="inlineStr">
        <is>
          <t>Verified</t>
        </is>
      </c>
      <c r="AB23" s="1" t="inlineStr">
        <is>
          <t>Public-private partnerships, Collaborations between EdTech organisations, Project consortium building, Industry-academia partnerships, Other</t>
        </is>
      </c>
      <c r="AC23" s="1" t="inlineStr">
        <is>
          <t>For-profit company</t>
        </is>
      </c>
      <c r="AD23" s="10" t="b">
        <v>1</v>
      </c>
      <c r="AE23" s="1" t="b">
        <v>1</v>
      </c>
      <c r="AF23" s="1" t="inlineStr">
        <is>
          <t>Yes</t>
        </is>
      </c>
      <c r="AG23" s="1" t="inlineStr">
        <is>
          <t>https://www.instagram.com/speak_tx/</t>
        </is>
      </c>
      <c r="AH23" s="1" t="inlineStr">
        <is>
          <t>https://www.linkedin.com/company/speaktx/</t>
        </is>
      </c>
      <c r="AI23" s="1" t="inlineStr">
        <is>
          <t>https://www.linkedin.com/company/speaktx/</t>
        </is>
      </c>
      <c r="AJ23" s="10" t="inlineStr">
        <is>
          <t>https://www.facebook.com/SpeakTX</t>
        </is>
      </c>
    </row>
    <row r="24" ht="15.75" customHeight="1">
      <c r="A24" s="6" t="n">
        <v>45893</v>
      </c>
      <c r="B24" s="1" t="inlineStr">
        <is>
          <t>ORG_2652</t>
        </is>
      </c>
      <c r="C24" s="1" t="b">
        <v>1</v>
      </c>
      <c r="D24" s="1" t="inlineStr">
        <is>
          <t>Alfa Space</t>
        </is>
      </c>
      <c r="E24" s="10" t="inlineStr">
        <is>
          <t>https://www.alfaerdve.lt/</t>
        </is>
      </c>
      <c r="F24" t="inlineStr">
        <is>
          <t>alfaerdve.lt</t>
        </is>
      </c>
      <c r="G24" s="1" t="inlineStr">
        <is>
          <t>Alfa Space  – an innovative math learning platform for grades 5–12, already tested by 1,000+ teachers in Lithuania as of September 2025. The platform integrates an AI algorithm trained on the latest national math curriculum, helping teachers save time, personalize the learning process, and enabling students to get support with homework, test preparation, and exams.</t>
        </is>
      </c>
      <c r="H24" s="1" t="inlineStr">
        <is>
          <t>EdTech Lithuania</t>
        </is>
      </c>
      <c r="I24" s="1" t="inlineStr">
        <is>
          <t>Lithuanian</t>
        </is>
      </c>
      <c r="J24" s="1" t="inlineStr">
        <is>
          <t>Vilnius</t>
        </is>
      </c>
      <c r="K24" t="inlineStr">
        <is>
          <t>Vilnius</t>
        </is>
      </c>
      <c r="L24" t="inlineStr">
        <is>
          <t>Vilnius, Lithuania</t>
        </is>
      </c>
      <c r="M24" t="n">
        <v>54.6870458</v>
      </c>
      <c r="N24" t="n">
        <v>25.2829111</v>
      </c>
      <c r="O24" s="1" t="inlineStr">
        <is>
          <t>Lithuania</t>
        </is>
      </c>
      <c r="P24" s="1" t="inlineStr">
        <is>
          <t>Lithuania</t>
        </is>
      </c>
      <c r="Q24" s="1" t="inlineStr">
        <is>
          <t>Micro (1-9 FTE employees)</t>
        </is>
      </c>
      <c r="R24" t="inlineStr">
        <is>
          <t>Micro</t>
        </is>
      </c>
      <c r="S24" s="1" t="inlineStr">
        <is>
          <t>Business to Consumer, Business to Government, Business to Schools</t>
        </is>
      </c>
      <c r="T24" s="1" t="inlineStr">
        <is>
          <t>Secondary Education</t>
        </is>
      </c>
      <c r="U24" s="1" t="inlineStr">
        <is>
          <t>Student interfacing, Teacher interfacing</t>
        </is>
      </c>
      <c r="V24" s="1" t="inlineStr">
        <is>
          <t>Learning platform for students and teachers</t>
        </is>
      </c>
      <c r="W24" t="inlineStr">
        <is>
          <t>https://drive.google.com/uc?export=view&amp;id=19gjHJjrE-ML8_2O0f9WxWElM4kyQIQwt</t>
        </is>
      </c>
      <c r="X24" s="1" t="inlineStr">
        <is>
          <t>https://drive.google.com/uc?export=view&amp;id=19gjHJjrE-ML8_2O0f9WxWElM4kyQIQwt</t>
        </is>
      </c>
      <c r="Y24" t="inlineStr">
        <is>
          <t>https://drive.google.com/uc?export=view&amp;id=19gjHJjrE-ML8_2O0f9WxWElM4kyQIQwt</t>
        </is>
      </c>
      <c r="Z24" s="1" t="inlineStr">
        <is>
          <t>https://drive.google.com/uc?export=view&amp;id=19gjHJjrE-ML8_2O0f9WxWElM4kyQIQwt</t>
        </is>
      </c>
      <c r="AA24" s="1" t="inlineStr">
        <is>
          <t>Verified</t>
        </is>
      </c>
      <c r="AB24" s="1" t="inlineStr">
        <is>
          <t>Collaborations between EdTech organisations, Public-private partnerships</t>
        </is>
      </c>
      <c r="AC24" s="1" t="inlineStr">
        <is>
          <t>For-profit company</t>
        </is>
      </c>
      <c r="AD24" s="10" t="b">
        <v>1</v>
      </c>
      <c r="AE24" s="1" t="b">
        <v>1</v>
      </c>
      <c r="AF24" s="1" t="inlineStr">
        <is>
          <t>No</t>
        </is>
      </c>
      <c r="AG24" s="1" t="n"/>
      <c r="AH24" s="1" t="n"/>
      <c r="AI24" s="1" t="n"/>
      <c r="AJ24" s="1" t="n"/>
    </row>
    <row r="25" ht="15.75" customHeight="1">
      <c r="A25" s="6" t="n">
        <v>45893</v>
      </c>
      <c r="B25" s="1" t="inlineStr">
        <is>
          <t>ORG_1628</t>
        </is>
      </c>
      <c r="C25" s="1" t="b">
        <v>1</v>
      </c>
      <c r="D25" s="1" t="inlineStr">
        <is>
          <t>GlobalExam</t>
        </is>
      </c>
      <c r="E25" s="10" t="inlineStr">
        <is>
          <t>www.global-exam.com</t>
        </is>
      </c>
      <c r="F25" t="inlineStr">
        <is>
          <t>global-exam.com</t>
        </is>
      </c>
      <c r="G25" s="1" t="inlineStr">
        <is>
          <t>GlobalExam Founded in 2013 and based in Paris, GlobalExam empowers lifelong employability through innovative online language training. With over 800 B2B partners and more than 3 million learners worldwide, the platform offers adaptive level assessments, preparation for 38 official certifications in 6 languages, professional English courses by skill and industry, and live lessons with certified native teachers.  GlobalExam’s personalized learning paths are designed to tackle the global challenge of language proficiency, helping learners progress effectively and companies overcome recruitment barriers. Its mission is clear: to give everyone the confidence and tools to acquire the skills they need to thrive at every stage of life</t>
        </is>
      </c>
      <c r="H25" s="1" t="inlineStr">
        <is>
          <t>EdTech France</t>
        </is>
      </c>
      <c r="I25" s="1" t="inlineStr">
        <is>
          <t>English, French, German, Italian, Spanish</t>
        </is>
      </c>
      <c r="J25" s="1" t="inlineStr">
        <is>
          <t>Paris</t>
        </is>
      </c>
      <c r="K25" t="inlineStr">
        <is>
          <t>Paris</t>
        </is>
      </c>
      <c r="L25" t="inlineStr">
        <is>
          <t>Paris, France</t>
        </is>
      </c>
      <c r="M25" t="n">
        <v>48.8534951</v>
      </c>
      <c r="N25" t="n">
        <v>2.3483915</v>
      </c>
      <c r="O25" s="1" t="inlineStr">
        <is>
          <t>France</t>
        </is>
      </c>
      <c r="P25" s="1" t="inlineStr">
        <is>
          <t>Belgium, France, Germany, Italy, Spain, Monaco, Luxembourg, Poland</t>
        </is>
      </c>
      <c r="Q25" s="1" t="inlineStr">
        <is>
          <t>Medium (50-250 FTE employees)</t>
        </is>
      </c>
      <c r="R25" t="inlineStr">
        <is>
          <t>Medium</t>
        </is>
      </c>
      <c r="S25" s="1" t="inlineStr">
        <is>
          <t>Business to Schools, Business to Consumer, Business to Business, Business to Government</t>
        </is>
      </c>
      <c r="T25" s="1" t="inlineStr">
        <is>
          <t>Higher Education, Corporate Training, Lifelong learning/Adult education</t>
        </is>
      </c>
      <c r="U25" s="1" t="inlineStr">
        <is>
          <t>Student interfacing, Teacher interfacing, System/Administrative</t>
        </is>
      </c>
      <c r="V25" s="1" t="inlineStr">
        <is>
          <t>Eval</t>
        </is>
      </c>
      <c r="W25" s="1" t="inlineStr">
        <is>
          <t>Adaptive CEFR level tests that quickly assess learners’ language proficiency with precision.</t>
        </is>
      </c>
      <c r="X25" s="10" t="inlineStr">
        <is>
          <t>Learn</t>
        </is>
      </c>
      <c r="Y25" t="inlineStr">
        <is>
          <t>A complete online training solution combining general courses, business English, certification preparation, and live lessons with native teachers, personalized to each learner’s goals.</t>
        </is>
      </c>
      <c r="Z25" s="1" t="inlineStr">
        <is>
          <t>https://drive.google.com/uc?export=view&amp;id=1m34zCDVjTuvNNAlvXK9eJvYVzVn2eaWi</t>
        </is>
      </c>
      <c r="AA25" s="1" t="inlineStr">
        <is>
          <t>Verified</t>
        </is>
      </c>
      <c r="AB25" s="1" t="inlineStr">
        <is>
          <t>Collaborations between EdTech organisations, Project consortium building, Industry-academia partnerships</t>
        </is>
      </c>
      <c r="AC25" s="1" t="inlineStr">
        <is>
          <t>For-profit company</t>
        </is>
      </c>
      <c r="AD25" s="10" t="b">
        <v>1</v>
      </c>
      <c r="AE25" s="1" t="b">
        <v>1</v>
      </c>
      <c r="AF25" s="1" t="inlineStr">
        <is>
          <t>Yes</t>
        </is>
      </c>
      <c r="AG25" s="1" t="inlineStr">
        <is>
          <t>https://www.linkedin.com/company/global-exam/</t>
        </is>
      </c>
      <c r="AH25" s="1" t="inlineStr">
        <is>
          <t>https://www.linkedin.com/company/global-exam/</t>
        </is>
      </c>
      <c r="AI25" s="1" t="inlineStr">
        <is>
          <t>https://www.linkedin.com/company/global-exam/</t>
        </is>
      </c>
      <c r="AJ25" s="1" t="n"/>
    </row>
    <row r="26" ht="15.75" customHeight="1">
      <c r="A26" s="6" t="n">
        <v>45892</v>
      </c>
      <c r="B26" s="1" t="inlineStr">
        <is>
          <t>ORG_2651</t>
        </is>
      </c>
      <c r="C26" s="1" t="b">
        <v>1</v>
      </c>
      <c r="D26" s="1" t="inlineStr">
        <is>
          <t>lablife gmbh</t>
        </is>
      </c>
      <c r="E26" s="10" t="inlineStr">
        <is>
          <t>https://lablife.video/</t>
        </is>
      </c>
      <c r="F26" t="inlineStr">
        <is>
          <t>lablife.video</t>
        </is>
      </c>
      <c r="G26" s="1" t="inlineStr">
        <is>
          <t>LABLIFE develops, produces and distributes high-quality video tutorials and training material according to the highest standards of Good Cell Culture Practice (GCCP) for practical work in cell culture laboratories (life science, pharmaceuticals, biotechnology). The video tutorials can be used by students, technicians, as well as higher level vocational schools, universities and research institutions.</t>
        </is>
      </c>
      <c r="H26" s="1" t="inlineStr">
        <is>
          <t>EdTech Austria</t>
        </is>
      </c>
      <c r="I26" s="1" t="inlineStr">
        <is>
          <t>English, French, German</t>
        </is>
      </c>
      <c r="J26" s="1" t="inlineStr">
        <is>
          <t>Vienna</t>
        </is>
      </c>
      <c r="K26" t="inlineStr">
        <is>
          <t>Vienna</t>
        </is>
      </c>
      <c r="L26" t="inlineStr">
        <is>
          <t>Vienna, Austria</t>
        </is>
      </c>
      <c r="M26" t="n">
        <v>48.2083537</v>
      </c>
      <c r="N26" t="n">
        <v>16.3725042</v>
      </c>
      <c r="O26" s="1" t="inlineStr">
        <is>
          <t>Austria</t>
        </is>
      </c>
      <c r="P26" s="1" t="inlineStr">
        <is>
          <t>Austria, Belgium, Croatia, Bulgaria, Republic of Cyprus, Bosnia and Herzegovina, Albania, Andorra, Czechia, Finland, Greece, Ireland, Latvia, Luxembourg, Monaco, North Macedonia, Portugal, Denmark, France, Hungary, Italy, Liechtenstein, Malta, Montenegro, Norway, Romania, Estonia, Germany, Iceland, Kosovo, Lithuania, Moldova, Netherlands, Poland, San Marino, Spain, Turkey, Slovenia, Switzerland, United Kingdom, Slovakia, Sweden, Ukraine</t>
        </is>
      </c>
      <c r="Q26" s="1" t="inlineStr">
        <is>
          <t>Micro (1-9 FTE employees)</t>
        </is>
      </c>
      <c r="R26" t="inlineStr">
        <is>
          <t>Micro</t>
        </is>
      </c>
      <c r="S26" s="1" t="inlineStr">
        <is>
          <t>Business to Business, Business to Consumer, Business to Government, Business to Schools</t>
        </is>
      </c>
      <c r="T26" s="1" t="inlineStr">
        <is>
          <t>Lifelong learning/Adult education, Vocational Education and Training (VET), Higher Education, Corporate Training, Secondary Education</t>
        </is>
      </c>
      <c r="U26" s="1" t="inlineStr">
        <is>
          <t>Student interfacing, Teacher interfacing</t>
        </is>
      </c>
      <c r="V26" s="10" t="inlineStr">
        <is>
          <t>Video tutorials</t>
        </is>
      </c>
      <c r="W26" s="1" t="inlineStr">
        <is>
          <t>Video tutorials and training material with special focus on practical skills for the cell culture laboratory and is best used before one-on-one trainings in person. The programme allows enormous time savings, standardized training outcomes, and enhanced reproducibility of biological studies.</t>
        </is>
      </c>
      <c r="X26" s="10" t="inlineStr">
        <is>
          <t>https://drive.google.com/uc?export=view&amp;id=1a7Yuk6SheSEng9Qy6HNbGtG3ig0-vu-h</t>
        </is>
      </c>
      <c r="Y26" t="inlineStr">
        <is>
          <t>https://drive.google.com/uc?export=view&amp;id=1a7Yuk6SheSEng9Qy6HNbGtG3ig0-vu-h</t>
        </is>
      </c>
      <c r="Z26" s="1" t="inlineStr">
        <is>
          <t>https://drive.google.com/uc?export=view&amp;id=1a7Yuk6SheSEng9Qy6HNbGtG3ig0-vu-h</t>
        </is>
      </c>
      <c r="AA26" s="1" t="inlineStr">
        <is>
          <t>Verified</t>
        </is>
      </c>
      <c r="AB26" s="1" t="inlineStr">
        <is>
          <t>Collaborations between EdTech organisations, Project consortium building, Public-private partnerships, Industry-academia partnerships</t>
        </is>
      </c>
      <c r="AC26" s="1" t="inlineStr">
        <is>
          <t>For-profit company</t>
        </is>
      </c>
      <c r="AD26" s="10" t="b">
        <v>1</v>
      </c>
      <c r="AE26" s="1" t="b">
        <v>1</v>
      </c>
      <c r="AF26" s="1" t="inlineStr">
        <is>
          <t>Yes</t>
        </is>
      </c>
      <c r="AG26" s="1" t="inlineStr">
        <is>
          <t>https://www.instagram.com/lablife.video</t>
        </is>
      </c>
      <c r="AH26" s="1" t="inlineStr">
        <is>
          <t>https://www.linkedin.com/company/lablife-video</t>
        </is>
      </c>
      <c r="AI26" s="1" t="inlineStr">
        <is>
          <t>https://www.linkedin.com/company/lablife-video</t>
        </is>
      </c>
      <c r="AJ26" s="10" t="inlineStr">
        <is>
          <t>https://www.facebook.com/lablife.video</t>
        </is>
      </c>
    </row>
    <row r="27" ht="15.75" customHeight="1">
      <c r="A27" s="6" t="n">
        <v>45891</v>
      </c>
      <c r="B27" s="1" t="inlineStr">
        <is>
          <t>ORG_1209</t>
        </is>
      </c>
      <c r="C27" s="1" t="b">
        <v>1</v>
      </c>
      <c r="D27" s="1" t="inlineStr">
        <is>
          <t>cabuu</t>
        </is>
      </c>
      <c r="E27" s="10" t="inlineStr">
        <is>
          <t>https://www.cabuu.app</t>
        </is>
      </c>
      <c r="F27" t="inlineStr">
        <is>
          <t>cabuu.app</t>
        </is>
      </c>
      <c r="G27" s="1" t="inlineStr">
        <is>
          <t>cabuu is the 21st century memorization app that helps learners to internalize fundamental concepts as quickly and easily as possible.</t>
        </is>
      </c>
      <c r="H27" s="1" t="inlineStr">
        <is>
          <t>I'm not part of any EdTech association</t>
        </is>
      </c>
      <c r="I27" s="1" t="inlineStr">
        <is>
          <t>French, Spanish, German, English</t>
        </is>
      </c>
      <c r="J27" s="1" t="inlineStr">
        <is>
          <t>Dreieich</t>
        </is>
      </c>
      <c r="K27" t="inlineStr">
        <is>
          <t>Dreieich</t>
        </is>
      </c>
      <c r="L27" t="inlineStr">
        <is>
          <t>Dreieich, Germany</t>
        </is>
      </c>
      <c r="M27" t="n">
        <v>50.011974</v>
      </c>
      <c r="N27" t="n">
        <v>8.712391200000001</v>
      </c>
      <c r="O27" s="1" t="inlineStr">
        <is>
          <t>Germany</t>
        </is>
      </c>
      <c r="P27" s="1" t="inlineStr">
        <is>
          <t>Albania, Belarus, Belgium, Andorra, Austria, Bosnia and Herzegovina, Republic of Cyprus, Croatia, Bulgaria, Czechia, Denmark, Estonia, Germany, France, Finland, Greece, Iceland, Kosovo, Italy, Ireland, Latvia, Liechtenstein, Lithuania, Hungary, Moldova, Malta, Luxembourg, Monaco, Montenegro, Netherlands, Poland, Norway, North Macedonia, Portugal, Romania, San Marino, Spain, Slovenia, Slovakia, Sweden, Switzerland, Turkey, United Kingdom, Ukraine</t>
        </is>
      </c>
      <c r="Q27" s="1" t="inlineStr">
        <is>
          <t>Small (10-49 FTE employees)</t>
        </is>
      </c>
      <c r="R27" t="inlineStr">
        <is>
          <t>Small</t>
        </is>
      </c>
      <c r="S27" s="1" t="inlineStr">
        <is>
          <t>Business to Consumer</t>
        </is>
      </c>
      <c r="T27" s="1" t="inlineStr">
        <is>
          <t>Primary Education, Secondary Education, Higher Education, Vocational Education and Training (VET)</t>
        </is>
      </c>
      <c r="U27" s="1" t="inlineStr">
        <is>
          <t>Student interfacing</t>
        </is>
      </c>
      <c r="V27" s="10" t="inlineStr">
        <is>
          <t>cabuu App</t>
        </is>
      </c>
      <c r="W27" s="1" t="inlineStr">
        <is>
          <t>memorization app that helps learners to internalize fundamental concepts as quickly and easily as possible.</t>
        </is>
      </c>
      <c r="X27" s="10" t="inlineStr">
        <is>
          <t>https://drive.google.com/uc?export=view&amp;id=1kMJwiMrniLwvbN9nOAh8W-zerYB4a5od</t>
        </is>
      </c>
      <c r="Y27" t="inlineStr">
        <is>
          <t>https://drive.google.com/uc?export=view&amp;id=1kMJwiMrniLwvbN9nOAh8W-zerYB4a5od</t>
        </is>
      </c>
      <c r="Z27" s="1" t="inlineStr">
        <is>
          <t>https://drive.google.com/uc?export=view&amp;id=1kMJwiMrniLwvbN9nOAh8W-zerYB4a5od</t>
        </is>
      </c>
      <c r="AA27" s="1" t="inlineStr">
        <is>
          <t>Verified</t>
        </is>
      </c>
      <c r="AB27" s="1" t="inlineStr">
        <is>
          <t>Collaborations between EdTech organisations, Public-private partnerships, Industry-academia partnerships</t>
        </is>
      </c>
      <c r="AC27" s="1" t="inlineStr">
        <is>
          <t>For-profit company</t>
        </is>
      </c>
      <c r="AD27" s="10" t="b">
        <v>0</v>
      </c>
      <c r="AE27" s="1" t="b">
        <v>1</v>
      </c>
      <c r="AF27" s="1" t="inlineStr">
        <is>
          <t>Yes</t>
        </is>
      </c>
      <c r="AG27" s="1" t="inlineStr">
        <is>
          <t>https://www.instagram.com/cabuu_app/</t>
        </is>
      </c>
      <c r="AH27" s="1" t="inlineStr">
        <is>
          <t>https://www.linkedin.com/company/cabuugmbh/</t>
        </is>
      </c>
      <c r="AI27" s="1" t="inlineStr">
        <is>
          <t>https://www.linkedin.com/company/cabuugmbh/</t>
        </is>
      </c>
      <c r="AJ27" s="10" t="inlineStr">
        <is>
          <t>https://www.facebook.com/cabuuApp</t>
        </is>
      </c>
    </row>
    <row r="28" ht="15.75" customHeight="1">
      <c r="A28" s="6" t="n">
        <v>45891</v>
      </c>
      <c r="B28" s="1" t="inlineStr">
        <is>
          <t>ORG_1229</t>
        </is>
      </c>
      <c r="C28" s="1" t="b">
        <v>1</v>
      </c>
      <c r="D28" s="1" t="inlineStr">
        <is>
          <t>ChallengeMe</t>
        </is>
      </c>
      <c r="E28" s="10" t="inlineStr">
        <is>
          <t>www.challengeme.online</t>
        </is>
      </c>
      <c r="F28" t="inlineStr">
        <is>
          <t>challengeme.online</t>
        </is>
      </c>
      <c r="G28" s="1" t="inlineStr">
        <is>
          <t>ChallengeMe is an innovative learning and assessment platform dedicated to higher education. It helps teachers engage students through peer review, self-assessment, and collaborative feedback, enriched with AI-powered assistants. Flexible and easy to integrate into LMS (Moodle, Blackboard, Brightspace, etc.), ChallengeMe supports more than 100 universities and business schools in Europe and North America. More than just an assessment tool, it fosters student engagement, critical thinking, and continuous improvement while saving time for educators.</t>
        </is>
      </c>
      <c r="H28" s="1" t="inlineStr">
        <is>
          <t>EdTech France</t>
        </is>
      </c>
      <c r="I28" s="1" t="inlineStr">
        <is>
          <t>English, French, Italian, Spanish</t>
        </is>
      </c>
      <c r="J28" s="1" t="inlineStr">
        <is>
          <t>Montpellier</t>
        </is>
      </c>
      <c r="K28" t="inlineStr">
        <is>
          <t>Montpellier</t>
        </is>
      </c>
      <c r="L28" t="inlineStr">
        <is>
          <t>Montpellier, France</t>
        </is>
      </c>
      <c r="M28" t="n">
        <v>43.6112422</v>
      </c>
      <c r="N28" t="n">
        <v>3.8767337</v>
      </c>
      <c r="O28" s="1" t="inlineStr">
        <is>
          <t>France</t>
        </is>
      </c>
      <c r="P28" s="1" t="inlineStr">
        <is>
          <t>Belgium, France, Italy, Monaco, Luxembourg, Spain, Switzerland</t>
        </is>
      </c>
      <c r="Q28" s="1" t="inlineStr">
        <is>
          <t>Small (10-49 FTE employees)</t>
        </is>
      </c>
      <c r="R28" t="inlineStr">
        <is>
          <t>Small</t>
        </is>
      </c>
      <c r="S28" s="1" t="inlineStr">
        <is>
          <t>Business to Business, Business to Schools</t>
        </is>
      </c>
      <c r="T28" s="1" t="inlineStr">
        <is>
          <t>Higher Education, Corporate Training</t>
        </is>
      </c>
      <c r="U28" s="1" t="inlineStr">
        <is>
          <t>Student interfacing, Teacher interfacing, System/Administrative</t>
        </is>
      </c>
      <c r="V28" s="1" t="inlineStr">
        <is>
          <t>ChallengeMe</t>
        </is>
      </c>
      <c r="W28" s="1" t="inlineStr">
        <is>
          <t>ChallengeMe is a collaborative learning and assessment platform for higher education, combining peer review, self-assessment, and AI-powered feedback to engage students and save time for educators.</t>
        </is>
      </c>
      <c r="X28" s="10" t="inlineStr">
        <is>
          <t>https://drive.google.com/uc?export=view&amp;id=17JwJJioEu5YypSKT2TU-1YXN8IQxLIS9</t>
        </is>
      </c>
      <c r="Y28" t="inlineStr">
        <is>
          <t>https://drive.google.com/uc?export=view&amp;id=17JwJJioEu5YypSKT2TU-1YXN8IQxLIS9</t>
        </is>
      </c>
      <c r="Z28" s="1" t="inlineStr">
        <is>
          <t>https://drive.google.com/uc?export=view&amp;id=17JwJJioEu5YypSKT2TU-1YXN8IQxLIS9</t>
        </is>
      </c>
      <c r="AA28" s="1" t="inlineStr">
        <is>
          <t>Verified</t>
        </is>
      </c>
      <c r="AB28" s="1" t="inlineStr">
        <is>
          <t>Project consortium building, Public-private partnerships</t>
        </is>
      </c>
      <c r="AC28" s="1" t="inlineStr">
        <is>
          <t>For-profit company</t>
        </is>
      </c>
      <c r="AD28" s="10" t="b">
        <v>1</v>
      </c>
      <c r="AE28" s="1" t="b">
        <v>1</v>
      </c>
      <c r="AF28" s="1" t="inlineStr">
        <is>
          <t>Yes</t>
        </is>
      </c>
      <c r="AG28" s="1" t="inlineStr">
        <is>
          <t>https://fr.linkedin.com/company/challengemesup</t>
        </is>
      </c>
      <c r="AH28" s="1" t="inlineStr">
        <is>
          <t>https://fr.linkedin.com/company/challengemesup</t>
        </is>
      </c>
      <c r="AI28" s="1" t="inlineStr">
        <is>
          <t>https://fr.linkedin.com/company/challengemesup</t>
        </is>
      </c>
      <c r="AJ28" s="1" t="n"/>
    </row>
    <row r="29" ht="15.75" customHeight="1">
      <c r="A29" s="6" t="n">
        <v>45891</v>
      </c>
      <c r="B29" s="1" t="inlineStr">
        <is>
          <t>ORG_2650</t>
        </is>
      </c>
      <c r="C29" s="1" t="b">
        <v>1</v>
      </c>
      <c r="D29" s="1" t="inlineStr">
        <is>
          <t>CxD - Child Experience Design</t>
        </is>
      </c>
      <c r="E29" s="10" t="inlineStr">
        <is>
          <t>https://www.hopspots.dk/en/</t>
        </is>
      </c>
      <c r="F29" t="inlineStr">
        <is>
          <t>hopspots.dk/en</t>
        </is>
      </c>
      <c r="G29" s="1" t="inlineStr">
        <is>
          <t>CxD has developed the interactive learning tool, Hopspots. Learning is realized with interactive tiles, sound and games.</t>
        </is>
      </c>
      <c r="H29" s="1" t="inlineStr">
        <is>
          <t>EdTech Denmark</t>
        </is>
      </c>
      <c r="I29" s="1" t="inlineStr">
        <is>
          <t>English, German, Danish, Lithuanian, Dutch</t>
        </is>
      </c>
      <c r="J29" s="1" t="inlineStr">
        <is>
          <t>Aarhus V</t>
        </is>
      </c>
      <c r="K29" t="inlineStr">
        <is>
          <t>Aarhus V</t>
        </is>
      </c>
      <c r="L29" t="inlineStr">
        <is>
          <t>Aarhus V, Denmark</t>
        </is>
      </c>
      <c r="M29" t="n">
        <v>56.1670905</v>
      </c>
      <c r="N29" t="n">
        <v>10.2026177</v>
      </c>
      <c r="O29" s="1" t="inlineStr">
        <is>
          <t>Denmark</t>
        </is>
      </c>
      <c r="P29" s="1" t="inlineStr">
        <is>
          <t>Belgium, Denmark, Finland, Lithuania, Netherlands, Germany</t>
        </is>
      </c>
      <c r="Q29" s="1" t="inlineStr">
        <is>
          <t>Solo entrepreneur</t>
        </is>
      </c>
      <c r="R29" t="inlineStr">
        <is>
          <t>Solo entrepreneur</t>
        </is>
      </c>
      <c r="S29" s="1" t="inlineStr">
        <is>
          <t>Business to Schools, Business to Business</t>
        </is>
      </c>
      <c r="T29" s="1" t="inlineStr">
        <is>
          <t>Primary Education, Early childhood development (0-5 years), Secondary Education, Special Education</t>
        </is>
      </c>
      <c r="U29" s="1" t="inlineStr">
        <is>
          <t>Student interfacing</t>
        </is>
      </c>
      <c r="V29" s="10" t="inlineStr">
        <is>
          <t>Hopspots</t>
        </is>
      </c>
      <c r="W29" s="1" t="inlineStr">
        <is>
          <t>Hopspots is an interactive learning tool with wireless floor tiles that combine movement, play, and digital learning across subjects.</t>
        </is>
      </c>
      <c r="X29" s="10" t="inlineStr">
        <is>
          <t>Code:kit for Hopspots</t>
        </is>
      </c>
      <c r="Y29" t="inlineStr">
        <is>
          <t>Code:kit uses micro:bit to let students code their own games for Hopspots, combining play, movement, and creative coding.</t>
        </is>
      </c>
      <c r="Z29" s="1" t="inlineStr">
        <is>
          <t>https://drive.google.com/uc?export=view&amp;id=1BFWvHl4kPnQ9QndLQ2FZ0v0NKiLnC5FZ</t>
        </is>
      </c>
      <c r="AA29" s="1" t="inlineStr">
        <is>
          <t>Verified</t>
        </is>
      </c>
      <c r="AB29" s="1" t="inlineStr">
        <is>
          <t>Collaborations between EdTech organisations, Project consortium building, Public-private partnerships, Industry-academia partnerships</t>
        </is>
      </c>
      <c r="AC29" s="1" t="inlineStr">
        <is>
          <t>For-profit company</t>
        </is>
      </c>
      <c r="AD29" s="10" t="b">
        <v>1</v>
      </c>
      <c r="AE29" s="1" t="b">
        <v>1</v>
      </c>
      <c r="AF29" s="1" t="inlineStr">
        <is>
          <t>Yes</t>
        </is>
      </c>
      <c r="AG29" s="1" t="inlineStr">
        <is>
          <t>https://www.instagram.com/hopspots/</t>
        </is>
      </c>
      <c r="AH29" s="1" t="inlineStr">
        <is>
          <t>https://www.linkedin.com/company/4848854/</t>
        </is>
      </c>
      <c r="AI29" s="1" t="inlineStr">
        <is>
          <t>https://www.linkedin.com/company/4848854/</t>
        </is>
      </c>
      <c r="AJ29" s="10" t="inlineStr">
        <is>
          <t>https://www.facebook.com/hopspots.tm</t>
        </is>
      </c>
    </row>
    <row r="30" ht="15.75" customHeight="1">
      <c r="A30" s="6" t="n">
        <v>45891</v>
      </c>
      <c r="B30" s="1" t="inlineStr">
        <is>
          <t>ORG_2450</t>
        </is>
      </c>
      <c r="C30" s="1" t="b">
        <v>1</v>
      </c>
      <c r="D30" s="1" t="inlineStr">
        <is>
          <t>Ubeeko</t>
        </is>
      </c>
      <c r="E30" s="10" t="inlineStr">
        <is>
          <t>https://ubeeko.com</t>
        </is>
      </c>
      <c r="F30" t="inlineStr">
        <is>
          <t>ubeeko.com</t>
        </is>
      </c>
      <c r="G30" s="1" t="inlineStr">
        <is>
          <t>Development of the HFactory learning platform</t>
        </is>
      </c>
      <c r="H30" s="1" t="inlineStr">
        <is>
          <t>I'm not part of any EdTech association</t>
        </is>
      </c>
      <c r="I30" s="1" t="inlineStr">
        <is>
          <t>French, English</t>
        </is>
      </c>
      <c r="J30" s="1" t="inlineStr">
        <is>
          <t>Fontainebleau</t>
        </is>
      </c>
      <c r="K30" t="inlineStr">
        <is>
          <t>Fontainebleau</t>
        </is>
      </c>
      <c r="L30" t="inlineStr">
        <is>
          <t>Fontainebleau, France</t>
        </is>
      </c>
      <c r="M30" t="n">
        <v>48.4049375</v>
      </c>
      <c r="N30" t="n">
        <v>2.7015872</v>
      </c>
      <c r="O30" s="1" t="inlineStr">
        <is>
          <t>France</t>
        </is>
      </c>
      <c r="P30" s="1" t="inlineStr">
        <is>
          <t>Switzerland, Germany, Spain, Netherlands, Belgium, France, Italy</t>
        </is>
      </c>
      <c r="Q30" s="1" t="inlineStr">
        <is>
          <t>Micro (1-9 FTE employees)</t>
        </is>
      </c>
      <c r="R30" t="inlineStr">
        <is>
          <t>Micro</t>
        </is>
      </c>
      <c r="S30" s="1" t="inlineStr">
        <is>
          <t>Business to Business</t>
        </is>
      </c>
      <c r="T30" s="1" t="inlineStr">
        <is>
          <t>Higher Education, Corporate Training, Lifelong learning/Adult education</t>
        </is>
      </c>
      <c r="U30" s="1" t="inlineStr">
        <is>
          <t>Student interfacing, Teacher interfacing, System/Administrative</t>
        </is>
      </c>
      <c r="V30" s="1" t="inlineStr">
        <is>
          <t>HFactory</t>
        </is>
      </c>
      <c r="W30" s="1" t="inlineStr">
        <is>
          <t>Hybrid pedagogy platform for Higher education, Executive education and Lifelong learning</t>
        </is>
      </c>
      <c r="X30" s="10" t="inlineStr">
        <is>
          <t>https://drive.google.com/uc?export=view&amp;id=12GhYpnmV3gizaXgo-COIuYi-17b7BxLC</t>
        </is>
      </c>
      <c r="Y30" t="inlineStr">
        <is>
          <t>https://drive.google.com/uc?export=view&amp;id=12GhYpnmV3gizaXgo-COIuYi-17b7BxLC</t>
        </is>
      </c>
      <c r="Z30" s="1" t="inlineStr">
        <is>
          <t>https://drive.google.com/uc?export=view&amp;id=12GhYpnmV3gizaXgo-COIuYi-17b7BxLC</t>
        </is>
      </c>
      <c r="AA30" s="1" t="inlineStr">
        <is>
          <t>Verified</t>
        </is>
      </c>
      <c r="AB30" s="1" t="inlineStr">
        <is>
          <t>Industry-academia partnerships, Other</t>
        </is>
      </c>
      <c r="AC30" s="1" t="inlineStr">
        <is>
          <t>For-profit company</t>
        </is>
      </c>
      <c r="AD30" s="10" t="b">
        <v>1</v>
      </c>
      <c r="AE30" s="1" t="b">
        <v>1</v>
      </c>
      <c r="AF30" s="1" t="inlineStr">
        <is>
          <t>Yes</t>
        </is>
      </c>
      <c r="AG30" s="1" t="inlineStr">
        <is>
          <t>https://linkedin.com/company/ubeeko</t>
        </is>
      </c>
      <c r="AH30" s="1" t="inlineStr">
        <is>
          <t>https://linkedin.com/company/ubeeko</t>
        </is>
      </c>
      <c r="AI30" s="1" t="inlineStr">
        <is>
          <t>https://linkedin.com/company/ubeeko</t>
        </is>
      </c>
      <c r="AJ30" s="1" t="n"/>
    </row>
    <row r="31" ht="15.75" customHeight="1">
      <c r="A31" s="6" t="n">
        <v>45891</v>
      </c>
      <c r="B31" s="1" t="inlineStr">
        <is>
          <t>ORG_2649</t>
        </is>
      </c>
      <c r="C31" s="1" t="b">
        <v>1</v>
      </c>
      <c r="D31" s="1" t="inlineStr">
        <is>
          <t>Springlab Learning</t>
        </is>
      </c>
      <c r="E31" s="10" t="inlineStr">
        <is>
          <t>www.springlab.nl</t>
        </is>
      </c>
      <c r="F31" t="inlineStr">
        <is>
          <t>springlab.nl</t>
        </is>
      </c>
      <c r="G31" s="1" t="inlineStr">
        <is>
          <t>Springlab is a mission-driven social enterprise on a vibrant quest to tackle children’s inactivity in the Netherlands by making “bewegend spelen en leren” (active play and learning) the new standard—especially in early childhood settings and primary education. We combine science, creativity, technology, and gamification in a smart, sustainable way to inspire movement, ignite joy, and boost learning—without adding pressure or complexity for educators.</t>
        </is>
      </c>
      <c r="H31" s="1" t="inlineStr">
        <is>
          <t>Dutch EdTech</t>
        </is>
      </c>
      <c r="I31" s="1" t="inlineStr">
        <is>
          <t>Dutch</t>
        </is>
      </c>
      <c r="J31" s="1" t="inlineStr">
        <is>
          <t>Utrecht</t>
        </is>
      </c>
      <c r="K31" t="inlineStr">
        <is>
          <t>Utrecht</t>
        </is>
      </c>
      <c r="L31" t="inlineStr">
        <is>
          <t>Utrecht, The Netherlands</t>
        </is>
      </c>
      <c r="M31" t="n">
        <v>52.0906195</v>
      </c>
      <c r="N31" t="n">
        <v>5.1119709</v>
      </c>
      <c r="O31" s="1" t="inlineStr">
        <is>
          <t>The Netherlands</t>
        </is>
      </c>
      <c r="P31" s="1" t="inlineStr">
        <is>
          <t>Netherlands</t>
        </is>
      </c>
      <c r="Q31" s="1" t="inlineStr">
        <is>
          <t>Small (10-49 FTE employees)</t>
        </is>
      </c>
      <c r="R31" t="inlineStr">
        <is>
          <t>Small</t>
        </is>
      </c>
      <c r="S31" s="1" t="inlineStr">
        <is>
          <t>Business to Business, Business to Schools</t>
        </is>
      </c>
      <c r="T31" s="1" t="inlineStr">
        <is>
          <t>Early childhood development (0-5 years), Primary Education</t>
        </is>
      </c>
      <c r="U31" s="1" t="inlineStr">
        <is>
          <t>Other</t>
        </is>
      </c>
      <c r="V31" s="10" t="inlineStr">
        <is>
          <t>Beweegvloer</t>
        </is>
      </c>
      <c r="W31" s="1" t="inlineStr">
        <is>
          <t>Interactive Floor which encourages embodied learning</t>
        </is>
      </c>
      <c r="X31" s="10" t="inlineStr">
        <is>
          <t>Springloop</t>
        </is>
      </c>
      <c r="Y31" t="inlineStr">
        <is>
          <t>tablet app</t>
        </is>
      </c>
      <c r="Z31" s="1" t="inlineStr">
        <is>
          <t>https://drive.google.com/uc?export=view&amp;id=14nrXAx90b8CDdNRBaDYoUSdxGVtd5OwS</t>
        </is>
      </c>
      <c r="AA31" s="1" t="inlineStr">
        <is>
          <t>Verified</t>
        </is>
      </c>
      <c r="AB31" s="1" t="inlineStr">
        <is>
          <t>Industry-academia partnerships, Collaborations between EdTech organisations</t>
        </is>
      </c>
      <c r="AC31" s="1" t="inlineStr">
        <is>
          <t>For-profit company</t>
        </is>
      </c>
      <c r="AD31" s="10" t="b">
        <v>1</v>
      </c>
      <c r="AE31" s="1" t="b">
        <v>1</v>
      </c>
      <c r="AF31" s="1" t="inlineStr">
        <is>
          <t>Yes</t>
        </is>
      </c>
      <c r="AG31" s="1" t="inlineStr">
        <is>
          <t>https://www.instagram.com/springlabnl/</t>
        </is>
      </c>
      <c r="AH31" s="1" t="inlineStr">
        <is>
          <t>https://www.linkedin.com/company/10009167/admin/dashboard/</t>
        </is>
      </c>
      <c r="AI31" s="1" t="inlineStr">
        <is>
          <t>https://www.linkedin.com/company/10009167/admin/dashboard/</t>
        </is>
      </c>
      <c r="AJ31" s="10" t="inlineStr">
        <is>
          <t>https://www.facebook.com/p/Springlab-Learning-61559318542181/</t>
        </is>
      </c>
    </row>
    <row r="32" ht="15.75" customHeight="1">
      <c r="A32" s="6" t="n">
        <v>45891</v>
      </c>
      <c r="B32" s="1" t="inlineStr">
        <is>
          <t>ORG_1007</t>
        </is>
      </c>
      <c r="C32" s="1" t="b">
        <v>1</v>
      </c>
      <c r="D32" s="1" t="inlineStr">
        <is>
          <t>2Simple</t>
        </is>
      </c>
      <c r="E32" s="10" t="inlineStr">
        <is>
          <t>https://www.2simple.com/</t>
        </is>
      </c>
      <c r="F32" t="inlineStr">
        <is>
          <t>2simple.com</t>
        </is>
      </c>
      <c r="G32" s="1" t="inlineStr">
        <is>
          <t>2Simple has been making powerful and creative educational software for learners and schools since 1999. We are committed to providing creative, inclusive, and inspiring software to encourage children to love learning and prepare them for later life. Today our software and resources are used by learners in over 11,000 schools, in more than 70 countries.</t>
        </is>
      </c>
      <c r="H32" s="1" t="inlineStr">
        <is>
          <t>I'm not part of any EdTech association</t>
        </is>
      </c>
      <c r="I32" s="1" t="inlineStr">
        <is>
          <t>English</t>
        </is>
      </c>
      <c r="J32" s="1" t="inlineStr">
        <is>
          <t>London</t>
        </is>
      </c>
      <c r="K32" t="inlineStr">
        <is>
          <t>London</t>
        </is>
      </c>
      <c r="L32" t="inlineStr">
        <is>
          <t>London, United Kingdom</t>
        </is>
      </c>
      <c r="M32" t="n">
        <v>51.5074456</v>
      </c>
      <c r="N32" t="n">
        <v>-0.1277653</v>
      </c>
      <c r="O32" s="1" t="inlineStr">
        <is>
          <t>United Kingdom</t>
        </is>
      </c>
      <c r="P32" s="1" t="inlineStr">
        <is>
          <t>Albania, Andorra, Austria, Bosnia and Herzegovina, Belgium, Belarus, Bulgaria, Croatia, Republic of Cyprus, Estonia, Denmark, Czechia, Finland, France, Germany, Iceland, Hungary, Greece, Ireland, Italy, Kosovo, Lithuania, Liechtenstein, Latvia, Luxembourg, Malta, Moldova, Netherlands, Montenegro, Monaco, North Macedonia, Norway, Poland, San Marino, Romania, Portugal, Slovakia, Slovenia, Spain, Turkey, Switzerland, Sweden, Ukraine, United Kingdom</t>
        </is>
      </c>
      <c r="Q32" s="1" t="inlineStr">
        <is>
          <t>Medium (50-250 FTE employees)</t>
        </is>
      </c>
      <c r="R32" t="inlineStr">
        <is>
          <t>Medium</t>
        </is>
      </c>
      <c r="S32" s="1" t="inlineStr">
        <is>
          <t>Business to Schools, Business to Consumer</t>
        </is>
      </c>
      <c r="T32" s="1" t="inlineStr">
        <is>
          <t>Early childhood development (0-5 years), Primary Education, Secondary Education</t>
        </is>
      </c>
      <c r="U32" s="1" t="inlineStr">
        <is>
          <t>Student interfacing, Teacher interfacing</t>
        </is>
      </c>
      <c r="V32" s="10" t="inlineStr">
        <is>
          <t>Purple Mash</t>
        </is>
      </c>
      <c r="W32" s="10" t="inlineStr">
        <is>
          <t>Purple Mash supports primary schools in delivering their curriculum through an easy-to-use learning platform with ready-made content. This ensures an enriched, engaging, and creative experience for every child, while simplifying lesson planning for teachers.</t>
        </is>
      </c>
      <c r="X32" s="10" t="inlineStr">
        <is>
          <t>Python in Pieces</t>
        </is>
      </c>
      <c r="Y32" t="inlineStr">
        <is>
          <t>Guide students from blocks to Python with interactive lessons, open activities, and bidirectional code translation.</t>
        </is>
      </c>
      <c r="Z32" s="1" t="inlineStr">
        <is>
          <t>https://drive.google.com/uc?export=view&amp;id=1mRNNyYfjQ2oeACEModsUp_ep4dSolv0d</t>
        </is>
      </c>
      <c r="AA32" s="1" t="inlineStr">
        <is>
          <t>Verified</t>
        </is>
      </c>
      <c r="AB32" s="1" t="n"/>
      <c r="AC32" s="1" t="inlineStr">
        <is>
          <t>For-profit company</t>
        </is>
      </c>
      <c r="AD32" s="10" t="b">
        <v>1</v>
      </c>
      <c r="AE32" s="1" t="b">
        <v>1</v>
      </c>
      <c r="AF32" s="1" t="inlineStr">
        <is>
          <t>Yes</t>
        </is>
      </c>
      <c r="AG32" s="1" t="inlineStr">
        <is>
          <t>https://www.instagram.com/2simplesoftware</t>
        </is>
      </c>
      <c r="AH32" s="1" t="inlineStr">
        <is>
          <t>https://x.com/2SimpleSoftware</t>
        </is>
      </c>
      <c r="AI32" s="1" t="inlineStr">
        <is>
          <t>https://www.linkedin.com/company/2simple</t>
        </is>
      </c>
      <c r="AJ32" s="10" t="inlineStr">
        <is>
          <t>https://www.facebook.com/2Simpleuk</t>
        </is>
      </c>
    </row>
    <row r="33" ht="15.75" customHeight="1">
      <c r="A33" s="6" t="n">
        <v>45891</v>
      </c>
      <c r="B33" s="1" t="inlineStr">
        <is>
          <t>ORG_2182</t>
        </is>
      </c>
      <c r="C33" s="1" t="b">
        <v>1</v>
      </c>
      <c r="D33" s="1" t="inlineStr">
        <is>
          <t>Rflect</t>
        </is>
      </c>
      <c r="E33" s="10" t="inlineStr">
        <is>
          <t>www.rflect.ch</t>
        </is>
      </c>
      <c r="F33" t="inlineStr">
        <is>
          <t>rflect.ch</t>
        </is>
      </c>
      <c r="G33" s="1" t="inlineStr">
        <is>
          <t>Integrate student inner development into any curriculum, for credits, with a tech-enabled plug&amp;play platform that is high-quality, affordable and scalable</t>
        </is>
      </c>
      <c r="H33" s="1" t="inlineStr">
        <is>
          <t>Swiss EdTech Collider</t>
        </is>
      </c>
      <c r="I33" s="1" t="n"/>
      <c r="J33" s="1" t="inlineStr">
        <is>
          <t>Zürich</t>
        </is>
      </c>
      <c r="K33" t="inlineStr">
        <is>
          <t>Zürich</t>
        </is>
      </c>
      <c r="L33" t="inlineStr">
        <is>
          <t>Zürich, Switzerland</t>
        </is>
      </c>
      <c r="M33" t="n">
        <v>47.3744489</v>
      </c>
      <c r="N33" t="n">
        <v>8.5410422</v>
      </c>
      <c r="O33" s="1" t="inlineStr">
        <is>
          <t>Switzerland</t>
        </is>
      </c>
      <c r="P33" s="1" t="n"/>
      <c r="Q33" s="1" t="inlineStr">
        <is>
          <t>Micro (1-9 FTE employees)</t>
        </is>
      </c>
      <c r="R33" t="inlineStr">
        <is>
          <t>Micro</t>
        </is>
      </c>
      <c r="S33" s="1" t="inlineStr">
        <is>
          <t>Business to Schools</t>
        </is>
      </c>
      <c r="T33" s="1" t="inlineStr">
        <is>
          <t>Higher Education, Lifelong learning/Adult education</t>
        </is>
      </c>
      <c r="U33" s="1" t="inlineStr">
        <is>
          <t>Teacher interfacing, Student interfacing</t>
        </is>
      </c>
      <c r="V33" s="1" t="inlineStr">
        <is>
          <t>https://www.linkedin.com/company/79407274/</t>
        </is>
      </c>
      <c r="W33" s="1" t="inlineStr">
        <is>
          <t>https://drive.google.com/uc?export=view&amp;id=1MtoTpYpsgS5ezHnYGtlZwzhxp5aNBclD</t>
        </is>
      </c>
      <c r="X33" s="10" t="inlineStr">
        <is>
          <t>https://drive.google.com/uc?export=view&amp;id=1MtoTpYpsgS5ezHnYGtlZwzhxp5aNBclD</t>
        </is>
      </c>
      <c r="Y33" t="inlineStr">
        <is>
          <t>https://drive.google.com/uc?export=view&amp;id=1MtoTpYpsgS5ezHnYGtlZwzhxp5aNBclD</t>
        </is>
      </c>
      <c r="Z33" s="1" t="inlineStr">
        <is>
          <t>https://drive.google.com/uc?export=view&amp;id=1MtoTpYpsgS5ezHnYGtlZwzhxp5aNBclD</t>
        </is>
      </c>
      <c r="AA33" s="1" t="inlineStr">
        <is>
          <t>Verified</t>
        </is>
      </c>
      <c r="AB33" s="1" t="inlineStr">
        <is>
          <t>Project consortium building, Industry-academia partnerships</t>
        </is>
      </c>
      <c r="AC33" s="1" t="inlineStr">
        <is>
          <t>For-profit company</t>
        </is>
      </c>
      <c r="AD33" s="10" t="b">
        <v>1</v>
      </c>
      <c r="AE33" s="1" t="b">
        <v>1</v>
      </c>
      <c r="AF33" s="1" t="inlineStr">
        <is>
          <t>Yes</t>
        </is>
      </c>
      <c r="AG33" s="1" t="inlineStr">
        <is>
          <t>https://www.linkedin.com/company/79407274/</t>
        </is>
      </c>
      <c r="AH33" s="1" t="inlineStr">
        <is>
          <t>https://www.linkedin.com/company/79407274/</t>
        </is>
      </c>
      <c r="AI33" s="1" t="inlineStr">
        <is>
          <t>https://www.linkedin.com/company/79407274/</t>
        </is>
      </c>
      <c r="AJ33" s="1" t="n"/>
    </row>
    <row r="34" ht="15.75" customHeight="1">
      <c r="A34" s="6" t="n">
        <v>45890</v>
      </c>
      <c r="B34" s="1" t="inlineStr">
        <is>
          <t>ORG_2648</t>
        </is>
      </c>
      <c r="C34" s="1" t="b">
        <v>1</v>
      </c>
      <c r="D34" s="1" t="inlineStr">
        <is>
          <t>bidi Bildung Digital GmbH</t>
        </is>
      </c>
      <c r="E34" s="1" t="inlineStr">
        <is>
          <t>bidi.one</t>
        </is>
      </c>
      <c r="F34" t="inlineStr">
        <is>
          <t>bidi.one</t>
        </is>
      </c>
      <c r="G34" s="1" t="inlineStr">
        <is>
          <t>bidi partners directly with schools and uses government-funded education programs to deliver free, high-quality one-to-one online tutoring for K–12 students.</t>
        </is>
      </c>
      <c r="H34" s="1" t="inlineStr">
        <is>
          <t>EdTech-Verband e.V.</t>
        </is>
      </c>
      <c r="I34" s="1" t="inlineStr">
        <is>
          <t>German</t>
        </is>
      </c>
      <c r="J34" s="1" t="inlineStr">
        <is>
          <t>Dresden</t>
        </is>
      </c>
      <c r="K34" t="inlineStr">
        <is>
          <t>Dresden</t>
        </is>
      </c>
      <c r="L34" t="inlineStr">
        <is>
          <t>Dresden, Germany</t>
        </is>
      </c>
      <c r="M34" t="n">
        <v>51.0493286</v>
      </c>
      <c r="N34" t="n">
        <v>13.7381437</v>
      </c>
      <c r="O34" s="1" t="inlineStr">
        <is>
          <t>Germany</t>
        </is>
      </c>
      <c r="P34" s="1" t="inlineStr">
        <is>
          <t>Austria, Germany, Switzerland</t>
        </is>
      </c>
      <c r="Q34" s="1" t="inlineStr">
        <is>
          <t>Small (10-49 FTE employees)</t>
        </is>
      </c>
      <c r="R34" t="inlineStr">
        <is>
          <t>Small</t>
        </is>
      </c>
      <c r="S34" s="1" t="inlineStr">
        <is>
          <t>Business to Government</t>
        </is>
      </c>
      <c r="T34" s="1" t="inlineStr">
        <is>
          <t>Primary Education, Secondary Education</t>
        </is>
      </c>
      <c r="U34" s="1" t="inlineStr">
        <is>
          <t>Student interfacing</t>
        </is>
      </c>
      <c r="V34" s="10" t="inlineStr">
        <is>
          <t>online tutoring</t>
        </is>
      </c>
      <c r="W34" s="1" t="inlineStr">
        <is>
          <t>bidi delivers one-to-one online tutoring by matching carefully selected tutors with students across all school subjects.</t>
        </is>
      </c>
      <c r="X34" s="10" t="inlineStr">
        <is>
          <t>online mentoring</t>
        </is>
      </c>
      <c r="Y34" t="inlineStr">
        <is>
          <t>bidi delivers online mentoring by matching carefully selected mentors with students to support academic-focused areas such as study skills and career orientation, as well as broader life skills like confidence, motivation, and well-being.</t>
        </is>
      </c>
      <c r="Z34" s="1" t="inlineStr">
        <is>
          <t>https://drive.google.com/uc?export=view&amp;id=1TUzUzF-siG_7-VJpEzOn8XLg9XY-asKv</t>
        </is>
      </c>
      <c r="AA34" s="1" t="inlineStr">
        <is>
          <t>Verified</t>
        </is>
      </c>
      <c r="AB34" s="1" t="inlineStr">
        <is>
          <t>Collaborations between EdTech organisations, Public-private partnerships, Industry-academia partnerships, Project consortium building, Other</t>
        </is>
      </c>
      <c r="AC34" s="1" t="inlineStr">
        <is>
          <t>For-profit company</t>
        </is>
      </c>
      <c r="AD34" s="10" t="b">
        <v>1</v>
      </c>
      <c r="AE34" s="1" t="b">
        <v>0</v>
      </c>
      <c r="AF34" s="1" t="inlineStr">
        <is>
          <t>Yes</t>
        </is>
      </c>
      <c r="AG34" s="1" t="inlineStr">
        <is>
          <t>https://www.instagram.com/bidi.one</t>
        </is>
      </c>
      <c r="AH34" s="1" t="inlineStr">
        <is>
          <t>https://www.linkedin.com/company/bidi-one</t>
        </is>
      </c>
      <c r="AI34" s="1" t="inlineStr">
        <is>
          <t>https://www.linkedin.com/company/bidi-one</t>
        </is>
      </c>
      <c r="AJ34" s="1" t="n"/>
    </row>
    <row r="35" ht="15.75" customHeight="1">
      <c r="A35" s="6" t="n">
        <v>45890</v>
      </c>
      <c r="B35" s="1" t="inlineStr">
        <is>
          <t>ORG_1843</t>
        </is>
      </c>
      <c r="C35" s="1" t="b">
        <v>1</v>
      </c>
      <c r="D35" s="1" t="inlineStr">
        <is>
          <t>LearnWise AI</t>
        </is>
      </c>
      <c r="E35" s="10" t="inlineStr">
        <is>
          <t>https://learnwise.ai</t>
        </is>
      </c>
      <c r="F35" t="inlineStr">
        <is>
          <t>learnwise.ai</t>
        </is>
      </c>
      <c r="G35" s="1" t="inlineStr">
        <is>
          <t>LearnWise AI empowers educational institutions with an omni-data, omni-channel AI platform that enhances teaching, learning, and support. LearnWise solutions enable effective grading and feedback at scale, provide personalized student assistance, and optimize support team efficiency through intelligent automation, knowledge management, and insights. Seamlessly integrated into leading LMSs and institutions’ entire digital ecosystem, LearnWise helps institutions unify fragmented services, improve faculty and staff productivity, and deliver modern, scalable student experiences.</t>
        </is>
      </c>
      <c r="H35" s="1" t="inlineStr">
        <is>
          <t>Dutch EdTech</t>
        </is>
      </c>
      <c r="I35" s="1" t="inlineStr">
        <is>
          <t>English, French, Spanish, Dutch, Italian, German, Portuguese, Bulgarian, Croatian, Estonian, Danish, Czech, Finnish, Greek, Hungarian, Lithuanian, Latvian, Irish, Maltese, Polish, Romanian, Swedish, Slovenian, Slovak, Ukrainian</t>
        </is>
      </c>
      <c r="J35" s="1" t="inlineStr">
        <is>
          <t>Amsterdam</t>
        </is>
      </c>
      <c r="K35" t="inlineStr">
        <is>
          <t>Amsterdam</t>
        </is>
      </c>
      <c r="L35" t="inlineStr">
        <is>
          <t>Amsterdam, The Netherlands</t>
        </is>
      </c>
      <c r="M35" t="n">
        <v>52.3701984</v>
      </c>
      <c r="N35" t="n">
        <v>4.892168</v>
      </c>
      <c r="O35" s="1" t="inlineStr">
        <is>
          <t>The Netherlands</t>
        </is>
      </c>
      <c r="P35" s="1" t="inlineStr">
        <is>
          <t>United Kingdom, Ukraine, Turkey, Switzerland, Sweden, Spain, Slovenia, Slovakia, Portugal, Romania, San Marino, Poland, Norway, North Macedonia, Netherlands, Montenegro, Monaco, Luxembourg, Malta, Moldova, Lithuania, Liechtenstein, Latvia, Italy, Kosovo, Iceland, Hungary, Ireland, Greece, Finland, France, Germany, Estonia, Denmark, Czechia, Bulgaria, Croatia, Republic of Cyprus, Bosnia and Herzegovina, Belgium, Belarus, Albania, Andorra, Austria</t>
        </is>
      </c>
      <c r="Q35" s="1" t="inlineStr">
        <is>
          <t>Small (10-49 FTE employees)</t>
        </is>
      </c>
      <c r="R35" t="inlineStr">
        <is>
          <t>Small</t>
        </is>
      </c>
      <c r="S35" s="1" t="inlineStr">
        <is>
          <t>Business to Schools, Business to Business</t>
        </is>
      </c>
      <c r="T35" s="1" t="inlineStr">
        <is>
          <t>Higher Education, Lifelong learning/Adult education, Vocational Education and Training (VET), Secondary Education</t>
        </is>
      </c>
      <c r="U35" s="1" t="inlineStr">
        <is>
          <t>Student interfacing, Teacher interfacing, System/Administrative</t>
        </is>
      </c>
      <c r="V35" s="1" t="inlineStr">
        <is>
          <t>AI Support &amp; Tutor</t>
        </is>
      </c>
      <c r="W35" s="1" t="inlineStr">
        <is>
          <t>LearnWise AI streamlines student and faculty support with intelligent, 24/7 available AI assistants. From answering routine questions to delivering personalized academic guidance, LearnWise reduces support team workload while making resources easier to access across every channel students use.</t>
        </is>
      </c>
      <c r="X35" s="10" t="inlineStr">
        <is>
          <t>AI Feedback &amp; Grader</t>
        </is>
      </c>
      <c r="Y35" t="inlineStr">
        <is>
          <t>LearnWise AI accelerates grading by generating high-quality, consistent, and personalized feedback for every student assignment within existing grading workflows in the LMS. Faculty save time, and ensure students receive the timely guidance they need to improve learning outcomes.</t>
        </is>
      </c>
      <c r="Z35" s="1" t="inlineStr">
        <is>
          <t>https://drive.google.com/uc?export=view&amp;id=1XW5-CsbXDZnSKrFVNFynTIEHKkdUJRvY</t>
        </is>
      </c>
      <c r="AA35" s="1" t="inlineStr">
        <is>
          <t>Verified</t>
        </is>
      </c>
      <c r="AB35" s="1" t="inlineStr">
        <is>
          <t>Industry-academia partnerships, Public-private partnerships, Project consortium building, Collaborations between EdTech organisations</t>
        </is>
      </c>
      <c r="AC35" s="1" t="inlineStr">
        <is>
          <t>For-profit company</t>
        </is>
      </c>
      <c r="AD35" s="10" t="b">
        <v>1</v>
      </c>
      <c r="AE35" s="1" t="b">
        <v>1</v>
      </c>
      <c r="AF35" s="1" t="inlineStr">
        <is>
          <t>Yes</t>
        </is>
      </c>
      <c r="AG35" s="1" t="inlineStr">
        <is>
          <t>https://www.linkedin.com/company/learnwiseai</t>
        </is>
      </c>
      <c r="AH35" s="1" t="inlineStr">
        <is>
          <t>https://www.linkedin.com/company/learnwiseai</t>
        </is>
      </c>
      <c r="AI35" s="1" t="inlineStr">
        <is>
          <t>https://www.linkedin.com/company/learnwiseai</t>
        </is>
      </c>
      <c r="AJ35" s="1" t="n"/>
    </row>
    <row r="36" ht="15.75" customHeight="1">
      <c r="A36" s="6" t="n">
        <v>45890</v>
      </c>
      <c r="B36" s="1" t="inlineStr">
        <is>
          <t>ORG_2647</t>
        </is>
      </c>
      <c r="C36" s="1" t="b">
        <v>1</v>
      </c>
      <c r="D36" s="1" t="inlineStr">
        <is>
          <t>Scéalprod - Scéal studio</t>
        </is>
      </c>
      <c r="E36" s="10" t="inlineStr">
        <is>
          <t>https://scealprod.fr</t>
        </is>
      </c>
      <c r="F36" t="inlineStr">
        <is>
          <t>scealprod.fr</t>
        </is>
      </c>
      <c r="G36" s="1" t="inlineStr">
        <is>
          <t>Scéal Studio, the story creation platform that motivates writing among 10-18-year-olds. The platform offers integrated tools that facilitate the writing and editing of documentary or narrative projects, as well as literary support through writing workshops or videoconferences.</t>
        </is>
      </c>
      <c r="H36" s="1" t="inlineStr">
        <is>
          <t>EdTech France</t>
        </is>
      </c>
      <c r="I36" s="1" t="inlineStr">
        <is>
          <t>English, French, Spanish, German, Italian</t>
        </is>
      </c>
      <c r="J36" s="1" t="inlineStr">
        <is>
          <t>Bordeaux</t>
        </is>
      </c>
      <c r="K36" t="inlineStr">
        <is>
          <t>Bordeaux</t>
        </is>
      </c>
      <c r="L36" t="inlineStr">
        <is>
          <t>Bordeaux, France</t>
        </is>
      </c>
      <c r="M36" t="n">
        <v>44.841225</v>
      </c>
      <c r="N36" t="n">
        <v>-0.5800364</v>
      </c>
      <c r="O36" s="1" t="inlineStr">
        <is>
          <t>France</t>
        </is>
      </c>
      <c r="P36" s="1" t="inlineStr">
        <is>
          <t>Belgium, Germany, Spain, United Kingdom, France, Italy</t>
        </is>
      </c>
      <c r="Q36" s="1" t="inlineStr">
        <is>
          <t>Micro (1-9 FTE employees)</t>
        </is>
      </c>
      <c r="R36" t="inlineStr">
        <is>
          <t>Micro</t>
        </is>
      </c>
      <c r="S36" s="1" t="inlineStr">
        <is>
          <t>Business to Schools, Business to Consumer</t>
        </is>
      </c>
      <c r="T36" s="1" t="inlineStr">
        <is>
          <t>Vocational Education and Training (VET), Secondary Education, Lifelong learning/Adult education</t>
        </is>
      </c>
      <c r="U36" s="1" t="inlineStr">
        <is>
          <t>Student interfacing, Teacher interfacing</t>
        </is>
      </c>
      <c r="V36" s="10" t="inlineStr">
        <is>
          <t>Subscription to Scéal Studio for educational institutions</t>
        </is>
      </c>
      <c r="W36" s="1" t="inlineStr">
        <is>
          <t>Access to the playful-educational writing platform Scéal Studio for schools. Work independently on writing projects with the class.  Personalized writing spaces for students, teacher management interface, access to all editors (script, layout, editing).</t>
        </is>
      </c>
      <c r="X36" s="10" t="inlineStr">
        <is>
          <t>Writing workshop with facilitator</t>
        </is>
      </c>
      <c r="Y36" t="inlineStr">
        <is>
          <t>Create a learning event focused on a specific topic from the program. The writing workshop allows adolescents' creativity to be expressed within a group setting. The service includes the presence of a facilitator and the use of the online tool Scéal Studio.</t>
        </is>
      </c>
      <c r="Z36" s="1" t="inlineStr">
        <is>
          <t>https://drive.google.com/uc?export=view&amp;id=1FG8CD8w8MhntuwRn3BAZIQNA-F_cgyJs</t>
        </is>
      </c>
      <c r="AA36" s="1" t="inlineStr">
        <is>
          <t>Verified</t>
        </is>
      </c>
      <c r="AB36" s="1" t="inlineStr">
        <is>
          <t>Collaborations between EdTech organisations, Project consortium building, Public-private partnerships</t>
        </is>
      </c>
      <c r="AC36" s="1" t="inlineStr">
        <is>
          <t>For-profit company</t>
        </is>
      </c>
      <c r="AD36" s="10" t="b">
        <v>1</v>
      </c>
      <c r="AE36" s="1" t="b">
        <v>1</v>
      </c>
      <c r="AF36" s="1" t="inlineStr">
        <is>
          <t>Yes</t>
        </is>
      </c>
      <c r="AG36" s="1" t="inlineStr">
        <is>
          <t>https://www.instagram.com/scealprod.fr</t>
        </is>
      </c>
      <c r="AH36" s="1" t="inlineStr">
        <is>
          <t>https://www.linkedin.com/in/hugues-avit-callaud/</t>
        </is>
      </c>
      <c r="AI36" s="1" t="inlineStr">
        <is>
          <t>https://www.linkedin.com/in/hugues-avit-callaud/</t>
        </is>
      </c>
      <c r="AJ36" s="10" t="inlineStr">
        <is>
          <t>https://www.facebook.com/scealstudio</t>
        </is>
      </c>
    </row>
    <row r="37" ht="12.5" customHeight="1">
      <c r="A37" s="6" t="n">
        <v>45890</v>
      </c>
      <c r="B37" s="1" t="inlineStr">
        <is>
          <t>ORG_2323</t>
        </is>
      </c>
      <c r="C37" s="1" t="b">
        <v>1</v>
      </c>
      <c r="D37" s="1" t="inlineStr">
        <is>
          <t>STEER Education</t>
        </is>
      </c>
      <c r="E37" s="1" t="inlineStr">
        <is>
          <t>steer.education</t>
        </is>
      </c>
      <c r="F37" t="inlineStr">
        <is>
          <t>steer.education</t>
        </is>
      </c>
      <c r="G37" s="1" t="inlineStr">
        <is>
          <t>Provides whole school mental health tracking and targeted action plans to improve social, emotional and academic development</t>
        </is>
      </c>
      <c r="H37" s="1" t="inlineStr">
        <is>
          <t>I'm not part of any EdTech association</t>
        </is>
      </c>
      <c r="I37" s="1" t="inlineStr">
        <is>
          <t>English</t>
        </is>
      </c>
      <c r="J37" s="1" t="inlineStr">
        <is>
          <t>Bath</t>
        </is>
      </c>
      <c r="K37" t="inlineStr">
        <is>
          <t>Bath</t>
        </is>
      </c>
      <c r="L37" t="inlineStr">
        <is>
          <t>Bath, United Kingdom</t>
        </is>
      </c>
      <c r="M37" t="n">
        <v>51.3813864</v>
      </c>
      <c r="N37" t="n">
        <v>-2.3596963</v>
      </c>
      <c r="O37" s="1" t="inlineStr">
        <is>
          <t>United Kingdom</t>
        </is>
      </c>
      <c r="P37" s="1" t="inlineStr">
        <is>
          <t>Spain, United Kingdom</t>
        </is>
      </c>
      <c r="Q37" s="1" t="inlineStr">
        <is>
          <t>Small (10-49 FTE employees)</t>
        </is>
      </c>
      <c r="R37" t="inlineStr">
        <is>
          <t>Small</t>
        </is>
      </c>
      <c r="S37" s="1" t="inlineStr">
        <is>
          <t>Business to Business, Business to Government, Business to Schools</t>
        </is>
      </c>
      <c r="T37" s="1" t="inlineStr">
        <is>
          <t>Primary Education, Secondary Education, Vocational Education and Training (VET)</t>
        </is>
      </c>
      <c r="U37" s="1" t="inlineStr">
        <is>
          <t>Student interfacing, Teacher interfacing, System/Administrative</t>
        </is>
      </c>
      <c r="V37" s="1" t="inlineStr">
        <is>
          <t>STEER Tracking</t>
        </is>
      </c>
      <c r="W37" s="1" t="inlineStr">
        <is>
          <t>Whole school mental health tracking and action planning</t>
        </is>
      </c>
      <c r="X37" s="10" t="inlineStr">
        <is>
          <t>STEER Student Wellbeing and Development</t>
        </is>
      </c>
      <c r="Y37" t="inlineStr">
        <is>
          <t>Personalised, direct guidance for every student to improve their social, mental and academic development</t>
        </is>
      </c>
      <c r="Z37" s="1" t="inlineStr">
        <is>
          <t>https://drive.google.com/uc?export=view&amp;id=1w3MoT4qficFItp0RwQ_gvgJkBrEV_RpY</t>
        </is>
      </c>
      <c r="AA37" s="1" t="inlineStr">
        <is>
          <t>Verified</t>
        </is>
      </c>
      <c r="AB37" s="1" t="inlineStr">
        <is>
          <t>Collaborations between EdTech organisations, Public-private partnerships, Project consortium building, Industry-academia partnerships</t>
        </is>
      </c>
      <c r="AC37" s="1" t="inlineStr">
        <is>
          <t>For-profit company</t>
        </is>
      </c>
      <c r="AD37" s="10" t="b">
        <v>1</v>
      </c>
      <c r="AE37" s="1" t="b">
        <v>1</v>
      </c>
      <c r="AF37" s="1" t="inlineStr">
        <is>
          <t>Yes</t>
        </is>
      </c>
      <c r="AG37" s="1" t="inlineStr">
        <is>
          <t>https://www.linkedin.com/company/11260631/admin/analytics/visitors/</t>
        </is>
      </c>
      <c r="AH37" s="1" t="inlineStr">
        <is>
          <t>https://www.linkedin.com/company/11260631/admin/analytics/visitors/</t>
        </is>
      </c>
      <c r="AI37" s="1" t="inlineStr">
        <is>
          <t>https://www.linkedin.com/company/11260631/admin/analytics/visitors/</t>
        </is>
      </c>
      <c r="AJ37" s="1" t="n"/>
    </row>
    <row r="38" ht="12.5" customHeight="1">
      <c r="A38" s="6" t="n">
        <v>45890</v>
      </c>
      <c r="B38" s="1" t="inlineStr">
        <is>
          <t>ORG_2423</t>
        </is>
      </c>
      <c r="C38" s="1" t="b">
        <v>1</v>
      </c>
      <c r="D38" s="1" t="inlineStr">
        <is>
          <t>TopWorksheets</t>
        </is>
      </c>
      <c r="E38" s="10" t="inlineStr">
        <is>
          <t>https://www.topworksheets.com</t>
        </is>
      </c>
      <c r="F38" t="inlineStr">
        <is>
          <t>topworksheets.com</t>
        </is>
      </c>
      <c r="G38" s="1" t="inlineStr">
        <is>
          <t>Interactive auto-grading worksheet creator</t>
        </is>
      </c>
      <c r="H38" s="1" t="inlineStr">
        <is>
          <t>I'm not part of any EdTech association</t>
        </is>
      </c>
      <c r="I38" s="1" t="inlineStr">
        <is>
          <t>English, French, Spanish, German, Italian, Portuguese, Czech, Catalan</t>
        </is>
      </c>
      <c r="J38" s="1" t="inlineStr">
        <is>
          <t>Barcelona</t>
        </is>
      </c>
      <c r="K38" t="inlineStr">
        <is>
          <t>Barcelona</t>
        </is>
      </c>
      <c r="L38" t="inlineStr">
        <is>
          <t>Barcelona, Spain</t>
        </is>
      </c>
      <c r="M38" t="n">
        <v>41.3825802</v>
      </c>
      <c r="N38" t="n">
        <v>2.177073</v>
      </c>
      <c r="O38" s="1" t="inlineStr">
        <is>
          <t>Spain</t>
        </is>
      </c>
      <c r="P38" s="1" t="inlineStr">
        <is>
          <t>Albania, Belarus, Bulgaria, Czechia, Finland, Greece, Ireland, Latvia, Luxembourg, Andorra, Belgium, Croatia, Denmark, France, Hungary, Italy, Liechtenstein, Malta, Moldova, Lithuania, Kosovo, Iceland, Germany, Estonia, Republic of Cyprus, Bosnia and Herzegovina, Austria, Monaco, North Macedonia, Portugal, Slovakia, Sweden, Ukraine, United Kingdom, Switzerland, Slovenia, Romania, Norway, Montenegro, Netherlands, Poland, San Marino, Spain, Turkey</t>
        </is>
      </c>
      <c r="Q38" s="1" t="inlineStr">
        <is>
          <t>Micro (1-9 FTE employees)</t>
        </is>
      </c>
      <c r="R38" t="inlineStr">
        <is>
          <t>Micro</t>
        </is>
      </c>
      <c r="S38" s="1" t="inlineStr">
        <is>
          <t>Business to Schools, Business to Consumer</t>
        </is>
      </c>
      <c r="T38" s="1" t="inlineStr">
        <is>
          <t>Primary Education, Secondary Education, Higher Education, Corporate Training, Lifelong learning/Adult education</t>
        </is>
      </c>
      <c r="U38" s="1" t="inlineStr">
        <is>
          <t>Student interfacing, Teacher interfacing</t>
        </is>
      </c>
      <c r="V38" s="10" t="inlineStr">
        <is>
          <t>Interactive worksheet creator</t>
        </is>
      </c>
      <c r="W38" s="10" t="inlineStr">
        <is>
          <t>Transform paper worksheets into interactive auto-grading ones</t>
        </is>
      </c>
      <c r="X38" s="10" t="inlineStr">
        <is>
          <t>TopWorksheets AI</t>
        </is>
      </c>
      <c r="Y38" t="inlineStr">
        <is>
          <t>Easily create new worksheets with the help of AI</t>
        </is>
      </c>
      <c r="Z38" s="1" t="inlineStr">
        <is>
          <t>https://drive.google.com/uc?export=view&amp;id=1G4b4LsDZzbr_fAqkrERguKB8Y-kr7h1n</t>
        </is>
      </c>
      <c r="AA38" s="1" t="inlineStr">
        <is>
          <t>Verified</t>
        </is>
      </c>
      <c r="AB38" s="1" t="inlineStr">
        <is>
          <t>Collaborations between EdTech organisations</t>
        </is>
      </c>
      <c r="AC38" s="1" t="inlineStr">
        <is>
          <t>For-profit company</t>
        </is>
      </c>
      <c r="AD38" s="10" t="b">
        <v>1</v>
      </c>
      <c r="AE38" s="1" t="b">
        <v>1</v>
      </c>
      <c r="AF38" s="1" t="inlineStr">
        <is>
          <t>Yes</t>
        </is>
      </c>
      <c r="AG38" s="1" t="inlineStr">
        <is>
          <t>https://www.instagram.com/topworksheets_en/</t>
        </is>
      </c>
      <c r="AH38" s="1" t="inlineStr">
        <is>
          <t>https://x.com/topworksheetsen</t>
        </is>
      </c>
      <c r="AI38" s="1" t="inlineStr">
        <is>
          <t>https://es.linkedin.com/company/topworksheets</t>
        </is>
      </c>
      <c r="AJ38" s="1" t="n"/>
    </row>
    <row r="39" ht="12.5" customHeight="1">
      <c r="A39" s="6" t="n">
        <v>45890</v>
      </c>
      <c r="B39" s="1" t="inlineStr">
        <is>
          <t>ORG_2646</t>
        </is>
      </c>
      <c r="C39" s="1" t="b">
        <v>1</v>
      </c>
      <c r="D39" s="1" t="inlineStr">
        <is>
          <t>Studyflow BV</t>
        </is>
      </c>
      <c r="E39" s="10" t="inlineStr">
        <is>
          <t>https://studyflow.nl</t>
        </is>
      </c>
      <c r="F39" t="inlineStr">
        <is>
          <t>studyflow.nl</t>
        </is>
      </c>
      <c r="G39" s="1" t="inlineStr">
        <is>
          <t>E-Learning Provider</t>
        </is>
      </c>
      <c r="H39" s="1" t="inlineStr">
        <is>
          <t>Dutch EdTech</t>
        </is>
      </c>
      <c r="I39" s="1" t="inlineStr">
        <is>
          <t>Dutch</t>
        </is>
      </c>
      <c r="J39" s="1" t="inlineStr">
        <is>
          <t>Amsterdam</t>
        </is>
      </c>
      <c r="K39" t="inlineStr">
        <is>
          <t>Amsterdam</t>
        </is>
      </c>
      <c r="L39" t="inlineStr">
        <is>
          <t>Amsterdam, The Netherlands</t>
        </is>
      </c>
      <c r="M39" t="n">
        <v>52.3701984</v>
      </c>
      <c r="N39" t="n">
        <v>4.892168</v>
      </c>
      <c r="O39" s="1" t="inlineStr">
        <is>
          <t>The Netherlands</t>
        </is>
      </c>
      <c r="P39" s="1" t="inlineStr">
        <is>
          <t>Netherlands, Belgium</t>
        </is>
      </c>
      <c r="Q39" s="1" t="inlineStr">
        <is>
          <t>Small (10-49 FTE employees)</t>
        </is>
      </c>
      <c r="R39" t="inlineStr">
        <is>
          <t>Small</t>
        </is>
      </c>
      <c r="S39" s="1" t="inlineStr">
        <is>
          <t>Business to Business, Business to Consumer, Business to Schools, Business to Government</t>
        </is>
      </c>
      <c r="T39" s="1" t="inlineStr">
        <is>
          <t>Higher Education, Secondary Education</t>
        </is>
      </c>
      <c r="U39" s="1" t="inlineStr">
        <is>
          <t>Student interfacing, Teacher interfacing</t>
        </is>
      </c>
      <c r="V39" s="1" t="inlineStr">
        <is>
          <t>Logisch Rekenen</t>
        </is>
      </c>
      <c r="W39" s="1" t="inlineStr">
        <is>
          <t>Logical arithmetic</t>
        </is>
      </c>
      <c r="X39" s="10" t="inlineStr">
        <is>
          <t>Studyflow Taal</t>
        </is>
      </c>
      <c r="Y39" t="inlineStr">
        <is>
          <t>Studyflow Language</t>
        </is>
      </c>
      <c r="Z39" s="1" t="inlineStr">
        <is>
          <t>https://drive.google.com/uc?export=view&amp;id=1jOdIHKDaOAz-t0o7gLr_YOJntr3nJixI</t>
        </is>
      </c>
      <c r="AA39" s="1" t="inlineStr">
        <is>
          <t>Verified</t>
        </is>
      </c>
      <c r="AB39" s="1" t="inlineStr">
        <is>
          <t>Collaborations between EdTech organisations, Project consortium building, Industry-academia partnerships, Other, Public-private partnerships</t>
        </is>
      </c>
      <c r="AC39" s="1" t="inlineStr">
        <is>
          <t>For-profit company</t>
        </is>
      </c>
      <c r="AD39" s="10" t="b">
        <v>1</v>
      </c>
      <c r="AE39" s="1" t="b">
        <v>1</v>
      </c>
      <c r="AF39" s="1" t="inlineStr">
        <is>
          <t>Yes</t>
        </is>
      </c>
      <c r="AG39" s="1" t="inlineStr">
        <is>
          <t>https://www.linkedin.com/company/studyflow/</t>
        </is>
      </c>
      <c r="AH39" s="1" t="inlineStr">
        <is>
          <t>https://www.linkedin.com/company/studyflow/</t>
        </is>
      </c>
      <c r="AI39" s="1" t="inlineStr">
        <is>
          <t>https://www.linkedin.com/company/studyflow/</t>
        </is>
      </c>
      <c r="AJ39" s="1" t="n"/>
    </row>
    <row r="40" ht="12.5" customHeight="1">
      <c r="A40" s="6" t="n">
        <v>45890</v>
      </c>
      <c r="B40" s="1" t="inlineStr">
        <is>
          <t>ORG_1174</t>
        </is>
      </c>
      <c r="C40" s="1" t="b">
        <v>1</v>
      </c>
      <c r="D40" s="1" t="inlineStr">
        <is>
          <t>Bloomcoding</t>
        </is>
      </c>
      <c r="E40" s="10" t="inlineStr">
        <is>
          <t>bloomcoding.ro</t>
        </is>
      </c>
      <c r="F40" t="inlineStr">
        <is>
          <t>bloomcoding.ro</t>
        </is>
      </c>
      <c r="G40" s="1" t="inlineStr">
        <is>
          <t>Bloomcoding is a rising star in the European online after-school coding education. We are focused on teaching one million children how to code by building Augmented and Virtual Reality games.  In two years, we've raised nearly €1.2 million, with our €1 million seed round attracting investment from some of the top CEE venture capital funds, such as Credo and Inovo. The investment also included u.ventures, marking Ukraine's first cross-border VC investment into Moldova. Today, we are one of the largest and fastest-growing startups in Moldova.  Our impact extends to over 14,000 families, with a strong market presence in Romania, Bulgaria, Poland, and Turkey. With plans to attract Series A funding soon, we're expanding our team and aiming to serve 12,000 students monthly.  Our success is marked by winning five international accelerators and being named Best Startup at the Moldova Innovation Awards.</t>
        </is>
      </c>
      <c r="H40" s="1" t="inlineStr">
        <is>
          <t>I'm not part of any EdTech association</t>
        </is>
      </c>
      <c r="I40" s="1" t="inlineStr">
        <is>
          <t>English, Romanian</t>
        </is>
      </c>
      <c r="J40" s="1" t="inlineStr">
        <is>
          <t>Chisinau</t>
        </is>
      </c>
      <c r="K40" t="inlineStr">
        <is>
          <t>Chisinau</t>
        </is>
      </c>
      <c r="L40" t="inlineStr">
        <is>
          <t>Chisinau, Moldova</t>
        </is>
      </c>
      <c r="M40" t="n">
        <v>47.0245117</v>
      </c>
      <c r="N40" t="n">
        <v>28.8322923</v>
      </c>
      <c r="O40" s="1" t="inlineStr">
        <is>
          <t>Moldova</t>
        </is>
      </c>
      <c r="P40" s="1" t="inlineStr">
        <is>
          <t>Moldova, Romania, France, Germany, United Kingdom, Spain, Ireland, Belgium, Italy, Luxembourg, Denmark, Norway, Netherlands, Switzerland, Austria, US</t>
        </is>
      </c>
      <c r="Q40" s="1" t="inlineStr">
        <is>
          <t>Small (10-49 FTE employees)</t>
        </is>
      </c>
      <c r="R40" t="inlineStr">
        <is>
          <t>Small</t>
        </is>
      </c>
      <c r="S40" s="1" t="inlineStr">
        <is>
          <t>Business to Consumer, Business to Schools, Business to Government, Business to Business</t>
        </is>
      </c>
      <c r="T40" s="1" t="inlineStr">
        <is>
          <t>Primary Education, Secondary Education</t>
        </is>
      </c>
      <c r="U40" s="1" t="inlineStr">
        <is>
          <t>Student interfacing, Teacher interfacing</t>
        </is>
      </c>
      <c r="V40" s="10" t="inlineStr">
        <is>
          <t>Online coding after-school for children aged 7-14</t>
        </is>
      </c>
      <c r="W40" s="1" t="inlineStr">
        <is>
          <t>Award-winning curriculum that combines coding lessons with home-delivered AR/VR educational tools, supplemented by weekly training on life skills. With the help of our technology gadgets, which we send at home for free, children can immerse and emotionally connect to their projects in a fun way.</t>
        </is>
      </c>
      <c r="X40" s="10" t="inlineStr">
        <is>
          <t>Augmented Reality Education (Haptilica)</t>
        </is>
      </c>
      <c r="Y40" t="inlineStr">
        <is>
          <t>The Augmented Reality Education project aims to develop a globally commercially viable AR school product by focusing on building a feature-rich, content-rich, customizable, localizable, and LMS/existing system integration-ready solution.</t>
        </is>
      </c>
      <c r="Z40" s="1" t="inlineStr">
        <is>
          <t>https://drive.google.com/uc?export=view&amp;id=1wtS_blmrAUsLmLZUJ-DKhfSof1ePnLg3</t>
        </is>
      </c>
      <c r="AA40" s="1" t="inlineStr">
        <is>
          <t>Verified</t>
        </is>
      </c>
      <c r="AB40" s="1" t="inlineStr">
        <is>
          <t>Collaborations between EdTech organisations, Public-private partnerships, Industry-academia partnerships</t>
        </is>
      </c>
      <c r="AC40" s="1" t="inlineStr">
        <is>
          <t>For-profit company</t>
        </is>
      </c>
      <c r="AD40" s="10" t="b">
        <v>1</v>
      </c>
      <c r="AE40" s="1" t="b">
        <v>1</v>
      </c>
      <c r="AF40" s="1" t="inlineStr">
        <is>
          <t>Yes</t>
        </is>
      </c>
      <c r="AG40" s="1" t="inlineStr">
        <is>
          <t>https://www.instagram.com/bloomcoding.ro/</t>
        </is>
      </c>
      <c r="AH40" s="1" t="inlineStr">
        <is>
          <t>https://www.linkedin.com/company/bloomcoding/posts/?feedView=all</t>
        </is>
      </c>
      <c r="AI40" s="1" t="inlineStr">
        <is>
          <t>https://www.linkedin.com/company/bloomcoding/posts/?feedView=all</t>
        </is>
      </c>
      <c r="AJ40" s="10" t="inlineStr">
        <is>
          <t>https://www.facebook.com/bloomcodingmoldova/</t>
        </is>
      </c>
    </row>
    <row r="41" ht="12.5" customHeight="1">
      <c r="A41" s="6" t="n">
        <v>45890</v>
      </c>
      <c r="B41" s="1" t="inlineStr">
        <is>
          <t>ORG_1485</t>
        </is>
      </c>
      <c r="C41" s="1" t="b">
        <v>1</v>
      </c>
      <c r="D41" s="1" t="inlineStr">
        <is>
          <t>ELIIS</t>
        </is>
      </c>
      <c r="E41" s="1" t="inlineStr">
        <is>
          <t>eliis.ey</t>
        </is>
      </c>
      <c r="F41" t="inlineStr">
        <is>
          <t>eliis.ey</t>
        </is>
      </c>
      <c r="G41" s="1" t="inlineStr">
        <is>
          <t>Kindergarten and preschool management platform</t>
        </is>
      </c>
      <c r="H41" s="1" t="inlineStr">
        <is>
          <t>EdTech Estonia</t>
        </is>
      </c>
      <c r="I41" s="1" t="inlineStr">
        <is>
          <t>English, German, Czech, Finnish, Ukrainian, Danish, Latvian, Polish, Lithuanian, Estonian, Swedish</t>
        </is>
      </c>
      <c r="J41" s="1" t="inlineStr">
        <is>
          <t>Tallinn</t>
        </is>
      </c>
      <c r="K41" t="inlineStr">
        <is>
          <t>Tallinn</t>
        </is>
      </c>
      <c r="L41" t="inlineStr">
        <is>
          <t>Tallinn, Estonia</t>
        </is>
      </c>
      <c r="M41" t="n">
        <v>59.437242</v>
      </c>
      <c r="N41" t="n">
        <v>24.7572693</v>
      </c>
      <c r="O41" s="1" t="inlineStr">
        <is>
          <t>Estonia</t>
        </is>
      </c>
      <c r="P41" s="1" t="n"/>
      <c r="Q41" s="1" t="inlineStr">
        <is>
          <t>Small (10-49 FTE employees)</t>
        </is>
      </c>
      <c r="R41" t="inlineStr">
        <is>
          <t>Small</t>
        </is>
      </c>
      <c r="S41" s="1" t="inlineStr">
        <is>
          <t>Business to Business, Business to Consumer, Business to Government, Business to Schools</t>
        </is>
      </c>
      <c r="T41" s="1" t="inlineStr">
        <is>
          <t>Early childhood development (0-5 years)</t>
        </is>
      </c>
      <c r="U41" s="1" t="inlineStr">
        <is>
          <t>Teacher interfacing, System/Administrative</t>
        </is>
      </c>
      <c r="V41" s="1" t="inlineStr">
        <is>
          <t>Kindergarten platfrom</t>
        </is>
      </c>
      <c r="W41" s="1" t="inlineStr">
        <is>
          <t>Marketplace for vendors</t>
        </is>
      </c>
      <c r="X41" s="10" t="inlineStr">
        <is>
          <t>https://drive.google.com/uc?export=view&amp;id=1trIalvfArdfxqTIPsGQkiENdZYCpc7nq</t>
        </is>
      </c>
      <c r="Y41" t="inlineStr">
        <is>
          <t>https://drive.google.com/uc?export=view&amp;id=1trIalvfArdfxqTIPsGQkiENdZYCpc7nq</t>
        </is>
      </c>
      <c r="Z41" s="1" t="inlineStr">
        <is>
          <t>https://drive.google.com/uc?export=view&amp;id=1trIalvfArdfxqTIPsGQkiENdZYCpc7nq</t>
        </is>
      </c>
      <c r="AA41" s="1" t="inlineStr">
        <is>
          <t>Verified</t>
        </is>
      </c>
      <c r="AB41" s="1" t="inlineStr">
        <is>
          <t>Collaborations between EdTech organisations, Project consortium building, Public-private partnerships, Industry-academia partnerships</t>
        </is>
      </c>
      <c r="AC41" s="1" t="inlineStr">
        <is>
          <t>For-profit company</t>
        </is>
      </c>
      <c r="AD41" s="10" t="b">
        <v>1</v>
      </c>
      <c r="AE41" s="1" t="b">
        <v>1</v>
      </c>
      <c r="AF41" s="1" t="inlineStr">
        <is>
          <t>Yes</t>
        </is>
      </c>
      <c r="AG41" s="1" t="inlineStr">
        <is>
          <t>https://www.linkedin.com/company/10670987/</t>
        </is>
      </c>
      <c r="AH41" s="1" t="inlineStr">
        <is>
          <t>https://www.linkedin.com/company/10670987/</t>
        </is>
      </c>
      <c r="AI41" s="1" t="inlineStr">
        <is>
          <t>https://www.linkedin.com/company/10670987/</t>
        </is>
      </c>
      <c r="AJ41" s="10" t="inlineStr">
        <is>
          <t>https://www.facebook.com/eliis.international</t>
        </is>
      </c>
    </row>
    <row r="42" ht="12.5" customHeight="1">
      <c r="A42" s="6" t="n">
        <v>45890</v>
      </c>
      <c r="B42" s="1" t="inlineStr">
        <is>
          <t>ORG_1468</t>
        </is>
      </c>
      <c r="C42" s="1" t="b">
        <v>1</v>
      </c>
      <c r="D42" s="1" t="inlineStr">
        <is>
          <t>Edventures</t>
        </is>
      </c>
      <c r="E42" s="10" t="inlineStr">
        <is>
          <t>https://edventures.ai</t>
        </is>
      </c>
      <c r="F42" t="inlineStr">
        <is>
          <t>edventures.ai</t>
        </is>
      </c>
      <c r="G42" s="1" t="inlineStr">
        <is>
          <t>Edventures is an edtech startup whose mission is to promote entrepreneurship by providing personalised entrepreneurship learning and guidance to budding entrepreneurs.</t>
        </is>
      </c>
      <c r="H42" s="1" t="inlineStr">
        <is>
          <t>I'm not part of any EdTech association</t>
        </is>
      </c>
      <c r="I42" s="1" t="inlineStr">
        <is>
          <t>English</t>
        </is>
      </c>
      <c r="J42" s="1" t="inlineStr">
        <is>
          <t>Norrköping</t>
        </is>
      </c>
      <c r="K42" t="inlineStr">
        <is>
          <t>Norrköping</t>
        </is>
      </c>
      <c r="L42" t="inlineStr">
        <is>
          <t>Norrköping, Sweden</t>
        </is>
      </c>
      <c r="M42" t="n">
        <v>58.5909124</v>
      </c>
      <c r="N42" t="n">
        <v>16.1903511</v>
      </c>
      <c r="O42" s="1" t="inlineStr">
        <is>
          <t>Sweden</t>
        </is>
      </c>
      <c r="P42" s="1" t="inlineStr">
        <is>
          <t>https://instagram.com/edventures.ai</t>
        </is>
      </c>
      <c r="Q42" s="1" t="inlineStr">
        <is>
          <t>Micro (1-9 FTE employees)</t>
        </is>
      </c>
      <c r="R42" t="inlineStr">
        <is>
          <t>Micro</t>
        </is>
      </c>
      <c r="S42" s="1" t="inlineStr">
        <is>
          <t>Business to Consumer</t>
        </is>
      </c>
      <c r="T42" s="1" t="inlineStr">
        <is>
          <t>Vocational Education and Training (VET), Lifelong learning/Adult education</t>
        </is>
      </c>
      <c r="U42" s="1" t="inlineStr">
        <is>
          <t>Student interfacing, Teacher interfacing, System/Administrative</t>
        </is>
      </c>
      <c r="V42" s="10" t="inlineStr">
        <is>
          <t>Anna</t>
        </is>
      </c>
      <c r="W42" s="1" t="inlineStr">
        <is>
          <t>Anna's coaching goes beyond concepts, providing actionable strategies to implement and transform your vision into a tangible, successful reality.</t>
        </is>
      </c>
      <c r="X42" s="10" t="inlineStr">
        <is>
          <t>https://drive.google.com/uc?export=view&amp;id=1gKJol1g_8zz-6kkrrAzBLnEaA3lkCJ3A</t>
        </is>
      </c>
      <c r="Y42" t="inlineStr">
        <is>
          <t>https://drive.google.com/uc?export=view&amp;id=1gKJol1g_8zz-6kkrrAzBLnEaA3lkCJ3A</t>
        </is>
      </c>
      <c r="Z42" s="1" t="inlineStr">
        <is>
          <t>https://drive.google.com/uc?export=view&amp;id=1gKJol1g_8zz-6kkrrAzBLnEaA3lkCJ3A</t>
        </is>
      </c>
      <c r="AA42" s="1" t="inlineStr">
        <is>
          <t>Verified</t>
        </is>
      </c>
      <c r="AB42" s="1" t="inlineStr">
        <is>
          <t>Project consortium building, Public-private partnerships</t>
        </is>
      </c>
      <c r="AC42" s="1" t="inlineStr">
        <is>
          <t>For-profit company</t>
        </is>
      </c>
      <c r="AD42" s="10" t="b">
        <v>0</v>
      </c>
      <c r="AE42" s="1" t="b">
        <v>1</v>
      </c>
      <c r="AF42" s="1" t="inlineStr">
        <is>
          <t>Yes</t>
        </is>
      </c>
      <c r="AG42" s="1" t="inlineStr">
        <is>
          <t>https://instagram.com/edventures.ai</t>
        </is>
      </c>
      <c r="AH42" s="1" t="inlineStr">
        <is>
          <t>https://www.linkedin.com/company/edventuresai</t>
        </is>
      </c>
      <c r="AI42" s="1" t="inlineStr">
        <is>
          <t>https://www.linkedin.com/company/edventuresai</t>
        </is>
      </c>
      <c r="AJ42" s="10" t="inlineStr">
        <is>
          <t>https://www.facebook.com/edventuresai</t>
        </is>
      </c>
    </row>
    <row r="43" ht="12.5" customHeight="1">
      <c r="A43" s="6" t="n">
        <v>45889</v>
      </c>
      <c r="B43" s="1" t="inlineStr">
        <is>
          <t>ORG_2645</t>
        </is>
      </c>
      <c r="C43" s="1" t="b">
        <v>1</v>
      </c>
      <c r="D43" s="1" t="inlineStr">
        <is>
          <t>Science Entrepreneurship Technology University (SET)</t>
        </is>
      </c>
      <c r="E43" s="10" t="inlineStr">
        <is>
          <t>www.setuniversity.edu.ua</t>
        </is>
      </c>
      <c r="F43" t="inlineStr">
        <is>
          <t>setuniversity.edu.ua</t>
        </is>
      </c>
      <c r="G43" s="1" t="inlineStr">
        <is>
          <t>SET is a private nonprofit higher education institution and is among the top-providers of digital innovation and entrepreneurial education in Ukraine. SET is aimed at tech business including startups and deep tech working in two dimensions: talents development (skilling/upskilling/reskilling) and academic educational products (customer development approach) for youth and adults. It operates in a blended format, closely cooperating with IT business companies and startups to bring up-to-date agile knowledge and practice to its learners. The strategic educational areas are cybersecurity, AI, blockchain, DeepTech, innovations, and startups. Another strategic focus of interest is bringing science closer to market. SET is licensed to award master’s degrees in “Security, Quality and Data Analysis” (Cyber Defense) and “Computer Science and Innovation Engineering” (Computer Science: Machine Learning &amp; Cloud Computing; Computer Science: Innovation Engineering) and also delivers 4 MicroMasters programs and a number of short-term qualification advancement courses aimed at tech business. As of March 2025, SET boasts of 300+ founders trained through our programs (including ca 200 women), 70 startups graduated from bootcamps, who raised 300 000 USD. SET has launched two its own cybersecurity startups, and a SET Accelerator for IT professionals and deep tech entrepreneurs and innovators, with a special focus on women-led businesses and startups, as well as the wider public. SET is dedicated to sensitive social impact and is supporting Ukraine in international projects related to digital transformation and cybersecurity education.</t>
        </is>
      </c>
      <c r="H43" s="1" t="inlineStr">
        <is>
          <t>I'm not part of any EdTech association</t>
        </is>
      </c>
      <c r="I43" s="1" t="inlineStr">
        <is>
          <t>English, Ukrainian</t>
        </is>
      </c>
      <c r="J43" s="1" t="inlineStr">
        <is>
          <t>Kyiv</t>
        </is>
      </c>
      <c r="K43" t="inlineStr">
        <is>
          <t>Kyiv</t>
        </is>
      </c>
      <c r="L43" t="inlineStr">
        <is>
          <t>Kyiv, Ukraine</t>
        </is>
      </c>
      <c r="M43" t="n">
        <v>50.4500336</v>
      </c>
      <c r="N43" t="n">
        <v>30.5241361</v>
      </c>
      <c r="O43" s="1" t="inlineStr">
        <is>
          <t>Ukraine</t>
        </is>
      </c>
      <c r="P43" s="1" t="inlineStr">
        <is>
          <t>Ukraine</t>
        </is>
      </c>
      <c r="Q43" s="1" t="inlineStr">
        <is>
          <t>Small (10-49 FTE employees)</t>
        </is>
      </c>
      <c r="R43" t="inlineStr">
        <is>
          <t>Small</t>
        </is>
      </c>
      <c r="S43" s="1" t="inlineStr">
        <is>
          <t>Business to Business, Business to Consumer</t>
        </is>
      </c>
      <c r="T43" s="1" t="inlineStr">
        <is>
          <t>Higher Education, Lifelong learning/Adult education, Corporate Training</t>
        </is>
      </c>
      <c r="U43" s="1" t="inlineStr">
        <is>
          <t>Other</t>
        </is>
      </c>
      <c r="V43" s="10" t="inlineStr">
        <is>
          <t>master’s degrees in “Security, Quality and Data Analysis” and “Computer Science and Innovation Engineering”</t>
        </is>
      </c>
      <c r="W43" s="1" t="inlineStr">
        <is>
          <t>With top experts as teaching staff and multiple invited lecturers (e.g. ex CIA, ODNI, Tesla, ISACA, State Street, etc) SET is licensed to award master’s degrees in “Security, Quality and Data Analysis” and “Computer Science and Innovation Engineering”.</t>
        </is>
      </c>
      <c r="X43" s="10" t="inlineStr">
        <is>
          <t>MicroMaster courses</t>
        </is>
      </c>
      <c r="Y43" t="inlineStr">
        <is>
          <t>MicroMaster courses offer covers 6-14 weeks of “Information and Cybersecurity Management”, “Change Management”, “Generative AI for Developers”, “Solution Architecture”</t>
        </is>
      </c>
      <c r="Z43" s="1" t="inlineStr">
        <is>
          <t>https://drive.google.com/uc?export=view&amp;id=1JuuyuU2B-dRCEAHqjDddwDB9_iqZz8ck</t>
        </is>
      </c>
      <c r="AA43" s="1" t="inlineStr">
        <is>
          <t>Verified</t>
        </is>
      </c>
      <c r="AB43" s="1" t="inlineStr">
        <is>
          <t>Project consortium building</t>
        </is>
      </c>
      <c r="AC43" s="1" t="inlineStr">
        <is>
          <t>Non-profit organisation</t>
        </is>
      </c>
      <c r="AD43" s="10" t="b">
        <v>1</v>
      </c>
      <c r="AE43" s="1" t="b">
        <v>1</v>
      </c>
      <c r="AF43" s="1" t="inlineStr">
        <is>
          <t>Yes</t>
        </is>
      </c>
      <c r="AG43" s="1" t="inlineStr">
        <is>
          <t>http://instagram.com/setuniversity/</t>
        </is>
      </c>
      <c r="AH43" s="1" t="inlineStr">
        <is>
          <t>https://www.linkedin.com/company/set-university/</t>
        </is>
      </c>
      <c r="AI43" s="1" t="inlineStr">
        <is>
          <t>https://www.linkedin.com/company/set-university/</t>
        </is>
      </c>
      <c r="AJ43" s="10" t="inlineStr">
        <is>
          <t>https://www.facebook.com/setuniversity.tech</t>
        </is>
      </c>
    </row>
    <row r="44" ht="12.5" customHeight="1">
      <c r="A44" s="6" t="n">
        <v>45889</v>
      </c>
      <c r="B44" s="1" t="inlineStr">
        <is>
          <t>ORG_2644</t>
        </is>
      </c>
      <c r="C44" s="1" t="b">
        <v>1</v>
      </c>
      <c r="D44" s="1" t="inlineStr">
        <is>
          <t>Senior Lingua, S.L.</t>
        </is>
      </c>
      <c r="E44" s="10" t="inlineStr">
        <is>
          <t>https://seniorlingua.com/</t>
        </is>
      </c>
      <c r="F44" t="inlineStr">
        <is>
          <t>seniorlingua.com</t>
        </is>
      </c>
      <c r="G44" s="1" t="inlineStr">
        <is>
          <t>We connect Spanish language students with seniors through safe and enjoyable video calls about a weekly topic.</t>
        </is>
      </c>
      <c r="H44" s="1" t="inlineStr">
        <is>
          <t>I'm not part of any EdTech association</t>
        </is>
      </c>
      <c r="I44" s="1" t="inlineStr">
        <is>
          <t>Spanish</t>
        </is>
      </c>
      <c r="J44" s="1" t="inlineStr">
        <is>
          <t>A Coruña</t>
        </is>
      </c>
      <c r="K44" t="inlineStr">
        <is>
          <t>A Coruña</t>
        </is>
      </c>
      <c r="L44" t="inlineStr">
        <is>
          <t>A Coruña, Spain</t>
        </is>
      </c>
      <c r="M44" t="n">
        <v>43.3466447</v>
      </c>
      <c r="N44" t="n">
        <v>-8.412702899999999</v>
      </c>
      <c r="O44" s="1" t="inlineStr">
        <is>
          <t>Spain</t>
        </is>
      </c>
      <c r="P44" s="1" t="inlineStr">
        <is>
          <t>Albania, Bulgaria, Andorra, Belarus, Belgium, Austria, Bosnia and Herzegovina, Republic of Cyprus, Croatia, Estonia, Czechia, Denmark, France, Finland, Greece, Hungary, Germany, Iceland, Kosovo, Lithuania, Liechtenstein, Italy, Ireland, Latvia, Luxembourg, Monaco, North Macedonia, Portugal, Slovakia, Malta, Montenegro, Norway, Romania, Slovenia, Switzerland, Turkey, San Marino, Poland, Netherlands, Moldova, Spain, United Kingdom, Ukraine, Sweden</t>
        </is>
      </c>
      <c r="Q44" s="1" t="inlineStr">
        <is>
          <t>Solo entrepreneur</t>
        </is>
      </c>
      <c r="R44" t="inlineStr">
        <is>
          <t>Solo entrepreneur</t>
        </is>
      </c>
      <c r="S44" s="1" t="inlineStr">
        <is>
          <t>Business to Business, Business to Consumer</t>
        </is>
      </c>
      <c r="T44" s="1" t="inlineStr">
        <is>
          <t>Lifelong learning/Adult education, Higher Education, Other</t>
        </is>
      </c>
      <c r="U44" s="1" t="inlineStr">
        <is>
          <t>Other</t>
        </is>
      </c>
      <c r="V44" s="10" t="inlineStr">
        <is>
          <t>Senior Lingua : Español</t>
        </is>
      </c>
      <c r="W44" s="10" t="inlineStr">
        <is>
          <t>An App that connects seniors with Spanish language students through videocalls</t>
        </is>
      </c>
      <c r="X44" s="10" t="inlineStr">
        <is>
          <t>https://drive.google.com/uc?export=view&amp;id=1dRgYQgvZRaYW53c6KHK6UECdwmMhTQ7d</t>
        </is>
      </c>
      <c r="Y44" t="inlineStr">
        <is>
          <t>https://drive.google.com/uc?export=view&amp;id=1dRgYQgvZRaYW53c6KHK6UECdwmMhTQ7d</t>
        </is>
      </c>
      <c r="Z44" s="1" t="inlineStr">
        <is>
          <t>https://drive.google.com/uc?export=view&amp;id=1dRgYQgvZRaYW53c6KHK6UECdwmMhTQ7d</t>
        </is>
      </c>
      <c r="AA44" s="1" t="inlineStr">
        <is>
          <t>Verified</t>
        </is>
      </c>
      <c r="AB44" s="1" t="inlineStr">
        <is>
          <t>Project consortium building, Public-private partnerships, Industry-academia partnerships, Other, Collaborations between EdTech organisations</t>
        </is>
      </c>
      <c r="AC44" s="1" t="inlineStr">
        <is>
          <t>For-profit company</t>
        </is>
      </c>
      <c r="AD44" s="10" t="b">
        <v>1</v>
      </c>
      <c r="AE44" s="1" t="b">
        <v>1</v>
      </c>
      <c r="AF44" s="1" t="inlineStr">
        <is>
          <t>Yes</t>
        </is>
      </c>
      <c r="AG44" s="1" t="inlineStr">
        <is>
          <t>https://www.instagram.com/seniorlingua/</t>
        </is>
      </c>
      <c r="AH44" s="1" t="inlineStr">
        <is>
          <t>https://x.com/@Senior_Lingua</t>
        </is>
      </c>
      <c r="AI44" s="1" t="inlineStr">
        <is>
          <t>https://www.linkedin.com/company/senior-lingua/</t>
        </is>
      </c>
      <c r="AJ44" s="10" t="inlineStr">
        <is>
          <t>https://www.facebook.com/Seniorlingua</t>
        </is>
      </c>
    </row>
    <row r="45" ht="12.5" customHeight="1">
      <c r="A45" s="6" t="n">
        <v>45889</v>
      </c>
      <c r="B45" s="1" t="inlineStr">
        <is>
          <t>ORG_1099</t>
        </is>
      </c>
      <c r="C45" s="1" t="b">
        <v>1</v>
      </c>
      <c r="D45" s="1" t="inlineStr">
        <is>
          <t>ArtCentrica</t>
        </is>
      </c>
      <c r="E45" s="10" t="inlineStr">
        <is>
          <t>https://www.artcentrica.com</t>
        </is>
      </c>
      <c r="F45" t="inlineStr">
        <is>
          <t>artcentrica.com</t>
        </is>
      </c>
      <c r="G45" s="1" t="inlineStr">
        <is>
          <t>ArtCentrica is the EdTech/CultTech startup that revolutionizes how art is taught, learned and appreciated and the learning of other disciplines through art. ArtCentrica is a spin off of Centrica https://www.centrica.it an early mover in the intersection of art, education, and innovation. ArtCentrica EDU is a cloud application with more than 8,000 artworks, from 21 global museums (Uffizi Galleries, Brera, MET, ,...) with images up to 10 GigaPixel. With ArtCentrica Platform we design customised projects, like «The Greatest Wildlife Photographs» for National Geographic. ArtCentrica is introducing a unique educational tool where human and artificial intelligence converge to create interactive multimedia narratives: AI ArtCentrica Stories, like in "Renaissance and the Silk Road" https://stories.art.centrica.it/shared/9QNQ5hsxGANbbetE https://tinyurl.com/3dnzxv5z</t>
        </is>
      </c>
      <c r="H45" s="1" t="inlineStr">
        <is>
          <t>EdTech Italia</t>
        </is>
      </c>
      <c r="I45" s="1" t="inlineStr">
        <is>
          <t>English, Italian, French, Spanish, Portuguese, German</t>
        </is>
      </c>
      <c r="J45" s="1" t="inlineStr">
        <is>
          <t>Florence</t>
        </is>
      </c>
      <c r="K45" t="inlineStr">
        <is>
          <t>Florence</t>
        </is>
      </c>
      <c r="L45" t="inlineStr">
        <is>
          <t>Florence, Italy</t>
        </is>
      </c>
      <c r="M45" t="n">
        <v>43.7697955</v>
      </c>
      <c r="N45" t="n">
        <v>11.2556404</v>
      </c>
      <c r="O45" s="1" t="inlineStr">
        <is>
          <t>Italy</t>
        </is>
      </c>
      <c r="P45" s="1" t="inlineStr">
        <is>
          <t>France, Germany, Italy, United Kingdom, Switzerland</t>
        </is>
      </c>
      <c r="Q45" s="1" t="inlineStr">
        <is>
          <t>Micro (1-9 FTE employees)</t>
        </is>
      </c>
      <c r="R45" t="inlineStr">
        <is>
          <t>Micro</t>
        </is>
      </c>
      <c r="S45" s="1" t="inlineStr">
        <is>
          <t>Business to Business, Business to Government, Business to Schools</t>
        </is>
      </c>
      <c r="T45" s="1" t="inlineStr">
        <is>
          <t>Secondary Education, Primary Education, Higher Education, Lifelong learning/Adult education</t>
        </is>
      </c>
      <c r="U45" s="1" t="inlineStr">
        <is>
          <t>Student interfacing, Teacher interfacing</t>
        </is>
      </c>
      <c r="V45" s="10" t="inlineStr">
        <is>
          <t>ArtCentrica EDU</t>
        </is>
      </c>
      <c r="W45" s="1" t="inlineStr">
        <is>
          <t>ArtCentrica EDU is a cloud application with more than 8,000 artworks, from 21 global museums (Uffizi Galleries, Brera, MET,...) with images up to 10 GigaPixel for each artwork. Through the lens of art, it aims to provide students with essential soft skills to tackle today’s and tomorrow challenges.</t>
        </is>
      </c>
      <c r="X45" s="10" t="inlineStr">
        <is>
          <t>AI ArtCentrica Stories</t>
        </is>
      </c>
      <c r="Y45" t="inlineStr">
        <is>
          <t>A unique educational tool where human and artificial intelligence converge to create interactive multimedia narratives centred around works of art, like in "Renaissance and the Silk Road" https://stories.art.centrica.it/shared/9QNQ5hsxGANbbetE</t>
        </is>
      </c>
      <c r="Z45" s="1" t="inlineStr">
        <is>
          <t>https://drive.google.com/uc?export=view&amp;id=1YtvHoKbpSptFCweYTXU_tUzyyCYwAur0</t>
        </is>
      </c>
      <c r="AA45" s="1" t="inlineStr">
        <is>
          <t>Verified</t>
        </is>
      </c>
      <c r="AB45" s="1" t="inlineStr">
        <is>
          <t>Collaborations between EdTech organisations, Public-private partnerships, Industry-academia partnerships</t>
        </is>
      </c>
      <c r="AC45" s="1" t="inlineStr">
        <is>
          <t>For-profit company</t>
        </is>
      </c>
      <c r="AD45" s="10" t="b">
        <v>1</v>
      </c>
      <c r="AE45" s="1" t="b">
        <v>1</v>
      </c>
      <c r="AF45" s="1" t="inlineStr">
        <is>
          <t>Yes</t>
        </is>
      </c>
      <c r="AG45" s="1" t="inlineStr">
        <is>
          <t>https://www.instagram.com/artcentrica/</t>
        </is>
      </c>
      <c r="AH45" s="1" t="inlineStr">
        <is>
          <t>https://www.linkedin.com/company/artcentrica</t>
        </is>
      </c>
      <c r="AI45" s="1" t="inlineStr">
        <is>
          <t>https://www.linkedin.com/company/artcentrica</t>
        </is>
      </c>
      <c r="AJ45" s="10" t="inlineStr">
        <is>
          <t>https://www.facebook.com/ArtCentricaEDU</t>
        </is>
      </c>
    </row>
    <row r="46" ht="12.5" customHeight="1">
      <c r="A46" s="6" t="n">
        <v>45889</v>
      </c>
      <c r="B46" s="1" t="inlineStr">
        <is>
          <t>ORG_2643</t>
        </is>
      </c>
      <c r="C46" s="1" t="b">
        <v>1</v>
      </c>
      <c r="D46" s="1" t="inlineStr">
        <is>
          <t>Eonesia</t>
        </is>
      </c>
      <c r="E46" s="10" t="inlineStr">
        <is>
          <t>www.eonesia.com</t>
        </is>
      </c>
      <c r="F46" t="inlineStr">
        <is>
          <t>eonesia.com</t>
        </is>
      </c>
      <c r="G46" s="1" t="inlineStr">
        <is>
          <t>Eonesia is an immersive learning infrastructure designed to accelerate onboarding, foster employability, and enable inclusive training through task-based simulation. We operate under a SaaS-enabled Marketplace model, allowing organizations to deploy, customize, and scale virtual training experiences with measurable KPIs (autonomy, retention, support hours). Our platform connects education, industry, and social impact by transforming real tasks into guided, accessible, and evaluable learning experiences—before Day 1.</t>
        </is>
      </c>
      <c r="H46" s="1" t="inlineStr">
        <is>
          <t>SEK Lab</t>
        </is>
      </c>
      <c r="I46" s="1" t="inlineStr">
        <is>
          <t>English, Spanish</t>
        </is>
      </c>
      <c r="J46" s="1" t="inlineStr">
        <is>
          <t>Córdoba</t>
        </is>
      </c>
      <c r="K46" t="inlineStr">
        <is>
          <t>Córdoba</t>
        </is>
      </c>
      <c r="L46" t="inlineStr">
        <is>
          <t>Córdoba, Spain</t>
        </is>
      </c>
      <c r="M46" t="n">
        <v>37.8845813</v>
      </c>
      <c r="N46" t="n">
        <v>-4.7760138</v>
      </c>
      <c r="O46" s="1" t="inlineStr">
        <is>
          <t>Spain</t>
        </is>
      </c>
      <c r="P46" s="1" t="inlineStr">
        <is>
          <t>Germany, France, Italy, Spain</t>
        </is>
      </c>
      <c r="Q46" s="1" t="inlineStr">
        <is>
          <t>Micro (1-9 FTE employees)</t>
        </is>
      </c>
      <c r="R46" t="inlineStr">
        <is>
          <t>Micro</t>
        </is>
      </c>
      <c r="S46" s="1" t="inlineStr">
        <is>
          <t>Business to Schools, Business to Business, Business to Government</t>
        </is>
      </c>
      <c r="T46" s="1" t="inlineStr">
        <is>
          <t>Corporate Training, Higher Education, Secondary Education, Lifelong learning/Adult education, Special Education</t>
        </is>
      </c>
      <c r="U46" s="1" t="inlineStr">
        <is>
          <t>Student interfacing, Teacher interfacing, Other</t>
        </is>
      </c>
      <c r="V46" s="1" t="inlineStr">
        <is>
          <t>Eonesia Spaces &amp; Marketplace</t>
        </is>
      </c>
      <c r="W46" s="1" t="inlineStr">
        <is>
          <t>A flexible SaaS infrastructure to create immersive environments—such as onboarding worlds, interactive campuses, virtual job fairs, or branded showrooms.
Clients can build their own experiences using customizable templates, avatars, tasks, and spaces.
Integrated with a creator-centric marketplace</t>
        </is>
      </c>
      <c r="X46" s="10" t="inlineStr">
        <is>
          <t>Eonesia Inclusion Suite (SaaS)</t>
        </is>
      </c>
      <c r="Y46" t="inlineStr">
        <is>
          <t>A specialized SaaS platform that supports companies and institutions in training, onboarding, and including people with disabilities through immersive task-based simulations.</t>
        </is>
      </c>
      <c r="Z46" s="1" t="inlineStr">
        <is>
          <t>https://drive.google.com/uc?export=view&amp;id=1w07dvcNtGybUXkh1WrMhbWnj6CIeptyJ</t>
        </is>
      </c>
      <c r="AA46" s="1" t="inlineStr">
        <is>
          <t>Verified</t>
        </is>
      </c>
      <c r="AB46" s="1" t="inlineStr">
        <is>
          <t>Collaborations between EdTech organisations, Public-private partnerships, Industry-academia partnerships, Project consortium building</t>
        </is>
      </c>
      <c r="AC46" s="1" t="inlineStr">
        <is>
          <t>For-profit company</t>
        </is>
      </c>
      <c r="AD46" s="10" t="b">
        <v>1</v>
      </c>
      <c r="AE46" s="1" t="b">
        <v>1</v>
      </c>
      <c r="AF46" s="1" t="inlineStr">
        <is>
          <t>Yes</t>
        </is>
      </c>
      <c r="AG46" s="1" t="inlineStr">
        <is>
          <t>@Eonesia_world</t>
        </is>
      </c>
      <c r="AH46" s="1" t="inlineStr">
        <is>
          <t>https://www.linkedin.com/company/eonesia/</t>
        </is>
      </c>
      <c r="AI46" s="1" t="inlineStr">
        <is>
          <t>https://www.linkedin.com/company/eonesia/</t>
        </is>
      </c>
      <c r="AJ46" s="1" t="inlineStr">
        <is>
          <t>@Eonesia_world</t>
        </is>
      </c>
    </row>
    <row r="47" ht="12.5" customHeight="1">
      <c r="A47" s="6" t="n">
        <v>45889</v>
      </c>
      <c r="B47" s="1" t="inlineStr">
        <is>
          <t>ORG_2642</t>
        </is>
      </c>
      <c r="C47" s="1" t="b">
        <v>1</v>
      </c>
      <c r="D47" s="1" t="inlineStr">
        <is>
          <t>SkillsPlay Ltd.</t>
        </is>
      </c>
      <c r="E47" s="10" t="inlineStr">
        <is>
          <t>www.brightgame.com</t>
        </is>
      </c>
      <c r="F47" t="inlineStr">
        <is>
          <t>brightgame.com</t>
        </is>
      </c>
      <c r="G47" s="1" t="inlineStr">
        <is>
          <t>Platform for creating vocational SLG's (Serious Learning Games)</t>
        </is>
      </c>
      <c r="H47" s="1" t="inlineStr">
        <is>
          <t>I'm not part of any EdTech association</t>
        </is>
      </c>
      <c r="I47" s="1" t="inlineStr">
        <is>
          <t>English</t>
        </is>
      </c>
      <c r="J47" s="1" t="inlineStr">
        <is>
          <t>Newcastle</t>
        </is>
      </c>
      <c r="K47" t="inlineStr">
        <is>
          <t>Newcastle</t>
        </is>
      </c>
      <c r="L47" t="inlineStr">
        <is>
          <t>Newcastle, United Kingdom</t>
        </is>
      </c>
      <c r="M47" t="n">
        <v>54.9738474</v>
      </c>
      <c r="N47" t="n">
        <v>-1.6131572</v>
      </c>
      <c r="O47" s="1" t="inlineStr">
        <is>
          <t>United Kingdom</t>
        </is>
      </c>
      <c r="P47" s="1" t="inlineStr">
        <is>
          <t>United Kingdom</t>
        </is>
      </c>
      <c r="Q47" s="1" t="inlineStr">
        <is>
          <t>Micro (1-9 FTE employees)</t>
        </is>
      </c>
      <c r="R47" t="inlineStr">
        <is>
          <t>Micro</t>
        </is>
      </c>
      <c r="S47" s="1" t="inlineStr">
        <is>
          <t>Business to Business, Business to Government, Business to Schools</t>
        </is>
      </c>
      <c r="T47" s="1" t="inlineStr">
        <is>
          <t>Vocational Education and Training (VET), Corporate Training</t>
        </is>
      </c>
      <c r="U47" s="1" t="inlineStr">
        <is>
          <t>Student interfacing, Teacher interfacing, System/Administrative</t>
        </is>
      </c>
      <c r="V47" s="1" t="inlineStr">
        <is>
          <t>BrightGame</t>
        </is>
      </c>
      <c r="W47" s="1" t="inlineStr">
        <is>
          <t>Game creation platform for capturing complex situational processes</t>
        </is>
      </c>
      <c r="X47" s="1" t="inlineStr">
        <is>
          <t>https://drive.google.com/uc?export=view&amp;id=1z1-TgwQMGhrksvrZxWQo8vf91N92IOWf</t>
        </is>
      </c>
      <c r="Y47" t="inlineStr">
        <is>
          <t>https://drive.google.com/uc?export=view&amp;id=1z1-TgwQMGhrksvrZxWQo8vf91N92IOWf</t>
        </is>
      </c>
      <c r="Z47" s="1" t="inlineStr">
        <is>
          <t>https://drive.google.com/uc?export=view&amp;id=1z1-TgwQMGhrksvrZxWQo8vf91N92IOWf</t>
        </is>
      </c>
      <c r="AA47" s="1" t="inlineStr">
        <is>
          <t>Verified</t>
        </is>
      </c>
      <c r="AB47" s="1" t="inlineStr">
        <is>
          <t>Collaborations between EdTech organisations, Project consortium building, Public-private partnerships, Industry-academia partnerships, Other</t>
        </is>
      </c>
      <c r="AC47" s="1" t="inlineStr">
        <is>
          <t>For-profit company</t>
        </is>
      </c>
      <c r="AD47" s="10" t="b">
        <v>1</v>
      </c>
      <c r="AE47" s="1" t="b">
        <v>1</v>
      </c>
      <c r="AF47" s="1" t="inlineStr">
        <is>
          <t>Yes</t>
        </is>
      </c>
      <c r="AG47" s="1" t="n"/>
      <c r="AH47" s="1" t="n"/>
      <c r="AI47" s="1" t="inlineStr">
        <is>
          <t>SkillsPlay Ltd.</t>
        </is>
      </c>
      <c r="AJ47" s="1" t="n"/>
    </row>
    <row r="48" ht="12.5" customHeight="1">
      <c r="A48" s="6" t="n">
        <v>45889</v>
      </c>
      <c r="B48" s="1" t="inlineStr">
        <is>
          <t>ORG_1901</t>
        </is>
      </c>
      <c r="C48" s="1" t="b">
        <v>1</v>
      </c>
      <c r="D48" s="1" t="inlineStr">
        <is>
          <t>Magma</t>
        </is>
      </c>
      <c r="E48" s="10" t="inlineStr">
        <is>
          <t>https://magma.app/</t>
        </is>
      </c>
      <c r="F48" t="inlineStr">
        <is>
          <t>magma.app</t>
        </is>
      </c>
      <c r="G48" s="1" t="inlineStr">
        <is>
          <t>Magma is an ambassador engagement platform that helps schools, universities, and companies activate their communities. With Magma, organisations can launch tailored actions—such as content creation, reviews, referrals, challenges, or events—and track their impact in real time. By turning students and alumni into active ambassadors, Magma drives visibility, recruitment, and long-term loyalty.</t>
        </is>
      </c>
      <c r="H48" s="1" t="inlineStr">
        <is>
          <t>EdTech France</t>
        </is>
      </c>
      <c r="I48" s="1" t="inlineStr">
        <is>
          <t>English, French, Spanish, German, Italian, Portuguese</t>
        </is>
      </c>
      <c r="J48" s="1" t="inlineStr">
        <is>
          <t>Paris</t>
        </is>
      </c>
      <c r="K48" t="inlineStr">
        <is>
          <t>Paris</t>
        </is>
      </c>
      <c r="L48" t="inlineStr">
        <is>
          <t>Paris, France</t>
        </is>
      </c>
      <c r="M48" t="n">
        <v>48.8534951</v>
      </c>
      <c r="N48" t="n">
        <v>2.3483915</v>
      </c>
      <c r="O48" s="1" t="inlineStr">
        <is>
          <t>France</t>
        </is>
      </c>
      <c r="P48" s="1" t="inlineStr">
        <is>
          <t>Austria, Belgium, France, Germany, Italy, Ireland, Netherlands, Portugal, Spain, United Kingdom</t>
        </is>
      </c>
      <c r="Q48" s="1" t="inlineStr">
        <is>
          <t>Small (10-49 FTE employees)</t>
        </is>
      </c>
      <c r="R48" t="inlineStr">
        <is>
          <t>Small</t>
        </is>
      </c>
      <c r="S48" s="1" t="inlineStr">
        <is>
          <t>Business to Business</t>
        </is>
      </c>
      <c r="T48" s="1" t="inlineStr">
        <is>
          <t>Higher Education, Vocational Education and Training (VET), Lifelong learning/Adult education, Corporate Training</t>
        </is>
      </c>
      <c r="U48" s="1" t="inlineStr">
        <is>
          <t>Student interfacing, Other</t>
        </is>
      </c>
      <c r="V48" s="10" t="inlineStr">
        <is>
          <t>Magma Platform</t>
        </is>
      </c>
      <c r="W48" s="1" t="inlineStr">
        <is>
          <t>A SaaS platform that enables schools, universities, and companies to activate their communities through ambassador programs. It allows organisations to launch actions such as content creation, reviews, referrals, challenges, and events—all trackable in real time.</t>
        </is>
      </c>
      <c r="X48" s="10" t="inlineStr">
        <is>
          <t>Ambassador Engagement Services</t>
        </is>
      </c>
      <c r="Y48" t="inlineStr">
        <is>
          <t>Tailored support and strategy to design, launch, and scale ambassador programs. From defining profiles and engagement plans to setting up rewards and automations, we help organisations maximise impact and long-term loyalty.</t>
        </is>
      </c>
      <c r="Z48" s="1" t="inlineStr">
        <is>
          <t>https://drive.google.com/uc?export=view&amp;id=18YC9a1B3Qq2QWEZm4wDKCD_Vf5kdnS7H</t>
        </is>
      </c>
      <c r="AA48" s="1" t="inlineStr">
        <is>
          <t>Verified</t>
        </is>
      </c>
      <c r="AB48" s="1" t="inlineStr">
        <is>
          <t>Collaborations between EdTech organisations</t>
        </is>
      </c>
      <c r="AC48" s="1" t="inlineStr">
        <is>
          <t>For-profit company</t>
        </is>
      </c>
      <c r="AD48" s="10" t="b">
        <v>0</v>
      </c>
      <c r="AE48" s="1" t="b">
        <v>0</v>
      </c>
      <c r="AF48" s="1" t="inlineStr">
        <is>
          <t>Yes</t>
        </is>
      </c>
      <c r="AG48" s="1" t="inlineStr">
        <is>
          <t>https://www.instagram.com/insidemagma/</t>
        </is>
      </c>
      <c r="AH48" s="1" t="inlineStr">
        <is>
          <t>https://www.linkedin.com/company/magmaapp/</t>
        </is>
      </c>
      <c r="AI48" s="1" t="inlineStr">
        <is>
          <t>https://www.linkedin.com/company/magmaapp/</t>
        </is>
      </c>
      <c r="AJ48" s="1" t="n"/>
    </row>
    <row r="49" ht="12.5" customHeight="1">
      <c r="A49" s="6" t="n">
        <v>45889</v>
      </c>
      <c r="B49" s="1" t="inlineStr">
        <is>
          <t>ORG_2403</t>
        </is>
      </c>
      <c r="C49" s="1" t="b">
        <v>1</v>
      </c>
      <c r="D49" s="1" t="inlineStr">
        <is>
          <t>The Simulation Crew</t>
        </is>
      </c>
      <c r="E49" s="10" t="inlineStr">
        <is>
          <t>thesimulationcrew.com</t>
        </is>
      </c>
      <c r="F49" t="inlineStr">
        <is>
          <t>thesimulationcrew.com</t>
        </is>
      </c>
      <c r="G49" s="1" t="inlineStr">
        <is>
          <t>Simulation software company with vast experience in Mobile and VR development using AI for natural speech input and AI for personal feedback.</t>
        </is>
      </c>
      <c r="H49" s="1" t="inlineStr">
        <is>
          <t>Dutch EdTech</t>
        </is>
      </c>
      <c r="I49" s="1" t="inlineStr">
        <is>
          <t>English, Dutch, German, French</t>
        </is>
      </c>
      <c r="J49" s="1" t="inlineStr">
        <is>
          <t>Nijmegen</t>
        </is>
      </c>
      <c r="K49" t="inlineStr">
        <is>
          <t>Nijmegen</t>
        </is>
      </c>
      <c r="L49" t="inlineStr">
        <is>
          <t>Nijmegen, The Netherlands</t>
        </is>
      </c>
      <c r="M49" t="n">
        <v>51.8460684</v>
      </c>
      <c r="N49" t="n">
        <v>5.8706981</v>
      </c>
      <c r="O49" s="1" t="inlineStr">
        <is>
          <t>The Netherlands</t>
        </is>
      </c>
      <c r="P49" s="1" t="inlineStr">
        <is>
          <t>Belgium, Germany, Netherlands, United Kingdom, Sweden</t>
        </is>
      </c>
      <c r="Q49" s="1" t="inlineStr">
        <is>
          <t>Micro (1-9 FTE employees)</t>
        </is>
      </c>
      <c r="R49" t="inlineStr">
        <is>
          <t>Micro</t>
        </is>
      </c>
      <c r="S49" s="1" t="inlineStr">
        <is>
          <t>Business to Schools, Business to Government, Business to Business</t>
        </is>
      </c>
      <c r="T49" s="1" t="inlineStr">
        <is>
          <t>Higher Education</t>
        </is>
      </c>
      <c r="U49" s="1" t="inlineStr">
        <is>
          <t>Student interfacing, Teacher interfacing</t>
        </is>
      </c>
      <c r="V49" s="1" t="inlineStr">
        <is>
          <t>Patient communication simulation</t>
        </is>
      </c>
      <c r="W49" s="1" t="inlineStr">
        <is>
          <t>Empathetic communication with patients improves recovery through positive placebo effects, but carelessness can cause nocebo effects. This simulation training will teach you how to communicate effectively to enhance placebo effects and limit nocebo effects. You practice using free speech with virtua</t>
        </is>
      </c>
      <c r="X49" s="10" t="inlineStr">
        <is>
          <t>Student Coaching simulation</t>
        </is>
      </c>
      <c r="Y49" t="inlineStr">
        <is>
          <t>The VR training Student Coaching is designed for (future) education professionals to develop effective coaching skills through realistic, interactive virtual scenarios. Participants engage in natural conversations with virtual students using speech interaction, receiving detailed feedback on verbal</t>
        </is>
      </c>
      <c r="Z49" s="1" t="inlineStr">
        <is>
          <t>https://drive.google.com/uc?export=view&amp;id=1Yv5qHlxyR3HWPugMr-7X-15nvWNU50My</t>
        </is>
      </c>
      <c r="AA49" s="1" t="inlineStr">
        <is>
          <t>Verified</t>
        </is>
      </c>
      <c r="AB49" s="1" t="inlineStr">
        <is>
          <t>Collaborations between EdTech organisations</t>
        </is>
      </c>
      <c r="AC49" s="1" t="inlineStr">
        <is>
          <t>For-profit company</t>
        </is>
      </c>
      <c r="AD49" s="10" t="b">
        <v>1</v>
      </c>
      <c r="AE49" s="1" t="b">
        <v>1</v>
      </c>
      <c r="AF49" s="1" t="inlineStr">
        <is>
          <t>Yes</t>
        </is>
      </c>
      <c r="AG49" s="1" t="inlineStr">
        <is>
          <t>https://www.linkedin.com/company/the-simulation-crew/</t>
        </is>
      </c>
      <c r="AH49" s="1" t="inlineStr">
        <is>
          <t>https://www.linkedin.com/company/the-simulation-crew/</t>
        </is>
      </c>
      <c r="AI49" s="1" t="inlineStr">
        <is>
          <t>https://www.linkedin.com/company/the-simulation-crew/</t>
        </is>
      </c>
      <c r="AJ49" s="1" t="n"/>
    </row>
    <row r="50" ht="12.5" customHeight="1">
      <c r="A50" s="6" t="n">
        <v>45889</v>
      </c>
      <c r="B50" s="1" t="inlineStr">
        <is>
          <t>ORG_1968</t>
        </is>
      </c>
      <c r="C50" s="1" t="b">
        <v>1</v>
      </c>
      <c r="D50" s="1" t="inlineStr">
        <is>
          <t>MIMBUS</t>
        </is>
      </c>
      <c r="E50" s="10" t="inlineStr">
        <is>
          <t>www.mimbus.com</t>
        </is>
      </c>
      <c r="F50" t="inlineStr">
        <is>
          <t>mimbus.com</t>
        </is>
      </c>
      <c r="G50" s="1" t="inlineStr">
        <is>
          <t>Mimbus creates and deploys immersive training solutions for skilled trade schools and training centres.</t>
        </is>
      </c>
      <c r="H50" s="1" t="inlineStr">
        <is>
          <t>EdTech France</t>
        </is>
      </c>
      <c r="I50" s="1" t="inlineStr">
        <is>
          <t>English, French, Spanish, German</t>
        </is>
      </c>
      <c r="J50" s="1" t="inlineStr">
        <is>
          <t>Toulouse</t>
        </is>
      </c>
      <c r="K50" t="inlineStr">
        <is>
          <t>Toulouse</t>
        </is>
      </c>
      <c r="L50" t="inlineStr">
        <is>
          <t>Toulouse, France</t>
        </is>
      </c>
      <c r="M50" t="n">
        <v>43.6044638</v>
      </c>
      <c r="N50" t="n">
        <v>1.4442433</v>
      </c>
      <c r="O50" s="1" t="inlineStr">
        <is>
          <t>France</t>
        </is>
      </c>
      <c r="P50" s="1" t="inlineStr">
        <is>
          <t>Belgium, Denmark, Estonia, Finland, France, Germany, Greece, Hungary, Italy, Luxembourg, Norway, Poland, Portugal, Romania, Spain, Sweden, Switzerland, Turkey, Ukraine, United Kingdom</t>
        </is>
      </c>
      <c r="Q50" s="1" t="inlineStr">
        <is>
          <t>Small (10-49 FTE employees)</t>
        </is>
      </c>
      <c r="R50" t="inlineStr">
        <is>
          <t>Small</t>
        </is>
      </c>
      <c r="S50" s="1" t="inlineStr">
        <is>
          <t>Business to Business</t>
        </is>
      </c>
      <c r="T50" s="1" t="inlineStr">
        <is>
          <t>Secondary Education, Vocational Education and Training (VET), Lifelong learning/Adult education, Corporate Training</t>
        </is>
      </c>
      <c r="U50" s="1" t="inlineStr">
        <is>
          <t>Student interfacing, Teacher interfacing</t>
        </is>
      </c>
      <c r="V50" s="1" t="inlineStr">
        <is>
          <t>Mimbus Discover</t>
        </is>
      </c>
      <c r="W50" s="1" t="inlineStr">
        <is>
          <t>Career Exploration solution using Stand Alone XR headsets</t>
        </is>
      </c>
      <c r="X50" s="1" t="inlineStr">
        <is>
          <t>Mimbus Construction</t>
        </is>
      </c>
      <c r="Y50" t="inlineStr">
        <is>
          <t>XR Training for construction industry workforce</t>
        </is>
      </c>
      <c r="Z50" s="1" t="inlineStr">
        <is>
          <t>https://drive.google.com/uc?export=view&amp;id=1I5zW4Dd8VyabeRw2_Fi5OJvvUdNMTQ41</t>
        </is>
      </c>
      <c r="AA50" s="1" t="inlineStr">
        <is>
          <t>Verified</t>
        </is>
      </c>
      <c r="AB50" s="1" t="inlineStr">
        <is>
          <t>Collaborations between EdTech organisations, Project consortium building, Public-private partnerships, Industry-academia partnerships</t>
        </is>
      </c>
      <c r="AC50" s="1" t="inlineStr">
        <is>
          <t>For-profit company</t>
        </is>
      </c>
      <c r="AD50" s="10" t="b">
        <v>1</v>
      </c>
      <c r="AE50" s="1" t="b">
        <v>1</v>
      </c>
      <c r="AF50" s="1" t="inlineStr">
        <is>
          <t>No</t>
        </is>
      </c>
      <c r="AG50" s="1" t="n"/>
      <c r="AH50" s="1" t="n"/>
      <c r="AI50" s="1" t="n"/>
      <c r="AJ50" s="1" t="n"/>
    </row>
    <row r="51" ht="12.5" customHeight="1">
      <c r="A51" s="6" t="n">
        <v>45889</v>
      </c>
      <c r="B51" s="1" t="inlineStr">
        <is>
          <t>ORG_1058</t>
        </is>
      </c>
      <c r="C51" s="1" t="b">
        <v>1</v>
      </c>
      <c r="D51" s="1" t="inlineStr">
        <is>
          <t>Alteredu</t>
        </is>
      </c>
      <c r="E51" s="10" t="inlineStr">
        <is>
          <t>Www.alteredu.it</t>
        </is>
      </c>
      <c r="F51" t="inlineStr">
        <is>
          <t>alteredu.it</t>
        </is>
      </c>
      <c r="G51" s="1" t="inlineStr">
        <is>
          <t>Alteredu is an innovative EdTech company and the largest certified online course platform in Italy, offering over 600 accredited training programs. Our courses are certified by the Italian Ministry of Education (MIUR) and recognized by ICEP, ensuring participants gain formal and professional qualifications valid across Europe.  We specialize in e-learning solutions for both B2B and B2C markets, helping companies upskill their workforce and individuals reskill to improve employability. Our cutting-edge platform integrates a Virtual AI Tutor, which personalizes the learning journey, provides real-time feedback, and ensures high engagement through interactive learning.  Key Strengths: 	•	Certified online courses with ISO 9001:2015 quality standards. 	•	AI-driven personalization of training paths. 	•	Expertise in reskilling and upskilling for the modern workforce. 	•	Proven track record in developing tailored e-learning modules for diverse industries. 	•	Strong engagement in EU initiatives such as the Digital Skills and Jobs Coalition, the European Association of Distance Learning (EADL), and the European SME Alliance.  Impact: During the COVID-19 pandemic, Alteredu supported Italy’s Digital Solidarity initiative by offering over 50 certified courses free of charge, demonstrating our commitment to inclusivity and lifelong learning.  European Projects: Alteredu is an active partner in Erasmus+ and Horizon Europe projects, with experience in areas such as digital transformation in education, cybersecurity training (AI-SHIELD), NFT competences for the creative sector (NFT4Work), and AI &amp; coding in schools (AI-COSMIC)</t>
        </is>
      </c>
      <c r="H51" s="1" t="inlineStr">
        <is>
          <t>EdTech Italia</t>
        </is>
      </c>
      <c r="I51" s="1" t="n"/>
      <c r="J51" s="1" t="inlineStr">
        <is>
          <t>Terranova Da Sibari</t>
        </is>
      </c>
      <c r="K51" t="inlineStr">
        <is>
          <t>Terranova Da Sibari</t>
        </is>
      </c>
      <c r="L51" t="inlineStr">
        <is>
          <t>Terranova Da Sibari, Italy</t>
        </is>
      </c>
      <c r="M51" t="n">
        <v>39.656901</v>
      </c>
      <c r="N51" t="n">
        <v>16.339491</v>
      </c>
      <c r="O51" s="1" t="inlineStr">
        <is>
          <t>Italy</t>
        </is>
      </c>
      <c r="P51" s="1" t="n"/>
      <c r="Q51" s="1" t="inlineStr">
        <is>
          <t>Small (10-49 FTE employees)</t>
        </is>
      </c>
      <c r="R51" t="inlineStr">
        <is>
          <t>Small</t>
        </is>
      </c>
      <c r="S51" s="1" t="inlineStr">
        <is>
          <t>Business to Business, Business to Consumer, Business to Government, Business to Schools</t>
        </is>
      </c>
      <c r="T51" s="1" t="inlineStr">
        <is>
          <t>Lifelong learning/Adult education, Corporate Training, Vocational Education and Training (VET)</t>
        </is>
      </c>
      <c r="U51" s="1" t="inlineStr">
        <is>
          <t>Teacher interfacing</t>
        </is>
      </c>
      <c r="V51" s="1" t="inlineStr">
        <is>
          <t>Mandatory training for companies</t>
        </is>
      </c>
      <c r="W51" s="1" t="inlineStr">
        <is>
          <t>Mandatory Corporate Training (Health &amp; Safety, Compliance, Privacy, etc.)
Alteredu transforms traditional mandatory training into an engaging digital learning experience. Through short video modules, interactive quizzes, and an AI-powered Virtual Tutor, employees are guided in realistic scenarios th</t>
        </is>
      </c>
      <c r="X51" s="1" t="inlineStr">
        <is>
          <t>https://drive.google.com/uc?export=view&amp;id=15fECYvvE62nx_hSNDXX-eIQccg0DrTWp</t>
        </is>
      </c>
      <c r="Y51" t="inlineStr">
        <is>
          <t>https://drive.google.com/uc?export=view&amp;id=15fECYvvE62nx_hSNDXX-eIQccg0DrTWp</t>
        </is>
      </c>
      <c r="Z51" s="1" t="inlineStr">
        <is>
          <t>https://drive.google.com/uc?export=view&amp;id=15fECYvvE62nx_hSNDXX-eIQccg0DrTWp</t>
        </is>
      </c>
      <c r="AA51" s="1" t="inlineStr">
        <is>
          <t>Verified</t>
        </is>
      </c>
      <c r="AB51" s="1" t="inlineStr">
        <is>
          <t>Project consortium building, Public-private partnerships</t>
        </is>
      </c>
      <c r="AC51" s="1" t="inlineStr">
        <is>
          <t>For-profit company</t>
        </is>
      </c>
      <c r="AD51" s="10" t="b">
        <v>1</v>
      </c>
      <c r="AE51" s="1" t="n"/>
      <c r="AF51" s="1" t="inlineStr">
        <is>
          <t>No</t>
        </is>
      </c>
      <c r="AG51" s="1" t="n"/>
      <c r="AH51" s="1" t="n"/>
      <c r="AI51" s="1" t="n"/>
      <c r="AJ51" s="1" t="n"/>
    </row>
    <row r="52" ht="12.5" customHeight="1">
      <c r="A52" s="6" t="n">
        <v>45889</v>
      </c>
      <c r="B52" s="1" t="inlineStr">
        <is>
          <t>ORG_2641</t>
        </is>
      </c>
      <c r="C52" s="1" t="b">
        <v>1</v>
      </c>
      <c r="D52" s="1" t="inlineStr">
        <is>
          <t>eXaminer AG</t>
        </is>
      </c>
      <c r="E52" s="10" t="inlineStr">
        <is>
          <t>https://www.examiner.ch/</t>
        </is>
      </c>
      <c r="F52" t="inlineStr">
        <is>
          <t>examiner.ch</t>
        </is>
      </c>
      <c r="G52" s="1" t="inlineStr">
        <is>
          <t>eXaminer is the innovative, web-based platform for exams, class tests, learning assessments and tests of all kinds. Developed in close cooperation with educators, the platform offers ideal solutions for formative and summative assessments.</t>
        </is>
      </c>
      <c r="H52" s="1" t="inlineStr">
        <is>
          <t>bitmark Association, EdTech-Verband e.V., Swiss EdTech Collider</t>
        </is>
      </c>
      <c r="I52" s="1" t="inlineStr">
        <is>
          <t>English, French, Italian, German</t>
        </is>
      </c>
      <c r="J52" s="1" t="inlineStr">
        <is>
          <t>9000 St. Gallen</t>
        </is>
      </c>
      <c r="K52" t="inlineStr">
        <is>
          <t>St. Gallen</t>
        </is>
      </c>
      <c r="L52" t="inlineStr">
        <is>
          <t>St. Gallen, Switzerland</t>
        </is>
      </c>
      <c r="M52" t="n">
        <v>47.425618</v>
      </c>
      <c r="N52" t="n">
        <v>9.376239699999999</v>
      </c>
      <c r="O52" s="1" t="inlineStr">
        <is>
          <t>Switzerland</t>
        </is>
      </c>
      <c r="P52" s="1" t="inlineStr">
        <is>
          <t>Germany, Liechtenstein, Switzerland, Austria</t>
        </is>
      </c>
      <c r="Q52" s="1" t="inlineStr">
        <is>
          <t>Micro (1-9 FTE employees)</t>
        </is>
      </c>
      <c r="R52" t="inlineStr">
        <is>
          <t>Micro</t>
        </is>
      </c>
      <c r="S52" s="1" t="inlineStr">
        <is>
          <t>Business to Business, Business to Consumer, Business to Schools, Business to Government</t>
        </is>
      </c>
      <c r="T52" s="1" t="inlineStr">
        <is>
          <t>Secondary Education, Vocational Education and Training (VET), Higher Education, Corporate Training, Lifelong learning/Adult education</t>
        </is>
      </c>
      <c r="U52" s="1" t="inlineStr">
        <is>
          <t>Student interfacing, Teacher interfacing, System/Administrative</t>
        </is>
      </c>
      <c r="V52" s="10" t="inlineStr">
        <is>
          <t>Digital exam platform</t>
        </is>
      </c>
      <c r="W52" s="1" t="inlineStr">
        <is>
          <t>eXaminer ist die innovative, webbasierte Plattform für Prüfungen, Klassenarbeiten, Lernkontrollen und Tests jeglicher Art. Nebst einer gratis Testversion gibt es Einzellizenzen sowie Teamlizenzen für alle Anforderungen.</t>
        </is>
      </c>
      <c r="X52" s="10" t="inlineStr">
        <is>
          <t>https://drive.google.com/uc?export=view&amp;id=1Ykfu1dmT6MyuVeI3FBpoIlWIcPC6lNX7</t>
        </is>
      </c>
      <c r="Y52" t="inlineStr">
        <is>
          <t>https://drive.google.com/uc?export=view&amp;id=1Ykfu1dmT6MyuVeI3FBpoIlWIcPC6lNX7</t>
        </is>
      </c>
      <c r="Z52" s="1" t="inlineStr">
        <is>
          <t>https://drive.google.com/uc?export=view&amp;id=1Ykfu1dmT6MyuVeI3FBpoIlWIcPC6lNX7</t>
        </is>
      </c>
      <c r="AA52" s="1" t="inlineStr">
        <is>
          <t>Verified</t>
        </is>
      </c>
      <c r="AB52" s="1" t="inlineStr">
        <is>
          <t>Collaborations between EdTech organisations, Industry-academia partnerships, Public-private partnerships, Project consortium building</t>
        </is>
      </c>
      <c r="AC52" s="1" t="inlineStr">
        <is>
          <t>For-profit company</t>
        </is>
      </c>
      <c r="AD52" s="10" t="b">
        <v>1</v>
      </c>
      <c r="AE52" s="1" t="b">
        <v>0</v>
      </c>
      <c r="AF52" s="1" t="inlineStr">
        <is>
          <t>Yes</t>
        </is>
      </c>
      <c r="AG52" s="1" t="inlineStr">
        <is>
          <t>https://www.instagram.com/examiner_official</t>
        </is>
      </c>
      <c r="AH52" s="1" t="inlineStr">
        <is>
          <t>https://www.linkedin.com/showcase/examiner</t>
        </is>
      </c>
      <c r="AI52" s="1" t="inlineStr">
        <is>
          <t>https://www.linkedin.com/showcase/examiner</t>
        </is>
      </c>
      <c r="AJ52" s="1" t="n"/>
    </row>
    <row r="53" ht="12.5" customHeight="1">
      <c r="A53" s="6" t="n">
        <v>45889</v>
      </c>
      <c r="B53" s="1" t="inlineStr">
        <is>
          <t>ORG_1989</t>
        </is>
      </c>
      <c r="C53" s="1" t="b">
        <v>1</v>
      </c>
      <c r="D53" s="1" t="inlineStr">
        <is>
          <t>MOS - MindOnSite</t>
        </is>
      </c>
      <c r="E53" s="10" t="inlineStr">
        <is>
          <t>https://www.mindonsite.com/en/</t>
        </is>
      </c>
      <c r="F53" t="inlineStr">
        <is>
          <t>mindonsite.com/en</t>
        </is>
      </c>
      <c r="G53" s="1" t="inlineStr">
        <is>
          <t>MOS - MindOnSite, Swiss editor, expert in developing digital learning solutions. We develop and implement online innovative and engaging Smart Learning Solutions, to meet the specificities of extended learning enterprise.</t>
        </is>
      </c>
      <c r="H53" s="1" t="inlineStr">
        <is>
          <t>I'm not part of any EdTech association</t>
        </is>
      </c>
      <c r="I53" s="1" t="inlineStr">
        <is>
          <t>English, French, Spanish, German, Italian, Dutch, Portuguese, Bulgarian, Croatian, Czech, Danish, Estonian, Finnish, Greek, Hungarian, Lithuanian, Latvian, Irish, Maltese, Polish, Romanian, Swedish, Slovenian, Slovak, Ukrainian, Catalan, Basque</t>
        </is>
      </c>
      <c r="J53" s="1" t="inlineStr">
        <is>
          <t>Lausanne</t>
        </is>
      </c>
      <c r="K53" t="inlineStr">
        <is>
          <t>Lausanne</t>
        </is>
      </c>
      <c r="L53" t="inlineStr">
        <is>
          <t>Lausanne, Switzerland</t>
        </is>
      </c>
      <c r="M53" t="n">
        <v>46.5218269</v>
      </c>
      <c r="N53" t="n">
        <v>6.6327025</v>
      </c>
      <c r="O53" s="1" t="inlineStr">
        <is>
          <t>Switzerland</t>
        </is>
      </c>
      <c r="P53" s="1" t="inlineStr">
        <is>
          <t>Switzerland, United Kingdom, Spain, Monaco, Netherlands, Luxembourg, Austria, France, Portugal</t>
        </is>
      </c>
      <c r="Q53" s="1" t="inlineStr">
        <is>
          <t>Small (10-49 FTE employees)</t>
        </is>
      </c>
      <c r="R53" t="inlineStr">
        <is>
          <t>Small</t>
        </is>
      </c>
      <c r="S53" s="1" t="inlineStr">
        <is>
          <t>Business to Business</t>
        </is>
      </c>
      <c r="T53" s="1" t="inlineStr">
        <is>
          <t>Corporate Training</t>
        </is>
      </c>
      <c r="U53" s="1" t="inlineStr">
        <is>
          <t>System/Administrative</t>
        </is>
      </c>
      <c r="V53" s="1" t="inlineStr">
        <is>
          <t>MOS Chorus LMS</t>
        </is>
      </c>
      <c r="W53" s="1" t="inlineStr">
        <is>
          <t>https://drive.google.com/uc?export=view&amp;id=1LPr2HuEyJD1OeaIMx7b7yQXHRn0L3SLu</t>
        </is>
      </c>
      <c r="X53" s="10" t="inlineStr">
        <is>
          <t>https://drive.google.com/uc?export=view&amp;id=1LPr2HuEyJD1OeaIMx7b7yQXHRn0L3SLu</t>
        </is>
      </c>
      <c r="Y53" t="inlineStr">
        <is>
          <t>https://drive.google.com/uc?export=view&amp;id=1LPr2HuEyJD1OeaIMx7b7yQXHRn0L3SLu</t>
        </is>
      </c>
      <c r="Z53" s="1" t="inlineStr">
        <is>
          <t>https://drive.google.com/uc?export=view&amp;id=1LPr2HuEyJD1OeaIMx7b7yQXHRn0L3SLu</t>
        </is>
      </c>
      <c r="AA53" s="1" t="inlineStr">
        <is>
          <t>Verified</t>
        </is>
      </c>
      <c r="AB53" s="1" t="inlineStr">
        <is>
          <t>Project consortium building</t>
        </is>
      </c>
      <c r="AC53" s="1" t="inlineStr">
        <is>
          <t>For-profit company</t>
        </is>
      </c>
      <c r="AD53" s="10" t="b">
        <v>0</v>
      </c>
      <c r="AE53" s="1" t="b">
        <v>1</v>
      </c>
      <c r="AF53" s="1" t="inlineStr">
        <is>
          <t>Yes</t>
        </is>
      </c>
      <c r="AG53" s="1" t="inlineStr">
        <is>
          <t>https://www.linkedin.com/company/mos-mindonsite/</t>
        </is>
      </c>
      <c r="AH53" s="1" t="inlineStr">
        <is>
          <t>https://www.linkedin.com/company/mos-mindonsite/</t>
        </is>
      </c>
      <c r="AI53" s="1" t="inlineStr">
        <is>
          <t>https://www.linkedin.com/company/mos-mindonsite/</t>
        </is>
      </c>
      <c r="AJ53" s="1" t="n"/>
    </row>
    <row r="54" ht="12.5" customHeight="1">
      <c r="A54" s="6" t="n">
        <v>45889</v>
      </c>
      <c r="B54" s="1" t="inlineStr">
        <is>
          <t>ORG_1030</t>
        </is>
      </c>
      <c r="C54" s="1" t="b">
        <v>1</v>
      </c>
      <c r="D54" s="1" t="inlineStr">
        <is>
          <t>Across Cultures</t>
        </is>
      </c>
      <c r="E54" s="10" t="inlineStr">
        <is>
          <t>www.axcultures.com</t>
        </is>
      </c>
      <c r="F54" t="inlineStr">
        <is>
          <t>axcultures.com</t>
        </is>
      </c>
      <c r="G54" s="1" t="inlineStr">
        <is>
          <t>Across Cultures is committed to transforming language learning and literacy through creative, blended learning experiences, supporting educators and learners to succeed in an interconnected world.</t>
        </is>
      </c>
      <c r="H54" s="1" t="inlineStr">
        <is>
          <t>I'm not part of any EdTech association</t>
        </is>
      </c>
      <c r="I54" s="1" t="inlineStr">
        <is>
          <t>English</t>
        </is>
      </c>
      <c r="J54" s="1" t="inlineStr">
        <is>
          <t>Trowbridge</t>
        </is>
      </c>
      <c r="K54" t="inlineStr">
        <is>
          <t>Trowbridge</t>
        </is>
      </c>
      <c r="L54" t="inlineStr">
        <is>
          <t>Trowbridge, United Kingdom</t>
        </is>
      </c>
      <c r="M54" t="n">
        <v>51.3161569</v>
      </c>
      <c r="N54" t="n">
        <v>-2.2024324</v>
      </c>
      <c r="O54" s="1" t="inlineStr">
        <is>
          <t>United Kingdom</t>
        </is>
      </c>
      <c r="P54" s="1" t="inlineStr">
        <is>
          <t>Germany, France, Ireland, Spain, United Kingdom, Switzerland, Poland, Netherlands, Italy</t>
        </is>
      </c>
      <c r="Q54" s="1" t="inlineStr">
        <is>
          <t>Micro (1-9 FTE employees)</t>
        </is>
      </c>
      <c r="R54" t="inlineStr">
        <is>
          <t>Micro</t>
        </is>
      </c>
      <c r="S54" s="1" t="inlineStr">
        <is>
          <t>Business to Schools</t>
        </is>
      </c>
      <c r="T54" s="1" t="inlineStr">
        <is>
          <t>Primary Education, Secondary Education, Lifelong learning/Adult education, Special Education</t>
        </is>
      </c>
      <c r="U54" s="1" t="inlineStr">
        <is>
          <t>Student interfacing, Teacher interfacing</t>
        </is>
      </c>
      <c r="V54" s="10" t="inlineStr">
        <is>
          <t>Learning Village</t>
        </is>
      </c>
      <c r="W54" s="10" t="inlineStr">
        <is>
          <t>Learning Village is a blended vocabulary, language structure and reading programme for EAL, low-level literacy and SEND learners aged 6-11 and 12-16, now with live virtual teaching options.</t>
        </is>
      </c>
      <c r="X54" s="10" t="inlineStr">
        <is>
          <t>Community Village</t>
        </is>
      </c>
      <c r="Y54" t="inlineStr">
        <is>
          <t>Community Village, which is designed for improving literacy for adult ESOL learners in schools, post-16 educational settings or the workplace, now with live virtual teaching options.</t>
        </is>
      </c>
      <c r="Z54" s="1" t="inlineStr">
        <is>
          <t>https://drive.google.com/uc?export=view&amp;id=16UWZgMj-_8hJyBhu5eH6ohDC5EhgiOxb</t>
        </is>
      </c>
      <c r="AA54" s="1" t="inlineStr">
        <is>
          <t>Verified</t>
        </is>
      </c>
      <c r="AB54" s="1" t="inlineStr">
        <is>
          <t>Public-private partnerships, Project consortium building, Collaborations between EdTech organisations, Industry-academia partnerships</t>
        </is>
      </c>
      <c r="AC54" s="1" t="inlineStr">
        <is>
          <t>For-profit company</t>
        </is>
      </c>
      <c r="AD54" s="10" t="b">
        <v>1</v>
      </c>
      <c r="AE54" s="1" t="b">
        <v>1</v>
      </c>
      <c r="AF54" s="1" t="inlineStr">
        <is>
          <t>Yes</t>
        </is>
      </c>
      <c r="AG54" s="1" t="inlineStr">
        <is>
          <t>www.instagram.com/ealteaching/</t>
        </is>
      </c>
      <c r="AH54" s="1" t="inlineStr">
        <is>
          <t>x.com/eal_teaching</t>
        </is>
      </c>
      <c r="AI54" s="1" t="inlineStr">
        <is>
          <t>www.linkedin.com/company/axcultures/</t>
        </is>
      </c>
      <c r="AJ54" s="10" t="inlineStr">
        <is>
          <t>www.facebook.com/ealteaching</t>
        </is>
      </c>
    </row>
    <row r="55" ht="12.5" customHeight="1">
      <c r="A55" s="6" t="n">
        <v>45889</v>
      </c>
      <c r="B55" s="1" t="inlineStr">
        <is>
          <t>ORG_2640</t>
        </is>
      </c>
      <c r="C55" s="1" t="b">
        <v>1</v>
      </c>
      <c r="D55" s="1" t="inlineStr">
        <is>
          <t>3CL</t>
        </is>
      </c>
      <c r="E55" s="10" t="inlineStr">
        <is>
          <t>3cl.org</t>
        </is>
      </c>
      <c r="F55" t="inlineStr">
        <is>
          <t>3cl.org</t>
        </is>
      </c>
      <c r="G55" s="1" t="inlineStr">
        <is>
          <t>The Foundation’s service portfolio includes: Knowledge Brokerage (matching stakeholder needs with wants); Applied Research (focusing on Lifelong Learning, Digital &amp; Media Literacies, and Emerging Technologies in Education); Accreditation of Online Learning (with an interest in Verifiable Credentials). Our advocacy work focuses on combating online disinformation; and promoting Inclusion &amp; Equity through Digital Education.</t>
        </is>
      </c>
      <c r="H55" s="1" t="inlineStr">
        <is>
          <t>I'm not part of any EdTech association</t>
        </is>
      </c>
      <c r="I55" s="1" t="inlineStr">
        <is>
          <t>English, Maltese</t>
        </is>
      </c>
      <c r="J55" s="1" t="inlineStr">
        <is>
          <t>Valletta, Malta</t>
        </is>
      </c>
      <c r="K55" t="inlineStr">
        <is>
          <t>Valletta</t>
        </is>
      </c>
      <c r="L55" t="inlineStr">
        <is>
          <t>Valletta, Malta</t>
        </is>
      </c>
      <c r="M55" t="n">
        <v>35.8989979</v>
      </c>
      <c r="N55" t="n">
        <v>14.5136607</v>
      </c>
      <c r="O55" s="1" t="inlineStr">
        <is>
          <t>Malta</t>
        </is>
      </c>
      <c r="P55" s="1" t="n"/>
      <c r="Q55" s="1" t="inlineStr">
        <is>
          <t>Micro (1-9 FTE employees)</t>
        </is>
      </c>
      <c r="R55" t="inlineStr">
        <is>
          <t>Micro</t>
        </is>
      </c>
      <c r="S55" s="1" t="inlineStr">
        <is>
          <t>Business to Business, Business to Consumer, Business to Government, Business to Schools</t>
        </is>
      </c>
      <c r="T55" s="1" t="inlineStr">
        <is>
          <t>Lifelong learning/Adult education, Higher Education, Secondary Education, Primary Education, Early childhood development (0-5 years), Corporate Training, Other</t>
        </is>
      </c>
      <c r="U55" s="1" t="inlineStr">
        <is>
          <t>Other</t>
        </is>
      </c>
      <c r="V55" s="1" t="inlineStr">
        <is>
          <t>Knowledge Brokerage  and Advocacy</t>
        </is>
      </c>
      <c r="W55" s="10" t="inlineStr">
        <is>
          <t>Matching stakeholder needs with wants and promoting various key policies on how edtech can bridge the relationship between technology and society, such as our manifesto on young people and information and vox pops on AI and information disorders.</t>
        </is>
      </c>
      <c r="X55" s="10" t="inlineStr">
        <is>
          <t>Applied Research</t>
        </is>
      </c>
      <c r="Y55" t="inlineStr">
        <is>
          <t>Researching and providing recommendations focusing on Lifelong Learning, Digital &amp; Media Literacies, Verifiable Credentials and Emerging Technologies in Education</t>
        </is>
      </c>
      <c r="Z55" s="1" t="inlineStr">
        <is>
          <t>https://drive.google.com/uc?export=view&amp;id=1k6p0pkuni8njarBYF9HrfSx9ZtUuAUg4</t>
        </is>
      </c>
      <c r="AA55" s="1" t="inlineStr">
        <is>
          <t>Verified</t>
        </is>
      </c>
      <c r="AB55" s="1" t="inlineStr">
        <is>
          <t>Collaborations between EdTech organisations, Project consortium building, Public-private partnerships, Industry-academia partnerships, Other</t>
        </is>
      </c>
      <c r="AC55" s="1" t="inlineStr">
        <is>
          <t>Other</t>
        </is>
      </c>
      <c r="AD55" s="10" t="b">
        <v>0</v>
      </c>
      <c r="AE55" s="1" t="b">
        <v>1</v>
      </c>
      <c r="AF55" s="1" t="inlineStr">
        <is>
          <t>Yes</t>
        </is>
      </c>
      <c r="AG55" s="1" t="inlineStr">
        <is>
          <t>https://x.com/3CLMT</t>
        </is>
      </c>
      <c r="AH55" s="1" t="inlineStr">
        <is>
          <t>https://x.com/3CLMT</t>
        </is>
      </c>
      <c r="AI55" s="1" t="inlineStr">
        <is>
          <t>https://www.3cl.org/</t>
        </is>
      </c>
      <c r="AJ55" s="1" t="n"/>
    </row>
    <row r="56" ht="12.5" customHeight="1">
      <c r="A56" s="6" t="n">
        <v>45889</v>
      </c>
      <c r="B56" s="1" t="inlineStr">
        <is>
          <t>ORG_1417</t>
        </is>
      </c>
      <c r="C56" s="1" t="b">
        <v>1</v>
      </c>
      <c r="D56" s="1" t="inlineStr">
        <is>
          <t>EdSyl</t>
        </is>
      </c>
      <c r="E56" s="10" t="inlineStr">
        <is>
          <t>www.edsyl.ai</t>
        </is>
      </c>
      <c r="F56" t="inlineStr">
        <is>
          <t>edsyl.ai</t>
        </is>
      </c>
      <c r="G56" s="1" t="inlineStr">
        <is>
          <t>Make Teaching Easy! Turn ideas into high-quality courses, lessons, and quizzes in no time.</t>
        </is>
      </c>
      <c r="H56" s="1" t="inlineStr">
        <is>
          <t>I'm not part of any EdTech association</t>
        </is>
      </c>
      <c r="I56" s="1" t="inlineStr">
        <is>
          <t>English</t>
        </is>
      </c>
      <c r="J56" s="1" t="inlineStr">
        <is>
          <t>Riga</t>
        </is>
      </c>
      <c r="K56" t="inlineStr">
        <is>
          <t>Riga</t>
        </is>
      </c>
      <c r="L56" t="inlineStr">
        <is>
          <t>Riga, Latvia</t>
        </is>
      </c>
      <c r="M56" t="n">
        <v>56.9493977</v>
      </c>
      <c r="N56" t="n">
        <v>24.1051846</v>
      </c>
      <c r="O56" s="1" t="inlineStr">
        <is>
          <t>Latvia</t>
        </is>
      </c>
      <c r="P56" s="1" t="inlineStr">
        <is>
          <t>Worldwide</t>
        </is>
      </c>
      <c r="Q56" s="1" t="inlineStr">
        <is>
          <t>Micro (1-9 FTE employees)</t>
        </is>
      </c>
      <c r="R56" t="inlineStr">
        <is>
          <t>Micro</t>
        </is>
      </c>
      <c r="S56" s="1" t="inlineStr">
        <is>
          <t>Business to Business, Business to Schools, Business to Government, Business to Consumer</t>
        </is>
      </c>
      <c r="T56" s="1" t="inlineStr">
        <is>
          <t>Secondary Education, Higher Education, Corporate Training, Primary Education, Vocational Education and Training (VET), Lifelong learning/Adult education, Special Education, Other</t>
        </is>
      </c>
      <c r="U56" s="1" t="inlineStr">
        <is>
          <t>Teacher interfacing</t>
        </is>
      </c>
      <c r="V56" s="10" t="inlineStr">
        <is>
          <t>EdSyl</t>
        </is>
      </c>
      <c r="W56" s="10" t="inlineStr">
        <is>
          <t>Make Teaching Easy! Turn ideas into high-quality courses, lessons, and quizzes in no time. Save time and get more done with EdSyl's powerful features. Effortlessly design courses, use AI support and manage your content with ease - all in one intuitive platform!</t>
        </is>
      </c>
      <c r="X56" s="10" t="inlineStr">
        <is>
          <t>https://drive.google.com/uc?export=view&amp;id=1qF_yEYkDjPr2Bu2Yde5-5CXht29RHw8Y</t>
        </is>
      </c>
      <c r="Y56" t="inlineStr">
        <is>
          <t>https://drive.google.com/uc?export=view&amp;id=1qF_yEYkDjPr2Bu2Yde5-5CXht29RHw8Y</t>
        </is>
      </c>
      <c r="Z56" s="1" t="inlineStr">
        <is>
          <t>https://drive.google.com/uc?export=view&amp;id=1qF_yEYkDjPr2Bu2Yde5-5CXht29RHw8Y</t>
        </is>
      </c>
      <c r="AA56" s="1" t="inlineStr">
        <is>
          <t>Verified</t>
        </is>
      </c>
      <c r="AB56" s="1" t="inlineStr">
        <is>
          <t>Collaborations between EdTech organisations, Public-private partnerships, Industry-academia partnerships</t>
        </is>
      </c>
      <c r="AC56" s="1" t="inlineStr">
        <is>
          <t>For-profit company</t>
        </is>
      </c>
      <c r="AD56" s="10" t="b">
        <v>1</v>
      </c>
      <c r="AE56" s="1" t="b">
        <v>1</v>
      </c>
      <c r="AF56" s="1" t="inlineStr">
        <is>
          <t>Yes</t>
        </is>
      </c>
      <c r="AG56" s="1" t="inlineStr">
        <is>
          <t>https://www.instagram.com/edsyl.ai</t>
        </is>
      </c>
      <c r="AH56" s="1" t="inlineStr">
        <is>
          <t>https://x.com/edsylai</t>
        </is>
      </c>
      <c r="AI56" s="1" t="inlineStr">
        <is>
          <t>https://www.linkedin.com/company/edsyl-ai</t>
        </is>
      </c>
      <c r="AJ56" s="10" t="inlineStr">
        <is>
          <t>https://www.facebook.com/edsyl.edu</t>
        </is>
      </c>
    </row>
    <row r="57" ht="12.5" customHeight="1">
      <c r="A57" s="6" t="n">
        <v>45889</v>
      </c>
      <c r="B57" s="1" t="inlineStr">
        <is>
          <t>ORG_2639</t>
        </is>
      </c>
      <c r="C57" s="1" t="b">
        <v>1</v>
      </c>
      <c r="D57" s="1" t="inlineStr">
        <is>
          <t>War Child Alliance - Can't Wait to Learn programme</t>
        </is>
      </c>
      <c r="E57" s="10" t="inlineStr">
        <is>
          <t>https://www.warchild.net/intervention-cwtl/</t>
        </is>
      </c>
      <c r="F57" t="inlineStr">
        <is>
          <t>warchild.net/intervention-cwtl</t>
        </is>
      </c>
      <c r="G57" s="1" t="inlineStr">
        <is>
          <t>War Child is a specialist NGO that focuses on supporting children affected by war and conflict. They work to ensure a safe future for these children by providing psychosocial support, education, and child protection services. War Child aims to help children heal, learn, and build a brighter future. Can’t Wait to Learn is an innovative digital learning platform by War Child, designed to help children in crisis-affected areas build essential literacy and numeracy skills. Co-created with children, the platform offers engaging, game-based learning experiences aligned with local curriculums, tailored to each child's needs and culture.   Though we primarily focus on children in crisis, we are also exploring how this approach can benefit children in other contexts, ensuring no child is left behind. Through partnerships with governments and education experts, we ensure the programme is adaptable, impactful, and sustainable.</t>
        </is>
      </c>
      <c r="H57" s="1" t="inlineStr">
        <is>
          <t>I'm not part of any EdTech association</t>
        </is>
      </c>
      <c r="I57" s="1" t="inlineStr">
        <is>
          <t>English, French, Ukrainian, Arabic</t>
        </is>
      </c>
      <c r="J57" s="1" t="inlineStr">
        <is>
          <t>Amsterdam</t>
        </is>
      </c>
      <c r="K57" t="inlineStr">
        <is>
          <t>Amsterdam</t>
        </is>
      </c>
      <c r="L57" t="inlineStr">
        <is>
          <t>Amsterdam, The Netherlands</t>
        </is>
      </c>
      <c r="M57" t="n">
        <v>52.3701984</v>
      </c>
      <c r="N57" t="n">
        <v>4.892168</v>
      </c>
      <c r="O57" s="1" t="inlineStr">
        <is>
          <t>The Netherlands</t>
        </is>
      </c>
      <c r="P57" s="1" t="inlineStr">
        <is>
          <t>Ukraine</t>
        </is>
      </c>
      <c r="Q57" s="1" t="inlineStr">
        <is>
          <t>Large (250+ FTE employees)</t>
        </is>
      </c>
      <c r="R57" t="inlineStr">
        <is>
          <t>Large</t>
        </is>
      </c>
      <c r="S57" s="1" t="inlineStr">
        <is>
          <t>Business to Government, Business to Consumer, Business to Business, Business to Schools</t>
        </is>
      </c>
      <c r="T57" s="1" t="inlineStr">
        <is>
          <t>Primary Education</t>
        </is>
      </c>
      <c r="U57" s="1" t="inlineStr">
        <is>
          <t>Student interfacing, Teacher interfacing, System/Administrative</t>
        </is>
      </c>
      <c r="V57" s="1" t="inlineStr">
        <is>
          <t>Can't Wait to Learn</t>
        </is>
      </c>
      <c r="W57" s="1" t="inlineStr">
        <is>
          <t>Can’t Wait to Learn is an innovative digital learning platform, designed to help children in crisis-affected areas build essential literacy and numeracy skills. Co-created with children, the platform offers engaging, game-based learning experiences aligned with local curriculums.</t>
        </is>
      </c>
      <c r="X57" s="10" t="inlineStr">
        <is>
          <t>https://drive.google.com/uc?export=view&amp;id=1Zuz8_AQqUm3EzLHRvXLy_POYn2qMNIX_</t>
        </is>
      </c>
      <c r="Y57" t="inlineStr">
        <is>
          <t>https://drive.google.com/uc?export=view&amp;id=1Zuz8_AQqUm3EzLHRvXLy_POYn2qMNIX_</t>
        </is>
      </c>
      <c r="Z57" s="1" t="inlineStr">
        <is>
          <t>https://drive.google.com/uc?export=view&amp;id=1Zuz8_AQqUm3EzLHRvXLy_POYn2qMNIX_</t>
        </is>
      </c>
      <c r="AA57" s="1" t="inlineStr">
        <is>
          <t>Verified</t>
        </is>
      </c>
      <c r="AB57" s="1" t="inlineStr">
        <is>
          <t>Industry-academia partnerships, Public-private partnerships, Project consortium building, Collaborations between EdTech organisations, Other</t>
        </is>
      </c>
      <c r="AC57" s="1" t="inlineStr">
        <is>
          <t>Non-profit organisation</t>
        </is>
      </c>
      <c r="AD57" s="10" t="b">
        <v>1</v>
      </c>
      <c r="AE57" s="1" t="b">
        <v>1</v>
      </c>
      <c r="AF57" s="1" t="inlineStr">
        <is>
          <t>Yes</t>
        </is>
      </c>
      <c r="AG57" s="1" t="inlineStr">
        <is>
          <t>https://www.linkedin.com/showcase/cant-wait-to-learn/posts/?feedView=all</t>
        </is>
      </c>
      <c r="AH57" s="1" t="inlineStr">
        <is>
          <t>https://www.linkedin.com/showcase/cant-wait-to-learn/posts/?feedView=all</t>
        </is>
      </c>
      <c r="AI57" s="1" t="inlineStr">
        <is>
          <t>https://www.linkedin.com/showcase/cant-wait-to-learn/posts/?feedView=all</t>
        </is>
      </c>
      <c r="AJ57" s="1" t="n"/>
    </row>
    <row r="58" ht="12.5" customHeight="1">
      <c r="A58" s="6" t="n">
        <v>45889</v>
      </c>
      <c r="B58" s="1" t="inlineStr">
        <is>
          <t>ORG_2638</t>
        </is>
      </c>
      <c r="C58" s="1" t="b">
        <v>1</v>
      </c>
      <c r="D58" s="1" t="inlineStr">
        <is>
          <t>BASIC-X</t>
        </is>
      </c>
      <c r="E58" s="10" t="inlineStr">
        <is>
          <t>https://www.ludo-vic.com</t>
        </is>
      </c>
      <c r="F58" t="inlineStr">
        <is>
          <t>ludo-vic.com</t>
        </is>
      </c>
      <c r="G58" s="1" t="inlineStr">
        <is>
          <t>We build multilingual educational apps that "break the wall of words" by giving the instructions needed to acquire a given concept ( a new language for instance), orally in the learner's mother tongue</t>
        </is>
      </c>
      <c r="H58" s="1" t="inlineStr">
        <is>
          <t>I'm not part of any EdTech association</t>
        </is>
      </c>
      <c r="I58" s="1" t="inlineStr">
        <is>
          <t>English, German, Portuguese, French, Bulgarian, Spanish, Dutch, Romanian, Ukrainian</t>
        </is>
      </c>
      <c r="J58" s="1" t="inlineStr">
        <is>
          <t>Strasbourg</t>
        </is>
      </c>
      <c r="K58" t="inlineStr">
        <is>
          <t>Strasbourg</t>
        </is>
      </c>
      <c r="L58" t="inlineStr">
        <is>
          <t>Strasbourg, France</t>
        </is>
      </c>
      <c r="M58" t="n">
        <v>48.584614</v>
      </c>
      <c r="N58" t="n">
        <v>7.7507127</v>
      </c>
      <c r="O58" s="1" t="inlineStr">
        <is>
          <t>France</t>
        </is>
      </c>
      <c r="P58" s="1" t="inlineStr">
        <is>
          <t>Albania, Andorra, Austria, Bosnia and Herzegovina, Belgium, Belarus, Bulgaria, Croatia, Republic of Cyprus, Estonia, Denmark, Czechia, Finland, Greece, Ireland, Latvia, Luxembourg, Malta, Liechtenstein, Italy, Hungary, France, Germany, Iceland, Kosovo, Lithuania, Moldova, Netherlands, Poland, San Marino, Spain, Slovenia, Romania, Norway, Montenegro, Monaco, North Macedonia, Portugal, Slovakia, Sweden, Ukraine, Switzerland, United Kingdom, Turkey, world</t>
        </is>
      </c>
      <c r="Q58" s="1" t="inlineStr">
        <is>
          <t>Micro (1-9 FTE employees)</t>
        </is>
      </c>
      <c r="R58" t="inlineStr">
        <is>
          <t>Micro</t>
        </is>
      </c>
      <c r="S58" s="1" t="inlineStr">
        <is>
          <t>Business to Business, Business to Consumer, Business to Government, Business to Schools</t>
        </is>
      </c>
      <c r="T58" s="1" t="inlineStr">
        <is>
          <t>Lifelong learning/Adult education, Primary Education, Secondary Education, Vocational Education and Training (VET)</t>
        </is>
      </c>
      <c r="U58" s="1" t="inlineStr">
        <is>
          <t>Student interfacing, Teacher interfacing</t>
        </is>
      </c>
      <c r="V58" s="1" t="inlineStr">
        <is>
          <t>Basic-Français</t>
        </is>
      </c>
      <c r="W58" s="1" t="inlineStr">
        <is>
          <t>This App enables the autonomous acquisition of the Basics of French upto level A1 of the CEFRL in 25 languages to date, through 2463 instructions in 70 lessons regrouped in 22 modules.</t>
        </is>
      </c>
      <c r="X58" s="10" t="inlineStr">
        <is>
          <t>https://drive.google.com/uc?export=view&amp;id=1_ngIySarFNZUMAFisHM1K-t8CRMoipoZ</t>
        </is>
      </c>
      <c r="Y58" t="inlineStr">
        <is>
          <t>https://drive.google.com/uc?export=view&amp;id=1_ngIySarFNZUMAFisHM1K-t8CRMoipoZ</t>
        </is>
      </c>
      <c r="Z58" s="1" t="inlineStr">
        <is>
          <t>https://drive.google.com/uc?export=view&amp;id=1_ngIySarFNZUMAFisHM1K-t8CRMoipoZ</t>
        </is>
      </c>
      <c r="AA58" s="1" t="inlineStr">
        <is>
          <t>Verified</t>
        </is>
      </c>
      <c r="AB58" s="1" t="inlineStr">
        <is>
          <t>Collaborations between EdTech organisations, Project consortium building, Public-private partnerships, Industry-academia partnerships</t>
        </is>
      </c>
      <c r="AC58" s="1" t="inlineStr">
        <is>
          <t>For-profit company</t>
        </is>
      </c>
      <c r="AD58" s="10" t="b">
        <v>0</v>
      </c>
      <c r="AE58" s="1" t="b">
        <v>1</v>
      </c>
      <c r="AF58" s="1" t="inlineStr">
        <is>
          <t>Yes</t>
        </is>
      </c>
      <c r="AG58" s="1" t="inlineStr">
        <is>
          <t>https://www.linkedin.com/company/ludo-vic/?originalSubdomain=fr</t>
        </is>
      </c>
      <c r="AH58" s="1" t="inlineStr">
        <is>
          <t>https://www.linkedin.com/company/ludo-vic/?originalSubdomain=fr</t>
        </is>
      </c>
      <c r="AI58" s="1" t="inlineStr">
        <is>
          <t>https://www.linkedin.com/company/ludo-vic/?originalSubdomain=fr</t>
        </is>
      </c>
      <c r="AJ58" s="1" t="n"/>
    </row>
    <row r="59" ht="12.5" customHeight="1">
      <c r="A59" s="6" t="n">
        <v>45889</v>
      </c>
      <c r="B59" s="1" t="inlineStr">
        <is>
          <t>ORG_2097</t>
        </is>
      </c>
      <c r="C59" s="1" t="b">
        <v>1</v>
      </c>
      <c r="D59" s="1" t="inlineStr">
        <is>
          <t>Pharmuni</t>
        </is>
      </c>
      <c r="E59" s="10" t="inlineStr">
        <is>
          <t>https://pharmuni.com/</t>
        </is>
      </c>
      <c r="F59" t="inlineStr">
        <is>
          <t>pharmuni.com</t>
        </is>
      </c>
      <c r="G59" s="1" t="inlineStr">
        <is>
          <t>Pharmuni is an e-learning platform and recruitment tool designed specifically for professionals and business in Pharma and MedTech It aims to empower learners by providing access to high-quality educational content, resources, and industry-specific knowledge. By offering a range of courses, Pharmuni enables individuals to develop both their technical skills and soft skills, thereby enhancing their employability and career prospects. In addition to offering courses and educational content, Pharmuni also provides a recruitment platform for businesses to hire new qualified candidates. This includes Career Site, Job Advertising and Job Board, Applicant Tracking System and Candidate Messaging. For our members the career site includes Resume Builder, Cover Letter Builder, Job Board, Direct Applications, Application Updates and Messaging systems.</t>
        </is>
      </c>
      <c r="H59" s="1" t="inlineStr">
        <is>
          <t>I'm not part of any EdTech association</t>
        </is>
      </c>
      <c r="I59" s="1" t="inlineStr">
        <is>
          <t>English</t>
        </is>
      </c>
      <c r="J59" s="1" t="inlineStr">
        <is>
          <t>Lampertheim</t>
        </is>
      </c>
      <c r="K59" t="inlineStr">
        <is>
          <t>Lampertheim</t>
        </is>
      </c>
      <c r="L59" t="inlineStr">
        <is>
          <t>Lampertheim, Germany</t>
        </is>
      </c>
      <c r="M59" t="n">
        <v>49.6239449</v>
      </c>
      <c r="N59" t="n">
        <v>8.4093474</v>
      </c>
      <c r="O59" s="1" t="inlineStr">
        <is>
          <t>Germany</t>
        </is>
      </c>
      <c r="P59" s="1" t="inlineStr">
        <is>
          <t>Albania, Andorra, Austria, Belarus, Belgium, Bosnia and Herzegovina, Bulgaria, Croatia, Republic of Cyprus, Czechia, Denmark, Estonia, Finland, France, Germany, Greece, Hungary, Iceland, Ireland, Italy, Kosovo, Latvia, Liechtenstein, Lithuania, Luxembourg, Malta, Moldova, Monaco, Montenegro, Netherlands, North Macedonia, Norway, Poland, Portugal, Romania, San Marino, Slovakia, Slovenia, Spain, Sweden, Switzerland, Turkey, United Kingdom, Ukraine</t>
        </is>
      </c>
      <c r="Q59" s="1" t="inlineStr">
        <is>
          <t>Small (10-49 FTE employees)</t>
        </is>
      </c>
      <c r="R59" t="inlineStr">
        <is>
          <t>Small</t>
        </is>
      </c>
      <c r="S59" s="1" t="inlineStr">
        <is>
          <t>Business to Consumer, Business to Schools, Business to Business</t>
        </is>
      </c>
      <c r="T59" s="1" t="inlineStr">
        <is>
          <t>Vocational Education and Training (VET), Higher Education, Corporate Training, Lifelong learning/Adult education</t>
        </is>
      </c>
      <c r="U59" s="1" t="inlineStr">
        <is>
          <t>Student interfacing, Teacher interfacing, System/Administrative, Other</t>
        </is>
      </c>
      <c r="V59" s="1" t="inlineStr">
        <is>
          <t>Pharmuni</t>
        </is>
      </c>
      <c r="W59" s="1" t="inlineStr">
        <is>
          <t>Pharmuni is an e-learning platform and recruitment tool designed specifically for professionals and business in Pharma and MedTech It aims to empower learners by providing access to high-quality educational content, resources, and industry-specific knowledge.</t>
        </is>
      </c>
      <c r="X59" s="10" t="inlineStr">
        <is>
          <t>https://drive.google.com/uc?export=view&amp;id=1uM2CN7jn-3tF2ACwOCabO91vRCL00SAk</t>
        </is>
      </c>
      <c r="Y59" t="inlineStr">
        <is>
          <t>https://drive.google.com/uc?export=view&amp;id=1uM2CN7jn-3tF2ACwOCabO91vRCL00SAk</t>
        </is>
      </c>
      <c r="Z59" s="1" t="inlineStr">
        <is>
          <t>https://drive.google.com/uc?export=view&amp;id=1uM2CN7jn-3tF2ACwOCabO91vRCL00SAk</t>
        </is>
      </c>
      <c r="AA59" s="1" t="inlineStr">
        <is>
          <t>Verified</t>
        </is>
      </c>
      <c r="AB59" s="1" t="inlineStr">
        <is>
          <t>Collaborations between EdTech organisations, Public-private partnerships, Industry-academia partnerships</t>
        </is>
      </c>
      <c r="AC59" s="1" t="inlineStr">
        <is>
          <t>For-profit company</t>
        </is>
      </c>
      <c r="AD59" s="10" t="b">
        <v>1</v>
      </c>
      <c r="AE59" s="1" t="b">
        <v>1</v>
      </c>
      <c r="AF59" s="1" t="inlineStr">
        <is>
          <t>Yes</t>
        </is>
      </c>
      <c r="AG59" s="1" t="inlineStr">
        <is>
          <t>https://www.linkedin.com/company/pharmuni</t>
        </is>
      </c>
      <c r="AH59" s="1" t="inlineStr">
        <is>
          <t>https://www.linkedin.com/company/pharmuni</t>
        </is>
      </c>
      <c r="AI59" s="1" t="inlineStr">
        <is>
          <t>https://www.linkedin.com/company/pharmuni</t>
        </is>
      </c>
      <c r="AJ59" s="1" t="n"/>
    </row>
    <row r="60" ht="12.5" customHeight="1">
      <c r="A60" s="6" t="n">
        <v>45889</v>
      </c>
      <c r="B60" s="1" t="inlineStr">
        <is>
          <t>ORG_1715</t>
        </is>
      </c>
      <c r="C60" s="1" t="b">
        <v>1</v>
      </c>
      <c r="D60" s="1" t="inlineStr">
        <is>
          <t>Impact Connecting</t>
        </is>
      </c>
      <c r="E60" s="10" t="inlineStr">
        <is>
          <t>https://www.impactconnecting.education</t>
        </is>
      </c>
      <c r="F60" t="inlineStr">
        <is>
          <t>impactconnecting.education</t>
        </is>
      </c>
      <c r="G60" s="1" t="inlineStr">
        <is>
          <t>Communication and event to promote the use of EdTech in education and connect edtech and schools with impact.</t>
        </is>
      </c>
      <c r="H60" s="1" t="inlineStr">
        <is>
          <t>edtechstation</t>
        </is>
      </c>
      <c r="I60" s="1" t="inlineStr">
        <is>
          <t>Dutch</t>
        </is>
      </c>
      <c r="J60" s="1" t="inlineStr">
        <is>
          <t>Ghent</t>
        </is>
      </c>
      <c r="K60" t="inlineStr">
        <is>
          <t>Ghent</t>
        </is>
      </c>
      <c r="L60" t="inlineStr">
        <is>
          <t>Ghent, Belgium</t>
        </is>
      </c>
      <c r="M60" t="n">
        <v>51.0538286</v>
      </c>
      <c r="N60" t="n">
        <v>3.7250121</v>
      </c>
      <c r="O60" s="1" t="inlineStr">
        <is>
          <t>Belgium</t>
        </is>
      </c>
      <c r="P60" s="1" t="inlineStr">
        <is>
          <t>Belgium</t>
        </is>
      </c>
      <c r="Q60" s="1" t="inlineStr">
        <is>
          <t>Micro (1-9 FTE employees)</t>
        </is>
      </c>
      <c r="R60" t="inlineStr">
        <is>
          <t>Micro</t>
        </is>
      </c>
      <c r="S60" s="1" t="inlineStr">
        <is>
          <t>Business to Schools</t>
        </is>
      </c>
      <c r="T60" s="1" t="inlineStr">
        <is>
          <t>Early childhood development (0-5 years), Primary Education, Secondary Education, Vocational Education and Training (VET)</t>
        </is>
      </c>
      <c r="U60" s="1" t="inlineStr">
        <is>
          <t>Student interfacing, Teacher interfacing</t>
        </is>
      </c>
      <c r="V60" s="1" t="inlineStr">
        <is>
          <t>ICT-praktijkdag</t>
        </is>
      </c>
      <c r="W60" s="1" t="inlineStr">
        <is>
          <t>Yearly event by and for 1000 teachers learning from each other in hands-on workshops, supported by 50 edtech partners.</t>
        </is>
      </c>
      <c r="X60" s="10" t="inlineStr">
        <is>
          <t>Informaticalessen</t>
        </is>
      </c>
      <c r="Y60" t="inlineStr">
        <is>
          <t>Support, marketing and authorship of one of the most used online courses for IT and Informatics in education.</t>
        </is>
      </c>
      <c r="Z60" s="1" t="inlineStr">
        <is>
          <t>https://drive.google.com/uc?export=view&amp;id=1cSoLFQaqSsOMFv0HgUmEblCgK16_CKHG</t>
        </is>
      </c>
      <c r="AA60" s="1" t="inlineStr">
        <is>
          <t>Verified</t>
        </is>
      </c>
      <c r="AB60" s="1" t="inlineStr">
        <is>
          <t>Other, Collaborations between EdTech organisations</t>
        </is>
      </c>
      <c r="AC60" s="1" t="inlineStr">
        <is>
          <t>For-profit company</t>
        </is>
      </c>
      <c r="AD60" s="10" t="b">
        <v>1</v>
      </c>
      <c r="AE60" s="1" t="b">
        <v>1</v>
      </c>
      <c r="AF60" s="1" t="inlineStr">
        <is>
          <t>Yes</t>
        </is>
      </c>
      <c r="AG60" s="1" t="inlineStr">
        <is>
          <t>https://www.linkedin.com/company/impactconnecting</t>
        </is>
      </c>
      <c r="AH60" s="1" t="inlineStr">
        <is>
          <t>https://www.linkedin.com/company/impactconnecting</t>
        </is>
      </c>
      <c r="AI60" s="1" t="inlineStr">
        <is>
          <t>https://www.linkedin.com/company/impactconnecting</t>
        </is>
      </c>
      <c r="AJ60" s="1" t="n"/>
    </row>
    <row r="61" ht="12.5" customHeight="1">
      <c r="A61" s="6" t="n">
        <v>45889</v>
      </c>
      <c r="B61" s="1" t="inlineStr">
        <is>
          <t>ORG_2227</t>
        </is>
      </c>
      <c r="C61" s="1" t="b">
        <v>1</v>
      </c>
      <c r="D61" s="1" t="inlineStr">
        <is>
          <t>SelfStartGlobal</t>
        </is>
      </c>
      <c r="E61" s="10" t="inlineStr">
        <is>
          <t>www.selfstartglobal.com</t>
        </is>
      </c>
      <c r="F61" t="inlineStr">
        <is>
          <t>selfstartglobal.com</t>
        </is>
      </c>
      <c r="G61" s="1" t="inlineStr">
        <is>
          <t>We open doors to world-class universities, cutting costs by 50-100% through scholarships, empowering students to shape the future.</t>
        </is>
      </c>
      <c r="H61" s="1" t="inlineStr">
        <is>
          <t>Dutch EdTech</t>
        </is>
      </c>
      <c r="I61" s="1" t="inlineStr">
        <is>
          <t>English, Russian</t>
        </is>
      </c>
      <c r="J61" s="1" t="inlineStr">
        <is>
          <t>Haarlem</t>
        </is>
      </c>
      <c r="K61" t="inlineStr">
        <is>
          <t>Haarlem</t>
        </is>
      </c>
      <c r="L61" t="inlineStr">
        <is>
          <t>Haarlem, The Netherlands</t>
        </is>
      </c>
      <c r="M61" t="n">
        <v>52.3849077</v>
      </c>
      <c r="N61" t="n">
        <v>4.6654359</v>
      </c>
      <c r="O61" s="1" t="inlineStr">
        <is>
          <t>The Netherlands</t>
        </is>
      </c>
      <c r="P61" s="1" t="inlineStr">
        <is>
          <t>Ukraine, Poland, Latvia, Lithuania, Moldova</t>
        </is>
      </c>
      <c r="Q61" s="1" t="inlineStr">
        <is>
          <t>Small (10-49 FTE employees)</t>
        </is>
      </c>
      <c r="R61" t="inlineStr">
        <is>
          <t>Small</t>
        </is>
      </c>
      <c r="S61" s="1" t="inlineStr">
        <is>
          <t>Business to Consumer</t>
        </is>
      </c>
      <c r="T61" s="1" t="inlineStr">
        <is>
          <t>Higher Education</t>
        </is>
      </c>
      <c r="U61" s="1" t="inlineStr">
        <is>
          <t>Student interfacing, System/Administrative</t>
        </is>
      </c>
      <c r="V61" s="10" t="inlineStr">
        <is>
          <t>Full Guidance</t>
        </is>
      </c>
      <c r="W61" s="1" t="inlineStr">
        <is>
          <t>Our Full Guidance program is a comprehensive, end-to-end admissions service that supports clients through every stage of applying abroad. From building personal brand and Passion Project to assisting with documents, essays, and interviews.</t>
        </is>
      </c>
      <c r="X61" s="10" t="inlineStr">
        <is>
          <t>Mentorship</t>
        </is>
      </c>
      <c r="Y61" t="inlineStr">
        <is>
          <t>The Mentorship program offers flexible, expert guidance tailored to clients' specific needs during the admissions journey. Whether it’s essay review, university selection, or interview prep, clients get strategic support without the full structure of the Full Guidance package.</t>
        </is>
      </c>
      <c r="Z61" s="1" t="inlineStr">
        <is>
          <t>https://drive.google.com/uc?export=view&amp;id=1dmCHGfpHUkV3WCkWGPKk15INYid5QViz</t>
        </is>
      </c>
      <c r="AA61" s="1" t="inlineStr">
        <is>
          <t>Verified</t>
        </is>
      </c>
      <c r="AB61" s="1" t="inlineStr">
        <is>
          <t>Collaborations between EdTech organisations</t>
        </is>
      </c>
      <c r="AC61" s="1" t="inlineStr">
        <is>
          <t>For-profit company</t>
        </is>
      </c>
      <c r="AD61" s="10" t="b">
        <v>0</v>
      </c>
      <c r="AE61" s="1" t="b">
        <v>1</v>
      </c>
      <c r="AF61" s="1" t="inlineStr">
        <is>
          <t>Yes</t>
        </is>
      </c>
      <c r="AG61" s="1" t="inlineStr">
        <is>
          <t>https://www.instagram.com/selfstartglobal/?hl=en</t>
        </is>
      </c>
      <c r="AH61" s="1" t="inlineStr">
        <is>
          <t>https://www.linkedin.com/company/selfstartglobal/</t>
        </is>
      </c>
      <c r="AI61" s="1" t="inlineStr">
        <is>
          <t>https://www.linkedin.com/company/selfstartglobal/</t>
        </is>
      </c>
      <c r="AJ61" s="1" t="n"/>
    </row>
    <row r="62" ht="12.5" customHeight="1">
      <c r="A62" s="6" t="n">
        <v>45889</v>
      </c>
      <c r="B62" s="1" t="inlineStr">
        <is>
          <t>ORG_2003</t>
        </is>
      </c>
      <c r="C62" s="1" t="b">
        <v>1</v>
      </c>
      <c r="D62" s="1" t="inlineStr">
        <is>
          <t>MY Synergy</t>
        </is>
      </c>
      <c r="E62" s="10" t="inlineStr">
        <is>
          <t>www.mysynergy.eu</t>
        </is>
      </c>
      <c r="F62" t="inlineStr">
        <is>
          <t>mysynergy.eu</t>
        </is>
      </c>
      <c r="G62" s="1" t="inlineStr">
        <is>
          <t>MY Synergy is an award-winning health-tech company focused on transformation across healthcare, the pharmaceutical industry and medical education. We combine deep industry expertise with advanced technology to bridge the gap between business needs and innovative digital solutions. Our solutions leverage advanced analytics, automation, and cloud-native technologies to support real-time, data-driven decision-making, ensure end-to-end compliance, and integrate seamlessly with existing infrastructure, empowering our clients to innovate securely and at scale. Our success is built on proven processes, exceptional ability to translate business needs into technology solutions, and strong problem-solving capabilities, ensuring that innovation is not only technically sound but also aligned with strategic goals, operational efficiency, and measurable outcomes - factors that truly set us apart.</t>
        </is>
      </c>
      <c r="H62" s="1" t="inlineStr">
        <is>
          <t>EdTech Bulgaria</t>
        </is>
      </c>
      <c r="I62" s="1" t="inlineStr">
        <is>
          <t>English, Bulgarian</t>
        </is>
      </c>
      <c r="J62" s="1" t="inlineStr">
        <is>
          <t>Bulgaria</t>
        </is>
      </c>
      <c r="K62" t="inlineStr">
        <is>
          <t>Bulgaria</t>
        </is>
      </c>
      <c r="L62" t="inlineStr">
        <is>
          <t>Bulgaria, Bulgaria</t>
        </is>
      </c>
      <c r="M62" t="n">
        <v>42.6073975</v>
      </c>
      <c r="N62" t="n">
        <v>25.4856617</v>
      </c>
      <c r="O62" s="1" t="inlineStr">
        <is>
          <t>Bulgaria</t>
        </is>
      </c>
      <c r="P62" s="1" t="inlineStr">
        <is>
          <t>Bulgaria, France, United Kingdom</t>
        </is>
      </c>
      <c r="Q62" s="1" t="inlineStr">
        <is>
          <t>Small (10-49 FTE employees)</t>
        </is>
      </c>
      <c r="R62" t="inlineStr">
        <is>
          <t>Small</t>
        </is>
      </c>
      <c r="S62" s="1" t="inlineStr">
        <is>
          <t>Business to Business, Business to Government</t>
        </is>
      </c>
      <c r="T62" s="1" t="inlineStr">
        <is>
          <t>Higher Education</t>
        </is>
      </c>
      <c r="U62" s="1" t="inlineStr">
        <is>
          <t>Student interfacing, Teacher interfacing, System/Administrative</t>
        </is>
      </c>
      <c r="V62" s="1" t="inlineStr">
        <is>
          <t>AI Library</t>
        </is>
      </c>
      <c r="W62" t="inlineStr">
        <is>
          <t>Address the challenges faced in academia, such as information overload and underutilized academic materials. Key functionalities include a centralized database, semantic search, citation and referencing, flexible integration, and secure access.</t>
        </is>
      </c>
      <c r="X62" s="10" t="inlineStr">
        <is>
          <t>Data &amp; Analytics</t>
        </is>
      </c>
      <c r="Y62" t="inlineStr">
        <is>
          <t>Reporting automation, monitoring of operational and clinical KPIs, improving operational efficiency and financial performance, forecasting resources allocation and financial planning, building ML models for disease prediction and prevention, and optimizing clinical trials</t>
        </is>
      </c>
      <c r="Z62" s="1" t="inlineStr">
        <is>
          <t>https://drive.google.com/uc?export=view&amp;id=1IQ5N3_AAmRpf9ZLvwwh9pZrYXiIyDm9b</t>
        </is>
      </c>
      <c r="AA62" s="1" t="inlineStr">
        <is>
          <t>Verified</t>
        </is>
      </c>
      <c r="AB62" s="1" t="inlineStr">
        <is>
          <t>Industry-academia partnerships, Public-private partnerships, Collaborations between EdTech organisations, Project consortium building</t>
        </is>
      </c>
      <c r="AC62" s="1" t="inlineStr">
        <is>
          <t>For-profit company</t>
        </is>
      </c>
      <c r="AD62" s="10" t="b">
        <v>1</v>
      </c>
      <c r="AE62" s="1" t="b">
        <v>0</v>
      </c>
      <c r="AF62" s="1" t="inlineStr">
        <is>
          <t>Yes</t>
        </is>
      </c>
      <c r="AG62" s="1" t="inlineStr">
        <is>
          <t>https://www.linkedin.com/company/my-synergy/</t>
        </is>
      </c>
      <c r="AH62" s="1" t="inlineStr">
        <is>
          <t>https://www.linkedin.com/company/my-synergy/</t>
        </is>
      </c>
      <c r="AI62" s="1" t="inlineStr">
        <is>
          <t>https://www.linkedin.com/company/my-synergy/</t>
        </is>
      </c>
      <c r="AJ62" s="10" t="inlineStr">
        <is>
          <t>https://www.facebook.com/mysynergybg</t>
        </is>
      </c>
    </row>
    <row r="63" ht="12.5" customHeight="1">
      <c r="A63" s="6" t="n">
        <v>45889</v>
      </c>
      <c r="B63" s="1" t="inlineStr">
        <is>
          <t>ORG_2235</t>
        </is>
      </c>
      <c r="C63" s="1" t="b">
        <v>1</v>
      </c>
      <c r="D63" s="1" t="inlineStr">
        <is>
          <t>Short Edition</t>
        </is>
      </c>
      <c r="E63" s="10" t="inlineStr">
        <is>
          <t>https://short-edition.com/en/</t>
        </is>
      </c>
      <c r="F63" t="inlineStr">
        <is>
          <t>short-edition.com/en</t>
        </is>
      </c>
      <c r="G63" s="1" t="inlineStr">
        <is>
          <t>Short Édition revolutionizes reading and writing by making short literature instantly accessible anywhere. Through our unique Short Story Dispensers and digital platforms, we deliver bite-sized stories, poems, and comics directly into schools, libraries, and public spaces—sparking literary curiosity and creativity for all ages. Our engaging, interactive solutions empower communities and educators to inspire a love of reading and creative expression in just a few minutes a day.</t>
        </is>
      </c>
      <c r="H63" s="1" t="inlineStr">
        <is>
          <t>AFINEF, EdTech France</t>
        </is>
      </c>
      <c r="I63" s="1" t="inlineStr">
        <is>
          <t>English, French, Spanish, German, Italian, Dutch</t>
        </is>
      </c>
      <c r="J63" s="1" t="inlineStr">
        <is>
          <t>Paris</t>
        </is>
      </c>
      <c r="K63" t="inlineStr">
        <is>
          <t>Paris</t>
        </is>
      </c>
      <c r="L63" t="inlineStr">
        <is>
          <t>Paris, France</t>
        </is>
      </c>
      <c r="M63" t="n">
        <v>48.8534951</v>
      </c>
      <c r="N63" t="n">
        <v>2.3483915</v>
      </c>
      <c r="O63" s="1" t="inlineStr">
        <is>
          <t>France</t>
        </is>
      </c>
      <c r="P63" s="1" t="inlineStr">
        <is>
          <t>Belgium, France, United Kingdom, Germany, Switzerland, Netherlands, Luxembourg, Ireland, Malta</t>
        </is>
      </c>
      <c r="Q63" s="1" t="inlineStr">
        <is>
          <t>Small (10-49 FTE employees)</t>
        </is>
      </c>
      <c r="R63" t="inlineStr">
        <is>
          <t>Small</t>
        </is>
      </c>
      <c r="S63" s="1" t="inlineStr">
        <is>
          <t>Business to Business</t>
        </is>
      </c>
      <c r="T63" s="1" t="inlineStr">
        <is>
          <t>Primary Education, Secondary Education, Higher Education</t>
        </is>
      </c>
      <c r="U63" s="1" t="inlineStr">
        <is>
          <t>Student interfacing, Teacher interfacing</t>
        </is>
      </c>
      <c r="V63" s="1" t="inlineStr">
        <is>
          <t>Short Story Dispenser</t>
        </is>
      </c>
      <c r="W63" s="1" t="inlineStr">
        <is>
          <t>Short Story Dispensers are innovative kiosks that deliver free one-, three-, or five-minute stories at the push of a button. Installed in cities worldwide, they turn waiting time into reading time, connect communities across cultures, and showcase local writers to millions of readers.</t>
        </is>
      </c>
      <c r="X63" s="10" t="inlineStr">
        <is>
          <t>Short Story Cube</t>
        </is>
      </c>
      <c r="Y63" t="inlineStr">
        <is>
          <t>The Short Story Cube is a portable, affordable student engagement tool for teachers and librarians on the go. It delivers short fiction on eco-friendly paper to boost reading for fun while teaching creative thinking and analysis.</t>
        </is>
      </c>
      <c r="Z63" s="1" t="inlineStr">
        <is>
          <t>https://drive.google.com/uc?export=view&amp;id=1jwlI1Lx0JqqiTuHmcMtZ3_HG89g08B6M</t>
        </is>
      </c>
      <c r="AA63" s="1" t="inlineStr">
        <is>
          <t>Verified</t>
        </is>
      </c>
      <c r="AB63" s="1" t="inlineStr">
        <is>
          <t>Project consortium building, Collaborations between EdTech organisations, Public-private partnerships, Industry-academia partnerships</t>
        </is>
      </c>
      <c r="AC63" s="1" t="inlineStr">
        <is>
          <t>For-profit company</t>
        </is>
      </c>
      <c r="AD63" s="10" t="b">
        <v>1</v>
      </c>
      <c r="AE63" s="1" t="b">
        <v>1</v>
      </c>
      <c r="AF63" s="1" t="inlineStr">
        <is>
          <t>Yes</t>
        </is>
      </c>
      <c r="AG63" s="1" t="inlineStr">
        <is>
          <t>@shortedition</t>
        </is>
      </c>
      <c r="AH63" s="1" t="inlineStr">
        <is>
          <t>https://www.linkedin.com/company/shortedition/</t>
        </is>
      </c>
      <c r="AI63" s="1" t="inlineStr">
        <is>
          <t>https://www.linkedin.com/company/shortedition/</t>
        </is>
      </c>
      <c r="AJ63" s="1" t="inlineStr">
        <is>
          <t>@ShortEdition</t>
        </is>
      </c>
    </row>
    <row r="64" ht="12.5" customHeight="1">
      <c r="A64" s="6" t="n">
        <v>45889</v>
      </c>
      <c r="B64" s="1" t="inlineStr">
        <is>
          <t>ORG_1721</t>
        </is>
      </c>
      <c r="C64" s="1" t="b">
        <v>1</v>
      </c>
      <c r="D64" s="1" t="inlineStr">
        <is>
          <t>InfoMentor</t>
        </is>
      </c>
      <c r="E64" s="10" t="inlineStr">
        <is>
          <t>infomentor.se</t>
        </is>
      </c>
      <c r="F64" t="inlineStr">
        <is>
          <t>infomentor.se</t>
        </is>
      </c>
      <c r="G64" s="1" t="inlineStr">
        <is>
          <t>InfoMentor is an established international EdTech company with deep experience in K–12 education. We provide a modern, user-friendly SaaS platform that supports schools with administration, assessment, documentation, and communication between teachers, students, and guardians.</t>
        </is>
      </c>
      <c r="H64" s="1" t="inlineStr">
        <is>
          <t>Swedish EdTech Industry</t>
        </is>
      </c>
      <c r="I64" s="1" t="inlineStr">
        <is>
          <t>English, German, Swedish, Icelandic</t>
        </is>
      </c>
      <c r="J64" s="1" t="inlineStr">
        <is>
          <t>Kristianstad</t>
        </is>
      </c>
      <c r="K64" t="inlineStr">
        <is>
          <t>Kristianstad</t>
        </is>
      </c>
      <c r="L64" t="inlineStr">
        <is>
          <t>Kristianstad, Sweden</t>
        </is>
      </c>
      <c r="M64" t="n">
        <v>56.0293778</v>
      </c>
      <c r="N64" t="n">
        <v>14.1566859</v>
      </c>
      <c r="O64" s="1" t="inlineStr">
        <is>
          <t>Sweden</t>
        </is>
      </c>
      <c r="P64" s="1" t="inlineStr">
        <is>
          <t>Iceland, Spain, Sweden, Switzerland, United Kingdom</t>
        </is>
      </c>
      <c r="Q64" s="1" t="inlineStr">
        <is>
          <t>Small (10-49 FTE employees)</t>
        </is>
      </c>
      <c r="R64" t="inlineStr">
        <is>
          <t>Small</t>
        </is>
      </c>
      <c r="S64" s="1" t="inlineStr">
        <is>
          <t>Business to Schools, Business to Government</t>
        </is>
      </c>
      <c r="T64" s="1" t="inlineStr">
        <is>
          <t>Early childhood development (0-5 years), Primary Education, Secondary Education, Vocational Education and Training (VET)</t>
        </is>
      </c>
      <c r="U64" s="1" t="inlineStr">
        <is>
          <t>Teacher interfacing, Student interfacing, System/Administrative</t>
        </is>
      </c>
      <c r="V64" s="1" t="inlineStr">
        <is>
          <t>InfoMentor</t>
        </is>
      </c>
      <c r="W64" s="1" t="inlineStr">
        <is>
          <t>The platform helps educators track and align with the national curriculum, making everyday schoolwork more efficient and transparent. Today, InfoMentor is a market leader in Sweden and Iceland, used by around 2,500 schools and over 1,000,000 users every day.</t>
        </is>
      </c>
      <c r="X64" s="1" t="inlineStr">
        <is>
          <t>https://drive.google.com/uc?export=view&amp;id=1RlMZE-ri4cPI48lkNTdojz5E82sVcQjE</t>
        </is>
      </c>
      <c r="Y64" t="inlineStr">
        <is>
          <t>https://drive.google.com/uc?export=view&amp;id=1RlMZE-ri4cPI48lkNTdojz5E82sVcQjE</t>
        </is>
      </c>
      <c r="Z64" s="1" t="inlineStr">
        <is>
          <t>https://drive.google.com/uc?export=view&amp;id=1RlMZE-ri4cPI48lkNTdojz5E82sVcQjE</t>
        </is>
      </c>
      <c r="AA64" s="1" t="inlineStr">
        <is>
          <t>Verified</t>
        </is>
      </c>
      <c r="AB64" s="1" t="inlineStr">
        <is>
          <t>Collaborations between EdTech organisations, Public-private partnerships</t>
        </is>
      </c>
      <c r="AC64" s="1" t="inlineStr">
        <is>
          <t>For-profit company</t>
        </is>
      </c>
      <c r="AD64" s="10" t="b">
        <v>1</v>
      </c>
      <c r="AE64" s="1" t="b">
        <v>1</v>
      </c>
      <c r="AF64" s="1" t="inlineStr">
        <is>
          <t>No</t>
        </is>
      </c>
      <c r="AG64" s="1" t="n"/>
      <c r="AH64" s="1" t="n"/>
      <c r="AI64" s="1" t="n"/>
      <c r="AJ64" s="1" t="n"/>
    </row>
    <row r="65" ht="12.5" customHeight="1">
      <c r="A65" s="6" t="n">
        <v>45889</v>
      </c>
      <c r="B65" s="1" t="inlineStr">
        <is>
          <t>ORG_2637</t>
        </is>
      </c>
      <c r="C65" s="1" t="b">
        <v>1</v>
      </c>
      <c r="D65" s="1" t="inlineStr">
        <is>
          <t>Indícia</t>
        </is>
      </c>
      <c r="E65" s="10" t="inlineStr">
        <is>
          <t>https://www.indicia.sk/english</t>
        </is>
      </c>
      <c r="F65" t="inlineStr">
        <is>
          <t>indicia.sk/english</t>
        </is>
      </c>
      <c r="G65" s="1" t="inlineStr">
        <is>
          <t>Indicia is a Slovak non-profit organization dedicated to improving education through innovation, teacher support, and systemic change. For over 15 years, Indicia has developed and implemented practical tools, training programs, and educational events that empower teachers and help schools transform learning. The organization works closely with educators, policymakers, and international partners, combining pedagogical expertise with bold ideas to reimagine what school can be.</t>
        </is>
      </c>
      <c r="H65" s="1" t="inlineStr">
        <is>
          <t>I'm not part of any EdTech association</t>
        </is>
      </c>
      <c r="I65" s="1" t="inlineStr">
        <is>
          <t>English, French, Czech, Slovak, Hungarian, Norwegian</t>
        </is>
      </c>
      <c r="J65" s="1" t="inlineStr">
        <is>
          <t>Bratislava</t>
        </is>
      </c>
      <c r="K65" t="inlineStr">
        <is>
          <t>Bratislava</t>
        </is>
      </c>
      <c r="L65" t="inlineStr">
        <is>
          <t>Bratislava, Slovakia</t>
        </is>
      </c>
      <c r="M65" t="n">
        <v>48.1359085</v>
      </c>
      <c r="N65" t="n">
        <v>17.1597441</v>
      </c>
      <c r="O65" s="1" t="inlineStr">
        <is>
          <t>Slovakia</t>
        </is>
      </c>
      <c r="P65" s="1" t="inlineStr">
        <is>
          <t>Czechia, Slovakia</t>
        </is>
      </c>
      <c r="Q65" s="1" t="inlineStr">
        <is>
          <t>Small (10-49 FTE employees)</t>
        </is>
      </c>
      <c r="R65" t="inlineStr">
        <is>
          <t>Small</t>
        </is>
      </c>
      <c r="S65" s="1" t="inlineStr">
        <is>
          <t>Business to Schools</t>
        </is>
      </c>
      <c r="T65" s="1" t="inlineStr">
        <is>
          <t>Early childhood development (0-5 years), Primary Education, Secondary Education</t>
        </is>
      </c>
      <c r="U65" s="1" t="inlineStr">
        <is>
          <t>Student interfacing</t>
        </is>
      </c>
      <c r="V65" s="10" t="inlineStr">
        <is>
          <t>Informatics with Emil</t>
        </is>
      </c>
      <c r="W65" s="1" t="inlineStr">
        <is>
          <t>Informatics with Emil is a playful, story-based program that teaches young children computational thinking through exploration, collaboration, and hands-on activities—no prior coding skills needed.</t>
        </is>
      </c>
      <c r="X65" s="10" t="inlineStr">
        <is>
          <t>https://drive.google.com/uc?export=view&amp;id=1O5HAo1AWzGFpEdXmpaW7-baLeCciN6kk</t>
        </is>
      </c>
      <c r="Y65" t="inlineStr">
        <is>
          <t>https://drive.google.com/uc?export=view&amp;id=1O5HAo1AWzGFpEdXmpaW7-baLeCciN6kk</t>
        </is>
      </c>
      <c r="Z65" s="1" t="inlineStr">
        <is>
          <t>https://drive.google.com/uc?export=view&amp;id=1O5HAo1AWzGFpEdXmpaW7-baLeCciN6kk</t>
        </is>
      </c>
      <c r="AA65" s="1" t="inlineStr">
        <is>
          <t>Verified</t>
        </is>
      </c>
      <c r="AB65" s="1" t="inlineStr">
        <is>
          <t>Public-private partnerships, Collaborations between EdTech organisations</t>
        </is>
      </c>
      <c r="AC65" s="1" t="inlineStr">
        <is>
          <t>Non-profit organisation</t>
        </is>
      </c>
      <c r="AD65" s="10" t="b">
        <v>1</v>
      </c>
      <c r="AE65" s="1" t="b">
        <v>1</v>
      </c>
      <c r="AF65" s="1" t="inlineStr">
        <is>
          <t>Yes</t>
        </is>
      </c>
      <c r="AG65" s="1" t="inlineStr">
        <is>
          <t>https://www.instagram.com/indicia.sk/</t>
        </is>
      </c>
      <c r="AH65" s="1" t="inlineStr">
        <is>
          <t>https://www.linkedin.com/company/ind%C3%ADcia/</t>
        </is>
      </c>
      <c r="AI65" s="1" t="inlineStr">
        <is>
          <t>https://www.linkedin.com/company/ind%C3%ADcia/</t>
        </is>
      </c>
      <c r="AJ65" s="10" t="inlineStr">
        <is>
          <t>https://www.facebook.com/indicia.sk/</t>
        </is>
      </c>
    </row>
    <row r="66" ht="12.5" customHeight="1">
      <c r="A66" s="6" t="n">
        <v>45889</v>
      </c>
      <c r="B66" s="1" t="inlineStr">
        <is>
          <t>ORG_2636</t>
        </is>
      </c>
      <c r="C66" s="1" t="b">
        <v>1</v>
      </c>
      <c r="D66" s="1" t="inlineStr">
        <is>
          <t>EMRAUDE</t>
        </is>
      </c>
      <c r="E66" s="10" t="inlineStr">
        <is>
          <t>www.emraude.com</t>
        </is>
      </c>
      <c r="F66" t="inlineStr">
        <is>
          <t>emraude.com</t>
        </is>
      </c>
      <c r="G66" s="1" t="inlineStr">
        <is>
          <t>We design gamify learning solutions that merge storytelling, micro learning, and adaptive learning into engaging digital journeys. Our expertise spans open world adventures, 3D experiences, and WebGL development, complemented by 2D illustrations, motion design, and micro interactions. We create gamified quizzes, custom avatars, and leaderboards to boost motivation, while ensuring compatibility with SCORM, Rise, Storyline, and webapps. Our learning paths integrate mobile learning, hybrid, and classroom formats, enhanced by AI learning and enhanced data analytics.</t>
        </is>
      </c>
      <c r="H66" s="1" t="inlineStr">
        <is>
          <t>EdTech France</t>
        </is>
      </c>
      <c r="I66" s="1" t="inlineStr">
        <is>
          <t>English, German, Portuguese, Czech, Finnish, Irish, Maltese, Slovak, Ukrainian, Catalan, Slovenian, Polish, Latvian, Greek, Italian, French, Bulgarian, Danish, Spanish, Dutch, Croatian, Estonian, Hungarian, Lithuanian, Romanian, Swedish, Basque</t>
        </is>
      </c>
      <c r="J66" s="1" t="inlineStr">
        <is>
          <t>Paris</t>
        </is>
      </c>
      <c r="K66" t="inlineStr">
        <is>
          <t>Paris</t>
        </is>
      </c>
      <c r="L66" t="inlineStr">
        <is>
          <t>Paris, France</t>
        </is>
      </c>
      <c r="M66" t="n">
        <v>48.8534951</v>
      </c>
      <c r="N66" t="n">
        <v>2.3483915</v>
      </c>
      <c r="O66" s="1" t="inlineStr">
        <is>
          <t>France</t>
        </is>
      </c>
      <c r="P66" s="1" t="n"/>
      <c r="Q66" s="1" t="inlineStr">
        <is>
          <t>Medium (50-250 FTE employees)</t>
        </is>
      </c>
      <c r="R66" t="inlineStr">
        <is>
          <t>Medium</t>
        </is>
      </c>
      <c r="S66" s="1" t="inlineStr">
        <is>
          <t>Business to Business</t>
        </is>
      </c>
      <c r="T66" s="1" t="inlineStr">
        <is>
          <t>Corporate Training</t>
        </is>
      </c>
      <c r="U66" s="1" t="inlineStr">
        <is>
          <t>Other, System/Administrative</t>
        </is>
      </c>
      <c r="V66" s="1" t="inlineStr">
        <is>
          <t>https://fr.linkedin.com/company/emraudeagency</t>
        </is>
      </c>
      <c r="W66" s="1" t="inlineStr">
        <is>
          <t>https://drive.google.com/uc?export=view&amp;id=13ofQrWW3m0jZuNl40tybQmeDvTkOmcF-</t>
        </is>
      </c>
      <c r="X66" s="10" t="inlineStr">
        <is>
          <t>https://drive.google.com/uc?export=view&amp;id=13ofQrWW3m0jZuNl40tybQmeDvTkOmcF-</t>
        </is>
      </c>
      <c r="Y66" t="inlineStr">
        <is>
          <t>https://drive.google.com/uc?export=view&amp;id=13ofQrWW3m0jZuNl40tybQmeDvTkOmcF-</t>
        </is>
      </c>
      <c r="Z66" s="1" t="inlineStr">
        <is>
          <t>https://drive.google.com/uc?export=view&amp;id=13ofQrWW3m0jZuNl40tybQmeDvTkOmcF-</t>
        </is>
      </c>
      <c r="AA66" s="1" t="inlineStr">
        <is>
          <t>Verified</t>
        </is>
      </c>
      <c r="AB66" s="1" t="inlineStr">
        <is>
          <t>Collaborations between EdTech organisations</t>
        </is>
      </c>
      <c r="AC66" s="1" t="inlineStr">
        <is>
          <t>For-profit company</t>
        </is>
      </c>
      <c r="AD66" s="10" t="b">
        <v>1</v>
      </c>
      <c r="AE66" s="1" t="b">
        <v>1</v>
      </c>
      <c r="AF66" s="1" t="inlineStr">
        <is>
          <t>Yes</t>
        </is>
      </c>
      <c r="AG66" s="1" t="inlineStr">
        <is>
          <t>https://fr.linkedin.com/company/emraudeagency</t>
        </is>
      </c>
      <c r="AH66" s="1" t="inlineStr">
        <is>
          <t>https://fr.linkedin.com/company/emraudeagency</t>
        </is>
      </c>
      <c r="AI66" s="1" t="inlineStr">
        <is>
          <t>https://fr.linkedin.com/company/emraudeagency</t>
        </is>
      </c>
      <c r="AJ66" s="1" t="n"/>
    </row>
    <row r="67" ht="12.5" customHeight="1">
      <c r="A67" s="6" t="n">
        <v>45889</v>
      </c>
      <c r="B67" s="1" t="inlineStr">
        <is>
          <t>ORG_1334</t>
        </is>
      </c>
      <c r="C67" s="1" t="b">
        <v>1</v>
      </c>
      <c r="D67" s="1" t="inlineStr">
        <is>
          <t>DeepSkill</t>
        </is>
      </c>
      <c r="E67" s="10" t="inlineStr">
        <is>
          <t>www.deepskill.com</t>
        </is>
      </c>
      <c r="F67" t="inlineStr">
        <is>
          <t>deepskill.com</t>
        </is>
      </c>
      <c r="G67" s="1" t="inlineStr">
        <is>
          <t>DeepSkill is an innovative provider of Future Skills, specializing in the development of leaders, experts, and talents. Through tailored, data-driven learning journeys, DeepSkill supports companies in achieving a sustainable Return on Learning and measurable business success. Its AI-powered content on an innovative platform helps organizations build the critical capabilities needed for successful transformation and effective leadership in uncertain times.</t>
        </is>
      </c>
      <c r="H67" s="1" t="inlineStr">
        <is>
          <t>I'm not part of any EdTech association</t>
        </is>
      </c>
      <c r="I67" s="1" t="inlineStr">
        <is>
          <t>English, German, French, Italian, Spanish, Dutch, Portuguese, Greek, Polish</t>
        </is>
      </c>
      <c r="J67" s="1" t="inlineStr">
        <is>
          <t>Cologne</t>
        </is>
      </c>
      <c r="K67" t="inlineStr">
        <is>
          <t>Cologne</t>
        </is>
      </c>
      <c r="L67" t="inlineStr">
        <is>
          <t>Cologne, Germany</t>
        </is>
      </c>
      <c r="M67" t="n">
        <v>50.938361</v>
      </c>
      <c r="N67" t="n">
        <v>6.959974</v>
      </c>
      <c r="O67" s="1" t="inlineStr">
        <is>
          <t>Germany</t>
        </is>
      </c>
      <c r="P67" s="1" t="n"/>
      <c r="Q67" s="1" t="inlineStr">
        <is>
          <t>Small (10-49 FTE employees)</t>
        </is>
      </c>
      <c r="R67" t="inlineStr">
        <is>
          <t>Small</t>
        </is>
      </c>
      <c r="S67" s="1" t="inlineStr">
        <is>
          <t>Business to Business</t>
        </is>
      </c>
      <c r="T67" s="1" t="inlineStr">
        <is>
          <t>Corporate Training</t>
        </is>
      </c>
      <c r="U67" s="1" t="inlineStr">
        <is>
          <t>System/Administrative, Student interfacing, Teacher interfacing</t>
        </is>
      </c>
      <c r="V67" s="1" t="inlineStr">
        <is>
          <t>http://linkedin.com/company/deepskillpeopledevelopment</t>
        </is>
      </c>
      <c r="W67" s="1" t="inlineStr">
        <is>
          <t>https://drive.google.com/uc?export=view&amp;id=1bYYmlYF0LwB8sIaW3SZrYP7M6YsTG1bB</t>
        </is>
      </c>
      <c r="X67" s="10" t="inlineStr">
        <is>
          <t>https://drive.google.com/uc?export=view&amp;id=1bYYmlYF0LwB8sIaW3SZrYP7M6YsTG1bB</t>
        </is>
      </c>
      <c r="Y67" t="inlineStr">
        <is>
          <t>https://drive.google.com/uc?export=view&amp;id=1bYYmlYF0LwB8sIaW3SZrYP7M6YsTG1bB</t>
        </is>
      </c>
      <c r="Z67" s="1" t="inlineStr">
        <is>
          <t>https://drive.google.com/uc?export=view&amp;id=1bYYmlYF0LwB8sIaW3SZrYP7M6YsTG1bB</t>
        </is>
      </c>
      <c r="AA67" s="1" t="inlineStr">
        <is>
          <t>Verified</t>
        </is>
      </c>
      <c r="AB67" s="1" t="inlineStr">
        <is>
          <t>Collaborations between EdTech organisations, Industry-academia partnerships</t>
        </is>
      </c>
      <c r="AC67" s="1" t="inlineStr">
        <is>
          <t>For-profit company</t>
        </is>
      </c>
      <c r="AD67" s="10" t="b">
        <v>1</v>
      </c>
      <c r="AE67" s="1" t="b">
        <v>1</v>
      </c>
      <c r="AF67" s="1" t="inlineStr">
        <is>
          <t>Yes</t>
        </is>
      </c>
      <c r="AG67" s="1" t="inlineStr">
        <is>
          <t>http://linkedin.com/company/deepskillpeopledevelopment</t>
        </is>
      </c>
      <c r="AH67" s="1" t="inlineStr">
        <is>
          <t>http://linkedin.com/company/deepskillpeopledevelopment</t>
        </is>
      </c>
      <c r="AI67" s="1" t="inlineStr">
        <is>
          <t>http://linkedin.com/company/deepskillpeopledevelopment</t>
        </is>
      </c>
      <c r="AJ67" s="1" t="n"/>
    </row>
    <row r="68" ht="12.5" customHeight="1">
      <c r="A68" s="6" t="n">
        <v>45889</v>
      </c>
      <c r="B68" s="1" t="inlineStr">
        <is>
          <t>ORG_1344</t>
        </is>
      </c>
      <c r="C68" s="1" t="b">
        <v>1</v>
      </c>
      <c r="D68" s="1" t="inlineStr">
        <is>
          <t>DiBL</t>
        </is>
      </c>
      <c r="E68" s="10" t="inlineStr">
        <is>
          <t>https://dibl.eu</t>
        </is>
      </c>
      <c r="F68" t="inlineStr">
        <is>
          <t>dibl.eu</t>
        </is>
      </c>
      <c r="G68" s="1" t="inlineStr">
        <is>
          <t>DiBL was born out of a wish to put people at the center of digital learning in the classroom. We believe digital tools should empower facilitators to involve learners in active learning.  With DiBL, the facilitators runs a scenario with key dilemmas, where all participants actively participate throughout with each their voice.</t>
        </is>
      </c>
      <c r="H68" s="1" t="inlineStr">
        <is>
          <t>EdTech Denmark</t>
        </is>
      </c>
      <c r="I68" s="1" t="inlineStr">
        <is>
          <t>English, German, Danish</t>
        </is>
      </c>
      <c r="J68" s="1" t="inlineStr">
        <is>
          <t>Copenhagen</t>
        </is>
      </c>
      <c r="K68" t="inlineStr">
        <is>
          <t>Copenhagen</t>
        </is>
      </c>
      <c r="L68" t="inlineStr">
        <is>
          <t>Copenhagen, Denmark</t>
        </is>
      </c>
      <c r="M68" t="n">
        <v>55.6867243</v>
      </c>
      <c r="N68" t="n">
        <v>12.5700724</v>
      </c>
      <c r="O68" s="1" t="inlineStr">
        <is>
          <t>Denmark</t>
        </is>
      </c>
      <c r="P68" s="1" t="inlineStr">
        <is>
          <t>Albania, Andorra, Austria, United Kingdom, Ukraine, Sweden, Switzerland, Turkey, Spain, Slovenia, Slovakia, Portugal, Romania, San Marino, Poland, Norway, North Macedonia, Monaco, Montenegro, Netherlands, Moldova, Malta, Luxembourg, Latvia, Ireland, Greece, Hungary, Italy, Liechtenstein, Lithuania, Kosovo, Iceland, Germany, Estonia, Republic of Cyprus, Bosnia and Herzegovina, Belgium, Belarus, Bulgaria, Czechia, Finland, France, Denmark, Croatia</t>
        </is>
      </c>
      <c r="Q68" s="1" t="inlineStr">
        <is>
          <t>Micro (1-9 FTE employees)</t>
        </is>
      </c>
      <c r="R68" t="inlineStr">
        <is>
          <t>Micro</t>
        </is>
      </c>
      <c r="S68" s="1" t="inlineStr">
        <is>
          <t>Business to Business, Business to Government, Business to Schools</t>
        </is>
      </c>
      <c r="T68" s="1" t="inlineStr">
        <is>
          <t>Secondary Education, Vocational Education and Training (VET), Higher Education, Corporate Training, Lifelong learning/Adult education</t>
        </is>
      </c>
      <c r="U68" s="1" t="inlineStr">
        <is>
          <t>Teacher interfacing, Student interfacing</t>
        </is>
      </c>
      <c r="V68" s="1" t="inlineStr">
        <is>
          <t>DiBL - Learning platform for dilemma-based-learning-games</t>
        </is>
      </c>
      <c r="W68" s="1" t="inlineStr">
        <is>
          <t>DiBL is a digital SaaS platform that helps organizations and educators create facilitated immersive, collaborative learning experiences. Using scenario-based approaches while providing analytics.</t>
        </is>
      </c>
      <c r="X68" s="10" t="inlineStr">
        <is>
          <t>https://drive.google.com/uc?export=view&amp;id=1Kg3IE5kyajgJV6CCM9QjyCOtscIasdlh</t>
        </is>
      </c>
      <c r="Y68" t="inlineStr">
        <is>
          <t>https://drive.google.com/uc?export=view&amp;id=1Kg3IE5kyajgJV6CCM9QjyCOtscIasdlh</t>
        </is>
      </c>
      <c r="Z68" s="1" t="inlineStr">
        <is>
          <t>https://drive.google.com/uc?export=view&amp;id=1Kg3IE5kyajgJV6CCM9QjyCOtscIasdlh</t>
        </is>
      </c>
      <c r="AA68" s="1" t="inlineStr">
        <is>
          <t>Verified</t>
        </is>
      </c>
      <c r="AB68" s="1" t="inlineStr">
        <is>
          <t>Collaborations between EdTech organisations, Project consortium building, Public-private partnerships, Industry-academia partnerships</t>
        </is>
      </c>
      <c r="AC68" s="1" t="inlineStr">
        <is>
          <t>For-profit company</t>
        </is>
      </c>
      <c r="AD68" s="10" t="b">
        <v>1</v>
      </c>
      <c r="AE68" s="1" t="b">
        <v>1</v>
      </c>
      <c r="AF68" s="1" t="inlineStr">
        <is>
          <t>Yes</t>
        </is>
      </c>
      <c r="AG68" s="1" t="inlineStr">
        <is>
          <t>https://www.linkedin.com/company/dibl</t>
        </is>
      </c>
      <c r="AH68" s="1" t="inlineStr">
        <is>
          <t>https://www.linkedin.com/company/dibl</t>
        </is>
      </c>
      <c r="AI68" s="1" t="inlineStr">
        <is>
          <t>https://www.linkedin.com/company/dibl</t>
        </is>
      </c>
      <c r="AJ68" s="1" t="n"/>
    </row>
    <row r="69" ht="12.5" customHeight="1">
      <c r="A69" s="6" t="n">
        <v>45889</v>
      </c>
      <c r="B69" s="1" t="inlineStr">
        <is>
          <t>ORG_1911</t>
        </is>
      </c>
      <c r="C69" s="1" t="b">
        <v>1</v>
      </c>
      <c r="D69" s="1" t="inlineStr">
        <is>
          <t>MAMA.codes Ltd</t>
        </is>
      </c>
      <c r="E69" s="10" t="inlineStr">
        <is>
          <t>https://www.mama.codes</t>
        </is>
      </c>
      <c r="F69" t="inlineStr">
        <is>
          <t>mama.codes</t>
        </is>
      </c>
      <c r="G69" s="1" t="inlineStr">
        <is>
          <t>We teach 3-13yr olds how to code. Our primary offering is Looparoo:  a self-serve, story-led, bespoke learning coding app for children aged 3–7.</t>
        </is>
      </c>
      <c r="H69" s="1" t="inlineStr">
        <is>
          <t>I'm not part of any EdTech association</t>
        </is>
      </c>
      <c r="I69" s="1" t="inlineStr">
        <is>
          <t>English</t>
        </is>
      </c>
      <c r="J69" s="1" t="inlineStr">
        <is>
          <t>London</t>
        </is>
      </c>
      <c r="K69" t="inlineStr">
        <is>
          <t>London</t>
        </is>
      </c>
      <c r="L69" t="inlineStr">
        <is>
          <t>London, United Kingdom</t>
        </is>
      </c>
      <c r="M69" t="n">
        <v>51.5074456</v>
      </c>
      <c r="N69" t="n">
        <v>-0.1277653</v>
      </c>
      <c r="O69" s="1" t="inlineStr">
        <is>
          <t>United Kingdom</t>
        </is>
      </c>
      <c r="P69" s="1" t="inlineStr">
        <is>
          <t>United Kingdom</t>
        </is>
      </c>
      <c r="Q69" s="1" t="inlineStr">
        <is>
          <t>Micro (1-9 FTE employees)</t>
        </is>
      </c>
      <c r="R69" t="inlineStr">
        <is>
          <t>Micro</t>
        </is>
      </c>
      <c r="S69" s="1" t="inlineStr">
        <is>
          <t>Business to Consumer</t>
        </is>
      </c>
      <c r="T69" s="1" t="inlineStr">
        <is>
          <t>Early childhood development (0-5 years), Primary Education</t>
        </is>
      </c>
      <c r="U69" s="1" t="inlineStr">
        <is>
          <t>Student interfacing</t>
        </is>
      </c>
      <c r="V69" s="1" t="inlineStr">
        <is>
          <t>Looparoo</t>
        </is>
      </c>
      <c r="W69" s="1" t="inlineStr">
        <is>
          <t>Looparoo is a groundbreaking, story-led coding platform designed specifically for children aged 3-7, addressing the critical gap in early years digital education, with digital wellbeing education built in from the start.</t>
        </is>
      </c>
      <c r="X69" s="1" t="inlineStr">
        <is>
          <t>Online and in-person code clubs for 7-13yr olds</t>
        </is>
      </c>
      <c r="Y69" t="inlineStr">
        <is>
          <t>https://drive.google.com/uc?export=view&amp;id=1BlDrMluB82zk2zT09rXfTvM1kmdUaBuE</t>
        </is>
      </c>
      <c r="Z69" s="1" t="inlineStr">
        <is>
          <t>https://drive.google.com/uc?export=view&amp;id=1BlDrMluB82zk2zT09rXfTvM1kmdUaBuE</t>
        </is>
      </c>
      <c r="AA69" s="1" t="inlineStr">
        <is>
          <t>Verified</t>
        </is>
      </c>
      <c r="AB69" s="1" t="inlineStr">
        <is>
          <t>Public-private partnerships, Collaborations between EdTech organisations, Other</t>
        </is>
      </c>
      <c r="AC69" s="1" t="inlineStr">
        <is>
          <t>For-profit company</t>
        </is>
      </c>
      <c r="AD69" s="10" t="b">
        <v>0</v>
      </c>
      <c r="AE69" s="1" t="b">
        <v>1</v>
      </c>
      <c r="AF69" s="1" t="inlineStr">
        <is>
          <t>No</t>
        </is>
      </c>
      <c r="AG69" s="1" t="n"/>
      <c r="AH69" s="1" t="n"/>
      <c r="AI69" s="1" t="n"/>
      <c r="AJ69" s="1" t="n"/>
    </row>
    <row r="70" ht="12.5" customHeight="1">
      <c r="A70" s="6" t="n">
        <v>45889</v>
      </c>
      <c r="B70" s="1" t="inlineStr">
        <is>
          <t>ORG_2635</t>
        </is>
      </c>
      <c r="C70" s="1" t="b">
        <v>1</v>
      </c>
      <c r="D70" s="1" t="inlineStr">
        <is>
          <t>Readlax, Inc.</t>
        </is>
      </c>
      <c r="E70" s="10" t="inlineStr">
        <is>
          <t>https://www.readlax.com/</t>
        </is>
      </c>
      <c r="F70" t="inlineStr">
        <is>
          <t>readlax.com</t>
        </is>
      </c>
      <c r="G70" s="1" t="inlineStr">
        <is>
          <t>Readlax is #1 All-In-One Productivity Platform</t>
        </is>
      </c>
      <c r="H70" s="1" t="inlineStr">
        <is>
          <t>EdTech Ukraine</t>
        </is>
      </c>
      <c r="I70" s="1" t="inlineStr">
        <is>
          <t>English, German, French, Italian, Spanish, Ukrainian, Dutch, Portuguese</t>
        </is>
      </c>
      <c r="J70" s="1" t="inlineStr">
        <is>
          <t>Kyiv</t>
        </is>
      </c>
      <c r="K70" t="inlineStr">
        <is>
          <t>Kyiv</t>
        </is>
      </c>
      <c r="L70" t="inlineStr">
        <is>
          <t>Kyiv, Ukraine</t>
        </is>
      </c>
      <c r="M70" t="n">
        <v>50.4500336</v>
      </c>
      <c r="N70" t="n">
        <v>30.5241361</v>
      </c>
      <c r="O70" s="1" t="inlineStr">
        <is>
          <t>Ukraine</t>
        </is>
      </c>
      <c r="P70" s="1" t="inlineStr">
        <is>
          <t>Germany, France, Italy, Iceland, Lithuania, Latvia, Netherlands, Poland, Portugal, Spain, Turkey, United Kingdom, Sweden, Ukraine</t>
        </is>
      </c>
      <c r="Q70" s="1" t="inlineStr">
        <is>
          <t>Solo entrepreneur</t>
        </is>
      </c>
      <c r="R70" t="inlineStr">
        <is>
          <t>Solo entrepreneur</t>
        </is>
      </c>
      <c r="S70" s="1" t="inlineStr">
        <is>
          <t>Business to Consumer</t>
        </is>
      </c>
      <c r="T70" s="1" t="inlineStr">
        <is>
          <t>Higher Education, Corporate Training, Lifelong learning/Adult education</t>
        </is>
      </c>
      <c r="U70" s="1" t="inlineStr">
        <is>
          <t>Student interfacing</t>
        </is>
      </c>
      <c r="V70" s="10" t="inlineStr">
        <is>
          <t>#1 All-In-One Productivity Platform</t>
        </is>
      </c>
      <c r="W70" s="10" t="inlineStr">
        <is>
          <t>Productivity Platform</t>
        </is>
      </c>
      <c r="X70" s="10" t="inlineStr">
        <is>
          <t>https://drive.google.com/uc?export=view&amp;id=1jmPiJ4_I0qMU0PTRySRqYrSires3Mt7x</t>
        </is>
      </c>
      <c r="Y70" t="inlineStr">
        <is>
          <t>https://drive.google.com/uc?export=view&amp;id=1jmPiJ4_I0qMU0PTRySRqYrSires3Mt7x</t>
        </is>
      </c>
      <c r="Z70" s="1" t="inlineStr">
        <is>
          <t>https://drive.google.com/uc?export=view&amp;id=1jmPiJ4_I0qMU0PTRySRqYrSires3Mt7x</t>
        </is>
      </c>
      <c r="AA70" s="1" t="inlineStr">
        <is>
          <t>Verified</t>
        </is>
      </c>
      <c r="AB70" s="1" t="inlineStr">
        <is>
          <t>Collaborations between EdTech organisations</t>
        </is>
      </c>
      <c r="AC70" s="1" t="inlineStr">
        <is>
          <t>For-profit company</t>
        </is>
      </c>
      <c r="AD70" s="10" t="b">
        <v>1</v>
      </c>
      <c r="AE70" s="1" t="b">
        <v>1</v>
      </c>
      <c r="AF70" s="1" t="inlineStr">
        <is>
          <t>Yes</t>
        </is>
      </c>
      <c r="AG70" s="1" t="inlineStr">
        <is>
          <t>https://www.instagram.com/readlax/</t>
        </is>
      </c>
      <c r="AH70" s="1" t="inlineStr">
        <is>
          <t>https://x.com/Readlax_Reading</t>
        </is>
      </c>
      <c r="AI70" s="1" t="inlineStr">
        <is>
          <t>https://www.linkedin.com/company/readlax/</t>
        </is>
      </c>
      <c r="AJ70" s="10" t="inlineStr">
        <is>
          <t>https://www.facebook.com/ReadlaxBrainFitness</t>
        </is>
      </c>
    </row>
    <row r="71" ht="12.5" customHeight="1">
      <c r="A71" s="6" t="n">
        <v>45889</v>
      </c>
      <c r="B71" s="1" t="inlineStr">
        <is>
          <t>ORG_1273</t>
        </is>
      </c>
      <c r="C71" s="1" t="b">
        <v>1</v>
      </c>
      <c r="D71" s="1" t="inlineStr">
        <is>
          <t>Coding Park</t>
        </is>
      </c>
      <c r="E71" s="10" t="inlineStr">
        <is>
          <t>www.codingpark.io/en</t>
        </is>
      </c>
      <c r="F71" t="inlineStr">
        <is>
          <t>codingpark.io/en</t>
        </is>
      </c>
      <c r="G71" s="1" t="inlineStr">
        <is>
          <t>Coding Park is a French EdTech company offering a gamified platform to teach computer science to children and teenagers aged 7–18. We provide progressive coding journeys with Blockly, pseudocode, and Python, featuring automatic progress tracking and interactive tutorials. Our hands-on platform empowers students to create video games and web projects (HTML/CSS), making it a unique solution for both schools and families.</t>
        </is>
      </c>
      <c r="H71" s="1" t="inlineStr">
        <is>
          <t>EdTech France</t>
        </is>
      </c>
      <c r="I71" s="1" t="inlineStr">
        <is>
          <t>English, French</t>
        </is>
      </c>
      <c r="J71" s="1" t="inlineStr">
        <is>
          <t>Paris</t>
        </is>
      </c>
      <c r="K71" t="inlineStr">
        <is>
          <t>Paris</t>
        </is>
      </c>
      <c r="L71" t="inlineStr">
        <is>
          <t>Paris, France</t>
        </is>
      </c>
      <c r="M71" t="n">
        <v>48.8534951</v>
      </c>
      <c r="N71" t="n">
        <v>2.3483915</v>
      </c>
      <c r="O71" s="1" t="inlineStr">
        <is>
          <t>France</t>
        </is>
      </c>
      <c r="P71" s="1" t="inlineStr">
        <is>
          <t>France, United Kingdom, Belgium</t>
        </is>
      </c>
      <c r="Q71" s="1" t="inlineStr">
        <is>
          <t>Micro (1-9 FTE employees)</t>
        </is>
      </c>
      <c r="R71" t="inlineStr">
        <is>
          <t>Micro</t>
        </is>
      </c>
      <c r="S71" s="1" t="inlineStr">
        <is>
          <t>Business to Consumer, Business to Business, Business to Government, Business to Schools</t>
        </is>
      </c>
      <c r="T71" s="1" t="inlineStr">
        <is>
          <t>Primary Education, Secondary Education, Higher Education</t>
        </is>
      </c>
      <c r="U71" s="1" t="inlineStr">
        <is>
          <t>Student interfacing, Teacher interfacing</t>
        </is>
      </c>
      <c r="V71" s="10" t="inlineStr">
        <is>
          <t>Coding Park School</t>
        </is>
      </c>
      <c r="W71" s="10" t="inlineStr">
        <is>
          <t>A classroom-ready platform for teaching computer science in primary and secondary schools. Includes the gamified Golden Quest, a teacher dashboard for student monitoring, ready-to-use resources, and curriculum-aligned content. Available via annual school plans (Club, Classroom, or Custom).</t>
        </is>
      </c>
      <c r="X71" s="10" t="inlineStr">
        <is>
          <t>Coding Park Academy</t>
        </is>
      </c>
      <c r="Y71" t="inlineStr">
        <is>
          <t>A professional browser-based coding environment for teens and high school students. Supports Python (with Pygame), HTML/CSS, and JavaScript, with instant game rendering and live web preview. Includes built-in tutorials, real-time activity tracking, and isolated student workspaces.</t>
        </is>
      </c>
      <c r="Z71" s="1" t="inlineStr">
        <is>
          <t>https://drive.google.com/uc?export=view&amp;id=1sduAWNqCWBa8mIxWzgE76I0WZD-WMwmh</t>
        </is>
      </c>
      <c r="AA71" s="1" t="inlineStr">
        <is>
          <t>Verified</t>
        </is>
      </c>
      <c r="AB71" s="1" t="inlineStr">
        <is>
          <t>Collaborations between EdTech organisations, Industry-academia partnerships, Public-private partnerships, Project consortium building</t>
        </is>
      </c>
      <c r="AC71" s="1" t="inlineStr">
        <is>
          <t>For-profit company</t>
        </is>
      </c>
      <c r="AD71" s="10" t="b">
        <v>1</v>
      </c>
      <c r="AE71" s="1" t="b">
        <v>1</v>
      </c>
      <c r="AF71" s="1" t="inlineStr">
        <is>
          <t>Yes</t>
        </is>
      </c>
      <c r="AG71" s="1" t="inlineStr">
        <is>
          <t>https://www.instagram.com/coding.park/</t>
        </is>
      </c>
      <c r="AH71" s="1" t="inlineStr">
        <is>
          <t>https://x.com/codingpark</t>
        </is>
      </c>
      <c r="AI71" s="1" t="inlineStr">
        <is>
          <t>https://www.linkedin.com/company/codingpark</t>
        </is>
      </c>
      <c r="AJ71" s="10" t="inlineStr">
        <is>
          <t>https://www.facebook.com/codingpark</t>
        </is>
      </c>
    </row>
    <row r="72" ht="12.5" customHeight="1">
      <c r="A72" s="6" t="n">
        <v>45889</v>
      </c>
      <c r="B72" s="1" t="inlineStr">
        <is>
          <t>ORG_1213</t>
        </is>
      </c>
      <c r="C72" s="1" t="b">
        <v>1</v>
      </c>
      <c r="D72" s="1" t="inlineStr">
        <is>
          <t>CampuStore</t>
        </is>
      </c>
      <c r="E72" s="10" t="inlineStr">
        <is>
          <t>www.campustore.it</t>
        </is>
      </c>
      <c r="F72" t="inlineStr">
        <is>
          <t>campustore.it</t>
        </is>
      </c>
      <c r="G72" s="1" t="inlineStr">
        <is>
          <t>CampuStore is a benefit company and an Italian family business, leader in the education market, which for 30 years has created innovative educational projects for schools, teachers and other players in the education sector. It manages the largest e-commerce dedicated to schools in Italy based on the best brands of the industry.   Over the past years CampuStore has started developing its own solutions such as Miri, the unique immersive classroom for schools developed with Giunti Scuola. Since its foundation, it has developed innovative projects for learning environments, complete and designed for schools of different levels, "turnkey" ideas, which include furniture, technologies, STEM and other educational tools and even high-quality "hands-on" training courses for teachers, school managers, school staff. The courses are provided by IFE Academy, a training body recognized by the Ministry, which also offers many free services to support the educational community. CampuStore was the first company to bring STEM and educational robotics to Italy, and today has the largest catalog of educational robotics and STEAM in Europe. Over time, it has spread articles that have changed the way of teaching, such as LIM, interactive monitors and unique and characterizing furnishings and is particularly associated with educational robotics, edtech, STEAM and digital innovation. With a constantly updated general catalog  dedicated to various subjects often released based on ministerial news, CampuStore today is configured as the point of reference for purchases by schools relating to tenders and big funds.</t>
        </is>
      </c>
      <c r="H72" s="1" t="inlineStr">
        <is>
          <t>I'm not part of any EdTech association</t>
        </is>
      </c>
      <c r="I72" s="1" t="inlineStr">
        <is>
          <t>English, German, Italian, Spanish</t>
        </is>
      </c>
      <c r="J72" s="1" t="inlineStr">
        <is>
          <t>Bassano Del Grappa</t>
        </is>
      </c>
      <c r="K72" t="inlineStr">
        <is>
          <t>Bassano Del Grappa</t>
        </is>
      </c>
      <c r="L72" t="inlineStr">
        <is>
          <t>Bassano Del Grappa, Italy</t>
        </is>
      </c>
      <c r="M72" t="n">
        <v>45.7726007</v>
      </c>
      <c r="N72" t="n">
        <v>11.7206547</v>
      </c>
      <c r="O72" s="1" t="inlineStr">
        <is>
          <t>Italy</t>
        </is>
      </c>
      <c r="P72" s="1" t="inlineStr">
        <is>
          <t>Italy, Spain, Germany</t>
        </is>
      </c>
      <c r="Q72" s="1" t="inlineStr">
        <is>
          <t>Small (10-49 FTE employees)</t>
        </is>
      </c>
      <c r="R72" t="inlineStr">
        <is>
          <t>Small</t>
        </is>
      </c>
      <c r="S72" s="1" t="inlineStr">
        <is>
          <t>Business to Business, Business to Consumer, Business to Schools, Business to Government</t>
        </is>
      </c>
      <c r="T72" s="1" t="inlineStr">
        <is>
          <t>Early childhood development (0-5 years), Primary Education, Secondary Education, Vocational Education and Training (VET), Higher Education, Special Education</t>
        </is>
      </c>
      <c r="U72" s="1" t="inlineStr">
        <is>
          <t>Student interfacing, Teacher interfacing, System/Administrative</t>
        </is>
      </c>
      <c r="V72" s="10" t="inlineStr">
        <is>
          <t>Miri - THE immersive room</t>
        </is>
      </c>
      <c r="W72" s="1" t="inlineStr">
        <is>
          <t>Miri is an immersive classroom is a physical environment that allows users to access to digital content in a new way. Miri is the first real immersive room specifically developed for schools. It's a new media.</t>
        </is>
      </c>
      <c r="X72" s="1" t="inlineStr">
        <is>
          <t>CarrellONE</t>
        </is>
      </c>
      <c r="Y72" t="inlineStr">
        <is>
          <t>CarrellONE is STEAM on the move: a scientific lab on wheels.
Born for the schools needs, perfect for MakerSpaces and museums.
Sustainable and made with receicle material.
It can host several tools as 3D printers, laser cutters, microscopes, and powers all of them.</t>
        </is>
      </c>
      <c r="Z72" s="1" t="inlineStr">
        <is>
          <t>https://drive.google.com/uc?export=view&amp;id=1MqDQw_vI1Gpg7WGZyUfK0z7c2wze2CN0</t>
        </is>
      </c>
      <c r="AA72" s="1" t="inlineStr">
        <is>
          <t>Verified</t>
        </is>
      </c>
      <c r="AB72" s="1" t="inlineStr">
        <is>
          <t>Collaborations between EdTech organisations, Project consortium building</t>
        </is>
      </c>
      <c r="AC72" s="1" t="inlineStr">
        <is>
          <t>For-profit company</t>
        </is>
      </c>
      <c r="AD72" s="10" t="b">
        <v>1</v>
      </c>
      <c r="AE72" s="1" t="b">
        <v>1</v>
      </c>
      <c r="AF72" s="1" t="inlineStr">
        <is>
          <t>Yes</t>
        </is>
      </c>
      <c r="AG72" s="1" t="inlineStr">
        <is>
          <t>https://www.instagram.com/campustore.it/</t>
        </is>
      </c>
      <c r="AH72" s="1" t="n"/>
      <c r="AI72" s="1" t="n"/>
      <c r="AJ72" s="10" t="inlineStr">
        <is>
          <t>https://www.facebook.com/CampuStoreIT</t>
        </is>
      </c>
    </row>
    <row r="73" ht="12.5" customHeight="1">
      <c r="A73" s="6" t="n">
        <v>45889</v>
      </c>
      <c r="B73" s="1" t="inlineStr">
        <is>
          <t>ORG_2634</t>
        </is>
      </c>
      <c r="C73" s="1" t="b">
        <v>1</v>
      </c>
      <c r="D73" s="1" t="inlineStr">
        <is>
          <t>DoctorateHub - Institute for Advanced Studies</t>
        </is>
      </c>
      <c r="E73" s="10" t="inlineStr">
        <is>
          <t>www.doctorateHub.com</t>
        </is>
      </c>
      <c r="F73" t="inlineStr">
        <is>
          <t>doctoratehub.com</t>
        </is>
      </c>
      <c r="G73" s="1" t="inlineStr">
        <is>
          <t>DoctorateHub is a Higher Education Institution for Advanced Studies that is focusing on doctoral level education and advanced studies.</t>
        </is>
      </c>
      <c r="H73" s="1" t="inlineStr">
        <is>
          <t>SuperCharger Ventures</t>
        </is>
      </c>
      <c r="I73" s="1" t="n"/>
      <c r="J73" s="1" t="inlineStr">
        <is>
          <t>Zebbug</t>
        </is>
      </c>
      <c r="K73" t="inlineStr">
        <is>
          <t>Zebbug</t>
        </is>
      </c>
      <c r="L73" t="inlineStr">
        <is>
          <t>Zebbug, Malta</t>
        </is>
      </c>
      <c r="M73" t="n">
        <v>35.8725956</v>
      </c>
      <c r="N73" t="n">
        <v>14.4398593</v>
      </c>
      <c r="O73" s="1" t="inlineStr">
        <is>
          <t>Malta</t>
        </is>
      </c>
      <c r="P73" s="1" t="n"/>
      <c r="Q73" s="1" t="inlineStr">
        <is>
          <t>Small (10-49 FTE employees)</t>
        </is>
      </c>
      <c r="R73" t="inlineStr">
        <is>
          <t>Small</t>
        </is>
      </c>
      <c r="S73" s="1" t="inlineStr">
        <is>
          <t>Business to Business, Business to Consumer</t>
        </is>
      </c>
      <c r="T73" s="1" t="inlineStr">
        <is>
          <t>Other, Higher Education</t>
        </is>
      </c>
      <c r="U73" s="1" t="inlineStr">
        <is>
          <t>Student interfacing, Teacher interfacing, System/Administrative</t>
        </is>
      </c>
      <c r="V73" s="1" t="inlineStr">
        <is>
          <t>Doctorate in Business Administration</t>
        </is>
      </c>
      <c r="W73" s="1" t="inlineStr">
        <is>
          <t>Accredited Doctorate in Business Administration Programme</t>
        </is>
      </c>
      <c r="X73" s="10" t="inlineStr">
        <is>
          <t>Advanced Executive Training Programme</t>
        </is>
      </c>
      <c r="Y73" t="inlineStr">
        <is>
          <t>Doctoral level executive education modular programme</t>
        </is>
      </c>
      <c r="Z73" s="1" t="inlineStr">
        <is>
          <t>https://drive.google.com/uc?export=view&amp;id=1q8iROPw_nnHJLJH4hVnwjnnqrhbj-f3g</t>
        </is>
      </c>
      <c r="AA73" s="1" t="inlineStr">
        <is>
          <t>Verified</t>
        </is>
      </c>
      <c r="AB73" s="1" t="inlineStr">
        <is>
          <t>Industry-academia partnerships, Collaborations between EdTech organisations, Public-private partnerships, Project consortium building</t>
        </is>
      </c>
      <c r="AC73" s="1" t="inlineStr">
        <is>
          <t>University</t>
        </is>
      </c>
      <c r="AD73" s="10" t="b">
        <v>0</v>
      </c>
      <c r="AE73" s="1" t="n"/>
      <c r="AF73" s="1" t="inlineStr">
        <is>
          <t>Yes</t>
        </is>
      </c>
      <c r="AG73" s="1" t="inlineStr">
        <is>
          <t>https://www.linkedin.com/company/doctoratehub/</t>
        </is>
      </c>
      <c r="AH73" s="1" t="inlineStr">
        <is>
          <t>https://www.linkedin.com/company/doctoratehub/</t>
        </is>
      </c>
      <c r="AI73" s="1" t="inlineStr">
        <is>
          <t>https://www.linkedin.com/company/doctoratehub/</t>
        </is>
      </c>
      <c r="AJ73" s="1" t="n"/>
    </row>
    <row r="74" ht="12.5" customHeight="1">
      <c r="A74" s="6" t="n">
        <v>45889</v>
      </c>
      <c r="B74" s="1" t="inlineStr">
        <is>
          <t>ORG_1161</t>
        </is>
      </c>
      <c r="C74" s="1" t="b">
        <v>1</v>
      </c>
      <c r="D74" s="1" t="inlineStr">
        <is>
          <t>Beyond Words</t>
        </is>
      </c>
      <c r="E74" s="10" t="inlineStr">
        <is>
          <t>https://www.beyond-words-vr.com</t>
        </is>
      </c>
      <c r="F74" t="inlineStr">
        <is>
          <t>beyond-words-vr.com</t>
        </is>
      </c>
      <c r="G74" s="1" t="inlineStr">
        <is>
          <t>Beyond Words is a French EdTech company pioneering AI-driven language learning through immersive 360° video and voice technology. Its solutions combine human-centered AI, phoneme-based speech recognition, and interactive scenarios to make language acquisition more accessible and effective for schools and enterprises worldwide.</t>
        </is>
      </c>
      <c r="H74" s="1" t="inlineStr">
        <is>
          <t>AFINEF</t>
        </is>
      </c>
      <c r="I74" s="1" t="inlineStr">
        <is>
          <t>English, German, Portuguese, Finnish, Czech, French, Italian, Danish, Greek, Latvian, Polish, Bulgarian, Slovenian, Spanish, Dutch, Croatian, Estonian, Hungarian, Lithuanian, Romanian, Swedish</t>
        </is>
      </c>
      <c r="J74" s="1" t="inlineStr">
        <is>
          <t>Montpellier</t>
        </is>
      </c>
      <c r="K74" t="inlineStr">
        <is>
          <t>Montpellier</t>
        </is>
      </c>
      <c r="L74" t="inlineStr">
        <is>
          <t>Montpellier, France</t>
        </is>
      </c>
      <c r="M74" t="n">
        <v>43.6112422</v>
      </c>
      <c r="N74" t="n">
        <v>3.8767337</v>
      </c>
      <c r="O74" s="1" t="inlineStr">
        <is>
          <t>France</t>
        </is>
      </c>
      <c r="P74" s="1" t="inlineStr">
        <is>
          <t>Latvia, Sweden, France, Belgium, Germany, Netherlands, Spain, Italy</t>
        </is>
      </c>
      <c r="Q74" s="1" t="inlineStr">
        <is>
          <t>Micro (1-9 FTE employees)</t>
        </is>
      </c>
      <c r="R74" t="inlineStr">
        <is>
          <t>Micro</t>
        </is>
      </c>
      <c r="S74" s="1" t="inlineStr">
        <is>
          <t>Business to Business, Business to Government, Business to Schools</t>
        </is>
      </c>
      <c r="T74" s="1" t="inlineStr">
        <is>
          <t>Secondary Education, Vocational Education and Training (VET), Higher Education, Corporate Training, Lifelong learning/Adult education</t>
        </is>
      </c>
      <c r="U74" s="1" t="inlineStr">
        <is>
          <t>Student interfacing, Teacher interfacing, System/Administrative</t>
        </is>
      </c>
      <c r="V74" s="1" t="inlineStr">
        <is>
          <t>Beyond Words</t>
        </is>
      </c>
      <c r="W74" s="1" t="inlineStr">
        <is>
          <t>An AI-powered language learning platform combining immersive 360° video, real-time voice interaction, and phoneme-level feedback to help learners practice speaking and improve fluency in authentic, contextual scenarios.</t>
        </is>
      </c>
      <c r="X74" s="10" t="inlineStr">
        <is>
          <t>https://drive.google.com/uc?export=view&amp;id=1Ub6xdMbyHW9gJ3cK5QHGSGkGeGeTBpoC</t>
        </is>
      </c>
      <c r="Y74" t="inlineStr">
        <is>
          <t>https://drive.google.com/uc?export=view&amp;id=1Ub6xdMbyHW9gJ3cK5QHGSGkGeGeTBpoC</t>
        </is>
      </c>
      <c r="Z74" s="1" t="inlineStr">
        <is>
          <t>https://drive.google.com/uc?export=view&amp;id=1Ub6xdMbyHW9gJ3cK5QHGSGkGeGeTBpoC</t>
        </is>
      </c>
      <c r="AA74" s="1" t="inlineStr">
        <is>
          <t>Verified</t>
        </is>
      </c>
      <c r="AB74" s="1" t="inlineStr">
        <is>
          <t>Collaborations between EdTech organisations, Project consortium building, Public-private partnerships, Industry-academia partnerships</t>
        </is>
      </c>
      <c r="AC74" s="1" t="inlineStr">
        <is>
          <t>For-profit company</t>
        </is>
      </c>
      <c r="AD74" s="10" t="b">
        <v>1</v>
      </c>
      <c r="AE74" s="1" t="b">
        <v>1</v>
      </c>
      <c r="AF74" s="1" t="inlineStr">
        <is>
          <t>Yes</t>
        </is>
      </c>
      <c r="AG74" s="1" t="inlineStr">
        <is>
          <t>beyond words VR</t>
        </is>
      </c>
      <c r="AH74" s="1" t="inlineStr">
        <is>
          <t>https://www.linkedin.com/company/103495283</t>
        </is>
      </c>
      <c r="AI74" s="1" t="inlineStr">
        <is>
          <t>https://www.linkedin.com/company/103495283</t>
        </is>
      </c>
      <c r="AJ74" s="1" t="n"/>
    </row>
    <row r="75" ht="12.5" customHeight="1">
      <c r="A75" s="6" t="n">
        <v>45889</v>
      </c>
      <c r="B75" s="1" t="inlineStr">
        <is>
          <t>ORG_1359</t>
        </is>
      </c>
      <c r="C75" s="1" t="b">
        <v>1</v>
      </c>
      <c r="D75" s="1" t="inlineStr">
        <is>
          <t>Digital Learning Associates</t>
        </is>
      </c>
      <c r="E75" s="10" t="inlineStr">
        <is>
          <t>www.digitallearningassociates.com</t>
        </is>
      </c>
      <c r="F75" t="inlineStr">
        <is>
          <t>digitallearningassociates.com</t>
        </is>
      </c>
      <c r="G75" s="1" t="inlineStr">
        <is>
          <t>Digital Learnign Associates is a developer and publisher of video-led solutions for learning operators such as publishers, universities, school chains and Ministries. Our library of authentic video resources is developed to align to syllabi in ELT, STEM and Skills. Our partners license the materials from us.</t>
        </is>
      </c>
      <c r="H75" s="1" t="inlineStr">
        <is>
          <t>I'm not part of any EdTech association</t>
        </is>
      </c>
      <c r="I75" s="1" t="inlineStr">
        <is>
          <t>English, Spanish, French</t>
        </is>
      </c>
      <c r="J75" s="1" t="inlineStr">
        <is>
          <t>London</t>
        </is>
      </c>
      <c r="K75" t="inlineStr">
        <is>
          <t>London</t>
        </is>
      </c>
      <c r="L75" t="inlineStr">
        <is>
          <t>London, United Kingdom</t>
        </is>
      </c>
      <c r="M75" t="n">
        <v>51.5074456</v>
      </c>
      <c r="N75" t="n">
        <v>-0.1277653</v>
      </c>
      <c r="O75" s="1" t="inlineStr">
        <is>
          <t>United Kingdom</t>
        </is>
      </c>
      <c r="P75" s="1" t="inlineStr">
        <is>
          <t>Austria, Germany, Czechia, Netherlands, Poland, Portugal, Spain, Turkey, Ukraine, Greece, Italy</t>
        </is>
      </c>
      <c r="Q75" s="1" t="inlineStr">
        <is>
          <t>Small (10-49 FTE employees)</t>
        </is>
      </c>
      <c r="R75" t="inlineStr">
        <is>
          <t>Small</t>
        </is>
      </c>
      <c r="S75" s="1" t="inlineStr">
        <is>
          <t>Business to Business, Business to Schools</t>
        </is>
      </c>
      <c r="T75" s="1" t="inlineStr">
        <is>
          <t>Early childhood development (0-5 years), Primary Education, Secondary Education, Vocational Education and Training (VET), Higher Education</t>
        </is>
      </c>
      <c r="U75" s="1" t="inlineStr">
        <is>
          <t>Student interfacing</t>
        </is>
      </c>
      <c r="V75" s="1" t="inlineStr">
        <is>
          <t>Ready to Run library of video-led curriculum resources</t>
        </is>
      </c>
      <c r="W75" s="1" t="inlineStr">
        <is>
          <t>Around 1000 syllabus-aligned levelled videos with teacher and student learning designs, ready for insertion into our partners student-facing products</t>
        </is>
      </c>
      <c r="X75" s="10" t="inlineStr">
        <is>
          <t>Learn English with Astro Boy</t>
        </is>
      </c>
      <c r="Y75" t="inlineStr">
        <is>
          <t>A set of graded readers for Gen Alpha's multimodal students age 6-12, in which video and audio complement a levelled text aligned to Englihs, STEM and SDG curriculm.</t>
        </is>
      </c>
      <c r="Z75" s="1" t="inlineStr">
        <is>
          <t>https://drive.google.com/uc?export=view&amp;id=1AiJq0FT_096KxQJAfi_UZf8_7dq-J-be</t>
        </is>
      </c>
      <c r="AA75" s="1" t="inlineStr">
        <is>
          <t>Verified</t>
        </is>
      </c>
      <c r="AB75" s="1" t="inlineStr">
        <is>
          <t>Public-private partnerships, Collaborations between EdTech organisations</t>
        </is>
      </c>
      <c r="AC75" s="1" t="inlineStr">
        <is>
          <t>For-profit company</t>
        </is>
      </c>
      <c r="AD75" s="10" t="b">
        <v>1</v>
      </c>
      <c r="AE75" s="1" t="b">
        <v>1</v>
      </c>
      <c r="AF75" s="1" t="inlineStr">
        <is>
          <t>Yes</t>
        </is>
      </c>
      <c r="AG75" s="1" t="inlineStr">
        <is>
          <t>https://www.linkedin.com/company/11021563/admin/dashboard/</t>
        </is>
      </c>
      <c r="AH75" s="1" t="inlineStr">
        <is>
          <t>https://www.linkedin.com/company/11021563/admin/dashboard/</t>
        </is>
      </c>
      <c r="AI75" s="1" t="inlineStr">
        <is>
          <t>https://www.linkedin.com/company/11021563/admin/dashboard/</t>
        </is>
      </c>
      <c r="AJ75" s="1" t="n"/>
    </row>
    <row r="76" ht="12.5" customHeight="1">
      <c r="A76" s="6" t="n">
        <v>45889</v>
      </c>
      <c r="B76" s="1" t="inlineStr">
        <is>
          <t>ORG_2582</t>
        </is>
      </c>
      <c r="C76" s="1" t="b">
        <v>1</v>
      </c>
      <c r="D76" s="1" t="inlineStr">
        <is>
          <t>Diotima</t>
        </is>
      </c>
      <c r="E76" s="10" t="inlineStr">
        <is>
          <t>www.diotima.ai</t>
        </is>
      </c>
      <c r="F76" t="inlineStr">
        <is>
          <t>diotima.ai</t>
        </is>
      </c>
      <c r="G76" s="1" t="inlineStr">
        <is>
          <t>Diotima is a project in The Learnovate Centre in Trinity College Dublin developing a platform for the use of AI in formative assessment and feedback.</t>
        </is>
      </c>
      <c r="H76" s="1" t="inlineStr">
        <is>
          <t>I'm not part of any EdTech association</t>
        </is>
      </c>
      <c r="I76" s="1" t="inlineStr">
        <is>
          <t>English</t>
        </is>
      </c>
      <c r="J76" s="1" t="inlineStr">
        <is>
          <t>Dublin</t>
        </is>
      </c>
      <c r="K76" t="inlineStr">
        <is>
          <t>Dublin</t>
        </is>
      </c>
      <c r="L76" t="inlineStr">
        <is>
          <t>Dublin, Ireland</t>
        </is>
      </c>
      <c r="M76" t="n">
        <v>53.3493795</v>
      </c>
      <c r="N76" t="n">
        <v>-6.2605593</v>
      </c>
      <c r="O76" s="1" t="inlineStr">
        <is>
          <t>Ireland</t>
        </is>
      </c>
      <c r="P76" s="1" t="n"/>
      <c r="Q76" s="1" t="inlineStr">
        <is>
          <t>Micro (1-9 FTE employees)</t>
        </is>
      </c>
      <c r="R76" t="inlineStr">
        <is>
          <t>Micro</t>
        </is>
      </c>
      <c r="S76" s="1" t="inlineStr">
        <is>
          <t>Business to Business, Business to Government, Business to Schools</t>
        </is>
      </c>
      <c r="T76" s="1" t="inlineStr">
        <is>
          <t>Secondary Education, Higher Education, Lifelong learning/Adult education, Other</t>
        </is>
      </c>
      <c r="U76" s="1" t="inlineStr">
        <is>
          <t>Student interfacing, Teacher interfacing</t>
        </is>
      </c>
      <c r="V76" s="1" t="inlineStr">
        <is>
          <t>Diotima</t>
        </is>
      </c>
      <c r="W76" s="1" t="inlineStr">
        <is>
          <t>AI enabled platform for formative assessment and feedback</t>
        </is>
      </c>
      <c r="X76" s="1" t="inlineStr">
        <is>
          <t>https://drive.google.com/uc?export=view&amp;id=1ft0POUMKUhH4sqf9z8ZyCpWGKGP4yyJ6</t>
        </is>
      </c>
      <c r="Y76" t="inlineStr">
        <is>
          <t>https://drive.google.com/uc?export=view&amp;id=1ft0POUMKUhH4sqf9z8ZyCpWGKGP4yyJ6</t>
        </is>
      </c>
      <c r="Z76" s="1" t="inlineStr">
        <is>
          <t>https://drive.google.com/uc?export=view&amp;id=1ft0POUMKUhH4sqf9z8ZyCpWGKGP4yyJ6</t>
        </is>
      </c>
      <c r="AA76" s="1" t="inlineStr">
        <is>
          <t>Verified</t>
        </is>
      </c>
      <c r="AB76" s="1" t="inlineStr">
        <is>
          <t>Collaborations between EdTech organisations, Project consortium building, Public-private partnerships, Other, Industry-academia partnerships</t>
        </is>
      </c>
      <c r="AC76" s="1" t="inlineStr">
        <is>
          <t>Public institution</t>
        </is>
      </c>
      <c r="AD76" s="10" t="b">
        <v>1</v>
      </c>
      <c r="AE76" s="1" t="b">
        <v>1</v>
      </c>
      <c r="AF76" s="1" t="inlineStr">
        <is>
          <t>Yes</t>
        </is>
      </c>
      <c r="AG76" s="1" t="n"/>
      <c r="AH76" s="1" t="n"/>
      <c r="AI76" s="1" t="inlineStr">
        <is>
          <t>diotima4education</t>
        </is>
      </c>
      <c r="AJ76" s="1" t="n"/>
    </row>
    <row r="77" ht="12.5" customHeight="1">
      <c r="A77" s="6" t="n">
        <v>45889</v>
      </c>
      <c r="B77" s="1" t="inlineStr">
        <is>
          <t>ORG_2143</t>
        </is>
      </c>
      <c r="C77" s="1" t="b">
        <v>1</v>
      </c>
      <c r="D77" s="1" t="inlineStr">
        <is>
          <t>Qubo</t>
        </is>
      </c>
      <c r="E77" s="10" t="inlineStr">
        <is>
          <t>https://www.qubo.nl</t>
        </is>
      </c>
      <c r="F77" t="inlineStr">
        <is>
          <t>qubo.nl</t>
        </is>
      </c>
      <c r="G77" s="1" t="inlineStr">
        <is>
          <t>Qubo helps children in primary education to express their feelings with an playful cube</t>
        </is>
      </c>
      <c r="H77" s="1" t="inlineStr">
        <is>
          <t>Dutch EdTech</t>
        </is>
      </c>
      <c r="I77" s="1" t="inlineStr">
        <is>
          <t>Dutch</t>
        </is>
      </c>
      <c r="J77" s="1" t="inlineStr">
        <is>
          <t>Ede</t>
        </is>
      </c>
      <c r="K77" t="inlineStr">
        <is>
          <t>Ede</t>
        </is>
      </c>
      <c r="L77" t="inlineStr">
        <is>
          <t>Ede, The Netherlands</t>
        </is>
      </c>
      <c r="M77" t="n">
        <v>52.0464521</v>
      </c>
      <c r="N77" t="n">
        <v>5.6711652</v>
      </c>
      <c r="O77" s="1" t="inlineStr">
        <is>
          <t>The Netherlands</t>
        </is>
      </c>
      <c r="P77" s="1" t="inlineStr">
        <is>
          <t>Netherlands</t>
        </is>
      </c>
      <c r="Q77" s="1" t="inlineStr">
        <is>
          <t>Micro (1-9 FTE employees)</t>
        </is>
      </c>
      <c r="R77" t="inlineStr">
        <is>
          <t>Micro</t>
        </is>
      </c>
      <c r="S77" s="1" t="inlineStr">
        <is>
          <t>Business to Schools</t>
        </is>
      </c>
      <c r="T77" s="1" t="inlineStr">
        <is>
          <t>Primary Education</t>
        </is>
      </c>
      <c r="U77" s="1" t="inlineStr">
        <is>
          <t>Student interfacing, Teacher interfacing</t>
        </is>
      </c>
      <c r="V77" s="10" t="inlineStr">
        <is>
          <t>Qubo cube</t>
        </is>
      </c>
      <c r="W77" s="1" t="inlineStr">
        <is>
          <t>A user-friendly cube designed for playful, intuitive use by every student in school to express their feelings</t>
        </is>
      </c>
      <c r="X77" s="10" t="inlineStr">
        <is>
          <t>https://drive.google.com/uc?export=view&amp;id=1Z22JIHvsIA0qqqajx_pdnzjuRIQNGVg_</t>
        </is>
      </c>
      <c r="Y77" t="inlineStr">
        <is>
          <t>https://drive.google.com/uc?export=view&amp;id=1Z22JIHvsIA0qqqajx_pdnzjuRIQNGVg_</t>
        </is>
      </c>
      <c r="Z77" s="1" t="inlineStr">
        <is>
          <t>https://drive.google.com/uc?export=view&amp;id=1Z22JIHvsIA0qqqajx_pdnzjuRIQNGVg_</t>
        </is>
      </c>
      <c r="AA77" s="1" t="inlineStr">
        <is>
          <t>Verified</t>
        </is>
      </c>
      <c r="AB77" s="1" t="inlineStr">
        <is>
          <t>Public-private partnerships, Other</t>
        </is>
      </c>
      <c r="AC77" s="1" t="inlineStr">
        <is>
          <t>For-profit company</t>
        </is>
      </c>
      <c r="AD77" s="10" t="b">
        <v>0</v>
      </c>
      <c r="AE77" s="1" t="b">
        <v>1</v>
      </c>
      <c r="AF77" s="1" t="inlineStr">
        <is>
          <t>Yes</t>
        </is>
      </c>
      <c r="AG77" s="1" t="inlineStr">
        <is>
          <t>https://www.instagram.com/quboonderwijs</t>
        </is>
      </c>
      <c r="AH77" s="1" t="inlineStr">
        <is>
          <t>https://www.linkedin.com/company/qubo-onderwijs/</t>
        </is>
      </c>
      <c r="AI77" s="1" t="inlineStr">
        <is>
          <t>https://www.linkedin.com/company/qubo-onderwijs/</t>
        </is>
      </c>
      <c r="AJ77" s="10" t="inlineStr">
        <is>
          <t>https://www.facebook.com/QuboOnderwijs</t>
        </is>
      </c>
    </row>
    <row r="78" ht="12.5" customHeight="1">
      <c r="A78" s="6" t="n">
        <v>45889</v>
      </c>
      <c r="B78" s="1" t="inlineStr">
        <is>
          <t>ORG_2310</t>
        </is>
      </c>
      <c r="C78" s="1" t="b">
        <v>1</v>
      </c>
      <c r="D78" s="1" t="inlineStr">
        <is>
          <t>Spotiself</t>
        </is>
      </c>
      <c r="E78" s="10" t="inlineStr">
        <is>
          <t>www.spotiself.com</t>
        </is>
      </c>
      <c r="F78" t="inlineStr">
        <is>
          <t>spotiself.com</t>
        </is>
      </c>
      <c r="G78" s="1" t="inlineStr">
        <is>
          <t>Spotiself - platform for student progress and career planning. We help students understand their strengths, set goals and make informed decisions about their future. The platform provides personalised learning and career planning, allows you to track progress, assess competences through artificial intelligence (AI) and develop strategies for a successful future.  For teachers and schools, it is a data-driven solution to manage the education process more effectively, to foster student engagement and to make informed decisions about each student's progress.</t>
        </is>
      </c>
      <c r="H78" s="1" t="inlineStr">
        <is>
          <t>EdTech Lithuania</t>
        </is>
      </c>
      <c r="I78" s="1" t="inlineStr">
        <is>
          <t>English, French, Lithuanian</t>
        </is>
      </c>
      <c r="J78" s="1" t="inlineStr">
        <is>
          <t>Vilnius</t>
        </is>
      </c>
      <c r="K78" t="inlineStr">
        <is>
          <t>Vilnius</t>
        </is>
      </c>
      <c r="L78" t="inlineStr">
        <is>
          <t>Vilnius, Lithuania</t>
        </is>
      </c>
      <c r="M78" t="n">
        <v>54.6870458</v>
      </c>
      <c r="N78" t="n">
        <v>25.2829111</v>
      </c>
      <c r="O78" s="1" t="inlineStr">
        <is>
          <t>Lithuania</t>
        </is>
      </c>
      <c r="P78" s="1" t="inlineStr">
        <is>
          <t>Lithuania, France</t>
        </is>
      </c>
      <c r="Q78" s="1" t="inlineStr">
        <is>
          <t>Small (10-49 FTE employees)</t>
        </is>
      </c>
      <c r="R78" t="inlineStr">
        <is>
          <t>Small</t>
        </is>
      </c>
      <c r="S78" s="1" t="inlineStr">
        <is>
          <t>Business to Government, Business to Schools, Business to Consumer, Business to Business</t>
        </is>
      </c>
      <c r="T78" s="1" t="inlineStr">
        <is>
          <t>Secondary Education, Vocational Education and Training (VET)</t>
        </is>
      </c>
      <c r="U78" s="1" t="inlineStr">
        <is>
          <t>Student interfacing, Teacher interfacing, System/Administrative</t>
        </is>
      </c>
      <c r="V78" s="10" t="inlineStr">
        <is>
          <t>Career Education - a consistent and modern career education process (grades 8–12), designed to support students in self-discovery, future planning, and informed decision-making. Developed in collaboration with Vilnius University psychologists and the Center for Contemporary Didactics, the program is based on a structured, step-by-step model grounded in psychological research.  Students explore their cognitive abilities, personality traits, values, and career interests, helping them set meaningful goals, increase motivation, and strengthen decision-making skills.  For educators, Spotiself offers a centralized, time-saving tool for lesson planning and student counseling. Built-in analytics help identify trends in student strengths and career inclinations, enabling more personalized support and data-informed planning.</t>
        </is>
      </c>
      <c r="W78" t="inlineStr">
        <is>
          <t>Child’s Individual Progress (CIP) tool supports teachers in planning purposeful, step-by-step classroom activities that foster real student growth.
Students use the tool to set SMART goals, conduct self-assessments, and reflect on their academic, emotional, and social progress. They t</t>
        </is>
      </c>
      <c r="X78" s="10" t="inlineStr">
        <is>
          <t>https://drive.google.com/uc?export=view&amp;id=10RZ3zFxPVmkNygXenjAwUpvKAg02j8O7</t>
        </is>
      </c>
      <c r="Y78" t="inlineStr">
        <is>
          <t>https://drive.google.com/uc?export=view&amp;id=10RZ3zFxPVmkNygXenjAwUpvKAg02j8O7</t>
        </is>
      </c>
      <c r="Z78" s="1" t="inlineStr">
        <is>
          <t>https://drive.google.com/uc?export=view&amp;id=10RZ3zFxPVmkNygXenjAwUpvKAg02j8O7</t>
        </is>
      </c>
      <c r="AA78" s="1" t="inlineStr">
        <is>
          <t>Verified</t>
        </is>
      </c>
      <c r="AB78" s="1" t="inlineStr">
        <is>
          <t>Collaborations between EdTech organisations, Project consortium building, Public-private partnerships, Industry-academia partnerships</t>
        </is>
      </c>
      <c r="AC78" s="1" t="inlineStr">
        <is>
          <t>For-profit company</t>
        </is>
      </c>
      <c r="AD78" s="10" t="b">
        <v>1</v>
      </c>
      <c r="AE78" s="1" t="b">
        <v>1</v>
      </c>
      <c r="AF78" s="1" t="inlineStr">
        <is>
          <t>Yes</t>
        </is>
      </c>
      <c r="AG78" s="1" t="inlineStr">
        <is>
          <t>https://www.instagram.com/spotiself/</t>
        </is>
      </c>
      <c r="AH78" s="1" t="inlineStr">
        <is>
          <t>https://www.linkedin.com/company/79924424/</t>
        </is>
      </c>
      <c r="AI78" s="1" t="inlineStr">
        <is>
          <t>https://www.linkedin.com/company/79924424/</t>
        </is>
      </c>
      <c r="AJ78" s="10" t="inlineStr">
        <is>
          <t>https://www.facebook.com/spotiself</t>
        </is>
      </c>
    </row>
    <row r="79" ht="12.5" customHeight="1">
      <c r="A79" s="6" t="n">
        <v>45889</v>
      </c>
      <c r="B79" s="1" t="inlineStr">
        <is>
          <t>ORG_1783</t>
        </is>
      </c>
      <c r="C79" s="1" t="b">
        <v>1</v>
      </c>
      <c r="D79" s="1" t="inlineStr">
        <is>
          <t>Knoocker</t>
        </is>
      </c>
      <c r="E79" s="10" t="inlineStr">
        <is>
          <t>www.knoocker.com</t>
        </is>
      </c>
      <c r="F79" t="inlineStr">
        <is>
          <t>knoocker.com</t>
        </is>
      </c>
      <c r="G79" s="1" t="inlineStr">
        <is>
          <t>Knoocker is a technology company from Poznań that designs and implements innovative interactive educational solutions.</t>
        </is>
      </c>
      <c r="H79" s="1" t="inlineStr">
        <is>
          <t>I'm not part of any EdTech association</t>
        </is>
      </c>
      <c r="I79" s="1" t="inlineStr">
        <is>
          <t>English, French, Spanish, Italian, German, Bulgarian, Croatian, Czech, Estonian, Finnish, Greek, Hungarian, Latvian, Lithuanian, Polish, Slovak, Slovenian, Romanian, Ukrainian, Catalan</t>
        </is>
      </c>
      <c r="J79" s="1" t="inlineStr">
        <is>
          <t>Poznan</t>
        </is>
      </c>
      <c r="K79" t="inlineStr">
        <is>
          <t>Poznan</t>
        </is>
      </c>
      <c r="L79" t="inlineStr">
        <is>
          <t>Poznan, Poland</t>
        </is>
      </c>
      <c r="M79" t="n">
        <v>52.4082663</v>
      </c>
      <c r="N79" t="n">
        <v>16.9335199</v>
      </c>
      <c r="O79" s="1" t="inlineStr">
        <is>
          <t>Poland</t>
        </is>
      </c>
      <c r="P79" s="1" t="inlineStr">
        <is>
          <t>Austria, Bosnia and Herzegovina, Bulgaria, Croatia, Republic of Cyprus, Czechia, Estonia, Finland, France, Germany, Hungary, Greece, Italy, Latvia, Lithuania, Montenegro, North Macedonia, Poland, Romania, San Marino, Slovakia, Slovenia, Spain, Andorra, Albania, Kosovo</t>
        </is>
      </c>
      <c r="Q79" s="1" t="inlineStr">
        <is>
          <t>Small (10-49 FTE employees)</t>
        </is>
      </c>
      <c r="R79" t="inlineStr">
        <is>
          <t>Small</t>
        </is>
      </c>
      <c r="S79" s="1" t="inlineStr">
        <is>
          <t>Business to Business, Business to Government, Business to Schools</t>
        </is>
      </c>
      <c r="T79" s="1" t="inlineStr">
        <is>
          <t>Early childhood development (0-5 years), Primary Education, Lifelong learning/Adult education, Special Education</t>
        </is>
      </c>
      <c r="U79" s="1" t="inlineStr">
        <is>
          <t>Student interfacing</t>
        </is>
      </c>
      <c r="V79" s="1" t="inlineStr">
        <is>
          <t>Knowla</t>
        </is>
      </c>
      <c r="W79" s="1" t="inlineStr">
        <is>
          <t>Here’s Knowla. Multimedia, interactive ICT teaching tool for schools and kindergartens. Educational entertainment that will make every class an exciting game. Knowla puts boredom in a corner!</t>
        </is>
      </c>
      <c r="X79" s="10" t="inlineStr">
        <is>
          <t>https://drive.google.com/uc?export=view&amp;id=15Q5QCJ4oJByURFhTtJAcyc5VwbhaqVeR</t>
        </is>
      </c>
      <c r="Y79" t="inlineStr">
        <is>
          <t>https://drive.google.com/uc?export=view&amp;id=15Q5QCJ4oJByURFhTtJAcyc5VwbhaqVeR</t>
        </is>
      </c>
      <c r="Z79" s="1" t="inlineStr">
        <is>
          <t>https://drive.google.com/uc?export=view&amp;id=15Q5QCJ4oJByURFhTtJAcyc5VwbhaqVeR</t>
        </is>
      </c>
      <c r="AA79" s="1" t="inlineStr">
        <is>
          <t>Verified</t>
        </is>
      </c>
      <c r="AB79" s="1" t="inlineStr">
        <is>
          <t>Collaborations between EdTech organisations, Project consortium building, Public-private partnerships</t>
        </is>
      </c>
      <c r="AC79" s="1" t="inlineStr">
        <is>
          <t>For-profit company</t>
        </is>
      </c>
      <c r="AD79" s="10" t="b">
        <v>1</v>
      </c>
      <c r="AE79" s="1" t="b">
        <v>1</v>
      </c>
      <c r="AF79" s="1" t="inlineStr">
        <is>
          <t>Yes</t>
        </is>
      </c>
      <c r="AG79" s="1" t="inlineStr">
        <is>
          <t>https://www.linkedin.com/company/knoocker</t>
        </is>
      </c>
      <c r="AH79" s="1" t="inlineStr">
        <is>
          <t>https://www.linkedin.com/company/knoocker</t>
        </is>
      </c>
      <c r="AI79" s="1" t="inlineStr">
        <is>
          <t>https://www.linkedin.com/company/knoocker</t>
        </is>
      </c>
      <c r="AJ79" s="1" t="n"/>
    </row>
    <row r="80" ht="12.5" customHeight="1">
      <c r="A80" s="6" t="n">
        <v>45889</v>
      </c>
      <c r="B80" s="1" t="inlineStr">
        <is>
          <t>ORG_1542</t>
        </is>
      </c>
      <c r="C80" s="1" t="b">
        <v>1</v>
      </c>
      <c r="D80" s="1" t="inlineStr">
        <is>
          <t>Experiential Academy</t>
        </is>
      </c>
      <c r="E80" s="10" t="inlineStr">
        <is>
          <t>thexpa.com</t>
        </is>
      </c>
      <c r="F80" t="inlineStr">
        <is>
          <t>thexpa.com</t>
        </is>
      </c>
      <c r="G80" s="1" t="inlineStr">
        <is>
          <t>Experiential Academy, a dynamic space that connects management students with businesses for meaningful knowledge exchange and strategic growth.  Through our collaborative ecosystem, businesses introduce valuable projects on market research, business planning, and growth strategies. Students then select from a pool of businesses that align with their academic goals and career aspirations and collaborate directly with these businesses on real projects.  This interactive experience allows businesses to leverage academic insights to tackle industry challenges while offering students a chance to gain practical skills and develop their professional portfolios.</t>
        </is>
      </c>
      <c r="H80" s="1" t="inlineStr">
        <is>
          <t>DOHE</t>
        </is>
      </c>
      <c r="I80" s="1" t="n"/>
      <c r="J80" s="1" t="inlineStr">
        <is>
          <t>Leeds</t>
        </is>
      </c>
      <c r="K80" t="inlineStr">
        <is>
          <t>Leeds</t>
        </is>
      </c>
      <c r="L80" t="inlineStr">
        <is>
          <t>Leeds, United Kingdom</t>
        </is>
      </c>
      <c r="M80" t="n">
        <v>53.7974185</v>
      </c>
      <c r="N80" t="n">
        <v>-1.5437941</v>
      </c>
      <c r="O80" s="1" t="inlineStr">
        <is>
          <t>United Kingdom</t>
        </is>
      </c>
      <c r="P80" s="1" t="inlineStr">
        <is>
          <t>https://www.instagram.com/experientialacademyltd/</t>
        </is>
      </c>
      <c r="Q80" s="1" t="inlineStr">
        <is>
          <t>Micro (1-9 FTE employees)</t>
        </is>
      </c>
      <c r="R80" t="inlineStr">
        <is>
          <t>Micro</t>
        </is>
      </c>
      <c r="S80" s="1" t="inlineStr">
        <is>
          <t>Business to Consumer, Business to Business, Business to Schools</t>
        </is>
      </c>
      <c r="T80" s="1" t="inlineStr">
        <is>
          <t>Higher Education</t>
        </is>
      </c>
      <c r="U80" s="1" t="inlineStr">
        <is>
          <t>Student interfacing, Teacher interfacing</t>
        </is>
      </c>
      <c r="V80" s="10" t="inlineStr">
        <is>
          <t>Project Matching</t>
        </is>
      </c>
      <c r="W80" s="1" t="inlineStr">
        <is>
          <t>Companies create projects using our AI Helper tool that maps their live challenges to academic frameworks. These projects will be matched with students and recent graduates based on their academic and career aspirations.</t>
        </is>
      </c>
      <c r="X80" s="10" t="inlineStr">
        <is>
          <t>University Subscriptions</t>
        </is>
      </c>
      <c r="Y80" t="inlineStr">
        <is>
          <t>Alongside providing students access to live projects, University Subscription includes the outcome reports, i.e. skill development and knowledge acquisition, and the impact report.</t>
        </is>
      </c>
      <c r="Z80" s="1" t="inlineStr">
        <is>
          <t>https://drive.google.com/uc?export=view&amp;id=1CErKlSEjgjpiyA-cqrQBx3lte6O0gqsx</t>
        </is>
      </c>
      <c r="AA80" s="1" t="inlineStr">
        <is>
          <t>Verified</t>
        </is>
      </c>
      <c r="AB80" s="1" t="inlineStr">
        <is>
          <t>Collaborations between EdTech organisations, Project consortium building, Public-private partnerships, Industry-academia partnerships</t>
        </is>
      </c>
      <c r="AC80" s="1" t="inlineStr">
        <is>
          <t>For-profit company</t>
        </is>
      </c>
      <c r="AD80" s="10" t="b">
        <v>1</v>
      </c>
      <c r="AE80" s="1" t="n"/>
      <c r="AF80" s="1" t="inlineStr">
        <is>
          <t>Yes</t>
        </is>
      </c>
      <c r="AG80" s="1" t="inlineStr">
        <is>
          <t>https://www.instagram.com/experientialacademyltd/</t>
        </is>
      </c>
      <c r="AH80" s="1" t="inlineStr">
        <is>
          <t>https://www.linkedin.com/company/experiential-academy/</t>
        </is>
      </c>
      <c r="AI80" s="1" t="inlineStr">
        <is>
          <t>https://www.linkedin.com/company/experiential-academy/</t>
        </is>
      </c>
      <c r="AJ80" s="1" t="n"/>
    </row>
    <row r="81" ht="12.5" customHeight="1">
      <c r="A81" s="6" t="n">
        <v>45889</v>
      </c>
      <c r="B81" s="1" t="inlineStr">
        <is>
          <t>ORG_2633</t>
        </is>
      </c>
      <c r="C81" s="1" t="b">
        <v>1</v>
      </c>
      <c r="D81" s="1" t="inlineStr">
        <is>
          <t>Claire Labs</t>
        </is>
      </c>
      <c r="E81" s="10" t="inlineStr">
        <is>
          <t>www.clairelabs.ai</t>
        </is>
      </c>
      <c r="F81" t="inlineStr">
        <is>
          <t>clairelabs.ai</t>
        </is>
      </c>
      <c r="G81" s="1" t="inlineStr">
        <is>
          <t>Claire is a human-centric AI copilot for faster grading and better student feedback.</t>
        </is>
      </c>
      <c r="H81" s="1" t="inlineStr">
        <is>
          <t>I'm not part of any EdTech association</t>
        </is>
      </c>
      <c r="I81" s="1" t="inlineStr">
        <is>
          <t>English</t>
        </is>
      </c>
      <c r="J81" s="1" t="inlineStr">
        <is>
          <t>Hong Kong</t>
        </is>
      </c>
      <c r="K81" t="inlineStr">
        <is>
          <t>Hong Kong</t>
        </is>
      </c>
      <c r="L81" t="inlineStr">
        <is>
          <t>Hong Kong, Hong Kong SAR</t>
        </is>
      </c>
      <c r="M81" t="n">
        <v>22.2788197</v>
      </c>
      <c r="N81" t="n">
        <v>114.1783402</v>
      </c>
      <c r="O81" s="1" t="inlineStr">
        <is>
          <t>Hong Kong SAR</t>
        </is>
      </c>
      <c r="P81" s="1" t="inlineStr">
        <is>
          <t>Andorra, Austria, Belgium, Estonia, Denmark, Czechia, Finland, France, Germany, Iceland, Greece, Liechtenstein, Ireland, Italy, Luxembourg, Malta, Netherlands, Norway, Latvia, Lithuania, Poland, Portugal, Spain, United Kingdom, Sweden, Slovakia, Slovenia, Switzerland, Hong Kong</t>
        </is>
      </c>
      <c r="Q81" s="1" t="inlineStr">
        <is>
          <t>Micro (1-9 FTE employees)</t>
        </is>
      </c>
      <c r="R81" t="inlineStr">
        <is>
          <t>Micro</t>
        </is>
      </c>
      <c r="S81" s="1" t="inlineStr">
        <is>
          <t>Business to Schools</t>
        </is>
      </c>
      <c r="T81" s="1" t="inlineStr">
        <is>
          <t>Higher Education, Secondary Education</t>
        </is>
      </c>
      <c r="U81" s="1" t="inlineStr">
        <is>
          <t>Teacher interfacing</t>
        </is>
      </c>
      <c r="V81" s="1" t="inlineStr">
        <is>
          <t>Claire</t>
        </is>
      </c>
      <c r="W81" s="1" t="inlineStr">
        <is>
          <t>Claire is an AI copilot that helps educators grade faster and provide personalized, formative feedback to all students without adding to their workload.</t>
        </is>
      </c>
      <c r="X81" s="1" t="inlineStr">
        <is>
          <t>https://drive.google.com/uc?export=view&amp;id=1YejLRnX3y_vRlzHoeMfz3GFYrx9nCCxC</t>
        </is>
      </c>
      <c r="Y81" t="inlineStr">
        <is>
          <t>https://drive.google.com/uc?export=view&amp;id=1YejLRnX3y_vRlzHoeMfz3GFYrx9nCCxC</t>
        </is>
      </c>
      <c r="Z81" s="1" t="inlineStr">
        <is>
          <t>https://drive.google.com/uc?export=view&amp;id=1YejLRnX3y_vRlzHoeMfz3GFYrx9nCCxC</t>
        </is>
      </c>
      <c r="AA81" s="1" t="inlineStr">
        <is>
          <t>Verified</t>
        </is>
      </c>
      <c r="AB81" s="1" t="inlineStr">
        <is>
          <t>Collaborations between EdTech organisations, Industry-academia partnerships, Project consortium building</t>
        </is>
      </c>
      <c r="AC81" s="1" t="inlineStr">
        <is>
          <t>For-profit company</t>
        </is>
      </c>
      <c r="AD81" s="10" t="b">
        <v>1</v>
      </c>
      <c r="AE81" s="1" t="b">
        <v>0</v>
      </c>
      <c r="AF81" s="1" t="inlineStr">
        <is>
          <t>No</t>
        </is>
      </c>
      <c r="AG81" s="1" t="n"/>
      <c r="AH81" s="1" t="n"/>
      <c r="AI81" s="1" t="n"/>
      <c r="AJ81" s="1" t="n"/>
    </row>
    <row r="82" ht="12.5" customHeight="1">
      <c r="A82" s="6" t="n">
        <v>45888</v>
      </c>
      <c r="B82" s="1" t="inlineStr">
        <is>
          <t>ORG_2632</t>
        </is>
      </c>
      <c r="C82" s="1" t="b">
        <v>1</v>
      </c>
      <c r="D82" s="1" t="inlineStr">
        <is>
          <t>Lanura</t>
        </is>
      </c>
      <c r="E82" s="10" t="inlineStr">
        <is>
          <t>https://lanura.ai/</t>
        </is>
      </c>
      <c r="F82" t="inlineStr">
        <is>
          <t>lanura.ai</t>
        </is>
      </c>
      <c r="G82" s="1" t="inlineStr">
        <is>
          <t>Lanura is an AI-powered learning platform that helps employees practise real workplace conversations through interactive simulations, instant feedback and behavioural tracking. Unlike traditional training, Lanura is built to change behaviour, not just share knowledge - enabling teams to improve communication, build confidence and close critical soft-skill gaps in a measurable way.</t>
        </is>
      </c>
      <c r="H82" s="1" t="inlineStr">
        <is>
          <t>I'm not part of any EdTech association</t>
        </is>
      </c>
      <c r="I82" s="1" t="inlineStr">
        <is>
          <t>English</t>
        </is>
      </c>
      <c r="J82" s="1" t="inlineStr">
        <is>
          <t>London</t>
        </is>
      </c>
      <c r="K82" t="inlineStr">
        <is>
          <t>London</t>
        </is>
      </c>
      <c r="L82" t="inlineStr">
        <is>
          <t>London, United Kingdom</t>
        </is>
      </c>
      <c r="M82" t="n">
        <v>51.5074456</v>
      </c>
      <c r="N82" t="n">
        <v>-0.1277653</v>
      </c>
      <c r="O82" s="1" t="inlineStr">
        <is>
          <t>United Kingdom</t>
        </is>
      </c>
      <c r="P82" s="1" t="inlineStr">
        <is>
          <t>United Kingdom</t>
        </is>
      </c>
      <c r="Q82" s="1" t="inlineStr">
        <is>
          <t>Micro (1-9 FTE employees)</t>
        </is>
      </c>
      <c r="R82" t="inlineStr">
        <is>
          <t>Micro</t>
        </is>
      </c>
      <c r="S82" s="1" t="inlineStr">
        <is>
          <t>Business to Business</t>
        </is>
      </c>
      <c r="T82" s="1" t="inlineStr">
        <is>
          <t>Corporate Training, Lifelong learning/Adult education</t>
        </is>
      </c>
      <c r="U82" s="1" t="inlineStr">
        <is>
          <t>System/Administrative, Other</t>
        </is>
      </c>
      <c r="V82" s="1" t="inlineStr">
        <is>
          <t>Lanura</t>
        </is>
      </c>
      <c r="W82" s="1" t="inlineStr">
        <is>
          <t>AI-powered roleplay platform where employees practice real workplace conversations, receive instant feedback and build lasting soft skills through adaptive simulations.</t>
        </is>
      </c>
      <c r="X82" s="10" t="inlineStr">
        <is>
          <t>https://drive.google.com/uc?export=view&amp;id=19CqXhx5xMEGc6IqgdTY1V4QN9bhwvloS</t>
        </is>
      </c>
      <c r="Y82" t="inlineStr">
        <is>
          <t>https://drive.google.com/uc?export=view&amp;id=19CqXhx5xMEGc6IqgdTY1V4QN9bhwvloS</t>
        </is>
      </c>
      <c r="Z82" s="1" t="inlineStr">
        <is>
          <t>https://drive.google.com/uc?export=view&amp;id=19CqXhx5xMEGc6IqgdTY1V4QN9bhwvloS</t>
        </is>
      </c>
      <c r="AA82" s="1" t="inlineStr">
        <is>
          <t>Verified</t>
        </is>
      </c>
      <c r="AB82" s="1" t="inlineStr">
        <is>
          <t>Collaborations between EdTech organisations, Public-private partnerships, Project consortium building, Other, Industry-academia partnerships</t>
        </is>
      </c>
      <c r="AC82" s="1" t="inlineStr">
        <is>
          <t>Non-profit organisation</t>
        </is>
      </c>
      <c r="AD82" s="10" t="b">
        <v>0</v>
      </c>
      <c r="AE82" s="1" t="b">
        <v>1</v>
      </c>
      <c r="AF82" s="1" t="inlineStr">
        <is>
          <t>Yes</t>
        </is>
      </c>
      <c r="AG82" s="1" t="inlineStr">
        <is>
          <t>https://www.linkedin.com/company/lanura</t>
        </is>
      </c>
      <c r="AH82" s="1" t="inlineStr">
        <is>
          <t>https://www.linkedin.com/company/lanura</t>
        </is>
      </c>
      <c r="AI82" s="1" t="inlineStr">
        <is>
          <t>https://www.linkedin.com/company/lanura</t>
        </is>
      </c>
      <c r="AJ82" s="1" t="n"/>
    </row>
    <row r="83" ht="12.5" customHeight="1">
      <c r="A83" s="6" t="n">
        <v>45888</v>
      </c>
      <c r="B83" s="1" t="inlineStr">
        <is>
          <t>ORG_1501</t>
        </is>
      </c>
      <c r="C83" s="1" t="b">
        <v>1</v>
      </c>
      <c r="D83" s="1" t="inlineStr">
        <is>
          <t>Entornos de Formación S.L</t>
        </is>
      </c>
      <c r="E83" s="10" t="inlineStr">
        <is>
          <t>www.edf.global</t>
        </is>
      </c>
      <c r="F83" t="inlineStr">
        <is>
          <t>edf.global</t>
        </is>
      </c>
      <c r="G83" s="1" t="inlineStr">
        <is>
          <t>We work with Next Generation Digital Learning Environment technologies (NGDLE) to offer our clients efficiency and technological security</t>
        </is>
      </c>
      <c r="H83" s="1" t="inlineStr">
        <is>
          <t>EduTech Cluster Spain</t>
        </is>
      </c>
      <c r="I83" s="1" t="inlineStr">
        <is>
          <t>English, Spanish, German, Catalan</t>
        </is>
      </c>
      <c r="J83" s="1" t="inlineStr">
        <is>
          <t>Valencia</t>
        </is>
      </c>
      <c r="K83" t="inlineStr">
        <is>
          <t>Valencia</t>
        </is>
      </c>
      <c r="L83" t="inlineStr">
        <is>
          <t>Valencia, Spain</t>
        </is>
      </c>
      <c r="M83" t="n">
        <v>39.6819591</v>
      </c>
      <c r="N83" t="n">
        <v>-0.7654406</v>
      </c>
      <c r="O83" s="1" t="inlineStr">
        <is>
          <t>Spain</t>
        </is>
      </c>
      <c r="P83" s="1" t="inlineStr">
        <is>
          <t>Belgium, Portugal, Romania, Spain, United Kingdom</t>
        </is>
      </c>
      <c r="Q83" s="1" t="inlineStr">
        <is>
          <t>Small (10-49 FTE employees)</t>
        </is>
      </c>
      <c r="R83" t="inlineStr">
        <is>
          <t>Small</t>
        </is>
      </c>
      <c r="S83" s="1" t="inlineStr">
        <is>
          <t>Business to Government, Business to Business, Business to Schools</t>
        </is>
      </c>
      <c r="T83" s="1" t="inlineStr">
        <is>
          <t>Higher Education, Corporate Training, Lifelong learning/Adult education</t>
        </is>
      </c>
      <c r="U83" s="1" t="inlineStr">
        <is>
          <t>System/Administrative, Teacher interfacing, Student interfacing</t>
        </is>
      </c>
      <c r="W83" s="1" t="inlineStr">
        <is>
          <t>https://drive.google.com/uc?export=view&amp;id=1_5FFc0p4GboJDTMh4c41dGsyiuOo62cq</t>
        </is>
      </c>
      <c r="X83" s="10" t="inlineStr">
        <is>
          <t>https://drive.google.com/uc?export=view&amp;id=1_5FFc0p4GboJDTMh4c41dGsyiuOo62cq</t>
        </is>
      </c>
      <c r="Y83" t="inlineStr">
        <is>
          <t>https://drive.google.com/uc?export=view&amp;id=1_5FFc0p4GboJDTMh4c41dGsyiuOo62cq</t>
        </is>
      </c>
      <c r="Z83" s="1" t="inlineStr">
        <is>
          <t>https://drive.google.com/uc?export=view&amp;id=1_5FFc0p4GboJDTMh4c41dGsyiuOo62cq</t>
        </is>
      </c>
      <c r="AA83" s="1" t="inlineStr">
        <is>
          <t>Verified</t>
        </is>
      </c>
      <c r="AB83" s="1" t="inlineStr">
        <is>
          <t>Collaborations between EdTech organisations, Project consortium building, Public-private partnerships</t>
        </is>
      </c>
      <c r="AC83" s="1" t="inlineStr">
        <is>
          <t>For-profit company</t>
        </is>
      </c>
      <c r="AD83" s="10" t="b">
        <v>1</v>
      </c>
      <c r="AE83" s="1" t="b">
        <v>0</v>
      </c>
      <c r="AF83" s="1" t="inlineStr">
        <is>
          <t>Yes</t>
        </is>
      </c>
      <c r="AG83" s="1" t="inlineStr">
        <is>
          <t>https://www.linkedin.com/company/entornosdeformacion</t>
        </is>
      </c>
      <c r="AH83" s="1" t="inlineStr">
        <is>
          <t>https://www.linkedin.com/company/entornosdeformacion</t>
        </is>
      </c>
      <c r="AI83" s="1" t="inlineStr">
        <is>
          <t>https://www.linkedin.com/company/entornosdeformacion</t>
        </is>
      </c>
      <c r="AJ83" s="1" t="n"/>
    </row>
    <row r="84" ht="12.5" customHeight="1">
      <c r="A84" s="6" t="n">
        <v>45887</v>
      </c>
      <c r="B84" s="1" t="inlineStr">
        <is>
          <t>ORG_2631</t>
        </is>
      </c>
      <c r="C84" s="1" t="b">
        <v>1</v>
      </c>
      <c r="D84" s="10" t="inlineStr">
        <is>
          <t>Slide-Speed.com</t>
        </is>
      </c>
      <c r="E84" s="10" t="inlineStr">
        <is>
          <t>https://slide-speed.com</t>
        </is>
      </c>
      <c r="F84" t="inlineStr">
        <is>
          <t>slide-speed.com</t>
        </is>
      </c>
      <c r="G84" s="1" t="inlineStr">
        <is>
          <t>Slide-Speed.com helps organize and create presentations for lectures and trainings in a standardized, collaborative and AI driven manner</t>
        </is>
      </c>
      <c r="H84" s="1" t="inlineStr">
        <is>
          <t>EdTech Austria</t>
        </is>
      </c>
      <c r="I84" s="1" t="inlineStr">
        <is>
          <t>English, German</t>
        </is>
      </c>
      <c r="J84" s="1" t="inlineStr">
        <is>
          <t>Wien</t>
        </is>
      </c>
      <c r="K84" t="inlineStr">
        <is>
          <t>Wien</t>
        </is>
      </c>
      <c r="L84" t="inlineStr">
        <is>
          <t>Wien, Austria</t>
        </is>
      </c>
      <c r="M84" t="n">
        <v>48.2083537</v>
      </c>
      <c r="N84" t="n">
        <v>16.3725042</v>
      </c>
      <c r="O84" s="1" t="inlineStr">
        <is>
          <t>Austria</t>
        </is>
      </c>
      <c r="P84" s="1" t="inlineStr">
        <is>
          <t>Austria, Germany, Switzerland</t>
        </is>
      </c>
      <c r="Q84" s="1" t="inlineStr">
        <is>
          <t>Solo entrepreneur</t>
        </is>
      </c>
      <c r="R84" t="inlineStr">
        <is>
          <t>Solo entrepreneur</t>
        </is>
      </c>
      <c r="S84" s="1" t="inlineStr">
        <is>
          <t>Business to Business, Business to Consumer, Business to Government, Business to Schools</t>
        </is>
      </c>
      <c r="T84" s="1" t="inlineStr">
        <is>
          <t>Higher Education, Corporate Training, Lifelong learning/Adult education, Secondary Education</t>
        </is>
      </c>
      <c r="U84" s="1" t="inlineStr">
        <is>
          <t>Teacher interfacing</t>
        </is>
      </c>
      <c r="V84" s="1" t="inlineStr">
        <is>
          <t>Slide-Speed.com</t>
        </is>
      </c>
      <c r="W84" s="1" t="inlineStr">
        <is>
          <t>Slide-Speed.com is a Web-Application that helps teachers and trainers to manage and create presentations and other material for courses in a collaborative and AI driven manner.
The goal is to save time by automating the process of course generation while building a knowledge space for the future</t>
        </is>
      </c>
      <c r="X84" s="10" t="inlineStr">
        <is>
          <t>https://drive.google.com/uc?export=view&amp;id=1-r-GPRf1nbw6dA7J-2VbYoUrQlIt2SDO</t>
        </is>
      </c>
      <c r="Y84" t="inlineStr">
        <is>
          <t>https://drive.google.com/uc?export=view&amp;id=1-r-GPRf1nbw6dA7J-2VbYoUrQlIt2SDO</t>
        </is>
      </c>
      <c r="Z84" s="10" t="inlineStr">
        <is>
          <t>https://drive.google.com/uc?export=view&amp;id=1-r-GPRf1nbw6dA7J-2VbYoUrQlIt2SDO</t>
        </is>
      </c>
      <c r="AA84" s="1" t="inlineStr">
        <is>
          <t>Verified</t>
        </is>
      </c>
      <c r="AB84" s="1" t="inlineStr">
        <is>
          <t>Public-private partnerships, Collaborations between EdTech organisations, Industry-academia partnerships</t>
        </is>
      </c>
      <c r="AC84" s="1" t="inlineStr">
        <is>
          <t>For-profit company</t>
        </is>
      </c>
      <c r="AD84" s="10" t="b">
        <v>1</v>
      </c>
      <c r="AE84" s="1" t="b">
        <v>1</v>
      </c>
      <c r="AF84" s="1" t="inlineStr">
        <is>
          <t>Yes</t>
        </is>
      </c>
      <c r="AG84" s="1" t="inlineStr">
        <is>
          <t>https://www.linkedin.com/company/101921502/</t>
        </is>
      </c>
      <c r="AH84" s="1" t="inlineStr">
        <is>
          <t>https://www.linkedin.com/company/101921502/</t>
        </is>
      </c>
      <c r="AI84" s="1" t="inlineStr">
        <is>
          <t>https://www.linkedin.com/company/101921502/</t>
        </is>
      </c>
      <c r="AJ84" s="1" t="n"/>
    </row>
    <row r="85" ht="12.5" customHeight="1">
      <c r="A85" s="6" t="n">
        <v>45884</v>
      </c>
      <c r="B85" s="1" t="inlineStr">
        <is>
          <t>ORG_2630</t>
        </is>
      </c>
      <c r="C85" s="1" t="b">
        <v>1</v>
      </c>
      <c r="D85" s="1" t="inlineStr">
        <is>
          <t>Bloom AI</t>
        </is>
      </c>
      <c r="E85" s="10" t="inlineStr">
        <is>
          <t>https://bloom.study</t>
        </is>
      </c>
      <c r="F85" t="inlineStr">
        <is>
          <t>bloom.study</t>
        </is>
      </c>
      <c r="G85" s="1" t="inlineStr">
        <is>
          <t>AI tutor platform for schools and universities</t>
        </is>
      </c>
      <c r="H85" s="1" t="inlineStr">
        <is>
          <t>I'm not part of any EdTech association</t>
        </is>
      </c>
      <c r="I85" s="1" t="inlineStr">
        <is>
          <t>English</t>
        </is>
      </c>
      <c r="J85" s="1" t="inlineStr">
        <is>
          <t>Sydney</t>
        </is>
      </c>
      <c r="K85" t="inlineStr">
        <is>
          <t>Sydney</t>
        </is>
      </c>
      <c r="L85" t="inlineStr">
        <is>
          <t>Sydney, Australia</t>
        </is>
      </c>
      <c r="M85" t="n">
        <v>-33.8698439</v>
      </c>
      <c r="N85" t="n">
        <v>151.2082848</v>
      </c>
      <c r="O85" s="1" t="inlineStr">
        <is>
          <t>Australia</t>
        </is>
      </c>
      <c r="P85" s="1" t="inlineStr">
        <is>
          <t>Ireland, United Kingdom</t>
        </is>
      </c>
      <c r="Q85" s="1" t="inlineStr">
        <is>
          <t>Micro (1-9 FTE employees)</t>
        </is>
      </c>
      <c r="R85" t="inlineStr">
        <is>
          <t>Micro</t>
        </is>
      </c>
      <c r="S85" s="1" t="inlineStr">
        <is>
          <t>Business to Business, Business to Government, Business to Schools</t>
        </is>
      </c>
      <c r="T85" s="1" t="inlineStr">
        <is>
          <t>Secondary Education, Vocational Education and Training (VET), Higher Education, Lifelong learning/Adult education, Corporate Training</t>
        </is>
      </c>
      <c r="U85" s="1" t="inlineStr">
        <is>
          <t>Student interfacing, Teacher interfacing</t>
        </is>
      </c>
      <c r="V85" s="1" t="inlineStr">
        <is>
          <t>Bloom AI Tutor</t>
        </is>
      </c>
      <c r="W85" s="10" t="inlineStr">
        <is>
          <t>AI tutor platform for schools and universities</t>
        </is>
      </c>
      <c r="X85" s="10" t="inlineStr">
        <is>
          <t>https://drive.google.com/uc?export=view&amp;id=1VUyCiwF_39xVJ1SlgUV2qUcvXLdtAPob</t>
        </is>
      </c>
      <c r="Y85" t="inlineStr">
        <is>
          <t>https://drive.google.com/uc?export=view&amp;id=1VUyCiwF_39xVJ1SlgUV2qUcvXLdtAPob</t>
        </is>
      </c>
      <c r="Z85" s="1" t="inlineStr">
        <is>
          <t>https://drive.google.com/uc?export=view&amp;id=1VUyCiwF_39xVJ1SlgUV2qUcvXLdtAPob</t>
        </is>
      </c>
      <c r="AA85" s="1" t="inlineStr">
        <is>
          <t>Verified</t>
        </is>
      </c>
      <c r="AB85" s="1" t="inlineStr">
        <is>
          <t>Collaborations between EdTech organisations, Project consortium building, Public-private partnerships, Industry-academia partnerships</t>
        </is>
      </c>
      <c r="AC85" s="1" t="inlineStr">
        <is>
          <t>For-profit company</t>
        </is>
      </c>
      <c r="AD85" s="10" t="b">
        <v>1</v>
      </c>
      <c r="AE85" s="1" t="b">
        <v>1</v>
      </c>
      <c r="AF85" s="1" t="inlineStr">
        <is>
          <t>Yes</t>
        </is>
      </c>
      <c r="AG85" s="1" t="inlineStr">
        <is>
          <t>http://x.com/BloomAITutor</t>
        </is>
      </c>
      <c r="AH85" s="1" t="inlineStr">
        <is>
          <t>x.com/BloomAITutor</t>
        </is>
      </c>
      <c r="AI85" s="1" t="inlineStr">
        <is>
          <t>https://www.linkedin.com/company/aibloom</t>
        </is>
      </c>
      <c r="AJ85" s="1" t="n"/>
    </row>
    <row r="86" ht="12.5" customHeight="1">
      <c r="A86" s="6" t="n">
        <v>45884</v>
      </c>
      <c r="B86" s="1" t="inlineStr">
        <is>
          <t>ORG_2629</t>
        </is>
      </c>
      <c r="C86" s="1" t="b">
        <v>1</v>
      </c>
      <c r="D86" s="10" t="inlineStr">
        <is>
          <t>Motionstorybooks.com</t>
        </is>
      </c>
      <c r="E86" s="10" t="inlineStr">
        <is>
          <t>www.motionstorybooks.com</t>
        </is>
      </c>
      <c r="F86" t="inlineStr">
        <is>
          <t>motionstorybooks.com</t>
        </is>
      </c>
      <c r="G86" s="1" t="inlineStr">
        <is>
          <t>Reading and literacy support for young children using animated storybooks online. Also helps young children who have SEN or EAL/ESL. Recommended by over 5500 teachers.</t>
        </is>
      </c>
      <c r="H86" s="1" t="inlineStr">
        <is>
          <t>DOHE</t>
        </is>
      </c>
      <c r="I86" s="1" t="inlineStr">
        <is>
          <t>English</t>
        </is>
      </c>
      <c r="J86" s="1" t="inlineStr">
        <is>
          <t>London</t>
        </is>
      </c>
      <c r="K86" t="inlineStr">
        <is>
          <t>London</t>
        </is>
      </c>
      <c r="L86" t="inlineStr">
        <is>
          <t>London, United Kingdom</t>
        </is>
      </c>
      <c r="M86" t="n">
        <v>51.5074456</v>
      </c>
      <c r="N86" t="n">
        <v>-0.1277653</v>
      </c>
      <c r="O86" s="1" t="inlineStr">
        <is>
          <t>United Kingdom</t>
        </is>
      </c>
      <c r="P86" s="1" t="inlineStr">
        <is>
          <t>Albania, Andorra, Austria, Belarus, Belgium, Bosnia and Herzegovina, Bulgaria, Croatia, Republic of Cyprus, Czechia, Denmark, Estonia, Finland, France, Germany, Greece, Hungary, Iceland, Ireland, Italy, Kosovo, Latvia, Liechtenstein, Lithuania, Luxembourg, Malta, Moldova, Monaco, Montenegro, Netherlands, North Macedonia, Norway, Poland, Portugal, Romania, San Marino, Slovakia, Slovenia, Spain, Sweden, Switzerland, Turkey, Ukraine, United Kingdom</t>
        </is>
      </c>
      <c r="Q86" s="1" t="inlineStr">
        <is>
          <t>Micro (1-9 FTE employees)</t>
        </is>
      </c>
      <c r="R86" t="inlineStr">
        <is>
          <t>Micro</t>
        </is>
      </c>
      <c r="S86" s="1" t="inlineStr">
        <is>
          <t>Business to Business, Business to Consumer, Business to Government, Business to Schools</t>
        </is>
      </c>
      <c r="T86" s="1" t="inlineStr">
        <is>
          <t>Early childhood development (0-5 years), Primary Education</t>
        </is>
      </c>
      <c r="U86" s="1" t="inlineStr">
        <is>
          <t>Student interfacing, Other</t>
        </is>
      </c>
      <c r="V86" s="1" t="inlineStr">
        <is>
          <t>Animated Children's Book: Digital Bundle</t>
        </is>
      </c>
      <c r="W86" s="1" t="inlineStr">
        <is>
          <t>Access to a library of over 400 children's animated books. Proven to help with reading, literacy and engagement. Also recommended for children with SEN and EAL/ESL.</t>
        </is>
      </c>
      <c r="X86" s="1" t="inlineStr">
        <is>
          <t>https://drive.google.com/uc?export=view&amp;id=1HNWtPP2x65WIpINASPC7_BeE9gnUVgcE</t>
        </is>
      </c>
      <c r="Y86" t="inlineStr">
        <is>
          <t>https://drive.google.com/uc?export=view&amp;id=1HNWtPP2x65WIpINASPC7_BeE9gnUVgcE</t>
        </is>
      </c>
      <c r="Z86" s="1" t="inlineStr">
        <is>
          <t>https://drive.google.com/uc?export=view&amp;id=1HNWtPP2x65WIpINASPC7_BeE9gnUVgcE</t>
        </is>
      </c>
      <c r="AA86" s="1" t="inlineStr">
        <is>
          <t>Verified</t>
        </is>
      </c>
      <c r="AB86" s="1" t="inlineStr">
        <is>
          <t>Collaborations between EdTech organisations, Project consortium building, Public-private partnerships, Industry-academia partnerships, Other</t>
        </is>
      </c>
      <c r="AC86" s="1" t="inlineStr">
        <is>
          <t>For-profit company</t>
        </is>
      </c>
      <c r="AD86" s="10" t="b">
        <v>1</v>
      </c>
      <c r="AE86" s="1" t="b">
        <v>1</v>
      </c>
      <c r="AF86" s="1" t="inlineStr">
        <is>
          <t>No</t>
        </is>
      </c>
      <c r="AG86" s="1" t="n"/>
      <c r="AH86" s="1" t="n"/>
      <c r="AI86" s="1" t="n"/>
      <c r="AJ86" s="1" t="n"/>
    </row>
    <row r="87" ht="12.5" customHeight="1">
      <c r="A87" s="6" t="n">
        <v>45884</v>
      </c>
      <c r="B87" s="1" t="inlineStr">
        <is>
          <t>ORG_2628</t>
        </is>
      </c>
      <c r="C87" s="1" t="b">
        <v>1</v>
      </c>
      <c r="D87" s="1" t="inlineStr">
        <is>
          <t>MEDEX LAB</t>
        </is>
      </c>
      <c r="E87" s="10" t="inlineStr">
        <is>
          <t>https://www.medexlab.co/explorerrazgar.html</t>
        </is>
      </c>
      <c r="F87" t="inlineStr">
        <is>
          <t>medexlab.co/explorerrazgar.html</t>
        </is>
      </c>
      <c r="G87" s="1" t="inlineStr">
        <is>
          <t>MEDEX LAB is an XR development company that builds immersive edutaintment content.</t>
        </is>
      </c>
      <c r="H87" s="1" t="inlineStr">
        <is>
          <t>I'm not part of any EdTech association</t>
        </is>
      </c>
      <c r="I87" s="1" t="inlineStr">
        <is>
          <t>English, Polish, Turkish</t>
        </is>
      </c>
      <c r="J87" s="1" t="inlineStr">
        <is>
          <t>Istanbul</t>
        </is>
      </c>
      <c r="K87" t="inlineStr">
        <is>
          <t>Istanbul</t>
        </is>
      </c>
      <c r="L87" t="inlineStr">
        <is>
          <t>Istanbul, Turkiye</t>
        </is>
      </c>
      <c r="M87" t="n">
        <v>41.006381</v>
      </c>
      <c r="N87" t="n">
        <v>28.9758715</v>
      </c>
      <c r="O87" s="1" t="inlineStr">
        <is>
          <t>Turkiye</t>
        </is>
      </c>
      <c r="P87" s="1" t="inlineStr">
        <is>
          <t>Poland, Turkey, France</t>
        </is>
      </c>
      <c r="Q87" s="1" t="inlineStr">
        <is>
          <t>Micro (1-9 FTE employees)</t>
        </is>
      </c>
      <c r="R87" t="inlineStr">
        <is>
          <t>Micro</t>
        </is>
      </c>
      <c r="S87" s="1" t="inlineStr">
        <is>
          <t>Business to Business, Business to Consumer, Business to Government, Business to Schools</t>
        </is>
      </c>
      <c r="T87" s="1" t="inlineStr">
        <is>
          <t>Primary Education, Secondary Education</t>
        </is>
      </c>
      <c r="U87" s="1" t="inlineStr">
        <is>
          <t>Student interfacing</t>
        </is>
      </c>
      <c r="V87" s="1" t="inlineStr">
        <is>
          <t>Razgar The Explorer</t>
        </is>
      </c>
      <c r="W87" s="1" t="inlineStr">
        <is>
          <t>Immerse yourself in a virtual world, explore ancient ruins, dive into the Mediterranean and travel to the moon. Learn about history, science and nature in an interactive and fun way.</t>
        </is>
      </c>
      <c r="X87" s="10" t="inlineStr">
        <is>
          <t>Razgar The Explorer for Language Learning</t>
        </is>
      </c>
      <c r="Y87" t="inlineStr">
        <is>
          <t>Experience the adventures in different languages followed by quizzes according to the proficiency level.</t>
        </is>
      </c>
      <c r="Z87" s="1" t="inlineStr">
        <is>
          <t>https://drive.google.com/uc?export=view&amp;id=12HhjDKydLTy0-YGW27FQn84tcSvv3_iU</t>
        </is>
      </c>
      <c r="AA87" s="1" t="inlineStr">
        <is>
          <t>Verified</t>
        </is>
      </c>
      <c r="AB87" s="1" t="inlineStr">
        <is>
          <t>Collaborations between EdTech organisations, Project consortium building, Public-private partnerships, Other</t>
        </is>
      </c>
      <c r="AC87" s="1" t="inlineStr">
        <is>
          <t>For-profit company</t>
        </is>
      </c>
      <c r="AD87" s="10" t="b">
        <v>1</v>
      </c>
      <c r="AE87" s="1" t="b">
        <v>1</v>
      </c>
      <c r="AF87" s="1" t="inlineStr">
        <is>
          <t>Yes</t>
        </is>
      </c>
      <c r="AG87" s="1" t="inlineStr">
        <is>
          <t>https://www.linkedin.com/company/medex-lab/</t>
        </is>
      </c>
      <c r="AH87" s="1" t="inlineStr">
        <is>
          <t>https://www.linkedin.com/company/medex-lab/</t>
        </is>
      </c>
      <c r="AI87" s="1" t="inlineStr">
        <is>
          <t>https://www.linkedin.com/company/medex-lab/</t>
        </is>
      </c>
      <c r="AJ87" s="1" t="n"/>
    </row>
    <row r="88" ht="12.5" customHeight="1">
      <c r="A88" s="6" t="n">
        <v>45884</v>
      </c>
      <c r="B88" s="1" t="inlineStr">
        <is>
          <t>ORG_1858</t>
        </is>
      </c>
      <c r="C88" s="1" t="b">
        <v>1</v>
      </c>
      <c r="D88" s="1" t="inlineStr">
        <is>
          <t>LessonApp</t>
        </is>
      </c>
      <c r="E88" s="10" t="inlineStr">
        <is>
          <t>www.lessonapp.fi</t>
        </is>
      </c>
      <c r="F88" t="inlineStr">
        <is>
          <t>lessonapp.fi</t>
        </is>
      </c>
      <c r="G88" s="1" t="inlineStr">
        <is>
          <t>LessonApp helps teachers to design engaging and efficients lessons, to save time and to apply activating teaching methods to improve students performance.</t>
        </is>
      </c>
      <c r="H88" s="1" t="inlineStr">
        <is>
          <t>EdTech Finland, xEdu</t>
        </is>
      </c>
      <c r="I88" s="1" t="inlineStr">
        <is>
          <t>English, Spanish, Romanian, Portuguese, Burmese</t>
        </is>
      </c>
      <c r="J88" s="1" t="inlineStr">
        <is>
          <t>Tampere</t>
        </is>
      </c>
      <c r="K88" t="inlineStr">
        <is>
          <t>Tampere</t>
        </is>
      </c>
      <c r="L88" t="inlineStr">
        <is>
          <t>Tampere, Finland</t>
        </is>
      </c>
      <c r="M88" t="n">
        <v>61.4977988</v>
      </c>
      <c r="N88" t="n">
        <v>23.7616335</v>
      </c>
      <c r="O88" s="1" t="inlineStr">
        <is>
          <t>Finland</t>
        </is>
      </c>
      <c r="P88" s="1" t="inlineStr">
        <is>
          <t>Finland, Malta, Moldova, Romania</t>
        </is>
      </c>
      <c r="Q88" s="1" t="inlineStr">
        <is>
          <t>Micro (1-9 FTE employees)</t>
        </is>
      </c>
      <c r="R88" t="inlineStr">
        <is>
          <t>Micro</t>
        </is>
      </c>
      <c r="S88" s="1" t="inlineStr">
        <is>
          <t>Business to Business, Business to Consumer, Business to Schools</t>
        </is>
      </c>
      <c r="T88" s="1" t="inlineStr">
        <is>
          <t>Primary Education, Early childhood development (0-5 years), Secondary Education</t>
        </is>
      </c>
      <c r="U88" s="1" t="inlineStr">
        <is>
          <t>Teacher interfacing</t>
        </is>
      </c>
      <c r="V88" s="10" t="inlineStr">
        <is>
          <t>LessonApp Premium</t>
        </is>
      </c>
      <c r="W88" s="1" t="inlineStr">
        <is>
          <t>A mobile lesson planning tool and resource storage.</t>
        </is>
      </c>
      <c r="X88" s="10" t="inlineStr">
        <is>
          <t>https://drive.google.com/uc?export=view&amp;id=16E9joFzZbQCv95wOg9gg647_FA8gwJax</t>
        </is>
      </c>
      <c r="Y88" t="inlineStr">
        <is>
          <t>https://drive.google.com/uc?export=view&amp;id=16E9joFzZbQCv95wOg9gg647_FA8gwJax</t>
        </is>
      </c>
      <c r="Z88" s="1" t="inlineStr">
        <is>
          <t>https://drive.google.com/uc?export=view&amp;id=16E9joFzZbQCv95wOg9gg647_FA8gwJax</t>
        </is>
      </c>
      <c r="AA88" s="1" t="inlineStr">
        <is>
          <t>Verified</t>
        </is>
      </c>
      <c r="AB88" s="1" t="inlineStr">
        <is>
          <t>Project consortium building, Public-private partnerships, Collaborations between EdTech organisations</t>
        </is>
      </c>
      <c r="AC88" s="1" t="inlineStr">
        <is>
          <t>For-profit company</t>
        </is>
      </c>
      <c r="AD88" s="10" t="b">
        <v>1</v>
      </c>
      <c r="AE88" s="1" t="b">
        <v>1</v>
      </c>
      <c r="AF88" s="1" t="inlineStr">
        <is>
          <t>Yes</t>
        </is>
      </c>
      <c r="AG88" s="1" t="inlineStr">
        <is>
          <t>https://www.instagram.com/lesson_app/</t>
        </is>
      </c>
      <c r="AH88" s="1" t="inlineStr">
        <is>
          <t>https://www.linkedin.com/company/lessonapp-oy/</t>
        </is>
      </c>
      <c r="AI88" s="1" t="inlineStr">
        <is>
          <t>https://www.linkedin.com/company/lessonapp-oy/</t>
        </is>
      </c>
      <c r="AJ88" s="1" t="n"/>
    </row>
    <row r="89" ht="12.5" customHeight="1">
      <c r="A89" s="6" t="n">
        <v>45883</v>
      </c>
      <c r="B89" s="1" t="inlineStr">
        <is>
          <t>ORG_1863</t>
        </is>
      </c>
      <c r="C89" s="1" t="b">
        <v>1</v>
      </c>
      <c r="D89" s="1" t="inlineStr">
        <is>
          <t>Level Up Academy</t>
        </is>
      </c>
      <c r="E89" s="10" t="inlineStr">
        <is>
          <t>www.levelupacademy.nl</t>
        </is>
      </c>
      <c r="F89" t="inlineStr">
        <is>
          <t>levelupacademy.nl</t>
        </is>
      </c>
      <c r="G89" s="1" t="inlineStr">
        <is>
          <t>Level Up Academy delievers high-quality online language courses in Dutch and English for both private individuals and corporate clients. We offer flexible, tailored courses that focus on practical, engaging learning, all taught by experienced teachers.</t>
        </is>
      </c>
      <c r="H89" s="1" t="inlineStr">
        <is>
          <t>I'm not part of any EdTech association</t>
        </is>
      </c>
      <c r="I89" s="1" t="inlineStr">
        <is>
          <t>English, Ukrainian, Polish, Spanish, Dutch, German, Romanian</t>
        </is>
      </c>
      <c r="J89" s="1" t="inlineStr">
        <is>
          <t>Leiden</t>
        </is>
      </c>
      <c r="K89" t="inlineStr">
        <is>
          <t>Leiden</t>
        </is>
      </c>
      <c r="L89" t="inlineStr">
        <is>
          <t>Leiden, The Netherlands</t>
        </is>
      </c>
      <c r="M89" t="n">
        <v>52.1700673</v>
      </c>
      <c r="N89" t="n">
        <v>4.4876769</v>
      </c>
      <c r="O89" s="1" t="inlineStr">
        <is>
          <t>The Netherlands</t>
        </is>
      </c>
      <c r="P89" s="1" t="inlineStr">
        <is>
          <t>Netherlands</t>
        </is>
      </c>
      <c r="Q89" s="1" t="inlineStr">
        <is>
          <t>Solo entrepreneur</t>
        </is>
      </c>
      <c r="R89" t="inlineStr">
        <is>
          <t>Solo entrepreneur</t>
        </is>
      </c>
      <c r="S89" s="1" t="inlineStr">
        <is>
          <t>Business to Business, Business to Consumer</t>
        </is>
      </c>
      <c r="T89" s="1" t="inlineStr">
        <is>
          <t>Corporate Training, Lifelong learning/Adult education, Other</t>
        </is>
      </c>
      <c r="U89" s="1" t="inlineStr">
        <is>
          <t>Other</t>
        </is>
      </c>
      <c r="V89" s="10" t="inlineStr">
        <is>
          <t>Online Language Courses</t>
        </is>
      </c>
      <c r="W89" s="1" t="inlineStr">
        <is>
          <t>https://drive.google.com/uc?export=view&amp;id=1kr98jna08RnRMWiTK7FeaFbbn4ZbF3zp</t>
        </is>
      </c>
      <c r="X89" s="10" t="inlineStr">
        <is>
          <t>https://drive.google.com/uc?export=view&amp;id=1kr98jna08RnRMWiTK7FeaFbbn4ZbF3zp</t>
        </is>
      </c>
      <c r="Y89" t="inlineStr">
        <is>
          <t>https://drive.google.com/uc?export=view&amp;id=1kr98jna08RnRMWiTK7FeaFbbn4ZbF3zp</t>
        </is>
      </c>
      <c r="Z89" s="1" t="inlineStr">
        <is>
          <t>https://drive.google.com/uc?export=view&amp;id=1kr98jna08RnRMWiTK7FeaFbbn4ZbF3zp</t>
        </is>
      </c>
      <c r="AA89" s="1" t="inlineStr">
        <is>
          <t>Verified</t>
        </is>
      </c>
      <c r="AB89" s="1" t="inlineStr">
        <is>
          <t>Collaborations between EdTech organisations, Public-private partnerships</t>
        </is>
      </c>
      <c r="AC89" s="1" t="inlineStr">
        <is>
          <t>For-profit company</t>
        </is>
      </c>
      <c r="AD89" s="10" t="b">
        <v>1</v>
      </c>
      <c r="AE89" s="1" t="b">
        <v>1</v>
      </c>
      <c r="AF89" s="1" t="inlineStr">
        <is>
          <t>Yes</t>
        </is>
      </c>
      <c r="AG89" s="1" t="inlineStr">
        <is>
          <t>https://www.instagram.com/levelupacademynl/</t>
        </is>
      </c>
      <c r="AH89" s="1" t="inlineStr">
        <is>
          <t>https://www.linkedin.com/company/level-up-academy-language-school/</t>
        </is>
      </c>
      <c r="AI89" s="1" t="inlineStr">
        <is>
          <t>https://www.linkedin.com/company/level-up-academy-language-school/</t>
        </is>
      </c>
      <c r="AJ89" s="1" t="n"/>
    </row>
    <row r="90" ht="12.5" customHeight="1">
      <c r="A90" s="6" t="n">
        <v>45882</v>
      </c>
      <c r="B90" s="1" t="inlineStr">
        <is>
          <t>ORG_2627</t>
        </is>
      </c>
      <c r="C90" s="1" t="b">
        <v>1</v>
      </c>
      <c r="D90" s="1" t="inlineStr">
        <is>
          <t>ATERMON BV</t>
        </is>
      </c>
      <c r="E90" s="10" t="inlineStr">
        <is>
          <t>https://www.atermon.nl</t>
        </is>
      </c>
      <c r="F90" t="inlineStr">
        <is>
          <t>atermon.nl</t>
        </is>
      </c>
      <c r="G90" s="1" t="inlineStr">
        <is>
          <t>Educational gaming</t>
        </is>
      </c>
      <c r="H90" s="1" t="inlineStr">
        <is>
          <t>I'm not part of any EdTech association</t>
        </is>
      </c>
      <c r="I90" s="1" t="inlineStr">
        <is>
          <t>English</t>
        </is>
      </c>
      <c r="J90" s="1" t="inlineStr">
        <is>
          <t>Rotterdam</t>
        </is>
      </c>
      <c r="K90" t="inlineStr">
        <is>
          <t>Rotterdam</t>
        </is>
      </c>
      <c r="L90" t="inlineStr">
        <is>
          <t>Rotterdam, The Netherlands</t>
        </is>
      </c>
      <c r="M90" t="n">
        <v>51.9563359</v>
      </c>
      <c r="N90" t="n">
        <v>4.4397319</v>
      </c>
      <c r="O90" s="1" t="inlineStr">
        <is>
          <t>The Netherlands</t>
        </is>
      </c>
      <c r="P90" s="1" t="inlineStr">
        <is>
          <t>Greece, Republic of Cyprus, United Kingdom, Poland</t>
        </is>
      </c>
      <c r="Q90" s="1" t="inlineStr">
        <is>
          <t>Micro (1-9 FTE employees)</t>
        </is>
      </c>
      <c r="R90" t="inlineStr">
        <is>
          <t>Micro</t>
        </is>
      </c>
      <c r="S90" s="1" t="inlineStr">
        <is>
          <t>Business to Business, Business to Consumer, Business to Government, Business to Schools</t>
        </is>
      </c>
      <c r="T90" s="1" t="inlineStr">
        <is>
          <t>Primary Education, Secondary Education, Vocational Education and Training (VET), Higher Education, Corporate Training, Lifelong learning/Adult education, Special Education, Other</t>
        </is>
      </c>
      <c r="U90" s="1" t="inlineStr">
        <is>
          <t>Other</t>
        </is>
      </c>
      <c r="V90" s="1" t="inlineStr">
        <is>
          <t>City of Gridlock</t>
        </is>
      </c>
      <c r="W90" s="1" t="inlineStr">
        <is>
          <t>Parkour game</t>
        </is>
      </c>
      <c r="X90" s="10" t="inlineStr">
        <is>
          <t>Around the city</t>
        </is>
      </c>
      <c r="Y90" t="inlineStr">
        <is>
          <t>English Language Teaching game</t>
        </is>
      </c>
      <c r="Z90" s="1" t="inlineStr">
        <is>
          <t>https://drive.google.com/uc?export=view&amp;id=1LvFjqm729253h5uH_CEIoD_nZh9I_U66</t>
        </is>
      </c>
      <c r="AA90" s="1" t="inlineStr">
        <is>
          <t>Verified</t>
        </is>
      </c>
      <c r="AB90" s="1" t="inlineStr">
        <is>
          <t>Collaborations between EdTech organisations, Project consortium building, Industry-academia partnerships, Public-private partnerships</t>
        </is>
      </c>
      <c r="AC90" s="1" t="inlineStr">
        <is>
          <t>For-profit company</t>
        </is>
      </c>
      <c r="AD90" s="10" t="b">
        <v>0</v>
      </c>
      <c r="AE90" s="1" t="b">
        <v>1</v>
      </c>
      <c r="AF90" s="1" t="inlineStr">
        <is>
          <t>Yes</t>
        </is>
      </c>
      <c r="AG90" s="1" t="inlineStr">
        <is>
          <t>https://www.linkedin.com/company/atermon-rotterdam</t>
        </is>
      </c>
      <c r="AH90" s="1" t="inlineStr">
        <is>
          <t>https://www.linkedin.com/company/atermon-rotterdam</t>
        </is>
      </c>
      <c r="AI90" s="1" t="inlineStr">
        <is>
          <t>https://www.linkedin.com/company/atermon-rotterdam</t>
        </is>
      </c>
      <c r="AJ90" s="10" t="inlineStr">
        <is>
          <t>https://www.instagram.com/atermonnl?igsh=Y2JleXpxcmNrYWN5</t>
        </is>
      </c>
    </row>
    <row r="91" ht="12.5" customHeight="1">
      <c r="A91" s="6" t="n">
        <v>45882</v>
      </c>
      <c r="B91" s="1" t="inlineStr">
        <is>
          <t>ORG_2626</t>
        </is>
      </c>
      <c r="C91" s="1" t="b">
        <v>1</v>
      </c>
      <c r="D91" s="1" t="inlineStr">
        <is>
          <t>DATA SWEEP</t>
        </is>
      </c>
      <c r="E91" s="10" t="inlineStr">
        <is>
          <t>https://datasweep.app/</t>
        </is>
      </c>
      <c r="F91" t="inlineStr">
        <is>
          <t>datasweep.app</t>
        </is>
      </c>
      <c r="G91" s="1" t="inlineStr">
        <is>
          <t>DATA SWEEP helps researchers, professors, PhD students, and students cut data-gathering time from 80% to just 1% by providing lightning-fast access to over 3.1 million indicators and advanced search across 214 million scientific papers, authored by more than 79 million researchers with a combined 2.49 billion citations.</t>
        </is>
      </c>
      <c r="H91" s="1" t="inlineStr">
        <is>
          <t>I'm not part of any EdTech association</t>
        </is>
      </c>
      <c r="I91" s="1" t="inlineStr">
        <is>
          <t>English</t>
        </is>
      </c>
      <c r="J91" s="1" t="inlineStr">
        <is>
          <t>Bucharest</t>
        </is>
      </c>
      <c r="K91" t="inlineStr">
        <is>
          <t>Bucharest</t>
        </is>
      </c>
      <c r="L91" t="inlineStr">
        <is>
          <t>Bucharest, Romania</t>
        </is>
      </c>
      <c r="M91" t="n">
        <v>44.4361414</v>
      </c>
      <c r="N91" t="n">
        <v>26.102684</v>
      </c>
      <c r="O91" s="1" t="inlineStr">
        <is>
          <t>Romania</t>
        </is>
      </c>
      <c r="P91" s="1" t="inlineStr">
        <is>
          <t>Germany, Ireland, Romania, Switzerland, Turkey, Spain, United Kingdom, Malta, Greece, Austria</t>
        </is>
      </c>
      <c r="Q91" s="1" t="inlineStr">
        <is>
          <t>Micro (1-9 FTE employees)</t>
        </is>
      </c>
      <c r="R91" t="inlineStr">
        <is>
          <t>Micro</t>
        </is>
      </c>
      <c r="S91" s="1" t="inlineStr">
        <is>
          <t>Business to Schools, Business to Consumer, Business to Business</t>
        </is>
      </c>
      <c r="T91" s="1" t="inlineStr">
        <is>
          <t>Higher Education, Corporate Training</t>
        </is>
      </c>
      <c r="U91" s="1" t="inlineStr">
        <is>
          <t>Other</t>
        </is>
      </c>
      <c r="V91" s="10" t="inlineStr">
        <is>
          <t>DATA SWEEP - quantitative indicators</t>
        </is>
      </c>
      <c r="W91" t="inlineStr">
        <is>
          <t>DATA SWEEP gives you instant access to 3.1 million reliable indicators, cutting data-collection time from months to minutes so you can focus on analysis, not searching.</t>
        </is>
      </c>
      <c r="X91" s="10" t="inlineStr">
        <is>
          <t>DATA SWEEP - scientific papers</t>
        </is>
      </c>
      <c r="Y91" t="inlineStr">
        <is>
          <t>DATA SWEEP lets you search through 214 million scientific papers from 79 million authors with 2.49 billion citations, all in seconds.</t>
        </is>
      </c>
      <c r="Z91" s="1" t="inlineStr">
        <is>
          <t>https://drive.google.com/uc?export=view&amp;id=1BAr6DR9Ungz7HdK6w-J6xDDjWSVoxTlI</t>
        </is>
      </c>
      <c r="AA91" s="1" t="inlineStr">
        <is>
          <t>Verified</t>
        </is>
      </c>
      <c r="AB91" s="1" t="inlineStr">
        <is>
          <t>Collaborations between EdTech organisations, Project consortium building, Public-private partnerships, Industry-academia partnerships, Other</t>
        </is>
      </c>
      <c r="AC91" s="1" t="inlineStr">
        <is>
          <t>For-profit company</t>
        </is>
      </c>
      <c r="AD91" s="10" t="b">
        <v>1</v>
      </c>
      <c r="AE91" s="1" t="b">
        <v>1</v>
      </c>
      <c r="AF91" s="1" t="inlineStr">
        <is>
          <t>Yes</t>
        </is>
      </c>
      <c r="AG91" s="1" t="inlineStr">
        <is>
          <t>https://www.instagram.com/datasweep.app/</t>
        </is>
      </c>
      <c r="AH91" s="1" t="inlineStr">
        <is>
          <t>https://www.linkedin.com/company/data-sweep/</t>
        </is>
      </c>
      <c r="AI91" s="1" t="inlineStr">
        <is>
          <t>https://www.linkedin.com/company/data-sweep/</t>
        </is>
      </c>
      <c r="AJ91" s="10" t="inlineStr">
        <is>
          <t>https://www.facebook.com/profile.php?id=61558460196916</t>
        </is>
      </c>
    </row>
    <row r="92" ht="12.5" customHeight="1">
      <c r="A92" s="6" t="n">
        <v>45880</v>
      </c>
      <c r="B92" s="1" t="inlineStr">
        <is>
          <t>ORG_2625</t>
        </is>
      </c>
      <c r="C92" s="1" t="b">
        <v>1</v>
      </c>
      <c r="D92" s="1" t="inlineStr">
        <is>
          <t>QURECA</t>
        </is>
      </c>
      <c r="E92" s="10" t="inlineStr">
        <is>
          <t>www.qureca.com</t>
        </is>
      </c>
      <c r="F92" t="inlineStr">
        <is>
          <t>qureca.com</t>
        </is>
      </c>
      <c r="G92" s="1" t="inlineStr">
        <is>
          <t>QURECA is the leading company specialising in quantum technology education and workforce development. We offer:   - Online training courses and skills development programs focused on quantum technologies, aiming to address the global shortage of quantum talent. - A dedicated recruitment and resourcing platform to connect quantum experts with businesses and institutions seeking quantum skills. - Professional services, including business development, strategic consulting, and support for startups and established companies integrating quantum technologies. - Business support in integrating quantum technology primarily through tailored business consulting and strategic development services. We help companies understand how quantum technologies can benefit their operations and assist in developing a customised quantum strategy aligned with their business goals.   QURECA’s mission is to bridge gaps in the quantum community, helping individuals and organisations become part of the quantum revolution by providing the necessary resources, education, and connections.</t>
        </is>
      </c>
      <c r="H92" s="1" t="inlineStr">
        <is>
          <t>I'm not part of any EdTech association</t>
        </is>
      </c>
      <c r="I92" s="1" t="inlineStr">
        <is>
          <t>English, Spanish, French</t>
        </is>
      </c>
      <c r="J92" s="1" t="inlineStr">
        <is>
          <t>Glasgow</t>
        </is>
      </c>
      <c r="K92" t="inlineStr">
        <is>
          <t>Glasgow</t>
        </is>
      </c>
      <c r="L92" t="inlineStr">
        <is>
          <t>Glasgow, United Kingdom</t>
        </is>
      </c>
      <c r="M92" t="n">
        <v>55.861155</v>
      </c>
      <c r="N92" t="n">
        <v>-4.2501687</v>
      </c>
      <c r="O92" s="1" t="inlineStr">
        <is>
          <t>United Kingdom</t>
        </is>
      </c>
      <c r="P92" s="1" t="inlineStr">
        <is>
          <t>Albania, Andorra, Austria, Belarus, Belgium, Bosnia and Herzegovina, Bulgaria, Croatia, Republic of Cyprus, Czechia, Denmark, Estonia, Finland, France, Germany, Greece, Hungary, Iceland, Ireland, Italy, Kosovo, Latvia, Luxembourg, Monaco, North Macedonia, Portugal, Slovakia, Sweden, Ukraine, United Kingdom, Switzerland, Slovenia, Romania, Norway, Montenegro, Malta, Liechtenstein, Lithuania, Moldova, Netherlands, Poland, San Marino, Spain, Turkey, all the world</t>
        </is>
      </c>
      <c r="Q92" s="1" t="inlineStr">
        <is>
          <t>Micro (1-9 FTE employees)</t>
        </is>
      </c>
      <c r="R92" t="inlineStr">
        <is>
          <t>Micro</t>
        </is>
      </c>
      <c r="S92" s="1" t="inlineStr">
        <is>
          <t>Business to Business, Business to Consumer, Business to Government, Business to Schools</t>
        </is>
      </c>
      <c r="T92" s="1" t="inlineStr">
        <is>
          <t>Secondary Education, Vocational Education and Training (VET), Higher Education, Corporate Training, Lifelong learning/Adult education, Primary Education</t>
        </is>
      </c>
      <c r="U92" s="1" t="inlineStr">
        <is>
          <t>Student interfacing</t>
        </is>
      </c>
      <c r="V92" s="1" t="inlineStr">
        <is>
          <t>Online Training Courses</t>
        </is>
      </c>
      <c r="W92" t="inlineStr">
        <is>
          <t>Join QURECA’s Quantum Learning Platform for top-rated content in quantum technologies and practical applications, from beginner to advanced level. Learn from industry experts and leading universities. Start your quantum journey today !</t>
        </is>
      </c>
      <c r="X92" s="10" t="inlineStr">
        <is>
          <t>Business Consulting</t>
        </is>
      </c>
      <c r="Y92" t="inlineStr">
        <is>
          <t>From business development for start-ups to strategic decision-making with business intelligence, we offer expert guidance to help your organisation thrive with quantum technologies. Redefine your business strategy, identify opportunities early, and stay ahead of the curve for sustained growth.</t>
        </is>
      </c>
      <c r="Z92" s="1" t="inlineStr">
        <is>
          <t>https://drive.google.com/uc?export=view&amp;id=1lFcWRjooXNT56pmDxkhqE41BlbNbPoML</t>
        </is>
      </c>
      <c r="AA92" s="1" t="inlineStr">
        <is>
          <t>Verified</t>
        </is>
      </c>
      <c r="AB92" s="1" t="inlineStr">
        <is>
          <t>Collaborations between EdTech organisations, Project consortium building, Public-private partnerships, Industry-academia partnerships</t>
        </is>
      </c>
      <c r="AC92" s="1" t="inlineStr">
        <is>
          <t>For-profit company</t>
        </is>
      </c>
      <c r="AD92" s="10" t="b">
        <v>1</v>
      </c>
      <c r="AE92" s="1" t="b">
        <v>1</v>
      </c>
      <c r="AF92" s="1" t="inlineStr">
        <is>
          <t>Yes</t>
        </is>
      </c>
      <c r="AG92" s="1" t="inlineStr">
        <is>
          <t>https://www.linkedin.com/company/qureca/</t>
        </is>
      </c>
      <c r="AH92" s="1" t="inlineStr">
        <is>
          <t>https://www.linkedin.com/company/qureca/</t>
        </is>
      </c>
      <c r="AI92" s="1" t="inlineStr">
        <is>
          <t>https://www.linkedin.com/company/qureca/</t>
        </is>
      </c>
      <c r="AJ92" s="1" t="n"/>
    </row>
    <row r="93" ht="12.5" customHeight="1">
      <c r="A93" s="6" t="n">
        <v>45880</v>
      </c>
      <c r="B93" s="1" t="inlineStr">
        <is>
          <t>ORG_2237</t>
        </is>
      </c>
      <c r="C93" s="1" t="b">
        <v>1</v>
      </c>
      <c r="D93" s="1" t="inlineStr">
        <is>
          <t>SignLab</t>
        </is>
      </c>
      <c r="E93" s="10" t="inlineStr">
        <is>
          <t>Signlab.co</t>
        </is>
      </c>
      <c r="F93" t="inlineStr">
        <is>
          <t>signlab.co</t>
        </is>
      </c>
      <c r="G93" s="1" t="inlineStr">
        <is>
          <t>We make learning sign language more available, affordable and effective worldwide</t>
        </is>
      </c>
      <c r="H93" s="1" t="inlineStr">
        <is>
          <t>I'm not part of any EdTech association</t>
        </is>
      </c>
      <c r="I93" s="1" t="inlineStr">
        <is>
          <t>French, English, Spanish, German, Italian, Ukrainian, Norwegian</t>
        </is>
      </c>
      <c r="J93" s="1" t="inlineStr">
        <is>
          <t>Oslo</t>
        </is>
      </c>
      <c r="K93" t="inlineStr">
        <is>
          <t>Oslo</t>
        </is>
      </c>
      <c r="L93" t="inlineStr">
        <is>
          <t>Oslo, Norway</t>
        </is>
      </c>
      <c r="M93" t="n">
        <v>59.9067935</v>
      </c>
      <c r="N93" t="n">
        <v>10.7610162</v>
      </c>
      <c r="O93" s="1" t="inlineStr">
        <is>
          <t>Norway</t>
        </is>
      </c>
      <c r="P93" s="1" t="inlineStr">
        <is>
          <t>Germany, France, Italy, Norway, United Kingdom, Ukraine</t>
        </is>
      </c>
      <c r="Q93" s="1" t="inlineStr">
        <is>
          <t>Small (10-49 FTE employees)</t>
        </is>
      </c>
      <c r="R93" t="inlineStr">
        <is>
          <t>Small</t>
        </is>
      </c>
      <c r="S93" s="1" t="inlineStr">
        <is>
          <t>Business to Consumer, Business to Business, Business to Government, Business to Schools</t>
        </is>
      </c>
      <c r="T93" s="1" t="inlineStr">
        <is>
          <t>Lifelong learning/Adult education, Special Education, Primary Education, Early childhood development (0-5 years), Secondary Education, Higher Education, Corporate Training</t>
        </is>
      </c>
      <c r="U93" s="1" t="inlineStr">
        <is>
          <t>Student interfacing, Teacher interfacing</t>
        </is>
      </c>
      <c r="V93" s="1" t="inlineStr">
        <is>
          <t>ASL Bloom</t>
        </is>
      </c>
      <c r="W93" s="1" t="inlineStr">
        <is>
          <t>Sign language app for American Sign Language</t>
        </is>
      </c>
      <c r="X93" s="1" t="inlineStr">
        <is>
          <t>Bright BSL</t>
        </is>
      </c>
      <c r="Y93" t="inlineStr">
        <is>
          <t>Sign language app for British Sign Language</t>
        </is>
      </c>
      <c r="Z93" s="1" t="inlineStr">
        <is>
          <t>https://drive.google.com/uc?export=view&amp;id=1saUjsf9BF5NlKnKdaZChRoEMtsDZOYDD</t>
        </is>
      </c>
      <c r="AA93" s="1" t="inlineStr">
        <is>
          <t>Verified</t>
        </is>
      </c>
      <c r="AB93" s="1" t="inlineStr">
        <is>
          <t>Collaborations between EdTech organisations, Project consortium building, Public-private partnerships, Industry-academia partnerships</t>
        </is>
      </c>
      <c r="AC93" s="1" t="inlineStr">
        <is>
          <t>For-profit company</t>
        </is>
      </c>
      <c r="AD93" s="10" t="b">
        <v>1</v>
      </c>
      <c r="AE93" s="1" t="b">
        <v>1</v>
      </c>
      <c r="AF93" s="1" t="inlineStr">
        <is>
          <t>No</t>
        </is>
      </c>
      <c r="AG93" s="1" t="n"/>
      <c r="AH93" s="1" t="n"/>
      <c r="AI93" s="1" t="n"/>
      <c r="AJ93" s="1" t="n"/>
    </row>
    <row r="94" ht="12.5" customHeight="1">
      <c r="A94" s="6" t="n">
        <v>45877</v>
      </c>
      <c r="B94" s="1" t="inlineStr">
        <is>
          <t>ORG_2624</t>
        </is>
      </c>
      <c r="C94" s="1" t="b">
        <v>1</v>
      </c>
      <c r="D94" s="1" t="inlineStr">
        <is>
          <t>Miranda Mobile Learning OG</t>
        </is>
      </c>
      <c r="E94" s="1" t="inlineStr">
        <is>
          <t>miranda.works</t>
        </is>
      </c>
      <c r="F94" t="inlineStr">
        <is>
          <t>miranda.works</t>
        </is>
      </c>
      <c r="G94" s="1" t="inlineStr">
        <is>
          <t>Miranda is a math learning app that brings personal tutoring to your smartphone. With its innovative “Floating Tutor,” it delivers math content in a personalized, interactive, and engaging way. Our goal: to provide high-quality, affordable, digital one-on-one tutoring for everyone – regardless of income. Already over 25,000 users in Austria are learning with Miranda.</t>
        </is>
      </c>
      <c r="H94" s="1" t="inlineStr">
        <is>
          <t>EdTech Austria</t>
        </is>
      </c>
      <c r="I94" s="1" t="inlineStr">
        <is>
          <t>German</t>
        </is>
      </c>
      <c r="J94" s="1" t="inlineStr">
        <is>
          <t>Manning</t>
        </is>
      </c>
      <c r="K94" t="inlineStr">
        <is>
          <t>Manning</t>
        </is>
      </c>
      <c r="L94" t="inlineStr">
        <is>
          <t>Manning, Austria</t>
        </is>
      </c>
      <c r="M94" t="n">
        <v>48.0712688</v>
      </c>
      <c r="N94" t="n">
        <v>13.6628459</v>
      </c>
      <c r="O94" s="1" t="inlineStr">
        <is>
          <t>Austria</t>
        </is>
      </c>
      <c r="P94" s="1" t="inlineStr">
        <is>
          <t>Austria</t>
        </is>
      </c>
      <c r="Q94" s="1" t="inlineStr">
        <is>
          <t>Micro (1-9 FTE employees)</t>
        </is>
      </c>
      <c r="R94" t="inlineStr">
        <is>
          <t>Micro</t>
        </is>
      </c>
      <c r="S94" s="1" t="inlineStr">
        <is>
          <t>Business to Consumer</t>
        </is>
      </c>
      <c r="T94" s="1" t="inlineStr">
        <is>
          <t>Secondary Education</t>
        </is>
      </c>
      <c r="U94" s="1" t="inlineStr">
        <is>
          <t>Student interfacing, Other</t>
        </is>
      </c>
      <c r="V94" s="10" t="inlineStr">
        <is>
          <t>Upper Secondary Course (AHS &amp; BHS)</t>
        </is>
      </c>
      <c r="W94" t="inlineStr">
        <is>
          <t>An interactive course with theory and self-practice exercises, including all official final exams (Matura).</t>
        </is>
      </c>
      <c r="X94" s="10" t="inlineStr">
        <is>
          <t>Lower Secondary Parent Course</t>
        </is>
      </c>
      <c r="Y94" t="inlineStr">
        <is>
          <t>A theory-based course with exercises that are fully explained and solved step-by-step.</t>
        </is>
      </c>
      <c r="Z94" s="1" t="inlineStr">
        <is>
          <t>https://drive.google.com/uc?export=view&amp;id=1irRSo7kC1lBOb-U5tQyrK-pSeR9Zq1EV</t>
        </is>
      </c>
      <c r="AA94" s="1" t="inlineStr">
        <is>
          <t>Verified</t>
        </is>
      </c>
      <c r="AB94" s="1" t="inlineStr">
        <is>
          <t>Collaborations between EdTech organisations, Public-private partnerships, Other</t>
        </is>
      </c>
      <c r="AC94" s="1" t="inlineStr">
        <is>
          <t>For-profit company</t>
        </is>
      </c>
      <c r="AD94" s="10" t="b">
        <v>0</v>
      </c>
      <c r="AE94" s="1" t="b">
        <v>1</v>
      </c>
      <c r="AF94" s="1" t="inlineStr">
        <is>
          <t>Yes</t>
        </is>
      </c>
      <c r="AG94" s="1" t="inlineStr">
        <is>
          <t>https://www.instagram.com/miranda.works/</t>
        </is>
      </c>
      <c r="AH94" s="1" t="inlineStr">
        <is>
          <t>https://www.linkedin.com/company/miranda-42/</t>
        </is>
      </c>
      <c r="AI94" s="1" t="inlineStr">
        <is>
          <t>https://www.linkedin.com/company/miranda-42/</t>
        </is>
      </c>
      <c r="AJ94" s="10" t="inlineStr">
        <is>
          <t>https://www.facebook.com/profile.php?id=100077751545307</t>
        </is>
      </c>
    </row>
    <row r="95" ht="12.5" customHeight="1">
      <c r="A95" s="6" t="n">
        <v>45877</v>
      </c>
      <c r="B95" s="1" t="inlineStr">
        <is>
          <t>ORG_2623</t>
        </is>
      </c>
      <c r="C95" s="1" t="b">
        <v>1</v>
      </c>
      <c r="D95" s="1" t="inlineStr">
        <is>
          <t>DigiEd d.o.o.</t>
        </is>
      </c>
      <c r="E95" s="10" t="inlineStr">
        <is>
          <t>www.digied.si</t>
        </is>
      </c>
      <c r="F95" t="inlineStr">
        <is>
          <t>digied.si</t>
        </is>
      </c>
      <c r="G95" s="1" t="inlineStr">
        <is>
          <t>A Digital Agency Focused On E-learning, Technology And People.</t>
        </is>
      </c>
      <c r="H95" s="1" t="inlineStr">
        <is>
          <t>EdTech Slovenia</t>
        </is>
      </c>
      <c r="I95" s="1" t="inlineStr">
        <is>
          <t>English, German, Slovenian, Croatian</t>
        </is>
      </c>
      <c r="J95" s="1" t="inlineStr">
        <is>
          <t>Ljubljana</t>
        </is>
      </c>
      <c r="K95" t="inlineStr">
        <is>
          <t>Ljubljana</t>
        </is>
      </c>
      <c r="L95" t="inlineStr">
        <is>
          <t>Ljubljana, Slovenia</t>
        </is>
      </c>
      <c r="M95" t="n">
        <v>46.0500268</v>
      </c>
      <c r="N95" t="n">
        <v>14.5069289</v>
      </c>
      <c r="O95" s="1" t="inlineStr">
        <is>
          <t>Slovenia</t>
        </is>
      </c>
      <c r="P95" s="1" t="inlineStr">
        <is>
          <t>Slovenia, Germany, Croatia, Serbia</t>
        </is>
      </c>
      <c r="Q95" s="1" t="inlineStr">
        <is>
          <t>Micro (1-9 FTE employees)</t>
        </is>
      </c>
      <c r="R95" t="inlineStr">
        <is>
          <t>Micro</t>
        </is>
      </c>
      <c r="S95" s="1" t="inlineStr">
        <is>
          <t>Business to Business, Business to Government</t>
        </is>
      </c>
      <c r="T95" s="1" t="inlineStr">
        <is>
          <t>Early childhood development (0-5 years), Primary Education, Secondary Education, Vocational Education and Training (VET), Corporate Training</t>
        </is>
      </c>
      <c r="U95" s="1" t="inlineStr">
        <is>
          <t>Teacher interfacing, Student interfacing</t>
        </is>
      </c>
      <c r="V95" s="1" t="inlineStr">
        <is>
          <t>Quest</t>
        </is>
      </c>
      <c r="W95" s="1" t="inlineStr">
        <is>
          <t>Quest is an outdoor adventure platform, serving as a mobile guide for independent outdoor learning. Embark on numerous educational paths with challenges, interesting tasks, and if you complete enough, you receive a reward at the end!</t>
        </is>
      </c>
      <c r="X95" s="10" t="inlineStr">
        <is>
          <t>E-learning production services</t>
        </is>
      </c>
      <c r="Y95" t="inlineStr">
        <is>
          <t>We offer production services for digital education learning materials. Our products meet the changed needs and habits of students and teachers of the 21st century, and introduces the advantages of modern technologies and new didactic approaches to their classrooms.</t>
        </is>
      </c>
      <c r="Z95" s="1" t="inlineStr">
        <is>
          <t>https://drive.google.com/uc?export=view&amp;id=1zVKysMN-1eSsw_H-0iWumVhljG7W6UeZ</t>
        </is>
      </c>
      <c r="AA95" s="1" t="inlineStr">
        <is>
          <t>Verified</t>
        </is>
      </c>
      <c r="AB95" s="1" t="inlineStr">
        <is>
          <t>Project consortium building, Public-private partnerships, Collaborations between EdTech organisations</t>
        </is>
      </c>
      <c r="AC95" s="1" t="inlineStr">
        <is>
          <t>For-profit company</t>
        </is>
      </c>
      <c r="AD95" s="10" t="b">
        <v>1</v>
      </c>
      <c r="AE95" s="1" t="b">
        <v>1</v>
      </c>
      <c r="AF95" s="1" t="inlineStr">
        <is>
          <t>Yes</t>
        </is>
      </c>
      <c r="AG95" s="1" t="inlineStr">
        <is>
          <t>https://www.linkedin.com/company/digied-keep-learning/</t>
        </is>
      </c>
      <c r="AH95" s="1" t="inlineStr">
        <is>
          <t>https://www.linkedin.com/company/digied-keep-learning/</t>
        </is>
      </c>
      <c r="AI95" s="1" t="inlineStr">
        <is>
          <t>https://www.linkedin.com/company/digied-keep-learning/</t>
        </is>
      </c>
      <c r="AJ95" s="1" t="n"/>
    </row>
    <row r="96" ht="12.5" customHeight="1">
      <c r="A96" s="6" t="n">
        <v>45877</v>
      </c>
      <c r="B96" s="1" t="inlineStr">
        <is>
          <t>ORG_2622</t>
        </is>
      </c>
      <c r="C96" s="1" t="b">
        <v>1</v>
      </c>
      <c r="D96" s="1" t="inlineStr">
        <is>
          <t>inventorio</t>
        </is>
      </c>
      <c r="E96" s="10" t="inlineStr">
        <is>
          <t>https://inventorio.de/</t>
        </is>
      </c>
      <c r="F96" t="inlineStr">
        <is>
          <t>inventorio.de</t>
        </is>
      </c>
      <c r="G96" s="1" t="inlineStr">
        <is>
          <t>Inventorio is the first all-in-one solution for education institutes and public facilities that streamlines inventory management &amp; demand planning. inventorio is the backbone for managing all the objects in your school and community.</t>
        </is>
      </c>
      <c r="H96" s="1" t="inlineStr">
        <is>
          <t>EdTech-Verband e.V.</t>
        </is>
      </c>
      <c r="I96" s="1" t="inlineStr">
        <is>
          <t>German, English</t>
        </is>
      </c>
      <c r="J96" s="1" t="inlineStr">
        <is>
          <t>Ulm</t>
        </is>
      </c>
      <c r="K96" t="inlineStr">
        <is>
          <t>Ulm</t>
        </is>
      </c>
      <c r="L96" t="inlineStr">
        <is>
          <t>Ulm, Germany</t>
        </is>
      </c>
      <c r="M96" t="n">
        <v>48.3984968</v>
      </c>
      <c r="N96" t="n">
        <v>9.9912458</v>
      </c>
      <c r="O96" s="1" t="inlineStr">
        <is>
          <t>Germany</t>
        </is>
      </c>
      <c r="P96" s="1" t="inlineStr">
        <is>
          <t>Albania, Austria, Belgium, Croatia, Denmark, Estonia, Czechia, Finland, France, Germany, Greece, Ireland, Italy, Latvia, Lithuania, Luxembourg, Netherlands, Norway, Poland, Romania, Portugal, Slovakia, Slovenia, Spain, Switzerland, Sweden, Ukraine, United Kingdom</t>
        </is>
      </c>
      <c r="Q96" s="1" t="inlineStr">
        <is>
          <t>Small (10-49 FTE employees)</t>
        </is>
      </c>
      <c r="R96" t="inlineStr">
        <is>
          <t>Small</t>
        </is>
      </c>
      <c r="S96" s="1" t="inlineStr">
        <is>
          <t>Business to Government, Business to Schools</t>
        </is>
      </c>
      <c r="T96" s="1" t="inlineStr">
        <is>
          <t>Primary Education, Secondary Education, Higher Education</t>
        </is>
      </c>
      <c r="U96" s="1" t="inlineStr">
        <is>
          <t>Teacher interfacing, System/Administrative</t>
        </is>
      </c>
      <c r="V96" s="10" t="inlineStr">
        <is>
          <t>inventorio Asset-Management</t>
        </is>
      </c>
      <c r="W96" s="1" t="inlineStr">
        <is>
          <t>inventorio combines multiple platforms in one software: Inventory, Ticket System, Guides &amp; FAQs, Reports and Planning.</t>
        </is>
      </c>
      <c r="X96" s="10" t="inlineStr">
        <is>
          <t>https://drive.google.com/uc?export=view&amp;id=1s11TI5XrrZGgGXsOi_hrmRMiXUn4azmF</t>
        </is>
      </c>
      <c r="Y96" t="inlineStr">
        <is>
          <t>https://drive.google.com/uc?export=view&amp;id=1s11TI5XrrZGgGXsOi_hrmRMiXUn4azmF</t>
        </is>
      </c>
      <c r="Z96" s="1" t="inlineStr">
        <is>
          <t>https://drive.google.com/uc?export=view&amp;id=1s11TI5XrrZGgGXsOi_hrmRMiXUn4azmF</t>
        </is>
      </c>
      <c r="AA96" s="1" t="inlineStr">
        <is>
          <t>Verified</t>
        </is>
      </c>
      <c r="AB96" s="1" t="inlineStr">
        <is>
          <t>Public-private partnerships, Collaborations between EdTech organisations</t>
        </is>
      </c>
      <c r="AC96" s="1" t="inlineStr">
        <is>
          <t>For-profit company</t>
        </is>
      </c>
      <c r="AD96" s="10" t="b">
        <v>1</v>
      </c>
      <c r="AE96" s="1" t="b">
        <v>0</v>
      </c>
      <c r="AF96" s="1" t="inlineStr">
        <is>
          <t>Yes</t>
        </is>
      </c>
      <c r="AG96" s="1" t="inlineStr">
        <is>
          <t>https://www.instagram.com/inventorio_edu/</t>
        </is>
      </c>
      <c r="AH96" s="1" t="inlineStr">
        <is>
          <t>https://www.linkedin.com/company/inventorio/</t>
        </is>
      </c>
      <c r="AI96" s="1" t="inlineStr">
        <is>
          <t>https://www.linkedin.com/company/inventorio/</t>
        </is>
      </c>
      <c r="AJ96" s="1" t="n"/>
    </row>
    <row r="97" ht="12.5" customHeight="1">
      <c r="A97" s="6" t="n">
        <v>45876</v>
      </c>
      <c r="B97" s="1" t="inlineStr">
        <is>
          <t>ORG_2621</t>
        </is>
      </c>
      <c r="C97" s="1" t="b">
        <v>1</v>
      </c>
      <c r="D97" s="1" t="inlineStr">
        <is>
          <t>Magic EdTech</t>
        </is>
      </c>
      <c r="E97" s="10" t="inlineStr">
        <is>
          <t>https://www.magicedtech.com/</t>
        </is>
      </c>
      <c r="F97" t="inlineStr">
        <is>
          <t>magicedtech.com</t>
        </is>
      </c>
      <c r="G97" s="1" t="inlineStr">
        <is>
          <t>Magic began its journey in 1990, with the simple idea of leveraging digital technology to bring learning to life. Over the years, Magic has reimagined content and built digital learning platforms by leveraging different technologies to create an immersive learning experience that is accessible and affordable for everyone. Magic has a longstanding relationship with many educational publishers like Pearson, Macmillan, and Wiley. We retain these relationships by blending technology and content solutions to deliver effective and leading-edge digital learning products.</t>
        </is>
      </c>
      <c r="H97" s="1" t="inlineStr">
        <is>
          <t>I'm not part of any EdTech association</t>
        </is>
      </c>
      <c r="I97" s="1" t="inlineStr">
        <is>
          <t>English, French, Spanish, German, Italian, Urdu</t>
        </is>
      </c>
      <c r="J97" s="1" t="inlineStr">
        <is>
          <t>New York</t>
        </is>
      </c>
      <c r="K97" t="inlineStr">
        <is>
          <t>New York</t>
        </is>
      </c>
      <c r="L97" t="inlineStr">
        <is>
          <t>New York, United States</t>
        </is>
      </c>
      <c r="M97" t="n">
        <v>40.7127281</v>
      </c>
      <c r="N97" t="n">
        <v>-74.00601519999999</v>
      </c>
      <c r="O97" s="1" t="inlineStr">
        <is>
          <t>United States</t>
        </is>
      </c>
      <c r="P97" s="1" t="inlineStr">
        <is>
          <t>Ireland, United Kingdom, Spain, Portugal, Germany, France, Finland, Netherlands, Sweden</t>
        </is>
      </c>
      <c r="Q97" s="1" t="inlineStr">
        <is>
          <t>Medium (50-250 FTE employees)</t>
        </is>
      </c>
      <c r="R97" t="inlineStr">
        <is>
          <t>Medium</t>
        </is>
      </c>
      <c r="S97" s="1" t="inlineStr">
        <is>
          <t>Business to Business, Business to Government</t>
        </is>
      </c>
      <c r="T97" s="1" t="inlineStr">
        <is>
          <t>Higher Education, Vocational Education and Training (VET), Secondary Education, Primary Education, Early childhood development (0-5 years), Special Education</t>
        </is>
      </c>
      <c r="U97" s="1" t="inlineStr">
        <is>
          <t>Student interfacing, Teacher interfacing, System/Administrative, Other</t>
        </is>
      </c>
      <c r="V97" s="10" t="inlineStr">
        <is>
          <t>Custom EdTech Development Services</t>
        </is>
      </c>
      <c r="W97" s="1" t="inlineStr">
        <is>
          <t>Magic EdTech provides several services including: AI and Cloud for Learning, End-to-end Accessibility Solutions, Custom Platform Development and Transformation, and Immersive Modules - AR and more.</t>
        </is>
      </c>
      <c r="X97" s="10" t="inlineStr">
        <is>
          <t>MagicBox™ (Flagship Platform)</t>
        </is>
      </c>
      <c r="Y97" t="inlineStr">
        <is>
          <t>MagicBox™ is a digital learning platform for K12 and higher education that serves as a content distribution platform, easing continuous publishing of content to educational institutions across the world. It's an award-winning cloud-based mobile learning platform used by K-12, higher education etc.</t>
        </is>
      </c>
      <c r="Z97" s="1" t="inlineStr">
        <is>
          <t>https://drive.google.com/uc?export=view&amp;id=1sW632izew8MXPUp6d4LHYe4SU99fm8fY</t>
        </is>
      </c>
      <c r="AA97" s="1" t="inlineStr">
        <is>
          <t>Verified</t>
        </is>
      </c>
      <c r="AB97" s="1" t="inlineStr">
        <is>
          <t>Collaborations between EdTech organisations, Project consortium building, Public-private partnerships, Industry-academia partnerships, Other</t>
        </is>
      </c>
      <c r="AC97" s="1" t="inlineStr">
        <is>
          <t>For-profit company</t>
        </is>
      </c>
      <c r="AD97" s="10" t="b">
        <v>1</v>
      </c>
      <c r="AE97" s="1" t="b">
        <v>1</v>
      </c>
      <c r="AF97" s="1" t="inlineStr">
        <is>
          <t>Yes</t>
        </is>
      </c>
      <c r="AG97" s="1" t="inlineStr">
        <is>
          <t>https://www.instagram.com/magic_edtech/</t>
        </is>
      </c>
      <c r="AH97" s="1" t="inlineStr">
        <is>
          <t>https://www.linkedin.com/company/magic-edtech/posts/?feedView=all</t>
        </is>
      </c>
      <c r="AI97" s="1" t="inlineStr">
        <is>
          <t>https://www.linkedin.com/company/magic-edtech/posts/?feedView=all</t>
        </is>
      </c>
    </row>
    <row r="98" ht="12.5" customHeight="1">
      <c r="A98" s="6" t="n">
        <v>45876</v>
      </c>
      <c r="B98" s="1" t="inlineStr">
        <is>
          <t>ORG_2620</t>
        </is>
      </c>
      <c r="C98" s="1" t="b">
        <v>1</v>
      </c>
      <c r="D98" s="1" t="inlineStr">
        <is>
          <t>Learning Glass Europe B.V.</t>
        </is>
      </c>
      <c r="E98" s="10" t="inlineStr">
        <is>
          <t>www.learningglass.eu</t>
        </is>
      </c>
      <c r="F98" t="inlineStr">
        <is>
          <t>learningglass.eu</t>
        </is>
      </c>
      <c r="G98" s="1" t="inlineStr">
        <is>
          <t>Manufacturers of Lightboard technology used by educators for creating and delivering online learning content</t>
        </is>
      </c>
      <c r="H98" s="1" t="inlineStr">
        <is>
          <t>I'm not part of any EdTech association</t>
        </is>
      </c>
      <c r="I98" s="1" t="inlineStr">
        <is>
          <t>English, French, German, Italian, Spanish, Dutch</t>
        </is>
      </c>
      <c r="J98" s="1" t="inlineStr">
        <is>
          <t>Rotterdam</t>
        </is>
      </c>
      <c r="K98" t="inlineStr">
        <is>
          <t>Rotterdam</t>
        </is>
      </c>
      <c r="L98" t="inlineStr">
        <is>
          <t>Rotterdam, The Netherlands</t>
        </is>
      </c>
      <c r="M98" t="n">
        <v>51.9563359</v>
      </c>
      <c r="N98" t="n">
        <v>4.4397319</v>
      </c>
      <c r="O98" s="1" t="inlineStr">
        <is>
          <t>The Netherlands</t>
        </is>
      </c>
      <c r="P98" s="1" t="inlineStr">
        <is>
          <t>Austria, Belgium, Denmark, Germany, France, Finland, Iceland, Ireland, Italy, Lithuania, Luxembourg, Netherlands, Portugal, Norway, Spain, Sweden, Switzerland, United Kingdom</t>
        </is>
      </c>
      <c r="Q98" s="1" t="inlineStr">
        <is>
          <t>Small (10-49 FTE employees)</t>
        </is>
      </c>
      <c r="R98" t="inlineStr">
        <is>
          <t>Small</t>
        </is>
      </c>
      <c r="S98" s="1" t="inlineStr">
        <is>
          <t>Business to Business</t>
        </is>
      </c>
      <c r="T98" s="1" t="inlineStr">
        <is>
          <t>Corporate Training, Higher Education</t>
        </is>
      </c>
      <c r="U98" s="1" t="inlineStr">
        <is>
          <t>Student interfacing</t>
        </is>
      </c>
      <c r="V98" s="1" t="inlineStr">
        <is>
          <t>Lightboard</t>
        </is>
      </c>
      <c r="W98" s="1" t="inlineStr">
        <is>
          <t>A lightboard is a transparent board usually made from glass where the teacher or presenter writes on the surface with a neon pen while a camera is recording their content. The neon writing is illuminated using special LEDs around the board.</t>
        </is>
      </c>
      <c r="X98" s="10" t="inlineStr">
        <is>
          <t>Smart-Lightboard™</t>
        </is>
      </c>
      <c r="Y98" t="inlineStr">
        <is>
          <t>A Smart-Lightboard uses a new technology which integrates a digital ’layer’ over the glass transforming the surface into a large transparent touch screen.</t>
        </is>
      </c>
      <c r="Z98" s="1" t="inlineStr">
        <is>
          <t>https://drive.google.com/uc?export=view&amp;id=1EqHAkGuHBwTl0erMDeO6TQMYBfmUjTV5</t>
        </is>
      </c>
      <c r="AA98" s="1" t="inlineStr">
        <is>
          <t>Verified</t>
        </is>
      </c>
      <c r="AB98" s="1" t="inlineStr">
        <is>
          <t>Collaborations between EdTech organisations, Project consortium building, Public-private partnerships, Industry-academia partnerships</t>
        </is>
      </c>
      <c r="AC98" s="1" t="inlineStr">
        <is>
          <t>For-profit company</t>
        </is>
      </c>
      <c r="AD98" s="10" t="b">
        <v>1</v>
      </c>
      <c r="AE98" s="1" t="b">
        <v>0</v>
      </c>
      <c r="AF98" s="1" t="inlineStr">
        <is>
          <t>Yes</t>
        </is>
      </c>
      <c r="AG98" s="1" t="inlineStr">
        <is>
          <t>https://www.linkedin.com/company/learning-glass-europe/</t>
        </is>
      </c>
      <c r="AH98" s="1" t="inlineStr">
        <is>
          <t>https://www.linkedin.com/company/learning-glass-europe/</t>
        </is>
      </c>
      <c r="AI98" s="1" t="inlineStr">
        <is>
          <t>https://www.linkedin.com/company/learning-glass-europe/</t>
        </is>
      </c>
      <c r="AJ98" s="1" t="n"/>
    </row>
    <row r="99" ht="12.5" customHeight="1">
      <c r="A99" s="6" t="n">
        <v>45876</v>
      </c>
      <c r="B99" s="1" t="inlineStr">
        <is>
          <t>ORG_2619</t>
        </is>
      </c>
      <c r="C99" s="1" t="b">
        <v>1</v>
      </c>
      <c r="D99" s="1" t="inlineStr">
        <is>
          <t>Habitat Learn GroupLimited</t>
        </is>
      </c>
      <c r="E99" s="10" t="inlineStr">
        <is>
          <t>https://www.habitatlearn.com</t>
        </is>
      </c>
      <c r="F99" t="inlineStr">
        <is>
          <t>habitatlearn.com</t>
        </is>
      </c>
      <c r="G99" s="1" t="inlineStr">
        <is>
          <t>Habitat Learn has developed cross-platform App, Messenger Pigeon, which incorporates multi-modal AI to record lectures in Higher Education, create abstracts and transcripts, and enable the students to accessibly engage with their content in multiple ways</t>
        </is>
      </c>
      <c r="H99" s="1" t="inlineStr">
        <is>
          <t>I'm not part of any EdTech association</t>
        </is>
      </c>
      <c r="I99" s="1" t="inlineStr">
        <is>
          <t>English, French, Spanish</t>
        </is>
      </c>
      <c r="J99" s="1" t="inlineStr">
        <is>
          <t>Woking</t>
        </is>
      </c>
      <c r="K99" t="inlineStr">
        <is>
          <t>Woking</t>
        </is>
      </c>
      <c r="L99" t="inlineStr">
        <is>
          <t>Woking, United Kingdom</t>
        </is>
      </c>
      <c r="M99" t="n">
        <v>51.3201891</v>
      </c>
      <c r="N99" t="n">
        <v>-0.5564726</v>
      </c>
      <c r="O99" s="1" t="inlineStr">
        <is>
          <t>United Kingdom</t>
        </is>
      </c>
      <c r="P99" s="1" t="inlineStr">
        <is>
          <t>United Kingdom</t>
        </is>
      </c>
      <c r="Q99" s="1" t="inlineStr">
        <is>
          <t>Small (10-49 FTE employees)</t>
        </is>
      </c>
      <c r="R99" t="inlineStr">
        <is>
          <t>Small</t>
        </is>
      </c>
      <c r="S99" s="1" t="inlineStr">
        <is>
          <t>Business to Business, Business to Consumer</t>
        </is>
      </c>
      <c r="T99" s="1" t="inlineStr">
        <is>
          <t>Higher Education</t>
        </is>
      </c>
      <c r="U99" s="1" t="inlineStr">
        <is>
          <t>Student interfacing, Teacher interfacing, System/Administrative</t>
        </is>
      </c>
      <c r="V99" s="1" t="inlineStr">
        <is>
          <t>Messenger Pigeon</t>
        </is>
      </c>
      <c r="W99" s="1" t="inlineStr">
        <is>
          <t>Multi-modal AI study tutor, note taking and engagement tool</t>
        </is>
      </c>
      <c r="X99" s="10" t="inlineStr">
        <is>
          <t>UDL Classroom of the Future</t>
        </is>
      </c>
      <c r="Y99" t="inlineStr">
        <is>
          <t>Lecture recording, storage and engagement tool for all students in the class</t>
        </is>
      </c>
      <c r="Z99" s="1" t="inlineStr">
        <is>
          <t>https://drive.google.com/uc?export=view&amp;id=110FklqyoCXTSEZO2C_sdzWgMFhrzzAUo</t>
        </is>
      </c>
      <c r="AA99" s="1" t="inlineStr">
        <is>
          <t>Verified</t>
        </is>
      </c>
      <c r="AB99" s="1" t="inlineStr">
        <is>
          <t>Collaborations between EdTech organisations, Project consortium building, Industry-academia partnerships, Public-private partnerships</t>
        </is>
      </c>
      <c r="AC99" s="1" t="inlineStr">
        <is>
          <t>For-profit company</t>
        </is>
      </c>
      <c r="AD99" s="10" t="b">
        <v>1</v>
      </c>
      <c r="AE99" s="1" t="b">
        <v>1</v>
      </c>
      <c r="AF99" s="1" t="inlineStr">
        <is>
          <t>Yes</t>
        </is>
      </c>
      <c r="AG99" s="1" t="inlineStr">
        <is>
          <t>https://www.linkedin.com/in/habitatlearn/</t>
        </is>
      </c>
      <c r="AH99" s="1" t="inlineStr">
        <is>
          <t>https://www.linkedin.com/in/habitatlearn/</t>
        </is>
      </c>
      <c r="AI99" s="1" t="inlineStr">
        <is>
          <t>https://www.linkedin.com/in/habitatlearn/</t>
        </is>
      </c>
      <c r="AJ99" s="1" t="n"/>
    </row>
    <row r="100" ht="12.5" customHeight="1">
      <c r="A100" s="6" t="n">
        <v>45869</v>
      </c>
      <c r="B100" s="1" t="inlineStr">
        <is>
          <t>ORG_2452</t>
        </is>
      </c>
      <c r="C100" s="1" t="b">
        <v>1</v>
      </c>
      <c r="D100" s="1" t="inlineStr">
        <is>
          <t>ubiMaster</t>
        </is>
      </c>
      <c r="E100" s="10" t="inlineStr">
        <is>
          <t>https://www.ubimaster.com/de/</t>
        </is>
      </c>
      <c r="F100" t="inlineStr">
        <is>
          <t>ubimaster.com/de</t>
        </is>
      </c>
      <c r="G100" s="1" t="inlineStr">
        <is>
          <t>ubiMaster’s mission is to scale access to human knowledge. With its innovative business model the company serves already today 590.000+ beneficiaries and is the fastest growing EdTech in Germany. The company partners with all mid-cap/ large corporates and financial institutions offering them an emotional gateway to their employees/customers at low cost.</t>
        </is>
      </c>
      <c r="H100" s="1" t="inlineStr">
        <is>
          <t>I'm not part of any EdTech association</t>
        </is>
      </c>
      <c r="I100" s="1" t="inlineStr">
        <is>
          <t>Spanish, German</t>
        </is>
      </c>
      <c r="J100" s="1" t="inlineStr">
        <is>
          <t>Munich</t>
        </is>
      </c>
      <c r="K100" t="inlineStr">
        <is>
          <t>Munich</t>
        </is>
      </c>
      <c r="L100" t="inlineStr">
        <is>
          <t>Munich, Germany</t>
        </is>
      </c>
      <c r="M100" t="n">
        <v>48.1371079</v>
      </c>
      <c r="N100" t="n">
        <v>11.5753822</v>
      </c>
      <c r="O100" s="1" t="inlineStr">
        <is>
          <t>Germany</t>
        </is>
      </c>
      <c r="P100" s="1" t="inlineStr">
        <is>
          <t>Austria, Germany, Switzerland, Spain</t>
        </is>
      </c>
      <c r="Q100" s="1" t="inlineStr">
        <is>
          <t>Small (10-49 FTE employees)</t>
        </is>
      </c>
      <c r="R100" t="inlineStr">
        <is>
          <t>Small</t>
        </is>
      </c>
      <c r="S100" s="1" t="inlineStr">
        <is>
          <t>Business to Business</t>
        </is>
      </c>
      <c r="T100" s="1" t="inlineStr">
        <is>
          <t>Secondary Education</t>
        </is>
      </c>
      <c r="U100" s="1" t="inlineStr">
        <is>
          <t>Student interfacing</t>
        </is>
      </c>
      <c r="V100" s="1" t="inlineStr">
        <is>
          <t>ubiMaster SCHOOL</t>
        </is>
      </c>
      <c r="W100" s="1" t="inlineStr">
        <is>
          <t>ubiMaster SCHOOL is a digital platform that connects students and tutors at the touch of a button.</t>
        </is>
      </c>
      <c r="X100" s="10" t="inlineStr">
        <is>
          <t>ubiMaster FINANCE</t>
        </is>
      </c>
      <c r="Y100" t="inlineStr">
        <is>
          <t>ubiMaster FINANCE is a digital platform that connects young adults and financial experts at the touch of a button.</t>
        </is>
      </c>
      <c r="Z100" s="1" t="inlineStr">
        <is>
          <t>https://drive.google.com/uc?export=view&amp;id=1gEigOctT9xnQYJQKPPH1RKLtIPciV-Jx</t>
        </is>
      </c>
      <c r="AA100" s="1" t="inlineStr">
        <is>
          <t>Verified</t>
        </is>
      </c>
      <c r="AB100" s="1" t="inlineStr">
        <is>
          <t>Public-private partnerships, Collaborations between EdTech organisations</t>
        </is>
      </c>
      <c r="AC100" s="1" t="inlineStr">
        <is>
          <t>For-profit company</t>
        </is>
      </c>
      <c r="AD100" s="10" t="b">
        <v>0</v>
      </c>
      <c r="AE100" s="1" t="b">
        <v>0</v>
      </c>
      <c r="AF100" s="1" t="inlineStr">
        <is>
          <t>Yes</t>
        </is>
      </c>
      <c r="AG100" s="1" t="inlineStr">
        <is>
          <t>https://www.linkedin.com/company/30168127/</t>
        </is>
      </c>
      <c r="AH100" s="1" t="inlineStr">
        <is>
          <t>https://www.linkedin.com/company/30168127/</t>
        </is>
      </c>
      <c r="AI100" s="1" t="inlineStr">
        <is>
          <t>https://www.linkedin.com/company/30168127/</t>
        </is>
      </c>
      <c r="AJ100" s="10" t="inlineStr">
        <is>
          <t>https://www.facebook.com/ubiMasterNachhilfe/</t>
        </is>
      </c>
    </row>
    <row r="101" ht="12.5" customHeight="1">
      <c r="A101" s="6" t="n">
        <v>45866</v>
      </c>
      <c r="B101" s="1" t="inlineStr">
        <is>
          <t>ORG_1851</t>
        </is>
      </c>
      <c r="C101" s="1" t="b">
        <v>1</v>
      </c>
      <c r="D101" s="1" t="inlineStr">
        <is>
          <t>Lektor</t>
        </is>
      </c>
      <c r="E101" s="10" t="inlineStr">
        <is>
          <t>www.lektor.nl</t>
        </is>
      </c>
      <c r="F101" t="inlineStr">
        <is>
          <t>lektor.nl</t>
        </is>
      </c>
      <c r="G101" s="1" t="inlineStr">
        <is>
          <t>Lektor.nl is a Dutch digital platform designed to help secondary schools combat lesson cancellations ("lesuitval") by providing a centralized repository of high-quality video lessons. Teachers across the Netherlands can easily upload and categorize their own lesson videos—covering every subject, year level, and curriculum method—making them accessible to other educators and students nationwide. Through its collaborative approach, Lektor.nl empowers teachers to share content, support learning continuity, and contribute to reducing the impact of teacher shortages and class disruptions</t>
        </is>
      </c>
      <c r="H101" s="1" t="inlineStr">
        <is>
          <t>I'm not part of any EdTech association</t>
        </is>
      </c>
      <c r="I101" s="1" t="inlineStr">
        <is>
          <t>Dutch</t>
        </is>
      </c>
      <c r="J101" s="1" t="inlineStr">
        <is>
          <t>Abcoude</t>
        </is>
      </c>
      <c r="K101" t="inlineStr">
        <is>
          <t>Abcoude</t>
        </is>
      </c>
      <c r="L101" t="inlineStr">
        <is>
          <t>Abcoude, The Netherlands</t>
        </is>
      </c>
      <c r="M101" t="n">
        <v>52.0575512</v>
      </c>
      <c r="N101" t="n">
        <v>4.2718727</v>
      </c>
      <c r="O101" s="1" t="inlineStr">
        <is>
          <t>The Netherlands</t>
        </is>
      </c>
      <c r="P101" s="1" t="inlineStr">
        <is>
          <t>Netherlands</t>
        </is>
      </c>
      <c r="Q101" s="1" t="inlineStr">
        <is>
          <t>Micro (1-9 FTE employees)</t>
        </is>
      </c>
      <c r="R101" t="inlineStr">
        <is>
          <t>Micro</t>
        </is>
      </c>
      <c r="S101" s="1" t="inlineStr">
        <is>
          <t>Business to Consumer, Business to Schools</t>
        </is>
      </c>
      <c r="T101" s="1" t="inlineStr">
        <is>
          <t>Secondary Education</t>
        </is>
      </c>
      <c r="U101" s="1" t="inlineStr">
        <is>
          <t>Student interfacing, Teacher interfacing</t>
        </is>
      </c>
      <c r="V101" s="10" t="inlineStr">
        <is>
          <t>Lektor</t>
        </is>
      </c>
      <c r="W101" s="1" t="inlineStr">
        <is>
          <t>Platform with video lessons (all subjects/all classes) for secondary schools - to be used in the classroom</t>
        </is>
      </c>
      <c r="X101" s="10" t="inlineStr">
        <is>
          <t>My-Lektor</t>
        </is>
      </c>
      <c r="Y101" t="inlineStr">
        <is>
          <t>Platform with video lessons for students (to be used at home or at school)</t>
        </is>
      </c>
      <c r="Z101" s="1" t="inlineStr">
        <is>
          <t>https://drive.google.com/uc?export=view&amp;id=1Tu9XT6t2LD-hGaNGYfrG-7pqsZ2tBrFq</t>
        </is>
      </c>
      <c r="AA101" s="1" t="inlineStr">
        <is>
          <t>Verified</t>
        </is>
      </c>
      <c r="AB101" s="1" t="inlineStr">
        <is>
          <t>Collaborations between EdTech organisations, Project consortium building, Public-private partnerships, Other</t>
        </is>
      </c>
      <c r="AC101" s="1" t="inlineStr">
        <is>
          <t>For-profit company</t>
        </is>
      </c>
      <c r="AD101" s="10" t="b">
        <v>1</v>
      </c>
      <c r="AE101" s="1" t="b">
        <v>1</v>
      </c>
      <c r="AF101" s="1" t="inlineStr">
        <is>
          <t>Yes</t>
        </is>
      </c>
      <c r="AG101" s="1" t="inlineStr">
        <is>
          <t>https://www.instagram.com/lektor.nl/</t>
        </is>
      </c>
      <c r="AH101" s="1" t="inlineStr">
        <is>
          <t>https://www.linkedin.com/company/lektor-nl/</t>
        </is>
      </c>
      <c r="AI101" s="1" t="inlineStr">
        <is>
          <t>https://www.linkedin.com/company/lektor-nl/</t>
        </is>
      </c>
      <c r="AJ101" s="1" t="n"/>
    </row>
    <row r="102" ht="12.5" customHeight="1">
      <c r="A102" s="6" t="n">
        <v>45863</v>
      </c>
      <c r="B102" s="1" t="inlineStr">
        <is>
          <t>ORG_2618</t>
        </is>
      </c>
      <c r="C102" s="1" t="b">
        <v>1</v>
      </c>
      <c r="D102" s="1" t="inlineStr">
        <is>
          <t>DOHE Europe</t>
        </is>
      </c>
      <c r="E102" s="10" t="inlineStr">
        <is>
          <t>https://www.doheglobal.com</t>
        </is>
      </c>
      <c r="F102" t="inlineStr">
        <is>
          <t>doheglobal.com</t>
        </is>
      </c>
      <c r="G102" s="1" t="inlineStr">
        <is>
          <t>Our ambition is to accelerate 5,000 EdTech startups in the next 10 years. Our 24-week tailored program begins with an in-depth analysis of both the business and the founders' capabilities. This process identifies key objectives for each startup, which will be supported through weekly coaching and various resources throughout the acceleration period. We believe in collaboration, not competition as collective ideas and efforts create synergy. We are building a global EdTech ecosystem.</t>
        </is>
      </c>
      <c r="H102" s="1" t="inlineStr">
        <is>
          <t>DOHE</t>
        </is>
      </c>
      <c r="I102" s="1" t="inlineStr">
        <is>
          <t>English</t>
        </is>
      </c>
      <c r="J102" s="1" t="inlineStr">
        <is>
          <t>London</t>
        </is>
      </c>
      <c r="K102" t="inlineStr">
        <is>
          <t>London</t>
        </is>
      </c>
      <c r="L102" t="inlineStr">
        <is>
          <t>London, United Kingdom</t>
        </is>
      </c>
      <c r="M102" t="n">
        <v>51.5074456</v>
      </c>
      <c r="N102" t="n">
        <v>-0.1277653</v>
      </c>
      <c r="O102" s="1" t="inlineStr">
        <is>
          <t>United Kingdom</t>
        </is>
      </c>
      <c r="P102" s="1" t="inlineStr">
        <is>
          <t>Global</t>
        </is>
      </c>
      <c r="Q102" s="1" t="inlineStr">
        <is>
          <t>Small (10-49 FTE employees)</t>
        </is>
      </c>
      <c r="R102" t="inlineStr">
        <is>
          <t>Small</t>
        </is>
      </c>
      <c r="S102" s="1" t="inlineStr">
        <is>
          <t>Business to Business, Business to Consumer, Business to Government, Business to Schools</t>
        </is>
      </c>
      <c r="T102" s="1" t="inlineStr">
        <is>
          <t>Early childhood development (0-5 years), Primary Education, Secondary Education, Vocational Education and Training (VET), Higher Education, Corporate Training, Lifelong learning/Adult education, Special Education</t>
        </is>
      </c>
      <c r="U102" s="1" t="inlineStr">
        <is>
          <t>Student interfacing, Teacher interfacing, System/Administrative</t>
        </is>
      </c>
      <c r="V102" s="1" t="inlineStr">
        <is>
          <t>EdTech Acceleration programme</t>
        </is>
      </c>
      <c r="W102" s="1" t="inlineStr">
        <is>
          <t>Our 24-week tailored program begins with an in-depth analysis of both the business and the founders' capabilities. This process identifies key objectives for each startup, which will be supported through weekly coaching and various resources throughout the acceleration period.</t>
        </is>
      </c>
      <c r="X102" s="10" t="inlineStr">
        <is>
          <t>EdTech Together events</t>
        </is>
      </c>
      <c r="Y102" t="inlineStr">
        <is>
          <t>Monthly EdTech Together events (London, Seoul, Online)</t>
        </is>
      </c>
      <c r="Z102" s="1" t="inlineStr">
        <is>
          <t>https://drive.google.com/uc?export=view&amp;id=1s4AmWun650ghFYBfaw8jwFfPOSHI4WBf</t>
        </is>
      </c>
      <c r="AA102" s="1" t="inlineStr">
        <is>
          <t>Unverified</t>
        </is>
      </c>
      <c r="AB102" s="1" t="inlineStr">
        <is>
          <t>Project consortium building, Public-private partnerships, Industry-academia partnerships</t>
        </is>
      </c>
      <c r="AC102" s="1" t="inlineStr">
        <is>
          <t>Other</t>
        </is>
      </c>
      <c r="AD102" s="10" t="b">
        <v>1</v>
      </c>
      <c r="AE102" s="1" t="b">
        <v>1</v>
      </c>
      <c r="AF102" s="1" t="inlineStr">
        <is>
          <t>Yes</t>
        </is>
      </c>
      <c r="AG102" s="1" t="inlineStr">
        <is>
          <t>https://www.linkedin.com/company/dohe/?viewAsMember=true</t>
        </is>
      </c>
      <c r="AH102" s="1" t="inlineStr">
        <is>
          <t>https://www.linkedin.com/company/dohe/?viewAsMember=true</t>
        </is>
      </c>
      <c r="AI102" s="1" t="inlineStr">
        <is>
          <t>https://www.linkedin.com/company/dohe/?viewAsMember=true</t>
        </is>
      </c>
      <c r="AJ102" s="1" t="n"/>
    </row>
    <row r="103" ht="12.5" customHeight="1">
      <c r="A103" s="6" t="n">
        <v>45862</v>
      </c>
      <c r="B103" s="1" t="inlineStr">
        <is>
          <t>ORG_2617</t>
        </is>
      </c>
      <c r="C103" s="1" t="b">
        <v>1</v>
      </c>
      <c r="D103" s="1" t="inlineStr">
        <is>
          <t>GAMS  Platform</t>
        </is>
      </c>
      <c r="E103" s="10" t="inlineStr">
        <is>
          <t>gamsplatform.com</t>
        </is>
      </c>
      <c r="F103" t="inlineStr">
        <is>
          <t>gamsplatform.com</t>
        </is>
      </c>
      <c r="G103" s="1" t="inlineStr">
        <is>
          <t>Want more enagement on your corporate trainings? GAMS Platform enables challenge based learning that your employees will love like a video game for their upskilling Want to find the right talent? GAMS Platform makes skill assessments efficient and bias-free and lets you find the right match.</t>
        </is>
      </c>
      <c r="H103" s="1" t="inlineStr">
        <is>
          <t>EdTech Italia</t>
        </is>
      </c>
      <c r="I103" s="1" t="inlineStr">
        <is>
          <t>English, Italian</t>
        </is>
      </c>
      <c r="J103" s="1" t="inlineStr">
        <is>
          <t>Rome</t>
        </is>
      </c>
      <c r="K103" t="inlineStr">
        <is>
          <t>Rome</t>
        </is>
      </c>
      <c r="L103" t="inlineStr">
        <is>
          <t>Rome, Italy</t>
        </is>
      </c>
      <c r="M103" t="n">
        <v>41.8933203</v>
      </c>
      <c r="N103" t="n">
        <v>12.4829321</v>
      </c>
      <c r="O103" s="1" t="inlineStr">
        <is>
          <t>Italy</t>
        </is>
      </c>
      <c r="P103" s="1" t="inlineStr">
        <is>
          <t>Albania, Belarus, Bulgaria, Czechia, Finland, Greece, Ireland, Latvia, Luxembourg, Monaco, North Macedonia, Portugal, Slovakia, Sweden, Ukraine, Andorra, Belgium, Austria, Bosnia and Herzegovina, Croatia, Republic of Cyprus, Denmark, Estonia, France, Germany, Hungary, Kosovo, Liechtenstein, Italy, Lithuania, Malta, Moldova, Montenegro, Netherlands, Norway, Poland, Romania, San Marino, Slovenia, Spain, Switzerland, United Kingdom, Turkey</t>
        </is>
      </c>
      <c r="Q103" s="1" t="inlineStr">
        <is>
          <t>Micro (1-9 FTE employees)</t>
        </is>
      </c>
      <c r="R103" t="inlineStr">
        <is>
          <t>Micro</t>
        </is>
      </c>
      <c r="S103" s="1" t="inlineStr">
        <is>
          <t>Business to Business, Business to Schools</t>
        </is>
      </c>
      <c r="T103" s="1" t="inlineStr">
        <is>
          <t>Lifelong learning/Adult education, Corporate Training, Higher Education</t>
        </is>
      </c>
      <c r="U103" s="1" t="inlineStr">
        <is>
          <t>Student interfacing, Teacher interfacing, System/Administrative</t>
        </is>
      </c>
      <c r="V103" s="10" t="inlineStr">
        <is>
          <t>Challenge based learning and skill assessment</t>
        </is>
      </c>
      <c r="W103" t="inlineStr">
        <is>
          <t>https://drive.google.com/uc?export=view&amp;id=1F_A5P5S2_zwTQaXCzAJN9bxRyiPi-0nb</t>
        </is>
      </c>
      <c r="X103" s="10" t="inlineStr">
        <is>
          <t>https://drive.google.com/uc?export=view&amp;id=1F_A5P5S2_zwTQaXCzAJN9bxRyiPi-0nb</t>
        </is>
      </c>
      <c r="Y103" t="inlineStr">
        <is>
          <t>https://drive.google.com/uc?export=view&amp;id=1F_A5P5S2_zwTQaXCzAJN9bxRyiPi-0nb</t>
        </is>
      </c>
      <c r="Z103" s="1" t="inlineStr">
        <is>
          <t>https://drive.google.com/uc?export=view&amp;id=1F_A5P5S2_zwTQaXCzAJN9bxRyiPi-0nb</t>
        </is>
      </c>
      <c r="AA103" s="1" t="inlineStr">
        <is>
          <t>Unverified</t>
        </is>
      </c>
      <c r="AB103" s="1" t="inlineStr">
        <is>
          <t>Public-private partnerships, Industry-academia partnerships</t>
        </is>
      </c>
      <c r="AC103" s="1" t="inlineStr">
        <is>
          <t>For-profit company</t>
        </is>
      </c>
      <c r="AD103" s="10" t="b">
        <v>1</v>
      </c>
      <c r="AE103" s="1" t="b">
        <v>1</v>
      </c>
      <c r="AF103" s="1" t="inlineStr">
        <is>
          <t>Yes</t>
        </is>
      </c>
      <c r="AG103" s="1" t="inlineStr">
        <is>
          <t>https://www.instagram.com/GAMSPlatform/</t>
        </is>
      </c>
      <c r="AH103" s="1" t="inlineStr">
        <is>
          <t>https://it.linkedin.com/company/gamsplatform</t>
        </is>
      </c>
      <c r="AI103" s="1" t="inlineStr">
        <is>
          <t>https://it.linkedin.com/company/gamsplatform</t>
        </is>
      </c>
      <c r="AJ103" s="10" t="inlineStr">
        <is>
          <t>https://www.facebook.com/GAMSPlatform/</t>
        </is>
      </c>
    </row>
    <row r="104" ht="12.5" customHeight="1">
      <c r="A104" s="6" t="n">
        <v>45861</v>
      </c>
      <c r="B104" s="1" t="inlineStr">
        <is>
          <t>ORG_2616</t>
        </is>
      </c>
      <c r="C104" s="1" t="b">
        <v>1</v>
      </c>
      <c r="D104" s="1" t="inlineStr">
        <is>
          <t>VERIABLE</t>
        </is>
      </c>
      <c r="E104" s="10" t="inlineStr">
        <is>
          <t>veriable.at</t>
        </is>
      </c>
      <c r="F104" t="inlineStr">
        <is>
          <t>veriable.at</t>
        </is>
      </c>
      <c r="G104" s="1" t="inlineStr">
        <is>
          <t>Our SaaS product VERIABLE empowers lecturers to digitize their expertise by offering self-paced or guided courses, course bundles, and certifications verified through blockchain technology. This ensures a seamless, secure, and trusted learning experience for students, while enabling educators to reach a wider audience and expand their impact. VERIABLE is the ideal solution for both internal training and external knowledge sharing, whether you are a solo entrepreneur or a training company.  Effortlessly create learning content with rapid e-learning tools and deliver courses seamlessly through automated processes, including an e-commerce interface. Customize your digital presence with personalized configurations, including your own domain. Elevate the value of your training by offering knowledge verification through blockchain-secured certificates, ensuring credibility and trust.</t>
        </is>
      </c>
      <c r="H104" s="1" t="inlineStr">
        <is>
          <t>EdTech Austria</t>
        </is>
      </c>
      <c r="I104" s="1" t="inlineStr">
        <is>
          <t>German, English</t>
        </is>
      </c>
      <c r="J104" s="1" t="inlineStr">
        <is>
          <t>Klagenfurt Am Wörthersee</t>
        </is>
      </c>
      <c r="K104" t="inlineStr">
        <is>
          <t>Klagenfurt Am Wörthersee</t>
        </is>
      </c>
      <c r="L104" t="inlineStr">
        <is>
          <t>Klagenfurt Am Wörthersee, Austria</t>
        </is>
      </c>
      <c r="M104" t="n">
        <v>46.6087926</v>
      </c>
      <c r="N104" t="n">
        <v>14.2774359</v>
      </c>
      <c r="O104" s="1" t="inlineStr">
        <is>
          <t>Austria</t>
        </is>
      </c>
      <c r="P104" s="1" t="inlineStr">
        <is>
          <t>Austria, Germany</t>
        </is>
      </c>
      <c r="Q104" s="1" t="inlineStr">
        <is>
          <t>Micro (1-9 FTE employees)</t>
        </is>
      </c>
      <c r="R104" t="inlineStr">
        <is>
          <t>Micro</t>
        </is>
      </c>
      <c r="S104" s="1" t="inlineStr">
        <is>
          <t>Business to Business</t>
        </is>
      </c>
      <c r="T104" s="1" t="inlineStr">
        <is>
          <t>Vocational Education and Training (VET), Corporate Training, Lifelong learning/Adult education</t>
        </is>
      </c>
      <c r="U104" s="1" t="inlineStr">
        <is>
          <t>Student interfacing, Teacher interfacing, System/Administrative</t>
        </is>
      </c>
      <c r="V104" s="1" t="inlineStr">
        <is>
          <t>VERIABLE Platform</t>
        </is>
      </c>
      <c r="W104" s="1" t="inlineStr">
        <is>
          <t>Our Public Cloud empowers you to create and sell courses and certifications to a global audience, making them accessible to anyone in your target market.
For more controlled access, our Private Cloud allows you to offer courses exclusively to your employees, customers, business partners etc.</t>
        </is>
      </c>
      <c r="X104" s="1" t="inlineStr">
        <is>
          <t>IC Academy</t>
        </is>
      </c>
      <c r="Y104" t="inlineStr">
        <is>
          <t>At IC Academy, we are passionate about guiding developers and enthusiasts on the journey from Web2 to Web3 transformation, empowering them to create solutions that are only possible on the Internet Computer. Our courses provide easy-to-follow guidelines and hands-on examples.</t>
        </is>
      </c>
      <c r="Z104" s="1" t="inlineStr">
        <is>
          <t>https://drive.google.com/uc?export=view&amp;id=1BN9OJF5Juaq106GKb1e6AXvcgLu3YmWE</t>
        </is>
      </c>
      <c r="AA104" s="1" t="inlineStr">
        <is>
          <t>Unverified</t>
        </is>
      </c>
      <c r="AB104" s="1" t="inlineStr">
        <is>
          <t>Collaborations between EdTech organisations, Project consortium building</t>
        </is>
      </c>
      <c r="AC104" s="1" t="inlineStr">
        <is>
          <t>For-profit company</t>
        </is>
      </c>
      <c r="AD104" s="10" t="b">
        <v>1</v>
      </c>
      <c r="AE104" s="1" t="b">
        <v>1</v>
      </c>
      <c r="AF104" s="1" t="inlineStr">
        <is>
          <t>No</t>
        </is>
      </c>
      <c r="AG104" s="1" t="n"/>
      <c r="AH104" s="1" t="n"/>
      <c r="AI104" s="1" t="n"/>
      <c r="AJ104" s="1" t="n"/>
    </row>
    <row r="105" ht="12.5" customHeight="1">
      <c r="A105" s="6" t="n">
        <v>45860</v>
      </c>
      <c r="B105" s="1" t="inlineStr">
        <is>
          <t>ORG_2113</t>
        </is>
      </c>
      <c r="C105" s="1" t="b">
        <v>1</v>
      </c>
      <c r="D105" s="1" t="inlineStr">
        <is>
          <t>PLVSVLTRA OÜ</t>
        </is>
      </c>
      <c r="E105" s="10" t="inlineStr">
        <is>
          <t>www.plvsvltra.eu</t>
        </is>
      </c>
      <c r="F105" t="inlineStr">
        <is>
          <t>plvsvltra.eu</t>
        </is>
      </c>
      <c r="G105" s="1" t="inlineStr">
        <is>
          <t>PLVSVLTRA develops and commercializes digital products in the EdTech sector, with a special focus on classical languages.</t>
        </is>
      </c>
      <c r="H105" s="1" t="inlineStr">
        <is>
          <t>EdTech Italia</t>
        </is>
      </c>
      <c r="I105" s="1" t="inlineStr">
        <is>
          <t>Italian</t>
        </is>
      </c>
      <c r="J105" s="1" t="inlineStr">
        <is>
          <t>Tallinn</t>
        </is>
      </c>
      <c r="K105" t="inlineStr">
        <is>
          <t>Tallinn</t>
        </is>
      </c>
      <c r="L105" t="inlineStr">
        <is>
          <t>Tallinn, Estonia</t>
        </is>
      </c>
      <c r="M105" t="n">
        <v>59.437242</v>
      </c>
      <c r="N105" t="n">
        <v>24.7572693</v>
      </c>
      <c r="O105" s="1" t="inlineStr">
        <is>
          <t>Estonia</t>
        </is>
      </c>
      <c r="P105" s="1" t="inlineStr">
        <is>
          <t>Italy</t>
        </is>
      </c>
      <c r="Q105" s="1" t="inlineStr">
        <is>
          <t>Solo entrepreneur</t>
        </is>
      </c>
      <c r="R105" t="inlineStr">
        <is>
          <t>Solo entrepreneur</t>
        </is>
      </c>
      <c r="S105" s="1" t="inlineStr">
        <is>
          <t>Business to Schools, Business to Consumer</t>
        </is>
      </c>
      <c r="T105" s="1" t="inlineStr">
        <is>
          <t>Secondary Education, Higher Education</t>
        </is>
      </c>
      <c r="U105" s="1" t="inlineStr">
        <is>
          <t>Student interfacing, Teacher interfacing</t>
        </is>
      </c>
      <c r="V105" s="1" t="inlineStr">
        <is>
          <t>latin|era&gt;</t>
        </is>
      </c>
      <c r="W105" s="1" t="inlineStr">
        <is>
          <t>A cards-based Latin Translation Assistant</t>
        </is>
      </c>
      <c r="X105" s="10" t="inlineStr">
        <is>
          <t>https://drive.google.com/uc?export=view&amp;id=17Ke66KDL60pnSVUlDiUC3sGjWbpiKNpG</t>
        </is>
      </c>
      <c r="Y105" t="inlineStr">
        <is>
          <t>https://drive.google.com/uc?export=view&amp;id=17Ke66KDL60pnSVUlDiUC3sGjWbpiKNpG</t>
        </is>
      </c>
      <c r="Z105" s="1" t="inlineStr">
        <is>
          <t>https://drive.google.com/uc?export=view&amp;id=17Ke66KDL60pnSVUlDiUC3sGjWbpiKNpG</t>
        </is>
      </c>
      <c r="AA105" s="1" t="inlineStr">
        <is>
          <t>Unverified</t>
        </is>
      </c>
      <c r="AB105" s="1" t="inlineStr">
        <is>
          <t>Collaborations between EdTech organisations, Public-private partnerships, Industry-academia partnerships</t>
        </is>
      </c>
      <c r="AC105" s="1" t="inlineStr">
        <is>
          <t>For-profit company</t>
        </is>
      </c>
      <c r="AD105" s="10" t="b">
        <v>1</v>
      </c>
      <c r="AE105" s="1" t="b">
        <v>1</v>
      </c>
      <c r="AF105" s="1" t="inlineStr">
        <is>
          <t>Yes</t>
        </is>
      </c>
      <c r="AG105" s="1" t="inlineStr">
        <is>
          <t>https://www.linkedin.com/company/plvsvltra</t>
        </is>
      </c>
      <c r="AH105" s="1" t="inlineStr">
        <is>
          <t>https://www.linkedin.com/company/plvsvltra</t>
        </is>
      </c>
      <c r="AI105" s="1" t="inlineStr">
        <is>
          <t>https://www.linkedin.com/company/plvsvltra</t>
        </is>
      </c>
      <c r="AJ105" s="1" t="n"/>
    </row>
    <row r="106" ht="12.5" customHeight="1">
      <c r="A106" s="6" t="n">
        <v>45860</v>
      </c>
      <c r="B106" s="1" t="inlineStr">
        <is>
          <t>ORG_2615</t>
        </is>
      </c>
      <c r="C106" s="1" t="b">
        <v>1</v>
      </c>
      <c r="D106" s="1" t="inlineStr">
        <is>
          <t>Prowise</t>
        </is>
      </c>
      <c r="E106" s="10" t="inlineStr">
        <is>
          <t>www.prowise.com</t>
        </is>
      </c>
      <c r="F106" t="inlineStr">
        <is>
          <t>prowise.com</t>
        </is>
      </c>
      <c r="G106" s="1" t="inlineStr">
        <is>
          <t>Prowise is an innovative technology company from the Netherlands dedicated to enhancing education worldwide. The company develops and manufactures touchscreens, educational software, and other IT solutions specifically for the education sector. What sets Prowise apart is its fully in-house development process—from hardware to software—with a strong focus on user-friendliness, security, and privacy. Moreover, Prowise is the only EdTech company in the world to hold the BSI IT-Grundschutz certification, demonstrating an exceptionally high standard of information security.</t>
        </is>
      </c>
      <c r="H106" s="1" t="inlineStr">
        <is>
          <t>Dutch EdTech, edtechstation</t>
        </is>
      </c>
      <c r="I106" s="1" t="inlineStr">
        <is>
          <t>English, German, French, Italian, Danish, Spanish, Dutch, Croatian, Hungarian, Romanian, Swedish, Polish, Czech, Bulgarian</t>
        </is>
      </c>
      <c r="J106" s="1" t="inlineStr">
        <is>
          <t>Budel</t>
        </is>
      </c>
      <c r="K106" t="inlineStr">
        <is>
          <t>Budel</t>
        </is>
      </c>
      <c r="L106" t="inlineStr">
        <is>
          <t>Budel, The Netherlands</t>
        </is>
      </c>
      <c r="M106" t="n">
        <v>52.0749456</v>
      </c>
      <c r="N106" t="n">
        <v>4.2696802</v>
      </c>
      <c r="O106" s="1" t="inlineStr">
        <is>
          <t>The Netherlands</t>
        </is>
      </c>
      <c r="P106" s="1" t="inlineStr">
        <is>
          <t>Czechia, Bulgaria, Ireland, Latvia, Luxembourg, Slovakia, Sweden, Ukraine, Belgium, Croatia, Denmark, France, Hungary, Italy, Norway, Romania, Slovenia, Switzerland, United Kingdom, Estonia, Germany, Iceland, Netherlands, Poland, Spain</t>
        </is>
      </c>
      <c r="Q106" s="1" t="inlineStr">
        <is>
          <t>Medium (50-250 FTE employees)</t>
        </is>
      </c>
      <c r="R106" t="inlineStr">
        <is>
          <t>Medium</t>
        </is>
      </c>
      <c r="S106" s="1" t="inlineStr">
        <is>
          <t>Business to Business, Business to Schools, Business to Government</t>
        </is>
      </c>
      <c r="T106" s="1" t="inlineStr">
        <is>
          <t>Primary Education, Secondary Education, Higher Education, Corporate Training, Special Education</t>
        </is>
      </c>
      <c r="U106" s="1" t="inlineStr">
        <is>
          <t>Teacher interfacing</t>
        </is>
      </c>
      <c r="V106" s="10" t="inlineStr">
        <is>
          <t>Interactive Touchscreen</t>
        </is>
      </c>
      <c r="W106" s="1" t="inlineStr">
        <is>
          <t>The Prowise Touchscreen is a state-of-the-art display for education.
With software, 100% developed in-house in the Netherlands, it offers quality, privacy, and security by design. With no intermediaries, we ensure great value. Built in Europe, shaped by educators—perfectly for every classroom.</t>
        </is>
      </c>
      <c r="X106" s="10" t="inlineStr">
        <is>
          <t>Ergonomic liftsystem for touchscreen</t>
        </is>
      </c>
      <c r="Y106" t="inlineStr">
        <is>
          <t>Easily adjust screen height for any age or activity—sitting, standing, or collaborating on the floor. Silent, stable, and child-safe. Developed in-house to perfectly match the Prowise Touchscreen. Durable quality, made in Europe.</t>
        </is>
      </c>
      <c r="Z106" s="1" t="inlineStr">
        <is>
          <t>https://drive.google.com/uc?export=view&amp;id=17HFmQK-h6ioQCxt9laEm1gDqEDOEWraR</t>
        </is>
      </c>
      <c r="AA106" s="1" t="inlineStr">
        <is>
          <t>Unverified</t>
        </is>
      </c>
      <c r="AB106" s="1" t="inlineStr">
        <is>
          <t>Public-private partnerships, Other, Industry-academia partnerships, Project consortium building</t>
        </is>
      </c>
      <c r="AC106" s="1" t="inlineStr">
        <is>
          <t>For-profit company</t>
        </is>
      </c>
      <c r="AD106" s="10" t="b">
        <v>1</v>
      </c>
      <c r="AE106" s="1" t="b">
        <v>1</v>
      </c>
      <c r="AF106" s="1" t="inlineStr">
        <is>
          <t>Yes</t>
        </is>
      </c>
      <c r="AG106" s="1" t="inlineStr">
        <is>
          <t>https://www.instagram.com/prowise_nl/</t>
        </is>
      </c>
      <c r="AH106" s="1" t="inlineStr">
        <is>
          <t>https://www.linkedin.com/company/prowise-nl/</t>
        </is>
      </c>
      <c r="AI106" s="1" t="inlineStr">
        <is>
          <t>https://www.linkedin.com/company/prowise-nl/</t>
        </is>
      </c>
      <c r="AJ106" s="1" t="n"/>
    </row>
    <row r="107" ht="12.5" customHeight="1">
      <c r="A107" s="6" t="n">
        <v>45860</v>
      </c>
      <c r="B107" s="1" t="inlineStr">
        <is>
          <t>ORG_2614</t>
        </is>
      </c>
      <c r="C107" s="1" t="b">
        <v>1</v>
      </c>
      <c r="D107" s="1" t="inlineStr">
        <is>
          <t>School of Gaming</t>
        </is>
      </c>
      <c r="E107" s="10" t="inlineStr">
        <is>
          <t>www.sog.gg</t>
        </is>
      </c>
      <c r="F107" t="inlineStr">
        <is>
          <t>sog.gg</t>
        </is>
      </c>
      <c r="G107" s="1" t="inlineStr">
        <is>
          <t>We play computer games (eg. Minecraft) with children online. We help children learn critical skills of the future using games and the power of play in a safe and friendly community.</t>
        </is>
      </c>
      <c r="H107" s="1" t="inlineStr">
        <is>
          <t>EdTech Finland</t>
        </is>
      </c>
      <c r="I107" s="1" t="inlineStr">
        <is>
          <t>English, Finnish, Swedish, Spanish, Ukrainian, Sami</t>
        </is>
      </c>
      <c r="J107" s="1" t="inlineStr">
        <is>
          <t>Oulu</t>
        </is>
      </c>
      <c r="K107" t="inlineStr">
        <is>
          <t>Oulu</t>
        </is>
      </c>
      <c r="L107" t="inlineStr">
        <is>
          <t>Oulu, Finland</t>
        </is>
      </c>
      <c r="M107" t="n">
        <v>65.01179140000001</v>
      </c>
      <c r="N107" t="n">
        <v>25.4701973</v>
      </c>
      <c r="O107" s="1" t="inlineStr">
        <is>
          <t>Finland</t>
        </is>
      </c>
      <c r="P107" s="1" t="inlineStr">
        <is>
          <t>Finland, Ireland, United Kingdom, Sweden, Ukraine, Spain, Malta, Norway, Netherlands, Denmark, Estonia, Belgium</t>
        </is>
      </c>
      <c r="Q107" s="1" t="inlineStr">
        <is>
          <t>Micro (1-9 FTE employees)</t>
        </is>
      </c>
      <c r="R107" t="inlineStr">
        <is>
          <t>Micro</t>
        </is>
      </c>
      <c r="S107" s="1" t="inlineStr">
        <is>
          <t>Business to Consumer</t>
        </is>
      </c>
      <c r="T107" s="1" t="inlineStr">
        <is>
          <t>Other</t>
        </is>
      </c>
      <c r="U107" s="1" t="inlineStr">
        <is>
          <t>Other, Student interfacing</t>
        </is>
      </c>
      <c r="V107" s="10" t="inlineStr">
        <is>
          <t>Weekly Minecraft Club</t>
        </is>
      </c>
      <c r="W107" t="inlineStr">
        <is>
          <t>School of Gaming's Minecraft clubs are designed to educate children through gaming, helping them become responsible digital citizens. They will learn to confidently interact in large groups, express their opinions and engage in civilized discussions while respecting others' space.</t>
        </is>
      </c>
      <c r="X107" s="10" t="inlineStr">
        <is>
          <t>https://drive.google.com/uc?export=view&amp;id=1ABgSkKl-btHRZkgk0RHCbMzeztsWqo3Z</t>
        </is>
      </c>
      <c r="Y107" t="inlineStr">
        <is>
          <t>https://drive.google.com/uc?export=view&amp;id=1ABgSkKl-btHRZkgk0RHCbMzeztsWqo3Z</t>
        </is>
      </c>
      <c r="Z107" s="1" t="inlineStr">
        <is>
          <t>https://drive.google.com/uc?export=view&amp;id=1ABgSkKl-btHRZkgk0RHCbMzeztsWqo3Z</t>
        </is>
      </c>
      <c r="AA107" s="1" t="inlineStr">
        <is>
          <t>Unverified</t>
        </is>
      </c>
      <c r="AB107" s="1" t="inlineStr">
        <is>
          <t>Collaborations between EdTech organisations, Public-private partnerships, Project consortium building, Industry-academia partnerships</t>
        </is>
      </c>
      <c r="AC107" s="1" t="inlineStr">
        <is>
          <t>Other</t>
        </is>
      </c>
      <c r="AD107" s="10" t="b">
        <v>0</v>
      </c>
      <c r="AE107" s="1" t="b">
        <v>1</v>
      </c>
      <c r="AF107" s="1" t="inlineStr">
        <is>
          <t>Yes</t>
        </is>
      </c>
      <c r="AG107" s="1" t="inlineStr">
        <is>
          <t>https://www.instagram.com/sogversum</t>
        </is>
      </c>
      <c r="AH107" s="1" t="inlineStr">
        <is>
          <t>https://www.linkedin.com/company/school-of-gaming</t>
        </is>
      </c>
      <c r="AI107" s="1" t="inlineStr">
        <is>
          <t>https://www.linkedin.com/company/school-of-gaming</t>
        </is>
      </c>
      <c r="AJ107" s="10" t="inlineStr">
        <is>
          <t>https://www.facebook.com/sogversum</t>
        </is>
      </c>
    </row>
    <row r="108" ht="12.5" customHeight="1">
      <c r="A108" s="6" t="n">
        <v>45859</v>
      </c>
      <c r="B108" s="1" t="inlineStr">
        <is>
          <t>ORG_1481</t>
        </is>
      </c>
      <c r="C108" s="1" t="b">
        <v>1</v>
      </c>
      <c r="D108" s="1" t="inlineStr">
        <is>
          <t>Electude</t>
        </is>
      </c>
      <c r="E108" s="10" t="inlineStr">
        <is>
          <t>www.electude.com</t>
        </is>
      </c>
      <c r="F108" t="inlineStr">
        <is>
          <t>electude.com</t>
        </is>
      </c>
      <c r="G108" s="1" t="inlineStr">
        <is>
          <t>Built upon 35 years of research and expertise, Electude has revolutionized the automotive education industry by leveraging hands-on gaming technologies and a discovery-based learning environment. Our interactive and engaging teaching solutions empower vocational students to learn effectively and give teachers custom time-saving tools. To this day, Electude is driven by its founders’ vision: with the right tools, anyone can achieve their full potential.   With programs in light vehicles, heavy vehicles, and systems technologies, Electude offers a highly adaptable platform that performs equally well in the classroom, in the shop, or at home.</t>
        </is>
      </c>
      <c r="H108" s="1" t="inlineStr">
        <is>
          <t>Dutch EdTech</t>
        </is>
      </c>
      <c r="I108" s="1" t="inlineStr">
        <is>
          <t>English, German, Portuguese, Czech, Finnish, Irish, Ukrainian, French, Italian, Danish, Latvian, Polish, Spanish, Dutch, Croatian, Estonian, Hungarian, Lithuanian, Romanian, Swedish, Basque, Bulgarian, Catalan, Slovenian, Greek</t>
        </is>
      </c>
      <c r="J108" s="1" t="inlineStr">
        <is>
          <t>Eindhoven</t>
        </is>
      </c>
      <c r="K108" t="inlineStr">
        <is>
          <t>Eindhoven</t>
        </is>
      </c>
      <c r="L108" t="inlineStr">
        <is>
          <t>Eindhoven, The Netherlands</t>
        </is>
      </c>
      <c r="M108" t="n">
        <v>51.4105222</v>
      </c>
      <c r="N108" t="n">
        <v>5.457494</v>
      </c>
      <c r="O108" s="1" t="inlineStr">
        <is>
          <t>The Netherlands</t>
        </is>
      </c>
      <c r="P108" s="1" t="inlineStr">
        <is>
          <t>Albania, Austria, Belgium, Bosnia and Herzegovina, Bulgaria, Croatia, Republic of Cyprus, Czechia, Denmark, Estonia, Finland, France, Germany, Greece, Hungary, Iceland, Ireland, Italy, Kosovo, Latvia, Lithuania, Luxembourg, Malta, Moldova, Montenegro, Netherlands, North Macedonia, Norway, Poland, Portugal, Romania, Slovakia, Slovenia, Spain, Sweden, Switzerland, Turkey, Ukraine, United Kingdom</t>
        </is>
      </c>
      <c r="Q108" s="1" t="inlineStr">
        <is>
          <t>Medium (50-250 FTE employees)</t>
        </is>
      </c>
      <c r="R108" t="inlineStr">
        <is>
          <t>Medium</t>
        </is>
      </c>
      <c r="S108" s="1" t="inlineStr">
        <is>
          <t>Business to Business, Business to Government, Business to Schools</t>
        </is>
      </c>
      <c r="T108" s="1" t="inlineStr">
        <is>
          <t>Vocational Education and Training (VET)</t>
        </is>
      </c>
      <c r="U108" s="1" t="inlineStr">
        <is>
          <t>Student interfacing, Teacher interfacing</t>
        </is>
      </c>
      <c r="V108" s="10" t="inlineStr">
        <is>
          <t>Electude</t>
        </is>
      </c>
      <c r="W108" s="1" t="inlineStr">
        <is>
          <t>Electude Light Vehicle, Heavy Vehicle, and Electric Vehicle are didactic solutions for automotive technology learners in vocational education. They comprise 3000+ interactive, formative lessons designed for learning and practicing all the topics related to automotive technology.</t>
        </is>
      </c>
      <c r="X108" s="10" t="inlineStr">
        <is>
          <t>https://drive.google.com/uc?export=view&amp;id=1F5ktQbNj5i1vdnSX8F_SdYNtJLk7gN23</t>
        </is>
      </c>
      <c r="Y108" t="inlineStr">
        <is>
          <t>https://drive.google.com/uc?export=view&amp;id=1F5ktQbNj5i1vdnSX8F_SdYNtJLk7gN23</t>
        </is>
      </c>
      <c r="Z108" s="1" t="inlineStr">
        <is>
          <t>https://drive.google.com/uc?export=view&amp;id=1F5ktQbNj5i1vdnSX8F_SdYNtJLk7gN23</t>
        </is>
      </c>
      <c r="AA108" s="1" t="inlineStr">
        <is>
          <t>Unverified</t>
        </is>
      </c>
      <c r="AB108" s="1" t="inlineStr">
        <is>
          <t>Other</t>
        </is>
      </c>
      <c r="AC108" s="1" t="inlineStr">
        <is>
          <t>For-profit company</t>
        </is>
      </c>
      <c r="AD108" s="10" t="b">
        <v>1</v>
      </c>
      <c r="AE108" s="1" t="b">
        <v>1</v>
      </c>
      <c r="AF108" s="1" t="inlineStr">
        <is>
          <t>Yes</t>
        </is>
      </c>
      <c r="AG108" s="1" t="inlineStr">
        <is>
          <t>https://www.instagram.com/electudeinternational/</t>
        </is>
      </c>
      <c r="AH108" s="1" t="inlineStr">
        <is>
          <t>https://www.linkedin.com/company/electudeinternational/</t>
        </is>
      </c>
      <c r="AI108" s="1" t="inlineStr">
        <is>
          <t>https://www.linkedin.com/company/electudeinternational/</t>
        </is>
      </c>
      <c r="AJ108" s="10" t="inlineStr">
        <is>
          <t>https://www.facebook.com/electudeinternational</t>
        </is>
      </c>
    </row>
    <row r="109" ht="12.5" customHeight="1">
      <c r="A109" s="6" t="n">
        <v>45859</v>
      </c>
      <c r="B109" s="1" t="inlineStr">
        <is>
          <t>ORG_2613</t>
        </is>
      </c>
      <c r="C109" s="1" t="b">
        <v>1</v>
      </c>
      <c r="D109" s="1" t="inlineStr">
        <is>
          <t>Reducate EdTech Group</t>
        </is>
      </c>
      <c r="E109" s="10" t="inlineStr">
        <is>
          <t>www.reducate.com</t>
        </is>
      </c>
      <c r="F109" t="inlineStr">
        <is>
          <t>reducate.com</t>
        </is>
      </c>
      <c r="G109" s="1" t="inlineStr">
        <is>
          <t>We specialize in offering mission-critical, online continuing professional development for various groups who are required to maintain and update their knowledge. Active in the Netherlands, Denmark, Germany and the UK.</t>
        </is>
      </c>
      <c r="H109" s="1" t="inlineStr">
        <is>
          <t>I'm not part of any EdTech association</t>
        </is>
      </c>
      <c r="I109" s="1" t="inlineStr">
        <is>
          <t>English, German, Danish, Dutch</t>
        </is>
      </c>
      <c r="J109" s="1" t="inlineStr">
        <is>
          <t>Utrecht</t>
        </is>
      </c>
      <c r="K109" t="inlineStr">
        <is>
          <t>Utrecht</t>
        </is>
      </c>
      <c r="L109" t="inlineStr">
        <is>
          <t>Utrecht, The Netherlands</t>
        </is>
      </c>
      <c r="M109" t="n">
        <v>52.0906195</v>
      </c>
      <c r="N109" t="n">
        <v>5.1119709</v>
      </c>
      <c r="O109" s="1" t="inlineStr">
        <is>
          <t>The Netherlands</t>
        </is>
      </c>
      <c r="P109" s="1" t="inlineStr">
        <is>
          <t>Denmark, Germany, Netherlands, United Kingdom</t>
        </is>
      </c>
      <c r="Q109" s="1" t="inlineStr">
        <is>
          <t>Medium (50-250 FTE employees)</t>
        </is>
      </c>
      <c r="R109" t="inlineStr">
        <is>
          <t>Medium</t>
        </is>
      </c>
      <c r="S109" s="1" t="inlineStr">
        <is>
          <t>Business to Business, Business to Government, Business to Schools</t>
        </is>
      </c>
      <c r="T109" s="1" t="inlineStr">
        <is>
          <t>Lifelong learning/Adult education</t>
        </is>
      </c>
      <c r="U109" s="1" t="inlineStr">
        <is>
          <t>Student interfacing</t>
        </is>
      </c>
      <c r="V109" t="inlineStr">
        <is>
          <t>E-learning for professionals</t>
        </is>
      </c>
      <c r="W109" s="1" t="inlineStr">
        <is>
          <t>Mission-critical online continuing professional education</t>
        </is>
      </c>
      <c r="X109" s="10" t="inlineStr">
        <is>
          <t>Learning experience platform</t>
        </is>
      </c>
      <c r="Y109" t="inlineStr">
        <is>
          <t>LMS with broader functionalities like own content, logo, colouring etc.</t>
        </is>
      </c>
      <c r="Z109" s="1" t="inlineStr">
        <is>
          <t>https://drive.google.com/uc?export=view&amp;id=1ph_qR9AGcEvmgHGTduIQA76BecAgAxwJ</t>
        </is>
      </c>
      <c r="AA109" s="1" t="inlineStr">
        <is>
          <t>Unverified</t>
        </is>
      </c>
      <c r="AB109" s="1" t="inlineStr">
        <is>
          <t>Other</t>
        </is>
      </c>
      <c r="AC109" s="1" t="inlineStr">
        <is>
          <t>For-profit company</t>
        </is>
      </c>
      <c r="AD109" s="10" t="b">
        <v>0</v>
      </c>
      <c r="AE109" s="1" t="b">
        <v>1</v>
      </c>
      <c r="AF109" s="1" t="inlineStr">
        <is>
          <t>Yes</t>
        </is>
      </c>
      <c r="AG109" s="1" t="inlineStr">
        <is>
          <t>https://www.linkedin.com/company/reducate</t>
        </is>
      </c>
      <c r="AH109" s="1" t="inlineStr">
        <is>
          <t>https://www.linkedin.com/company/reducate</t>
        </is>
      </c>
      <c r="AI109" s="1" t="inlineStr">
        <is>
          <t>https://www.linkedin.com/company/reducate</t>
        </is>
      </c>
      <c r="AJ109" s="1" t="n"/>
    </row>
    <row r="110" ht="12.5" customHeight="1">
      <c r="A110" s="6" t="n">
        <v>45859</v>
      </c>
      <c r="B110" s="1" t="inlineStr">
        <is>
          <t>ORG_2503</t>
        </is>
      </c>
      <c r="C110" s="1" t="b">
        <v>1</v>
      </c>
      <c r="D110" s="1" t="inlineStr">
        <is>
          <t>Vittascience</t>
        </is>
      </c>
      <c r="E110" s="10" t="inlineStr">
        <is>
          <t>https://vittascience.com/</t>
        </is>
      </c>
      <c r="F110" t="inlineStr">
        <is>
          <t>vittascience.com</t>
        </is>
      </c>
      <c r="G110" s="1" t="inlineStr">
        <is>
          <t>Founded in 2018, Vittascience designs digital tools to teach programming, algorithms and artificial intelligence in schools. Its ambition is to make digital learning accessible to all, by stimulating user curiosity and offering innovative, turnkey solutions.</t>
        </is>
      </c>
      <c r="H110" s="1" t="inlineStr">
        <is>
          <t>AFINEF, EdTech France</t>
        </is>
      </c>
      <c r="I110" s="1" t="inlineStr">
        <is>
          <t>English, French, Italian, Spanish</t>
        </is>
      </c>
      <c r="J110" s="1" t="inlineStr">
        <is>
          <t>Paris</t>
        </is>
      </c>
      <c r="K110" t="inlineStr">
        <is>
          <t>Paris</t>
        </is>
      </c>
      <c r="L110" t="inlineStr">
        <is>
          <t>Paris, France</t>
        </is>
      </c>
      <c r="M110" t="n">
        <v>48.8534951</v>
      </c>
      <c r="N110" t="n">
        <v>2.3483915</v>
      </c>
      <c r="O110" s="1" t="inlineStr">
        <is>
          <t>France</t>
        </is>
      </c>
      <c r="P110" s="1" t="inlineStr">
        <is>
          <t>Albania, Andorra, Austria, Bosnia and Herzegovina, Belgium, Belarus, Bulgaria, Croatia, Republic of Cyprus, Estonia, Denmark, Czechia, Finland, France, Germany, Iceland, Hungary, Greece, Ireland, Italy, Kosovo, Lithuania, Liechtenstein, Latvia, Luxembourg, Malta, Moldova, Monaco, Montenegro, Netherlands, Poland, Norway, North Macedonia, Portugal, Romania, San Marino, Slovakia, Slovenia, Spain, Turkey, Switzerland, Sweden, Ukraine, United Kingdom</t>
        </is>
      </c>
      <c r="Q110" s="1" t="inlineStr">
        <is>
          <t>Small (10-49 FTE employees)</t>
        </is>
      </c>
      <c r="R110" t="inlineStr">
        <is>
          <t>Small</t>
        </is>
      </c>
      <c r="S110" s="1" t="inlineStr">
        <is>
          <t>Business to Business, Business to Schools, Business to Government</t>
        </is>
      </c>
      <c r="T110" s="1" t="inlineStr">
        <is>
          <t>Primary Education, Secondary Education</t>
        </is>
      </c>
      <c r="U110" s="1" t="inlineStr">
        <is>
          <t>Student interfacing, Teacher interfacing</t>
        </is>
      </c>
      <c r="V110" s="1" t="inlineStr">
        <is>
          <t>Programming interface with bi-directional translation</t>
        </is>
      </c>
      <c r="W110" s="1" t="inlineStr">
        <is>
          <t>Vittascience empowers STEM education with coding interfaces, featuring a bi-directional translation (blocks ↔ text) for inclusion and accessibility. This features enabling blocks to be automatically translated into text and vice versa, it's bridges the accessibility gap of block-based programming.</t>
        </is>
      </c>
      <c r="X110" s="1" t="inlineStr">
        <is>
          <t>Artificial intelligence learning interface</t>
        </is>
      </c>
      <c r="Y110" t="inlineStr">
        <is>
          <t>Interactive Artificial Intelligence (AI) teaching tools aim to “open the black box” of complex models. These tools enable students and teachers to visualize and understand LLM training processes, thus promoting in-depth learning of AI fundamentals.</t>
        </is>
      </c>
      <c r="Z110" s="1" t="inlineStr">
        <is>
          <t>https://drive.google.com/uc?export=view&amp;id=1s4dUBrdKBYzXviTJIfizi3OcYvwmznnh</t>
        </is>
      </c>
      <c r="AA110" s="1" t="inlineStr">
        <is>
          <t>Unverified</t>
        </is>
      </c>
      <c r="AB110" s="1" t="inlineStr">
        <is>
          <t>Collaborations between EdTech organisations, Project consortium building, Public-private partnerships, Industry-academia partnerships</t>
        </is>
      </c>
      <c r="AC110" s="1" t="inlineStr">
        <is>
          <t>For-profit company</t>
        </is>
      </c>
      <c r="AD110" s="10" t="b">
        <v>1</v>
      </c>
      <c r="AE110" s="1" t="b">
        <v>1</v>
      </c>
      <c r="AF110" s="1" t="inlineStr">
        <is>
          <t>No</t>
        </is>
      </c>
      <c r="AG110" s="1" t="n"/>
      <c r="AH110" s="1" t="n"/>
      <c r="AI110" s="1" t="n"/>
      <c r="AJ110" s="1" t="n"/>
    </row>
    <row r="111" ht="12.5" customHeight="1">
      <c r="A111" s="6" t="n">
        <v>45858</v>
      </c>
      <c r="B111" s="1" t="inlineStr">
        <is>
          <t>ORG_2609</t>
        </is>
      </c>
      <c r="C111" s="1" t="b">
        <v>1</v>
      </c>
      <c r="D111" s="1" t="inlineStr">
        <is>
          <t>Matcha</t>
        </is>
      </c>
      <c r="E111" s="10" t="inlineStr">
        <is>
          <t>www.matcha.mobi</t>
        </is>
      </c>
      <c r="F111" t="inlineStr">
        <is>
          <t>matcha.mobi</t>
        </is>
      </c>
      <c r="G111" s="1" t="inlineStr">
        <is>
          <t>We are an organisation that enables teacher to better support students with diverse learning needs by reducing the effort and time it take generate tailored material</t>
        </is>
      </c>
      <c r="H111" s="1" t="inlineStr">
        <is>
          <t>I'm not part of any EdTech association</t>
        </is>
      </c>
      <c r="I111" s="1" t="inlineStr">
        <is>
          <t>English, Polish, Spanish, French, Portuguese, German, Italian</t>
        </is>
      </c>
      <c r="J111" s="1" t="inlineStr">
        <is>
          <t>London</t>
        </is>
      </c>
      <c r="K111" t="inlineStr">
        <is>
          <t>London</t>
        </is>
      </c>
      <c r="L111" t="inlineStr">
        <is>
          <t>London, United Kingdom</t>
        </is>
      </c>
      <c r="M111" t="n">
        <v>51.5074456</v>
      </c>
      <c r="N111" t="n">
        <v>-0.1277653</v>
      </c>
      <c r="O111" s="1" t="inlineStr">
        <is>
          <t>United Kingdom</t>
        </is>
      </c>
      <c r="P111" s="1" t="inlineStr">
        <is>
          <t>United Kingdom</t>
        </is>
      </c>
      <c r="Q111" s="1" t="inlineStr">
        <is>
          <t>Micro (1-9 FTE employees)</t>
        </is>
      </c>
      <c r="R111" t="inlineStr">
        <is>
          <t>Micro</t>
        </is>
      </c>
      <c r="S111" s="1" t="inlineStr">
        <is>
          <t>Business to Schools, Business to Consumer</t>
        </is>
      </c>
      <c r="T111" s="1" t="inlineStr">
        <is>
          <t>Secondary Education, Primary Education, Special Education</t>
        </is>
      </c>
      <c r="U111" s="1" t="inlineStr">
        <is>
          <t>Teacher interfacing, System/Administrative</t>
        </is>
      </c>
      <c r="V111" s="1" t="inlineStr">
        <is>
          <t>Content Assessment Service</t>
        </is>
      </c>
      <c r="W111" s="1" t="inlineStr">
        <is>
          <t>This service will scan and score existing school material against different learner profiles and make suggestions on how to adapt the content.</t>
        </is>
      </c>
      <c r="X111" s="1" t="inlineStr">
        <is>
          <t>Content Adaptation and Creation Service</t>
        </is>
      </c>
      <c r="Y111" t="inlineStr">
        <is>
          <t>This service will adapt content to different learner profiles as will generate content for a single or multiple leaner profile</t>
        </is>
      </c>
      <c r="Z111" s="1" t="inlineStr">
        <is>
          <t>https://drive.google.com/uc?export=view&amp;id=1fBuMdbLYafOXaY7gSHoh2Jjcw4NOfJW8</t>
        </is>
      </c>
      <c r="AA111" s="1" t="inlineStr">
        <is>
          <t>Unverified</t>
        </is>
      </c>
      <c r="AB111" s="1" t="inlineStr">
        <is>
          <t>Collaborations between EdTech organisations, Project consortium building, Public-private partnerships, Industry-academia partnerships</t>
        </is>
      </c>
      <c r="AC111" s="1" t="inlineStr">
        <is>
          <t>For-profit company</t>
        </is>
      </c>
      <c r="AD111" s="10" t="b">
        <v>1</v>
      </c>
      <c r="AE111" s="1" t="b">
        <v>1</v>
      </c>
      <c r="AF111" s="1" t="inlineStr">
        <is>
          <t>No</t>
        </is>
      </c>
      <c r="AG111" s="1" t="n"/>
      <c r="AH111" s="1" t="n"/>
      <c r="AI111" s="1" t="n"/>
      <c r="AJ111" s="1" t="n"/>
    </row>
    <row r="112" ht="12.5" customHeight="1">
      <c r="A112" s="6" t="n">
        <v>45856</v>
      </c>
      <c r="B112" s="1" t="inlineStr">
        <is>
          <t>ORG_2610</t>
        </is>
      </c>
      <c r="C112" s="1" t="b">
        <v>1</v>
      </c>
      <c r="D112" s="1" t="inlineStr">
        <is>
          <t>Happy Kids Academy</t>
        </is>
      </c>
      <c r="E112" s="10" t="inlineStr">
        <is>
          <t>www.happykids.ai</t>
        </is>
      </c>
      <c r="F112" t="inlineStr">
        <is>
          <t>happykids.ai</t>
        </is>
      </c>
      <c r="G112" s="1" t="inlineStr">
        <is>
          <t>At happy kids we want to empower students to become beyonders through emotional literacy, resilience training, and self-knowledge. It is time to Shine!</t>
        </is>
      </c>
      <c r="H112" s="1" t="inlineStr">
        <is>
          <t>I'm not part of any EdTech association</t>
        </is>
      </c>
      <c r="I112" s="1" t="inlineStr">
        <is>
          <t>English, French, German, Portuguese</t>
        </is>
      </c>
      <c r="J112" s="1" t="inlineStr">
        <is>
          <t>Luxembourg</t>
        </is>
      </c>
      <c r="K112" t="inlineStr">
        <is>
          <t>Luxembourg</t>
        </is>
      </c>
      <c r="L112" t="inlineStr">
        <is>
          <t>Luxembourg, Luxembourg</t>
        </is>
      </c>
      <c r="M112" t="n">
        <v>49.6112768</v>
      </c>
      <c r="N112" t="n">
        <v>6.129799</v>
      </c>
      <c r="O112" s="1" t="inlineStr">
        <is>
          <t>Luxembourg</t>
        </is>
      </c>
      <c r="P112" s="1" t="inlineStr">
        <is>
          <t>Luxembourg</t>
        </is>
      </c>
      <c r="Q112" s="1" t="inlineStr">
        <is>
          <t>Micro (1-9 FTE employees)</t>
        </is>
      </c>
      <c r="R112" t="inlineStr">
        <is>
          <t>Micro</t>
        </is>
      </c>
      <c r="S112" s="1" t="inlineStr">
        <is>
          <t>Business to Government, Business to Schools, Business to Consumer</t>
        </is>
      </c>
      <c r="T112" s="1" t="inlineStr">
        <is>
          <t>Secondary Education, Primary Education, Special Education, Corporate Training</t>
        </is>
      </c>
      <c r="U112" s="1" t="inlineStr">
        <is>
          <t>Student interfacing, Teacher interfacing, System/Administrative, Other</t>
        </is>
      </c>
      <c r="V112" s="1" t="inlineStr">
        <is>
          <t>LULU - Your LLM for all things Luxembourg</t>
        </is>
      </c>
      <c r="W112" s="1" t="inlineStr">
        <is>
          <t>Lulu is here to support expat families arrive smoothly to luxembourg. Help with training languages, and emotionl safe space, is the right person to meet to enjoy a safe arrival.</t>
        </is>
      </c>
      <c r="X112" s="10" t="inlineStr">
        <is>
          <t>My Atlas of Emotions</t>
        </is>
      </c>
      <c r="Y112" t="inlineStr">
        <is>
          <t>A map of emotions that help students to learn about their difrferences, what each emotion makes with our bodies, how to name or recognize them, ideal for class discussions of exercises on emotional literacy.</t>
        </is>
      </c>
      <c r="Z112" s="1" t="inlineStr">
        <is>
          <t>https://drive.google.com/uc?export=view&amp;id=1SOdb4oi6XSFkgFjGRpoTKIUB2LRDQ8tj</t>
        </is>
      </c>
      <c r="AA112" s="1" t="inlineStr">
        <is>
          <t>Unverified</t>
        </is>
      </c>
      <c r="AB112" s="1" t="inlineStr">
        <is>
          <t>Public-private partnerships, Collaborations between EdTech organisations, Project consortium building</t>
        </is>
      </c>
      <c r="AC112" s="1" t="inlineStr">
        <is>
          <t>For-profit company</t>
        </is>
      </c>
      <c r="AD112" s="10" t="b">
        <v>1</v>
      </c>
      <c r="AE112" s="1" t="b">
        <v>1</v>
      </c>
      <c r="AF112" s="1" t="inlineStr">
        <is>
          <t>Yes</t>
        </is>
      </c>
      <c r="AG112" s="1" t="inlineStr">
        <is>
          <t>https://lu.linkedin.com/company/happykids-ai-the-book-of-life</t>
        </is>
      </c>
      <c r="AH112" s="1" t="inlineStr">
        <is>
          <t>https://lu.linkedin.com/company/happykids-ai-the-book-of-life</t>
        </is>
      </c>
      <c r="AI112" s="1" t="inlineStr">
        <is>
          <t>https://lu.linkedin.com/company/happykids-ai-the-book-of-life</t>
        </is>
      </c>
      <c r="AJ112" s="1" t="n"/>
    </row>
    <row r="113" ht="12.5" customHeight="1">
      <c r="A113" s="6" t="n">
        <v>45856</v>
      </c>
      <c r="B113" s="1" t="inlineStr">
        <is>
          <t>ORG_2611</t>
        </is>
      </c>
      <c r="C113" s="1" t="b">
        <v>1</v>
      </c>
      <c r="D113" s="1" t="inlineStr">
        <is>
          <t>Finanzwissen e.V.</t>
        </is>
      </c>
      <c r="E113" s="10" t="inlineStr">
        <is>
          <t>https://finanzwissen.club/</t>
        </is>
      </c>
      <c r="F113" t="inlineStr">
        <is>
          <t>finanzwissen.club</t>
        </is>
      </c>
      <c r="G113" s="1" t="inlineStr">
        <is>
          <t>Seit 2025 setzen wir mit Leidenschaft auf finanzielle Selbstbestimmung – gestützt auf jahrelanger Expertise unserer Gründer:innen in Finanzbildung, digitalen Lernformaten und Technologie.. Wir schließen die Lücke an strukturierten Bildungsangeboten für Retail-Investor:innen im deutschsprachigen Raum – mit technologiegestützten und sozial wirksamen Ansätzen.</t>
        </is>
      </c>
      <c r="H113" s="1" t="inlineStr">
        <is>
          <t>EdTech Austria</t>
        </is>
      </c>
      <c r="I113" s="1" t="inlineStr">
        <is>
          <t>German</t>
        </is>
      </c>
      <c r="J113" s="1" t="inlineStr">
        <is>
          <t>Ramsau Im Zillertal</t>
        </is>
      </c>
      <c r="K113" t="inlineStr">
        <is>
          <t>Ramsau Im Zillertal</t>
        </is>
      </c>
      <c r="L113" t="inlineStr">
        <is>
          <t>Ramsau Im Zillertal, Austria</t>
        </is>
      </c>
      <c r="M113" t="n">
        <v>47.204666</v>
      </c>
      <c r="N113" t="n">
        <v>11.8737046</v>
      </c>
      <c r="O113" s="1" t="inlineStr">
        <is>
          <t>Austria</t>
        </is>
      </c>
      <c r="P113" s="1" t="inlineStr">
        <is>
          <t>Austria</t>
        </is>
      </c>
      <c r="Q113" s="1" t="inlineStr">
        <is>
          <t>Micro (1-9 FTE employees)</t>
        </is>
      </c>
      <c r="R113" t="inlineStr">
        <is>
          <t>Micro</t>
        </is>
      </c>
      <c r="S113" s="1" t="inlineStr">
        <is>
          <t>Business to Business, Business to Consumer, Business to Government, Business to Schools</t>
        </is>
      </c>
      <c r="T113" s="1" t="inlineStr">
        <is>
          <t>Lifelong learning/Adult education</t>
        </is>
      </c>
      <c r="U113" s="1" t="inlineStr">
        <is>
          <t>Student interfacing</t>
        </is>
      </c>
      <c r="V113" s="1" t="inlineStr">
        <is>
          <t>Unser Projektteam bringt fundiertes Wissen in Finanzbildung, KI, Lerntechnologien und soziale Innovation – für eine maßgeschneiderte Lernplattform.</t>
        </is>
      </c>
      <c r="W113" s="1" t="inlineStr">
        <is>
          <t>https://drive.google.com/uc?export=view&amp;id=18Dcn90NsEdIkbnCVQWGgIQel8nCAPAxx</t>
        </is>
      </c>
      <c r="X113" s="1" t="inlineStr">
        <is>
          <t>https://drive.google.com/uc?export=view&amp;id=18Dcn90NsEdIkbnCVQWGgIQel8nCAPAxx</t>
        </is>
      </c>
      <c r="Y113" t="inlineStr">
        <is>
          <t>https://drive.google.com/uc?export=view&amp;id=18Dcn90NsEdIkbnCVQWGgIQel8nCAPAxx</t>
        </is>
      </c>
      <c r="Z113" s="1" t="inlineStr">
        <is>
          <t>https://drive.google.com/uc?export=view&amp;id=18Dcn90NsEdIkbnCVQWGgIQel8nCAPAxx</t>
        </is>
      </c>
      <c r="AA113" s="1" t="inlineStr">
        <is>
          <t>Unverified</t>
        </is>
      </c>
      <c r="AB113" s="1" t="inlineStr">
        <is>
          <t>Collaborations between EdTech organisations, Project consortium building, Public-private partnerships, Industry-academia partnerships, Other</t>
        </is>
      </c>
      <c r="AC113" s="1" t="inlineStr">
        <is>
          <t>Non-profit organisation</t>
        </is>
      </c>
      <c r="AD113" s="10" t="b">
        <v>1</v>
      </c>
      <c r="AE113" s="1" t="b">
        <v>1</v>
      </c>
      <c r="AF113" s="1" t="inlineStr">
        <is>
          <t>No</t>
        </is>
      </c>
      <c r="AG113" s="1" t="n"/>
      <c r="AH113" s="1" t="n"/>
      <c r="AI113" s="1" t="n"/>
      <c r="AJ113" s="1" t="n"/>
    </row>
    <row r="114" ht="12.5" customHeight="1">
      <c r="A114" s="6" t="n">
        <v>45856</v>
      </c>
      <c r="B114" s="1" t="inlineStr">
        <is>
          <t>ORG_2612</t>
        </is>
      </c>
      <c r="C114" s="1" t="b">
        <v>1</v>
      </c>
      <c r="D114" s="1" t="inlineStr">
        <is>
          <t>Investling</t>
        </is>
      </c>
      <c r="E114" s="10" t="inlineStr">
        <is>
          <t>https://www.investling.org/</t>
        </is>
      </c>
      <c r="F114" t="inlineStr">
        <is>
          <t>investling.org</t>
        </is>
      </c>
      <c r="G114" s="1" t="inlineStr">
        <is>
          <t>Investling empowers people to make informed investment decisions. With our AI-driven online learning journey, people will learn the key concepts of investing and will apply this knowledge in an virtual environment.</t>
        </is>
      </c>
      <c r="H114" s="1" t="inlineStr">
        <is>
          <t>EdTech Estonia</t>
        </is>
      </c>
      <c r="I114" s="1" t="inlineStr">
        <is>
          <t>English</t>
        </is>
      </c>
      <c r="J114" s="1" t="inlineStr">
        <is>
          <t>Tallinn</t>
        </is>
      </c>
      <c r="K114" t="inlineStr">
        <is>
          <t>Tallinn</t>
        </is>
      </c>
      <c r="L114" t="inlineStr">
        <is>
          <t>Tallinn, Estonia</t>
        </is>
      </c>
      <c r="M114" t="n">
        <v>59.437242</v>
      </c>
      <c r="N114" t="n">
        <v>24.7572693</v>
      </c>
      <c r="O114" s="1" t="inlineStr">
        <is>
          <t>Estonia</t>
        </is>
      </c>
      <c r="P114" s="1" t="inlineStr">
        <is>
          <t>Austria, Estonia, Germany, Spain</t>
        </is>
      </c>
      <c r="Q114" s="1" t="inlineStr">
        <is>
          <t>Micro (1-9 FTE employees)</t>
        </is>
      </c>
      <c r="R114" t="inlineStr">
        <is>
          <t>Micro</t>
        </is>
      </c>
      <c r="S114" s="1" t="inlineStr">
        <is>
          <t>Business to Consumer, Business to Business</t>
        </is>
      </c>
      <c r="T114" s="1" t="inlineStr">
        <is>
          <t>Lifelong learning/Adult education</t>
        </is>
      </c>
      <c r="U114" s="1" t="inlineStr">
        <is>
          <t>Student interfacing</t>
        </is>
      </c>
      <c r="V114" s="1" t="inlineStr">
        <is>
          <t>Online Course for Individuals</t>
        </is>
      </c>
      <c r="W114" s="1" t="inlineStr">
        <is>
          <t>Our comprehensive 10-module, self-paced Portfolio Management empowers people to become their own portfolio managers. Designed for retail investors, this program equips people with the skills to build and manage a personalized investment portfolio.</t>
        </is>
      </c>
      <c r="X114" s="10" t="inlineStr">
        <is>
          <t>https://drive.google.com/uc?export=view&amp;id=1WW59X-VbdGlZ9ZP9cLsOo22MLYxYDoMp</t>
        </is>
      </c>
      <c r="Y114" t="inlineStr">
        <is>
          <t>https://drive.google.com/uc?export=view&amp;id=1WW59X-VbdGlZ9ZP9cLsOo22MLYxYDoMp</t>
        </is>
      </c>
      <c r="Z114" s="1" t="inlineStr">
        <is>
          <t>https://drive.google.com/uc?export=view&amp;id=1WW59X-VbdGlZ9ZP9cLsOo22MLYxYDoMp</t>
        </is>
      </c>
      <c r="AA114" s="1" t="inlineStr">
        <is>
          <t>Unverified</t>
        </is>
      </c>
      <c r="AB114" s="1" t="inlineStr">
        <is>
          <t>Project consortium building, Public-private partnerships, Industry-academia partnerships</t>
        </is>
      </c>
      <c r="AC114" s="1" t="inlineStr">
        <is>
          <t>For-profit company</t>
        </is>
      </c>
      <c r="AD114" s="10" t="b">
        <v>1</v>
      </c>
      <c r="AE114" s="1" t="b">
        <v>1</v>
      </c>
      <c r="AF114" s="1" t="inlineStr">
        <is>
          <t>Yes</t>
        </is>
      </c>
      <c r="AG114" s="1" t="inlineStr">
        <is>
          <t>https://www.linkedin.com/company/investlingedu</t>
        </is>
      </c>
      <c r="AH114" s="1" t="inlineStr">
        <is>
          <t>https://www.linkedin.com/company/investlingedu</t>
        </is>
      </c>
      <c r="AI114" s="1" t="inlineStr">
        <is>
          <t>https://www.linkedin.com/company/investlingedu</t>
        </is>
      </c>
      <c r="AJ114" s="1" t="n"/>
    </row>
    <row r="115" ht="12.5" customHeight="1">
      <c r="A115" s="6" t="n">
        <v>45855</v>
      </c>
      <c r="B115" s="1" t="inlineStr">
        <is>
          <t>ORG_1973</t>
        </is>
      </c>
      <c r="C115" s="1" t="b">
        <v>1</v>
      </c>
      <c r="D115" s="1" t="inlineStr">
        <is>
          <t>MOBiDYS</t>
        </is>
      </c>
      <c r="E115" s="10" t="inlineStr">
        <is>
          <t>https://www.mobidys.com/</t>
        </is>
      </c>
      <c r="F115" t="inlineStr">
        <is>
          <t>mobidys.com</t>
        </is>
      </c>
      <c r="G115" s="1" t="inlineStr">
        <is>
          <t>Thanks to the power of research and digital technology, MOBiDYS gives people the power to read by adapting existing books into FROG versions, which are 100% accessible to all types of readers. MOBiDYS offers the SONDO digital library for schools, with a catalog that meets teachers' programs.</t>
        </is>
      </c>
      <c r="H115" s="1" t="inlineStr">
        <is>
          <t>AFINEF</t>
        </is>
      </c>
      <c r="I115" s="1" t="inlineStr">
        <is>
          <t>French</t>
        </is>
      </c>
      <c r="J115" s="1" t="inlineStr">
        <is>
          <t>Nantes</t>
        </is>
      </c>
      <c r="K115" t="inlineStr">
        <is>
          <t>Nantes</t>
        </is>
      </c>
      <c r="L115" t="inlineStr">
        <is>
          <t>Nantes, France</t>
        </is>
      </c>
      <c r="M115" t="n">
        <v>47.2186371</v>
      </c>
      <c r="N115" t="n">
        <v>-1.5541362</v>
      </c>
      <c r="O115" s="1" t="inlineStr">
        <is>
          <t>France</t>
        </is>
      </c>
      <c r="P115" s="1" t="inlineStr">
        <is>
          <t>Belgium, France</t>
        </is>
      </c>
      <c r="Q115" s="1" t="inlineStr">
        <is>
          <t>Small (10-49 FTE employees)</t>
        </is>
      </c>
      <c r="R115" t="inlineStr">
        <is>
          <t>Small</t>
        </is>
      </c>
      <c r="S115" s="1" t="inlineStr">
        <is>
          <t>Business to Business, Business to Government</t>
        </is>
      </c>
      <c r="T115" s="1" t="inlineStr">
        <is>
          <t>Primary Education, Secondary Education, Special Education</t>
        </is>
      </c>
      <c r="U115" s="1" t="inlineStr">
        <is>
          <t>Student interfacing, Teacher interfacing</t>
        </is>
      </c>
      <c r="V115" s="1" t="inlineStr">
        <is>
          <t>SONDO</t>
        </is>
      </c>
      <c r="W115" s="1" t="inlineStr">
        <is>
          <t>SONDO is designed for all students—whether avid readers or those who struggle. The digital library offers a wide selection of classical and contemporary literature, aligned with teaching practices. All titles are available in the customizable FROG format, which includes built-in reading tools.</t>
        </is>
      </c>
      <c r="X115" s="1" t="inlineStr">
        <is>
          <t>BibliOdyssée</t>
        </is>
      </c>
      <c r="Y115" t="inlineStr">
        <is>
          <t>BibliOdyssée offers access to over 100 titles of children’s and young adult literature, both classic and contemporary, to help young readers engage with books. Designed specifically for libraries, BibliOdyssée uses the FROG format, which integrates a full range of reading support tools.</t>
        </is>
      </c>
      <c r="Z115" s="1" t="inlineStr">
        <is>
          <t>https://drive.google.com/uc?export=view&amp;id=1MeI4x-m8gyZKfSnJMXiXVIA7fLzipoJc</t>
        </is>
      </c>
      <c r="AA115" s="1" t="inlineStr">
        <is>
          <t>Unverified</t>
        </is>
      </c>
      <c r="AB115" s="1" t="inlineStr">
        <is>
          <t>Collaborations between EdTech organisations, Public-private partnerships</t>
        </is>
      </c>
      <c r="AC115" s="1" t="inlineStr">
        <is>
          <t>For-profit company</t>
        </is>
      </c>
      <c r="AD115" s="10" t="b">
        <v>1</v>
      </c>
      <c r="AE115" s="1" t="b">
        <v>1</v>
      </c>
      <c r="AF115" s="1" t="inlineStr">
        <is>
          <t>No</t>
        </is>
      </c>
      <c r="AG115" s="1" t="n"/>
      <c r="AH115" s="1" t="n"/>
      <c r="AI115" s="1" t="n"/>
      <c r="AJ115" s="1" t="n"/>
    </row>
    <row r="116" ht="12.5" customHeight="1">
      <c r="A116" s="6" t="n">
        <v>45854</v>
      </c>
      <c r="B116" s="1" t="inlineStr">
        <is>
          <t>ORG_1899</t>
        </is>
      </c>
      <c r="C116" s="1" t="b">
        <v>1</v>
      </c>
      <c r="D116" s="1" t="inlineStr">
        <is>
          <t>Madmagz</t>
        </is>
      </c>
      <c r="E116" s="10" t="inlineStr">
        <is>
          <t>https://madmagz.com</t>
        </is>
      </c>
      <c r="F116" t="inlineStr">
        <is>
          <t>madmagz.com</t>
        </is>
      </c>
      <c r="G116" s="1" t="inlineStr">
        <is>
          <t>Madmagz is a user-friendly, collaborative tool for creating school newspapers—such as school journals, presentations, travel logs, or eTwinning projects.</t>
        </is>
      </c>
      <c r="H116" s="1" t="inlineStr">
        <is>
          <t>AFINEF</t>
        </is>
      </c>
      <c r="I116" s="1" t="inlineStr">
        <is>
          <t>English, French</t>
        </is>
      </c>
      <c r="J116" s="1" t="inlineStr">
        <is>
          <t>Paris</t>
        </is>
      </c>
      <c r="K116" t="inlineStr">
        <is>
          <t>Paris</t>
        </is>
      </c>
      <c r="L116" t="inlineStr">
        <is>
          <t>Paris, France</t>
        </is>
      </c>
      <c r="M116" t="n">
        <v>48.8534951</v>
      </c>
      <c r="N116" t="n">
        <v>2.3483915</v>
      </c>
      <c r="O116" s="1" t="inlineStr">
        <is>
          <t>France</t>
        </is>
      </c>
      <c r="P116" s="1" t="inlineStr">
        <is>
          <t>Albania, Andorra, Belarus, Belgium, Bosnia and Herzegovina, Austria, Republic of Cyprus, Croatia, Bulgaria, Czechia, Denmark, Estonia, Germany, France, Finland, Greece, Hungary, Iceland, Kosovo, Italy, Ireland, Latvia, Liechtenstein, Lithuania, Moldova, Malta, Luxembourg, Monaco, Montenegro, Netherlands, Poland, Norway, North Macedonia, Portugal, Slovakia, Sweden, Ukraine, United Kingdom, Switzerland, Slovenia, Romania, San Marino, Spain, Turkey</t>
        </is>
      </c>
      <c r="Q116" s="1" t="inlineStr">
        <is>
          <t>Micro (1-9 FTE employees)</t>
        </is>
      </c>
      <c r="R116" t="inlineStr">
        <is>
          <t>Micro</t>
        </is>
      </c>
      <c r="S116" s="1" t="inlineStr">
        <is>
          <t>Business to Consumer, Business to Schools, Business to Business, Business to Government</t>
        </is>
      </c>
      <c r="T116" s="1" t="inlineStr">
        <is>
          <t>Primary Education, Secondary Education, Vocational Education and Training (VET), Higher Education, Special Education, Lifelong learning/Adult education, Corporate Training, Other, Early childhood development (0-5 years)</t>
        </is>
      </c>
      <c r="U116" s="1" t="inlineStr">
        <is>
          <t>Student interfacing, Teacher interfacing</t>
        </is>
      </c>
      <c r="V116" s="10" t="inlineStr">
        <is>
          <t>Madmagz</t>
        </is>
      </c>
      <c r="W116" s="10" t="inlineStr">
        <is>
          <t>Madmagz is a user-friendly, collaborative software for creating school newspapers—such as school journals, presentations, travel logs, or eTwinning projects.</t>
        </is>
      </c>
      <c r="X116" s="10" t="inlineStr">
        <is>
          <t>https://drive.google.com/uc?export=view&amp;id=1FJIWR9LmUM8N4YxuB61JBlNHJFYCwOph</t>
        </is>
      </c>
      <c r="Y116" t="inlineStr">
        <is>
          <t>https://drive.google.com/uc?export=view&amp;id=1FJIWR9LmUM8N4YxuB61JBlNHJFYCwOph</t>
        </is>
      </c>
      <c r="Z116" s="1" t="inlineStr">
        <is>
          <t>https://drive.google.com/uc?export=view&amp;id=1FJIWR9LmUM8N4YxuB61JBlNHJFYCwOph</t>
        </is>
      </c>
      <c r="AA116" s="1" t="inlineStr">
        <is>
          <t>Unverified</t>
        </is>
      </c>
      <c r="AB116" s="1" t="inlineStr">
        <is>
          <t>Collaborations between EdTech organisations, Public-private partnerships, Industry-academia partnerships, Other</t>
        </is>
      </c>
      <c r="AC116" s="1" t="inlineStr">
        <is>
          <t>For-profit company</t>
        </is>
      </c>
      <c r="AD116" s="10" t="b">
        <v>1</v>
      </c>
      <c r="AE116" s="1" t="b">
        <v>0</v>
      </c>
      <c r="AF116" s="1" t="inlineStr">
        <is>
          <t>Yes</t>
        </is>
      </c>
      <c r="AG116" s="1" t="inlineStr">
        <is>
          <t>https://www.instagram.com/madmagz.live/</t>
        </is>
      </c>
      <c r="AH116" s="1" t="inlineStr">
        <is>
          <t>https://x.com/madmagz</t>
        </is>
      </c>
      <c r="AI116" s="1" t="inlineStr">
        <is>
          <t>https://www.linkedin.com/company/949712</t>
        </is>
      </c>
      <c r="AJ116" s="1" t="n"/>
    </row>
    <row r="117" ht="12.5" customHeight="1">
      <c r="A117" s="6" t="n">
        <v>45854</v>
      </c>
      <c r="B117" s="1" t="inlineStr">
        <is>
          <t>ORG_2608</t>
        </is>
      </c>
      <c r="C117" s="1" t="b">
        <v>1</v>
      </c>
      <c r="D117" s="1" t="inlineStr">
        <is>
          <t>Skribu</t>
        </is>
      </c>
      <c r="E117" s="10" t="inlineStr">
        <is>
          <t>www.skribu.pl</t>
        </is>
      </c>
      <c r="F117" t="inlineStr">
        <is>
          <t>skribu.pl</t>
        </is>
      </c>
      <c r="G117" s="1" t="inlineStr">
        <is>
          <t>SKRIBU is an AI-powered EdTech platform revolutionizing how English as a Second Language (ESL) essay writing is taught and assessed, with a particular focus on Polish high school students preparing for the national Matura exam. At its core, SKRIBU combines advanced handwriting recognition, rubric-aligned essay evaluation, and an interactive feedback to deliver personalized, consistent, and efficient writing support. For teachers, SKRIBU reduces the time and effort spent grading handwritten essays by up to 50%, while offering rich class-level analytics and customizable feedback tools. For students, it transforms essay feedback into a dynamic learning experience - clarifying mistakes, suggesting improvements, and tracking progress over time. Unlike generic grammar tools or costly private tutoring, SKRIBU addresses the specific challenges of high-stakes exam preparation with localized, curriculum-aligned intelligence, making high-quality writing instruction more accessible, engaging, and fair for all learners.</t>
        </is>
      </c>
      <c r="H117" s="1" t="inlineStr">
        <is>
          <t>I'm not part of any EdTech association</t>
        </is>
      </c>
      <c r="I117" s="1" t="inlineStr">
        <is>
          <t>Polish</t>
        </is>
      </c>
      <c r="J117" s="1" t="inlineStr">
        <is>
          <t>Warszawa</t>
        </is>
      </c>
      <c r="K117" t="inlineStr">
        <is>
          <t>Warszawa</t>
        </is>
      </c>
      <c r="L117" t="inlineStr">
        <is>
          <t>Warszawa, Poland</t>
        </is>
      </c>
      <c r="M117" t="n">
        <v>52.2319581</v>
      </c>
      <c r="N117" t="n">
        <v>21.0067249</v>
      </c>
      <c r="O117" s="1" t="inlineStr">
        <is>
          <t>Poland</t>
        </is>
      </c>
      <c r="P117" s="1" t="inlineStr">
        <is>
          <t>Poland</t>
        </is>
      </c>
      <c r="Q117" s="1" t="inlineStr">
        <is>
          <t>Micro (1-9 FTE employees)</t>
        </is>
      </c>
      <c r="R117" t="inlineStr">
        <is>
          <t>Micro</t>
        </is>
      </c>
      <c r="S117" s="1" t="inlineStr">
        <is>
          <t>Business to Schools, Business to Consumer, Business to Business</t>
        </is>
      </c>
      <c r="T117" s="1" t="inlineStr">
        <is>
          <t>Secondary Education</t>
        </is>
      </c>
      <c r="U117" s="1" t="inlineStr">
        <is>
          <t>Student interfacing, Teacher interfacing</t>
        </is>
      </c>
      <c r="V117" s="1" t="inlineStr">
        <is>
          <t>SKRIBU AI</t>
        </is>
      </c>
      <c r="W117" s="1" t="inlineStr">
        <is>
          <t>SKRIBU AI is an intelligent essay assessment tool designed for ESL teachers and students preparing for the Matura exam. It features AI-based handwriting recognition, automated grading aligned with official rubrics, and an interactive UI that helps students understand and improve their writing.</t>
        </is>
      </c>
      <c r="X117" s="1" t="inlineStr">
        <is>
          <t>https://drive.google.com/uc?export=view&amp;id=1mzOrg3CgHSFQVlWJIZmsdq0-Ej8ofjBo</t>
        </is>
      </c>
      <c r="Y117" t="inlineStr">
        <is>
          <t>https://drive.google.com/uc?export=view&amp;id=1mzOrg3CgHSFQVlWJIZmsdq0-Ej8ofjBo</t>
        </is>
      </c>
      <c r="Z117" s="1" t="inlineStr">
        <is>
          <t>https://drive.google.com/uc?export=view&amp;id=1mzOrg3CgHSFQVlWJIZmsdq0-Ej8ofjBo</t>
        </is>
      </c>
      <c r="AA117" s="1" t="inlineStr">
        <is>
          <t>Unverified</t>
        </is>
      </c>
      <c r="AB117" s="1" t="inlineStr">
        <is>
          <t>Collaborations between EdTech organisations, Project consortium building, Other, Industry-academia partnerships, Public-private partnerships</t>
        </is>
      </c>
      <c r="AC117" s="1" t="inlineStr">
        <is>
          <t>For-profit company</t>
        </is>
      </c>
      <c r="AD117" s="10" t="b">
        <v>1</v>
      </c>
      <c r="AE117" s="1" t="b">
        <v>1</v>
      </c>
      <c r="AF117" s="1" t="inlineStr">
        <is>
          <t>No</t>
        </is>
      </c>
      <c r="AG117" s="1" t="n"/>
      <c r="AH117" s="1" t="n"/>
      <c r="AI117" s="1" t="n"/>
      <c r="AJ117" s="1" t="n"/>
    </row>
    <row r="118" ht="12.5" customHeight="1">
      <c r="A118" s="6" t="n">
        <v>45852</v>
      </c>
      <c r="B118" s="1" t="inlineStr">
        <is>
          <t>ORG_2607</t>
        </is>
      </c>
      <c r="C118" s="1" t="b">
        <v>1</v>
      </c>
      <c r="D118" s="1" t="inlineStr">
        <is>
          <t>BC Internet GmbH</t>
        </is>
      </c>
      <c r="E118" s="10" t="inlineStr">
        <is>
          <t>https://schul.tools</t>
        </is>
      </c>
      <c r="F118" t="inlineStr">
        <is>
          <t>schul.tools</t>
        </is>
      </c>
      <c r="G118" s="1" t="inlineStr">
        <is>
          <t>Webapplikationen für den Mittelstand und den Bildungsmarkt. Über 20 Jahre Ihr zuverlässiger Partner für die Realisierung Ihrer Ideen zum Thema Digitalisierung.</t>
        </is>
      </c>
      <c r="H118" s="1" t="inlineStr">
        <is>
          <t>I'm not part of any EdTech association</t>
        </is>
      </c>
      <c r="I118" s="1" t="inlineStr">
        <is>
          <t>German</t>
        </is>
      </c>
      <c r="J118" s="1" t="inlineStr">
        <is>
          <t>Weilheim</t>
        </is>
      </c>
      <c r="K118" t="inlineStr">
        <is>
          <t>Weilheim</t>
        </is>
      </c>
      <c r="L118" t="inlineStr">
        <is>
          <t>Weilheim, Germany</t>
        </is>
      </c>
      <c r="M118" t="n">
        <v>47.6582006</v>
      </c>
      <c r="N118" t="n">
        <v>8.241304700000001</v>
      </c>
      <c r="O118" s="1" t="inlineStr">
        <is>
          <t>Germany</t>
        </is>
      </c>
      <c r="P118" s="1" t="inlineStr">
        <is>
          <t>Germany, Austria</t>
        </is>
      </c>
      <c r="Q118" s="1" t="inlineStr">
        <is>
          <t>Micro (1-9 FTE employees)</t>
        </is>
      </c>
      <c r="R118" t="inlineStr">
        <is>
          <t>Micro</t>
        </is>
      </c>
      <c r="S118" s="1" t="inlineStr">
        <is>
          <t>Business to Business</t>
        </is>
      </c>
      <c r="T118" s="1" t="inlineStr">
        <is>
          <t>Higher Education, Vocational Education and Training (VET), Secondary Education, Primary Education, Early childhood development (0-5 years)</t>
        </is>
      </c>
      <c r="U118" s="1" t="inlineStr">
        <is>
          <t>System/Administrative, Teacher interfacing</t>
        </is>
      </c>
      <c r="V118" s="1" t="inlineStr">
        <is>
          <t>schul.tools</t>
        </is>
      </c>
      <c r="W118" s="1" t="inlineStr">
        <is>
          <t>schul.tools ist eine umfassende Online-Plattform, die Schulen dabei unterstützt, administrative Prozesse zu digitalisieren und die Kommunikation zwischen Lehrkräften, Eltern und Schülern zu optimieren.</t>
        </is>
      </c>
      <c r="X118" s="1" t="inlineStr">
        <is>
          <t>https://drive.google.com/uc?export=view&amp;id=1BBVx4jFaYCviovsBSI75OoQculWcwQWk</t>
        </is>
      </c>
      <c r="Y118" t="inlineStr">
        <is>
          <t>https://drive.google.com/uc?export=view&amp;id=1BBVx4jFaYCviovsBSI75OoQculWcwQWk</t>
        </is>
      </c>
      <c r="Z118" s="1" t="inlineStr">
        <is>
          <t>https://drive.google.com/uc?export=view&amp;id=1BBVx4jFaYCviovsBSI75OoQculWcwQWk</t>
        </is>
      </c>
      <c r="AA118" s="1" t="inlineStr">
        <is>
          <t>Unverified</t>
        </is>
      </c>
      <c r="AB118" s="1" t="inlineStr">
        <is>
          <t>Collaborations between EdTech organisations, Project consortium building, Public-private partnerships</t>
        </is>
      </c>
      <c r="AC118" s="1" t="inlineStr">
        <is>
          <t>For-profit company</t>
        </is>
      </c>
      <c r="AD118" s="10" t="b">
        <v>1</v>
      </c>
      <c r="AE118" s="1" t="b">
        <v>0</v>
      </c>
      <c r="AF118" s="1" t="inlineStr">
        <is>
          <t>No</t>
        </is>
      </c>
      <c r="AG118" s="1" t="n"/>
      <c r="AH118" s="1" t="n"/>
      <c r="AI118" s="1" t="n"/>
      <c r="AJ118" s="1" t="n"/>
    </row>
    <row r="119" ht="12.5" customHeight="1">
      <c r="A119" s="6" t="n">
        <v>45852</v>
      </c>
      <c r="B119" s="1" t="inlineStr">
        <is>
          <t>ORG_2068</t>
        </is>
      </c>
      <c r="C119" s="1" t="b">
        <v>1</v>
      </c>
      <c r="D119" s="1" t="inlineStr">
        <is>
          <t>Online-Vertretungsstunden OVS GmbH</t>
        </is>
      </c>
      <c r="E119" s="10" t="inlineStr">
        <is>
          <t>https://online-vertretungsstunden.de/</t>
        </is>
      </c>
      <c r="F119" t="inlineStr">
        <is>
          <t>online-vertretungsstunden.de</t>
        </is>
      </c>
      <c r="G119" s="1" t="inlineStr">
        <is>
          <t>We offer complete digital lessons in physics and chemistry (in 5 languages) for grades 5-10. Our lessons can be used to compensate for short-term or long-term teacher absences.</t>
        </is>
      </c>
      <c r="H119" s="1" t="inlineStr">
        <is>
          <t>EdTech-Verband e.V.</t>
        </is>
      </c>
      <c r="I119" s="1" t="inlineStr">
        <is>
          <t>German, English, Turkish, Arabic, Russian, Polish</t>
        </is>
      </c>
      <c r="J119" s="1" t="inlineStr">
        <is>
          <t>Berlin</t>
        </is>
      </c>
      <c r="K119" t="inlineStr">
        <is>
          <t>Berlin</t>
        </is>
      </c>
      <c r="L119" t="inlineStr">
        <is>
          <t>Berlin, Germany</t>
        </is>
      </c>
      <c r="M119" t="n">
        <v>52.5173885</v>
      </c>
      <c r="N119" t="n">
        <v>13.3951309</v>
      </c>
      <c r="O119" s="1" t="inlineStr">
        <is>
          <t>Germany</t>
        </is>
      </c>
      <c r="P119" s="1" t="inlineStr">
        <is>
          <t>Germany, Austria</t>
        </is>
      </c>
      <c r="Q119" s="1" t="inlineStr">
        <is>
          <t>Small (10-49 FTE employees)</t>
        </is>
      </c>
      <c r="R119" t="inlineStr">
        <is>
          <t>Small</t>
        </is>
      </c>
      <c r="S119" s="1" t="inlineStr">
        <is>
          <t>Business to Government</t>
        </is>
      </c>
      <c r="T119" s="1" t="inlineStr">
        <is>
          <t>Secondary Education</t>
        </is>
      </c>
      <c r="U119" s="1" t="inlineStr">
        <is>
          <t>Teacher interfacing</t>
        </is>
      </c>
      <c r="V119" s="10" t="inlineStr">
        <is>
          <t>Online-Vertretungsstunden Physik</t>
        </is>
      </c>
      <c r="W119" s="1" t="inlineStr">
        <is>
          <t>A school license includes access to over 120 digital lessons in physics, more than 1,500 interactive exercises, and over 500 worksheets and answer sheets (PDF).
Each digital lesson begins with a review of prior knowledge and ends with a final test.</t>
        </is>
      </c>
      <c r="X119" s="10" t="inlineStr">
        <is>
          <t>Online-Vertretungsstunden Chemistry</t>
        </is>
      </c>
      <c r="Y119" t="inlineStr">
        <is>
          <t>A school license includes access to over 80 digital lessons in chemistry, more than 1,000 interactive exercises, and over 400 worksheets and answer sheets (PDF).
Each digital lesson begins with a review of prior knowledge and ends with a final test.</t>
        </is>
      </c>
      <c r="Z119" s="1" t="inlineStr">
        <is>
          <t>https://drive.google.com/uc?export=view&amp;id=1725e6LWSJjE_TnG7IyyvFGSTHIdbVyDY</t>
        </is>
      </c>
      <c r="AA119" s="1" t="inlineStr">
        <is>
          <t>Unverified</t>
        </is>
      </c>
      <c r="AB119" s="1" t="inlineStr">
        <is>
          <t>Collaborations between EdTech organisations, Project consortium building, Public-private partnerships</t>
        </is>
      </c>
      <c r="AC119" s="1" t="inlineStr">
        <is>
          <t>For-profit company</t>
        </is>
      </c>
      <c r="AD119" s="10" t="b">
        <v>1</v>
      </c>
      <c r="AE119" s="1" t="b">
        <v>1</v>
      </c>
      <c r="AF119" s="1" t="inlineStr">
        <is>
          <t>Yes</t>
        </is>
      </c>
      <c r="AG119" s="1" t="inlineStr">
        <is>
          <t>https://www.instagram.com/online_vertretungsstunden/</t>
        </is>
      </c>
      <c r="AH119" s="1" t="inlineStr">
        <is>
          <t>https://www.linkedin.com/company/online-vertretungsstunden</t>
        </is>
      </c>
      <c r="AI119" s="1" t="inlineStr">
        <is>
          <t>https://www.linkedin.com/company/online-vertretungsstunden</t>
        </is>
      </c>
      <c r="AJ119" s="10" t="inlineStr">
        <is>
          <t>https://www.facebook.com/onlinevertretungsstunden</t>
        </is>
      </c>
    </row>
    <row r="120" ht="12.5" customHeight="1">
      <c r="A120" s="6" t="n">
        <v>45851</v>
      </c>
      <c r="B120" s="1" t="inlineStr">
        <is>
          <t>ORG_2605</t>
        </is>
      </c>
      <c r="C120" s="1" t="b">
        <v>1</v>
      </c>
      <c r="D120" s="1" t="inlineStr">
        <is>
          <t>Paradox Learning Inc.</t>
        </is>
      </c>
      <c r="E120" s="10" t="inlineStr">
        <is>
          <t>https://paradoxlearning.com/</t>
        </is>
      </c>
      <c r="F120" t="inlineStr">
        <is>
          <t>paradoxlearning.com</t>
        </is>
      </c>
      <c r="G120" s="1" t="inlineStr">
        <is>
          <t>Paradox Learning Inc. is a boutique, full-service e-learning consulting firm founded in 2014, with a proven track record of delivering strategic, high-impact digital learning solutions for government agencies, multilateral organizations, and large enterprises. We specialize in serving the public and education sectors, applying evidence-based methodologies to address complex learning and capacity-building challenges.</t>
        </is>
      </c>
      <c r="H120" s="1" t="inlineStr">
        <is>
          <t>I'm not part of any EdTech association</t>
        </is>
      </c>
      <c r="I120" s="1" t="inlineStr">
        <is>
          <t>English, French</t>
        </is>
      </c>
      <c r="J120" s="1" t="inlineStr">
        <is>
          <t>Calgary</t>
        </is>
      </c>
      <c r="K120" t="inlineStr">
        <is>
          <t>Calgary</t>
        </is>
      </c>
      <c r="L120" t="inlineStr">
        <is>
          <t>Calgary, Canada</t>
        </is>
      </c>
      <c r="M120" t="n">
        <v>51.0456064</v>
      </c>
      <c r="N120" t="n">
        <v>-114.057541</v>
      </c>
      <c r="O120" s="1" t="inlineStr">
        <is>
          <t>Canada</t>
        </is>
      </c>
      <c r="P120" s="1" t="inlineStr">
        <is>
          <t>United Kingdom, Belgium, Finland, Netherlands</t>
        </is>
      </c>
      <c r="Q120" s="1" t="inlineStr">
        <is>
          <t>Micro (1-9 FTE employees)</t>
        </is>
      </c>
      <c r="R120" t="inlineStr">
        <is>
          <t>Micro</t>
        </is>
      </c>
      <c r="S120" s="1" t="inlineStr">
        <is>
          <t>Business to Consumer, Business to Government, Business to Schools, Business to Business</t>
        </is>
      </c>
      <c r="T120" s="1" t="inlineStr">
        <is>
          <t>Vocational Education and Training (VET), Higher Education, Corporate Training, Lifelong learning/Adult education</t>
        </is>
      </c>
      <c r="U120" s="1" t="inlineStr">
        <is>
          <t>Teacher interfacing, System/Administrative</t>
        </is>
      </c>
      <c r="V120" s="1" t="inlineStr">
        <is>
          <t>AI literacy courses, workshops, and toolkits for educators</t>
        </is>
      </c>
      <c r="W120" s="1" t="inlineStr">
        <is>
          <t>The courses and workshop aim to support the development of AI literacy across sectors and levels (for non-technical people). The toolkit will provide practical and customizable content that includes adaptable resources, competency-based assessments, a platform to track progress.</t>
        </is>
      </c>
      <c r="X120" s="10" t="inlineStr">
        <is>
          <t>AI ethics in education workshop and design toolkits</t>
        </is>
      </c>
      <c r="Y120" t="inlineStr">
        <is>
          <t>This offering helps educators, instructional designers, and edtech leaders apply ethical principles in the development and use of AI in learning environments.</t>
        </is>
      </c>
      <c r="Z120" s="1" t="inlineStr">
        <is>
          <t>https://drive.google.com/uc?export=view&amp;id=1lxriF7cOtykTwCYM2tcqphwRMe2eZc85</t>
        </is>
      </c>
      <c r="AA120" s="1" t="inlineStr">
        <is>
          <t>Unverified</t>
        </is>
      </c>
      <c r="AB120" s="1" t="inlineStr">
        <is>
          <t>Project consortium building, Public-private partnerships, Industry-academia partnerships, Collaborations between EdTech organisations</t>
        </is>
      </c>
      <c r="AC120" s="1" t="inlineStr">
        <is>
          <t>For-profit company</t>
        </is>
      </c>
      <c r="AD120" s="10" t="b">
        <v>1</v>
      </c>
      <c r="AE120" s="1" t="b">
        <v>1</v>
      </c>
      <c r="AF120" s="1" t="inlineStr">
        <is>
          <t>Yes</t>
        </is>
      </c>
      <c r="AG120" s="1" t="inlineStr">
        <is>
          <t>https://www.linkedin.com/in/stellal/</t>
        </is>
      </c>
      <c r="AH120" s="1" t="inlineStr">
        <is>
          <t>https://www.linkedin.com/in/stellal/</t>
        </is>
      </c>
      <c r="AI120" s="1" t="inlineStr">
        <is>
          <t>https://www.linkedin.com/in/stellal/</t>
        </is>
      </c>
      <c r="AJ120" s="1" t="n"/>
    </row>
    <row r="121" ht="12.5" customHeight="1">
      <c r="A121" s="6" t="n">
        <v>45849</v>
      </c>
      <c r="B121" s="1" t="inlineStr">
        <is>
          <t>ORG_2604</t>
        </is>
      </c>
      <c r="C121" s="1" t="b">
        <v>1</v>
      </c>
      <c r="D121" s="1" t="inlineStr">
        <is>
          <t>EdCortex</t>
        </is>
      </c>
      <c r="E121" s="10" t="inlineStr">
        <is>
          <t>https://www.edcortex.com/</t>
        </is>
      </c>
      <c r="F121" t="inlineStr">
        <is>
          <t>edcortex.com</t>
        </is>
      </c>
      <c r="G121" s="1" t="inlineStr">
        <is>
          <t>At EdCortex we are an EdTech startup with a team of Neuroscientists, providing B2B Cognitive Profiling and Neuro-adaptive personalization solutions to the EdTech and the HR sector</t>
        </is>
      </c>
      <c r="H121" s="1" t="inlineStr">
        <is>
          <t>EdTech France</t>
        </is>
      </c>
      <c r="I121" s="1" t="inlineStr">
        <is>
          <t>English</t>
        </is>
      </c>
      <c r="J121" s="1" t="inlineStr">
        <is>
          <t>Paris</t>
        </is>
      </c>
      <c r="K121" t="inlineStr">
        <is>
          <t>Paris</t>
        </is>
      </c>
      <c r="L121" t="inlineStr">
        <is>
          <t>Paris, France</t>
        </is>
      </c>
      <c r="M121" t="n">
        <v>48.8534951</v>
      </c>
      <c r="N121" t="n">
        <v>2.3483915</v>
      </c>
      <c r="O121" s="1" t="inlineStr">
        <is>
          <t>France</t>
        </is>
      </c>
      <c r="P121" s="1" t="inlineStr">
        <is>
          <t>France, Italy</t>
        </is>
      </c>
      <c r="Q121" s="1" t="inlineStr">
        <is>
          <t>Micro (1-9 FTE employees)</t>
        </is>
      </c>
      <c r="R121" t="inlineStr">
        <is>
          <t>Micro</t>
        </is>
      </c>
      <c r="S121" s="1" t="inlineStr">
        <is>
          <t>Business to Business, Business to Government</t>
        </is>
      </c>
      <c r="T121" s="1" t="inlineStr">
        <is>
          <t>Early childhood development (0-5 years), Higher Education, Corporate Training, Lifelong learning/Adult education, Special Education, Vocational Education and Training (VET)</t>
        </is>
      </c>
      <c r="U121" s="1" t="inlineStr">
        <is>
          <t>Student interfacing, System/Administrative</t>
        </is>
      </c>
      <c r="V121" s="1" t="inlineStr">
        <is>
          <t>EdCortex Recommender Engine</t>
        </is>
      </c>
      <c r="W121" s="1" t="inlineStr">
        <is>
          <t>Through a seamless integration, powering Learning Platforms with the latest Cognitive Models and Cognitive-specific modulations</t>
        </is>
      </c>
      <c r="X121" s="10" t="inlineStr">
        <is>
          <t>EdCortex Hub</t>
        </is>
      </c>
      <c r="Y121" t="inlineStr">
        <is>
          <t>Providing Corporate and Academic Learning based on the latest Cognitive Profiling techniques</t>
        </is>
      </c>
      <c r="Z121" s="1" t="inlineStr">
        <is>
          <t>https://drive.google.com/uc?export=view&amp;id=1QYCY1FiwZbZ6CoiFXQviCoy9nSxXDXCq</t>
        </is>
      </c>
      <c r="AA121" s="1" t="inlineStr">
        <is>
          <t>Unverified</t>
        </is>
      </c>
      <c r="AB121" s="1" t="inlineStr">
        <is>
          <t>Collaborations between EdTech organisations, Public-private partnerships, Industry-academia partnerships</t>
        </is>
      </c>
      <c r="AC121" s="1" t="inlineStr">
        <is>
          <t>For-profit company</t>
        </is>
      </c>
      <c r="AD121" s="10" t="b">
        <v>1</v>
      </c>
      <c r="AE121" s="1" t="b">
        <v>1</v>
      </c>
      <c r="AF121" s="1" t="inlineStr">
        <is>
          <t>Yes</t>
        </is>
      </c>
      <c r="AG121" s="1" t="inlineStr">
        <is>
          <t>https://www.linkedin.com/company/edcortex/?viewAsMember=true</t>
        </is>
      </c>
      <c r="AH121" s="1" t="inlineStr">
        <is>
          <t>https://www.linkedin.com/company/edcortex/?viewAsMember=true</t>
        </is>
      </c>
      <c r="AI121" s="1" t="inlineStr">
        <is>
          <t>https://www.linkedin.com/company/edcortex/?viewAsMember=true</t>
        </is>
      </c>
      <c r="AJ121" s="1" t="n"/>
    </row>
    <row r="122" ht="12.5" customHeight="1">
      <c r="A122" s="6" t="n">
        <v>45849</v>
      </c>
      <c r="B122" s="1" t="inlineStr">
        <is>
          <t>ORG_2603</t>
        </is>
      </c>
      <c r="C122" s="1" t="b">
        <v>1</v>
      </c>
      <c r="D122" s="1" t="inlineStr">
        <is>
          <t>Eduplaces GmbH</t>
        </is>
      </c>
      <c r="E122" s="10" t="inlineStr">
        <is>
          <t>www.eduplaces.de</t>
        </is>
      </c>
      <c r="F122" t="inlineStr">
        <is>
          <t>eduplaces.de</t>
        </is>
      </c>
      <c r="G122" s="1" t="inlineStr">
        <is>
          <t>All apps for school with just one login. Eduplaces makes digital learning and teaching easy! Want to digitise your lessons with learning apps, but don't know where to find the right ones? Or how to manage them in a time-saving way? Or how your students can access them without having to search for long passwords? Whether it's a mobile app, digital textbook or learning platform – Eduplaces makes using apps for your school easier than ever before. With our app store, user management and single sign-on, you always have your digital educational media at your fingertips. And best of all, Eduplaces is completely free for schools to use. Want to find, manage and use all the digital tools for your school centrally on one platform? Eduplaces!</t>
        </is>
      </c>
      <c r="H122" s="1" t="inlineStr">
        <is>
          <t>EdTech-Verband e.V.</t>
        </is>
      </c>
      <c r="I122" s="1" t="inlineStr">
        <is>
          <t>German</t>
        </is>
      </c>
      <c r="J122" s="1" t="inlineStr">
        <is>
          <t>Braunschweig</t>
        </is>
      </c>
      <c r="K122" t="inlineStr">
        <is>
          <t>Braunschweig</t>
        </is>
      </c>
      <c r="L122" t="inlineStr">
        <is>
          <t>Braunschweig, Germany</t>
        </is>
      </c>
      <c r="M122" t="n">
        <v>52.2646577</v>
      </c>
      <c r="N122" t="n">
        <v>10.5236066</v>
      </c>
      <c r="O122" s="1" t="inlineStr">
        <is>
          <t>Germany</t>
        </is>
      </c>
      <c r="P122" s="1" t="inlineStr">
        <is>
          <t>Austria, Germany, Switzerland</t>
        </is>
      </c>
      <c r="Q122" s="1" t="inlineStr">
        <is>
          <t>Small (10-49 FTE employees)</t>
        </is>
      </c>
      <c r="R122" t="inlineStr">
        <is>
          <t>Small</t>
        </is>
      </c>
      <c r="S122" s="1" t="inlineStr">
        <is>
          <t>Business to Business, Business to Government, Business to Schools</t>
        </is>
      </c>
      <c r="T122" s="1" t="inlineStr">
        <is>
          <t>Primary Education, Secondary Education</t>
        </is>
      </c>
      <c r="U122" s="1" t="inlineStr">
        <is>
          <t>Teacher interfacing, System/Administrative, Other, Student interfacing</t>
        </is>
      </c>
      <c r="V122" s="10" t="inlineStr">
        <is>
          <t>Eduplaces - All Apps on one platform</t>
        </is>
      </c>
      <c r="W122" s="1" t="inlineStr">
        <is>
          <t>SSO-Service</t>
        </is>
      </c>
      <c r="X122" s="10" t="inlineStr">
        <is>
          <t>IDM-API</t>
        </is>
      </c>
      <c r="Y122" t="inlineStr">
        <is>
          <t>Shop/Store</t>
        </is>
      </c>
      <c r="Z122" s="1" t="inlineStr">
        <is>
          <t>https://drive.google.com/uc?export=view&amp;id=1rWBjrUeAr1BGlaDHKRO-tn-VzWPHt9k2</t>
        </is>
      </c>
      <c r="AA122" s="1" t="inlineStr">
        <is>
          <t>Unverified</t>
        </is>
      </c>
      <c r="AB122" s="1" t="inlineStr">
        <is>
          <t>Collaborations between EdTech organisations, Project consortium building, Public-private partnerships, Other</t>
        </is>
      </c>
      <c r="AC122" s="1" t="inlineStr">
        <is>
          <t>For-profit company</t>
        </is>
      </c>
      <c r="AD122" s="10" t="b">
        <v>1</v>
      </c>
      <c r="AE122" s="1" t="b">
        <v>1</v>
      </c>
      <c r="AF122" s="1" t="inlineStr">
        <is>
          <t>Yes</t>
        </is>
      </c>
      <c r="AG122" s="1" t="inlineStr">
        <is>
          <t>https://www.instagram.com/eduplaces_apps/</t>
        </is>
      </c>
      <c r="AH122" s="1" t="inlineStr">
        <is>
          <t>https://www.linkedin.com/company/eduplaces</t>
        </is>
      </c>
      <c r="AI122" s="1" t="inlineStr">
        <is>
          <t>https://www.linkedin.com/company/eduplaces</t>
        </is>
      </c>
      <c r="AJ122" s="10" t="inlineStr">
        <is>
          <t>https://www.facebook.com/eduplaces.apps</t>
        </is>
      </c>
    </row>
    <row r="123" ht="12.5" customHeight="1">
      <c r="A123" s="6" t="n">
        <v>45848</v>
      </c>
      <c r="B123" s="1" t="inlineStr">
        <is>
          <t>ORG_2602</t>
        </is>
      </c>
      <c r="C123" s="1" t="b">
        <v>1</v>
      </c>
      <c r="D123" s="1" t="inlineStr">
        <is>
          <t>Eduva AI</t>
        </is>
      </c>
      <c r="E123" s="10" t="inlineStr">
        <is>
          <t>https://eduva.ai/</t>
        </is>
      </c>
      <c r="F123" t="inlineStr">
        <is>
          <t>eduva.ai</t>
        </is>
      </c>
      <c r="G123" s="1" t="inlineStr">
        <is>
          <t>Eduva is shaping the future of school work — with a personal AI assistant for teachers, trained on local school systems and fully integrated with the tools educators already use.</t>
        </is>
      </c>
      <c r="H123" s="1" t="inlineStr">
        <is>
          <t>EdTech Estonia</t>
        </is>
      </c>
      <c r="I123" s="1" t="inlineStr">
        <is>
          <t>English, Estonian</t>
        </is>
      </c>
      <c r="J123" s="1" t="inlineStr">
        <is>
          <t>Tallinn</t>
        </is>
      </c>
      <c r="K123" t="inlineStr">
        <is>
          <t>Tallinn</t>
        </is>
      </c>
      <c r="L123" t="inlineStr">
        <is>
          <t>Tallinn, Estonia</t>
        </is>
      </c>
      <c r="M123" t="n">
        <v>59.437242</v>
      </c>
      <c r="N123" t="n">
        <v>24.7572693</v>
      </c>
      <c r="O123" s="1" t="inlineStr">
        <is>
          <t>Estonia</t>
        </is>
      </c>
      <c r="P123" s="1" t="inlineStr">
        <is>
          <t>Estonia</t>
        </is>
      </c>
      <c r="Q123" s="1" t="inlineStr">
        <is>
          <t>Micro (1-9 FTE employees)</t>
        </is>
      </c>
      <c r="R123" t="inlineStr">
        <is>
          <t>Micro</t>
        </is>
      </c>
      <c r="S123" s="1" t="inlineStr">
        <is>
          <t>Business to Schools</t>
        </is>
      </c>
      <c r="T123" s="1" t="inlineStr">
        <is>
          <t>Primary Education, Secondary Education, Vocational Education and Training (VET)</t>
        </is>
      </c>
      <c r="U123" s="1" t="inlineStr">
        <is>
          <t>Teacher interfacing</t>
        </is>
      </c>
      <c r="V123" s="1" t="inlineStr">
        <is>
          <t>AI assistant for teachers</t>
        </is>
      </c>
      <c r="W123" t="inlineStr">
        <is>
          <t>Chatbot based AI tool to assist teacher with admin tasks</t>
        </is>
      </c>
      <c r="X123" s="1" t="inlineStr">
        <is>
          <t>https://drive.google.com/uc?export=view&amp;id=1HtPQnlQhvX1LIMnd3a1frkP0AkWHrkal</t>
        </is>
      </c>
      <c r="Y123" t="inlineStr">
        <is>
          <t>https://drive.google.com/uc?export=view&amp;id=1HtPQnlQhvX1LIMnd3a1frkP0AkWHrkal</t>
        </is>
      </c>
      <c r="Z123" s="1" t="inlineStr">
        <is>
          <t>https://drive.google.com/uc?export=view&amp;id=1HtPQnlQhvX1LIMnd3a1frkP0AkWHrkal</t>
        </is>
      </c>
      <c r="AA123" s="1" t="inlineStr">
        <is>
          <t>Unverified</t>
        </is>
      </c>
      <c r="AB123" s="1" t="inlineStr">
        <is>
          <t>Public-private partnerships, Other</t>
        </is>
      </c>
      <c r="AC123" s="1" t="inlineStr">
        <is>
          <t>For-profit company</t>
        </is>
      </c>
      <c r="AD123" s="10" t="b">
        <v>1</v>
      </c>
      <c r="AE123" s="1" t="b">
        <v>1</v>
      </c>
      <c r="AF123" s="1" t="inlineStr">
        <is>
          <t>No</t>
        </is>
      </c>
      <c r="AG123" s="1" t="n"/>
      <c r="AH123" s="1" t="n"/>
      <c r="AI123" s="1" t="n"/>
      <c r="AJ123" s="1" t="n"/>
    </row>
    <row r="124" ht="12.5" customHeight="1">
      <c r="A124" s="6" t="n">
        <v>45847</v>
      </c>
      <c r="B124" s="1" t="inlineStr">
        <is>
          <t>ORG_2600</t>
        </is>
      </c>
      <c r="C124" s="1" t="b">
        <v>1</v>
      </c>
      <c r="D124" s="1" t="inlineStr">
        <is>
          <t>Educa360, S.L.</t>
        </is>
      </c>
      <c r="E124" s="10" t="inlineStr">
        <is>
          <t>https://educa360.com/</t>
        </is>
      </c>
      <c r="F124" t="inlineStr">
        <is>
          <t>educa360.com</t>
        </is>
      </c>
      <c r="G124" s="1" t="inlineStr">
        <is>
          <t>Educational platform</t>
        </is>
      </c>
      <c r="H124" s="1" t="inlineStr">
        <is>
          <t>I'm not part of any EdTech association</t>
        </is>
      </c>
      <c r="I124" s="1" t="inlineStr">
        <is>
          <t>Spanish</t>
        </is>
      </c>
      <c r="J124" s="1" t="inlineStr">
        <is>
          <t>Sevilla</t>
        </is>
      </c>
      <c r="K124" t="inlineStr">
        <is>
          <t>Sevilla</t>
        </is>
      </c>
      <c r="L124" t="inlineStr">
        <is>
          <t>Sevilla, Spain</t>
        </is>
      </c>
      <c r="M124" t="n">
        <v>37.3886303</v>
      </c>
      <c r="N124" t="n">
        <v>-5.9953403</v>
      </c>
      <c r="O124" s="1" t="inlineStr">
        <is>
          <t>Spain</t>
        </is>
      </c>
      <c r="P124" s="1" t="inlineStr">
        <is>
          <t>Global</t>
        </is>
      </c>
      <c r="Q124" s="1" t="inlineStr">
        <is>
          <t>Micro (1-9 FTE employees)</t>
        </is>
      </c>
      <c r="R124" t="inlineStr">
        <is>
          <t>Micro</t>
        </is>
      </c>
      <c r="S124" s="1" t="inlineStr">
        <is>
          <t>Business to Business, Business to Consumer, Business to Government, Business to Schools</t>
        </is>
      </c>
      <c r="T124" s="1" t="inlineStr">
        <is>
          <t>Primary Education, Secondary Education, Lifelong learning/Adult education, Other</t>
        </is>
      </c>
      <c r="U124" s="1" t="inlineStr">
        <is>
          <t>Teacher interfacing, Student interfacing, Other</t>
        </is>
      </c>
      <c r="V124" s="1" t="inlineStr">
        <is>
          <t>Educa360</t>
        </is>
      </c>
      <c r="W124" s="1" t="inlineStr">
        <is>
          <t>Platform-Real virtual classes</t>
        </is>
      </c>
      <c r="X124" s="1" t="inlineStr">
        <is>
          <t>Educajob</t>
        </is>
      </c>
      <c r="Y124" t="inlineStr">
        <is>
          <t>E-learning</t>
        </is>
      </c>
      <c r="Z124" s="1" t="inlineStr">
        <is>
          <t>https://drive.google.com/uc?export=view&amp;id=1un6L5sA7Yz6VhwYt7BsWsyRxQFmQFNcD</t>
        </is>
      </c>
      <c r="AA124" s="1" t="inlineStr">
        <is>
          <t>Unverified</t>
        </is>
      </c>
      <c r="AB124" s="1" t="inlineStr">
        <is>
          <t>Other</t>
        </is>
      </c>
      <c r="AC124" s="1" t="inlineStr">
        <is>
          <t>For-profit company</t>
        </is>
      </c>
      <c r="AD124" s="10" t="b">
        <v>1</v>
      </c>
      <c r="AE124" s="1" t="b">
        <v>1</v>
      </c>
      <c r="AF124" s="1" t="inlineStr">
        <is>
          <t>No</t>
        </is>
      </c>
      <c r="AG124" s="1" t="n"/>
      <c r="AH124" s="1" t="n"/>
      <c r="AI124" s="1" t="n"/>
      <c r="AJ124" s="1" t="n"/>
    </row>
    <row r="125" ht="12.5" customHeight="1">
      <c r="A125" s="6" t="n">
        <v>45847</v>
      </c>
      <c r="B125" s="1" t="inlineStr">
        <is>
          <t>ORG_2599</t>
        </is>
      </c>
      <c r="C125" s="1" t="b">
        <v>1</v>
      </c>
      <c r="D125" s="1" t="inlineStr">
        <is>
          <t>Learnademy</t>
        </is>
      </c>
      <c r="E125" s="10" t="inlineStr">
        <is>
          <t>https://learnademy.com/</t>
        </is>
      </c>
      <c r="F125" t="inlineStr">
        <is>
          <t>learnademy.com</t>
        </is>
      </c>
      <c r="G125" s="1" t="inlineStr">
        <is>
          <t>Learnademy is an all-in-one integrated Learning Management System (LMS) providing easy and convenient learning solutions for educators, learners, and parents by leveraging education technology. Our solutions enhance collaboration, affordability, and access to online learning resources to boost learning outcomes in different learning environments</t>
        </is>
      </c>
      <c r="H125" s="1" t="inlineStr">
        <is>
          <t>DOHE</t>
        </is>
      </c>
      <c r="I125" s="1" t="n"/>
      <c r="J125" s="1" t="inlineStr">
        <is>
          <t>Kenya</t>
        </is>
      </c>
      <c r="K125" t="inlineStr">
        <is>
          <t>Kenya</t>
        </is>
      </c>
      <c r="L125" t="inlineStr">
        <is>
          <t>Kenya, Kenya</t>
        </is>
      </c>
      <c r="M125" t="n">
        <v>1.4419683</v>
      </c>
      <c r="N125" t="n">
        <v>38.4313975</v>
      </c>
      <c r="O125" s="1" t="inlineStr">
        <is>
          <t>Kenya</t>
        </is>
      </c>
      <c r="P125" s="1" t="n"/>
      <c r="Q125" s="1" t="inlineStr">
        <is>
          <t>Micro (1-9 FTE employees)</t>
        </is>
      </c>
      <c r="R125" t="inlineStr">
        <is>
          <t>Micro</t>
        </is>
      </c>
      <c r="S125" s="1" t="inlineStr">
        <is>
          <t>Business to Business, Business to Consumer, Business to Schools</t>
        </is>
      </c>
      <c r="T125" s="1" t="inlineStr">
        <is>
          <t>Primary Education, Secondary Education, Early childhood development (0-5 years)</t>
        </is>
      </c>
      <c r="U125" s="1" t="inlineStr">
        <is>
          <t>Student interfacing, Teacher interfacing, System/Administrative</t>
        </is>
      </c>
      <c r="V125" s="1" t="inlineStr">
        <is>
          <t>http://linkedin.com/company/learnademy</t>
        </is>
      </c>
      <c r="W125" s="10" t="inlineStr">
        <is>
          <t>https://drive.google.com/uc?export=view&amp;id=1mc7i_viZt324IwhPVuDrQ-djto9T6D6M</t>
        </is>
      </c>
      <c r="X125" s="10" t="inlineStr">
        <is>
          <t>https://drive.google.com/uc?export=view&amp;id=1mc7i_viZt324IwhPVuDrQ-djto9T6D6M</t>
        </is>
      </c>
      <c r="Y125" t="inlineStr">
        <is>
          <t>https://drive.google.com/uc?export=view&amp;id=1mc7i_viZt324IwhPVuDrQ-djto9T6D6M</t>
        </is>
      </c>
      <c r="Z125" s="1" t="inlineStr">
        <is>
          <t>https://drive.google.com/uc?export=view&amp;id=1mc7i_viZt324IwhPVuDrQ-djto9T6D6M</t>
        </is>
      </c>
      <c r="AA125" s="1" t="inlineStr">
        <is>
          <t>Unverified</t>
        </is>
      </c>
      <c r="AB125" s="1" t="inlineStr">
        <is>
          <t>Collaborations between EdTech organisations</t>
        </is>
      </c>
      <c r="AC125" s="1" t="inlineStr">
        <is>
          <t>For-profit company</t>
        </is>
      </c>
      <c r="AD125" s="10" t="b">
        <v>1</v>
      </c>
      <c r="AE125" s="1" t="inlineStr">
        <is>
          <t>https://www.facebook.com/Learnademy</t>
        </is>
      </c>
      <c r="AF125" s="1" t="inlineStr">
        <is>
          <t>Yes</t>
        </is>
      </c>
      <c r="AG125" s="1" t="inlineStr">
        <is>
          <t>https://x.com/Learnademy</t>
        </is>
      </c>
      <c r="AH125" s="1" t="inlineStr">
        <is>
          <t>https://x.com/Learnademy</t>
        </is>
      </c>
      <c r="AI125" s="1" t="inlineStr">
        <is>
          <t>linkedin.com/company/learnademy</t>
        </is>
      </c>
      <c r="AJ125" s="10" t="inlineStr">
        <is>
          <t>https://www.facebook.com/Learnademy</t>
        </is>
      </c>
    </row>
    <row r="126" ht="12.5" customHeight="1">
      <c r="A126" s="6" t="n">
        <v>45847</v>
      </c>
      <c r="B126" s="1" t="inlineStr">
        <is>
          <t>ORG_2598</t>
        </is>
      </c>
      <c r="C126" s="1" t="b">
        <v>1</v>
      </c>
      <c r="D126" s="1" t="inlineStr">
        <is>
          <t>Early Intervention Tools Ltd</t>
        </is>
      </c>
      <c r="E126" s="10" t="inlineStr">
        <is>
          <t>https://www.alpaca-assessment.com/</t>
        </is>
      </c>
      <c r="F126" t="inlineStr">
        <is>
          <t>alpaca-assessment.com</t>
        </is>
      </c>
      <c r="G126" s="1" t="inlineStr">
        <is>
          <t>ALPACA is a one of a kind, game-based screener offering teachers the opportunity to spot literacy challenges early, before small struggles turn into large hurdles</t>
        </is>
      </c>
      <c r="H126" s="1" t="inlineStr">
        <is>
          <t>I'm not part of any EdTech association</t>
        </is>
      </c>
      <c r="I126" s="1" t="inlineStr">
        <is>
          <t>English</t>
        </is>
      </c>
      <c r="J126" s="1" t="inlineStr">
        <is>
          <t>Dublin</t>
        </is>
      </c>
      <c r="K126" t="inlineStr">
        <is>
          <t>Dublin</t>
        </is>
      </c>
      <c r="L126" t="inlineStr">
        <is>
          <t>Dublin, Ireland</t>
        </is>
      </c>
      <c r="M126" t="n">
        <v>53.3493795</v>
      </c>
      <c r="N126" t="n">
        <v>-6.2605593</v>
      </c>
      <c r="O126" s="1" t="inlineStr">
        <is>
          <t>Ireland</t>
        </is>
      </c>
      <c r="P126" s="1" t="inlineStr">
        <is>
          <t>Ireland, United Kingdom</t>
        </is>
      </c>
      <c r="Q126" s="1" t="inlineStr">
        <is>
          <t>Micro (1-9 FTE employees)</t>
        </is>
      </c>
      <c r="R126" t="inlineStr">
        <is>
          <t>Micro</t>
        </is>
      </c>
      <c r="S126" s="1" t="inlineStr">
        <is>
          <t>Business to Business, Business to Consumer, Business to Government, Business to Schools</t>
        </is>
      </c>
      <c r="T126" s="1" t="inlineStr">
        <is>
          <t>Early childhood development (0-5 years), Primary Education</t>
        </is>
      </c>
      <c r="U126" s="1" t="inlineStr">
        <is>
          <t>Student interfacing, Teacher interfacing, System/Administrative, Other</t>
        </is>
      </c>
      <c r="V126" s="10" t="inlineStr">
        <is>
          <t>ALPACA</t>
        </is>
      </c>
      <c r="W126" s="10" t="inlineStr">
        <is>
          <t>We identify gaps in children’s foundational reading skills and help inform the intervention required for these little learners to become successful readers by gamified group screening</t>
        </is>
      </c>
      <c r="X126" s="10" t="inlineStr">
        <is>
          <t>https://drive.google.com/uc?export=view&amp;id=1GR__JWSzsRThlXEQCdxocuhvLKFJnQ8L</t>
        </is>
      </c>
      <c r="Y126" t="inlineStr">
        <is>
          <t>https://drive.google.com/uc?export=view&amp;id=1GR__JWSzsRThlXEQCdxocuhvLKFJnQ8L</t>
        </is>
      </c>
      <c r="Z126" s="1" t="inlineStr">
        <is>
          <t>https://drive.google.com/uc?export=view&amp;id=1GR__JWSzsRThlXEQCdxocuhvLKFJnQ8L</t>
        </is>
      </c>
      <c r="AA126" s="1" t="inlineStr">
        <is>
          <t>Unverified</t>
        </is>
      </c>
      <c r="AB126" s="1" t="inlineStr">
        <is>
          <t>Collaborations between EdTech organisations, Public-private partnerships, Industry-academia partnerships, Project consortium building</t>
        </is>
      </c>
      <c r="AC126" s="1" t="inlineStr">
        <is>
          <t>For-profit company</t>
        </is>
      </c>
      <c r="AD126" s="10" t="b">
        <v>1</v>
      </c>
      <c r="AE126" s="1" t="b">
        <v>1</v>
      </c>
      <c r="AF126" s="1" t="inlineStr">
        <is>
          <t>Yes</t>
        </is>
      </c>
      <c r="AG126" s="1" t="inlineStr">
        <is>
          <t>https://www.instagram.com/alpaca_learn/</t>
        </is>
      </c>
      <c r="AH126" s="1" t="inlineStr">
        <is>
          <t>https://x.com/alpaca_learn</t>
        </is>
      </c>
      <c r="AI126" s="1" t="inlineStr">
        <is>
          <t>https://www.linkedin.com/company/alpaca-assessment/</t>
        </is>
      </c>
      <c r="AJ126" s="10" t="inlineStr">
        <is>
          <t>https://www.facebook.com/alpaca.assessment/</t>
        </is>
      </c>
    </row>
    <row r="127" ht="12.5" customHeight="1">
      <c r="A127" s="6" t="n">
        <v>45847</v>
      </c>
      <c r="B127" s="1" t="inlineStr">
        <is>
          <t>ORG_2075</t>
        </is>
      </c>
      <c r="C127" s="1" t="b">
        <v>1</v>
      </c>
      <c r="D127" s="1" t="inlineStr">
        <is>
          <t>Opinoma ApS</t>
        </is>
      </c>
      <c r="E127" s="10" t="inlineStr">
        <is>
          <t>https://opinoma.dk</t>
        </is>
      </c>
      <c r="F127" t="inlineStr">
        <is>
          <t>opinoma.dk</t>
        </is>
      </c>
      <c r="G127" s="1" t="inlineStr">
        <is>
          <t>IT-platform for formative teaching assessments</t>
        </is>
      </c>
      <c r="H127" s="1" t="inlineStr">
        <is>
          <t>EdTech Denmark</t>
        </is>
      </c>
      <c r="I127" s="1" t="inlineStr">
        <is>
          <t>English</t>
        </is>
      </c>
      <c r="J127" s="1" t="n"/>
      <c r="O127" s="1" t="inlineStr">
        <is>
          <t>Denmark</t>
        </is>
      </c>
      <c r="P127" s="1" t="inlineStr">
        <is>
          <t>Denmark</t>
        </is>
      </c>
      <c r="Q127" s="1" t="inlineStr">
        <is>
          <t>Micro (1-9 FTE employees)</t>
        </is>
      </c>
      <c r="R127" t="inlineStr">
        <is>
          <t>Micro</t>
        </is>
      </c>
      <c r="S127" s="1" t="inlineStr">
        <is>
          <t>Business to Government, Business to Schools</t>
        </is>
      </c>
      <c r="T127" s="1" t="inlineStr">
        <is>
          <t>Secondary Education, Vocational Education and Training (VET), Higher Education</t>
        </is>
      </c>
      <c r="U127" s="1" t="inlineStr">
        <is>
          <t>Teacher interfacing</t>
        </is>
      </c>
      <c r="V127" s="1" t="inlineStr">
        <is>
          <t>Opinoma</t>
        </is>
      </c>
      <c r="W127" s="1" t="inlineStr">
        <is>
          <t>Access to Opinoma</t>
        </is>
      </c>
      <c r="X127" s="10" t="inlineStr">
        <is>
          <t>https://drive.google.com/uc?export=view&amp;id=1hFuIe5s4kv3giJvjnqpYsfEFWjQnaDJQ</t>
        </is>
      </c>
      <c r="Y127" t="inlineStr">
        <is>
          <t>https://drive.google.com/uc?export=view&amp;id=1hFuIe5s4kv3giJvjnqpYsfEFWjQnaDJQ</t>
        </is>
      </c>
      <c r="Z127" s="1" t="inlineStr">
        <is>
          <t>https://drive.google.com/uc?export=view&amp;id=1hFuIe5s4kv3giJvjnqpYsfEFWjQnaDJQ</t>
        </is>
      </c>
      <c r="AA127" s="1" t="inlineStr">
        <is>
          <t>Unverified</t>
        </is>
      </c>
      <c r="AB127" s="1" t="inlineStr">
        <is>
          <t>Collaborations between EdTech organisations, Public-private partnerships</t>
        </is>
      </c>
      <c r="AC127" s="1" t="inlineStr">
        <is>
          <t>For-profit company</t>
        </is>
      </c>
      <c r="AD127" s="10" t="b">
        <v>1</v>
      </c>
      <c r="AE127" s="1" t="b">
        <v>1</v>
      </c>
      <c r="AF127" s="1" t="inlineStr">
        <is>
          <t>Yes</t>
        </is>
      </c>
      <c r="AG127" s="1" t="inlineStr">
        <is>
          <t>https://www.linkedin.com/company/opinoma</t>
        </is>
      </c>
      <c r="AH127" s="1" t="inlineStr">
        <is>
          <t>https://www.linkedin.com/company/opinoma</t>
        </is>
      </c>
      <c r="AI127" s="1" t="inlineStr">
        <is>
          <t>https://www.linkedin.com/company/opinoma</t>
        </is>
      </c>
      <c r="AJ127" s="1" t="n"/>
    </row>
    <row r="128" ht="12.5" customHeight="1">
      <c r="A128" s="6" t="n">
        <v>45847</v>
      </c>
      <c r="B128" s="1" t="inlineStr">
        <is>
          <t>ORG_2596</t>
        </is>
      </c>
      <c r="C128" s="1" t="b">
        <v>1</v>
      </c>
      <c r="D128" s="1" t="inlineStr">
        <is>
          <t>Norvalid AS</t>
        </is>
      </c>
      <c r="E128" s="10" t="inlineStr">
        <is>
          <t>norvalid.com</t>
        </is>
      </c>
      <c r="F128" t="inlineStr">
        <is>
          <t>norvalid.com</t>
        </is>
      </c>
      <c r="G128" s="1" t="inlineStr">
        <is>
          <t>Academic Integrity solutions</t>
        </is>
      </c>
      <c r="H128" s="1" t="inlineStr">
        <is>
          <t>I'm not part of any EdTech association</t>
        </is>
      </c>
      <c r="I128" s="1" t="inlineStr">
        <is>
          <t>English</t>
        </is>
      </c>
      <c r="J128" s="1" t="inlineStr">
        <is>
          <t>Tromsø</t>
        </is>
      </c>
      <c r="K128" t="inlineStr">
        <is>
          <t>Tromsø</t>
        </is>
      </c>
      <c r="L128" t="inlineStr">
        <is>
          <t>Tromsø, Norway</t>
        </is>
      </c>
      <c r="M128" t="n">
        <v>69.6516345</v>
      </c>
      <c r="N128" t="n">
        <v>18.9558585</v>
      </c>
      <c r="O128" s="1" t="inlineStr">
        <is>
          <t>Norway</t>
        </is>
      </c>
      <c r="P128" s="1" t="inlineStr">
        <is>
          <t>Denmark, Finland, Germany, Norway, United Kingdom, Sweden</t>
        </is>
      </c>
      <c r="Q128" s="1" t="inlineStr">
        <is>
          <t>Micro (1-9 FTE employees)</t>
        </is>
      </c>
      <c r="R128" t="inlineStr">
        <is>
          <t>Micro</t>
        </is>
      </c>
      <c r="S128" s="1" t="inlineStr">
        <is>
          <t>Business to Business, Business to Government</t>
        </is>
      </c>
      <c r="T128" s="1" t="inlineStr">
        <is>
          <t>Vocational Education and Training (VET), Secondary Education, Higher Education</t>
        </is>
      </c>
      <c r="U128" s="1" t="inlineStr">
        <is>
          <t>Teacher interfacing</t>
        </is>
      </c>
      <c r="V128" s="1" t="inlineStr">
        <is>
          <t>Authorsip Validation</t>
        </is>
      </c>
      <c r="W128" s="1" t="inlineStr">
        <is>
          <t>Linguistic analysis to validate original student writing</t>
        </is>
      </c>
      <c r="X128" s="10" t="inlineStr">
        <is>
          <t>https://drive.google.com/uc?export=view&amp;id=1Vh_Z8wEcwUfwTPbw42UwagWxZds8m0Y5</t>
        </is>
      </c>
      <c r="Y128" t="inlineStr">
        <is>
          <t>https://drive.google.com/uc?export=view&amp;id=1Vh_Z8wEcwUfwTPbw42UwagWxZds8m0Y5</t>
        </is>
      </c>
      <c r="Z128" s="1" t="inlineStr">
        <is>
          <t>https://drive.google.com/uc?export=view&amp;id=1Vh_Z8wEcwUfwTPbw42UwagWxZds8m0Y5</t>
        </is>
      </c>
      <c r="AA128" s="1" t="inlineStr">
        <is>
          <t>Unverified</t>
        </is>
      </c>
      <c r="AB128" s="1" t="inlineStr">
        <is>
          <t>Industry-academia partnerships</t>
        </is>
      </c>
      <c r="AC128" s="1" t="inlineStr">
        <is>
          <t>For-profit company</t>
        </is>
      </c>
      <c r="AD128" s="10" t="b">
        <v>1</v>
      </c>
      <c r="AE128" s="1" t="b">
        <v>0</v>
      </c>
      <c r="AF128" s="1" t="inlineStr">
        <is>
          <t>Yes</t>
        </is>
      </c>
      <c r="AG128" s="1" t="inlineStr">
        <is>
          <t>https://www.linkedin.com/company/norvalid</t>
        </is>
      </c>
      <c r="AH128" s="1" t="inlineStr">
        <is>
          <t>https://www.linkedin.com/company/norvalid</t>
        </is>
      </c>
      <c r="AI128" s="1" t="inlineStr">
        <is>
          <t>https://www.linkedin.com/company/norvalid</t>
        </is>
      </c>
      <c r="AJ128" s="1" t="n"/>
    </row>
    <row r="129" ht="12.5" customHeight="1">
      <c r="A129" s="6" t="n">
        <v>45847</v>
      </c>
      <c r="B129" s="1" t="inlineStr">
        <is>
          <t>ORG_2595</t>
        </is>
      </c>
      <c r="C129" s="1" t="b">
        <v>1</v>
      </c>
      <c r="D129" s="1" t="inlineStr">
        <is>
          <t>Compilatio</t>
        </is>
      </c>
      <c r="E129" s="10" t="inlineStr">
        <is>
          <t>https://www.compilatio.net/en</t>
        </is>
      </c>
      <c r="F129" t="inlineStr">
        <is>
          <t>compilatio.net/en</t>
        </is>
      </c>
      <c r="G129" s="1" t="inlineStr">
        <is>
          <t>For over 20 years, Compilatio has been committed to a more authentic, more demanding and more creative education. We support educational establishments worldwide with digital tools to detect plagiarism and AI, assess learning and support pedagogical innovation. Our mission: to make authenticity a lever for academic excellence.</t>
        </is>
      </c>
      <c r="H129" s="1" t="inlineStr">
        <is>
          <t>I'm not part of any EdTech association</t>
        </is>
      </c>
      <c r="I129" s="1" t="inlineStr">
        <is>
          <t>English, French, Italian, German, Spanish, Portuguese</t>
        </is>
      </c>
      <c r="J129" s="1" t="inlineStr">
        <is>
          <t>Chavanod</t>
        </is>
      </c>
      <c r="K129" t="inlineStr">
        <is>
          <t>Chavanod</t>
        </is>
      </c>
      <c r="L129" t="inlineStr">
        <is>
          <t>Chavanod, France</t>
        </is>
      </c>
      <c r="M129" t="n">
        <v>45.8842342</v>
      </c>
      <c r="N129" t="n">
        <v>6.0525071</v>
      </c>
      <c r="O129" s="1" t="inlineStr">
        <is>
          <t>France</t>
        </is>
      </c>
      <c r="P129" s="1" t="inlineStr">
        <is>
          <t>Germany, France, Monaco, Ireland, Italy, Albania, United Kingdom, Switzerland, Spain, Romania, Belgium</t>
        </is>
      </c>
      <c r="Q129" s="1" t="inlineStr">
        <is>
          <t>Medium (50-250 FTE employees)</t>
        </is>
      </c>
      <c r="R129" t="inlineStr">
        <is>
          <t>Medium</t>
        </is>
      </c>
      <c r="S129" s="1" t="inlineStr">
        <is>
          <t>Business to Business, Business to Consumer, Business to Government, Business to Schools</t>
        </is>
      </c>
      <c r="T129" s="1" t="inlineStr">
        <is>
          <t>Secondary Education, Higher Education, Corporate Training, Lifelong learning/Adult education, Special Education</t>
        </is>
      </c>
      <c r="U129" s="1" t="inlineStr">
        <is>
          <t>Student interfacing, Teacher interfacing</t>
        </is>
      </c>
      <c r="V129" s="1" t="inlineStr">
        <is>
          <t>Compilatio Magister / Magister+</t>
        </is>
      </c>
      <c r="W129" s="1" t="inlineStr">
        <is>
          <t>Plagiarism detection and AI - for teachers
Guide your students towards responsible practices.</t>
        </is>
      </c>
      <c r="X129" s="10" t="inlineStr">
        <is>
          <t>Compilatio Studium</t>
        </is>
      </c>
      <c r="Y129" t="inlineStr">
        <is>
          <t>Plagiarism detection and AI - for students
Check your writing before someone does it
for you.</t>
        </is>
      </c>
      <c r="Z129" s="1" t="inlineStr">
        <is>
          <t>https://drive.google.com/uc?export=view&amp;id=15ucyQppAtJC6hfnUmxbiWYqUUMQhp7lX</t>
        </is>
      </c>
      <c r="AA129" s="1" t="inlineStr">
        <is>
          <t>Unverified</t>
        </is>
      </c>
      <c r="AB129" s="1" t="inlineStr">
        <is>
          <t>Public-private partnerships, Industry-academia partnerships, Project consortium building, Collaborations between EdTech organisations, Other</t>
        </is>
      </c>
      <c r="AC129" s="1" t="inlineStr">
        <is>
          <t>For-profit company</t>
        </is>
      </c>
      <c r="AD129" s="10" t="b">
        <v>1</v>
      </c>
      <c r="AE129" s="1" t="b">
        <v>1</v>
      </c>
      <c r="AF129" s="1" t="inlineStr">
        <is>
          <t>Yes</t>
        </is>
      </c>
      <c r="AG129" s="1" t="inlineStr">
        <is>
          <t>https://fr.linkedin.com/company/compilatio</t>
        </is>
      </c>
      <c r="AH129" s="1" t="inlineStr">
        <is>
          <t>https://fr.linkedin.com/company/compilatio</t>
        </is>
      </c>
      <c r="AI129" s="1" t="inlineStr">
        <is>
          <t>https://fr.linkedin.com/company/compilatio</t>
        </is>
      </c>
      <c r="AJ129" s="10" t="inlineStr">
        <is>
          <t>https://www.facebook.com/compilatio.net/</t>
        </is>
      </c>
    </row>
    <row r="130" ht="12.5" customHeight="1">
      <c r="A130" s="6" t="n">
        <v>45846</v>
      </c>
      <c r="B130" s="1" t="inlineStr">
        <is>
          <t>ORG_1196</t>
        </is>
      </c>
      <c r="C130" s="1" t="b">
        <v>1</v>
      </c>
      <c r="D130" s="1" t="inlineStr">
        <is>
          <t>Brainly</t>
        </is>
      </c>
      <c r="E130" s="10" t="inlineStr">
        <is>
          <t>www.brainly.com</t>
        </is>
      </c>
      <c r="F130" t="inlineStr">
        <is>
          <t>brainly.com</t>
        </is>
      </c>
      <c r="G130" s="1" t="inlineStr">
        <is>
          <t>Brainly is an AI Learning Companion for students, parents and teachers. The platform provides world-class homework help, test prep and tutoring that is verified for accuracy and customized to each student based on their learning style.</t>
        </is>
      </c>
      <c r="H130" s="1" t="inlineStr">
        <is>
          <t>EdTech Poland</t>
        </is>
      </c>
      <c r="I130" s="1" t="inlineStr">
        <is>
          <t>English, French, Spanish, Polish, Hindi, Ukrainian, Russian, Portuguese, Romanian, Turkish, Indonesian</t>
        </is>
      </c>
      <c r="J130" s="1" t="inlineStr">
        <is>
          <t>Kraków</t>
        </is>
      </c>
      <c r="K130" t="inlineStr">
        <is>
          <t>Kraków</t>
        </is>
      </c>
      <c r="L130" t="inlineStr">
        <is>
          <t>Kraków, Poland</t>
        </is>
      </c>
      <c r="M130" t="n">
        <v>50.0619474</v>
      </c>
      <c r="N130" t="n">
        <v>19.9368564</v>
      </c>
      <c r="O130" s="1" t="inlineStr">
        <is>
          <t>Poland</t>
        </is>
      </c>
      <c r="P130" s="1" t="inlineStr">
        <is>
          <t>Ukraine, United Kingdom, Poland, Turkey, Spain, Romania</t>
        </is>
      </c>
      <c r="Q130" s="1" t="inlineStr">
        <is>
          <t>Medium (50-250 FTE employees)</t>
        </is>
      </c>
      <c r="R130" t="inlineStr">
        <is>
          <t>Medium</t>
        </is>
      </c>
      <c r="S130" s="1" t="inlineStr">
        <is>
          <t>Business to Consumer</t>
        </is>
      </c>
      <c r="T130" s="1" t="inlineStr">
        <is>
          <t>Primary Education, Secondary Education, Higher Education</t>
        </is>
      </c>
      <c r="U130" s="1" t="inlineStr">
        <is>
          <t>Student interfacing, Teacher interfacing</t>
        </is>
      </c>
      <c r="V130" s="10" t="inlineStr">
        <is>
          <t>AI Learning Companion</t>
        </is>
      </c>
      <c r="W130" t="inlineStr">
        <is>
          <t>Brainly's Learning Companion is every student's best tutor and study buddy. It provides assistance with homework problems, learning support and more.</t>
        </is>
      </c>
      <c r="X130" s="10" t="inlineStr">
        <is>
          <t>Brainly Notes</t>
        </is>
      </c>
      <c r="Y130" t="inlineStr">
        <is>
          <t>Brainly turns lectures and class instruction into organized study plans and test prep quizzes.</t>
        </is>
      </c>
      <c r="Z130" s="1" t="inlineStr">
        <is>
          <t>https://drive.google.com/uc?export=view&amp;id=1qXUu5h1k_3WHPILqs4OFCSn2Mp0bkYco</t>
        </is>
      </c>
      <c r="AA130" s="1" t="inlineStr">
        <is>
          <t>Unverified</t>
        </is>
      </c>
      <c r="AB130" s="1" t="inlineStr">
        <is>
          <t>Collaborations between EdTech organisations, Project consortium building, Public-private partnerships, Industry-academia partnerships</t>
        </is>
      </c>
      <c r="AC130" s="1" t="inlineStr">
        <is>
          <t>For-profit company</t>
        </is>
      </c>
      <c r="AD130" s="10" t="b">
        <v>1</v>
      </c>
      <c r="AE130" s="1" t="b">
        <v>1</v>
      </c>
      <c r="AF130" s="1" t="inlineStr">
        <is>
          <t>Yes</t>
        </is>
      </c>
      <c r="AG130" s="1" t="inlineStr">
        <is>
          <t>https://www.instagram.com/brainly/</t>
        </is>
      </c>
      <c r="AH130" s="1" t="inlineStr">
        <is>
          <t>https://www.linkedin.com/company/2745890/</t>
        </is>
      </c>
      <c r="AI130" s="1" t="inlineStr">
        <is>
          <t>https://www.linkedin.com/company/2745890/</t>
        </is>
      </c>
      <c r="AJ130" s="10" t="inlineStr">
        <is>
          <t>https://www.facebook.com/search/top?q=brainly</t>
        </is>
      </c>
    </row>
    <row r="131" ht="12.5" customHeight="1">
      <c r="A131" s="6" t="n">
        <v>45846</v>
      </c>
      <c r="B131" s="1" t="inlineStr">
        <is>
          <t>ORG_2594</t>
        </is>
      </c>
      <c r="C131" s="1" t="b">
        <v>1</v>
      </c>
      <c r="D131" s="1" t="inlineStr">
        <is>
          <t>RESLOCATE OU</t>
        </is>
      </c>
      <c r="E131" s="10" t="inlineStr">
        <is>
          <t>www.reslocate.net</t>
        </is>
      </c>
      <c r="F131" t="inlineStr">
        <is>
          <t>reslocate.net</t>
        </is>
      </c>
      <c r="G131" s="1" t="inlineStr">
        <is>
          <t>Reslocate equips high school learners with intelligent, personalised career guidance through cutting-edge AI, actionable insights, and a supportive ecosystem. We bridge the gap between education and opportunity by connecting students with the right institutions, resources, and career paths to unlock their fullest potential.</t>
        </is>
      </c>
      <c r="H131" s="1" t="inlineStr">
        <is>
          <t>EdTech Estonia</t>
        </is>
      </c>
      <c r="I131" s="1" t="inlineStr">
        <is>
          <t>English</t>
        </is>
      </c>
      <c r="J131" s="1" t="inlineStr">
        <is>
          <t>Tallin</t>
        </is>
      </c>
      <c r="K131" t="inlineStr">
        <is>
          <t>Tallin</t>
        </is>
      </c>
      <c r="L131" t="inlineStr">
        <is>
          <t>Tallin, Estonia</t>
        </is>
      </c>
      <c r="M131" t="n">
        <v>59.437242</v>
      </c>
      <c r="N131" t="n">
        <v>24.7572693</v>
      </c>
      <c r="O131" s="1" t="inlineStr">
        <is>
          <t>Estonia</t>
        </is>
      </c>
      <c r="P131" s="1" t="inlineStr">
        <is>
          <t>Estonia</t>
        </is>
      </c>
      <c r="Q131" s="1" t="inlineStr">
        <is>
          <t>Micro (1-9 FTE employees)</t>
        </is>
      </c>
      <c r="R131" t="inlineStr">
        <is>
          <t>Micro</t>
        </is>
      </c>
      <c r="S131" s="1" t="inlineStr">
        <is>
          <t>Business to Business, Business to Consumer, Business to Schools</t>
        </is>
      </c>
      <c r="T131" s="1" t="inlineStr">
        <is>
          <t>Secondary Education, Vocational Education and Training (VET), Higher Education</t>
        </is>
      </c>
      <c r="U131" s="1" t="inlineStr">
        <is>
          <t>Student interfacing, System/Administrative</t>
        </is>
      </c>
      <c r="V131" s="10" t="inlineStr">
        <is>
          <t>AI Powered Career Guidance Report</t>
        </is>
      </c>
      <c r="W131" s="1" t="inlineStr">
        <is>
          <t>An AI-powered personalised career guidance report for high school learners and parents, mapping optimal educational and career pathways based on interests, strengths, and local/global opportunities. Includes access to scholarships, university programs, and job readiness tools.</t>
        </is>
      </c>
      <c r="X131" s="10" t="inlineStr">
        <is>
          <t>Reslocate Edtech Platform</t>
        </is>
      </c>
      <c r="Y131" t="inlineStr">
        <is>
          <t>A comprehensive platform connecting students to scholarships, internships, universities, and TVET colleges through personalised AI matching, academic resources, and in-app guidance. Designed to improve education-to-employment outcomes at scale.</t>
        </is>
      </c>
      <c r="Z131" s="1" t="inlineStr">
        <is>
          <t>https://drive.google.com/uc?export=view&amp;id=1P7jGRj-Y-_sAB2roxONwjssLWMyol3Hj</t>
        </is>
      </c>
      <c r="AA131" s="1" t="inlineStr">
        <is>
          <t>Unverified</t>
        </is>
      </c>
      <c r="AB131" s="1" t="inlineStr">
        <is>
          <t>Collaborations between EdTech organisations, Public-private partnerships, Industry-academia partnerships</t>
        </is>
      </c>
      <c r="AC131" s="1" t="inlineStr">
        <is>
          <t>For-profit company</t>
        </is>
      </c>
      <c r="AD131" s="10" t="b">
        <v>1</v>
      </c>
      <c r="AE131" s="1" t="b">
        <v>1</v>
      </c>
      <c r="AF131" s="1" t="inlineStr">
        <is>
          <t>Yes</t>
        </is>
      </c>
      <c r="AG131" s="1" t="inlineStr">
        <is>
          <t>https://www.instagram.com/reslocate</t>
        </is>
      </c>
      <c r="AH131" s="1" t="inlineStr">
        <is>
          <t>https://www.linkedin.com/reslocate</t>
        </is>
      </c>
      <c r="AI131" s="1" t="inlineStr">
        <is>
          <t>https://www.linkedin.com/reslocate</t>
        </is>
      </c>
      <c r="AJ131" s="10" t="inlineStr">
        <is>
          <t>https://www.facebook.com/reslocate</t>
        </is>
      </c>
    </row>
    <row r="132" ht="12.5" customHeight="1">
      <c r="A132" s="6" t="n">
        <v>45846</v>
      </c>
      <c r="B132" s="1" t="inlineStr">
        <is>
          <t>ORG_1033</t>
        </is>
      </c>
      <c r="C132" s="1" t="b">
        <v>1</v>
      </c>
      <c r="D132" s="1" t="inlineStr">
        <is>
          <t>Adaptemy</t>
        </is>
      </c>
      <c r="E132" s="10" t="inlineStr">
        <is>
          <t>https://www.adaptemy.com/</t>
        </is>
      </c>
      <c r="F132" t="inlineStr">
        <is>
          <t>adaptemy.com</t>
        </is>
      </c>
      <c r="G132" s="1" t="inlineStr">
        <is>
          <t>Pioneering Improvements in Learning Experiences and Outcomes Since 2015 we have pioneered the latest learning technologies for some of the world's leading educational organisations. Our expertise is in AI and adaptive learning technologies. With a strong research focus and experienced implementation team, we bring learning innovations to life at scale.</t>
        </is>
      </c>
      <c r="H132" s="1" t="inlineStr">
        <is>
          <t>EDUvation</t>
        </is>
      </c>
      <c r="I132" s="1" t="inlineStr">
        <is>
          <t>English, Flemish</t>
        </is>
      </c>
      <c r="J132" s="1" t="inlineStr">
        <is>
          <t>Dublin</t>
        </is>
      </c>
      <c r="K132" t="inlineStr">
        <is>
          <t>Dublin</t>
        </is>
      </c>
      <c r="L132" t="inlineStr">
        <is>
          <t>Dublin, Ireland</t>
        </is>
      </c>
      <c r="M132" t="n">
        <v>53.3493795</v>
      </c>
      <c r="N132" t="n">
        <v>-6.2605593</v>
      </c>
      <c r="O132" s="1" t="inlineStr">
        <is>
          <t>Ireland</t>
        </is>
      </c>
      <c r="P132" s="1" t="inlineStr">
        <is>
          <t>Germany, Ireland, Spain, United Kingdom, Belgium, Singapore</t>
        </is>
      </c>
      <c r="Q132" s="1" t="inlineStr">
        <is>
          <t>Small (10-49 FTE employees)</t>
        </is>
      </c>
      <c r="R132" t="inlineStr">
        <is>
          <t>Small</t>
        </is>
      </c>
      <c r="S132" s="1" t="inlineStr">
        <is>
          <t>Business to Business</t>
        </is>
      </c>
      <c r="T132" s="1" t="inlineStr">
        <is>
          <t>Corporate Training, Lifelong learning/Adult education, Secondary Education, Primary Education, Vocational Education and Training (VET), Higher Education</t>
        </is>
      </c>
      <c r="U132" s="1" t="inlineStr">
        <is>
          <t>Student interfacing, Teacher interfacing</t>
        </is>
      </c>
      <c r="V132" s="1" t="inlineStr">
        <is>
          <t>Intelligent and adaptive learning products</t>
        </is>
      </c>
      <c r="W132" s="10" t="inlineStr">
        <is>
          <t>Helps the world’s leading education companies create intelligent and adaptive learning products through co-design</t>
        </is>
      </c>
      <c r="X132" s="10" t="inlineStr">
        <is>
          <t>Research and development of adaptive learning and digital learning experiences with innovation</t>
        </is>
      </c>
      <c r="Y132" t="inlineStr">
        <is>
          <t>Deep dive consultation and collaboration with education and technology companies, institutions and government</t>
        </is>
      </c>
      <c r="Z132" s="1" t="inlineStr">
        <is>
          <t>https://drive.google.com/uc?export=view&amp;id=1m8hIRAJERyB0cNSN6syn26vAd5IWz-63</t>
        </is>
      </c>
      <c r="AA132" s="1" t="inlineStr">
        <is>
          <t>Unverified</t>
        </is>
      </c>
      <c r="AB132" s="1" t="inlineStr">
        <is>
          <t>Collaborations between EdTech organisations, Public-private partnerships, Project consortium building, Industry-academia partnerships</t>
        </is>
      </c>
      <c r="AC132" s="1" t="inlineStr">
        <is>
          <t>For-profit company</t>
        </is>
      </c>
      <c r="AD132" s="10" t="b">
        <v>1</v>
      </c>
      <c r="AE132" s="1" t="b">
        <v>1</v>
      </c>
      <c r="AF132" s="1" t="inlineStr">
        <is>
          <t>Yes</t>
        </is>
      </c>
      <c r="AG132" s="1" t="inlineStr">
        <is>
          <t>https://x.com/adaptemy</t>
        </is>
      </c>
      <c r="AH132" s="1" t="inlineStr">
        <is>
          <t>https://x.com/adaptemy</t>
        </is>
      </c>
      <c r="AI132" s="1" t="inlineStr">
        <is>
          <t>https://www.linkedin.com/company/adaptemy/</t>
        </is>
      </c>
      <c r="AJ132" s="10" t="inlineStr">
        <is>
          <t>https://www.facebook.com/adaptemy/</t>
        </is>
      </c>
    </row>
    <row r="133" ht="12.5" customHeight="1">
      <c r="A133" s="6" t="n">
        <v>45846</v>
      </c>
      <c r="B133" s="1" t="inlineStr">
        <is>
          <t>ORG_2593</t>
        </is>
      </c>
      <c r="C133" s="1" t="b">
        <v>1</v>
      </c>
      <c r="D133" s="1" t="inlineStr">
        <is>
          <t>Equal Teaching</t>
        </is>
      </c>
      <c r="E133" s="10" t="inlineStr">
        <is>
          <t>www.equalteaching.com</t>
        </is>
      </c>
      <c r="F133" t="inlineStr">
        <is>
          <t>equalteaching.com</t>
        </is>
      </c>
      <c r="G133" s="1" t="inlineStr">
        <is>
          <t>Equal Teaching is building the next generation recruitment &amp; HR technology for alternative education providers.</t>
        </is>
      </c>
      <c r="H133" s="1" t="inlineStr">
        <is>
          <t>I'm not part of any EdTech association</t>
        </is>
      </c>
      <c r="I133" s="1" t="inlineStr">
        <is>
          <t>English</t>
        </is>
      </c>
      <c r="J133" s="1" t="inlineStr">
        <is>
          <t>Cardiff, Wales</t>
        </is>
      </c>
      <c r="K133" t="inlineStr">
        <is>
          <t>Cardiff</t>
        </is>
      </c>
      <c r="L133" t="inlineStr">
        <is>
          <t>Cardiff, United Kingdom</t>
        </is>
      </c>
      <c r="M133" t="n">
        <v>51.4816546</v>
      </c>
      <c r="N133" t="n">
        <v>-3.1791934</v>
      </c>
      <c r="O133" s="1" t="inlineStr">
        <is>
          <t>United Kingdom</t>
        </is>
      </c>
      <c r="P133" s="1" t="inlineStr">
        <is>
          <t>Germany, Portugal, United Kingdom</t>
        </is>
      </c>
      <c r="Q133" s="1" t="inlineStr">
        <is>
          <t>Micro (1-9 FTE employees)</t>
        </is>
      </c>
      <c r="R133" t="inlineStr">
        <is>
          <t>Micro</t>
        </is>
      </c>
      <c r="S133" s="1" t="inlineStr">
        <is>
          <t>Business to Business, Business to Government, Business to Schools</t>
        </is>
      </c>
      <c r="T133" s="1" t="inlineStr">
        <is>
          <t>Early childhood development (0-5 years), Primary Education, Secondary Education, Special Education</t>
        </is>
      </c>
      <c r="U133" s="1" t="inlineStr">
        <is>
          <t>System/Administrative, Teacher interfacing</t>
        </is>
      </c>
      <c r="V133" s="1" t="inlineStr">
        <is>
          <t>HR technology platform</t>
        </is>
      </c>
      <c r="W133" s="1" t="inlineStr">
        <is>
          <t>Our AI-powered platform enables schools &amp; alternative education providers to scale their hiring rapidly while maintaining high quality provision and manage the full life cycle from advertising, assessment, onboarding &amp; development.</t>
        </is>
      </c>
      <c r="X133" s="10" t="inlineStr">
        <is>
          <t>Recruitment service</t>
        </is>
      </c>
      <c r="Y133" t="inlineStr">
        <is>
          <t>We support schools and alternative education providers to attract, develop &amp; retain the best teaching talent.</t>
        </is>
      </c>
      <c r="Z133" s="1" t="inlineStr">
        <is>
          <t>https://drive.google.com/uc?export=view&amp;id=1mlTvG2pEQ-RmmnF0Gk7pq18ExVrLG2X6</t>
        </is>
      </c>
      <c r="AA133" s="1" t="inlineStr">
        <is>
          <t>Unverified</t>
        </is>
      </c>
      <c r="AB133" s="1" t="inlineStr">
        <is>
          <t>Collaborations between EdTech organisations, Project consortium building, Public-private partnerships, Industry-academia partnerships</t>
        </is>
      </c>
      <c r="AC133" s="1" t="inlineStr">
        <is>
          <t>For-profit company</t>
        </is>
      </c>
      <c r="AD133" s="10" t="b">
        <v>1</v>
      </c>
      <c r="AE133" s="1" t="b">
        <v>1</v>
      </c>
      <c r="AF133" s="1" t="inlineStr">
        <is>
          <t>Yes</t>
        </is>
      </c>
      <c r="AG133" s="1" t="inlineStr">
        <is>
          <t>https://www.linkedin.com/company/equal-teaching/</t>
        </is>
      </c>
      <c r="AH133" s="1" t="inlineStr">
        <is>
          <t>https://www.linkedin.com/company/equal-teaching/</t>
        </is>
      </c>
      <c r="AI133" s="1" t="inlineStr">
        <is>
          <t>https://www.linkedin.com/company/equal-teaching/</t>
        </is>
      </c>
      <c r="AJ133" s="1" t="n"/>
    </row>
    <row r="134" ht="12.5" customHeight="1">
      <c r="A134" s="6" t="n">
        <v>45846</v>
      </c>
      <c r="B134" s="1" t="inlineStr">
        <is>
          <t>ORG_2592</t>
        </is>
      </c>
      <c r="C134" s="1" t="b">
        <v>1</v>
      </c>
      <c r="D134" s="1" t="inlineStr">
        <is>
          <t>Finncara Consulting Ltd</t>
        </is>
      </c>
      <c r="E134" s="10" t="inlineStr">
        <is>
          <t>www.finncaraconsulting.com</t>
        </is>
      </c>
      <c r="F134" t="inlineStr">
        <is>
          <t>finncaraconsulting.com</t>
        </is>
      </c>
      <c r="G134" s="1" t="inlineStr">
        <is>
          <t>Research and Management Consultancy</t>
        </is>
      </c>
      <c r="H134" s="1" t="inlineStr">
        <is>
          <t>I'm not part of any EdTech association</t>
        </is>
      </c>
      <c r="I134" s="1" t="n"/>
      <c r="J134" s="1" t="inlineStr">
        <is>
          <t>Leeds</t>
        </is>
      </c>
      <c r="K134" t="inlineStr">
        <is>
          <t>Leeds</t>
        </is>
      </c>
      <c r="L134" t="inlineStr">
        <is>
          <t>Leeds, United Kingdom</t>
        </is>
      </c>
      <c r="M134" t="n">
        <v>53.7974185</v>
      </c>
      <c r="N134" t="n">
        <v>-1.5437941</v>
      </c>
      <c r="O134" s="1" t="inlineStr">
        <is>
          <t>United Kingdom</t>
        </is>
      </c>
      <c r="P134" s="1" t="n"/>
      <c r="Q134" s="1" t="inlineStr">
        <is>
          <t>Micro (1-9 FTE employees)</t>
        </is>
      </c>
      <c r="R134" t="inlineStr">
        <is>
          <t>Micro</t>
        </is>
      </c>
      <c r="S134" s="1" t="inlineStr">
        <is>
          <t>Business to Consumer, Business to Business</t>
        </is>
      </c>
      <c r="T134" s="1" t="inlineStr">
        <is>
          <t>Higher Education, Corporate Training, Lifelong learning/Adult education</t>
        </is>
      </c>
      <c r="U134" s="1" t="inlineStr">
        <is>
          <t>Student interfacing</t>
        </is>
      </c>
      <c r="V134" s="1" t="inlineStr">
        <is>
          <t>AI app</t>
        </is>
      </c>
      <c r="W134" s="1" t="inlineStr">
        <is>
          <t>For healing and resilience.</t>
        </is>
      </c>
      <c r="X134" s="1" t="inlineStr">
        <is>
          <t>Virtual 1-1 coaching</t>
        </is>
      </c>
      <c r="Y134" t="inlineStr">
        <is>
          <t>Personal and professional development coaching</t>
        </is>
      </c>
      <c r="Z134" s="1" t="inlineStr">
        <is>
          <t>https://drive.google.com/uc?export=view&amp;id=151CotRLwUK6pHPzRr0mhHN_Ejw0uE0Ti</t>
        </is>
      </c>
      <c r="AA134" s="1" t="inlineStr">
        <is>
          <t>Unverified</t>
        </is>
      </c>
      <c r="AB134" s="1" t="inlineStr">
        <is>
          <t>Collaborations between EdTech organisations, Project consortium building, Public-private partnerships, Industry-academia partnerships</t>
        </is>
      </c>
      <c r="AC134" s="1" t="inlineStr">
        <is>
          <t>For-profit company</t>
        </is>
      </c>
      <c r="AD134" s="10" t="b">
        <v>1</v>
      </c>
      <c r="AE134" s="1" t="n"/>
      <c r="AF134" s="1" t="inlineStr">
        <is>
          <t>No</t>
        </is>
      </c>
      <c r="AG134" s="1" t="n"/>
      <c r="AH134" s="1" t="n"/>
      <c r="AI134" s="1" t="n"/>
      <c r="AJ134" s="1" t="n"/>
    </row>
    <row r="135" ht="12.5" customHeight="1">
      <c r="A135" s="6" t="n">
        <v>45846</v>
      </c>
      <c r="B135" s="1" t="inlineStr">
        <is>
          <t>ORG_1726</t>
        </is>
      </c>
      <c r="C135" s="1" t="b">
        <v>1</v>
      </c>
      <c r="D135" s="1" t="inlineStr">
        <is>
          <t>Inokufu</t>
        </is>
      </c>
      <c r="E135" s="10" t="inlineStr">
        <is>
          <t>https://www.inokufu.com/</t>
        </is>
      </c>
      <c r="F135" t="inlineStr">
        <is>
          <t>inokufu.com</t>
        </is>
      </c>
      <c r="G135" s="1" t="inlineStr">
        <is>
          <t>At Inokufu, we help organizations deliver personalized and effective training programs to upskill their talents. Using our proprietary technology, we curate and integrate millions of high-quality learning resources tailored to each learner’s goals, needs, and roles. Our solutions empower training teams to provide the right learning activities at the right time, enhancing productivity and fostering career growth. By leveraging AI and promoting seamless data integration, we create scalable, adaptive training solutions that drive measurable results. Partner with us to unlock the full potential of your talents and build a future-ready workforce.</t>
        </is>
      </c>
      <c r="H135" s="1" t="inlineStr">
        <is>
          <t>AFINEF, EdTech France</t>
        </is>
      </c>
      <c r="I135" s="1" t="inlineStr">
        <is>
          <t>English, French</t>
        </is>
      </c>
      <c r="J135" s="1" t="inlineStr">
        <is>
          <t>Lyon</t>
        </is>
      </c>
      <c r="K135" t="inlineStr">
        <is>
          <t>Lyon</t>
        </is>
      </c>
      <c r="L135" t="inlineStr">
        <is>
          <t>Lyon, France</t>
        </is>
      </c>
      <c r="M135" t="n">
        <v>45.7578137</v>
      </c>
      <c r="N135" t="n">
        <v>4.8320114</v>
      </c>
      <c r="O135" s="1" t="inlineStr">
        <is>
          <t>France</t>
        </is>
      </c>
      <c r="P135" s="1" t="inlineStr">
        <is>
          <t>France, Luxembourg, Belgium, Monaco, Switzerland</t>
        </is>
      </c>
      <c r="Q135" s="1" t="inlineStr">
        <is>
          <t>Small (10-49 FTE employees)</t>
        </is>
      </c>
      <c r="R135" t="inlineStr">
        <is>
          <t>Small</t>
        </is>
      </c>
      <c r="S135" s="1" t="inlineStr">
        <is>
          <t>Business to Business, Business to Schools</t>
        </is>
      </c>
      <c r="T135" s="1" t="inlineStr">
        <is>
          <t>Corporate Training, Lifelong learning/Adult education, Higher Education, Vocational Education and Training (VET)</t>
        </is>
      </c>
      <c r="U135" s="1" t="inlineStr">
        <is>
          <t>Student interfacing, Teacher interfacing, System/Administrative</t>
        </is>
      </c>
      <c r="V135" s="1" t="inlineStr">
        <is>
          <t>Totara LMS + LXP + TMS</t>
        </is>
      </c>
      <c r="W135" s="1" t="inlineStr">
        <is>
          <t>Inokufu is a partner of Totara, a fully customizable solution designed for businesses that combines a Learning Management System (LMS), a Learning Experience Platform (LXP), and a Talent Management Solution (TMS). Inokufu supports organizations from custom implementation to ongoing support.</t>
        </is>
      </c>
      <c r="X135" s="10" t="inlineStr">
        <is>
          <t>Learning Objects API</t>
        </is>
      </c>
      <c r="Y135" t="inlineStr">
        <is>
          <t>The Learning Objects API is a search engine based on our research in NLP and our expertise in the edtech ecosystem. It provides access to a database of over 5 million educational resources. The API can be integrated into various environments (LMS, authoring tools, AI Chatbot).</t>
        </is>
      </c>
      <c r="Z135" s="1" t="inlineStr">
        <is>
          <t>https://drive.google.com/uc?export=view&amp;id=1rdcHG-U7xI7377px4SMmXQmfmoFO6UyL</t>
        </is>
      </c>
      <c r="AA135" s="1" t="inlineStr">
        <is>
          <t>Unverified</t>
        </is>
      </c>
      <c r="AB135" s="1" t="inlineStr">
        <is>
          <t>Collaborations between EdTech organisations, Project consortium building, Public-private partnerships</t>
        </is>
      </c>
      <c r="AC135" s="1" t="inlineStr">
        <is>
          <t>For-profit company</t>
        </is>
      </c>
      <c r="AD135" s="10" t="b">
        <v>1</v>
      </c>
      <c r="AE135" s="1" t="b">
        <v>1</v>
      </c>
      <c r="AF135" s="1" t="inlineStr">
        <is>
          <t>Yes</t>
        </is>
      </c>
      <c r="AG135" s="1" t="inlineStr">
        <is>
          <t>https://www.linkedin.com/company/inokufu/</t>
        </is>
      </c>
      <c r="AH135" s="1" t="inlineStr">
        <is>
          <t>https://www.linkedin.com/company/inokufu/</t>
        </is>
      </c>
      <c r="AI135" s="1" t="inlineStr">
        <is>
          <t>https://www.linkedin.com/company/inokufu/</t>
        </is>
      </c>
      <c r="AJ135" s="1" t="n"/>
    </row>
    <row r="136" ht="12.5" customHeight="1">
      <c r="A136" s="6" t="n">
        <v>45845</v>
      </c>
      <c r="B136" s="1" t="inlineStr">
        <is>
          <t>ORG_2271</t>
        </is>
      </c>
      <c r="C136" s="1" t="b">
        <v>1</v>
      </c>
      <c r="D136" s="1" t="inlineStr">
        <is>
          <t>Skoltavlan</t>
        </is>
      </c>
      <c r="E136" s="10" t="inlineStr">
        <is>
          <t>wwwskoltavlan.nu</t>
        </is>
      </c>
      <c r="F136" t="inlineStr">
        <is>
          <t>wwwskoltavlan.nu</t>
        </is>
      </c>
      <c r="G136" s="1" t="inlineStr">
        <is>
          <t>Skoltavlan is a platform with interactive teaching materials for students in special education, preschool classes, primary school students in need of special support, as well as newly arrived students. Skoltavlan is developed based on current curricula, and the exercises can be used individually for skills training or in groups to encourage discussion and collaboration. You can also adapt and create your own materials.</t>
        </is>
      </c>
      <c r="H136" s="1" t="inlineStr">
        <is>
          <t>Swedish EdTech Industry</t>
        </is>
      </c>
      <c r="I136" s="1" t="inlineStr">
        <is>
          <t>Swedish</t>
        </is>
      </c>
      <c r="J136" s="1" t="inlineStr">
        <is>
          <t>Sverige</t>
        </is>
      </c>
      <c r="K136" t="inlineStr">
        <is>
          <t>Sverige</t>
        </is>
      </c>
      <c r="L136" t="inlineStr">
        <is>
          <t>Sverige, Sweden</t>
        </is>
      </c>
      <c r="M136" t="n">
        <v>59.6749712</v>
      </c>
      <c r="N136" t="n">
        <v>14.5208584</v>
      </c>
      <c r="O136" s="1" t="inlineStr">
        <is>
          <t>Sweden</t>
        </is>
      </c>
      <c r="P136" s="1" t="inlineStr">
        <is>
          <t>Sweden</t>
        </is>
      </c>
      <c r="Q136" s="1" t="inlineStr">
        <is>
          <t>Micro (1-9 FTE employees)</t>
        </is>
      </c>
      <c r="R136" t="inlineStr">
        <is>
          <t>Micro</t>
        </is>
      </c>
      <c r="S136" s="1" t="inlineStr">
        <is>
          <t>Business to Schools</t>
        </is>
      </c>
      <c r="T136" s="1" t="inlineStr">
        <is>
          <t>Special Education</t>
        </is>
      </c>
      <c r="U136" s="1" t="inlineStr">
        <is>
          <t>Student interfacing</t>
        </is>
      </c>
      <c r="V136" s="10" t="inlineStr">
        <is>
          <t>Skoltavlan</t>
        </is>
      </c>
      <c r="W136" s="1" t="inlineStr">
        <is>
          <t>Skoltavlan is a platform with interactive teaching materials for students in special education, preschool classes, primary school students.</t>
        </is>
      </c>
      <c r="X136" s="10" t="inlineStr">
        <is>
          <t>https://drive.google.com/uc?export=view&amp;id=1T-uX_D7vbGqPstxVZ2RiVPronZFMzlm4</t>
        </is>
      </c>
      <c r="Y136" t="inlineStr">
        <is>
          <t>https://drive.google.com/uc?export=view&amp;id=1T-uX_D7vbGqPstxVZ2RiVPronZFMzlm4</t>
        </is>
      </c>
      <c r="Z136" s="1" t="inlineStr">
        <is>
          <t>https://drive.google.com/uc?export=view&amp;id=1T-uX_D7vbGqPstxVZ2RiVPronZFMzlm4</t>
        </is>
      </c>
      <c r="AA136" s="1" t="inlineStr">
        <is>
          <t>Unverified</t>
        </is>
      </c>
      <c r="AB136" s="1" t="inlineStr">
        <is>
          <t>Collaborations between EdTech organisations, Other</t>
        </is>
      </c>
      <c r="AC136" s="1" t="inlineStr">
        <is>
          <t>For-profit company</t>
        </is>
      </c>
      <c r="AD136" s="10" t="b">
        <v>1</v>
      </c>
      <c r="AE136" s="1" t="b">
        <v>1</v>
      </c>
      <c r="AF136" s="1" t="inlineStr">
        <is>
          <t>Yes</t>
        </is>
      </c>
      <c r="AG136" s="1" t="inlineStr">
        <is>
          <t>https://www.instagram.com/skoltavlan/</t>
        </is>
      </c>
      <c r="AH136" s="1" t="inlineStr">
        <is>
          <t>https://www.linkedin.com/showcase/skoltavlan</t>
        </is>
      </c>
      <c r="AI136" s="1" t="inlineStr">
        <is>
          <t>https://www.linkedin.com/showcase/skoltavlan</t>
        </is>
      </c>
      <c r="AJ136" s="10" t="inlineStr">
        <is>
          <t>https://www.facebook.com/skoltavlan</t>
        </is>
      </c>
    </row>
    <row r="137" ht="12.5" customHeight="1">
      <c r="A137" s="6" t="n">
        <v>45845</v>
      </c>
      <c r="B137" s="1" t="inlineStr">
        <is>
          <t>ORG_1223</t>
        </is>
      </c>
      <c r="C137" s="1" t="b">
        <v>1</v>
      </c>
      <c r="D137" s="1" t="inlineStr">
        <is>
          <t>Catwise</t>
        </is>
      </c>
      <c r="E137" s="10" t="inlineStr">
        <is>
          <t>www.catwise.com</t>
        </is>
      </c>
      <c r="F137" t="inlineStr">
        <is>
          <t>catwise.com</t>
        </is>
      </c>
      <c r="G137" s="1" t="inlineStr">
        <is>
          <t>Catwise contributes to education where students take control of their development, are allowed to make mistakes and experience less numerical pressure to perform. Education where students learn to reflect and leave school with self-knowledge and self-confidence. OUR SERVICES Student discussion Targeted feedback, fewer meetings, it's the student's turn. Catwise Student Discussion is a unique methodology for effective student guidance. Portfolio Insight into development, learning to reflect, ready for the future. Catwise Portfolio provides a clear overview of all developments surrounding CEG, citizenship education, activities and internships. Learning objectives Curriculum design for your class groups, including planning learning objectives with success criteria, adding practice materials and tracking progress by both student and teacher. Training Trainings that are rated by teachers with an 8.8. Don't expect lectures, roll up your sleeves! Accompaniment All our advisors have been in the classroom and speak the language of education. We work informally and do not provide a customer number, but our 06 number.</t>
        </is>
      </c>
      <c r="H137" s="1" t="inlineStr">
        <is>
          <t>Dutch EdTech</t>
        </is>
      </c>
      <c r="I137" s="1" t="inlineStr">
        <is>
          <t>English, Dutch</t>
        </is>
      </c>
      <c r="J137" s="1" t="inlineStr">
        <is>
          <t>Utrecht</t>
        </is>
      </c>
      <c r="K137" t="inlineStr">
        <is>
          <t>Utrecht</t>
        </is>
      </c>
      <c r="L137" t="inlineStr">
        <is>
          <t>Utrecht, The Netherlands</t>
        </is>
      </c>
      <c r="M137" t="n">
        <v>52.0906195</v>
      </c>
      <c r="N137" t="n">
        <v>5.1119709</v>
      </c>
      <c r="O137" s="1" t="inlineStr">
        <is>
          <t>The Netherlands</t>
        </is>
      </c>
      <c r="P137" s="1" t="inlineStr">
        <is>
          <t>Netherlands</t>
        </is>
      </c>
      <c r="Q137" s="1" t="inlineStr">
        <is>
          <t>Small (10-49 FTE employees)</t>
        </is>
      </c>
      <c r="R137" t="inlineStr">
        <is>
          <t>Small</t>
        </is>
      </c>
      <c r="S137" s="1" t="inlineStr">
        <is>
          <t>Business to Schools</t>
        </is>
      </c>
      <c r="T137" s="1" t="inlineStr">
        <is>
          <t>Secondary Education, Higher Education</t>
        </is>
      </c>
      <c r="U137" s="1" t="inlineStr">
        <is>
          <t>Student interfacing, Teacher interfacing, System/Administrative</t>
        </is>
      </c>
      <c r="V137" s="1" t="inlineStr">
        <is>
          <t>Catwise</t>
        </is>
      </c>
      <c r="W137" s="1" t="inlineStr">
        <is>
          <t>Catwise (formerly Leerlingbespreking.nl) contributes to education where students take control of their development, are allowed to make mistakes and experience less numerical pressure to perform. Education where students learn to reflect and leave school with self-knowledge and self-confidence.
OUR</t>
        </is>
      </c>
      <c r="X137" s="10" t="inlineStr">
        <is>
          <t>https://drive.google.com/uc?export=view&amp;id=1QPWmAK34ATuMRnhEhDPfWpWR8DDRZA68</t>
        </is>
      </c>
      <c r="Y137" t="inlineStr">
        <is>
          <t>https://drive.google.com/uc?export=view&amp;id=1QPWmAK34ATuMRnhEhDPfWpWR8DDRZA68</t>
        </is>
      </c>
      <c r="Z137" s="1" t="inlineStr">
        <is>
          <t>https://drive.google.com/uc?export=view&amp;id=1QPWmAK34ATuMRnhEhDPfWpWR8DDRZA68</t>
        </is>
      </c>
      <c r="AA137" s="1" t="inlineStr">
        <is>
          <t>Unverified</t>
        </is>
      </c>
      <c r="AB137" s="1" t="inlineStr">
        <is>
          <t>Collaborations between EdTech organisations</t>
        </is>
      </c>
      <c r="AC137" s="1" t="inlineStr">
        <is>
          <t>For-profit company</t>
        </is>
      </c>
      <c r="AD137" s="10" t="b">
        <v>1</v>
      </c>
      <c r="AE137" s="1" t="b">
        <v>1</v>
      </c>
      <c r="AF137" s="1" t="inlineStr">
        <is>
          <t>Yes</t>
        </is>
      </c>
      <c r="AG137" s="1" t="inlineStr">
        <is>
          <t>https://www.linkedin.com/company/catwise</t>
        </is>
      </c>
      <c r="AH137" s="1" t="inlineStr">
        <is>
          <t>https://www.linkedin.com/company/catwise</t>
        </is>
      </c>
      <c r="AI137" s="1" t="inlineStr">
        <is>
          <t>https://www.linkedin.com/company/catwise</t>
        </is>
      </c>
      <c r="AJ137" s="1" t="n"/>
    </row>
    <row r="138" ht="12.5" customHeight="1">
      <c r="A138" s="6" t="n">
        <v>45845</v>
      </c>
      <c r="B138" s="1" t="inlineStr">
        <is>
          <t>ORG_2591</t>
        </is>
      </c>
      <c r="C138" s="1" t="b">
        <v>1</v>
      </c>
      <c r="D138" s="1" t="inlineStr">
        <is>
          <t>CASES</t>
        </is>
      </c>
      <c r="E138" s="10" t="inlineStr">
        <is>
          <t>https://cases.media</t>
        </is>
      </c>
      <c r="F138" t="inlineStr">
        <is>
          <t>cases.media</t>
        </is>
      </c>
      <c r="G138" s="1" t="inlineStr">
        <is>
          <t>CASES is a professional super app for the creative industries that combines online education, career development, and community tools in one platform. We offer a comprehensive learning ecosystem with courses, webinars, workshops, and learning paths tailored for designers, marketers, and content creators.</t>
        </is>
      </c>
      <c r="H138" s="1" t="inlineStr">
        <is>
          <t>I'm not part of any EdTech association</t>
        </is>
      </c>
      <c r="I138" s="1" t="inlineStr">
        <is>
          <t>English, Ukrainian</t>
        </is>
      </c>
      <c r="J138" s="1" t="inlineStr">
        <is>
          <t>Kyiv</t>
        </is>
      </c>
      <c r="K138" t="inlineStr">
        <is>
          <t>Kyiv</t>
        </is>
      </c>
      <c r="L138" t="inlineStr">
        <is>
          <t>Kyiv, Ukraine</t>
        </is>
      </c>
      <c r="M138" t="n">
        <v>50.4500336</v>
      </c>
      <c r="N138" t="n">
        <v>30.5241361</v>
      </c>
      <c r="O138" s="1" t="inlineStr">
        <is>
          <t>Ukraine</t>
        </is>
      </c>
      <c r="P138" s="1" t="inlineStr">
        <is>
          <t>Ukraine</t>
        </is>
      </c>
      <c r="Q138" s="1" t="inlineStr">
        <is>
          <t>Small (10-49 FTE employees)</t>
        </is>
      </c>
      <c r="R138" t="inlineStr">
        <is>
          <t>Small</t>
        </is>
      </c>
      <c r="S138" s="1" t="inlineStr">
        <is>
          <t>Business to Business, Business to Consumer</t>
        </is>
      </c>
      <c r="T138" s="1" t="inlineStr">
        <is>
          <t>Corporate Training, Lifelong learning/Adult education, Special Education</t>
        </is>
      </c>
      <c r="U138" s="1" t="inlineStr">
        <is>
          <t>Student interfacing, Teacher interfacing, System/Administrative, Other</t>
        </is>
      </c>
      <c r="V138" s="1" t="inlineStr">
        <is>
          <t>Super App for Creative Education and Careers</t>
        </is>
      </c>
      <c r="W138" t="inlineStr">
        <is>
          <t>CASES is a professional platform that unites online learning, career tools, and a creative community in one place. It offers courses, webinars, and workshops tailored for designers, marketers, and content creators, helping users gain skills, build portfolios, and connect with job opportunities.</t>
        </is>
      </c>
      <c r="X138" s="10" t="inlineStr">
        <is>
          <t>https://drive.google.com/uc?export=view&amp;id=1CoxN7dVygrQI9IcXWJo2unPNl6ykmJwE</t>
        </is>
      </c>
      <c r="Y138" t="inlineStr">
        <is>
          <t>https://drive.google.com/uc?export=view&amp;id=1CoxN7dVygrQI9IcXWJo2unPNl6ykmJwE</t>
        </is>
      </c>
      <c r="Z138" s="1" t="inlineStr">
        <is>
          <t>https://drive.google.com/uc?export=view&amp;id=1CoxN7dVygrQI9IcXWJo2unPNl6ykmJwE</t>
        </is>
      </c>
      <c r="AA138" s="1" t="inlineStr">
        <is>
          <t>Unverified</t>
        </is>
      </c>
      <c r="AB138" s="1" t="inlineStr">
        <is>
          <t>Collaborations between EdTech organisations, Project consortium building, Public-private partnerships, Industry-academia partnerships</t>
        </is>
      </c>
      <c r="AC138" s="1" t="inlineStr">
        <is>
          <t>For-profit company</t>
        </is>
      </c>
      <c r="AD138" s="10" t="b">
        <v>1</v>
      </c>
      <c r="AE138" s="1" t="b">
        <v>1</v>
      </c>
      <c r="AF138" s="1" t="inlineStr">
        <is>
          <t>Yes</t>
        </is>
      </c>
      <c r="AG138" s="1" t="inlineStr">
        <is>
          <t>https://www.linkedin.com/company/cases-media/</t>
        </is>
      </c>
      <c r="AH138" s="1" t="inlineStr">
        <is>
          <t>https://www.linkedin.com/company/cases-media/</t>
        </is>
      </c>
      <c r="AI138" s="1" t="inlineStr">
        <is>
          <t>https://www.linkedin.com/company/cases-media/</t>
        </is>
      </c>
      <c r="AJ138" s="1" t="n"/>
    </row>
    <row r="139" ht="12.5" customHeight="1">
      <c r="A139" s="6" t="n">
        <v>45845</v>
      </c>
      <c r="B139" s="1" t="inlineStr">
        <is>
          <t>ORG_1012</t>
        </is>
      </c>
      <c r="C139" s="1" t="b">
        <v>1</v>
      </c>
      <c r="D139" s="1" t="inlineStr">
        <is>
          <t>3ipunt</t>
        </is>
      </c>
      <c r="E139" s="10" t="inlineStr">
        <is>
          <t>www.tresipunt.com</t>
        </is>
      </c>
      <c r="F139" t="inlineStr">
        <is>
          <t>tresipunt.com</t>
        </is>
      </c>
      <c r="G139" s="1" t="inlineStr">
        <is>
          <t>We are official Premium Partners of Moodle, members of the 1EdTech™ Consortium and partners of AWS (Amazon Web Services), as well as members of CatPL and the EdutechCluster. We are specialized in offering personalized solutions in information and communication technologies with high added value, reasonable cost, and close and accessible treatment.</t>
        </is>
      </c>
      <c r="H139" s="1" t="inlineStr">
        <is>
          <t>EduTech Cluster Spain</t>
        </is>
      </c>
      <c r="I139" s="1" t="n"/>
      <c r="J139" s="1" t="inlineStr">
        <is>
          <t>Barcelona</t>
        </is>
      </c>
      <c r="K139" t="inlineStr">
        <is>
          <t>Barcelona</t>
        </is>
      </c>
      <c r="L139" t="inlineStr">
        <is>
          <t>Barcelona, Spain</t>
        </is>
      </c>
      <c r="M139" t="n">
        <v>41.3825802</v>
      </c>
      <c r="N139" t="n">
        <v>2.177073</v>
      </c>
      <c r="O139" s="1" t="inlineStr">
        <is>
          <t>Spain</t>
        </is>
      </c>
      <c r="P139" s="1" t="inlineStr">
        <is>
          <t>United Kingdom, Ukraine, Sweden, Switzerland, Turkey, Spain, Slovenia, Slovakia, Portugal, Romania, San Marino, Poland, Norway, North Macedonia, Monaco, Montenegro, Netherlands, Moldova, Malta, Luxembourg, Latvia, Liechtenstein, Lithuania, Kosovo, Italy, Ireland, Greece, Hungary, Iceland, Germany, France, Finland, Czechia, Denmark, Estonia, Republic of Cyprus, Croatia, Bulgaria, Belarus, Belgium, Bosnia and Herzegovina, Austria, Andorra, Albania</t>
        </is>
      </c>
      <c r="Q139" s="1" t="inlineStr">
        <is>
          <t>Medium (50-250 FTE employees)</t>
        </is>
      </c>
      <c r="R139" t="inlineStr">
        <is>
          <t>Medium</t>
        </is>
      </c>
      <c r="S139" s="1" t="inlineStr">
        <is>
          <t>Business to Business, Business to Government, Business to Schools</t>
        </is>
      </c>
      <c r="T139" s="1" t="inlineStr">
        <is>
          <t>Vocational Education and Training (VET), Higher Education, Corporate Training, Lifelong learning/Adult education, Secondary Education, Other</t>
        </is>
      </c>
      <c r="U139" s="1" t="inlineStr">
        <is>
          <t>Student interfacing, Teacher interfacing, System/Administrative, Other</t>
        </is>
      </c>
      <c r="V139" t="inlineStr">
        <is>
          <t>Moodle LMS</t>
        </is>
      </c>
      <c r="W139" t="inlineStr">
        <is>
          <t>The most known and used LMS Platform worldwide</t>
        </is>
      </c>
      <c r="X139" s="10" t="inlineStr">
        <is>
          <t>Moodle Workplace</t>
        </is>
      </c>
      <c r="Y139" t="inlineStr">
        <is>
          <t>The best in class Moodle platform for businesses, universities and organizations</t>
        </is>
      </c>
      <c r="Z139" s="1" t="inlineStr">
        <is>
          <t>https://drive.google.com/uc?export=view&amp;id=1fbl4Z7zEurlOTJGg_E1vzY_IFz5uHa7u</t>
        </is>
      </c>
      <c r="AA139" s="1" t="inlineStr">
        <is>
          <t>Unverified</t>
        </is>
      </c>
      <c r="AB139" s="1" t="inlineStr">
        <is>
          <t>Collaborations between EdTech organisations, Project consortium building, Public-private partnerships</t>
        </is>
      </c>
      <c r="AC139" s="1" t="inlineStr">
        <is>
          <t>For-profit company</t>
        </is>
      </c>
      <c r="AD139" s="10" t="b">
        <v>1</v>
      </c>
      <c r="AE139" s="1" t="b">
        <v>1</v>
      </c>
      <c r="AF139" s="1" t="inlineStr">
        <is>
          <t>Yes</t>
        </is>
      </c>
      <c r="AG139" s="1" t="inlineStr">
        <is>
          <t>https://www.linkedin.com/company/tresipunt</t>
        </is>
      </c>
      <c r="AH139" s="1" t="inlineStr">
        <is>
          <t>https://www.linkedin.com/company/tresipunt</t>
        </is>
      </c>
      <c r="AI139" s="1" t="inlineStr">
        <is>
          <t>https://www.linkedin.com/company/tresipunt</t>
        </is>
      </c>
      <c r="AJ139" s="1" t="n"/>
    </row>
    <row r="140" ht="12.5" customHeight="1">
      <c r="A140" s="6" t="n">
        <v>45845</v>
      </c>
      <c r="B140" s="1" t="inlineStr">
        <is>
          <t>ORG_2117</t>
        </is>
      </c>
      <c r="C140" s="1" t="b">
        <v>1</v>
      </c>
      <c r="D140" s="1" t="inlineStr">
        <is>
          <t>Polycular GmbH</t>
        </is>
      </c>
      <c r="E140" s="10" t="inlineStr">
        <is>
          <t>https://www.polycular.com/</t>
        </is>
      </c>
      <c r="F140" t="inlineStr">
        <is>
          <t>polycular.com</t>
        </is>
      </c>
      <c r="G140" s="1" t="inlineStr">
        <is>
          <t>At Polycular, our mission is central: to make profound topics tangible through experiences and games. As an award-winning XR studio, we blend playful approaches with narrative depth and interactive experiences. Our creations - from games to XR experiences - aim to leave lasting impressions in education and training.</t>
        </is>
      </c>
      <c r="H140" s="1" t="inlineStr">
        <is>
          <t>EdTech Austria</t>
        </is>
      </c>
      <c r="I140" s="1" t="inlineStr">
        <is>
          <t>English, French, German, Italian, Dutch, Portuguese, Romanian, Hungarian</t>
        </is>
      </c>
      <c r="J140" s="1" t="inlineStr">
        <is>
          <t>Hallein</t>
        </is>
      </c>
      <c r="K140" t="inlineStr">
        <is>
          <t>Hallein</t>
        </is>
      </c>
      <c r="L140" t="inlineStr">
        <is>
          <t>Hallein, Austria</t>
        </is>
      </c>
      <c r="M140" t="n">
        <v>47.6821521</v>
      </c>
      <c r="N140" t="n">
        <v>13.0956313</v>
      </c>
      <c r="O140" s="1" t="inlineStr">
        <is>
          <t>Austria</t>
        </is>
      </c>
      <c r="P140" s="1" t="inlineStr">
        <is>
          <t>Austria, Germany, Italy, France, Switzerland, Romania, Netherlands, Denmark, Portugal, Hungary</t>
        </is>
      </c>
      <c r="Q140" s="1" t="inlineStr">
        <is>
          <t>Micro (1-9 FTE employees)</t>
        </is>
      </c>
      <c r="R140" t="inlineStr">
        <is>
          <t>Micro</t>
        </is>
      </c>
      <c r="S140" s="1" t="inlineStr">
        <is>
          <t>Business to Business, Business to Government, Business to Schools</t>
        </is>
      </c>
      <c r="T140" s="1" t="inlineStr">
        <is>
          <t>Secondary Education, Vocational Education and Training (VET), Corporate Training, Lifelong learning/Adult education</t>
        </is>
      </c>
      <c r="U140" s="1" t="inlineStr">
        <is>
          <t>Student interfacing, Teacher interfacing</t>
        </is>
      </c>
      <c r="V140" s="1" t="inlineStr">
        <is>
          <t>Crew Together XR</t>
        </is>
      </c>
      <c r="W140" s="1" t="inlineStr">
        <is>
          <t>Crew Together XR is an immersive team development experience that combines the excitement of multiplayer escape missions with the power of Extended Reality. Guided by professional coaches, it helps teams strengthen communication, trust, and collaboration through interactive XR journeys.</t>
        </is>
      </c>
      <c r="X140" s="10" t="inlineStr">
        <is>
          <t>Escape Fake</t>
        </is>
      </c>
      <c r="Y140" t="inlineStr">
        <is>
          <t>Escape Fake is an immersive media literacy experience that combines the thrill of AR escape gameplay with critical thinking challenges. Designed for schools and workshops, it helps participants uncover misinformation, sharpen digital skills, and navigate today’s complex media landscape.</t>
        </is>
      </c>
      <c r="Z140" s="1" t="inlineStr">
        <is>
          <t>https://drive.google.com/uc?export=view&amp;id=1GQS_qov5F8SYBniukGyJQp3JYUO17nK8</t>
        </is>
      </c>
      <c r="AA140" s="1" t="inlineStr">
        <is>
          <t>Unverified</t>
        </is>
      </c>
      <c r="AB140" s="1" t="inlineStr">
        <is>
          <t>Collaborations between EdTech organisations, Project consortium building, Public-private partnerships, Industry-academia partnerships</t>
        </is>
      </c>
      <c r="AC140" s="1" t="inlineStr">
        <is>
          <t>For-profit company</t>
        </is>
      </c>
      <c r="AD140" s="10" t="b">
        <v>1</v>
      </c>
      <c r="AE140" s="1" t="b">
        <v>1</v>
      </c>
      <c r="AF140" s="1" t="inlineStr">
        <is>
          <t>Yes</t>
        </is>
      </c>
      <c r="AG140" s="1" t="inlineStr">
        <is>
          <t>https://www.linkedin.com/company/polycular</t>
        </is>
      </c>
      <c r="AH140" s="1" t="inlineStr">
        <is>
          <t>https://www.linkedin.com/company/polycular</t>
        </is>
      </c>
      <c r="AI140" s="1" t="inlineStr">
        <is>
          <t>https://www.linkedin.com/company/polycular</t>
        </is>
      </c>
      <c r="AJ140" s="1" t="n"/>
    </row>
    <row r="141" ht="12.5" customHeight="1">
      <c r="A141" s="6" t="n">
        <v>45843</v>
      </c>
      <c r="B141" s="1" t="inlineStr">
        <is>
          <t>ORG_1839</t>
        </is>
      </c>
      <c r="C141" s="1" t="b">
        <v>1</v>
      </c>
      <c r="D141" s="1" t="inlineStr">
        <is>
          <t>Learnlab</t>
        </is>
      </c>
      <c r="E141" s="10" t="inlineStr">
        <is>
          <t>learnlab.net</t>
        </is>
      </c>
      <c r="F141" t="inlineStr">
        <is>
          <t>learnlab.net</t>
        </is>
      </c>
      <c r="G141" s="1" t="inlineStr">
        <is>
          <t>Learnlab is a digital learning platform designed to enhance learning experiences. It promotes active learning, inclusion, collaboration and creativity - assisted by AI. The platform gives educators innovative digital tools to create immersive learning experiences that spark engagement and deepen understanding.</t>
        </is>
      </c>
      <c r="H141" s="1" t="inlineStr">
        <is>
          <t>I'm not part of any EdTech association</t>
        </is>
      </c>
      <c r="I141" s="1" t="inlineStr">
        <is>
          <t>English, Spanish, German, Italian</t>
        </is>
      </c>
      <c r="J141" s="1" t="inlineStr">
        <is>
          <t>Oslo</t>
        </is>
      </c>
      <c r="K141" t="inlineStr">
        <is>
          <t>Oslo</t>
        </is>
      </c>
      <c r="L141" t="inlineStr">
        <is>
          <t>Oslo, Norway</t>
        </is>
      </c>
      <c r="M141" t="n">
        <v>59.9067935</v>
      </c>
      <c r="N141" t="n">
        <v>10.7610162</v>
      </c>
      <c r="O141" s="1" t="inlineStr">
        <is>
          <t>Norway</t>
        </is>
      </c>
      <c r="P141" s="1" t="inlineStr">
        <is>
          <t>Bulgaria, Sweden, Ukraine, Denmark, Norway, Romania, United Kingdom, Germany, Lithuania</t>
        </is>
      </c>
      <c r="Q141" s="1" t="inlineStr">
        <is>
          <t>Medium (50-250 FTE employees)</t>
        </is>
      </c>
      <c r="R141" t="inlineStr">
        <is>
          <t>Medium</t>
        </is>
      </c>
      <c r="S141" s="1" t="inlineStr">
        <is>
          <t>Business to Business, Business to Consumer, Business to Government, Business to Schools</t>
        </is>
      </c>
      <c r="T141" s="1" t="inlineStr">
        <is>
          <t>Primary Education, Secondary Education, Vocational Education and Training (VET), Higher Education, Corporate Training, Special Education</t>
        </is>
      </c>
      <c r="U141" s="1" t="inlineStr">
        <is>
          <t>Student interfacing, Teacher interfacing, System/Administrative</t>
        </is>
      </c>
      <c r="V141" s="1" t="inlineStr">
        <is>
          <t>Learnlab toolbox</t>
        </is>
      </c>
      <c r="W141" s="1" t="inlineStr">
        <is>
          <t>10 tools for presenting, mindmaps, collective learning and AI feedback</t>
        </is>
      </c>
      <c r="X141" s="10" t="inlineStr">
        <is>
          <t>https://drive.google.com/uc?export=view&amp;id=1_ICx_y-PM3l1hmd-AdIzAExoL-WdR8f7</t>
        </is>
      </c>
      <c r="Y141" t="inlineStr">
        <is>
          <t>https://drive.google.com/uc?export=view&amp;id=1_ICx_y-PM3l1hmd-AdIzAExoL-WdR8f7</t>
        </is>
      </c>
      <c r="Z141" s="1" t="inlineStr">
        <is>
          <t>https://drive.google.com/uc?export=view&amp;id=1_ICx_y-PM3l1hmd-AdIzAExoL-WdR8f7</t>
        </is>
      </c>
      <c r="AA141" s="1" t="inlineStr">
        <is>
          <t>Unverified</t>
        </is>
      </c>
      <c r="AB141" s="1" t="inlineStr">
        <is>
          <t>Collaborations between EdTech organisations, Project consortium building, Public-private partnerships, Industry-academia partnerships</t>
        </is>
      </c>
      <c r="AC141" s="1" t="inlineStr">
        <is>
          <t>For-profit company</t>
        </is>
      </c>
      <c r="AD141" s="10" t="b">
        <v>1</v>
      </c>
      <c r="AE141" s="1" t="b">
        <v>1</v>
      </c>
      <c r="AF141" s="1" t="inlineStr">
        <is>
          <t>Yes</t>
        </is>
      </c>
      <c r="AG141" s="1" t="inlineStr">
        <is>
          <t>https://www.linkedin.com/company/17944144</t>
        </is>
      </c>
      <c r="AH141" s="1" t="inlineStr">
        <is>
          <t>https://www.linkedin.com/company/17944144</t>
        </is>
      </c>
      <c r="AI141" s="1" t="inlineStr">
        <is>
          <t>https://www.linkedin.com/company/17944144</t>
        </is>
      </c>
      <c r="AJ141" s="10" t="inlineStr">
        <is>
          <t>https://www.facebook.com/learnlab1</t>
        </is>
      </c>
    </row>
    <row r="142" ht="12.5" customHeight="1">
      <c r="A142" s="6" t="n">
        <v>45842</v>
      </c>
      <c r="B142" s="1" t="inlineStr">
        <is>
          <t>ORG_2590</t>
        </is>
      </c>
      <c r="C142" s="1" t="b">
        <v>1</v>
      </c>
      <c r="D142" s="1" t="inlineStr">
        <is>
          <t>Deutschfuchs Gesellschaft für digitalen Unterricht mbH</t>
        </is>
      </c>
      <c r="E142" s="10" t="inlineStr">
        <is>
          <t>https://deutschfuchs.de/</t>
        </is>
      </c>
      <c r="F142" t="inlineStr">
        <is>
          <t>deutschfuchs.de</t>
        </is>
      </c>
      <c r="G142" s="1" t="inlineStr">
        <is>
          <t>Deutschfuchs is the innovative learning platform for German as a foreign and second language as well as for targeted language support, from primary school to adulthood. It combines a modern Learning Management System (LMS) with a comprehensive digital textbook (from alphabetisation to B2) and thus offers an optimal basis for contemporary and practical German lessons. With translations into 28 languages of origin, numerous audio recordings and a wide range of exercises to promote the four core skills - reading, listening, writing and speaking - Deutschfuchs helps teachers to create differentiated lessons and respond specifically to the individual needs of learners. The platform is supplemented by extensive teaching material on regional topics and vocabulary work, which promotes sustainable learning success and intercultural understanding. Deutschfuchs offers content for all areas of education: from primary school through secondary school and vocational school to lifelong learning.</t>
        </is>
      </c>
      <c r="H142" s="1" t="inlineStr">
        <is>
          <t>EdTech-Verband e.V.</t>
        </is>
      </c>
      <c r="I142" s="1" t="inlineStr">
        <is>
          <t>German</t>
        </is>
      </c>
      <c r="J142" s="1" t="inlineStr">
        <is>
          <t>Köln</t>
        </is>
      </c>
      <c r="K142" t="inlineStr">
        <is>
          <t>Köln</t>
        </is>
      </c>
      <c r="L142" t="inlineStr">
        <is>
          <t>Köln, Germany</t>
        </is>
      </c>
      <c r="M142" t="n">
        <v>50.938361</v>
      </c>
      <c r="N142" t="n">
        <v>6.959974</v>
      </c>
      <c r="O142" s="1" t="inlineStr">
        <is>
          <t>Germany</t>
        </is>
      </c>
      <c r="P142" s="1" t="inlineStr">
        <is>
          <t>Albania, Belarus, Bulgaria, Czechia, Finland, Greece, Ireland, Latvia, Luxembourg, Monaco, North Macedonia, Portugal, Slovakia, Sweden, Ukraine, Andorra, Belgium, Croatia, Denmark, France, Hungary, Italy, Liechtenstein, Malta, Montenegro, Norway, Romania, Slovenia, United Kingdom, Bosnia and Herzegovina, Republic of Cyprus, Estonia, Iceland, Kosovo, Lithuania, Moldova, Netherlands, Poland, San Marino, Spain, Turkey, Switzerland, Austria, Germany</t>
        </is>
      </c>
      <c r="Q142" s="1" t="inlineStr">
        <is>
          <t>Small (10-49 FTE employees)</t>
        </is>
      </c>
      <c r="R142" t="inlineStr">
        <is>
          <t>Small</t>
        </is>
      </c>
      <c r="S142" s="1" t="inlineStr">
        <is>
          <t>Business to Business, Business to Government, Business to Schools</t>
        </is>
      </c>
      <c r="T142" s="1" t="inlineStr">
        <is>
          <t>Primary Education, Secondary Education, Vocational Education and Training (VET), Higher Education, Corporate Training, Lifelong learning/Adult education, Special Education</t>
        </is>
      </c>
      <c r="U142" s="1" t="inlineStr">
        <is>
          <t>Student interfacing, Teacher interfacing, System/Administrative</t>
        </is>
      </c>
      <c r="V142" s="1" t="inlineStr">
        <is>
          <t>Deutschfuchs</t>
        </is>
      </c>
      <c r="W142" t="inlineStr">
        <is>
          <t>Deutschfuchs is the innovative learning platform for German as a foreign and second language as well as for targeted language support, from primary school to adulthood. It combines a modern Learning Management System (LMS) with a comprehensive digital textbook (from alphabetisation to B2).</t>
        </is>
      </c>
      <c r="X142" s="1" t="inlineStr">
        <is>
          <t>https://drive.google.com/uc?export=view&amp;id=1K-GsPexYYsXO-dcdm9M5Nuh5G0HXhzPY</t>
        </is>
      </c>
      <c r="Y142" t="inlineStr">
        <is>
          <t>https://drive.google.com/uc?export=view&amp;id=1K-GsPexYYsXO-dcdm9M5Nuh5G0HXhzPY</t>
        </is>
      </c>
      <c r="Z142" s="1" t="inlineStr">
        <is>
          <t>https://drive.google.com/uc?export=view&amp;id=1K-GsPexYYsXO-dcdm9M5Nuh5G0HXhzPY</t>
        </is>
      </c>
      <c r="AA142" s="1" t="inlineStr">
        <is>
          <t>Unverified</t>
        </is>
      </c>
      <c r="AB142" s="1" t="inlineStr">
        <is>
          <t>Collaborations between EdTech organisations, Project consortium building, Public-private partnerships, Industry-academia partnerships</t>
        </is>
      </c>
      <c r="AC142" s="1" t="inlineStr">
        <is>
          <t>For-profit company</t>
        </is>
      </c>
      <c r="AD142" s="10" t="b">
        <v>1</v>
      </c>
      <c r="AE142" s="1" t="b">
        <v>1</v>
      </c>
      <c r="AF142" s="1" t="inlineStr">
        <is>
          <t>No</t>
        </is>
      </c>
      <c r="AG142" s="1" t="n"/>
      <c r="AH142" s="1" t="n"/>
      <c r="AI142" s="1" t="n"/>
      <c r="AJ142" s="1" t="n"/>
    </row>
    <row r="143" ht="12.5" customHeight="1">
      <c r="A143" s="6" t="n">
        <v>45842</v>
      </c>
      <c r="B143" s="1" t="inlineStr">
        <is>
          <t>ORG_1125</t>
        </is>
      </c>
      <c r="C143" s="1" t="b">
        <v>1</v>
      </c>
      <c r="D143" s="1" t="inlineStr">
        <is>
          <t>Authôt</t>
        </is>
      </c>
      <c r="E143" s="10" t="inlineStr">
        <is>
          <t>https://authot.com/</t>
        </is>
      </c>
      <c r="F143" t="inlineStr">
        <is>
          <t>authot.com</t>
        </is>
      </c>
      <c r="G143" s="1" t="inlineStr">
        <is>
          <t>Language Services for Businesses and Public Organisations. Our combination of AI technology and human expertise streamlines transcription, subtitling and translation processes to deliver impeccable results. Free up your time by letting us handle these tasks, so you can focus on what really matters to your business!</t>
        </is>
      </c>
      <c r="H143" s="1" t="inlineStr">
        <is>
          <t>EdTech France</t>
        </is>
      </c>
      <c r="I143" s="1" t="inlineStr">
        <is>
          <t>English, French, Spanish</t>
        </is>
      </c>
      <c r="J143" s="1" t="inlineStr">
        <is>
          <t>Ivry-Sur-Seine</t>
        </is>
      </c>
      <c r="K143" t="inlineStr">
        <is>
          <t>Ivry-Sur-Seine</t>
        </is>
      </c>
      <c r="L143" t="inlineStr">
        <is>
          <t>Ivry-Sur-Seine, France</t>
        </is>
      </c>
      <c r="M143" t="n">
        <v>48.8122302</v>
      </c>
      <c r="N143" t="n">
        <v>2.3872525</v>
      </c>
      <c r="O143" s="1" t="inlineStr">
        <is>
          <t>France</t>
        </is>
      </c>
      <c r="P143" s="1" t="inlineStr">
        <is>
          <t>France, Germany, Italy, Spain, United Kingdom, Belgium, Luxembourg</t>
        </is>
      </c>
      <c r="Q143" s="1" t="inlineStr">
        <is>
          <t>Small (10-49 FTE employees)</t>
        </is>
      </c>
      <c r="R143" t="inlineStr">
        <is>
          <t>Small</t>
        </is>
      </c>
      <c r="S143" s="1" t="inlineStr">
        <is>
          <t>Business to Business, Business to Government</t>
        </is>
      </c>
      <c r="T143" s="1" t="inlineStr">
        <is>
          <t>Higher Education, Corporate Training</t>
        </is>
      </c>
      <c r="U143" s="1" t="inlineStr">
        <is>
          <t>Other, System/Administrative</t>
        </is>
      </c>
      <c r="V143" s="1" t="inlineStr">
        <is>
          <t>Authôt APP</t>
        </is>
      </c>
      <c r="W143" s="1" t="inlineStr">
        <is>
          <t>Save time and ensure accuracy by automating the production of audio transcription and video translation projects.</t>
        </is>
      </c>
      <c r="X143" s="10" t="inlineStr">
        <is>
          <t>Authôt Live</t>
        </is>
      </c>
      <c r="Y143" t="inlineStr">
        <is>
          <t>Exchanges become clearer and more accessible thanks to live transcription and translation.</t>
        </is>
      </c>
      <c r="Z143" s="1" t="inlineStr">
        <is>
          <t>https://drive.google.com/uc?export=view&amp;id=1rbMWHybJOUWJpEvO6hosVdOwXbbJ0tJN</t>
        </is>
      </c>
      <c r="AA143" s="1" t="inlineStr">
        <is>
          <t>Unverified</t>
        </is>
      </c>
      <c r="AB143" s="1" t="inlineStr">
        <is>
          <t>Public-private partnerships, Collaborations between EdTech organisations</t>
        </is>
      </c>
      <c r="AC143" s="1" t="inlineStr">
        <is>
          <t>For-profit company</t>
        </is>
      </c>
      <c r="AD143" s="10" t="b">
        <v>1</v>
      </c>
      <c r="AE143" s="1" t="b">
        <v>1</v>
      </c>
      <c r="AF143" s="1" t="inlineStr">
        <is>
          <t>Yes</t>
        </is>
      </c>
      <c r="AG143" s="1" t="inlineStr">
        <is>
          <t>https://www.linkedin.com/company/authot/</t>
        </is>
      </c>
      <c r="AH143" s="1" t="inlineStr">
        <is>
          <t>https://www.linkedin.com/company/authot/</t>
        </is>
      </c>
      <c r="AI143" s="1" t="inlineStr">
        <is>
          <t>https://www.linkedin.com/company/authot/</t>
        </is>
      </c>
    </row>
    <row r="144" ht="12.5" customHeight="1">
      <c r="A144" s="6" t="n">
        <v>45841</v>
      </c>
      <c r="B144" s="1" t="inlineStr">
        <is>
          <t>ORG_2589</t>
        </is>
      </c>
      <c r="C144" s="1" t="b">
        <v>1</v>
      </c>
      <c r="D144" s="1" t="inlineStr">
        <is>
          <t>Raquel López Independent EdTech Consultant</t>
        </is>
      </c>
      <c r="E144" s="10" t="inlineStr">
        <is>
          <t>https://rlconsultora.com/</t>
        </is>
      </c>
      <c r="F144" t="inlineStr">
        <is>
          <t>rlconsultora.com</t>
        </is>
      </c>
      <c r="G144" s="1" t="inlineStr">
        <is>
          <t>I support schools in designing and implementing their digital strategy, combining teacher training, AI in education, and a strong pedagogical vision. I work with schools and European organisations to integrate technology in an ethical, human-centred, and effective way.</t>
        </is>
      </c>
      <c r="H144" s="1" t="inlineStr">
        <is>
          <t>I'm not part of any EdTech association</t>
        </is>
      </c>
      <c r="I144" s="1" t="inlineStr">
        <is>
          <t>English, Spanish</t>
        </is>
      </c>
      <c r="J144" s="1" t="n"/>
      <c r="O144" s="1" t="inlineStr">
        <is>
          <t>Spain</t>
        </is>
      </c>
      <c r="P144" s="1" t="inlineStr">
        <is>
          <t>Republic of Cyprus, Italy, Spain, Ireland</t>
        </is>
      </c>
      <c r="Q144" s="1" t="inlineStr">
        <is>
          <t>Solo entrepreneur</t>
        </is>
      </c>
      <c r="R144" t="inlineStr">
        <is>
          <t>Solo entrepreneur</t>
        </is>
      </c>
      <c r="S144" s="1" t="inlineStr">
        <is>
          <t>Business to Schools</t>
        </is>
      </c>
      <c r="T144" s="1" t="inlineStr">
        <is>
          <t>Primary Education, Early childhood development (0-5 years), Secondary Education, Vocational Education and Training (VET), Higher Education, Lifelong learning/Adult education, Special Education</t>
        </is>
      </c>
      <c r="U144" s="1" t="inlineStr">
        <is>
          <t>Student interfacing, Teacher interfacing, System/Administrative</t>
        </is>
      </c>
      <c r="V144" s="1" t="inlineStr">
        <is>
          <t>EdTech Training</t>
        </is>
      </c>
      <c r="W144" s="1" t="inlineStr">
        <is>
          <t>I deliver hands-on, practical training for educators on digital tools, AI in education, and pedagogical strategies for effective technology integration. My sessions are designed to empower teachers with the skills and confidence to innovate in the classroom.</t>
        </is>
      </c>
      <c r="X144" s="10" t="inlineStr">
        <is>
          <t>Digital Strategy for Schools</t>
        </is>
      </c>
      <c r="Y144" t="inlineStr">
        <is>
          <t>I support schools in designing and implementing their whole-school digital strategy, aligning technology with pedagogy, leadership, and European frameworks such as DigCompOrg and DigCompEdu. My consultancy helps schools build a clear roadmap for digital transformation.</t>
        </is>
      </c>
      <c r="Z144" s="1" t="inlineStr">
        <is>
          <t>https://drive.google.com/uc?export=view&amp;id=12wUAwmxHqryTMkPS9f_ZsC5KYPkNKzwL</t>
        </is>
      </c>
      <c r="AA144" s="1" t="inlineStr">
        <is>
          <t>Unverified</t>
        </is>
      </c>
      <c r="AB144" s="1" t="inlineStr">
        <is>
          <t>Collaborations between EdTech organisations, Public-private partnerships, Industry-academia partnerships, Project consortium building</t>
        </is>
      </c>
      <c r="AC144" s="1" t="inlineStr">
        <is>
          <t>For-profit company</t>
        </is>
      </c>
      <c r="AD144" s="10" t="b">
        <v>1</v>
      </c>
      <c r="AE144" s="1" t="b">
        <v>1</v>
      </c>
      <c r="AF144" s="1" t="inlineStr">
        <is>
          <t>Yes</t>
        </is>
      </c>
      <c r="AG144" s="1" t="inlineStr">
        <is>
          <t>http://www.linkedin.com/in/rlconsultoraedtech</t>
        </is>
      </c>
      <c r="AH144" s="1" t="inlineStr">
        <is>
          <t>http://www.linkedin.com/in/rlconsultoraedtech</t>
        </is>
      </c>
      <c r="AI144" s="1" t="inlineStr">
        <is>
          <t>www.linkedin.com/in/rlconsultoraedtech</t>
        </is>
      </c>
      <c r="AJ144" s="1" t="n"/>
    </row>
    <row r="145" ht="12.5" customHeight="1">
      <c r="A145" s="6" t="n">
        <v>45841</v>
      </c>
      <c r="B145" s="1" t="inlineStr">
        <is>
          <t>ORG_2172</t>
        </is>
      </c>
      <c r="C145" s="1" t="b">
        <v>1</v>
      </c>
      <c r="D145" s="1" t="inlineStr">
        <is>
          <t>Redmenta</t>
        </is>
      </c>
      <c r="E145" s="10" t="inlineStr">
        <is>
          <t>https://redmenta.com</t>
        </is>
      </c>
      <c r="F145" t="inlineStr">
        <is>
          <t>redmenta.com</t>
        </is>
      </c>
      <c r="G145" s="1" t="inlineStr">
        <is>
          <t>The only AI assistant for every step of the teaching process Create interactive learning content and chatbots, evaluate student work, and adapt activities — all from one platform that amplifies your expertise.</t>
        </is>
      </c>
      <c r="H145" s="1" t="inlineStr">
        <is>
          <t>SuperCharger Ventures, EduTech Hungary, Education:NEXT</t>
        </is>
      </c>
      <c r="I145" s="1" t="inlineStr">
        <is>
          <t>English, German, Italian, French, Spanish, Arabic, Greek, Hebrew, Hungarian, Korean, Polish, Portuguese, Romanian, Russian, Turkish, Ukrainian, Chinese</t>
        </is>
      </c>
      <c r="J145" s="1" t="inlineStr">
        <is>
          <t>Budapest</t>
        </is>
      </c>
      <c r="K145" t="inlineStr">
        <is>
          <t>Budapest</t>
        </is>
      </c>
      <c r="L145" t="inlineStr">
        <is>
          <t>Budapest, Hungary</t>
        </is>
      </c>
      <c r="M145" t="n">
        <v>47.481849</v>
      </c>
      <c r="N145" t="n">
        <v>19.1449053</v>
      </c>
      <c r="O145" s="1" t="inlineStr">
        <is>
          <t>Hungary</t>
        </is>
      </c>
      <c r="P145" s="1" t="inlineStr">
        <is>
          <t>United Kingdom, Turkey, Germany, Austria, Hungary, Finland, Albania, Andorra, Bosnia and Herzegovina, Belgium, Belarus, Bulgaria, Croatia, Republic of Cyprus, Estonia, Denmark, Czechia, France, Iceland, Greece, Ireland, Italy, Kosovo, Lithuania, Liechtenstein, Latvia, Luxembourg, Malta, Moldova, Netherlands, Montenegro, Monaco, North Macedonia, Norway, Poland, San Marino, Romania, Portugal, Slovakia, Slovenia, Switzerland, Sweden, Ukraine, United, States, Philippines, Thailand, Vietnam, South, Korea</t>
        </is>
      </c>
      <c r="Q145" s="1" t="inlineStr">
        <is>
          <t>Small (10-49 FTE employees)</t>
        </is>
      </c>
      <c r="R145" t="inlineStr">
        <is>
          <t>Small</t>
        </is>
      </c>
      <c r="S145" s="1" t="inlineStr">
        <is>
          <t>Business to Business, Business to Consumer, Business to Government, Business to Schools</t>
        </is>
      </c>
      <c r="T145" s="1" t="inlineStr">
        <is>
          <t>Primary Education, Secondary Education, Vocational Education and Training (VET), Higher Education, Corporate Training, Lifelong learning/Adult education, Special Education</t>
        </is>
      </c>
      <c r="U145" s="1" t="inlineStr">
        <is>
          <t>Teacher interfacing, Student interfacing</t>
        </is>
      </c>
      <c r="V145" s="10" t="inlineStr">
        <is>
          <t>Redmenta</t>
        </is>
      </c>
      <c r="W145" s="1" t="inlineStr">
        <is>
          <t>The only AI assistant for every step of the teaching process
Create interactive learning content and chatbots, evaluate student work, and adapt activities — all from one platform that amplifies your expertise.</t>
        </is>
      </c>
      <c r="X145" s="10" t="inlineStr">
        <is>
          <t>https://drive.google.com/uc?export=view&amp;id=163XKtvUd1ku4CvTen-scXTDbynL0I3PF</t>
        </is>
      </c>
      <c r="Y145" t="inlineStr">
        <is>
          <t>https://drive.google.com/uc?export=view&amp;id=163XKtvUd1ku4CvTen-scXTDbynL0I3PF</t>
        </is>
      </c>
      <c r="Z145" s="1" t="inlineStr">
        <is>
          <t>https://drive.google.com/uc?export=view&amp;id=163XKtvUd1ku4CvTen-scXTDbynL0I3PF</t>
        </is>
      </c>
      <c r="AA145" s="1" t="inlineStr">
        <is>
          <t>Unverified</t>
        </is>
      </c>
      <c r="AB145" s="1" t="inlineStr">
        <is>
          <t>Collaborations between EdTech organisations, Public-private partnerships, Industry-academia partnerships, Project consortium building</t>
        </is>
      </c>
      <c r="AC145" s="1" t="inlineStr">
        <is>
          <t>For-profit company</t>
        </is>
      </c>
      <c r="AD145" s="10" t="b">
        <v>1</v>
      </c>
      <c r="AE145" s="1" t="b">
        <v>1</v>
      </c>
      <c r="AF145" s="1" t="inlineStr">
        <is>
          <t>Yes</t>
        </is>
      </c>
      <c r="AG145" s="1" t="inlineStr">
        <is>
          <t>https://www.instagram.com/redmenta.ai</t>
        </is>
      </c>
      <c r="AH145" s="1" t="inlineStr">
        <is>
          <t>https://www.linkedin.com/company/redmenta/</t>
        </is>
      </c>
      <c r="AI145" s="1" t="inlineStr">
        <is>
          <t>https://www.linkedin.com/company/redmenta/</t>
        </is>
      </c>
      <c r="AJ145" s="10" t="inlineStr">
        <is>
          <t>https://www.facebook.com/redmenta</t>
        </is>
      </c>
    </row>
    <row r="146" ht="12.5" customHeight="1">
      <c r="A146" s="6" t="n">
        <v>45841</v>
      </c>
      <c r="B146" s="1" t="inlineStr">
        <is>
          <t>ORG_2588</t>
        </is>
      </c>
      <c r="C146" s="1" t="b">
        <v>1</v>
      </c>
      <c r="D146" s="1" t="inlineStr">
        <is>
          <t>Aimigo</t>
        </is>
      </c>
      <c r="E146" s="1" t="inlineStr">
        <is>
          <t>aimigo.coach</t>
        </is>
      </c>
      <c r="F146" t="inlineStr">
        <is>
          <t>aimigo.coach</t>
        </is>
      </c>
      <c r="G146" s="1" t="inlineStr">
        <is>
          <t>Language learning and higher education coaching service via phone app and online platform</t>
        </is>
      </c>
      <c r="H146" s="1" t="inlineStr">
        <is>
          <t>EdTech France</t>
        </is>
      </c>
      <c r="I146" s="1" t="inlineStr">
        <is>
          <t>English, French, Spanish, Italian, German</t>
        </is>
      </c>
      <c r="J146" s="1" t="inlineStr">
        <is>
          <t>Paris</t>
        </is>
      </c>
      <c r="K146" t="inlineStr">
        <is>
          <t>Paris</t>
        </is>
      </c>
      <c r="L146" t="inlineStr">
        <is>
          <t>Paris, France</t>
        </is>
      </c>
      <c r="M146" t="n">
        <v>48.8534951</v>
      </c>
      <c r="N146" t="n">
        <v>2.3483915</v>
      </c>
      <c r="O146" s="1" t="inlineStr">
        <is>
          <t>France</t>
        </is>
      </c>
      <c r="P146" s="1" t="inlineStr">
        <is>
          <t>Denmark, France, Germany, Greece, Ireland, Monaco, Portugal, Sweden, United Kingdom, Norway, Italy, Netherlands, Spain, Austria, Finland</t>
        </is>
      </c>
      <c r="Q146" s="1" t="inlineStr">
        <is>
          <t>Small (10-49 FTE employees)</t>
        </is>
      </c>
      <c r="R146" t="inlineStr">
        <is>
          <t>Small</t>
        </is>
      </c>
      <c r="S146" s="1" t="inlineStr">
        <is>
          <t>Business to Business, Business to Consumer, Business to Schools</t>
        </is>
      </c>
      <c r="T146" s="1" t="inlineStr">
        <is>
          <t>Secondary Education, Higher Education, Corporate Training, Lifelong learning/Adult education</t>
        </is>
      </c>
      <c r="U146" s="1" t="inlineStr">
        <is>
          <t>Student interfacing</t>
        </is>
      </c>
      <c r="V146" s="1" t="inlineStr">
        <is>
          <t>Gymglish Learning Series</t>
        </is>
      </c>
      <c r="W146" s="1" t="inlineStr">
        <is>
          <t>Language learning series</t>
        </is>
      </c>
      <c r="X146" s="1" t="inlineStr">
        <is>
          <t>Aimigo coach</t>
        </is>
      </c>
      <c r="Y146" t="inlineStr">
        <is>
          <t>Language learning and higher education (health studies) coaching service (virtual coaches online)</t>
        </is>
      </c>
      <c r="Z146" s="1" t="inlineStr">
        <is>
          <t>https://drive.google.com/uc?export=view&amp;id=1JgIYxzwQjcTfn3_gxYipeyiC67WVYKZe</t>
        </is>
      </c>
      <c r="AA146" s="1" t="inlineStr">
        <is>
          <t>Unverified</t>
        </is>
      </c>
      <c r="AB146" s="1" t="inlineStr">
        <is>
          <t>Collaborations between EdTech organisations, Public-private partnerships, Industry-academia partnerships</t>
        </is>
      </c>
      <c r="AC146" s="1" t="inlineStr">
        <is>
          <t>For-profit company</t>
        </is>
      </c>
      <c r="AD146" s="10" t="b">
        <v>1</v>
      </c>
      <c r="AE146" s="1" t="b">
        <v>1</v>
      </c>
      <c r="AF146" s="1" t="inlineStr">
        <is>
          <t>No</t>
        </is>
      </c>
      <c r="AG146" s="1" t="n"/>
      <c r="AH146" s="1" t="n"/>
      <c r="AI146" s="1" t="n"/>
      <c r="AJ146" s="1" t="n"/>
    </row>
    <row r="147" ht="12.5" customHeight="1">
      <c r="A147" s="6" t="n">
        <v>45841</v>
      </c>
      <c r="B147" s="1" t="inlineStr">
        <is>
          <t>ORG_2478</t>
        </is>
      </c>
      <c r="C147" s="1" t="b">
        <v>1</v>
      </c>
      <c r="D147" s="1" t="inlineStr">
        <is>
          <t>uQualio Video4Learning</t>
        </is>
      </c>
      <c r="E147" s="10" t="inlineStr">
        <is>
          <t>https://uqualio.com</t>
        </is>
      </c>
      <c r="F147" t="inlineStr">
        <is>
          <t>uqualio.com</t>
        </is>
      </c>
      <c r="G147" s="1" t="inlineStr">
        <is>
          <t>uQualio is an all-in-one AI-powered video microlearning platform that lets you turn your own videos into engaging courses. Complete with autogenerated subtitles, interactive quizzes to boost retention, and certification with multi-level microcredentials.</t>
        </is>
      </c>
      <c r="H147" s="1" t="inlineStr">
        <is>
          <t>EdTech Denmark</t>
        </is>
      </c>
      <c r="I147" s="1" t="inlineStr">
        <is>
          <t>English, German, French, Italian, Spanish, Portuguese, Polish, Hindi, Thai, Punjabi, Ukrainian, Russian, Swedish, Danish, Norwegian, Swahili, Turkish</t>
        </is>
      </c>
      <c r="J147" s="1" t="inlineStr">
        <is>
          <t>Veksoe</t>
        </is>
      </c>
      <c r="K147" t="inlineStr">
        <is>
          <t>Veksoe</t>
        </is>
      </c>
      <c r="L147" t="inlineStr">
        <is>
          <t>Veksoe, Denmark</t>
        </is>
      </c>
      <c r="M147" t="n">
        <v>55.749917</v>
      </c>
      <c r="N147" t="n">
        <v>12.2405908</v>
      </c>
      <c r="O147" s="1" t="inlineStr">
        <is>
          <t>Denmark</t>
        </is>
      </c>
      <c r="P147" s="1" t="inlineStr">
        <is>
          <t>Ukraine, Denmark, France, Italy, Germany, Norway, Switzerland, United Kingdom, Sweden, Slovakia, Portugal, North Macedonia, Monaco, Luxembourg, Latvia, Ireland, Greece, Finland, Czechia, Bulgaria, Albania, Andorra, Belgium, Croatia, Hungary, Liechtenstein, Malta, Montenegro, Romania, Slovenia, Turkey, Spain, San Marino, Poland, Netherlands, Moldova, Lithuania, Kosovo, Iceland, Estonia, Republic of Cyprus, Bosnia and Herzegovina, Austria</t>
        </is>
      </c>
      <c r="Q147" s="1" t="inlineStr">
        <is>
          <t>Micro (1-9 FTE employees)</t>
        </is>
      </c>
      <c r="R147" t="inlineStr">
        <is>
          <t>Micro</t>
        </is>
      </c>
      <c r="S147" s="1" t="inlineStr">
        <is>
          <t>Business to Business, Business to Government, Business to Schools</t>
        </is>
      </c>
      <c r="T147" s="1" t="inlineStr">
        <is>
          <t>Secondary Education, Higher Education, Corporate Training, Lifelong learning/Adult education</t>
        </is>
      </c>
      <c r="U147" s="1" t="inlineStr">
        <is>
          <t>Student interfacing, System/Administrative, Teacher interfacing</t>
        </is>
      </c>
      <c r="V147" s="10" t="inlineStr">
        <is>
          <t>uQualio Video4Learning</t>
        </is>
      </c>
      <c r="W147" s="10" t="inlineStr">
        <is>
          <t>https://drive.google.com/uc?export=view&amp;id=1KeDm4xsql4-7StUrmUAHfRCtp5c-hLKO</t>
        </is>
      </c>
      <c r="X147" s="10" t="inlineStr">
        <is>
          <t>https://drive.google.com/uc?export=view&amp;id=1KeDm4xsql4-7StUrmUAHfRCtp5c-hLKO</t>
        </is>
      </c>
      <c r="Y147" t="inlineStr">
        <is>
          <t>https://drive.google.com/uc?export=view&amp;id=1KeDm4xsql4-7StUrmUAHfRCtp5c-hLKO</t>
        </is>
      </c>
      <c r="Z147" s="1" t="inlineStr">
        <is>
          <t>https://drive.google.com/uc?export=view&amp;id=1KeDm4xsql4-7StUrmUAHfRCtp5c-hLKO</t>
        </is>
      </c>
      <c r="AA147" s="1" t="inlineStr">
        <is>
          <t>Unverified</t>
        </is>
      </c>
      <c r="AB147" s="1" t="inlineStr">
        <is>
          <t>Collaborations between EdTech organisations, Project consortium building, Public-private partnerships, Industry-academia partnerships</t>
        </is>
      </c>
      <c r="AC147" s="1" t="inlineStr">
        <is>
          <t>For-profit company</t>
        </is>
      </c>
      <c r="AD147" s="10" t="b">
        <v>0</v>
      </c>
      <c r="AE147" s="1" t="b">
        <v>1</v>
      </c>
      <c r="AF147" s="1" t="inlineStr">
        <is>
          <t>Yes</t>
        </is>
      </c>
      <c r="AG147" s="1" t="inlineStr">
        <is>
          <t>https://www.instagram.com/uqualio/</t>
        </is>
      </c>
      <c r="AH147" s="1" t="inlineStr">
        <is>
          <t>https://x.com/uqualio</t>
        </is>
      </c>
      <c r="AI147" s="1" t="inlineStr">
        <is>
          <t>https://www.linkedin.com/company/uqualio/</t>
        </is>
      </c>
      <c r="AJ147" s="10" t="inlineStr">
        <is>
          <t>https://www.facebook.com/uqualio</t>
        </is>
      </c>
    </row>
    <row r="148" ht="12.5" customHeight="1">
      <c r="A148" s="6" t="n">
        <v>45841</v>
      </c>
      <c r="B148" s="1" t="inlineStr">
        <is>
          <t>ORG_2497</t>
        </is>
      </c>
      <c r="C148" s="1" t="b">
        <v>1</v>
      </c>
      <c r="D148" s="1" t="inlineStr">
        <is>
          <t>Virtual Learning is Reality</t>
        </is>
      </c>
      <c r="E148" s="10" t="inlineStr">
        <is>
          <t>www.carlboel.be</t>
        </is>
      </c>
      <c r="F148" t="inlineStr">
        <is>
          <t>carlboel.be</t>
        </is>
      </c>
      <c r="G148" s="1" t="inlineStr">
        <is>
          <t>Senior expert in XR design, development and research</t>
        </is>
      </c>
      <c r="H148" s="1" t="inlineStr">
        <is>
          <t>edtechstation</t>
        </is>
      </c>
      <c r="I148" s="1" t="inlineStr">
        <is>
          <t>English, Dutch</t>
        </is>
      </c>
      <c r="J148" s="1" t="inlineStr">
        <is>
          <t>Sint-Niklaas</t>
        </is>
      </c>
      <c r="K148" t="inlineStr">
        <is>
          <t>Sint-Niklaas</t>
        </is>
      </c>
      <c r="L148" t="inlineStr">
        <is>
          <t>Sint-Niklaas, Belgium</t>
        </is>
      </c>
      <c r="M148" t="n">
        <v>51.1646685</v>
      </c>
      <c r="N148" t="n">
        <v>4.1395124</v>
      </c>
      <c r="O148" s="1" t="inlineStr">
        <is>
          <t>Belgium</t>
        </is>
      </c>
      <c r="P148" s="1" t="inlineStr">
        <is>
          <t>Albania, Belarus, Andorra, Belgium, Austria, Bosnia and Herzegovina, Bulgaria, Croatia, Republic of Cyprus, Czechia, Denmark, Estonia, Finland, France, Germany, Greece, Hungary, Iceland, Ireland, Italy, Kosovo, Latvia, Liechtenstein, Lithuania, Luxembourg, Malta, Moldova, Monaco, Montenegro, Netherlands, North Macedonia, Norway, Poland, Portugal, Romania, San Marino, Slovakia, Slovenia, Spain, Sweden, Switzerland, Turkey, Ukraine, United Kingdom</t>
        </is>
      </c>
      <c r="Q148" s="1" t="inlineStr">
        <is>
          <t>Solo entrepreneur</t>
        </is>
      </c>
      <c r="R148" t="inlineStr">
        <is>
          <t>Solo entrepreneur</t>
        </is>
      </c>
      <c r="S148" s="1" t="inlineStr">
        <is>
          <t>Business to Business, Business to Government</t>
        </is>
      </c>
      <c r="T148" s="1" t="inlineStr">
        <is>
          <t>Primary Education, Secondary Education, Vocational Education and Training (VET), Higher Education, Corporate Training, Lifelong learning/Adult education</t>
        </is>
      </c>
      <c r="U148" s="1" t="inlineStr">
        <is>
          <t>Student interfacing, Teacher interfacing, System/Administrative</t>
        </is>
      </c>
      <c r="V148" s="1" t="inlineStr">
        <is>
          <t>Consultancy XR learning experiences</t>
        </is>
      </c>
      <c r="W148" s="1" t="inlineStr">
        <is>
          <t>I support businesses, governments, and educational institutions with the effective design, development, and implementation of XR learning experiences based on evidence-informed guidelines. Services include project management, business model development, design of XR learning modules, implementation</t>
        </is>
      </c>
      <c r="X148" s="10" t="inlineStr">
        <is>
          <t>XR research</t>
        </is>
      </c>
      <c r="Y148" t="inlineStr">
        <is>
          <t>I work as a senior researcher to investigate the state-of-art and the effects of XR for learning, both in enterprise and education. I hold a PhD in Educational Sciences on XR technologies. Expertise includes proposal, literature review, survey/interview development, statistical analysis, reporting.</t>
        </is>
      </c>
      <c r="Z148" s="1" t="inlineStr">
        <is>
          <t>https://drive.google.com/uc?export=view&amp;id=1-WsN-PGvwbWhyzJoMc2G8O7AiEbJNWXZ</t>
        </is>
      </c>
      <c r="AA148" s="1" t="inlineStr">
        <is>
          <t>Unverified</t>
        </is>
      </c>
      <c r="AB148" s="1" t="inlineStr">
        <is>
          <t>Collaborations between EdTech organisations, Project consortium building, Industry-academia partnerships, Public-private partnerships</t>
        </is>
      </c>
      <c r="AC148" s="1" t="inlineStr">
        <is>
          <t>For-profit company</t>
        </is>
      </c>
      <c r="AD148" s="10" t="b">
        <v>1</v>
      </c>
      <c r="AE148" s="1" t="b">
        <v>1</v>
      </c>
      <c r="AF148" s="1" t="inlineStr">
        <is>
          <t>Yes</t>
        </is>
      </c>
      <c r="AG148" s="1" t="inlineStr">
        <is>
          <t>https://www.linkedin.com/in/boelcarl/</t>
        </is>
      </c>
      <c r="AH148" s="1" t="inlineStr">
        <is>
          <t>https://www.linkedin.com/in/boelcarl/</t>
        </is>
      </c>
      <c r="AI148" s="1" t="inlineStr">
        <is>
          <t>https://www.linkedin.com/in/boelcarl/</t>
        </is>
      </c>
      <c r="AJ148" s="1" t="n"/>
    </row>
    <row r="149" ht="12.5" customHeight="1">
      <c r="A149" s="6" t="n">
        <v>45841</v>
      </c>
      <c r="B149" s="1" t="inlineStr">
        <is>
          <t>ORG_2586</t>
        </is>
      </c>
      <c r="C149" s="1" t="b">
        <v>1</v>
      </c>
      <c r="D149" s="1" t="inlineStr">
        <is>
          <t>Goin'</t>
        </is>
      </c>
      <c r="E149" s="10" t="inlineStr">
        <is>
          <t>www.goinconnect.com</t>
        </is>
      </c>
      <c r="F149" t="inlineStr">
        <is>
          <t>goinconnect.com</t>
        </is>
      </c>
      <c r="G149" s="1" t="inlineStr">
        <is>
          <t>We connect students prior to arrival to make students start and stay at the university!</t>
        </is>
      </c>
      <c r="H149" s="1" t="inlineStr">
        <is>
          <t>I'm not part of any EdTech association</t>
        </is>
      </c>
      <c r="I149" s="1" t="inlineStr">
        <is>
          <t>English, French, Spanish, German, Italian, All</t>
        </is>
      </c>
      <c r="J149" s="1" t="inlineStr">
        <is>
          <t>Utrecht</t>
        </is>
      </c>
      <c r="K149" t="inlineStr">
        <is>
          <t>Utrecht</t>
        </is>
      </c>
      <c r="L149" t="inlineStr">
        <is>
          <t>Utrecht, The Netherlands</t>
        </is>
      </c>
      <c r="M149" t="n">
        <v>52.0906195</v>
      </c>
      <c r="N149" t="n">
        <v>5.1119709</v>
      </c>
      <c r="O149" s="1" t="inlineStr">
        <is>
          <t>The Netherlands</t>
        </is>
      </c>
      <c r="P149" s="1" t="inlineStr">
        <is>
          <t>Finland, Czechia, Greece, Ireland, Latvia, Sweden, Belgium, Denmark, France, Italy, Norway, United Kingdom, Germany, Netherlands, Spain, Poland, Turkey, Australia</t>
        </is>
      </c>
      <c r="Q149" s="1" t="inlineStr">
        <is>
          <t>Small (10-49 FTE employees)</t>
        </is>
      </c>
      <c r="R149" t="inlineStr">
        <is>
          <t>Small</t>
        </is>
      </c>
      <c r="S149" s="1" t="inlineStr">
        <is>
          <t>Business to Business, Business to Schools</t>
        </is>
      </c>
      <c r="T149" s="1" t="inlineStr">
        <is>
          <t>Higher Education</t>
        </is>
      </c>
      <c r="U149" s="1" t="inlineStr">
        <is>
          <t>System/Administrative, Student interfacing</t>
        </is>
      </c>
      <c r="V149" s="1" t="inlineStr">
        <is>
          <t>Goin' Conversion</t>
        </is>
      </c>
      <c r="W149" s="1" t="inlineStr">
        <is>
          <t>Converting students through pre-enrollment friendships.</t>
        </is>
      </c>
      <c r="X149" s="10" t="inlineStr">
        <is>
          <t>Goin' Retention</t>
        </is>
      </c>
      <c r="Y149" t="inlineStr">
        <is>
          <t>Retaining students through pre-arrival friendships.</t>
        </is>
      </c>
      <c r="Z149" s="1" t="inlineStr">
        <is>
          <t>https://drive.google.com/uc?export=view&amp;id=1FqSw1mnp4xJiofHRcMFB75HCr-FW9etj</t>
        </is>
      </c>
      <c r="AA149" s="1" t="inlineStr">
        <is>
          <t>Unverified</t>
        </is>
      </c>
      <c r="AB149" s="1" t="inlineStr">
        <is>
          <t>Collaborations between EdTech organisations, Project consortium building, Public-private partnerships</t>
        </is>
      </c>
      <c r="AC149" s="1" t="inlineStr">
        <is>
          <t>For-profit company</t>
        </is>
      </c>
      <c r="AD149" s="10" t="b">
        <v>1</v>
      </c>
      <c r="AE149" s="1" t="b">
        <v>1</v>
      </c>
      <c r="AF149" s="1" t="inlineStr">
        <is>
          <t>Yes</t>
        </is>
      </c>
      <c r="AG149" s="1" t="inlineStr">
        <is>
          <t>https://www.linkedin.com/company/goinconnect/?viewAsMember=true</t>
        </is>
      </c>
      <c r="AH149" s="1" t="inlineStr">
        <is>
          <t>https://www.linkedin.com/company/goinconnect/?viewAsMember=true</t>
        </is>
      </c>
      <c r="AI149" s="1" t="inlineStr">
        <is>
          <t>https://www.linkedin.com/company/goinconnect/?viewAsMember=true</t>
        </is>
      </c>
      <c r="AJ149" s="1" t="n"/>
    </row>
    <row r="150" ht="12.5" customHeight="1">
      <c r="A150" s="6" t="n">
        <v>45841</v>
      </c>
      <c r="B150" s="1" t="inlineStr">
        <is>
          <t>ORG_2359</t>
        </is>
      </c>
      <c r="C150" s="1" t="b">
        <v>1</v>
      </c>
      <c r="D150" s="1" t="inlineStr">
        <is>
          <t>Synap</t>
        </is>
      </c>
      <c r="E150" s="10" t="inlineStr">
        <is>
          <t>https://synap.ac/</t>
        </is>
      </c>
      <c r="F150" t="inlineStr">
        <is>
          <t>synap.ac</t>
        </is>
      </c>
      <c r="G150" s="1" t="inlineStr">
        <is>
          <t>Synap is an online exam platform that helps organisations create, deliver, and manage secure, scalable assessments. Used by universities, training providers, and businesses, Synap offers powerful tools for question banking, automated grading, analytics, and remote proctoring to support high-stakes and formative online exams.</t>
        </is>
      </c>
      <c r="H150" s="1" t="inlineStr">
        <is>
          <t>I'm not part of any EdTech association</t>
        </is>
      </c>
      <c r="I150" s="1" t="inlineStr">
        <is>
          <t>English, French, German, Italian, Spanish</t>
        </is>
      </c>
      <c r="J150" s="1" t="inlineStr">
        <is>
          <t>Leeds</t>
        </is>
      </c>
      <c r="K150" t="inlineStr">
        <is>
          <t>Leeds</t>
        </is>
      </c>
      <c r="L150" t="inlineStr">
        <is>
          <t>Leeds, United Kingdom</t>
        </is>
      </c>
      <c r="M150" t="n">
        <v>53.7974185</v>
      </c>
      <c r="N150" t="n">
        <v>-1.5437941</v>
      </c>
      <c r="O150" s="1" t="inlineStr">
        <is>
          <t>United Kingdom</t>
        </is>
      </c>
      <c r="P150" s="1" t="inlineStr">
        <is>
          <t>Belarus, Belgium, Albania, Andorra, Austria, Bosnia and Herzegovina, Republic of Cyprus, Croatia, Bulgaria, Czechia, Denmark, Estonia, Germany, France, Finland, Greece, Hungary, Iceland, Ireland, Latvia, Italy, Liechtenstein, Kosovo, Lithuania, Moldova, Malta, Luxembourg, Monaco, North Macedonia, Sweden, Portugal, Slovakia, Ukraine, United Kingdom, Switzerland, Slovenia, Romania, Norway, Montenegro, Netherlands, Poland, San Marino, Spain, Turkey</t>
        </is>
      </c>
      <c r="Q150" s="1" t="inlineStr">
        <is>
          <t>Small (10-49 FTE employees)</t>
        </is>
      </c>
      <c r="R150" t="inlineStr">
        <is>
          <t>Small</t>
        </is>
      </c>
      <c r="S150" s="1" t="inlineStr">
        <is>
          <t>Business to Business</t>
        </is>
      </c>
      <c r="T150" s="1" t="inlineStr">
        <is>
          <t>Early childhood development (0-5 years), Primary Education, Secondary Education, Vocational Education and Training (VET), Higher Education, Corporate Training, Lifelong learning/Adult education, Special Education</t>
        </is>
      </c>
      <c r="U150" s="1" t="inlineStr">
        <is>
          <t>System/Administrative, Student interfacing, Teacher interfacing</t>
        </is>
      </c>
      <c r="V150" s="1" t="inlineStr">
        <is>
          <t>Synap Exam Platform</t>
        </is>
      </c>
      <c r="W150" s="10" t="inlineStr">
        <is>
          <t>A powerful online exam delivery system that enables organisations to create, schedule, and manage secure, high-stakes assessments at scale. Includes advanced question banking, timed exams, automated marking, and detailed analytics.</t>
        </is>
      </c>
      <c r="X150" s="10" t="inlineStr">
        <is>
          <t>Synoptic</t>
        </is>
      </c>
      <c r="Y150" t="inlineStr">
        <is>
          <t>Synoptic is Synap’s built-in remote proctoring system that secures online exams through screen recording, interval webcam and desktop captures, and configurable exam rules. It detects common breaches such as tab switching, window defocus, and the use of external displays.</t>
        </is>
      </c>
      <c r="Z150" s="1" t="inlineStr">
        <is>
          <t>https://drive.google.com/uc?export=view&amp;id=18A5fbfNVXyIXMZpdyHAMZq3PTVfPNqBI</t>
        </is>
      </c>
      <c r="AA150" s="1" t="inlineStr">
        <is>
          <t>Unverified</t>
        </is>
      </c>
      <c r="AB150" s="1" t="inlineStr">
        <is>
          <t>Collaborations between EdTech organisations, Public-private partnerships, Industry-academia partnerships</t>
        </is>
      </c>
      <c r="AC150" s="1" t="inlineStr">
        <is>
          <t>For-profit company</t>
        </is>
      </c>
      <c r="AD150" s="10" t="b">
        <v>1</v>
      </c>
      <c r="AE150" s="1" t="b">
        <v>0</v>
      </c>
      <c r="AF150" s="1" t="inlineStr">
        <is>
          <t>Yes</t>
        </is>
      </c>
      <c r="AG150" s="1" t="inlineStr">
        <is>
          <t>https://x.com/synap</t>
        </is>
      </c>
      <c r="AH150" s="1" t="inlineStr">
        <is>
          <t>https://x.com/synap</t>
        </is>
      </c>
      <c r="AI150" s="1" t="inlineStr">
        <is>
          <t>https://www.linkedin.com/company/synap-lms</t>
        </is>
      </c>
      <c r="AJ150" s="1" t="n"/>
    </row>
    <row r="151" ht="12.5" customHeight="1">
      <c r="A151" s="6" t="n">
        <v>45841</v>
      </c>
      <c r="B151" s="1" t="inlineStr">
        <is>
          <t>ORG_1072</t>
        </is>
      </c>
      <c r="C151" s="1" t="b">
        <v>1</v>
      </c>
      <c r="D151" s="1" t="inlineStr">
        <is>
          <t>Anemon</t>
        </is>
      </c>
      <c r="E151" s="10" t="inlineStr">
        <is>
          <t>https://anemon.co/</t>
        </is>
      </c>
      <c r="F151" t="inlineStr">
        <is>
          <t>anemon.co</t>
        </is>
      </c>
      <c r="G151" s="1" t="inlineStr">
        <is>
          <t>Anemon is a B2B EdTech solution offering augmented SMS-based learning and engagement experiences that are fast to deploy (within 48 hours), simple to use, and accessible to all everywhere—even without apps or password. It helps organizations train, engage, and upskill employees on key topics such as risk prevention, workplace safety, generative AI, management, and soft skills. Already used by companies like Airbus, Enedis, and Grünenthal, Anemon fits seamlessly into HR, L&amp;D, QHSE, and transformation strategies.</t>
        </is>
      </c>
      <c r="H151" s="1" t="inlineStr">
        <is>
          <t>EdTech France</t>
        </is>
      </c>
      <c r="I151" s="1" t="inlineStr">
        <is>
          <t>English, French, Spanish, Italian, German, Romanian, Polish, Dutch, Portuguese</t>
        </is>
      </c>
      <c r="J151" s="1" t="n"/>
      <c r="O151" s="1" t="inlineStr">
        <is>
          <t>France</t>
        </is>
      </c>
      <c r="P151" s="1" t="inlineStr">
        <is>
          <t>France, Netherlands, Switzerland</t>
        </is>
      </c>
      <c r="Q151" s="1" t="inlineStr">
        <is>
          <t>Micro (1-9 FTE employees)</t>
        </is>
      </c>
      <c r="R151" t="inlineStr">
        <is>
          <t>Micro</t>
        </is>
      </c>
      <c r="S151" s="1" t="inlineStr">
        <is>
          <t>Business to Business</t>
        </is>
      </c>
      <c r="T151" s="1" t="inlineStr">
        <is>
          <t>Corporate Training, Lifelong learning/Adult education</t>
        </is>
      </c>
      <c r="U151" s="1" t="inlineStr">
        <is>
          <t>System/Administrative</t>
        </is>
      </c>
      <c r="V151" s="1" t="inlineStr">
        <is>
          <t>Anemon Tailored Impact</t>
        </is>
      </c>
      <c r="W151" s="1" t="inlineStr">
        <is>
          <t>100 % custom SMS-based learning experiences, inspired by academic research from Harvard and Stanford, co-designed with the client to address specific performance, engagement, or transformation needs. Ideal for QHSE, HR, and corporate communication teams looking for impact and measurable results</t>
        </is>
      </c>
      <c r="X151" s="10" t="inlineStr">
        <is>
          <t>Anemon Ready</t>
        </is>
      </c>
      <c r="Y151" t="inlineStr">
        <is>
          <t>Ready-to-deploy augmented SMS learning modules covering key workplace topics (safety, RPS, AI per job, soft skills). Inspired by research from Harvard and Stanford, with an average 70% engagement rate, these courses require no platform or login and can be deployed in just 48h for fast</t>
        </is>
      </c>
      <c r="Z151" s="1" t="inlineStr">
        <is>
          <t>https://drive.google.com/uc?export=view&amp;id=1vHeUFHnB7iAIMvUrZyZfNtJYuDWvSVEh</t>
        </is>
      </c>
      <c r="AA151" s="1" t="inlineStr">
        <is>
          <t>Unverified</t>
        </is>
      </c>
      <c r="AB151" s="1" t="inlineStr">
        <is>
          <t>Public-private partnerships, Project consortium building, Collaborations between EdTech organisations</t>
        </is>
      </c>
      <c r="AC151" s="1" t="inlineStr">
        <is>
          <t>For-profit company</t>
        </is>
      </c>
      <c r="AD151" s="10" t="b">
        <v>0</v>
      </c>
      <c r="AE151" s="1" t="b">
        <v>1</v>
      </c>
      <c r="AF151" s="1" t="inlineStr">
        <is>
          <t>Yes</t>
        </is>
      </c>
      <c r="AG151" s="1" t="inlineStr">
        <is>
          <t>https://fr.linkedin.com/company/withanemon</t>
        </is>
      </c>
      <c r="AH151" s="1" t="inlineStr">
        <is>
          <t>https://fr.linkedin.com/company/withanemon</t>
        </is>
      </c>
      <c r="AI151" s="1" t="inlineStr">
        <is>
          <t>https://fr.linkedin.com/company/withanemon</t>
        </is>
      </c>
      <c r="AJ151" s="1" t="n"/>
    </row>
    <row r="152" ht="12.5" customHeight="1">
      <c r="A152" s="6" t="n">
        <v>45841</v>
      </c>
      <c r="B152" s="1" t="inlineStr">
        <is>
          <t>ORG_2585</t>
        </is>
      </c>
      <c r="C152" s="1" t="b">
        <v>1</v>
      </c>
      <c r="D152" s="10" t="inlineStr">
        <is>
          <t>Youforget.me</t>
        </is>
      </c>
      <c r="E152" s="10" t="inlineStr">
        <is>
          <t>www.youforget.me</t>
        </is>
      </c>
      <c r="F152" t="inlineStr">
        <is>
          <t>youforget.me</t>
        </is>
      </c>
      <c r="G152" s="1" t="inlineStr">
        <is>
          <t>Digital Well-Being and Privacy Protection</t>
        </is>
      </c>
      <c r="H152" s="1" t="inlineStr">
        <is>
          <t>SEK Lab, I'm not part of any EdTech association</t>
        </is>
      </c>
      <c r="I152" s="1" t="inlineStr">
        <is>
          <t>Spanish, English</t>
        </is>
      </c>
      <c r="J152" s="1" t="inlineStr">
        <is>
          <t>Sevilla</t>
        </is>
      </c>
      <c r="K152" t="inlineStr">
        <is>
          <t>Sevilla</t>
        </is>
      </c>
      <c r="L152" t="inlineStr">
        <is>
          <t>Sevilla, Spain</t>
        </is>
      </c>
      <c r="M152" t="n">
        <v>37.3886303</v>
      </c>
      <c r="N152" t="n">
        <v>-5.9953403</v>
      </c>
      <c r="O152" s="1" t="inlineStr">
        <is>
          <t>Spain</t>
        </is>
      </c>
      <c r="P152" s="1" t="inlineStr">
        <is>
          <t>Spain</t>
        </is>
      </c>
      <c r="Q152" s="1" t="inlineStr">
        <is>
          <t>Small (10-49 FTE employees)</t>
        </is>
      </c>
      <c r="R152" t="inlineStr">
        <is>
          <t>Small</t>
        </is>
      </c>
      <c r="S152" s="1" t="inlineStr">
        <is>
          <t>Business to Business, Business to Schools, Business to Government</t>
        </is>
      </c>
      <c r="T152" s="1" t="inlineStr">
        <is>
          <t>Secondary Education, Higher Education, Vocational Education and Training (VET)</t>
        </is>
      </c>
      <c r="U152" s="1" t="inlineStr">
        <is>
          <t>Student interfacing, Teacher interfacing, System/Administrative</t>
        </is>
      </c>
      <c r="V152" s="1" t="inlineStr">
        <is>
          <t>Mihuelladigital - MydigitalFootprint</t>
        </is>
      </c>
      <c r="W152" s="1" t="inlineStr">
        <is>
          <t>A framework to develop a culture of awareness, respect, and responsibility about students' digital behavior. A set of tools to ensure accountability against cyber-bullying and other digital incidents.</t>
        </is>
      </c>
      <c r="X152" s="1" t="inlineStr">
        <is>
          <t>https://drive.google.com/uc?export=view&amp;id=13iZbo3W7k4QpTT6Pfn_tLRaJw0bfJetw</t>
        </is>
      </c>
      <c r="Y152" t="inlineStr">
        <is>
          <t>https://drive.google.com/uc?export=view&amp;id=13iZbo3W7k4QpTT6Pfn_tLRaJw0bfJetw</t>
        </is>
      </c>
      <c r="Z152" s="1" t="inlineStr">
        <is>
          <t>https://drive.google.com/uc?export=view&amp;id=13iZbo3W7k4QpTT6Pfn_tLRaJw0bfJetw</t>
        </is>
      </c>
      <c r="AA152" s="1" t="inlineStr">
        <is>
          <t>Unverified</t>
        </is>
      </c>
      <c r="AB152" s="1" t="inlineStr">
        <is>
          <t>Collaborations between EdTech organisations, Project consortium building, Public-private partnerships</t>
        </is>
      </c>
      <c r="AC152" s="1" t="inlineStr">
        <is>
          <t>For-profit company</t>
        </is>
      </c>
      <c r="AD152" s="10" t="b">
        <v>1</v>
      </c>
      <c r="AE152" s="1" t="b">
        <v>1</v>
      </c>
      <c r="AF152" s="1" t="inlineStr">
        <is>
          <t>No</t>
        </is>
      </c>
      <c r="AG152" s="1" t="n"/>
      <c r="AH152" s="1" t="n"/>
      <c r="AI152" s="1" t="n"/>
      <c r="AJ152" s="1" t="n"/>
    </row>
    <row r="153" ht="12.5" customHeight="1">
      <c r="A153" s="6" t="n">
        <v>45841</v>
      </c>
      <c r="B153" s="1" t="inlineStr">
        <is>
          <t>ORG_2584</t>
        </is>
      </c>
      <c r="C153" s="1" t="b">
        <v>1</v>
      </c>
      <c r="D153" s="1" t="inlineStr">
        <is>
          <t>ForClassmates</t>
        </is>
      </c>
      <c r="E153" s="10" t="inlineStr">
        <is>
          <t>www.forclassmates.com</t>
        </is>
      </c>
      <c r="F153" t="inlineStr">
        <is>
          <t>forclassmates.com</t>
        </is>
      </c>
      <c r="G153" s="1" t="inlineStr">
        <is>
          <t>AI-powered platform that saves teachers time and makes learning more fun and personalized for students.</t>
        </is>
      </c>
      <c r="H153" s="1" t="inlineStr">
        <is>
          <t>I'm not part of any EdTech association</t>
        </is>
      </c>
      <c r="I153" s="1" t="inlineStr">
        <is>
          <t>English, French, Spanish, Italian, German, Czech</t>
        </is>
      </c>
      <c r="J153" s="1" t="inlineStr">
        <is>
          <t>Prague</t>
        </is>
      </c>
      <c r="K153" t="inlineStr">
        <is>
          <t>Prague</t>
        </is>
      </c>
      <c r="L153" t="inlineStr">
        <is>
          <t>Prague, Czech Republic</t>
        </is>
      </c>
      <c r="M153" t="n">
        <v>50.0864234</v>
      </c>
      <c r="N153" t="n">
        <v>14.4156772</v>
      </c>
      <c r="O153" s="1" t="inlineStr">
        <is>
          <t>Czech Republic</t>
        </is>
      </c>
      <c r="P153" s="1" t="inlineStr">
        <is>
          <t>Czechia, Slovakia</t>
        </is>
      </c>
      <c r="Q153" s="1" t="inlineStr">
        <is>
          <t>Small (10-49 FTE employees)</t>
        </is>
      </c>
      <c r="R153" t="inlineStr">
        <is>
          <t>Small</t>
        </is>
      </c>
      <c r="S153" s="1" t="inlineStr">
        <is>
          <t>Business to Schools, Business to Consumer, Business to Business</t>
        </is>
      </c>
      <c r="T153" s="1" t="inlineStr">
        <is>
          <t>Primary Education, Secondary Education, Higher Education, Corporate Training</t>
        </is>
      </c>
      <c r="U153" s="1" t="inlineStr">
        <is>
          <t>Student interfacing, Teacher interfacing</t>
        </is>
      </c>
      <c r="V153" s="1" t="inlineStr">
        <is>
          <t>ForClassmates subscription</t>
        </is>
      </c>
      <c r="W153" s="1" t="inlineStr">
        <is>
          <t>Monthly or yearly subscription with full access to all content and features.</t>
        </is>
      </c>
      <c r="X153" s="10" t="inlineStr">
        <is>
          <t>https://drive.google.com/uc?export=view&amp;id=1mx-bi5orSGvVOsKiUb4PC90Cetz3kLAA</t>
        </is>
      </c>
      <c r="Y153" t="inlineStr">
        <is>
          <t>https://drive.google.com/uc?export=view&amp;id=1mx-bi5orSGvVOsKiUb4PC90Cetz3kLAA</t>
        </is>
      </c>
      <c r="Z153" s="1" t="inlineStr">
        <is>
          <t>https://drive.google.com/uc?export=view&amp;id=1mx-bi5orSGvVOsKiUb4PC90Cetz3kLAA</t>
        </is>
      </c>
      <c r="AA153" s="1" t="inlineStr">
        <is>
          <t>Unverified</t>
        </is>
      </c>
      <c r="AB153" s="1" t="inlineStr">
        <is>
          <t>Collaborations between EdTech organisations, Project consortium building, Public-private partnerships, Industry-academia partnerships</t>
        </is>
      </c>
      <c r="AC153" s="1" t="inlineStr">
        <is>
          <t>For-profit company</t>
        </is>
      </c>
      <c r="AD153" s="10" t="b">
        <v>1</v>
      </c>
      <c r="AE153" s="1" t="b">
        <v>1</v>
      </c>
      <c r="AF153" s="1" t="inlineStr">
        <is>
          <t>Yes</t>
        </is>
      </c>
      <c r="AG153" s="1" t="inlineStr">
        <is>
          <t>https://www.linkedin.com/company/forclassmates/</t>
        </is>
      </c>
      <c r="AH153" s="1" t="inlineStr">
        <is>
          <t>https://www.linkedin.com/company/forclassmates/</t>
        </is>
      </c>
      <c r="AI153" s="1" t="inlineStr">
        <is>
          <t>https://www.linkedin.com/company/forclassmates/</t>
        </is>
      </c>
    </row>
    <row r="154" ht="12.5" customHeight="1">
      <c r="A154" s="6" t="n">
        <v>45840</v>
      </c>
      <c r="B154" s="1" t="inlineStr">
        <is>
          <t>ORG_2203</t>
        </is>
      </c>
      <c r="C154" s="1" t="b">
        <v>1</v>
      </c>
      <c r="D154" s="1" t="inlineStr">
        <is>
          <t>sAInaptic Limited</t>
        </is>
      </c>
      <c r="E154" s="10" t="inlineStr">
        <is>
          <t>https://sainaptic.com/</t>
        </is>
      </c>
      <c r="F154" t="inlineStr">
        <is>
          <t>sainaptic.com</t>
        </is>
      </c>
      <c r="G154" s="1" t="inlineStr">
        <is>
          <t>sAInaptic is reinventing workforce certification through AI-powered evaluation. We partner with awarding bodies and training providers to automate marking of free-text and multimodal responses for vocational and skills-based qualifications—saving time, reducing costs, and streamlining the assessment process. Our proprietary hybrid AI delivers human-level accuracy using minimal training data. By improving marking efficiency and feedback quality, we aim to accelerate the entry of skilled professionals into the workforce and build a future-ready, high-performing talent pipeline.</t>
        </is>
      </c>
      <c r="H154" s="1" t="inlineStr">
        <is>
          <t>I'm not part of any EdTech association</t>
        </is>
      </c>
      <c r="I154" s="1" t="inlineStr">
        <is>
          <t>English</t>
        </is>
      </c>
      <c r="J154" s="1" t="n"/>
      <c r="O154" s="1" t="inlineStr">
        <is>
          <t>United Kingdom</t>
        </is>
      </c>
      <c r="P154" s="1" t="inlineStr">
        <is>
          <t>United Kingdom</t>
        </is>
      </c>
      <c r="Q154" s="1" t="inlineStr">
        <is>
          <t>Micro (1-9 FTE employees)</t>
        </is>
      </c>
      <c r="R154" t="inlineStr">
        <is>
          <t>Micro</t>
        </is>
      </c>
      <c r="S154" s="1" t="inlineStr">
        <is>
          <t>Business to Business</t>
        </is>
      </c>
      <c r="T154" s="1" t="inlineStr">
        <is>
          <t>Vocational Education and Training (VET), Lifelong learning/Adult education, Corporate Training</t>
        </is>
      </c>
      <c r="U154" s="1" t="inlineStr">
        <is>
          <t>Teacher interfacing, Student interfacing</t>
        </is>
      </c>
      <c r="V154" s="1" t="inlineStr">
        <is>
          <t>sAInaptic</t>
        </is>
      </c>
      <c r="W154" s="1" t="inlineStr">
        <is>
          <t>sAInaptic is reinventing workforce certification through AI-powered evaluation. We partner with awarding bodies and training providers to automate marking of free-text and multimodal responses for vocational and skills-based qualifications—saving time, reducing costs, and streamlining the assessment</t>
        </is>
      </c>
      <c r="X154" s="10" t="inlineStr">
        <is>
          <t>https://drive.google.com/uc?export=view&amp;id=1DhzLDf5vKzaafQ1Fw2UTirhvvAMFFZwH</t>
        </is>
      </c>
      <c r="Y154" t="inlineStr">
        <is>
          <t>https://drive.google.com/uc?export=view&amp;id=1DhzLDf5vKzaafQ1Fw2UTirhvvAMFFZwH</t>
        </is>
      </c>
      <c r="Z154" s="1" t="inlineStr">
        <is>
          <t>https://drive.google.com/uc?export=view&amp;id=1DhzLDf5vKzaafQ1Fw2UTirhvvAMFFZwH</t>
        </is>
      </c>
      <c r="AA154" s="1" t="inlineStr">
        <is>
          <t>Unverified</t>
        </is>
      </c>
      <c r="AB154" s="1" t="inlineStr">
        <is>
          <t>Collaborations between EdTech organisations, Public-private partnerships, Industry-academia partnerships</t>
        </is>
      </c>
      <c r="AC154" s="1" t="inlineStr">
        <is>
          <t>For-profit company</t>
        </is>
      </c>
      <c r="AD154" s="10" t="b">
        <v>1</v>
      </c>
      <c r="AE154" s="1" t="b">
        <v>1</v>
      </c>
      <c r="AF154" s="1" t="inlineStr">
        <is>
          <t>Yes</t>
        </is>
      </c>
      <c r="AG154" s="1" t="inlineStr">
        <is>
          <t>https://www.linkedin.com/company/67557578/admin/dashboard/</t>
        </is>
      </c>
      <c r="AH154" s="1" t="inlineStr">
        <is>
          <t>https://www.linkedin.com/company/67557578/admin/dashboard/</t>
        </is>
      </c>
      <c r="AI154" s="1" t="inlineStr">
        <is>
          <t>https://www.linkedin.com/company/67557578/admin/dashboard/</t>
        </is>
      </c>
    </row>
    <row r="155" ht="12.5" customHeight="1">
      <c r="A155" s="6" t="n">
        <v>45840</v>
      </c>
      <c r="B155" s="1" t="inlineStr">
        <is>
          <t>ORG_2581</t>
        </is>
      </c>
      <c r="C155" s="1" t="b">
        <v>1</v>
      </c>
      <c r="D155" s="1" t="inlineStr">
        <is>
          <t>aMuze Interactive</t>
        </is>
      </c>
      <c r="E155" s="10" t="inlineStr">
        <is>
          <t>www.amuze-interactive.com</t>
        </is>
      </c>
      <c r="F155" t="inlineStr">
        <is>
          <t>amuze-interactive.com</t>
        </is>
      </c>
      <c r="G155" s="1" t="inlineStr">
        <is>
          <t>We provide a unique cloud-based interactive presentation &amp; communication technology – iPosterSessions – to knowledge- and mission-driven organisations and individuals around the world, including Scientific, Medical and Scholarly Research Associations; Schools and Universities; Government, Corporate, and Non-Profit Research and Development Centers; Hospitals and Healthcare Networks; NGOs and Other Geographically-Dispersed Mission-Driven Organizations.</t>
        </is>
      </c>
      <c r="H155" s="1" t="inlineStr">
        <is>
          <t>I'm not part of any EdTech association</t>
        </is>
      </c>
      <c r="I155" s="1" t="inlineStr">
        <is>
          <t>English, German, French, Italian, Spanish</t>
        </is>
      </c>
      <c r="J155" s="1" t="inlineStr">
        <is>
          <t>Stockholm</t>
        </is>
      </c>
      <c r="K155" t="inlineStr">
        <is>
          <t>Stockholm</t>
        </is>
      </c>
      <c r="L155" t="inlineStr">
        <is>
          <t>Stockholm, Sweden</t>
        </is>
      </c>
      <c r="M155" t="n">
        <v>59.3251172</v>
      </c>
      <c r="N155" t="n">
        <v>18.0710935</v>
      </c>
      <c r="O155" s="1" t="inlineStr">
        <is>
          <t>Sweden</t>
        </is>
      </c>
      <c r="P155" s="1" t="inlineStr">
        <is>
          <t>Sweden, France, Switzerland, United States of America</t>
        </is>
      </c>
      <c r="Q155" s="1" t="inlineStr">
        <is>
          <t>Micro (1-9 FTE employees)</t>
        </is>
      </c>
      <c r="R155" t="inlineStr">
        <is>
          <t>Micro</t>
        </is>
      </c>
      <c r="S155" s="1" t="inlineStr">
        <is>
          <t>Business to Business, Business to Government, Business to Schools</t>
        </is>
      </c>
      <c r="T155" s="1" t="inlineStr">
        <is>
          <t>Secondary Education, Higher Education, Corporate Training</t>
        </is>
      </c>
      <c r="U155" s="1" t="inlineStr">
        <is>
          <t>Student interfacing, Teacher interfacing</t>
        </is>
      </c>
      <c r="V155" s="1" t="inlineStr">
        <is>
          <t>iPosterSessions</t>
        </is>
      </c>
      <c r="W155" s="1" t="inlineStr">
        <is>
          <t>A cloud-based interactive presentation technology for Scientific, Medical and Scholarly Research Associations; Schools and Universities; Government, Corporate, and Non-Profit Research and Development Centers; Hospitals and Healthcare Networks; NGOs and Other Mission-Driven Organisations.</t>
        </is>
      </c>
      <c r="X155" s="1" t="inlineStr">
        <is>
          <t>https://drive.google.com/uc?export=view&amp;id=1ube_7AHS-tY4qdUVHBGVPnlcYDSr8wtd</t>
        </is>
      </c>
      <c r="Y155" t="inlineStr">
        <is>
          <t>https://drive.google.com/uc?export=view&amp;id=1ube_7AHS-tY4qdUVHBGVPnlcYDSr8wtd</t>
        </is>
      </c>
      <c r="Z155" s="1" t="inlineStr">
        <is>
          <t>https://drive.google.com/uc?export=view&amp;id=1ube_7AHS-tY4qdUVHBGVPnlcYDSr8wtd</t>
        </is>
      </c>
      <c r="AA155" s="1" t="inlineStr">
        <is>
          <t>Unverified</t>
        </is>
      </c>
      <c r="AB155" s="1" t="inlineStr">
        <is>
          <t>Collaborations between EdTech organisations, Industry-academia partnerships</t>
        </is>
      </c>
      <c r="AC155" s="1" t="inlineStr">
        <is>
          <t>For-profit company</t>
        </is>
      </c>
      <c r="AD155" s="10" t="b">
        <v>0</v>
      </c>
      <c r="AE155" s="1" t="b">
        <v>1</v>
      </c>
      <c r="AF155" s="1" t="inlineStr">
        <is>
          <t>No</t>
        </is>
      </c>
      <c r="AG155" s="1" t="n"/>
      <c r="AH155" s="1" t="n"/>
      <c r="AI155" s="1" t="n"/>
      <c r="AJ155" s="1" t="n"/>
    </row>
    <row r="156" ht="12.5" customHeight="1">
      <c r="A156" s="6" t="n">
        <v>45840</v>
      </c>
      <c r="B156" s="1" t="inlineStr">
        <is>
          <t>ORG_2200</t>
        </is>
      </c>
      <c r="C156" s="1" t="b">
        <v>1</v>
      </c>
      <c r="D156" s="1" t="inlineStr">
        <is>
          <t>RosarioSIS</t>
        </is>
      </c>
      <c r="E156" s="10" t="inlineStr">
        <is>
          <t>https://www.rosariosis.org</t>
        </is>
      </c>
      <c r="F156" t="inlineStr">
        <is>
          <t>rosariosis.org</t>
        </is>
      </c>
      <c r="G156" s="1" t="inlineStr">
        <is>
          <t>Free &amp; open source Student Information Systm for school management</t>
        </is>
      </c>
      <c r="H156" s="1" t="inlineStr">
        <is>
          <t>I'm not part of any EdTech association</t>
        </is>
      </c>
      <c r="I156" s="1" t="inlineStr">
        <is>
          <t>English, French, Spanish, German, Arabic, Portuguese, Greek, Turkish, Bulgarian</t>
        </is>
      </c>
      <c r="J156" s="1" t="inlineStr">
        <is>
          <t>Villeurbanne</t>
        </is>
      </c>
      <c r="K156" t="inlineStr">
        <is>
          <t>Villeurbanne</t>
        </is>
      </c>
      <c r="L156" t="inlineStr">
        <is>
          <t>Villeurbanne, France</t>
        </is>
      </c>
      <c r="M156" t="n">
        <v>45.7660581</v>
      </c>
      <c r="N156" t="n">
        <v>4.8796267</v>
      </c>
      <c r="O156" s="1" t="inlineStr">
        <is>
          <t>France</t>
        </is>
      </c>
      <c r="P156" s="1" t="inlineStr">
        <is>
          <t>France, Slovenia, Germany, Greece</t>
        </is>
      </c>
      <c r="Q156" s="1" t="inlineStr">
        <is>
          <t>Solo entrepreneur</t>
        </is>
      </c>
      <c r="R156" t="inlineStr">
        <is>
          <t>Solo entrepreneur</t>
        </is>
      </c>
      <c r="S156" s="1" t="inlineStr">
        <is>
          <t>Business to Schools, Business to Business</t>
        </is>
      </c>
      <c r="T156" s="1" t="inlineStr">
        <is>
          <t>Primary Education, Secondary Education, Higher Education, Early childhood development (0-5 years)</t>
        </is>
      </c>
      <c r="U156" s="1" t="inlineStr">
        <is>
          <t>Student interfacing, Teacher interfacing, System/Administrative</t>
        </is>
      </c>
      <c r="V156" s="1" t="inlineStr">
        <is>
          <t>RosarioSIS</t>
        </is>
      </c>
      <c r="W156" s="1" t="inlineStr">
        <is>
          <t>Student Information System for school management</t>
        </is>
      </c>
      <c r="X156" s="1" t="inlineStr">
        <is>
          <t>https://drive.google.com/uc?export=view&amp;id=1oT_Sl7MpAWvx9CMW5Dfi1C3ImWV1vQxE</t>
        </is>
      </c>
      <c r="Y156" t="inlineStr">
        <is>
          <t>https://drive.google.com/uc?export=view&amp;id=1oT_Sl7MpAWvx9CMW5Dfi1C3ImWV1vQxE</t>
        </is>
      </c>
      <c r="Z156" s="1" t="inlineStr">
        <is>
          <t>https://drive.google.com/uc?export=view&amp;id=1oT_Sl7MpAWvx9CMW5Dfi1C3ImWV1vQxE</t>
        </is>
      </c>
      <c r="AA156" s="1" t="inlineStr">
        <is>
          <t>Unverified</t>
        </is>
      </c>
      <c r="AB156" s="1" t="inlineStr">
        <is>
          <t>Collaborations between EdTech organisations, Public-private partnerships</t>
        </is>
      </c>
      <c r="AC156" s="1" t="inlineStr">
        <is>
          <t>For-profit company</t>
        </is>
      </c>
      <c r="AD156" s="10" t="b">
        <v>1</v>
      </c>
      <c r="AE156" s="1" t="b">
        <v>0</v>
      </c>
      <c r="AF156" s="1" t="inlineStr">
        <is>
          <t>No</t>
        </is>
      </c>
      <c r="AG156" s="1" t="n"/>
      <c r="AH156" s="1" t="n"/>
      <c r="AI156" s="1" t="n"/>
      <c r="AJ156" s="1" t="n"/>
    </row>
    <row r="157" ht="12.5" customHeight="1">
      <c r="A157" s="6" t="n">
        <v>45840</v>
      </c>
      <c r="B157" s="1" t="inlineStr">
        <is>
          <t>ORG_2580</t>
        </is>
      </c>
      <c r="C157" s="1" t="b">
        <v>1</v>
      </c>
      <c r="D157" s="1" t="inlineStr">
        <is>
          <t>EngineeringTrainer</t>
        </is>
      </c>
      <c r="E157" s="10" t="inlineStr">
        <is>
          <t>EngineeringTrainer.com</t>
        </is>
      </c>
      <c r="F157" t="inlineStr">
        <is>
          <t>engineeringtrainer.com</t>
        </is>
      </c>
      <c r="G157" s="1" t="inlineStr">
        <is>
          <t>EngineeringTrainer is an online skill-development platform for technical professionals within the Energy and Chemical markets servicing both individuals as companies with training value and solutions to develop, measure and maintain technical skills.</t>
        </is>
      </c>
      <c r="H157" s="1" t="inlineStr">
        <is>
          <t>Dutch EdTech</t>
        </is>
      </c>
      <c r="I157" s="1" t="inlineStr">
        <is>
          <t>English</t>
        </is>
      </c>
      <c r="J157" s="1" t="inlineStr">
        <is>
          <t>Utrecht</t>
        </is>
      </c>
      <c r="K157" t="inlineStr">
        <is>
          <t>Utrecht</t>
        </is>
      </c>
      <c r="L157" t="inlineStr">
        <is>
          <t>Utrecht, The Netherlands</t>
        </is>
      </c>
      <c r="M157" t="n">
        <v>52.0906195</v>
      </c>
      <c r="N157" t="n">
        <v>5.1119709</v>
      </c>
      <c r="O157" s="1" t="inlineStr">
        <is>
          <t>The Netherlands</t>
        </is>
      </c>
      <c r="P157" s="1" t="inlineStr">
        <is>
          <t>Albania, Andorra, Austria, Bosnia and Herzegovina, Belgium, Belarus, Bulgaria, Croatia, Republic of Cyprus, Estonia, Denmark, Czechia, Finland, France, Germany, Iceland, Hungary, Greece, Ireland, Italy, Kosovo, Lithuania, Liechtenstein, Latvia, Luxembourg, Malta, Moldova, Netherlands, Montenegro, Monaco, North Macedonia, Norway, Poland, San Marino, Romania, Portugal, Slovakia, Slovenia, Spain, Turkey, Switzerland, Sweden, Ukraine, United Kingdom, Global</t>
        </is>
      </c>
      <c r="Q157" s="1" t="inlineStr">
        <is>
          <t>Micro (1-9 FTE employees)</t>
        </is>
      </c>
      <c r="R157" t="inlineStr">
        <is>
          <t>Micro</t>
        </is>
      </c>
      <c r="S157" s="1" t="inlineStr">
        <is>
          <t>Business to Business, Business to Consumer</t>
        </is>
      </c>
      <c r="T157" s="1" t="inlineStr">
        <is>
          <t>Lifelong learning/Adult education, Corporate Training</t>
        </is>
      </c>
      <c r="U157" s="1" t="inlineStr">
        <is>
          <t>Student interfacing</t>
        </is>
      </c>
      <c r="V157" s="1" t="inlineStr">
        <is>
          <t>Online Training for Engineering Professionals</t>
        </is>
      </c>
      <c r="W157" s="1" t="inlineStr">
        <is>
          <t>Roughly 200 training Courses, Learning Paths and Masterclasses for Engineers working in energy and chemical disciplines.</t>
        </is>
      </c>
      <c r="X157" s="10" t="inlineStr">
        <is>
          <t>Team, Business &amp; Enterprise Accounts</t>
        </is>
      </c>
      <c r="Y157" t="inlineStr">
        <is>
          <t>Through our B2B offerings we not only service the engineering professionals but also their organizations by means of learner data-insights, custom Learning Paths &amp; Internal courses and IT integrations.</t>
        </is>
      </c>
      <c r="Z157" s="1" t="inlineStr">
        <is>
          <t>https://drive.google.com/uc?export=view&amp;id=1DQCRe50KhT1Ss5FT4WOBWLQR5vA54yFa</t>
        </is>
      </c>
      <c r="AA157" s="1" t="inlineStr">
        <is>
          <t>Unverified</t>
        </is>
      </c>
      <c r="AB157" s="1" t="inlineStr">
        <is>
          <t>Collaborations between EdTech organisations, Project consortium building, Public-private partnerships, Industry-academia partnerships</t>
        </is>
      </c>
      <c r="AC157" s="1" t="inlineStr">
        <is>
          <t>For-profit company</t>
        </is>
      </c>
      <c r="AD157" s="10" t="b">
        <v>1</v>
      </c>
      <c r="AE157" s="1" t="b">
        <v>1</v>
      </c>
      <c r="AF157" s="1" t="inlineStr">
        <is>
          <t>Yes</t>
        </is>
      </c>
      <c r="AG157" s="1" t="inlineStr">
        <is>
          <t>https://www.linkedin.com/school/12648209/</t>
        </is>
      </c>
      <c r="AH157" s="1" t="inlineStr">
        <is>
          <t>https://www.linkedin.com/school/12648209/</t>
        </is>
      </c>
      <c r="AI157" s="1" t="inlineStr">
        <is>
          <t>https://www.linkedin.com/school/12648209/</t>
        </is>
      </c>
      <c r="AJ157" s="1" t="n"/>
    </row>
    <row r="158" ht="12.5" customHeight="1">
      <c r="A158" s="6" t="n">
        <v>45840</v>
      </c>
      <c r="B158" s="1" t="inlineStr">
        <is>
          <t>ORG_2579</t>
        </is>
      </c>
      <c r="C158" s="1" t="b">
        <v>1</v>
      </c>
      <c r="D158" s="1" t="inlineStr">
        <is>
          <t>DIFI.NET OÜ</t>
        </is>
      </c>
      <c r="E158" s="10" t="inlineStr">
        <is>
          <t>https://ste.education</t>
        </is>
      </c>
      <c r="F158" t="inlineStr">
        <is>
          <t>ste.education</t>
        </is>
      </c>
      <c r="G158" s="1" t="inlineStr">
        <is>
          <t>DIFI.NET specialises in educational technologies, enhancing digital competence through teacher training, digital learning materials, and software aligned with Estonia’s school curriculum.</t>
        </is>
      </c>
      <c r="H158" s="1" t="inlineStr">
        <is>
          <t>I'm not part of any EdTech association</t>
        </is>
      </c>
      <c r="I158" s="1" t="inlineStr">
        <is>
          <t>English, Estonian</t>
        </is>
      </c>
      <c r="J158" s="1" t="inlineStr">
        <is>
          <t>Tallinn</t>
        </is>
      </c>
      <c r="K158" t="inlineStr">
        <is>
          <t>Tallinn</t>
        </is>
      </c>
      <c r="L158" t="inlineStr">
        <is>
          <t>Tallinn, Estonia</t>
        </is>
      </c>
      <c r="M158" t="n">
        <v>59.437242</v>
      </c>
      <c r="N158" t="n">
        <v>24.7572693</v>
      </c>
      <c r="O158" s="1" t="inlineStr">
        <is>
          <t>Estonia</t>
        </is>
      </c>
      <c r="P158" s="1" t="inlineStr">
        <is>
          <t>Estonia, Latvia, Lithuania</t>
        </is>
      </c>
      <c r="Q158" s="1" t="inlineStr">
        <is>
          <t>Micro (1-9 FTE employees)</t>
        </is>
      </c>
      <c r="R158" t="inlineStr">
        <is>
          <t>Micro</t>
        </is>
      </c>
      <c r="S158" s="1" t="inlineStr">
        <is>
          <t>Business to Government, Business to Business, Business to Schools</t>
        </is>
      </c>
      <c r="T158" s="1" t="inlineStr">
        <is>
          <t>Higher Education, Vocational Education and Training (VET), Secondary Education, Primary Education, Early childhood development (0-5 years)</t>
        </is>
      </c>
      <c r="U158" s="1" t="inlineStr">
        <is>
          <t>Student interfacing, Teacher interfacing</t>
        </is>
      </c>
      <c r="V158" s="10" t="inlineStr">
        <is>
          <t>Computational Thinking Course</t>
        </is>
      </c>
      <c r="W158" t="inlineStr">
        <is>
          <t>Develop interdisciplinary problem-solving skills through computational thinking. This course provides practical training in data collection, analysis, and visual programming, empowering learners to independently apply digital technologies in academic and research contexts.</t>
        </is>
      </c>
      <c r="X158" s="1" t="inlineStr">
        <is>
          <t>STEM &amp; Educational Product Distribution</t>
        </is>
      </c>
      <c r="Y158" t="inlineStr">
        <is>
          <t>We source and deliver curated hands-on STEM kits, lab equipment, and digital learning tools to kindergartens, schools, universities, and training centers.</t>
        </is>
      </c>
      <c r="Z158" s="1" t="inlineStr">
        <is>
          <t>https://drive.google.com/uc?export=view&amp;id=1xEAsOt6AHQJZtbzgNlddHPdsoOtOgWtT</t>
        </is>
      </c>
      <c r="AA158" s="1" t="inlineStr">
        <is>
          <t>Unverified</t>
        </is>
      </c>
      <c r="AB158" s="1" t="inlineStr">
        <is>
          <t>Collaborations between EdTech organisations, Project consortium building, Public-private partnerships</t>
        </is>
      </c>
      <c r="AC158" s="1" t="inlineStr">
        <is>
          <t>For-profit company</t>
        </is>
      </c>
      <c r="AD158" s="10" t="b">
        <v>1</v>
      </c>
      <c r="AE158" s="1" t="b">
        <v>1</v>
      </c>
      <c r="AF158" s="1" t="inlineStr">
        <is>
          <t>Yes</t>
        </is>
      </c>
      <c r="AG158" s="1" t="inlineStr">
        <is>
          <t>https://www.instagram.com/ste.education/</t>
        </is>
      </c>
      <c r="AH158" s="1" t="n"/>
      <c r="AI158" s="1" t="n"/>
      <c r="AJ158" s="10" t="inlineStr">
        <is>
          <t>https://www.facebook.com/science.technology.engineering.education/</t>
        </is>
      </c>
    </row>
    <row r="159" ht="12.5" customHeight="1">
      <c r="A159" s="6" t="n">
        <v>45840</v>
      </c>
      <c r="B159" s="1" t="inlineStr">
        <is>
          <t>ORG_2578</t>
        </is>
      </c>
      <c r="C159" s="1" t="b">
        <v>1</v>
      </c>
      <c r="D159" s="1" t="inlineStr">
        <is>
          <t>KissFilm-Stúdió Ltd.</t>
        </is>
      </c>
      <c r="E159" s="10" t="inlineStr">
        <is>
          <t>steamprogramedu.com</t>
        </is>
      </c>
      <c r="F159" t="inlineStr">
        <is>
          <t>steamprogramedu.com</t>
        </is>
      </c>
      <c r="G159" s="1" t="inlineStr">
        <is>
          <t>Creation of educational materials on the topic of artificial intelligence and robotics (drones), as well as distribution of robots</t>
        </is>
      </c>
      <c r="H159" s="1" t="inlineStr">
        <is>
          <t>EduTech Hungary</t>
        </is>
      </c>
      <c r="I159" s="1" t="n"/>
      <c r="J159" s="1" t="inlineStr">
        <is>
          <t>Budapest</t>
        </is>
      </c>
      <c r="K159" t="inlineStr">
        <is>
          <t>Budapest</t>
        </is>
      </c>
      <c r="L159" t="inlineStr">
        <is>
          <t>Budapest, Hungary</t>
        </is>
      </c>
      <c r="M159" t="n">
        <v>47.481849</v>
      </c>
      <c r="N159" t="n">
        <v>19.1449053</v>
      </c>
      <c r="O159" s="1" t="inlineStr">
        <is>
          <t>Hungary</t>
        </is>
      </c>
      <c r="P159" s="1" t="inlineStr">
        <is>
          <t>Hungary</t>
        </is>
      </c>
      <c r="Q159" s="1" t="inlineStr">
        <is>
          <t>Micro (1-9 FTE employees)</t>
        </is>
      </c>
      <c r="R159" t="inlineStr">
        <is>
          <t>Micro</t>
        </is>
      </c>
      <c r="S159" s="1" t="inlineStr">
        <is>
          <t>Business to Schools</t>
        </is>
      </c>
      <c r="T159" s="1" t="inlineStr">
        <is>
          <t>Vocational Education and Training (VET), Secondary Education, Higher Education, Lifelong learning/Adult education</t>
        </is>
      </c>
      <c r="U159" s="1" t="inlineStr">
        <is>
          <t>Student interfacing, Teacher interfacing</t>
        </is>
      </c>
      <c r="V159" s="1" t="inlineStr">
        <is>
          <t>Teaching the programming and use of artificial intelligence</t>
        </is>
      </c>
      <c r="W159" s="1" t="inlineStr">
        <is>
          <t>Teaching the programming and use of artificial intelligence</t>
        </is>
      </c>
      <c r="X159" s="1" t="inlineStr">
        <is>
          <t>Distribution of robots (drones)</t>
        </is>
      </c>
      <c r="Y159" t="inlineStr">
        <is>
          <t>Distribution of robots (drones)</t>
        </is>
      </c>
      <c r="Z159" s="1" t="inlineStr">
        <is>
          <t>https://drive.google.com/uc?export=view&amp;id=1vnkWDnS-70JVOMoBWh2U5DdmcIifoNhq</t>
        </is>
      </c>
      <c r="AA159" s="1" t="inlineStr">
        <is>
          <t>Unverified</t>
        </is>
      </c>
      <c r="AB159" s="1" t="inlineStr">
        <is>
          <t>Collaborations between EdTech organisations, Project consortium building, Public-private partnerships, Industry-academia partnerships</t>
        </is>
      </c>
      <c r="AC159" s="1" t="inlineStr">
        <is>
          <t>For-profit company</t>
        </is>
      </c>
      <c r="AD159" s="10" t="b">
        <v>1</v>
      </c>
      <c r="AE159" s="1" t="b">
        <v>1</v>
      </c>
      <c r="AF159" s="1" t="inlineStr">
        <is>
          <t>Yes</t>
        </is>
      </c>
      <c r="AG159" s="1" t="inlineStr">
        <is>
          <t>https://www.facebook.com/profile.php?id=100063712953645</t>
        </is>
      </c>
      <c r="AH159" s="1" t="n"/>
      <c r="AI159" s="1" t="n"/>
      <c r="AJ159" s="10" t="inlineStr">
        <is>
          <t>https://www.facebook.com/profile.php?id=100063712953645</t>
        </is>
      </c>
    </row>
    <row r="160" ht="12.5" customHeight="1">
      <c r="A160" s="6" t="n">
        <v>45840</v>
      </c>
      <c r="B160" s="1" t="inlineStr">
        <is>
          <t>ORG_2069</t>
        </is>
      </c>
      <c r="C160" s="1" t="b">
        <v>1</v>
      </c>
      <c r="D160" s="1" t="inlineStr">
        <is>
          <t>OnSpect</t>
        </is>
      </c>
      <c r="E160" s="10" t="inlineStr">
        <is>
          <t>https://onspect.nl</t>
        </is>
      </c>
      <c r="F160" t="inlineStr">
        <is>
          <t>onspect.nl</t>
        </is>
      </c>
      <c r="G160" s="1" t="inlineStr">
        <is>
          <t>OnSpect is a comprehensive digital platform designed to enhance the quality of education by facilitating effective quality management in schools. It enables schools to document and maintain their vision and policies in one centralized location, simplifying the translation of these policies into classroom practice. This platform is instrumental in preparing schools for inspections and fosters collaboration among staff. OnSpect includes built-in quality cycles, ensuring that the education quality is always up to standard and policies remain current. It also aids in project management through a digital quality calendar, making processes transparent and responsibilities clear. OnSpect is tailored for primary, secondary, and vocational education, as well as for school boards, with each version offering specific modules and frameworks. The platform is praised for its ease of use and effectiveness in organizing and presenting information during inspections.</t>
        </is>
      </c>
      <c r="H160" s="1" t="inlineStr">
        <is>
          <t>Dutch EdTech</t>
        </is>
      </c>
      <c r="I160" s="1" t="inlineStr">
        <is>
          <t>Dutch</t>
        </is>
      </c>
      <c r="J160" s="1" t="inlineStr">
        <is>
          <t>Amstelveen</t>
        </is>
      </c>
      <c r="K160" t="inlineStr">
        <is>
          <t>Amstelveen</t>
        </is>
      </c>
      <c r="L160" t="inlineStr">
        <is>
          <t>Amstelveen, The Netherlands</t>
        </is>
      </c>
      <c r="M160" t="n">
        <v>52.2991284</v>
      </c>
      <c r="N160" t="n">
        <v>4.8618135</v>
      </c>
      <c r="O160" s="1" t="inlineStr">
        <is>
          <t>The Netherlands</t>
        </is>
      </c>
      <c r="P160" s="1" t="inlineStr">
        <is>
          <t>Netherlands</t>
        </is>
      </c>
      <c r="Q160" s="1" t="inlineStr">
        <is>
          <t>Micro (1-9 FTE employees)</t>
        </is>
      </c>
      <c r="R160" t="inlineStr">
        <is>
          <t>Micro</t>
        </is>
      </c>
      <c r="S160" s="1" t="inlineStr">
        <is>
          <t>Business to Schools</t>
        </is>
      </c>
      <c r="T160" s="1" t="inlineStr">
        <is>
          <t>Primary Education, Secondary Education, Vocational Education and Training (VET), Special Education</t>
        </is>
      </c>
      <c r="U160" s="1" t="inlineStr">
        <is>
          <t>System/Administrative</t>
        </is>
      </c>
      <c r="V160" s="1" t="inlineStr">
        <is>
          <t>OnSpect application</t>
        </is>
      </c>
      <c r="W160" s="1" t="inlineStr">
        <is>
          <t>OnSpect is a comprehensive digital platform designed to enhance the quality of education by facilitating effective quality management in schools.</t>
        </is>
      </c>
      <c r="X160" s="10" t="inlineStr">
        <is>
          <t>https://drive.google.com/uc?export=view&amp;id=1AU0NzWzHHkGRM43EKQg_qELwdJ8MHZPI</t>
        </is>
      </c>
      <c r="Y160" t="inlineStr">
        <is>
          <t>https://drive.google.com/uc?export=view&amp;id=1AU0NzWzHHkGRM43EKQg_qELwdJ8MHZPI</t>
        </is>
      </c>
      <c r="Z160" s="1" t="inlineStr">
        <is>
          <t>https://drive.google.com/uc?export=view&amp;id=1AU0NzWzHHkGRM43EKQg_qELwdJ8MHZPI</t>
        </is>
      </c>
      <c r="AA160" s="1" t="inlineStr">
        <is>
          <t>Unverified</t>
        </is>
      </c>
      <c r="AB160" s="1" t="inlineStr">
        <is>
          <t>Collaborations between EdTech organisations, Public-private partnerships</t>
        </is>
      </c>
      <c r="AC160" s="1" t="inlineStr">
        <is>
          <t>For-profit company</t>
        </is>
      </c>
      <c r="AD160" s="10" t="b">
        <v>1</v>
      </c>
      <c r="AE160" s="1" t="b">
        <v>0</v>
      </c>
      <c r="AF160" s="1" t="inlineStr">
        <is>
          <t>Yes</t>
        </is>
      </c>
      <c r="AG160" s="1" t="inlineStr">
        <is>
          <t>https://www.linkedin.com/company/onspect</t>
        </is>
      </c>
      <c r="AH160" s="1" t="inlineStr">
        <is>
          <t>https://www.linkedin.com/company/onspect</t>
        </is>
      </c>
      <c r="AI160" s="1" t="inlineStr">
        <is>
          <t>https://www.linkedin.com/company/onspect</t>
        </is>
      </c>
      <c r="AJ160" s="1" t="n"/>
    </row>
    <row r="161" ht="12.5" customHeight="1">
      <c r="A161" s="6" t="n">
        <v>45840</v>
      </c>
      <c r="B161" s="1" t="inlineStr">
        <is>
          <t>ORG_1833</t>
        </is>
      </c>
      <c r="C161" s="1" t="b">
        <v>1</v>
      </c>
      <c r="D161" s="1" t="inlineStr">
        <is>
          <t>Learning by Questions</t>
        </is>
      </c>
      <c r="E161" s="10" t="inlineStr">
        <is>
          <t>www.lbq.org</t>
        </is>
      </c>
      <c r="F161" t="inlineStr">
        <is>
          <t>lbq.org</t>
        </is>
      </c>
      <c r="G161" s="1" t="inlineStr">
        <is>
          <t>LbQ is an award-winning app that improves education with a pedagogy based on timely feedback, intervention and reduced teacher workload.</t>
        </is>
      </c>
      <c r="H161" s="1" t="inlineStr">
        <is>
          <t>I'm not part of any EdTech association</t>
        </is>
      </c>
      <c r="I161" s="1" t="inlineStr">
        <is>
          <t>English</t>
        </is>
      </c>
      <c r="J161" s="1" t="inlineStr">
        <is>
          <t>Blackburn</t>
        </is>
      </c>
      <c r="K161" t="inlineStr">
        <is>
          <t>Blackburn</t>
        </is>
      </c>
      <c r="L161" t="inlineStr">
        <is>
          <t>Blackburn, United Kingdom</t>
        </is>
      </c>
      <c r="M161" t="n">
        <v>53.749326</v>
      </c>
      <c r="N161" t="n">
        <v>-2.4840566</v>
      </c>
      <c r="O161" s="1" t="inlineStr">
        <is>
          <t>United Kingdom</t>
        </is>
      </c>
      <c r="P161" s="1" t="inlineStr">
        <is>
          <t>United Kingdom</t>
        </is>
      </c>
      <c r="Q161" s="1" t="inlineStr">
        <is>
          <t>Medium (50-250 FTE employees)</t>
        </is>
      </c>
      <c r="R161" t="inlineStr">
        <is>
          <t>Medium</t>
        </is>
      </c>
      <c r="S161" s="1" t="inlineStr">
        <is>
          <t>Business to Schools</t>
        </is>
      </c>
      <c r="T161" s="1" t="inlineStr">
        <is>
          <t>Primary Education, Secondary Education</t>
        </is>
      </c>
      <c r="U161" s="1" t="inlineStr">
        <is>
          <t>Student interfacing, Teacher interfacing</t>
        </is>
      </c>
      <c r="V161" s="1" t="inlineStr">
        <is>
          <t>Wayfinder</t>
        </is>
      </c>
      <c r="W161" s="10" t="inlineStr">
        <is>
          <t>Digitally enhanced best practices to boost pupil progress using instant feedback for pupils and instant insights for teachers.</t>
        </is>
      </c>
      <c r="X161" s="10" t="inlineStr">
        <is>
          <t>SATs Springboard</t>
        </is>
      </c>
      <c r="Y161" t="inlineStr">
        <is>
          <t>A personalised revision roadmap for your year 6s!
With 98% of teachers seeing greater progress and 100% reporting a reduction in workload, SATs prep has never been more efficient — or more impactful.</t>
        </is>
      </c>
      <c r="Z161" s="1" t="inlineStr">
        <is>
          <t>https://drive.google.com/uc?export=view&amp;id=1c2EyY9L3T6lky5RkyKEeD-hrPUtVf4c0</t>
        </is>
      </c>
      <c r="AA161" s="1" t="inlineStr">
        <is>
          <t>Unverified</t>
        </is>
      </c>
      <c r="AB161" s="1" t="n"/>
      <c r="AC161" s="1" t="inlineStr">
        <is>
          <t>For-profit company</t>
        </is>
      </c>
      <c r="AD161" s="10" t="b">
        <v>1</v>
      </c>
      <c r="AE161" s="1" t="b">
        <v>1</v>
      </c>
      <c r="AF161" s="1" t="inlineStr">
        <is>
          <t>Yes</t>
        </is>
      </c>
      <c r="AG161" s="1" t="inlineStr">
        <is>
          <t>https://x.com/lbqorg</t>
        </is>
      </c>
      <c r="AH161" s="1" t="inlineStr">
        <is>
          <t>https://x.com/lbqorg</t>
        </is>
      </c>
      <c r="AI161" s="1" t="inlineStr">
        <is>
          <t>https://www.linkedin.com/company/learning-by-questions</t>
        </is>
      </c>
      <c r="AJ161" s="10" t="inlineStr">
        <is>
          <t>https://www.facebook.com/LearningbyQuestions</t>
        </is>
      </c>
    </row>
    <row r="162" ht="12.5" customHeight="1">
      <c r="A162" s="6" t="n">
        <v>45840</v>
      </c>
      <c r="B162" s="1" t="inlineStr">
        <is>
          <t>ORG_2577</t>
        </is>
      </c>
      <c r="C162" s="1" t="b">
        <v>1</v>
      </c>
      <c r="D162" s="1" t="inlineStr">
        <is>
          <t>Opentunti Oy</t>
        </is>
      </c>
      <c r="E162" s="10" t="inlineStr">
        <is>
          <t>www.desku.fi</t>
        </is>
      </c>
      <c r="F162" t="inlineStr">
        <is>
          <t>desku.fi</t>
        </is>
      </c>
      <c r="G162" s="1" t="inlineStr">
        <is>
          <t>Opentunti Oy is a Finnish public-benefit EdTech company providing practical digital tools for schools, municipalities, and early childhood education providers. Our core services – including the Desku digital workspace and identity automation tools – streamline everyday school tasks, reduce IT workload, and improve data security. We are trusted by a growing number of Finnish education providers and actively contribute to national digital infrastructure development (e.g. MPASSid federation). Our solutions are designed together with educators and are already used daily in hundreds of schools across Finland.</t>
        </is>
      </c>
      <c r="H162" s="1" t="inlineStr">
        <is>
          <t>EdTech Finland</t>
        </is>
      </c>
      <c r="I162" s="1" t="inlineStr">
        <is>
          <t>English, Finnish, Swedish</t>
        </is>
      </c>
      <c r="J162" s="1" t="inlineStr">
        <is>
          <t>Rusko</t>
        </is>
      </c>
      <c r="K162" t="inlineStr">
        <is>
          <t>Rusko</t>
        </is>
      </c>
      <c r="L162" t="inlineStr">
        <is>
          <t>Rusko, Finland</t>
        </is>
      </c>
      <c r="M162" t="n">
        <v>61.4519534</v>
      </c>
      <c r="N162" t="n">
        <v>23.887769</v>
      </c>
      <c r="O162" s="1" t="inlineStr">
        <is>
          <t>Finland</t>
        </is>
      </c>
      <c r="P162" s="1" t="inlineStr">
        <is>
          <t>Finland</t>
        </is>
      </c>
      <c r="Q162" s="1" t="inlineStr">
        <is>
          <t>Micro (1-9 FTE employees)</t>
        </is>
      </c>
      <c r="R162" t="inlineStr">
        <is>
          <t>Micro</t>
        </is>
      </c>
      <c r="S162" s="1" t="inlineStr">
        <is>
          <t>Business to Schools, Business to Business, Business to Government</t>
        </is>
      </c>
      <c r="T162" s="1" t="inlineStr">
        <is>
          <t>Primary Education, Secondary Education, Early childhood development (0-5 years)</t>
        </is>
      </c>
      <c r="U162" s="1" t="inlineStr">
        <is>
          <t>Student interfacing, Teacher interfacing, System/Administrative</t>
        </is>
      </c>
      <c r="V162" s="1" t="inlineStr">
        <is>
          <t>Desku</t>
        </is>
      </c>
      <c r="W162" s="1" t="inlineStr">
        <is>
          <t>Desku is a role-based digital workspace for schools that provides single sign-on access to all educational services from one place. It simplifies daily routines, supports centralized management, and improves data security on shared devices.</t>
        </is>
      </c>
      <c r="X162" s="10" t="inlineStr">
        <is>
          <t>UiRobo</t>
        </is>
      </c>
      <c r="Y162" t="inlineStr">
        <is>
          <t>UiRobo is an identity automation tool that creates and manages user accounts for students and staff based on school registry data. It supports Microsoft, Google, and local AD environments, reducing manual work and login issues.</t>
        </is>
      </c>
      <c r="Z162" s="1" t="n"/>
      <c r="AA162" s="1" t="inlineStr">
        <is>
          <t>Unverified</t>
        </is>
      </c>
      <c r="AB162" s="1" t="inlineStr">
        <is>
          <t>Collaborations between EdTech organisations, Project consortium building</t>
        </is>
      </c>
      <c r="AC162" s="1" t="inlineStr">
        <is>
          <t>Non-profit organisation</t>
        </is>
      </c>
      <c r="AD162" s="1" t="b">
        <v>1</v>
      </c>
      <c r="AE162" s="1" t="b">
        <v>1</v>
      </c>
      <c r="AF162" s="1" t="inlineStr">
        <is>
          <t>Yes</t>
        </is>
      </c>
      <c r="AG162" s="1" t="inlineStr">
        <is>
          <t>https://www.linkedin.com/company/opentunti-oy</t>
        </is>
      </c>
      <c r="AH162" s="1" t="inlineStr">
        <is>
          <t>https://www.linkedin.com/company/opentunti-oy</t>
        </is>
      </c>
      <c r="AI162" s="1" t="inlineStr">
        <is>
          <t>https://www.linkedin.com/company/opentunti-oy</t>
        </is>
      </c>
      <c r="AJ162" s="1" t="n"/>
    </row>
    <row r="163" ht="12.5" customHeight="1">
      <c r="A163" s="6" t="n">
        <v>45840</v>
      </c>
      <c r="B163" s="1" t="inlineStr">
        <is>
          <t>ORG_1265</t>
        </is>
      </c>
      <c r="C163" s="1" t="b">
        <v>1</v>
      </c>
      <c r="D163" s="1" t="inlineStr">
        <is>
          <t>Co-gito</t>
        </is>
      </c>
      <c r="E163" s="10" t="inlineStr">
        <is>
          <t>https://co-gito.coml</t>
        </is>
      </c>
      <c r="F163" t="inlineStr">
        <is>
          <t>co-gito.coml</t>
        </is>
      </c>
      <c r="G163" s="1" t="inlineStr">
        <is>
          <t>The most effective training tool thanks to AI and neuroscience.</t>
        </is>
      </c>
      <c r="H163" s="1" t="inlineStr">
        <is>
          <t>EdTech France</t>
        </is>
      </c>
      <c r="I163" s="1" t="inlineStr">
        <is>
          <t>French, English</t>
        </is>
      </c>
      <c r="J163" s="1" t="inlineStr">
        <is>
          <t>Paris</t>
        </is>
      </c>
      <c r="K163" t="inlineStr">
        <is>
          <t>Paris</t>
        </is>
      </c>
      <c r="L163" t="inlineStr">
        <is>
          <t>Paris, France</t>
        </is>
      </c>
      <c r="M163" t="n">
        <v>48.8534951</v>
      </c>
      <c r="N163" t="n">
        <v>2.3483915</v>
      </c>
      <c r="O163" s="1" t="inlineStr">
        <is>
          <t>France</t>
        </is>
      </c>
      <c r="P163" s="1" t="inlineStr">
        <is>
          <t>France</t>
        </is>
      </c>
      <c r="Q163" s="1" t="inlineStr">
        <is>
          <t>Micro (1-9 FTE employees)</t>
        </is>
      </c>
      <c r="R163" t="inlineStr">
        <is>
          <t>Micro</t>
        </is>
      </c>
      <c r="S163" s="1" t="inlineStr">
        <is>
          <t>Business to Business</t>
        </is>
      </c>
      <c r="T163" s="1" t="inlineStr">
        <is>
          <t>Vocational Education and Training (VET), Higher Education, Corporate Training</t>
        </is>
      </c>
      <c r="U163" s="1" t="inlineStr">
        <is>
          <t>Student interfacing, Teacher interfacing</t>
        </is>
      </c>
      <c r="V163" s="1" t="inlineStr">
        <is>
          <t>Co-gito webapp</t>
        </is>
      </c>
      <c r="W163" s="1" t="inlineStr">
        <is>
          <t>Co-gito boosts learning efficiency by applying key neuroscience principles through AI — including spaced repetition, adaptive difficulty, and personalized feedback.
Its intuitive editor lets you build interactive courses in minutes, with advanced analytics to track learner progress and engagement.</t>
        </is>
      </c>
      <c r="X163" s="10" t="inlineStr">
        <is>
          <t>https://drive.google.com/uc?export=view&amp;id=11YmoB_x8Xh0TbjPHSoRb664nIXO_Ur9S</t>
        </is>
      </c>
      <c r="Y163" t="inlineStr">
        <is>
          <t>https://drive.google.com/uc?export=view&amp;id=11YmoB_x8Xh0TbjPHSoRb664nIXO_Ur9S</t>
        </is>
      </c>
      <c r="Z163" s="1" t="inlineStr">
        <is>
          <t>https://drive.google.com/uc?export=view&amp;id=11YmoB_x8Xh0TbjPHSoRb664nIXO_Ur9S</t>
        </is>
      </c>
      <c r="AA163" s="1" t="inlineStr">
        <is>
          <t>Unverified</t>
        </is>
      </c>
      <c r="AB163" s="1" t="inlineStr">
        <is>
          <t>Collaborations between EdTech organisations, Project consortium building, Public-private partnerships, Industry-academia partnerships</t>
        </is>
      </c>
      <c r="AC163" s="1" t="inlineStr">
        <is>
          <t>For-profit company</t>
        </is>
      </c>
      <c r="AD163" s="10" t="b">
        <v>1</v>
      </c>
      <c r="AE163" s="1" t="b">
        <v>1</v>
      </c>
      <c r="AF163" s="1" t="inlineStr">
        <is>
          <t>Yes</t>
        </is>
      </c>
      <c r="AG163" s="1" t="inlineStr">
        <is>
          <t>https://www.linkedin.com/company/co-gito</t>
        </is>
      </c>
      <c r="AH163" s="1" t="inlineStr">
        <is>
          <t>https://www.linkedin.com/company/co-gito</t>
        </is>
      </c>
      <c r="AI163" s="1" t="inlineStr">
        <is>
          <t>https://www.linkedin.com/company/co-gito</t>
        </is>
      </c>
      <c r="AJ163" s="1" t="n"/>
    </row>
    <row r="164" ht="12.5" customHeight="1">
      <c r="A164" s="6" t="n">
        <v>45840</v>
      </c>
      <c r="B164" s="1" t="inlineStr">
        <is>
          <t>ORG_2576</t>
        </is>
      </c>
      <c r="C164" s="1" t="b">
        <v>1</v>
      </c>
      <c r="D164" s="1" t="inlineStr">
        <is>
          <t>PomeLabs</t>
        </is>
      </c>
      <c r="E164" s="10" t="inlineStr">
        <is>
          <t>https://www.pomelabs.com/</t>
        </is>
      </c>
      <c r="F164" t="inlineStr">
        <is>
          <t>pomelabs.com</t>
        </is>
      </c>
      <c r="G164" s="1" t="inlineStr">
        <is>
          <t>PomeLabs is an edtech startup that designs innovative tools to make learning electronics and computer engineering more practical, engaging, and accessible. We support educational and training institutions with a unique combination of smart, modular hardware and an interactive digital platform, helping educators deliver hands-on, future-ready learning experiences.</t>
        </is>
      </c>
      <c r="H164" s="1" t="inlineStr">
        <is>
          <t>I'm not part of any EdTech association</t>
        </is>
      </c>
      <c r="I164" s="1" t="inlineStr">
        <is>
          <t>English, French</t>
        </is>
      </c>
      <c r="J164" s="1" t="inlineStr">
        <is>
          <t>Paris</t>
        </is>
      </c>
      <c r="K164" t="inlineStr">
        <is>
          <t>Paris</t>
        </is>
      </c>
      <c r="L164" t="inlineStr">
        <is>
          <t>Paris, France</t>
        </is>
      </c>
      <c r="M164" t="n">
        <v>48.8534951</v>
      </c>
      <c r="N164" t="n">
        <v>2.3483915</v>
      </c>
      <c r="O164" s="1" t="inlineStr">
        <is>
          <t>France</t>
        </is>
      </c>
      <c r="P164" s="1" t="inlineStr">
        <is>
          <t>France, Netherlands</t>
        </is>
      </c>
      <c r="Q164" s="1" t="inlineStr">
        <is>
          <t>Micro (1-9 FTE employees)</t>
        </is>
      </c>
      <c r="R164" t="inlineStr">
        <is>
          <t>Micro</t>
        </is>
      </c>
      <c r="S164" s="1" t="inlineStr">
        <is>
          <t>Business to Business, Business to Consumer</t>
        </is>
      </c>
      <c r="T164" s="1" t="inlineStr">
        <is>
          <t>Secondary Education, Vocational Education and Training (VET), Higher Education, Lifelong learning/Adult education</t>
        </is>
      </c>
      <c r="U164" s="1" t="inlineStr">
        <is>
          <t>Student interfacing, Teacher interfacing</t>
        </is>
      </c>
      <c r="V164" s="10" t="inlineStr">
        <is>
          <t>PomeLabs + Connect</t>
        </is>
      </c>
      <c r="W164" s="1" t="inlineStr">
        <is>
          <t>PomeLabs + Connect is a durable, modular solution with built-in digital twin technology. It makes hands-on learning more accessible and overcomes the limitations of traditional lab equipment to enhance teaching and learning computer engineering.</t>
        </is>
      </c>
      <c r="X164" s="10" t="inlineStr">
        <is>
          <t>https://drive.google.com/uc?export=view&amp;id=1jTenh2OnHwPh3-xtOXPYNR2LStGOerQV</t>
        </is>
      </c>
      <c r="Y164" t="inlineStr">
        <is>
          <t>https://drive.google.com/uc?export=view&amp;id=1jTenh2OnHwPh3-xtOXPYNR2LStGOerQV</t>
        </is>
      </c>
      <c r="Z164" s="1" t="inlineStr">
        <is>
          <t>https://drive.google.com/uc?export=view&amp;id=1jTenh2OnHwPh3-xtOXPYNR2LStGOerQV</t>
        </is>
      </c>
      <c r="AA164" s="1" t="inlineStr">
        <is>
          <t>Unverified</t>
        </is>
      </c>
      <c r="AB164" s="1" t="inlineStr">
        <is>
          <t>Project consortium building, Public-private partnerships</t>
        </is>
      </c>
      <c r="AC164" s="1" t="inlineStr">
        <is>
          <t>For-profit company</t>
        </is>
      </c>
      <c r="AD164" s="10" t="b">
        <v>1</v>
      </c>
      <c r="AE164" s="1" t="b">
        <v>1</v>
      </c>
      <c r="AF164" s="1" t="inlineStr">
        <is>
          <t>Yes</t>
        </is>
      </c>
      <c r="AG164" s="1" t="inlineStr">
        <is>
          <t>https://www.instagram.com/pome.labs/</t>
        </is>
      </c>
      <c r="AH164" s="1" t="inlineStr">
        <is>
          <t>https://www.linkedin.com/company/pomelabs</t>
        </is>
      </c>
      <c r="AI164" s="1" t="inlineStr">
        <is>
          <t>https://www.linkedin.com/company/pomelabs</t>
        </is>
      </c>
      <c r="AJ164" s="1" t="n"/>
    </row>
    <row r="165" ht="12.5" customHeight="1">
      <c r="A165" s="6" t="n">
        <v>45840</v>
      </c>
      <c r="B165" s="1" t="inlineStr">
        <is>
          <t>ORG_1004</t>
        </is>
      </c>
      <c r="C165" s="1" t="b">
        <v>1</v>
      </c>
      <c r="D165" s="1" t="inlineStr">
        <is>
          <t>1000.software</t>
        </is>
      </c>
      <c r="E165" s="1" t="inlineStr">
        <is>
          <t>1000.software</t>
        </is>
      </c>
      <c r="F165" t="inlineStr">
        <is>
          <t>1000.software</t>
        </is>
      </c>
      <c r="G165" s="1" t="inlineStr">
        <is>
          <t>We create products and provide services that enable our EdTech clients to succeed, using technologies that will stand the test of time.</t>
        </is>
      </c>
      <c r="H165" s="1" t="inlineStr">
        <is>
          <t>I'm not part of any EdTech association</t>
        </is>
      </c>
      <c r="I165" s="1" t="inlineStr">
        <is>
          <t>English, Polish</t>
        </is>
      </c>
      <c r="J165" s="1" t="inlineStr">
        <is>
          <t>Kraków</t>
        </is>
      </c>
      <c r="K165" t="inlineStr">
        <is>
          <t>Kraków</t>
        </is>
      </c>
      <c r="L165" t="inlineStr">
        <is>
          <t>Kraków, Poland</t>
        </is>
      </c>
      <c r="M165" t="n">
        <v>50.0619474</v>
      </c>
      <c r="N165" t="n">
        <v>19.9368564</v>
      </c>
      <c r="O165" s="1" t="inlineStr">
        <is>
          <t>Poland</t>
        </is>
      </c>
      <c r="P165" s="1" t="n"/>
      <c r="Q165" s="1" t="inlineStr">
        <is>
          <t>Small (10-49 FTE employees)</t>
        </is>
      </c>
      <c r="R165" t="inlineStr">
        <is>
          <t>Small</t>
        </is>
      </c>
      <c r="S165" s="1" t="inlineStr">
        <is>
          <t>Business to Business, Business to Schools</t>
        </is>
      </c>
      <c r="T165" s="1" t="inlineStr">
        <is>
          <t>Primary Education, Secondary Education, Higher Education, Vocational Education and Training (VET), Corporate Training, Lifelong learning/Adult education, Special Education, Early childhood development (0-5 years)</t>
        </is>
      </c>
      <c r="U165" s="1" t="inlineStr">
        <is>
          <t>Student interfacing, Teacher interfacing, System/Administrative</t>
        </is>
      </c>
      <c r="V165" s="1" t="inlineStr">
        <is>
          <t>Bespoke Software Development Services</t>
        </is>
      </c>
      <c r="W165" s="1" t="inlineStr">
        <is>
          <t>We consult and create software for schools, universities and companies within a EdTech sector. Our experience is one of the more extensive in the education, as we are creating software products for education since 2007.</t>
        </is>
      </c>
      <c r="X165" s="10" t="inlineStr">
        <is>
          <t>EdTech Dots community and Podcast</t>
        </is>
      </c>
      <c r="Y165" t="inlineStr">
        <is>
          <t>We are a community that connects enthusiasts fascinated by the future of education, educators and tool and software developers.
Join us to chat, exchange knowledge and contacts and immerse yourself in the fascinating world of EdTech.
https://www.youtube.com/@edtechdots</t>
        </is>
      </c>
      <c r="Z165" s="1" t="n"/>
      <c r="AA165" s="1" t="inlineStr">
        <is>
          <t>Unverified</t>
        </is>
      </c>
      <c r="AB165" s="1" t="inlineStr">
        <is>
          <t>Collaborations between EdTech organisations, Public-private partnerships</t>
        </is>
      </c>
      <c r="AC165" s="1" t="inlineStr">
        <is>
          <t>For-profit company</t>
        </is>
      </c>
      <c r="AD165" s="1" t="b">
        <v>1</v>
      </c>
      <c r="AE165" s="1" t="b">
        <v>1</v>
      </c>
      <c r="AF165" s="1" t="inlineStr">
        <is>
          <t>Yes</t>
        </is>
      </c>
      <c r="AG165" s="1" t="inlineStr">
        <is>
          <t>https://www.linkedin.com/company/1000i</t>
        </is>
      </c>
      <c r="AH165" s="1" t="inlineStr">
        <is>
          <t>https://www.linkedin.com/company/1000i</t>
        </is>
      </c>
      <c r="AI165" s="1" t="inlineStr">
        <is>
          <t>https://www.linkedin.com/company/1000i</t>
        </is>
      </c>
      <c r="AJ165" s="1" t="n"/>
    </row>
    <row r="166" ht="12.5" customHeight="1">
      <c r="A166" s="6" t="n">
        <v>45840</v>
      </c>
      <c r="B166" s="1" t="inlineStr">
        <is>
          <t>ORG_1409</t>
        </is>
      </c>
      <c r="C166" s="1" t="b">
        <v>1</v>
      </c>
      <c r="D166" s="1" t="inlineStr">
        <is>
          <t>edisconet AG</t>
        </is>
      </c>
      <c r="E166" s="10" t="inlineStr">
        <is>
          <t>www.edisconet.com</t>
        </is>
      </c>
      <c r="F166" t="inlineStr">
        <is>
          <t>edisconet.com</t>
        </is>
      </c>
      <c r="G166" s="1" t="inlineStr">
        <is>
          <t>edisconet provides a comprehensive ecosystem allowing organizations to explore the use of AI for transformative, collaborative and knowledge-retrieving challenges within a scale able, controlled and secure environment. The platform integrates existing learning management systems and innovative solutions from strategic partners and utilizes advanced AI features to support the collection and dissemination of knowledge – a feature that makes it a unique solution in the whole e-teaching market.</t>
        </is>
      </c>
      <c r="H166" s="1" t="inlineStr">
        <is>
          <t>Swiss EdTech Collider</t>
        </is>
      </c>
      <c r="I166" s="1" t="inlineStr">
        <is>
          <t>English, German, French, Italian, Spanish, Other</t>
        </is>
      </c>
      <c r="J166" s="1" t="inlineStr">
        <is>
          <t>Rudolfstetten</t>
        </is>
      </c>
      <c r="K166" t="inlineStr">
        <is>
          <t>Rudolfstetten</t>
        </is>
      </c>
      <c r="L166" t="inlineStr">
        <is>
          <t>Rudolfstetten, Switzerland</t>
        </is>
      </c>
      <c r="M166" t="n">
        <v>47.3694687</v>
      </c>
      <c r="N166" t="n">
        <v>8.379399899999999</v>
      </c>
      <c r="O166" s="1" t="inlineStr">
        <is>
          <t>Switzerland</t>
        </is>
      </c>
      <c r="P166" s="1" t="inlineStr">
        <is>
          <t>Estonia, Denmark, Finland, France, Germany, Austria, Belgium, Greece, Italy, Liechtenstein, Luxembourg, Netherlands, Norway, Poland, Slovakia, Spain, Lithuania, Latvia, Iceland, Hungary, Monaco, Portugal, Slovenia, Ireland, Malta</t>
        </is>
      </c>
      <c r="Q166" s="1" t="inlineStr">
        <is>
          <t>Micro (1-9 FTE employees)</t>
        </is>
      </c>
      <c r="R166" t="inlineStr">
        <is>
          <t>Micro</t>
        </is>
      </c>
      <c r="S166" s="1" t="inlineStr">
        <is>
          <t>Business to Business, Business to Government, Business to Schools</t>
        </is>
      </c>
      <c r="T166" s="1" t="inlineStr">
        <is>
          <t>Vocational Education and Training (VET), Higher Education, Corporate Training, Lifelong learning/Adult education, Special Education</t>
        </is>
      </c>
      <c r="U166" s="1" t="inlineStr">
        <is>
          <t>Student interfacing, Teacher interfacing, System/Administrative</t>
        </is>
      </c>
      <c r="V166" s="1" t="inlineStr">
        <is>
          <t>Inclusive Collaboration Platform (ICP)</t>
        </is>
      </c>
      <c r="W166" s="1" t="inlineStr">
        <is>
          <t>Interactive ecosystem for easy collaboration for Learning, Organizational Development, Workshops &amp; Events and Communities</t>
        </is>
      </c>
      <c r="X166" s="10" t="inlineStr">
        <is>
          <t>AI Sandbox (AIS)</t>
        </is>
      </c>
      <c r="Y166" t="inlineStr">
        <is>
          <t>Secure ecosystem to jointly explore the use and optimization of different AI tools in real live practice in a collaborative manner.</t>
        </is>
      </c>
      <c r="Z166" s="1" t="n"/>
      <c r="AA166" s="1" t="inlineStr">
        <is>
          <t>Unverified</t>
        </is>
      </c>
      <c r="AB166" s="1" t="inlineStr">
        <is>
          <t>Public-private partnerships, Industry-academia partnerships</t>
        </is>
      </c>
      <c r="AC166" s="1" t="inlineStr">
        <is>
          <t>For-profit company</t>
        </is>
      </c>
      <c r="AD166" s="1" t="b">
        <v>1</v>
      </c>
      <c r="AE166" s="1" t="b">
        <v>1</v>
      </c>
      <c r="AF166" s="1" t="inlineStr">
        <is>
          <t>Yes</t>
        </is>
      </c>
      <c r="AG166" s="1" t="inlineStr">
        <is>
          <t>https://www.linkedin.com/company/edisconet/</t>
        </is>
      </c>
      <c r="AH166" s="1" t="inlineStr">
        <is>
          <t>https://www.linkedin.com/company/edisconet/</t>
        </is>
      </c>
      <c r="AI166" s="1" t="inlineStr">
        <is>
          <t>https://www.linkedin.com/company/edisconet/</t>
        </is>
      </c>
      <c r="AJ166" s="1" t="n"/>
    </row>
    <row r="167" ht="12.5" customHeight="1">
      <c r="A167" s="6" t="n">
        <v>45840</v>
      </c>
      <c r="B167" s="1" t="inlineStr">
        <is>
          <t>ORG_2571</t>
        </is>
      </c>
      <c r="C167" s="1" t="b">
        <v>1</v>
      </c>
      <c r="D167" s="1" t="inlineStr">
        <is>
          <t>zick learn</t>
        </is>
      </c>
      <c r="E167" s="10" t="inlineStr">
        <is>
          <t>https://zicklearn.com</t>
        </is>
      </c>
      <c r="F167" t="inlineStr">
        <is>
          <t>zicklearn.com</t>
        </is>
      </c>
      <c r="G167" s="1" t="inlineStr">
        <is>
          <t>zick learn is a fast-growing learning technology company based in Ireland. We help large and mid-sized organisations deliver high-impact microlearning directly within the tools their employees already use — such as Microsoft Teams, WhatsApp, and Slack. Rooted in cognitive science and built in partnership with UC Berkeley, our platform enables companies to boost learning engagement, speed up training delivery, and track real-time performance — all without the need for traditional LMS systems. With customers across sectors including pharma, manufacturing, and retail, zick learn is redefining how training is created, distributed, and measured at scale.</t>
        </is>
      </c>
      <c r="H167" s="1" t="inlineStr">
        <is>
          <t>EdTech Italia</t>
        </is>
      </c>
      <c r="I167" s="1" t="inlineStr">
        <is>
          <t>English, French, Spanish, Italian, German</t>
        </is>
      </c>
      <c r="J167" s="1" t="inlineStr">
        <is>
          <t>Dublin</t>
        </is>
      </c>
      <c r="K167" t="inlineStr">
        <is>
          <t>Dublin</t>
        </is>
      </c>
      <c r="L167" t="inlineStr">
        <is>
          <t>Dublin, Ireland</t>
        </is>
      </c>
      <c r="M167" t="n">
        <v>53.3493795</v>
      </c>
      <c r="N167" t="n">
        <v>-6.2605593</v>
      </c>
      <c r="O167" s="1" t="inlineStr">
        <is>
          <t>Ireland</t>
        </is>
      </c>
      <c r="P167" s="1" t="inlineStr">
        <is>
          <t>Italy, Germany, Austria, Ireland, United Kingdom</t>
        </is>
      </c>
      <c r="Q167" s="1" t="inlineStr">
        <is>
          <t>Micro (1-9 FTE employees)</t>
        </is>
      </c>
      <c r="R167" t="inlineStr">
        <is>
          <t>Micro</t>
        </is>
      </c>
      <c r="S167" s="1" t="inlineStr">
        <is>
          <t>Business to Business</t>
        </is>
      </c>
      <c r="T167" s="1" t="inlineStr">
        <is>
          <t>Corporate Training, Special Education, Lifelong learning/Adult education</t>
        </is>
      </c>
      <c r="U167" s="1" t="inlineStr">
        <is>
          <t>Student interfacing, Teacher interfacing, System/Administrative</t>
        </is>
      </c>
      <c r="V167" s="1" t="inlineStr">
        <is>
          <t>zick learn</t>
        </is>
      </c>
      <c r="W167" s="1" t="inlineStr">
        <is>
          <t>zick learn is an AI-powered microlearning platform that delivers short, impactful training directly via Microsoft Teams, WhatsApp, Slack, Google Chat and many more — reaching employees where they already work.</t>
        </is>
      </c>
      <c r="X167" s="10" t="n"/>
      <c r="Z167" s="1" t="n"/>
      <c r="AA167" s="1" t="inlineStr">
        <is>
          <t>Unverified</t>
        </is>
      </c>
      <c r="AB167" s="1" t="inlineStr">
        <is>
          <t>Collaborations between EdTech organisations, Project consortium building, Public-private partnerships, Industry-academia partnerships</t>
        </is>
      </c>
      <c r="AC167" s="1" t="inlineStr">
        <is>
          <t>For-profit company</t>
        </is>
      </c>
      <c r="AD167" s="1" t="b">
        <v>1</v>
      </c>
      <c r="AE167" s="1" t="b">
        <v>1</v>
      </c>
      <c r="AF167" s="1" t="inlineStr">
        <is>
          <t>Yes</t>
        </is>
      </c>
      <c r="AG167" s="1" t="inlineStr">
        <is>
          <t>https://www.linkedin.com/company/zick</t>
        </is>
      </c>
      <c r="AH167" s="1" t="inlineStr">
        <is>
          <t>https://www.linkedin.com/company/zick</t>
        </is>
      </c>
      <c r="AI167" s="1" t="inlineStr">
        <is>
          <t>https://www.linkedin.com/company/zick</t>
        </is>
      </c>
      <c r="AJ167" s="1" t="n"/>
    </row>
    <row r="168" ht="12.5" customHeight="1">
      <c r="A168" s="6" t="n">
        <v>45840</v>
      </c>
      <c r="B168" s="1" t="inlineStr">
        <is>
          <t>ORG_1254</t>
        </is>
      </c>
      <c r="C168" s="1" t="b">
        <v>1</v>
      </c>
      <c r="D168" s="1" t="inlineStr">
        <is>
          <t>Classroomscreen BV</t>
        </is>
      </c>
      <c r="E168" s="10" t="inlineStr">
        <is>
          <t>www.classroomscreen.com</t>
        </is>
      </c>
      <c r="F168" t="inlineStr">
        <is>
          <t>classroomscreen.com</t>
        </is>
      </c>
      <c r="G168" s="1" t="inlineStr">
        <is>
          <t>Classroomscreen is an online education tool that aims to enhance classroom management and engagement in classrooms. Our platform provides teachers with a dynamic and versatile whiteboard environment with several useful widgets and tools to improve student engagement.</t>
        </is>
      </c>
      <c r="H168" s="1" t="inlineStr">
        <is>
          <t>Dutch EdTech</t>
        </is>
      </c>
      <c r="I168" s="1" t="inlineStr">
        <is>
          <t>English</t>
        </is>
      </c>
      <c r="J168" s="1" t="inlineStr">
        <is>
          <t>Bunnik</t>
        </is>
      </c>
      <c r="K168" t="inlineStr">
        <is>
          <t>Bunnik</t>
        </is>
      </c>
      <c r="L168" t="inlineStr">
        <is>
          <t>Bunnik, The Netherlands</t>
        </is>
      </c>
      <c r="M168" t="n">
        <v>52.0638376</v>
      </c>
      <c r="N168" t="n">
        <v>5.1906169</v>
      </c>
      <c r="O168" s="1" t="inlineStr">
        <is>
          <t>The Netherlands</t>
        </is>
      </c>
      <c r="P168" s="1" t="inlineStr">
        <is>
          <t>United Kingdom, Switzerland, Sweden, Spain, Romania, Portugal, Norway, Netherlands, Italy, Ireland, Iceland, Germany, France, Finland, Denmark, Czechia, Belgium, Austria</t>
        </is>
      </c>
      <c r="Q168" s="1" t="inlineStr">
        <is>
          <t>Micro (1-9 FTE employees)</t>
        </is>
      </c>
      <c r="R168" t="inlineStr">
        <is>
          <t>Micro</t>
        </is>
      </c>
      <c r="S168" s="1" t="inlineStr">
        <is>
          <t>Business to Consumer, Business to Schools</t>
        </is>
      </c>
      <c r="T168" s="1" t="inlineStr">
        <is>
          <t>Primary Education, Secondary Education, Special Education</t>
        </is>
      </c>
      <c r="U168" s="1" t="inlineStr">
        <is>
          <t>Teacher interfacing, Student interfacing</t>
        </is>
      </c>
      <c r="V168" s="1" t="inlineStr">
        <is>
          <t>Classroomscreen</t>
        </is>
      </c>
      <c r="W168" s="1" t="inlineStr">
        <is>
          <t>Classroomscreen is an online education tool that aims to enhance classroom management and engagement in classrooms. Our platform provides teachers with a dynamic and versatile whiteboard environment with several useful widgets and tools to improve student engagement.</t>
        </is>
      </c>
      <c r="X168" s="10" t="n"/>
      <c r="Z168" s="1" t="n"/>
      <c r="AA168" s="1" t="inlineStr">
        <is>
          <t>Unverified</t>
        </is>
      </c>
      <c r="AB168" s="1" t="n"/>
      <c r="AC168" s="1" t="inlineStr">
        <is>
          <t>For-profit company</t>
        </is>
      </c>
      <c r="AD168" s="1" t="b">
        <v>1</v>
      </c>
      <c r="AE168" s="1" t="b">
        <v>0</v>
      </c>
      <c r="AF168" s="1" t="inlineStr">
        <is>
          <t>Yes</t>
        </is>
      </c>
      <c r="AG168" s="1" t="inlineStr">
        <is>
          <t>https://www.linkedin.com/company/classroomscreen/</t>
        </is>
      </c>
      <c r="AH168" s="1" t="inlineStr">
        <is>
          <t>https://www.linkedin.com/company/classroomscreen/</t>
        </is>
      </c>
      <c r="AI168" s="1" t="inlineStr">
        <is>
          <t>https://www.linkedin.com/company/classroomscreen/</t>
        </is>
      </c>
      <c r="AJ168" s="1" t="n"/>
    </row>
    <row r="169" ht="12.5" customHeight="1">
      <c r="A169" s="6" t="n">
        <v>45840</v>
      </c>
      <c r="B169" s="1" t="inlineStr">
        <is>
          <t>ORG_1460</t>
        </is>
      </c>
      <c r="C169" s="1" t="b">
        <v>1</v>
      </c>
      <c r="D169" s="1" t="inlineStr">
        <is>
          <t>Edusign</t>
        </is>
      </c>
      <c r="E169" s="10" t="inlineStr">
        <is>
          <t>https://edusign.com/</t>
        </is>
      </c>
      <c r="F169" t="inlineStr">
        <is>
          <t>edusign.com</t>
        </is>
      </c>
      <c r="G169" s="1" t="inlineStr">
        <is>
          <t>Edusign is the leading EdTech solution that helps schools and training organizations automate their administration while boosting learner engagement through a modern and connected app.</t>
        </is>
      </c>
      <c r="H169" s="1" t="inlineStr">
        <is>
          <t>EdTech France</t>
        </is>
      </c>
      <c r="I169" s="1" t="inlineStr">
        <is>
          <t>French, English, Spanish</t>
        </is>
      </c>
      <c r="J169" s="1" t="inlineStr">
        <is>
          <t>Saint-Germain-En-Laye</t>
        </is>
      </c>
      <c r="K169" t="inlineStr">
        <is>
          <t>Saint-Germain-En-Laye</t>
        </is>
      </c>
      <c r="L169" t="inlineStr">
        <is>
          <t>Saint-Germain-En-Laye, France</t>
        </is>
      </c>
      <c r="M169" t="n">
        <v>48.8990413</v>
      </c>
      <c r="N169" t="n">
        <v>2.0942792</v>
      </c>
      <c r="O169" s="1" t="inlineStr">
        <is>
          <t>France</t>
        </is>
      </c>
      <c r="P169" s="1" t="inlineStr">
        <is>
          <t>Spain, United Kingdom, Switzerland, France, Germany, Belgium, Luxembourg, Monaco, Netherlands, Latin America, United States of America, Canada</t>
        </is>
      </c>
      <c r="Q169" s="1" t="inlineStr">
        <is>
          <t>Medium (50-250 FTE employees)</t>
        </is>
      </c>
      <c r="R169" t="inlineStr">
        <is>
          <t>Medium</t>
        </is>
      </c>
      <c r="S169" s="1" t="inlineStr">
        <is>
          <t>Business to Business, Business to Schools</t>
        </is>
      </c>
      <c r="T169" s="1" t="inlineStr">
        <is>
          <t>Higher Education, Corporate Training, Lifelong learning/Adult education, Vocational Education and Training (VET)</t>
        </is>
      </c>
      <c r="U169" s="1" t="inlineStr">
        <is>
          <t>Student interfacing, Teacher interfacing, System/Administrative</t>
        </is>
      </c>
      <c r="V169" s="1" t="inlineStr">
        <is>
          <t>Signing in</t>
        </is>
      </c>
      <c r="W169" s="1" t="inlineStr">
        <is>
          <t>Attendance sheets can be signed online remotely or in person. Edusign offers your training centers a solution for every situation and every device with five different signing modes. The solutions are available on any screen and are secure. All your documents can be sent to your learners for signing.</t>
        </is>
      </c>
      <c r="X169" s="10" t="inlineStr">
        <is>
          <t>All-in-one application</t>
        </is>
      </c>
      <c r="Y169" t="inlineStr">
        <is>
          <t>Edusign offers a customized application, a ready-to-use mobile solution designed for higher education and training institutions, allowing students to access all of their services (schedules, grades, absences, communications, administrative procedures) from their smartphone or computer. The app, avai</t>
        </is>
      </c>
      <c r="Z169" s="1" t="n"/>
      <c r="AA169" s="1" t="inlineStr">
        <is>
          <t>Unverified</t>
        </is>
      </c>
      <c r="AB169" s="1" t="inlineStr">
        <is>
          <t>Collaborations between EdTech organisations</t>
        </is>
      </c>
      <c r="AC169" s="1" t="inlineStr">
        <is>
          <t>For-profit company</t>
        </is>
      </c>
      <c r="AD169" s="1" t="b">
        <v>1</v>
      </c>
      <c r="AE169" s="1" t="b">
        <v>0</v>
      </c>
      <c r="AF169" s="1" t="inlineStr">
        <is>
          <t>Yes</t>
        </is>
      </c>
      <c r="AG169" s="1" t="inlineStr">
        <is>
          <t>https://www.linkedin.com/company/edusign/</t>
        </is>
      </c>
      <c r="AH169" s="1" t="inlineStr">
        <is>
          <t>https://www.linkedin.com/company/edusign/</t>
        </is>
      </c>
      <c r="AI169" s="1" t="inlineStr">
        <is>
          <t>https://www.linkedin.com/company/edusign/</t>
        </is>
      </c>
    </row>
    <row r="170" ht="12.5" customHeight="1">
      <c r="A170" s="6" t="n">
        <v>45840</v>
      </c>
      <c r="B170" s="1" t="inlineStr">
        <is>
          <t>ORG_2096</t>
        </is>
      </c>
      <c r="C170" s="1" t="b">
        <v>1</v>
      </c>
      <c r="D170" s="1" t="inlineStr">
        <is>
          <t>Persona Education</t>
        </is>
      </c>
      <c r="E170" s="1" t="inlineStr">
        <is>
          <t>htps://persona-life.com</t>
        </is>
      </c>
      <c r="F170" t="inlineStr">
        <is>
          <t>htps://persona-life.com</t>
        </is>
      </c>
      <c r="G170" s="1" t="inlineStr">
        <is>
          <t>Persona Education is a UK-based edtech company, providing online social-emotional learning solutions that boost young people's wellbeing, academic and employability outcomes.</t>
        </is>
      </c>
      <c r="H170" s="1" t="inlineStr">
        <is>
          <t>SuperCharger Ventures</t>
        </is>
      </c>
      <c r="I170" s="1" t="inlineStr">
        <is>
          <t>English</t>
        </is>
      </c>
      <c r="J170" s="1" t="inlineStr">
        <is>
          <t>Bristol</t>
        </is>
      </c>
      <c r="K170" t="inlineStr">
        <is>
          <t>Bristol</t>
        </is>
      </c>
      <c r="L170" t="inlineStr">
        <is>
          <t>Bristol, United Kingdom</t>
        </is>
      </c>
      <c r="M170" t="n">
        <v>51.4538022</v>
      </c>
      <c r="N170" t="n">
        <v>-2.5972985</v>
      </c>
      <c r="O170" s="1" t="inlineStr">
        <is>
          <t>United Kingdom</t>
        </is>
      </c>
      <c r="P170" s="1" t="inlineStr">
        <is>
          <t>Albania, Andorra, Austria, Belgium, Bosnia and Herzegovina, Republic of Cyprus, Croatia, Bulgaria, Czechia, Denmark, Estonia, Germany, France, Finland, Greece, Hungary, Iceland, Kosovo, Italy, Ireland, Latvia, Liechtenstein, Lithuania, Moldova, Malta, Luxembourg, Monaco, Montenegro, Netherlands, Poland, Norway, North Macedonia, Portugal, Romania, San Marino, Spain, Turkey, United Kingdom, Switzerland, Slovenia, Slovakia, Sweden, Ukraine</t>
        </is>
      </c>
      <c r="Q170" s="1" t="inlineStr">
        <is>
          <t>Micro (1-9 FTE employees)</t>
        </is>
      </c>
      <c r="R170" t="inlineStr">
        <is>
          <t>Micro</t>
        </is>
      </c>
      <c r="S170" s="1" t="inlineStr">
        <is>
          <t>Business to Schools, Business to Government, Business to Consumer</t>
        </is>
      </c>
      <c r="T170" s="1" t="inlineStr">
        <is>
          <t>Secondary Education, Vocational Education and Training (VET), Special Education</t>
        </is>
      </c>
      <c r="U170" s="1" t="inlineStr">
        <is>
          <t>Student interfacing, Teacher interfacing</t>
        </is>
      </c>
      <c r="V170" s="1" t="inlineStr">
        <is>
          <t>Persona Life Skills</t>
        </is>
      </c>
      <c r="W170" s="1" t="inlineStr">
        <is>
          <t>Personal development platform for age 11-19, with our unique personality framework Persona Insights™ at its heart. The spiral curriculum works equally well in the classroom or in blended learning, empowering any teacher to prepare students for social, learning and work life challenges.</t>
        </is>
      </c>
      <c r="X170" s="10" t="n"/>
      <c r="Z170" s="1" t="n"/>
      <c r="AA170" s="1" t="inlineStr">
        <is>
          <t>Unverified</t>
        </is>
      </c>
      <c r="AB170" s="1" t="inlineStr">
        <is>
          <t>Public-private partnerships, Project consortium building, Collaborations between EdTech organisations</t>
        </is>
      </c>
      <c r="AC170" s="1" t="inlineStr">
        <is>
          <t>For-profit company</t>
        </is>
      </c>
      <c r="AD170" s="1" t="b">
        <v>1</v>
      </c>
      <c r="AE170" s="1" t="b">
        <v>1</v>
      </c>
      <c r="AF170" s="1" t="inlineStr">
        <is>
          <t>Yes</t>
        </is>
      </c>
      <c r="AG170" s="1" t="inlineStr">
        <is>
          <t>https://www.linkedin.com/company/persona</t>
        </is>
      </c>
      <c r="AH170" s="1" t="inlineStr">
        <is>
          <t>https://www.linkedin.com/company/persona</t>
        </is>
      </c>
      <c r="AI170" s="1" t="inlineStr">
        <is>
          <t>https://www.linkedin.com/company/persona</t>
        </is>
      </c>
      <c r="AJ170" s="10" t="inlineStr">
        <is>
          <t>https://www.facebook.com/personalifeskills</t>
        </is>
      </c>
    </row>
    <row r="171" ht="12.5" customHeight="1">
      <c r="A171" s="6" t="n">
        <v>45840</v>
      </c>
      <c r="B171" s="1" t="inlineStr">
        <is>
          <t>ORG_1484</t>
        </is>
      </c>
      <c r="C171" s="1" t="b">
        <v>1</v>
      </c>
      <c r="D171" s="1" t="inlineStr">
        <is>
          <t>ELEVER</t>
        </is>
      </c>
      <c r="E171" s="10" t="inlineStr">
        <is>
          <t>elever.ch</t>
        </is>
      </c>
      <c r="F171" t="inlineStr">
        <is>
          <t>elever.ch</t>
        </is>
      </c>
      <c r="G171" s="1" t="inlineStr">
        <is>
          <t>Micro learning and gamification enhance learning habits by breaking down content into small, digestible segments and making it interactive and fun. This is the Elever philosophy.</t>
        </is>
      </c>
      <c r="H171" s="1" t="inlineStr">
        <is>
          <t>Swiss EdTech Collider</t>
        </is>
      </c>
      <c r="I171" s="1" t="inlineStr">
        <is>
          <t>English, French, Spanish, Italian, German</t>
        </is>
      </c>
      <c r="J171" s="1" t="inlineStr">
        <is>
          <t>Zürich</t>
        </is>
      </c>
      <c r="K171" t="inlineStr">
        <is>
          <t>Zürich</t>
        </is>
      </c>
      <c r="L171" t="inlineStr">
        <is>
          <t>Zürich, Switzerland</t>
        </is>
      </c>
      <c r="M171" t="n">
        <v>47.3744489</v>
      </c>
      <c r="N171" t="n">
        <v>8.5410422</v>
      </c>
      <c r="O171" s="1" t="inlineStr">
        <is>
          <t>Switzerland</t>
        </is>
      </c>
      <c r="P171" s="1" t="inlineStr">
        <is>
          <t>France, Germany, Switzerland, Italy</t>
        </is>
      </c>
      <c r="Q171" s="1" t="inlineStr">
        <is>
          <t>Small (10-49 FTE employees)</t>
        </is>
      </c>
      <c r="R171" t="inlineStr">
        <is>
          <t>Small</t>
        </is>
      </c>
      <c r="S171" s="1" t="inlineStr">
        <is>
          <t>Business to Business, Business to Schools</t>
        </is>
      </c>
      <c r="T171" s="1" t="inlineStr">
        <is>
          <t>Vocational Education and Training (VET), Higher Education, Corporate Training, Lifelong learning/Adult education, Special Education</t>
        </is>
      </c>
      <c r="U171" s="1" t="inlineStr">
        <is>
          <t>Student interfacing, System/Administrative</t>
        </is>
      </c>
      <c r="V171" s="1" t="inlineStr">
        <is>
          <t>ELEVER App</t>
        </is>
      </c>
      <c r="W171" s="1" t="inlineStr">
        <is>
          <t>Transforming learning routines and establishing lasting habits.
Playfully and with a mobile app.</t>
        </is>
      </c>
      <c r="X171" s="10" t="inlineStr">
        <is>
          <t>ELEVER Model of Support (EMS)</t>
        </is>
      </c>
      <c r="Y171" t="inlineStr">
        <is>
          <t>We strengthen organizations in the education sector with playful and tailored learning solutions that promote sustainable habits; supported by AI and a proven project management approach to make that change happen.</t>
        </is>
      </c>
      <c r="Z171" s="1" t="n"/>
      <c r="AA171" s="1" t="inlineStr">
        <is>
          <t>Unverified</t>
        </is>
      </c>
      <c r="AB171" s="1" t="inlineStr">
        <is>
          <t>Project consortium building, Industry-academia partnerships</t>
        </is>
      </c>
      <c r="AC171" s="1" t="inlineStr">
        <is>
          <t>For-profit company</t>
        </is>
      </c>
      <c r="AD171" s="1" t="b">
        <v>1</v>
      </c>
      <c r="AE171" s="1" t="b">
        <v>1</v>
      </c>
      <c r="AF171" s="1" t="inlineStr">
        <is>
          <t>Yes</t>
        </is>
      </c>
      <c r="AG171" s="1" t="inlineStr">
        <is>
          <t>https://www.linkedin.com/company/elever</t>
        </is>
      </c>
      <c r="AH171" s="1" t="inlineStr">
        <is>
          <t>https://www.linkedin.com/company/elever</t>
        </is>
      </c>
      <c r="AI171" s="1" t="inlineStr">
        <is>
          <t>https://www.linkedin.com/company/elever</t>
        </is>
      </c>
      <c r="AJ171" s="1" t="n"/>
    </row>
    <row r="172" ht="12.5" customHeight="1">
      <c r="A172" s="6" t="n">
        <v>45840</v>
      </c>
      <c r="B172" s="1" t="inlineStr">
        <is>
          <t>ORG_1281</t>
        </is>
      </c>
      <c r="C172" s="1" t="b">
        <v>1</v>
      </c>
      <c r="D172" s="1" t="inlineStr">
        <is>
          <t>Collaboration Laboratory</t>
        </is>
      </c>
      <c r="E172" s="10" t="inlineStr">
        <is>
          <t>https://www.collaborationlaboratory.com/</t>
        </is>
      </c>
      <c r="F172" t="inlineStr">
        <is>
          <t>collaborationlaboratory.com</t>
        </is>
      </c>
      <c r="G172" s="1" t="inlineStr">
        <is>
          <t>CoLab is an award winning online programme that combines live coaching with immersive games, discussions and escape rooms to teach kids the skills they need for life.</t>
        </is>
      </c>
      <c r="H172" s="1" t="inlineStr">
        <is>
          <t>DOHE</t>
        </is>
      </c>
      <c r="I172" s="1" t="inlineStr">
        <is>
          <t>English</t>
        </is>
      </c>
      <c r="J172" s="1" t="inlineStr">
        <is>
          <t>London</t>
        </is>
      </c>
      <c r="K172" t="inlineStr">
        <is>
          <t>London</t>
        </is>
      </c>
      <c r="L172" t="inlineStr">
        <is>
          <t>London, United Kingdom</t>
        </is>
      </c>
      <c r="M172" t="n">
        <v>51.5074456</v>
      </c>
      <c r="N172" t="n">
        <v>-0.1277653</v>
      </c>
      <c r="O172" s="1" t="inlineStr">
        <is>
          <t>United Kingdom</t>
        </is>
      </c>
      <c r="P172" s="1" t="inlineStr">
        <is>
          <t>Belgium, Bulgaria, Italy, Netherlands, United Kingdom, Ukraine</t>
        </is>
      </c>
      <c r="Q172" s="1" t="inlineStr">
        <is>
          <t>Small (10-49 FTE employees)</t>
        </is>
      </c>
      <c r="R172" t="inlineStr">
        <is>
          <t>Small</t>
        </is>
      </c>
      <c r="S172" s="1" t="inlineStr">
        <is>
          <t>Business to Consumer, Business to Schools</t>
        </is>
      </c>
      <c r="T172" s="1" t="inlineStr">
        <is>
          <t>Primary Education, Special Education</t>
        </is>
      </c>
      <c r="U172" s="1" t="inlineStr">
        <is>
          <t>Student interfacing</t>
        </is>
      </c>
      <c r="V172" s="10" t="inlineStr">
        <is>
          <t>CoLab</t>
        </is>
      </c>
      <c r="W172" s="1" t="inlineStr">
        <is>
          <t>1 hour a week online session with 2 live coaches that supercharge your child's social, emotional and strategic skills.</t>
        </is>
      </c>
      <c r="X172" s="10" t="n"/>
      <c r="Z172" s="1" t="n"/>
      <c r="AA172" s="1" t="inlineStr">
        <is>
          <t>Unverified</t>
        </is>
      </c>
      <c r="AB172" s="1" t="inlineStr">
        <is>
          <t>Collaborations between EdTech organisations, Public-private partnerships</t>
        </is>
      </c>
      <c r="AC172" s="1" t="inlineStr">
        <is>
          <t>For-profit company</t>
        </is>
      </c>
      <c r="AD172" s="1" t="b">
        <v>1</v>
      </c>
      <c r="AE172" s="1" t="b">
        <v>1</v>
      </c>
      <c r="AF172" s="1" t="inlineStr">
        <is>
          <t>Yes</t>
        </is>
      </c>
      <c r="AG172" s="1" t="inlineStr">
        <is>
          <t>https://www.instagram.com/colab_global_/</t>
        </is>
      </c>
      <c r="AH172" s="1" t="inlineStr">
        <is>
          <t>https://www.linkedin.com/company/collaboration</t>
        </is>
      </c>
      <c r="AI172" s="1" t="inlineStr">
        <is>
          <t>https://www.linkedin.com/company/collaboration</t>
        </is>
      </c>
      <c r="AJ172" s="1" t="n"/>
    </row>
    <row r="173" ht="12.5" customHeight="1">
      <c r="A173" s="6" t="n">
        <v>45840</v>
      </c>
      <c r="B173" s="1" t="inlineStr">
        <is>
          <t>ORG_1735</t>
        </is>
      </c>
      <c r="C173" s="1" t="b">
        <v>1</v>
      </c>
      <c r="D173" s="1" t="inlineStr">
        <is>
          <t>Intuition RT</t>
        </is>
      </c>
      <c r="E173" s="10" t="inlineStr">
        <is>
          <t>ilorobot.com</t>
        </is>
      </c>
      <c r="F173" t="inlineStr">
        <is>
          <t>ilorobot.com</t>
        </is>
      </c>
      <c r="G173" s="1" t="inlineStr">
        <is>
          <t>Robots for education, helping to develop STEM knowledge from the younger age to engineering level.</t>
        </is>
      </c>
      <c r="H173" s="1" t="inlineStr">
        <is>
          <t>EdTech France</t>
        </is>
      </c>
      <c r="I173" s="1" t="inlineStr">
        <is>
          <t>French, English, Spanish</t>
        </is>
      </c>
      <c r="J173" s="1" t="inlineStr">
        <is>
          <t>Rennes</t>
        </is>
      </c>
      <c r="K173" t="inlineStr">
        <is>
          <t>Rennes</t>
        </is>
      </c>
      <c r="L173" t="inlineStr">
        <is>
          <t>Rennes, France</t>
        </is>
      </c>
      <c r="M173" t="n">
        <v>48.1113387</v>
      </c>
      <c r="N173" t="n">
        <v>-1.6800198</v>
      </c>
      <c r="O173" s="1" t="inlineStr">
        <is>
          <t>France</t>
        </is>
      </c>
      <c r="P173" s="1" t="inlineStr">
        <is>
          <t>France</t>
        </is>
      </c>
      <c r="Q173" s="1" t="inlineStr">
        <is>
          <t>Micro (1-9 FTE employees)</t>
        </is>
      </c>
      <c r="R173" t="inlineStr">
        <is>
          <t>Micro</t>
        </is>
      </c>
      <c r="S173" s="1" t="inlineStr">
        <is>
          <t>Business to Business, Business to Consumer, Business to Schools, Business to Government</t>
        </is>
      </c>
      <c r="T173" s="1" t="inlineStr">
        <is>
          <t>Early childhood development (0-5 years), Primary Education, Secondary Education, Higher Education, Special Education</t>
        </is>
      </c>
      <c r="U173" s="1" t="inlineStr">
        <is>
          <t>Teacher interfacing, Student interfacing</t>
        </is>
      </c>
      <c r="V173" s="1" t="inlineStr">
        <is>
          <t>ilo robot</t>
        </is>
      </c>
      <c r="W173" s="1" t="inlineStr">
        <is>
          <t>ilo is the best tool to develop STEM from zero to hero.</t>
        </is>
      </c>
      <c r="X173" s="10" t="n"/>
      <c r="Z173" s="1" t="n"/>
      <c r="AA173" s="1" t="inlineStr">
        <is>
          <t>Unverified</t>
        </is>
      </c>
      <c r="AB173" s="1" t="inlineStr">
        <is>
          <t>Project consortium building, Collaborations between EdTech organisations</t>
        </is>
      </c>
      <c r="AC173" s="1" t="inlineStr">
        <is>
          <t>For-profit company</t>
        </is>
      </c>
      <c r="AD173" s="1" t="b">
        <v>1</v>
      </c>
      <c r="AE173" s="1" t="b">
        <v>1</v>
      </c>
      <c r="AF173" s="1" t="inlineStr">
        <is>
          <t>Yes</t>
        </is>
      </c>
      <c r="AG173" s="1" t="inlineStr">
        <is>
          <t>https://www.linkedin.com/company/ilorobot/</t>
        </is>
      </c>
      <c r="AH173" s="1" t="inlineStr">
        <is>
          <t>https://www.linkedin.com/company/ilorobot/</t>
        </is>
      </c>
      <c r="AI173" s="1" t="inlineStr">
        <is>
          <t>https://www.linkedin.com/company/ilorobot/</t>
        </is>
      </c>
      <c r="AJ173" s="1" t="n"/>
    </row>
    <row r="174" ht="12.5" customHeight="1">
      <c r="A174" s="6" t="n">
        <v>45840</v>
      </c>
      <c r="B174" s="1" t="inlineStr">
        <is>
          <t>ORG_1044</t>
        </is>
      </c>
      <c r="C174" s="1" t="b">
        <v>1</v>
      </c>
      <c r="D174" s="1" t="inlineStr">
        <is>
          <t>AIUC</t>
        </is>
      </c>
      <c r="E174" s="10" t="inlineStr">
        <is>
          <t>https://www.aiuc.se</t>
        </is>
      </c>
      <c r="F174" t="inlineStr">
        <is>
          <t>aiuc.se</t>
        </is>
      </c>
      <c r="G174" s="1" t="inlineStr">
        <is>
          <t>AI Utbildningscentrum (AIUC) is a training provider specializing in AI education for workplaces and the education sector. Our courses are designed to make AI accessible and practical, helping participants integrate AI tools into their daily work and teaching. With offerings ranging from beginner-level introductions to tailored corporate training, we aim to bridge the gap between technology and real-world applications. Based in Sweden, AIUC supports professionals and educators in navigating the opportunities and challenges of AI.</t>
        </is>
      </c>
      <c r="H174" s="1" t="inlineStr">
        <is>
          <t>Swedish EdTech Industry</t>
        </is>
      </c>
      <c r="I174" s="1" t="n"/>
      <c r="J174" s="1" t="inlineStr">
        <is>
          <t>Stockholm</t>
        </is>
      </c>
      <c r="K174" t="inlineStr">
        <is>
          <t>Stockholm</t>
        </is>
      </c>
      <c r="L174" t="inlineStr">
        <is>
          <t>Stockholm, Sweden</t>
        </is>
      </c>
      <c r="M174" t="n">
        <v>59.3251172</v>
      </c>
      <c r="N174" t="n">
        <v>18.0710935</v>
      </c>
      <c r="O174" s="1" t="inlineStr">
        <is>
          <t>Sweden</t>
        </is>
      </c>
      <c r="P174" s="1" t="inlineStr">
        <is>
          <t>Sweden</t>
        </is>
      </c>
      <c r="Q174" s="1" t="inlineStr">
        <is>
          <t>Micro (1-9 FTE employees)</t>
        </is>
      </c>
      <c r="R174" t="inlineStr">
        <is>
          <t>Micro</t>
        </is>
      </c>
      <c r="S174" s="1" t="inlineStr">
        <is>
          <t>Business to Business, Business to Government, Business to Schools</t>
        </is>
      </c>
      <c r="T174" s="1" t="inlineStr">
        <is>
          <t>Corporate Training</t>
        </is>
      </c>
      <c r="U174" s="1" t="inlineStr">
        <is>
          <t>System/Administrative, Teacher interfacing, Student interfacing</t>
        </is>
      </c>
      <c r="V174" s="1" t="inlineStr">
        <is>
          <t>AI for Educators</t>
        </is>
      </c>
      <c r="W174" s="1" t="inlineStr">
        <is>
          <t>This course is designed for teachers and school leaders who want to integrate AI into their teaching practices. Participants learn how to use AI tools to create personalized learning materials, streamline administrative tasks, and enhance student engagement. The course combines practical workshops w</t>
        </is>
      </c>
      <c r="X174" s="10" t="inlineStr">
        <is>
          <t>AI for Administrative Efficiency in Education</t>
        </is>
      </c>
      <c r="Y174" t="inlineStr">
        <is>
          <t>This course is tailored for education professionals and administrators seeking to improve efficiency through AI. Participants explore how AI tools can streamline tasks such as scheduling, data management, and communication within educational institutions.</t>
        </is>
      </c>
      <c r="Z174" s="1" t="n"/>
      <c r="AA174" s="1" t="inlineStr">
        <is>
          <t>Unverified</t>
        </is>
      </c>
      <c r="AB174" s="1" t="inlineStr">
        <is>
          <t>Industry-academia partnerships, Public-private partnerships, Project consortium building, Collaborations between EdTech organisations</t>
        </is>
      </c>
      <c r="AC174" s="1" t="inlineStr">
        <is>
          <t>For-profit company</t>
        </is>
      </c>
      <c r="AD174" s="1" t="b">
        <v>1</v>
      </c>
      <c r="AE174" s="1" t="b">
        <v>1</v>
      </c>
      <c r="AF174" s="1" t="inlineStr">
        <is>
          <t>Yes</t>
        </is>
      </c>
      <c r="AG174" s="1" t="inlineStr">
        <is>
          <t>http://linkedin.com/company/aiucse</t>
        </is>
      </c>
      <c r="AH174" s="1" t="inlineStr">
        <is>
          <t>http://linkedin.com/company/aiucse</t>
        </is>
      </c>
      <c r="AI174" s="1" t="inlineStr">
        <is>
          <t>http://linkedin.com/company/aiucse</t>
        </is>
      </c>
      <c r="AJ174" s="1" t="n"/>
    </row>
    <row r="175" ht="12.5" customHeight="1">
      <c r="A175" s="6" t="n">
        <v>45840</v>
      </c>
      <c r="B175" s="1" t="inlineStr">
        <is>
          <t>ORG_1452</t>
        </is>
      </c>
      <c r="C175" s="1" t="b">
        <v>1</v>
      </c>
      <c r="D175" s="1" t="inlineStr">
        <is>
          <t>Edumus</t>
        </is>
      </c>
      <c r="E175" s="10" t="inlineStr">
        <is>
          <t>https://about.edumus.org/</t>
        </is>
      </c>
      <c r="F175" t="inlineStr">
        <is>
          <t>about.edumus.org</t>
        </is>
      </c>
      <c r="G175" s="1" t="inlineStr">
        <is>
          <t>Edumus offers modern and interesting online courses taught by practitioners. Live online classes, practical tasks and students with similar interests – at Edumus, high school students can learn 21st century skills and get the course accounted as an elective at their school!</t>
        </is>
      </c>
      <c r="H175" s="1" t="inlineStr">
        <is>
          <t>EdTech Estonia</t>
        </is>
      </c>
      <c r="I175" s="1" t="inlineStr">
        <is>
          <t>English, Estonian</t>
        </is>
      </c>
      <c r="J175" s="1" t="inlineStr">
        <is>
          <t>Tallinn</t>
        </is>
      </c>
      <c r="K175" t="inlineStr">
        <is>
          <t>Tallinn</t>
        </is>
      </c>
      <c r="L175" t="inlineStr">
        <is>
          <t>Tallinn, Estonia</t>
        </is>
      </c>
      <c r="M175" t="n">
        <v>59.437242</v>
      </c>
      <c r="N175" t="n">
        <v>24.7572693</v>
      </c>
      <c r="O175" s="1" t="inlineStr">
        <is>
          <t>Estonia</t>
        </is>
      </c>
      <c r="P175" s="1" t="inlineStr">
        <is>
          <t>Estonia</t>
        </is>
      </c>
      <c r="Q175" s="1" t="inlineStr">
        <is>
          <t>Micro (1-9 FTE employees)</t>
        </is>
      </c>
      <c r="R175" t="inlineStr">
        <is>
          <t>Micro</t>
        </is>
      </c>
      <c r="S175" s="1" t="inlineStr">
        <is>
          <t>Business to Consumer, Business to Schools</t>
        </is>
      </c>
      <c r="T175" s="1" t="inlineStr">
        <is>
          <t>Secondary Education, Vocational Education and Training (VET)</t>
        </is>
      </c>
      <c r="U175" s="1" t="inlineStr">
        <is>
          <t>Student interfacing, System/Administrative</t>
        </is>
      </c>
      <c r="V175" s="1" t="inlineStr">
        <is>
          <t>Synchonous online courses</t>
        </is>
      </c>
      <c r="W175" s="1" t="inlineStr">
        <is>
          <t>Edumus offers expert-developed curricula combining interactive live classes and flexible self-directed learning materials. Our collaborative model, supported by pedagogical specialists, fairly compensates industry experts and companies contributing to course development.</t>
        </is>
      </c>
      <c r="X175" s="1" t="n"/>
      <c r="Z175" s="1" t="n"/>
      <c r="AA175" s="1" t="inlineStr">
        <is>
          <t>Unverified</t>
        </is>
      </c>
      <c r="AB175" s="1" t="inlineStr">
        <is>
          <t>Collaborations between EdTech organisations, Public-private partnerships, Industry-academia partnerships</t>
        </is>
      </c>
      <c r="AC175" s="1" t="inlineStr">
        <is>
          <t>For-profit company</t>
        </is>
      </c>
      <c r="AD175" s="1" t="b">
        <v>1</v>
      </c>
      <c r="AE175" s="1" t="b">
        <v>1</v>
      </c>
      <c r="AF175" s="1" t="inlineStr">
        <is>
          <t>No</t>
        </is>
      </c>
      <c r="AG175" s="1" t="n"/>
      <c r="AH175" s="1" t="n"/>
      <c r="AI175" s="1" t="n"/>
      <c r="AJ175" s="1" t="n"/>
    </row>
    <row r="176" ht="12.5" customHeight="1">
      <c r="A176" s="6" t="n">
        <v>45840</v>
      </c>
      <c r="B176" s="1" t="inlineStr">
        <is>
          <t>ORG_1506</t>
        </is>
      </c>
      <c r="C176" s="1" t="b">
        <v>1</v>
      </c>
      <c r="D176" s="1" t="inlineStr">
        <is>
          <t>Epistemes</t>
        </is>
      </c>
      <c r="E176" s="10" t="inlineStr">
        <is>
          <t>www.epistemes-formation.fr</t>
        </is>
      </c>
      <c r="F176" t="inlineStr">
        <is>
          <t>epistemes-formation.fr</t>
        </is>
      </c>
      <c r="G176" s="1" t="inlineStr">
        <is>
          <t>Epistemes designs educational virtual and immersive (XR) environments that assess and analyze learner behavior through its R&amp;D work in cognitive sciences in partnership with research laboratories.</t>
        </is>
      </c>
      <c r="H176" s="1" t="inlineStr">
        <is>
          <t>EdTech France</t>
        </is>
      </c>
      <c r="I176" s="1" t="inlineStr">
        <is>
          <t>English, German, French, Italian, Spanish</t>
        </is>
      </c>
      <c r="J176" s="1" t="inlineStr">
        <is>
          <t>Bages</t>
        </is>
      </c>
      <c r="K176" t="inlineStr">
        <is>
          <t>Bages</t>
        </is>
      </c>
      <c r="L176" t="inlineStr">
        <is>
          <t>Bages, France</t>
        </is>
      </c>
      <c r="M176" t="n">
        <v>43.1236647</v>
      </c>
      <c r="N176" t="n">
        <v>2.9924502</v>
      </c>
      <c r="O176" s="1" t="inlineStr">
        <is>
          <t>France</t>
        </is>
      </c>
      <c r="P176" s="1" t="inlineStr">
        <is>
          <t>France, Italy, Ireland, Greece, Germany, Luxembourg, Portugal, Spain</t>
        </is>
      </c>
      <c r="Q176" s="1" t="inlineStr">
        <is>
          <t>Micro (1-9 FTE employees)</t>
        </is>
      </c>
      <c r="R176" t="inlineStr">
        <is>
          <t>Micro</t>
        </is>
      </c>
      <c r="S176" s="1" t="inlineStr">
        <is>
          <t>Business to Business, Business to Government, Business to Schools</t>
        </is>
      </c>
      <c r="T176" s="1" t="inlineStr">
        <is>
          <t>Special Education, Lifelong learning/Adult education, Corporate Training, Higher Education, Vocational Education and Training (VET), Secondary Education</t>
        </is>
      </c>
      <c r="U176" s="1" t="inlineStr">
        <is>
          <t>Student interfacing, Teacher interfacing, System/Administrative</t>
        </is>
      </c>
      <c r="V176" s="1" t="inlineStr">
        <is>
          <t>Virtual reality simulator for repairing electric cars</t>
        </is>
      </c>
      <c r="W176" s="1" t="inlineStr">
        <is>
          <t>Epistemes has designed a customized, immersive training program for Norauto France to teach maintenance and repair of electric car cooling systems. The program aims to train 500 mechanics over the next three years.</t>
        </is>
      </c>
      <c r="X176" s="10" t="inlineStr">
        <is>
          <t>Navalia</t>
        </is>
      </c>
      <c r="Y176" t="inlineStr">
        <is>
          <t>Epistemes has designed a tailor-made and immersive training program for the University of Perpignan with the aim of training Master's students in archaeology in the recognition of the components of a Roman boat and in its construction using the tools and assembly techniques of the time.</t>
        </is>
      </c>
      <c r="Z176" s="1" t="n"/>
      <c r="AA176" s="1" t="inlineStr">
        <is>
          <t>Unverified</t>
        </is>
      </c>
      <c r="AB176" s="1" t="inlineStr">
        <is>
          <t>Collaborations between EdTech organisations, Project consortium building, Public-private partnerships, Industry-academia partnerships</t>
        </is>
      </c>
      <c r="AC176" s="1" t="inlineStr">
        <is>
          <t>For-profit company</t>
        </is>
      </c>
      <c r="AD176" s="1" t="b">
        <v>1</v>
      </c>
      <c r="AE176" s="1" t="b">
        <v>1</v>
      </c>
      <c r="AF176" s="1" t="inlineStr">
        <is>
          <t>Yes</t>
        </is>
      </c>
      <c r="AG176" s="1" t="inlineStr">
        <is>
          <t>https://www.linkedin.com/company/episteme</t>
        </is>
      </c>
      <c r="AH176" s="1" t="inlineStr">
        <is>
          <t>https://www.linkedin.com/company/episteme</t>
        </is>
      </c>
      <c r="AI176" s="1" t="inlineStr">
        <is>
          <t>https://www.linkedin.com/company/episteme</t>
        </is>
      </c>
      <c r="AJ176" s="1" t="n"/>
    </row>
    <row r="177" ht="12.5" customHeight="1">
      <c r="A177" s="6" t="n">
        <v>45840</v>
      </c>
      <c r="B177" s="1" t="inlineStr">
        <is>
          <t>ORG_2538</t>
        </is>
      </c>
      <c r="C177" s="1" t="b">
        <v>1</v>
      </c>
      <c r="D177" s="1" t="inlineStr">
        <is>
          <t>Wiris</t>
        </is>
      </c>
      <c r="E177" s="10" t="inlineStr">
        <is>
          <t>www.wiris.com</t>
        </is>
      </c>
      <c r="F177" t="inlineStr">
        <is>
          <t>wiris.com</t>
        </is>
      </c>
      <c r="G177" s="1" t="inlineStr">
        <is>
          <t>Providers of STEM solutions for Academic institutions, Publishers and EdTech companies</t>
        </is>
      </c>
      <c r="H177" s="1" t="inlineStr">
        <is>
          <t>EduTech Cluster Spain</t>
        </is>
      </c>
      <c r="I177" s="1" t="inlineStr">
        <is>
          <t>English, French, Spanish, Italian, German, Chinese</t>
        </is>
      </c>
      <c r="J177" s="1" t="inlineStr">
        <is>
          <t>Barcelona</t>
        </is>
      </c>
      <c r="K177" t="inlineStr">
        <is>
          <t>Barcelona</t>
        </is>
      </c>
      <c r="L177" t="inlineStr">
        <is>
          <t>Barcelona, Spain</t>
        </is>
      </c>
      <c r="M177" t="n">
        <v>41.3825802</v>
      </c>
      <c r="N177" t="n">
        <v>2.177073</v>
      </c>
      <c r="O177" s="1" t="inlineStr">
        <is>
          <t>Spain</t>
        </is>
      </c>
      <c r="P177" s="1" t="inlineStr">
        <is>
          <t>Albania, Andorra, Austria, Bosnia and Herzegovina, Belgium, Belarus, Bulgaria, Croatia, Republic of Cyprus, Estonia, Germany, Iceland, Kosovo, Lithuania, Moldova, Denmark, Czechia, Finland, France, Hungary, Greece, Ireland, Italy, Latvia, Liechtenstein, Luxembourg, Malta, Monaco, Netherlands, Poland, Norway, North Macedonia, Montenegro, Portugal, Romania, San Marino, Spain, Slovenia, Slovakia, Sweden, Switzerland, Turkey, United Kingdom, Ukraine</t>
        </is>
      </c>
      <c r="Q177" s="1" t="inlineStr">
        <is>
          <t>Medium (50-250 FTE employees)</t>
        </is>
      </c>
      <c r="R177" t="inlineStr">
        <is>
          <t>Medium</t>
        </is>
      </c>
      <c r="S177" s="1" t="inlineStr">
        <is>
          <t>Business to Business, Business to Schools, Business to Consumer, Business to Government</t>
        </is>
      </c>
      <c r="T177" s="1" t="inlineStr">
        <is>
          <t>Secondary Education, Vocational Education and Training (VET), Higher Education</t>
        </is>
      </c>
      <c r="U177" s="1" t="inlineStr">
        <is>
          <t>Student interfacing, Teacher interfacing</t>
        </is>
      </c>
      <c r="V177" s="1" t="inlineStr">
        <is>
          <t>MathType</t>
        </is>
      </c>
      <c r="W177" s="1" t="inlineStr">
        <is>
          <t>MathType is the leading equation used by K-12 and university STEM students and faculty worldwide. Handwritting math at hand!
MathType smoothly integrates with Office 365 and Google Workspace but also in Moodle, Canvas, Blackboard or BrightSpace and other among many other LMS.</t>
        </is>
      </c>
      <c r="X177" s="10" t="inlineStr">
        <is>
          <t>Wiris Assessment</t>
        </is>
      </c>
      <c r="Y177" t="inlineStr">
        <is>
          <t>Build STEM assessments with equation, graph or text-based answers and automatically corrected. Dynamic questions with random parameters, thus supporting cheating prevention.
WirisQuizzes is the service name in Moodle, Canvas or Blackboard.
LearningLemur is the solution for Google Classroom.</t>
        </is>
      </c>
      <c r="Z177" s="1" t="n"/>
      <c r="AA177" s="1" t="inlineStr">
        <is>
          <t>Unverified</t>
        </is>
      </c>
      <c r="AB177" s="1" t="inlineStr">
        <is>
          <t>Project consortium building, Public-private partnerships, Collaborations between EdTech organisations, Industry-academia partnerships</t>
        </is>
      </c>
      <c r="AC177" s="1" t="inlineStr">
        <is>
          <t>For-profit company</t>
        </is>
      </c>
      <c r="AD177" s="1" t="b">
        <v>1</v>
      </c>
      <c r="AE177" s="1" t="b">
        <v>1</v>
      </c>
      <c r="AF177" s="1" t="inlineStr">
        <is>
          <t>Yes</t>
        </is>
      </c>
      <c r="AG177" s="1" t="inlineStr">
        <is>
          <t>https://www.linkedin.com/company/maths</t>
        </is>
      </c>
      <c r="AH177" s="1" t="inlineStr">
        <is>
          <t>https://www.linkedin.com/company/maths</t>
        </is>
      </c>
      <c r="AI177" s="1" t="inlineStr">
        <is>
          <t>https://www.linkedin.com/company/maths</t>
        </is>
      </c>
      <c r="AJ177" s="1" t="n"/>
    </row>
    <row r="178" ht="12.5" customHeight="1">
      <c r="A178" s="6" t="n">
        <v>45840</v>
      </c>
      <c r="B178" s="1" t="inlineStr">
        <is>
          <t>ORG_1949</t>
        </is>
      </c>
      <c r="C178" s="1" t="b">
        <v>1</v>
      </c>
      <c r="D178" s="1" t="inlineStr">
        <is>
          <t>MemoryLab</t>
        </is>
      </c>
      <c r="E178" s="10" t="inlineStr">
        <is>
          <t>www.memorylab.nl</t>
        </is>
      </c>
      <c r="F178" t="inlineStr">
        <is>
          <t>memorylab.nl</t>
        </is>
      </c>
      <c r="G178" s="1" t="inlineStr">
        <is>
          <t>MemoryLab transforms education by tracking students’ digital learning interactions to optimize learning and quantify knowledge with precision. Our adaptive system, grounded in cognitive science and powered by proprietary knowledge tracing algorithms, increases engagement and removes the need for traditional exams. We focus on fundamental declarative knowledge—the core facts and concepts essential for deeper learning. By tailoring learning to each individual’s pace and needs, we create an inclusive, low-stress environment where every student can thrive. Backed by our own scientific research and validated in real classrooms, MemoryLab ensures that learning is both effective and evidence-based.</t>
        </is>
      </c>
      <c r="H178" s="1" t="inlineStr">
        <is>
          <t>EDUvation</t>
        </is>
      </c>
      <c r="I178" s="1" t="inlineStr">
        <is>
          <t>English, German, Italian, French, Spanish, All</t>
        </is>
      </c>
      <c r="J178" s="1" t="inlineStr">
        <is>
          <t>Groningen</t>
        </is>
      </c>
      <c r="K178" t="inlineStr">
        <is>
          <t>Groningen</t>
        </is>
      </c>
      <c r="L178" t="inlineStr">
        <is>
          <t>Groningen, The Netherlands</t>
        </is>
      </c>
      <c r="M178" t="n">
        <v>53.1974568</v>
      </c>
      <c r="N178" t="n">
        <v>6.5225217</v>
      </c>
      <c r="O178" s="1" t="inlineStr">
        <is>
          <t>The Netherlands</t>
        </is>
      </c>
      <c r="P178" s="1" t="inlineStr">
        <is>
          <t>Belgium, Germany, Netherlands, United Kingdom, Austria, Sweden, Switzerland, United States of America</t>
        </is>
      </c>
      <c r="Q178" s="1" t="inlineStr">
        <is>
          <t>Small (10-49 FTE employees)</t>
        </is>
      </c>
      <c r="R178" t="inlineStr">
        <is>
          <t>Small</t>
        </is>
      </c>
      <c r="S178" s="1" t="inlineStr">
        <is>
          <t>Business to Business, Business to Schools</t>
        </is>
      </c>
      <c r="T178" s="1" t="inlineStr">
        <is>
          <t>Secondary Education, Vocational Education and Training (VET), Higher Education, Corporate Training, Lifelong learning/Adult education, Special Education</t>
        </is>
      </c>
      <c r="U178" s="1" t="inlineStr">
        <is>
          <t>Student interfacing, Teacher interfacing</t>
        </is>
      </c>
      <c r="V178" s="1" t="n"/>
      <c r="W178" s="1" t="n"/>
      <c r="X178" s="1" t="n"/>
      <c r="Z178" s="1" t="n"/>
      <c r="AA178" s="1" t="inlineStr">
        <is>
          <t>Unverified</t>
        </is>
      </c>
      <c r="AB178" s="1" t="inlineStr">
        <is>
          <t>Collaborations between EdTech organisations, Project consortium building, Industry-academia partnerships</t>
        </is>
      </c>
      <c r="AC178" s="1" t="inlineStr">
        <is>
          <t>For-profit company</t>
        </is>
      </c>
      <c r="AD178" s="1" t="b">
        <v>1</v>
      </c>
      <c r="AE178" s="1" t="b">
        <v>0</v>
      </c>
      <c r="AF178" s="1" t="inlineStr">
        <is>
          <t>No</t>
        </is>
      </c>
      <c r="AG178" s="1" t="n"/>
      <c r="AH178" s="1" t="n"/>
      <c r="AI178" s="1" t="n"/>
    </row>
    <row r="179" ht="12.5" customHeight="1">
      <c r="A179" s="6" t="n">
        <v>45840</v>
      </c>
      <c r="B179" s="1" t="inlineStr">
        <is>
          <t>ORG_1475</t>
        </is>
      </c>
      <c r="C179" s="1" t="b">
        <v>1</v>
      </c>
      <c r="D179" s="1" t="inlineStr">
        <is>
          <t>Eindexamensite</t>
        </is>
      </c>
      <c r="E179" s="10" t="inlineStr">
        <is>
          <t>https://eindexamensite.nl</t>
        </is>
      </c>
      <c r="F179" t="inlineStr">
        <is>
          <t>eindexamensite.nl</t>
        </is>
      </c>
      <c r="G179" s="1" t="inlineStr">
        <is>
          <t>Eindexamensite is a digital exam trainer and helps teachers prepare their students for the end-of-year-test in Dutch secondary education</t>
        </is>
      </c>
      <c r="H179" s="1" t="inlineStr">
        <is>
          <t>Dutch EdTech</t>
        </is>
      </c>
      <c r="I179" s="1" t="inlineStr">
        <is>
          <t>Dutch</t>
        </is>
      </c>
      <c r="J179" s="1" t="inlineStr">
        <is>
          <t>Utrecht</t>
        </is>
      </c>
      <c r="K179" t="inlineStr">
        <is>
          <t>Utrecht</t>
        </is>
      </c>
      <c r="L179" t="inlineStr">
        <is>
          <t>Utrecht, The Netherlands</t>
        </is>
      </c>
      <c r="M179" t="n">
        <v>52.0906195</v>
      </c>
      <c r="N179" t="n">
        <v>5.1119709</v>
      </c>
      <c r="O179" s="1" t="inlineStr">
        <is>
          <t>The Netherlands</t>
        </is>
      </c>
      <c r="P179" s="1" t="inlineStr">
        <is>
          <t>Netherlands</t>
        </is>
      </c>
      <c r="Q179" s="1" t="inlineStr">
        <is>
          <t>Micro (1-9 FTE employees)</t>
        </is>
      </c>
      <c r="R179" t="inlineStr">
        <is>
          <t>Micro</t>
        </is>
      </c>
      <c r="S179" s="1" t="inlineStr">
        <is>
          <t>Business to Schools</t>
        </is>
      </c>
      <c r="T179" s="1" t="inlineStr">
        <is>
          <t>Secondary Education</t>
        </is>
      </c>
      <c r="U179" s="1" t="inlineStr">
        <is>
          <t>Student interfacing, Teacher interfacing</t>
        </is>
      </c>
      <c r="V179" s="1" t="inlineStr">
        <is>
          <t>Digital exam trainer</t>
        </is>
      </c>
      <c r="W179" s="1" t="inlineStr">
        <is>
          <t>Help teachers prepare students for yearly end-of-year test</t>
        </is>
      </c>
      <c r="X179" s="10" t="n"/>
      <c r="Z179" s="1" t="n"/>
      <c r="AA179" s="1" t="inlineStr">
        <is>
          <t>Unverified</t>
        </is>
      </c>
      <c r="AB179" s="1" t="n"/>
      <c r="AC179" s="1" t="inlineStr">
        <is>
          <t>For-profit company</t>
        </is>
      </c>
      <c r="AD179" s="1" t="b">
        <v>1</v>
      </c>
      <c r="AE179" s="1" t="b">
        <v>1</v>
      </c>
      <c r="AF179" s="1" t="inlineStr">
        <is>
          <t>Yes</t>
        </is>
      </c>
      <c r="AG179" s="1" t="inlineStr">
        <is>
          <t>https://www.linkedin.com/company/eindexamensite/</t>
        </is>
      </c>
      <c r="AH179" s="1" t="inlineStr">
        <is>
          <t>https://www.linkedin.com/company/eindexamensite/</t>
        </is>
      </c>
      <c r="AI179" s="1" t="inlineStr">
        <is>
          <t>https://www.linkedin.com/company/eindexamensite/</t>
        </is>
      </c>
    </row>
    <row r="180" ht="12.5" customHeight="1">
      <c r="A180" s="6" t="n">
        <v>45840</v>
      </c>
      <c r="B180" s="1" t="inlineStr">
        <is>
          <t>ORG_1541</t>
        </is>
      </c>
      <c r="C180" s="1" t="b">
        <v>1</v>
      </c>
      <c r="D180" s="1" t="inlineStr">
        <is>
          <t>EXOCLASS</t>
        </is>
      </c>
      <c r="E180" s="10" t="inlineStr">
        <is>
          <t>Exoclass.io</t>
        </is>
      </c>
      <c r="F180" t="inlineStr">
        <is>
          <t>exoclass.io</t>
        </is>
      </c>
      <c r="G180" s="1" t="inlineStr">
        <is>
          <t>EXOCLASS is a software that serves educational service providers reduce admin work to a minimum. It collects payments and registrations, automates communication, provides a customer portal, tracks attendance and provides analytical insights. It’s a game-changer for any organisation that wants to scale</t>
        </is>
      </c>
      <c r="H180" s="1" t="inlineStr">
        <is>
          <t>I'm not part of any EdTech association</t>
        </is>
      </c>
      <c r="I180" s="1" t="inlineStr">
        <is>
          <t>English, German</t>
        </is>
      </c>
      <c r="J180" s="1" t="inlineStr">
        <is>
          <t>Kaunas</t>
        </is>
      </c>
      <c r="K180" t="inlineStr">
        <is>
          <t>Kaunas</t>
        </is>
      </c>
      <c r="L180" t="inlineStr">
        <is>
          <t>Kaunas, Lithuania</t>
        </is>
      </c>
      <c r="M180" t="n">
        <v>54.8982139</v>
      </c>
      <c r="N180" t="n">
        <v>23.9044817</v>
      </c>
      <c r="O180" s="1" t="inlineStr">
        <is>
          <t>Lithuania</t>
        </is>
      </c>
      <c r="P180" s="1" t="inlineStr">
        <is>
          <t>Ireland, Lithuania, Latvia, United, States</t>
        </is>
      </c>
      <c r="Q180" s="1" t="inlineStr">
        <is>
          <t>Micro (1-9 FTE employees)</t>
        </is>
      </c>
      <c r="R180" t="inlineStr">
        <is>
          <t>Micro</t>
        </is>
      </c>
      <c r="S180" s="1" t="inlineStr">
        <is>
          <t>Business to Business</t>
        </is>
      </c>
      <c r="T180" s="1" t="inlineStr">
        <is>
          <t>Lifelong learning/Adult education</t>
        </is>
      </c>
      <c r="U180" s="1" t="inlineStr">
        <is>
          <t>System/Administrative</t>
        </is>
      </c>
      <c r="V180" s="10" t="inlineStr">
        <is>
          <t>EXOCLASS</t>
        </is>
      </c>
      <c r="W180" s="1" t="inlineStr">
        <is>
          <t>Admin software for educational service providers</t>
        </is>
      </c>
      <c r="X180" s="10" t="n"/>
      <c r="Z180" s="1" t="n"/>
      <c r="AA180" s="1" t="inlineStr">
        <is>
          <t>Unverified</t>
        </is>
      </c>
      <c r="AB180" s="1" t="inlineStr">
        <is>
          <t>Collaborations between EdTech organisations</t>
        </is>
      </c>
      <c r="AC180" s="1" t="inlineStr">
        <is>
          <t>For-profit company</t>
        </is>
      </c>
      <c r="AD180" s="1" t="b">
        <v>1</v>
      </c>
      <c r="AE180" s="1" t="b">
        <v>0</v>
      </c>
      <c r="AF180" s="1" t="inlineStr">
        <is>
          <t>Yes</t>
        </is>
      </c>
      <c r="AG180" s="1" t="inlineStr">
        <is>
          <t>https://www.instagram.com/exoclass_com/</t>
        </is>
      </c>
      <c r="AH180" s="1" t="inlineStr">
        <is>
          <t>https://www.linkedin.com/company/exoclass</t>
        </is>
      </c>
      <c r="AI180" s="1" t="inlineStr">
        <is>
          <t>https://www.linkedin.com/company/exoclass</t>
        </is>
      </c>
      <c r="AJ180" s="1" t="n"/>
    </row>
    <row r="181" ht="12.5" customHeight="1">
      <c r="A181" s="6" t="n">
        <v>45840</v>
      </c>
      <c r="B181" s="1" t="inlineStr">
        <is>
          <t>ORG_1000</t>
        </is>
      </c>
      <c r="C181" s="1" t="b">
        <v>1</v>
      </c>
      <c r="D181" s="1" t="inlineStr">
        <is>
          <t>01Edu</t>
        </is>
      </c>
      <c r="E181" s="10" t="inlineStr">
        <is>
          <t>www.01edu.ai</t>
        </is>
      </c>
      <c r="F181" t="inlineStr">
        <is>
          <t>01edu.ai</t>
        </is>
      </c>
      <c r="G181" s="1" t="inlineStr">
        <is>
          <t>01Edu is a “peer-to-peer” and gamified pedagogic tech platform designed to select and train the best AI-ready coders in the world. It's based on co-creativity, peer-to-peer learning and collective intelligence. 01Edu.ai is powering 30 campuses in 14 countries globally</t>
        </is>
      </c>
      <c r="H181" s="1" t="inlineStr">
        <is>
          <t>I'm not part of any EdTech association</t>
        </is>
      </c>
      <c r="I181" s="1" t="inlineStr">
        <is>
          <t>English</t>
        </is>
      </c>
      <c r="J181" s="1" t="inlineStr">
        <is>
          <t>Madeira</t>
        </is>
      </c>
      <c r="K181" t="inlineStr">
        <is>
          <t>Madeira</t>
        </is>
      </c>
      <c r="L181" t="inlineStr">
        <is>
          <t>Madeira, Portugal</t>
        </is>
      </c>
      <c r="M181" t="n">
        <v>32.7517501</v>
      </c>
      <c r="N181" t="n">
        <v>-16.9817487</v>
      </c>
      <c r="O181" s="1" t="inlineStr">
        <is>
          <t>Portugal</t>
        </is>
      </c>
      <c r="P181" s="1" t="inlineStr">
        <is>
          <t>France, Greece, United Kingdom, Estonia, Portugal</t>
        </is>
      </c>
      <c r="Q181" s="1" t="inlineStr">
        <is>
          <t>Small (10-49 FTE employees)</t>
        </is>
      </c>
      <c r="R181" t="inlineStr">
        <is>
          <t>Small</t>
        </is>
      </c>
      <c r="S181" s="1" t="inlineStr">
        <is>
          <t>Business to Business, Business to Government, Business to Schools</t>
        </is>
      </c>
      <c r="T181" s="1" t="inlineStr">
        <is>
          <t>Vocational Education and Training (VET), Higher Education, Corporate Training, Secondary Education</t>
        </is>
      </c>
      <c r="U181" s="1" t="inlineStr">
        <is>
          <t>Student interfacing</t>
        </is>
      </c>
      <c r="V181" s="1" t="inlineStr">
        <is>
          <t>Full Stack AI-ready</t>
        </is>
      </c>
      <c r="W181" s="1" t="inlineStr">
        <is>
          <t>We're providing a transformational 2-year journey from zero to hero, without any prerequisite, to become an AI-ready full stack software developer. The learning on the 01Edu platform is teacherless (peer to peer), project-based and super immersive, and entirely gamified.</t>
        </is>
      </c>
      <c r="X181" s="10" t="inlineStr">
        <is>
          <t>AI.Starter piscine</t>
        </is>
      </c>
      <c r="Y181" t="inlineStr">
        <is>
          <t>The AI.Starter piscine is a 2-week digital acculturation journey for anyone who does not have any digital skill and who wants to be introduced to computational thinking, develop key behavioral skills and a mindset adapted to work with AI.</t>
        </is>
      </c>
      <c r="Z181" s="1" t="n"/>
      <c r="AA181" s="1" t="inlineStr">
        <is>
          <t>Unverified</t>
        </is>
      </c>
      <c r="AB181" s="1" t="inlineStr">
        <is>
          <t>Project consortium building, Public-private partnerships</t>
        </is>
      </c>
      <c r="AC181" s="1" t="inlineStr">
        <is>
          <t>For-profit company</t>
        </is>
      </c>
      <c r="AD181" s="1" t="b">
        <v>1</v>
      </c>
      <c r="AE181" s="1" t="b">
        <v>1</v>
      </c>
      <c r="AF181" s="1" t="inlineStr">
        <is>
          <t>Yes</t>
        </is>
      </c>
      <c r="AG181" s="1" t="inlineStr">
        <is>
          <t>https://www.linkedin.com/company/01edu/posts/?feedView=all</t>
        </is>
      </c>
      <c r="AH181" s="1" t="inlineStr">
        <is>
          <t>https://www.linkedin.com/company/01edu/posts/?feedView=all</t>
        </is>
      </c>
      <c r="AI181" s="1" t="inlineStr">
        <is>
          <t>https://www.linkedin.com/company/01edu/posts/?feedView=all</t>
        </is>
      </c>
      <c r="AJ181" s="1" t="n"/>
    </row>
    <row r="182" ht="12.5" customHeight="1">
      <c r="A182" s="6" t="n">
        <v>45840</v>
      </c>
      <c r="B182" s="1" t="inlineStr">
        <is>
          <t>ORG_2273</t>
        </is>
      </c>
      <c r="C182" s="1" t="b">
        <v>1</v>
      </c>
      <c r="D182" s="1" t="inlineStr">
        <is>
          <t>Slonig</t>
        </is>
      </c>
      <c r="E182" s="10" t="inlineStr">
        <is>
          <t>https://slonig.org</t>
        </is>
      </c>
      <c r="F182" t="inlineStr">
        <is>
          <t>slonig.org</t>
        </is>
      </c>
      <c r="G182" s="1" t="inlineStr">
        <is>
          <t>App for peer tutoring at classrooms</t>
        </is>
      </c>
      <c r="H182" s="1" t="inlineStr">
        <is>
          <t>I'm not part of any EdTech association</t>
        </is>
      </c>
      <c r="I182" s="1" t="inlineStr">
        <is>
          <t>English</t>
        </is>
      </c>
      <c r="J182" s="1" t="inlineStr">
        <is>
          <t>Kotor</t>
        </is>
      </c>
      <c r="K182" t="inlineStr">
        <is>
          <t>Kotor</t>
        </is>
      </c>
      <c r="L182" t="inlineStr">
        <is>
          <t>Kotor, Montenegro</t>
        </is>
      </c>
      <c r="M182" t="n">
        <v>42.4249205</v>
      </c>
      <c r="N182" t="n">
        <v>18.7713332</v>
      </c>
      <c r="O182" s="1" t="inlineStr">
        <is>
          <t>Montenegro</t>
        </is>
      </c>
      <c r="P182" s="1" t="inlineStr">
        <is>
          <t>Albania, Andorra, Austria, Belarus, Belgium, Bosnia and Herzegovina, Bulgaria, Croatia, Republic of Cyprus, Czechia, Denmark, Estonia, Finland, France, Germany, Greece, Hungary, Iceland, Ireland, Italy, Kosovo, Latvia, Liechtenstein, Lithuania, Luxembourg, Malta, Moldova, Monaco, Montenegro, Netherlands, North Macedonia, Norway, Poland, Portugal, Romania, San Marino, Slovakia, Slovenia, Spain, Sweden, Switzerland, Turkey, Ukraine, United Kingdom</t>
        </is>
      </c>
      <c r="Q182" s="1" t="inlineStr">
        <is>
          <t>Micro (1-9 FTE employees)</t>
        </is>
      </c>
      <c r="R182" t="inlineStr">
        <is>
          <t>Micro</t>
        </is>
      </c>
      <c r="S182" s="1" t="inlineStr">
        <is>
          <t>Business to Business, Business to Consumer, Business to Government, Business to Schools</t>
        </is>
      </c>
      <c r="T182" s="1" t="inlineStr">
        <is>
          <t>Primary Education, Secondary Education, Vocational Education and Training (VET), Higher Education, Corporate Training</t>
        </is>
      </c>
      <c r="U182" s="1" t="inlineStr">
        <is>
          <t>Student interfacing, Teacher interfacing, System/Administrative</t>
        </is>
      </c>
      <c r="V182" s="1" t="inlineStr">
        <is>
          <t>Slonig</t>
        </is>
      </c>
      <c r="W182" s="1" t="inlineStr">
        <is>
          <t>App for peer tutoring in classrooms</t>
        </is>
      </c>
      <c r="X182" s="1" t="n"/>
      <c r="Z182" s="1" t="n"/>
      <c r="AA182" s="1" t="inlineStr">
        <is>
          <t>Unverified</t>
        </is>
      </c>
      <c r="AB182" s="1" t="inlineStr">
        <is>
          <t>Collaborations between EdTech organisations, Project consortium building, Public-private partnerships, Industry-academia partnerships</t>
        </is>
      </c>
      <c r="AC182" s="1" t="inlineStr">
        <is>
          <t>For-profit company</t>
        </is>
      </c>
      <c r="AD182" s="1" t="b">
        <v>1</v>
      </c>
      <c r="AE182" s="1" t="b">
        <v>1</v>
      </c>
      <c r="AF182" s="1" t="inlineStr">
        <is>
          <t>No</t>
        </is>
      </c>
      <c r="AG182" s="1" t="n"/>
      <c r="AH182" s="1" t="n"/>
      <c r="AI182" s="1" t="n"/>
      <c r="AJ182" s="1" t="n"/>
    </row>
    <row r="183" ht="12.5" customHeight="1">
      <c r="A183" s="6" t="n">
        <v>45840</v>
      </c>
      <c r="B183" s="1" t="inlineStr">
        <is>
          <t>ORG_2572</t>
        </is>
      </c>
      <c r="C183" s="1" t="b">
        <v>1</v>
      </c>
      <c r="D183" s="1" t="inlineStr">
        <is>
          <t>ZIMsalabim</t>
        </is>
      </c>
      <c r="E183" s="10" t="inlineStr">
        <is>
          <t>https://zimsalabim.webflow.io</t>
        </is>
      </c>
      <c r="F183" t="inlineStr">
        <is>
          <t>zimsalabim.webflow.io</t>
        </is>
      </c>
      <c r="G183" s="1" t="inlineStr">
        <is>
          <t>I make apps for toddlers, and learn students coding apps.</t>
        </is>
      </c>
      <c r="H183" s="1" t="inlineStr">
        <is>
          <t>I'm not part of any EdTech association</t>
        </is>
      </c>
      <c r="I183" s="1" t="inlineStr">
        <is>
          <t>English, Dutch</t>
        </is>
      </c>
      <c r="J183" s="1" t="inlineStr">
        <is>
          <t>Belgium</t>
        </is>
      </c>
      <c r="K183" t="inlineStr">
        <is>
          <t>Belgium</t>
        </is>
      </c>
      <c r="L183" t="inlineStr">
        <is>
          <t>Belgium, Belgium</t>
        </is>
      </c>
      <c r="M183" t="n">
        <v>50.6402809</v>
      </c>
      <c r="N183" t="n">
        <v>4.6667145</v>
      </c>
      <c r="O183" s="1" t="inlineStr">
        <is>
          <t>Belgium</t>
        </is>
      </c>
      <c r="P183" s="1" t="inlineStr">
        <is>
          <t>Belgium</t>
        </is>
      </c>
      <c r="Q183" s="1" t="inlineStr">
        <is>
          <t>Solo entrepreneur</t>
        </is>
      </c>
      <c r="R183" t="inlineStr">
        <is>
          <t>Solo entrepreneur</t>
        </is>
      </c>
      <c r="S183" s="1" t="inlineStr">
        <is>
          <t>Business to Schools</t>
        </is>
      </c>
      <c r="T183" s="1" t="inlineStr">
        <is>
          <t>Early childhood development (0-5 years), Primary Education, Secondary Education, Higher Education, Lifelong learning/Adult education, Special Education, Vocational Education and Training (VET)</t>
        </is>
      </c>
      <c r="U183" s="1" t="inlineStr">
        <is>
          <t>Student interfacing, Teacher interfacing</t>
        </is>
      </c>
      <c r="V183" s="1" t="inlineStr">
        <is>
          <t>zimjs.org/kids learn coding 2D webapps for children open source</t>
        </is>
      </c>
      <c r="W183" s="1" t="inlineStr">
        <is>
          <t>zimjs.org/kids webapps open source so no advertisment, works on all devices</t>
        </is>
      </c>
      <c r="X183" s="10" t="inlineStr">
        <is>
          <t>zimjs.org/three 3D+VR webapps open source, create them yourself</t>
        </is>
      </c>
      <c r="Y183" t="inlineStr">
        <is>
          <t>online 3D+VR-button webapp that can be used by finger touc/mouse or VR-glasses by clicking the button at the bottom</t>
        </is>
      </c>
      <c r="Z183" s="1" t="n"/>
      <c r="AA183" s="1" t="inlineStr">
        <is>
          <t>Unverified</t>
        </is>
      </c>
      <c r="AB183" s="1" t="n"/>
      <c r="AC183" s="1" t="inlineStr">
        <is>
          <t>Non-profit organisation</t>
        </is>
      </c>
      <c r="AD183" s="1" t="b">
        <v>1</v>
      </c>
      <c r="AE183" s="1" t="b">
        <v>1</v>
      </c>
      <c r="AF183" s="1" t="inlineStr">
        <is>
          <t>Yes</t>
        </is>
      </c>
      <c r="AG183" s="1" t="inlineStr">
        <is>
          <t>https://www.linkedin.com/in/karel</t>
        </is>
      </c>
      <c r="AH183" s="1" t="inlineStr">
        <is>
          <t>https://www.linkedin.com/in/karel</t>
        </is>
      </c>
      <c r="AI183" s="1" t="inlineStr">
        <is>
          <t>https://www.linkedin.com/in/karel</t>
        </is>
      </c>
      <c r="AJ183" s="1" t="n"/>
    </row>
    <row r="184" ht="12.5" customHeight="1">
      <c r="A184" s="6" t="n">
        <v>45839</v>
      </c>
      <c r="B184" s="1" t="inlineStr">
        <is>
          <t>ORG_1357</t>
        </is>
      </c>
      <c r="C184" s="1" t="b">
        <v>1</v>
      </c>
      <c r="D184" s="1" t="inlineStr">
        <is>
          <t>Digital Future of Education</t>
        </is>
      </c>
      <c r="E184" s="10" t="inlineStr">
        <is>
          <t>https://dfe.org.ua/</t>
        </is>
      </c>
      <c r="F184" t="inlineStr">
        <is>
          <t>dfe.org.ua</t>
        </is>
      </c>
      <c r="G184" s="1" t="inlineStr">
        <is>
          <t>We support the creation of an inclusive and accessible digital education ecosystem in Ukraine and its alignment with the EU's Digital Education Programme. We promote the sustainability and resilience of small and medium-sized enterprises.</t>
        </is>
      </c>
      <c r="H184" s="1" t="inlineStr">
        <is>
          <t>EdTech Ukraine</t>
        </is>
      </c>
      <c r="I184" s="1" t="inlineStr">
        <is>
          <t>English, Ukrainian</t>
        </is>
      </c>
      <c r="J184" s="1" t="inlineStr">
        <is>
          <t>Kyiv</t>
        </is>
      </c>
      <c r="K184" t="inlineStr">
        <is>
          <t>Kyiv</t>
        </is>
      </c>
      <c r="L184" t="inlineStr">
        <is>
          <t>Kyiv, Ukraine</t>
        </is>
      </c>
      <c r="M184" t="n">
        <v>50.4500336</v>
      </c>
      <c r="N184" t="n">
        <v>30.5241361</v>
      </c>
      <c r="O184" s="1" t="inlineStr">
        <is>
          <t>Ukraine</t>
        </is>
      </c>
      <c r="P184" s="1" t="inlineStr">
        <is>
          <t>Ukraine, Switzerland</t>
        </is>
      </c>
      <c r="Q184" s="1" t="inlineStr">
        <is>
          <t>Micro (1-9 FTE employees)</t>
        </is>
      </c>
      <c r="R184" t="inlineStr">
        <is>
          <t>Micro</t>
        </is>
      </c>
      <c r="S184" s="1" t="inlineStr">
        <is>
          <t>Business to Business, Business to Consumer, Business to Government, Business to Schools</t>
        </is>
      </c>
      <c r="T184" s="1" t="inlineStr">
        <is>
          <t>Primary Education, Secondary Education, Vocational Education and Training (VET), Corporate Training, Lifelong learning/Adult education, Special Education</t>
        </is>
      </c>
      <c r="U184" s="1" t="inlineStr">
        <is>
          <t>Student interfacing, Teacher interfacing, System/Administrative</t>
        </is>
      </c>
      <c r="V184" s="1" t="inlineStr">
        <is>
          <t>Programs to overcome educational losses of vulnerable populations</t>
        </is>
      </c>
      <c r="W184" s="1" t="inlineStr">
        <is>
          <t>Training children and teachers from frontline zones of Ukraine, internally displaced and refugee children</t>
        </is>
      </c>
      <c r="X184" s="10" t="inlineStr">
        <is>
          <t>Training and mentoring programs for startups and SMEs</t>
        </is>
      </c>
      <c r="Y184" t="inlineStr">
        <is>
          <t>Helping SMEs and startups digitize and scale</t>
        </is>
      </c>
      <c r="Z184" s="1" t="n"/>
      <c r="AA184" s="1" t="inlineStr">
        <is>
          <t>Unverified</t>
        </is>
      </c>
      <c r="AB184" s="1" t="inlineStr">
        <is>
          <t>Project consortium building, Public-private partnerships, Industry-academia partnerships</t>
        </is>
      </c>
      <c r="AC184" s="1" t="inlineStr">
        <is>
          <t>Non-profit organisation</t>
        </is>
      </c>
      <c r="AD184" s="1" t="b">
        <v>1</v>
      </c>
      <c r="AE184" s="1" t="b">
        <v>1</v>
      </c>
      <c r="AF184" s="1" t="inlineStr">
        <is>
          <t>Yes</t>
        </is>
      </c>
      <c r="AG184" s="1" t="inlineStr">
        <is>
          <t>https://www.linkedin.com/in/nataliya</t>
        </is>
      </c>
      <c r="AH184" s="1" t="inlineStr">
        <is>
          <t>https://www.linkedin.com/in/nataliya</t>
        </is>
      </c>
      <c r="AI184" s="1" t="inlineStr">
        <is>
          <t>https://www.linkedin.com/in/nataliya</t>
        </is>
      </c>
      <c r="AJ184" s="1" t="n"/>
    </row>
    <row r="185" ht="12.5" customHeight="1">
      <c r="A185" s="6" t="n">
        <v>45839</v>
      </c>
      <c r="B185" s="1" t="inlineStr">
        <is>
          <t>ORG_1624</t>
        </is>
      </c>
      <c r="C185" s="1" t="b">
        <v>1</v>
      </c>
      <c r="D185" s="1" t="inlineStr">
        <is>
          <t>GIOS</t>
        </is>
      </c>
      <c r="E185" s="10" t="inlineStr">
        <is>
          <t>https://gioschool.com/</t>
        </is>
      </c>
      <c r="F185" t="inlineStr">
        <is>
          <t>gioschool.com</t>
        </is>
      </c>
      <c r="G185" s="1" t="inlineStr">
        <is>
          <t>GIOS is an interactive AI-powered Math platform and tutoring marketplace for К12 students and teachers.</t>
        </is>
      </c>
      <c r="H185" s="1" t="inlineStr">
        <is>
          <t>EdTech Ukraine</t>
        </is>
      </c>
      <c r="I185" s="1" t="inlineStr">
        <is>
          <t>English, Ukrainian</t>
        </is>
      </c>
      <c r="J185" s="1" t="inlineStr">
        <is>
          <t>Kyiv</t>
        </is>
      </c>
      <c r="K185" t="inlineStr">
        <is>
          <t>Kyiv</t>
        </is>
      </c>
      <c r="L185" t="inlineStr">
        <is>
          <t>Kyiv, Ukraine</t>
        </is>
      </c>
      <c r="M185" t="n">
        <v>50.4500336</v>
      </c>
      <c r="N185" t="n">
        <v>30.5241361</v>
      </c>
      <c r="O185" s="1" t="inlineStr">
        <is>
          <t>Ukraine</t>
        </is>
      </c>
      <c r="P185" s="1" t="inlineStr">
        <is>
          <t>Ukraine, United Kingdom, Bulgaria, Romania</t>
        </is>
      </c>
      <c r="Q185" s="1" t="inlineStr">
        <is>
          <t>Small (10-49 FTE employees)</t>
        </is>
      </c>
      <c r="R185" t="inlineStr">
        <is>
          <t>Small</t>
        </is>
      </c>
      <c r="S185" s="1" t="inlineStr">
        <is>
          <t>Business to Schools, Business to Government, Business to Consumer</t>
        </is>
      </c>
      <c r="T185" s="1" t="inlineStr">
        <is>
          <t>Primary Education, Secondary Education, Vocational Education and Training (VET), Corporate Training</t>
        </is>
      </c>
      <c r="U185" s="1" t="inlineStr">
        <is>
          <t>Student interfacing, Teacher interfacing, System/Administrative</t>
        </is>
      </c>
      <c r="V185" s="1" t="inlineStr">
        <is>
          <t>A platform for schools (B2B)</t>
        </is>
      </c>
      <c r="W185" s="1" t="inlineStr">
        <is>
          <t>GIOS adaptive educational tool engages students through animated video lessons, gamification elements, and personalized learning paths, allowing each student to progress at their own pace and build critical thinking skills. For educators, GIOS provides powerful analytics and digital resources.</t>
        </is>
      </c>
      <c r="X185" s="10" t="inlineStr">
        <is>
          <t>Courses for the development of cognitive skills for children of corporate employees (B2B)</t>
        </is>
      </c>
      <c r="Y185" t="inlineStr">
        <is>
          <t>GIOS for corporate employees' children covers subjects like mathematics, logic, chess, and preschool preparation through engaging online lessons. This program provides a valuable employee benefit, directly supporting work-life balance and offering high-quality educational enrichment for families.</t>
        </is>
      </c>
      <c r="Z185" s="1" t="n"/>
      <c r="AA185" s="1" t="inlineStr">
        <is>
          <t>Unverified</t>
        </is>
      </c>
      <c r="AB185" s="1" t="inlineStr">
        <is>
          <t>Collaborations between EdTech organisations, Project consortium building, Public-private partnerships</t>
        </is>
      </c>
      <c r="AC185" s="1" t="inlineStr">
        <is>
          <t>For-profit company</t>
        </is>
      </c>
      <c r="AD185" s="1" t="b">
        <v>1</v>
      </c>
      <c r="AE185" s="1" t="b">
        <v>1</v>
      </c>
      <c r="AF185" s="1" t="inlineStr">
        <is>
          <t>Yes</t>
        </is>
      </c>
      <c r="AG185" s="1" t="inlineStr">
        <is>
          <t>https://www.linkedin.com/company/gios</t>
        </is>
      </c>
      <c r="AH185" s="1" t="inlineStr">
        <is>
          <t>https://www.linkedin.com/company/gios</t>
        </is>
      </c>
      <c r="AI185" s="1" t="inlineStr">
        <is>
          <t>https://www.linkedin.com/company/gios</t>
        </is>
      </c>
      <c r="AJ185" s="10" t="inlineStr">
        <is>
          <t>https://www.facebook.com/GIOS.school</t>
        </is>
      </c>
    </row>
    <row r="186" ht="12.5" customHeight="1">
      <c r="A186" s="6" t="n">
        <v>45839</v>
      </c>
      <c r="B186" s="1" t="inlineStr">
        <is>
          <t>ORG_1156</t>
        </is>
      </c>
      <c r="C186" s="1" t="b">
        <v>1</v>
      </c>
      <c r="D186" s="1" t="inlineStr">
        <is>
          <t>BetterStudy</t>
        </is>
      </c>
      <c r="E186" s="10" t="inlineStr">
        <is>
          <t>betterstudy.ch</t>
        </is>
      </c>
      <c r="F186" t="inlineStr">
        <is>
          <t>betterstudy.ch</t>
        </is>
      </c>
      <c r="G186" s="1" t="inlineStr">
        <is>
          <t>Online training in accounting and HR</t>
        </is>
      </c>
      <c r="H186" s="1" t="inlineStr">
        <is>
          <t>I'm not part of any EdTech association</t>
        </is>
      </c>
      <c r="I186" s="1" t="inlineStr">
        <is>
          <t>French, German</t>
        </is>
      </c>
      <c r="J186" s="1" t="inlineStr">
        <is>
          <t>Genève</t>
        </is>
      </c>
      <c r="K186" t="inlineStr">
        <is>
          <t>Genève</t>
        </is>
      </c>
      <c r="L186" t="inlineStr">
        <is>
          <t>Genève, Switzerland</t>
        </is>
      </c>
      <c r="M186" t="n">
        <v>46.2017559</v>
      </c>
      <c r="N186" t="n">
        <v>6.1466014</v>
      </c>
      <c r="O186" s="1" t="inlineStr">
        <is>
          <t>Switzerland</t>
        </is>
      </c>
      <c r="P186" s="1" t="inlineStr">
        <is>
          <t>Switzerland, France</t>
        </is>
      </c>
      <c r="Q186" s="1" t="inlineStr">
        <is>
          <t>Micro (1-9 FTE employees)</t>
        </is>
      </c>
      <c r="R186" t="inlineStr">
        <is>
          <t>Micro</t>
        </is>
      </c>
      <c r="S186" s="1" t="inlineStr">
        <is>
          <t>Business to Consumer</t>
        </is>
      </c>
      <c r="T186" s="1" t="inlineStr">
        <is>
          <t>Vocational Education and Training (VET)</t>
        </is>
      </c>
      <c r="U186" s="1" t="inlineStr">
        <is>
          <t>Student interfacing</t>
        </is>
      </c>
      <c r="V186" s="1" t="inlineStr">
        <is>
          <t>Accountant's profesional certificate</t>
        </is>
      </c>
      <c r="W186" s="1" t="n"/>
      <c r="X186" s="1" t="n"/>
      <c r="Z186" s="1" t="n"/>
      <c r="AA186" s="1" t="inlineStr">
        <is>
          <t>Unverified</t>
        </is>
      </c>
      <c r="AB186" s="1" t="inlineStr">
        <is>
          <t>Project consortium building, Collaborations between EdTech organisations, Public-private partnerships, Industry-academia partnerships</t>
        </is>
      </c>
      <c r="AC186" s="1" t="inlineStr">
        <is>
          <t>For-profit company</t>
        </is>
      </c>
      <c r="AD186" s="1" t="b">
        <v>1</v>
      </c>
      <c r="AE186" s="1" t="b">
        <v>1</v>
      </c>
      <c r="AF186" s="1" t="inlineStr">
        <is>
          <t>No</t>
        </is>
      </c>
      <c r="AG186" s="1" t="n"/>
      <c r="AH186" s="1" t="n"/>
      <c r="AI186" s="1" t="n"/>
      <c r="AJ186" s="1" t="n"/>
    </row>
    <row r="187" ht="12.5" customHeight="1">
      <c r="A187" s="6" t="n">
        <v>45839</v>
      </c>
      <c r="B187" s="1" t="inlineStr">
        <is>
          <t>ORG_2353</t>
        </is>
      </c>
      <c r="C187" s="1" t="b">
        <v>1</v>
      </c>
      <c r="D187" s="1" t="inlineStr">
        <is>
          <t>SusyDiario</t>
        </is>
      </c>
      <c r="E187" s="10" t="inlineStr">
        <is>
          <t>https://www.susydiario.it</t>
        </is>
      </c>
      <c r="F187" t="inlineStr">
        <is>
          <t>susydiario.it</t>
        </is>
      </c>
      <c r="G187" s="1" t="inlineStr">
        <is>
          <t>I am a simple "educated" (trained? technological? Psyco-technological?) volunteer</t>
        </is>
      </c>
      <c r="H187" s="1" t="inlineStr">
        <is>
          <t>I'm not part of any EdTech association</t>
        </is>
      </c>
      <c r="I187" s="1" t="inlineStr">
        <is>
          <t>English, Italian</t>
        </is>
      </c>
      <c r="J187" s="1" t="inlineStr">
        <is>
          <t>Treviso</t>
        </is>
      </c>
      <c r="K187" t="inlineStr">
        <is>
          <t>Treviso</t>
        </is>
      </c>
      <c r="L187" t="inlineStr">
        <is>
          <t>Treviso, Italy</t>
        </is>
      </c>
      <c r="M187" t="n">
        <v>45.8066913</v>
      </c>
      <c r="N187" t="n">
        <v>12.2063158</v>
      </c>
      <c r="O187" s="1" t="inlineStr">
        <is>
          <t>Italy</t>
        </is>
      </c>
      <c r="P187" s="1" t="inlineStr">
        <is>
          <t>Albania, Andorra, Austria, Bosnia and Herzegovina, Belgium, Belarus, Bulgaria, Croatia, Republic of Cyprus, Estonia, Denmark, Czechia, Finland, France, Germany, Iceland, Hungary, Greece, Kosovo, Ireland, Latvia, Liechtenstein, Lithuania, Moldova, Malta, Luxembourg, Monaco, Montenegro, Netherlands, Poland, Norway, North Macedonia, Portugal, Romania, San Marino, Spain, Slovenia, Slovakia, Sweden, Switzerland, Turkey, United Kingdom, Ukraine</t>
        </is>
      </c>
      <c r="Q187" s="1" t="inlineStr">
        <is>
          <t>Solo entrepreneur</t>
        </is>
      </c>
      <c r="R187" t="inlineStr">
        <is>
          <t>Solo entrepreneur</t>
        </is>
      </c>
      <c r="S187" s="1" t="inlineStr">
        <is>
          <t>Business to Schools</t>
        </is>
      </c>
      <c r="T187" s="1" t="inlineStr">
        <is>
          <t>Early childhood development (0-5 years), Primary Education</t>
        </is>
      </c>
      <c r="U187" s="1" t="inlineStr">
        <is>
          <t>Student interfacing, Teacher interfacing</t>
        </is>
      </c>
      <c r="V187" s="1" t="inlineStr">
        <is>
          <t>SusyDiario</t>
        </is>
      </c>
      <c r="W187" s="1" t="inlineStr">
        <is>
          <t>SusyDiario is the only interactive online teaching platform designed specifically for use in primary schools. In a protected environment, free from any tracking. Available and under the control of the teacher. And free</t>
        </is>
      </c>
      <c r="X187" s="1" t="n"/>
      <c r="Z187" s="1" t="n"/>
      <c r="AA187" s="1" t="inlineStr">
        <is>
          <t>Unverified</t>
        </is>
      </c>
      <c r="AB187" s="1" t="inlineStr">
        <is>
          <t>Collaborations between EdTech organisations, Public-private partnerships</t>
        </is>
      </c>
      <c r="AC187" s="1" t="inlineStr">
        <is>
          <t>Non-profit organisation</t>
        </is>
      </c>
      <c r="AD187" s="1" t="b">
        <v>1</v>
      </c>
      <c r="AE187" s="1" t="b">
        <v>1</v>
      </c>
      <c r="AF187" s="1" t="inlineStr">
        <is>
          <t>No</t>
        </is>
      </c>
      <c r="AG187" s="1" t="n"/>
      <c r="AH187" s="1" t="n"/>
      <c r="AI187" s="1" t="n"/>
      <c r="AJ187" s="1" t="n"/>
    </row>
    <row r="188" ht="12.5" customHeight="1">
      <c r="A188" s="6" t="n">
        <v>45839</v>
      </c>
      <c r="B188" s="1" t="inlineStr">
        <is>
          <t>ORG_1557</t>
        </is>
      </c>
      <c r="C188" s="1" t="b">
        <v>1</v>
      </c>
      <c r="D188" s="1" t="inlineStr">
        <is>
          <t>FEDU</t>
        </is>
      </c>
      <c r="E188" s="10" t="inlineStr">
        <is>
          <t>www.fedu.ai</t>
        </is>
      </c>
      <c r="F188" t="inlineStr">
        <is>
          <t>fedu.ai</t>
        </is>
      </c>
      <c r="G188" s="1" t="inlineStr">
        <is>
          <t>We are a Finland-based edtech company develops an AI-based gamified academic content generation platform for teachers and an individualized learning assistant for students.</t>
        </is>
      </c>
      <c r="H188" s="1" t="inlineStr">
        <is>
          <t>I'm not part of any EdTech association</t>
        </is>
      </c>
      <c r="I188" s="1" t="inlineStr">
        <is>
          <t>English, French, Spanish, German, Italian, Finnish</t>
        </is>
      </c>
      <c r="J188" s="1" t="inlineStr">
        <is>
          <t>Helsinki</t>
        </is>
      </c>
      <c r="K188" t="inlineStr">
        <is>
          <t>Helsinki</t>
        </is>
      </c>
      <c r="L188" t="inlineStr">
        <is>
          <t>Helsinki, Finland</t>
        </is>
      </c>
      <c r="M188" t="n">
        <v>60.1666204</v>
      </c>
      <c r="N188" t="n">
        <v>24.9435408</v>
      </c>
      <c r="O188" s="1" t="inlineStr">
        <is>
          <t>Finland</t>
        </is>
      </c>
      <c r="P188" s="1" t="inlineStr">
        <is>
          <t>Turkey, Finland</t>
        </is>
      </c>
      <c r="Q188" s="1" t="inlineStr">
        <is>
          <t>Small (10-49 FTE employees)</t>
        </is>
      </c>
      <c r="R188" t="inlineStr">
        <is>
          <t>Small</t>
        </is>
      </c>
      <c r="S188" s="1" t="inlineStr">
        <is>
          <t>Business to Business, Business to Consumer, Business to Schools, Business to Government</t>
        </is>
      </c>
      <c r="T188" s="1" t="inlineStr">
        <is>
          <t>Primary Education, Early childhood development (0-5 years)</t>
        </is>
      </c>
      <c r="U188" s="1" t="inlineStr">
        <is>
          <t>Teacher interfacing, Student interfacing</t>
        </is>
      </c>
      <c r="V188" s="1" t="inlineStr">
        <is>
          <t>FEDU</t>
        </is>
      </c>
      <c r="W188" s="1" t="inlineStr">
        <is>
          <t>AI-based gamified academic content generation platform for teachers and an individualized learning assistant for students.</t>
        </is>
      </c>
      <c r="X188" s="10" t="n"/>
      <c r="Z188" s="1" t="n"/>
      <c r="AA188" s="1" t="inlineStr">
        <is>
          <t>Unverified</t>
        </is>
      </c>
      <c r="AB188" s="1" t="inlineStr">
        <is>
          <t>Collaborations between EdTech organisations, Project consortium building, Public-private partnerships, Industry-academia partnerships</t>
        </is>
      </c>
      <c r="AC188" s="1" t="inlineStr">
        <is>
          <t>For-profit company</t>
        </is>
      </c>
      <c r="AD188" s="1" t="b">
        <v>1</v>
      </c>
      <c r="AE188" s="1" t="b">
        <v>0</v>
      </c>
      <c r="AF188" s="1" t="inlineStr">
        <is>
          <t>Yes</t>
        </is>
      </c>
      <c r="AG188" s="1" t="inlineStr">
        <is>
          <t>https://www.linkedin.com/company/mentalup</t>
        </is>
      </c>
      <c r="AH188" s="1" t="inlineStr">
        <is>
          <t>https://www.linkedin.com/company/mentalup</t>
        </is>
      </c>
      <c r="AI188" s="1" t="inlineStr">
        <is>
          <t>https://www.linkedin.com/company/mentalup</t>
        </is>
      </c>
      <c r="AJ188" s="1" t="n"/>
    </row>
    <row r="189" ht="12.5" customHeight="1">
      <c r="A189" s="6" t="n">
        <v>45839</v>
      </c>
      <c r="B189" s="1" t="inlineStr">
        <is>
          <t>ORG_1576</t>
        </is>
      </c>
      <c r="C189" s="1" t="b">
        <v>1</v>
      </c>
      <c r="D189" s="1" t="inlineStr">
        <is>
          <t>Fortissimo Education</t>
        </is>
      </c>
      <c r="E189" s="10" t="inlineStr">
        <is>
          <t>www.fortissimo.education/en</t>
        </is>
      </c>
      <c r="F189" t="inlineStr">
        <is>
          <t>fortissimo.education/en</t>
        </is>
      </c>
      <c r="G189" s="1" t="inlineStr">
        <is>
          <t>Complete digital solutions for music education.</t>
        </is>
      </c>
      <c r="H189" s="1" t="inlineStr">
        <is>
          <t>EdTech Italia</t>
        </is>
      </c>
      <c r="I189" s="1" t="inlineStr">
        <is>
          <t>English, German, French, Italian, Spanish</t>
        </is>
      </c>
      <c r="J189" s="1" t="n"/>
      <c r="O189" s="1" t="inlineStr">
        <is>
          <t>Italy</t>
        </is>
      </c>
      <c r="P189" s="1" t="inlineStr">
        <is>
          <t>Slovenia, Ukraine, Spain, France, Germany, Italy, Croatia, Austria, Lithuania, Poland, Portugal, United Kingdom</t>
        </is>
      </c>
      <c r="Q189" s="1" t="inlineStr">
        <is>
          <t>Micro (1-9 FTE employees)</t>
        </is>
      </c>
      <c r="R189" t="inlineStr">
        <is>
          <t>Micro</t>
        </is>
      </c>
      <c r="S189" s="1" t="inlineStr">
        <is>
          <t>Business to Business, Business to Consumer, Business to Government, Business to Schools</t>
        </is>
      </c>
      <c r="T189" s="1" t="inlineStr">
        <is>
          <t>Primary Education</t>
        </is>
      </c>
      <c r="U189" s="1" t="inlineStr">
        <is>
          <t>Teacher interfacing, Student interfacing</t>
        </is>
      </c>
      <c r="V189" s="10" t="inlineStr">
        <is>
          <t>Fortissimo Teachers' Suite</t>
        </is>
      </c>
      <c r="W189" s="1" t="inlineStr">
        <is>
          <t>Teacher’s Suite includes ready-to-use lesson series that save you time and provide step-by-step guidance in teaching classical music to kids aged 6–14.</t>
        </is>
      </c>
      <c r="X189" s="10" t="inlineStr">
        <is>
          <t>Fortissimo Kids' App</t>
        </is>
      </c>
      <c r="Y189" t="inlineStr">
        <is>
          <t>The Fortissimo Kids’ App offers interactive games to help you introduce your child to classical music, instruments, iconic masterpieces, and legendary composers.
No experience in classical music is needed - r children aged 6 - 10 can enjoy it independently.</t>
        </is>
      </c>
      <c r="Z189" s="1" t="n"/>
      <c r="AA189" s="1" t="inlineStr">
        <is>
          <t>Unverified</t>
        </is>
      </c>
      <c r="AB189" s="1" t="inlineStr">
        <is>
          <t>Collaborations between EdTech organisations, Public-private partnerships, Industry-academia partnerships, Project consortium building</t>
        </is>
      </c>
      <c r="AC189" s="1" t="inlineStr">
        <is>
          <t>For-profit company</t>
        </is>
      </c>
      <c r="AD189" s="1" t="b">
        <v>1</v>
      </c>
      <c r="AE189" s="1" t="b">
        <v>1</v>
      </c>
      <c r="AF189" s="1" t="inlineStr">
        <is>
          <t>Yes</t>
        </is>
      </c>
      <c r="AG189" s="1" t="inlineStr">
        <is>
          <t>https://www.instagram.com/fortissimo.education</t>
        </is>
      </c>
      <c r="AH189" s="1" t="inlineStr">
        <is>
          <t>https://www.linkedin.com/company/fortissimo</t>
        </is>
      </c>
      <c r="AI189" s="1" t="inlineStr">
        <is>
          <t>https://www.linkedin.com/company/fortissimo</t>
        </is>
      </c>
      <c r="AJ189" s="10" t="inlineStr">
        <is>
          <t>https://www.facebook.com/p/Fortissimo</t>
        </is>
      </c>
    </row>
    <row r="190" ht="12.5" customHeight="1">
      <c r="A190" s="6" t="n">
        <v>45839</v>
      </c>
      <c r="B190" s="1" t="inlineStr">
        <is>
          <t>ORG_1424</t>
        </is>
      </c>
      <c r="C190" s="1" t="b">
        <v>1</v>
      </c>
      <c r="D190" s="1" t="inlineStr">
        <is>
          <t>Educacode</t>
        </is>
      </c>
      <c r="E190" s="10" t="inlineStr">
        <is>
          <t>www.educacode.com</t>
        </is>
      </c>
      <c r="F190" t="inlineStr">
        <is>
          <t>educacode.com</t>
        </is>
      </c>
      <c r="G190" s="1" t="inlineStr">
        <is>
          <t>Educacode is a French company that designs innovative digital training solutions and e-learning platforms to modernize and democratize education.</t>
        </is>
      </c>
      <c r="H190" s="1" t="inlineStr">
        <is>
          <t>EdTech France</t>
        </is>
      </c>
      <c r="I190" s="1" t="inlineStr">
        <is>
          <t>French</t>
        </is>
      </c>
      <c r="J190" s="1" t="inlineStr">
        <is>
          <t>La Rochelle</t>
        </is>
      </c>
      <c r="K190" t="inlineStr">
        <is>
          <t>La Rochelle</t>
        </is>
      </c>
      <c r="L190" t="inlineStr">
        <is>
          <t>La Rochelle, France</t>
        </is>
      </c>
      <c r="M190" t="n">
        <v>46.159732</v>
      </c>
      <c r="N190" t="n">
        <v>-1.1515951</v>
      </c>
      <c r="O190" s="1" t="inlineStr">
        <is>
          <t>France</t>
        </is>
      </c>
      <c r="P190" s="1" t="inlineStr">
        <is>
          <t>France</t>
        </is>
      </c>
      <c r="Q190" s="1" t="inlineStr">
        <is>
          <t>Small (10-49 FTE employees)</t>
        </is>
      </c>
      <c r="R190" t="inlineStr">
        <is>
          <t>Small</t>
        </is>
      </c>
      <c r="S190" s="1" t="inlineStr">
        <is>
          <t>Business to Business</t>
        </is>
      </c>
      <c r="T190" s="1" t="inlineStr">
        <is>
          <t>Corporate Training, Lifelong learning/Adult education</t>
        </is>
      </c>
      <c r="U190" s="1" t="inlineStr">
        <is>
          <t>Student interfacing, Teacher interfacing, System/Administrative</t>
        </is>
      </c>
      <c r="V190" s="1" t="inlineStr">
        <is>
          <t>Codapagos</t>
        </is>
      </c>
      <c r="W190" s="1" t="inlineStr">
        <is>
          <t>Codapagos is an innovative hybrid learning solution that combines a mobile app with in-school sessions led by certified instructors, enabling high school students in France to effectively prepare for their driving theory exam through an engaging and accessible approach.</t>
        </is>
      </c>
      <c r="X190" s="10" t="inlineStr">
        <is>
          <t>Codabox</t>
        </is>
      </c>
      <c r="Y190" t="inlineStr">
        <is>
          <t>Codabox is a connected edge device designed to digitize and secure road safety training sessions, enabling attendance tracking and activity validation even in areas without internet access.</t>
        </is>
      </c>
      <c r="Z190" s="1" t="n"/>
      <c r="AA190" s="1" t="inlineStr">
        <is>
          <t>Unverified</t>
        </is>
      </c>
      <c r="AB190" s="1" t="inlineStr">
        <is>
          <t>Collaborations between EdTech organisations, Project consortium building</t>
        </is>
      </c>
      <c r="AC190" s="1" t="inlineStr">
        <is>
          <t>For-profit company</t>
        </is>
      </c>
      <c r="AD190" s="1" t="b">
        <v>1</v>
      </c>
      <c r="AE190" s="1" t="b">
        <v>1</v>
      </c>
      <c r="AF190" s="1" t="inlineStr">
        <is>
          <t>Yes</t>
        </is>
      </c>
      <c r="AG190" s="1" t="inlineStr">
        <is>
          <t>https://www.linkedin.com/company/educacode</t>
        </is>
      </c>
      <c r="AH190" s="1" t="inlineStr">
        <is>
          <t>https://www.linkedin.com/company/educacode</t>
        </is>
      </c>
      <c r="AI190" s="1" t="inlineStr">
        <is>
          <t>https://www.linkedin.com/company/educacode</t>
        </is>
      </c>
      <c r="AJ190" s="1" t="n"/>
    </row>
    <row r="191" ht="12.5" customHeight="1">
      <c r="A191" s="6" t="n">
        <v>45839</v>
      </c>
      <c r="B191" s="1" t="inlineStr">
        <is>
          <t>ORG_2148</t>
        </is>
      </c>
      <c r="C191" s="1" t="b">
        <v>1</v>
      </c>
      <c r="D191" s="1" t="inlineStr">
        <is>
          <t>Quizzability</t>
        </is>
      </c>
      <c r="E191" s="10" t="inlineStr">
        <is>
          <t>www.quizzability.com</t>
        </is>
      </c>
      <c r="F191" t="inlineStr">
        <is>
          <t>quizzability.com</t>
        </is>
      </c>
      <c r="G191" s="1" t="inlineStr">
        <is>
          <t>Startip</t>
        </is>
      </c>
      <c r="H191" s="1" t="inlineStr">
        <is>
          <t>I'm not part of any EdTech association</t>
        </is>
      </c>
      <c r="I191" s="1" t="inlineStr">
        <is>
          <t>English, German, Spanish, Portuguese</t>
        </is>
      </c>
      <c r="J191" s="1" t="inlineStr">
        <is>
          <t>Viseu</t>
        </is>
      </c>
      <c r="K191" t="inlineStr">
        <is>
          <t>Viseu</t>
        </is>
      </c>
      <c r="L191" t="inlineStr">
        <is>
          <t>Viseu, Portugal</t>
        </is>
      </c>
      <c r="M191" t="n">
        <v>40.6574713</v>
      </c>
      <c r="N191" t="n">
        <v>-7.9138664</v>
      </c>
      <c r="O191" s="1" t="inlineStr">
        <is>
          <t>Portugal</t>
        </is>
      </c>
      <c r="P191" s="1" t="inlineStr">
        <is>
          <t>Portugal, Poland, Spain</t>
        </is>
      </c>
      <c r="Q191" s="1" t="inlineStr">
        <is>
          <t>Micro (1-9 FTE employees)</t>
        </is>
      </c>
      <c r="R191" t="inlineStr">
        <is>
          <t>Micro</t>
        </is>
      </c>
      <c r="S191" s="1" t="inlineStr">
        <is>
          <t>Business to Business, Business to Schools</t>
        </is>
      </c>
      <c r="T191" s="1" t="inlineStr">
        <is>
          <t>Vocational Education and Training (VET), Higher Education, Corporate Training, Lifelong learning/Adult education</t>
        </is>
      </c>
      <c r="U191" s="1" t="inlineStr">
        <is>
          <t>Student interfacing</t>
        </is>
      </c>
      <c r="V191" s="1" t="inlineStr">
        <is>
          <t>Quizzability Platform</t>
        </is>
      </c>
      <c r="W191" s="1" t="inlineStr">
        <is>
          <t>Online platform for sustainability education</t>
        </is>
      </c>
      <c r="X191" s="10" t="n"/>
      <c r="Z191" s="1" t="n"/>
      <c r="AA191" s="1" t="inlineStr">
        <is>
          <t>Unverified</t>
        </is>
      </c>
      <c r="AB191" s="1" t="inlineStr">
        <is>
          <t>Collaborations between EdTech organisations, Project consortium building, Public-private partnerships, Industry-academia partnerships</t>
        </is>
      </c>
      <c r="AC191" s="1" t="inlineStr">
        <is>
          <t>For-profit company</t>
        </is>
      </c>
      <c r="AD191" s="1" t="b">
        <v>1</v>
      </c>
      <c r="AE191" s="1" t="b">
        <v>1</v>
      </c>
      <c r="AF191" s="1" t="inlineStr">
        <is>
          <t>Yes</t>
        </is>
      </c>
      <c r="AG191" s="1" t="inlineStr">
        <is>
          <t>https://pt.linkedin.com/company/quizzability</t>
        </is>
      </c>
      <c r="AH191" s="1" t="inlineStr">
        <is>
          <t>https://pt.linkedin.com/company/quizzability</t>
        </is>
      </c>
      <c r="AI191" s="1" t="inlineStr">
        <is>
          <t>https://pt.linkedin.com/company/quizzability</t>
        </is>
      </c>
      <c r="AJ191" s="1" t="n"/>
    </row>
    <row r="192" ht="12.5" customHeight="1">
      <c r="A192" s="6" t="n">
        <v>45839</v>
      </c>
      <c r="B192" s="1" t="inlineStr">
        <is>
          <t>ORG_2392</t>
        </is>
      </c>
      <c r="C192" s="1" t="b">
        <v>1</v>
      </c>
      <c r="D192" s="1" t="inlineStr">
        <is>
          <t>TGI platform</t>
        </is>
      </c>
      <c r="E192" s="10" t="inlineStr">
        <is>
          <t>https://tgi-platform.com/</t>
        </is>
      </c>
      <c r="F192" t="inlineStr">
        <is>
          <t>tgi-platform.com</t>
        </is>
      </c>
      <c r="G192" s="1" t="inlineStr">
        <is>
          <t>TGI platform - personal educational path builder for kids &amp; school management system</t>
        </is>
      </c>
      <c r="H192" s="1" t="inlineStr">
        <is>
          <t>EdTech Ukraine</t>
        </is>
      </c>
      <c r="I192" s="1" t="inlineStr">
        <is>
          <t>English, Ukrainian</t>
        </is>
      </c>
      <c r="J192" s="1" t="inlineStr">
        <is>
          <t>Irpin'</t>
        </is>
      </c>
      <c r="K192" t="inlineStr">
        <is>
          <t>Irpin'</t>
        </is>
      </c>
      <c r="L192" t="inlineStr">
        <is>
          <t>Irpin', Ukraine</t>
        </is>
      </c>
      <c r="M192" t="n">
        <v>50.5206777</v>
      </c>
      <c r="N192" t="n">
        <v>30.2448725</v>
      </c>
      <c r="O192" s="1" t="inlineStr">
        <is>
          <t>Ukraine</t>
        </is>
      </c>
      <c r="P192" s="1" t="inlineStr">
        <is>
          <t>Ukraine</t>
        </is>
      </c>
      <c r="Q192" s="1" t="inlineStr">
        <is>
          <t>Small (10-49 FTE employees)</t>
        </is>
      </c>
      <c r="R192" t="inlineStr">
        <is>
          <t>Small</t>
        </is>
      </c>
      <c r="S192" s="1" t="inlineStr">
        <is>
          <t>Business to Business</t>
        </is>
      </c>
      <c r="T192" s="1" t="inlineStr">
        <is>
          <t>Primary Education, Secondary Education</t>
        </is>
      </c>
      <c r="U192" s="1" t="inlineStr">
        <is>
          <t>System/Administrative</t>
        </is>
      </c>
      <c r="V192" s="1" t="inlineStr">
        <is>
          <t>school management system</t>
        </is>
      </c>
      <c r="W192" s="1" t="inlineStr">
        <is>
          <t>TGI platform offers a School Management System that not only helps schools be almost 50% more effective in adminiatration but also identifies and addresses learning gaps in real time.</t>
        </is>
      </c>
      <c r="X192" s="10" t="inlineStr">
        <is>
          <t>personal educational path builder for kids</t>
        </is>
      </c>
      <c r="Y192" t="inlineStr">
        <is>
          <t>TGI platform is A Personalized Education Platform that collects and analyzes student data — talents, limitations, preferences, and academic performance — using AI to generate personal educational path for each student and recommendations for mentors.</t>
        </is>
      </c>
      <c r="Z192" s="1" t="n"/>
      <c r="AA192" s="1" t="inlineStr">
        <is>
          <t>Unverified</t>
        </is>
      </c>
      <c r="AB192" s="1" t="inlineStr">
        <is>
          <t>Project consortium building, Public-private partnerships</t>
        </is>
      </c>
      <c r="AC192" s="1" t="inlineStr">
        <is>
          <t>For-profit company</t>
        </is>
      </c>
      <c r="AD192" s="1" t="b">
        <v>1</v>
      </c>
      <c r="AE192" s="1" t="b">
        <v>0</v>
      </c>
      <c r="AF192" s="1" t="inlineStr">
        <is>
          <t>Yes</t>
        </is>
      </c>
      <c r="AG192" s="1" t="inlineStr">
        <is>
          <t>https://www.linkedin.com/in/valya</t>
        </is>
      </c>
      <c r="AH192" s="1" t="inlineStr">
        <is>
          <t>https://www.linkedin.com/in/valya</t>
        </is>
      </c>
      <c r="AI192" s="1" t="inlineStr">
        <is>
          <t>https://www.linkedin.com/in/valya</t>
        </is>
      </c>
      <c r="AJ192" s="1" t="n"/>
    </row>
    <row r="193" ht="12.5" customHeight="1">
      <c r="A193" s="6" t="n">
        <v>45839</v>
      </c>
      <c r="B193" s="1" t="inlineStr">
        <is>
          <t>ORG_2532</t>
        </is>
      </c>
      <c r="C193" s="1" t="b">
        <v>1</v>
      </c>
      <c r="D193" s="1" t="inlineStr">
        <is>
          <t>WiDiD</t>
        </is>
      </c>
      <c r="E193" s="10" t="inlineStr">
        <is>
          <t>https://widid.fr/</t>
        </is>
      </c>
      <c r="F193" t="inlineStr">
        <is>
          <t>widid.fr</t>
        </is>
      </c>
      <c r="G193" s="1" t="inlineStr">
        <is>
          <t>WiDiD is a French EdTech startup that develops immersive training modules using virtual reality and artificial intelligence. Our platform enables learners to acquire soft and technical skills through realistic, self-contained simulations, accessible via a PC or VR headset. WiDiD works with schools, vocational training centers and companies to transform learning experiences in sectors such as agriculture, industry, healthcare and education.</t>
        </is>
      </c>
      <c r="H193" s="1" t="inlineStr">
        <is>
          <t>I'm not part of any EdTech association</t>
        </is>
      </c>
      <c r="I193" s="1" t="inlineStr">
        <is>
          <t>French, Spanish, English, Italian</t>
        </is>
      </c>
      <c r="J193" s="1" t="inlineStr">
        <is>
          <t>Toulouse</t>
        </is>
      </c>
      <c r="K193" t="inlineStr">
        <is>
          <t>Toulouse</t>
        </is>
      </c>
      <c r="L193" t="inlineStr">
        <is>
          <t>Toulouse, France</t>
        </is>
      </c>
      <c r="M193" t="n">
        <v>43.6044638</v>
      </c>
      <c r="N193" t="n">
        <v>1.4442433</v>
      </c>
      <c r="O193" s="1" t="inlineStr">
        <is>
          <t>France</t>
        </is>
      </c>
      <c r="P193" s="1" t="inlineStr">
        <is>
          <t>France, Switzerland</t>
        </is>
      </c>
      <c r="Q193" s="1" t="inlineStr">
        <is>
          <t>Micro (1-9 FTE employees)</t>
        </is>
      </c>
      <c r="R193" t="inlineStr">
        <is>
          <t>Micro</t>
        </is>
      </c>
      <c r="S193" s="1" t="inlineStr">
        <is>
          <t>Business to Schools, Business to Business</t>
        </is>
      </c>
      <c r="T193" s="1" t="inlineStr">
        <is>
          <t>Corporate Training, Higher Education, Lifelong learning/Adult education, Vocational Education and Training (VET), Special Education</t>
        </is>
      </c>
      <c r="U193" s="1" t="inlineStr">
        <is>
          <t>Student interfacing, Teacher interfacing</t>
        </is>
      </c>
      <c r="V193" s="1" t="inlineStr">
        <is>
          <t>WiDiD Immersive</t>
        </is>
      </c>
      <c r="W193" s="1" t="inlineStr">
        <is>
          <t>WiDiD Immersive is an AI-assisted ILMS offering VR and PC based training for soft and technical skills. It enables progress tracking, content customization and unlimited, safe practice with real-time feedback.</t>
        </is>
      </c>
      <c r="X193" s="10" t="inlineStr">
        <is>
          <t>Dialogue Player &amp; Dialogue Designer</t>
        </is>
      </c>
      <c r="Y193" t="inlineStr">
        <is>
          <t>Our no-code tools enable trainers to easily design and deploy exchange-based simulations. The Dialogue Designer enables the intuitive creation of scenarios for any situation, while the Dialogue Player lets learners practice their communication skills in an immersive environment.</t>
        </is>
      </c>
      <c r="Z193" s="1" t="n"/>
      <c r="AA193" s="1" t="inlineStr">
        <is>
          <t>Unverified</t>
        </is>
      </c>
      <c r="AB193" s="1" t="inlineStr">
        <is>
          <t>Project consortium building, Industry-academia partnerships, Collaborations between EdTech organisations</t>
        </is>
      </c>
      <c r="AC193" s="1" t="inlineStr">
        <is>
          <t>For-profit company</t>
        </is>
      </c>
      <c r="AD193" s="1" t="b">
        <v>1</v>
      </c>
      <c r="AE193" s="1" t="b">
        <v>1</v>
      </c>
      <c r="AF193" s="1" t="inlineStr">
        <is>
          <t>Yes</t>
        </is>
      </c>
      <c r="AG193" s="1" t="inlineStr">
        <is>
          <t>https://www.linkedin.com/company/11763645/</t>
        </is>
      </c>
      <c r="AH193" s="1" t="inlineStr">
        <is>
          <t>https://www.linkedin.com/company/11763645/</t>
        </is>
      </c>
      <c r="AI193" s="1" t="inlineStr">
        <is>
          <t>https://www.linkedin.com/company/11763645/</t>
        </is>
      </c>
    </row>
    <row r="194" ht="12.5" customHeight="1">
      <c r="A194" s="6" t="n">
        <v>45839</v>
      </c>
      <c r="B194" s="1" t="inlineStr">
        <is>
          <t>ORG_2428</t>
        </is>
      </c>
      <c r="C194" s="1" t="b">
        <v>1</v>
      </c>
      <c r="D194" s="1" t="inlineStr">
        <is>
          <t>Trainings-Online GmbH</t>
        </is>
      </c>
      <c r="E194" s="1" t="inlineStr">
        <is>
          <t>ki-campus.eu</t>
        </is>
      </c>
      <c r="F194" t="inlineStr">
        <is>
          <t>ki-campus.eu</t>
        </is>
      </c>
      <c r="G194" s="1" t="inlineStr">
        <is>
          <t>Combining Campus-Management and GenAI</t>
        </is>
      </c>
      <c r="H194" s="1" t="inlineStr">
        <is>
          <t>I'm not part of any EdTech association</t>
        </is>
      </c>
      <c r="I194" s="1" t="inlineStr">
        <is>
          <t>German, English</t>
        </is>
      </c>
      <c r="J194" s="1" t="inlineStr">
        <is>
          <t>Bielefeld</t>
        </is>
      </c>
      <c r="K194" t="inlineStr">
        <is>
          <t>Bielefeld</t>
        </is>
      </c>
      <c r="L194" t="inlineStr">
        <is>
          <t>Bielefeld, Germany</t>
        </is>
      </c>
      <c r="M194" t="n">
        <v>52.0191005</v>
      </c>
      <c r="N194" t="n">
        <v>8.531007000000001</v>
      </c>
      <c r="O194" s="1" t="inlineStr">
        <is>
          <t>Germany</t>
        </is>
      </c>
      <c r="P194" s="1" t="inlineStr">
        <is>
          <t>Germany</t>
        </is>
      </c>
      <c r="Q194" s="1" t="inlineStr">
        <is>
          <t>Small (10-49 FTE employees)</t>
        </is>
      </c>
      <c r="R194" t="inlineStr">
        <is>
          <t>Small</t>
        </is>
      </c>
      <c r="S194" s="1" t="inlineStr">
        <is>
          <t>Business to Business</t>
        </is>
      </c>
      <c r="T194" s="1" t="inlineStr">
        <is>
          <t>Higher Education</t>
        </is>
      </c>
      <c r="U194" s="1" t="inlineStr">
        <is>
          <t>System/Administrative</t>
        </is>
      </c>
      <c r="V194" s="1" t="inlineStr">
        <is>
          <t>TraiNex</t>
        </is>
      </c>
      <c r="W194" s="1" t="inlineStr">
        <is>
          <t>All-in-one Campus-Management-System</t>
        </is>
      </c>
      <c r="X194" s="1" t="inlineStr">
        <is>
          <t>SMARTA</t>
        </is>
      </c>
      <c r="Y194" t="inlineStr">
        <is>
          <t>Student Motivation and Reflective Trainings AI-Assistants</t>
        </is>
      </c>
      <c r="Z194" s="1" t="n"/>
      <c r="AA194" s="1" t="inlineStr">
        <is>
          <t>Unverified</t>
        </is>
      </c>
      <c r="AB194" s="1" t="inlineStr">
        <is>
          <t>Collaborations between EdTech organisations, Project consortium building</t>
        </is>
      </c>
      <c r="AC194" s="1" t="inlineStr">
        <is>
          <t>For-profit company</t>
        </is>
      </c>
      <c r="AD194" s="1" t="b">
        <v>1</v>
      </c>
      <c r="AE194" s="1" t="b">
        <v>0</v>
      </c>
      <c r="AF194" s="1" t="inlineStr">
        <is>
          <t>Yes</t>
        </is>
      </c>
      <c r="AG194" s="1" t="inlineStr">
        <is>
          <t>https://www.facebook.com/TraiNex24</t>
        </is>
      </c>
      <c r="AH194" s="1" t="n"/>
      <c r="AI194" s="1" t="n"/>
      <c r="AJ194" s="10" t="inlineStr">
        <is>
          <t>https://www.facebook.com/TraiNex24</t>
        </is>
      </c>
    </row>
    <row r="195" ht="12.5" customHeight="1">
      <c r="A195" s="6" t="n">
        <v>45839</v>
      </c>
      <c r="B195" s="1" t="inlineStr">
        <is>
          <t>ORG_2054</t>
        </is>
      </c>
      <c r="C195" s="1" t="b">
        <v>1</v>
      </c>
      <c r="D195" s="1" t="inlineStr">
        <is>
          <t>ODE.systems</t>
        </is>
      </c>
      <c r="E195" s="10" t="inlineStr">
        <is>
          <t>https://www.ode.systems</t>
        </is>
      </c>
      <c r="F195" t="inlineStr">
        <is>
          <t>ode.systems</t>
        </is>
      </c>
      <c r="G195" s="1" t="inlineStr">
        <is>
          <t>ODE.mobile is a decision-making companion designed to help individuals, groups, and organizations structure their decisions in a transparent and conscious way. Built around a clear seven-step process, the app enables users to break down complex questions into manageable parts, define their own criteria, and compare options objectively. It supports collaborative decisions through ranked voting, shared templates (“blueprints”), and peer feedback. Developed with a strong ethical foundation, ODE.mobile does not track users or sell data. The platform avoids manipulative features and ensures full transparency in its operation. Available as both a mobile and web app, and offered in multiple languages (including Arabic, Chinese, Hindi, Hebrew, Korean, Russian), ODE.mobile is used globally by students, professionals, educators, and communities who want to regain clarity and ownership in their decisions.</t>
        </is>
      </c>
      <c r="H195" s="1" t="inlineStr">
        <is>
          <t>I'm not part of any EdTech association</t>
        </is>
      </c>
      <c r="I195" s="1" t="inlineStr">
        <is>
          <t>English, German, Spanish, Arabic, Chinese (Simplified), Hindi, Hebrew, Korean, Russian</t>
        </is>
      </c>
      <c r="J195" s="1" t="inlineStr">
        <is>
          <t>Bernau</t>
        </is>
      </c>
      <c r="K195" t="inlineStr">
        <is>
          <t>Bernau</t>
        </is>
      </c>
      <c r="L195" t="inlineStr">
        <is>
          <t>Bernau, Germany</t>
        </is>
      </c>
      <c r="M195" t="n">
        <v>52.6755472</v>
      </c>
      <c r="N195" t="n">
        <v>13.5916719</v>
      </c>
      <c r="O195" s="1" t="inlineStr">
        <is>
          <t>Germany</t>
        </is>
      </c>
      <c r="P195" s="1" t="inlineStr">
        <is>
          <t>United Kingdom, Ukraine, Sweden, Switzerland, Turkey, San Marino, Spain, Slovenia, Romania, Portugal, Slovakia, North Macedonia, Norway, Poland, Netherlands, Montenegro, Monaco, Luxembourg, Malta, Moldova, Lithuania, Kosovo, Iceland, Hungary, Italy, Liechtenstein, Latvia, Ireland, Greece, Albania, Belarus, Bulgaria, Czechia, Finland, France, Denmark, Croatia, Belgium, Andorra, Austria, Bosnia and Herzegovina, Republic of Cyprus, Estonia, Germany, India, Uganda, Nigeria, Pakistan, United Arab Emirates, United States of America</t>
        </is>
      </c>
      <c r="Q195" s="1" t="inlineStr">
        <is>
          <t>Micro (1-9 FTE employees)</t>
        </is>
      </c>
      <c r="R195" t="inlineStr">
        <is>
          <t>Micro</t>
        </is>
      </c>
      <c r="S195" s="1" t="inlineStr">
        <is>
          <t>Business to Business, Business to Consumer, Business to Government, Business to Schools</t>
        </is>
      </c>
      <c r="T195" s="1" t="inlineStr">
        <is>
          <t>Higher Education, Vocational Education and Training (VET), Secondary Education, Corporate Training, Lifelong learning/Adult education, Special Education</t>
        </is>
      </c>
      <c r="U195" s="1" t="inlineStr">
        <is>
          <t>Student interfacing, Teacher interfacing</t>
        </is>
      </c>
      <c r="V195" s="1" t="inlineStr">
        <is>
          <t>Decision Education</t>
        </is>
      </c>
      <c r="W195" s="1" t="inlineStr">
        <is>
          <t>Structured training to build decision competence using the ODE method. Teaches how to define criteria, compare options, and navigate uncertainty. Offered in schools, bootcamps, and leadership programs.</t>
        </is>
      </c>
      <c r="X195" s="10" t="inlineStr">
        <is>
          <t>ODE.mobile app</t>
        </is>
      </c>
      <c r="Y195" t="inlineStr">
        <is>
          <t>Web and mobile app guiding users through a seven-step decision process. Enables clear comparisons, ranked choices, and shared templates, fully private and multilingual.</t>
        </is>
      </c>
      <c r="Z195" s="1" t="n"/>
      <c r="AA195" s="1" t="inlineStr">
        <is>
          <t>Unverified</t>
        </is>
      </c>
      <c r="AB195" s="1" t="inlineStr">
        <is>
          <t>Collaborations between EdTech organisations, Project consortium building, Industry-academia partnerships, Public-private partnerships</t>
        </is>
      </c>
      <c r="AC195" s="1" t="inlineStr">
        <is>
          <t>For-profit company</t>
        </is>
      </c>
      <c r="AD195" s="1" t="b">
        <v>0</v>
      </c>
      <c r="AE195" s="1" t="b">
        <v>1</v>
      </c>
      <c r="AF195" s="1" t="inlineStr">
        <is>
          <t>Yes</t>
        </is>
      </c>
      <c r="AG195" s="1" t="inlineStr">
        <is>
          <t>https://www.linkedin.com/company/odeeasychoice/</t>
        </is>
      </c>
      <c r="AH195" s="1" t="inlineStr">
        <is>
          <t>https://www.linkedin.com/company/odeeasychoice/</t>
        </is>
      </c>
      <c r="AI195" s="1" t="inlineStr">
        <is>
          <t>https://www.linkedin.com/company/odeeasychoice/</t>
        </is>
      </c>
      <c r="AJ195" s="10" t="inlineStr">
        <is>
          <t>https://www.facebook.com/ODE.systems</t>
        </is>
      </c>
    </row>
    <row r="196" ht="12.5" customHeight="1">
      <c r="A196" s="6" t="n">
        <v>45839</v>
      </c>
      <c r="B196" s="1" t="inlineStr">
        <is>
          <t>ORG_2459</t>
        </is>
      </c>
      <c r="C196" s="1" t="b">
        <v>1</v>
      </c>
      <c r="D196" s="1" t="inlineStr">
        <is>
          <t>UNICEF</t>
        </is>
      </c>
      <c r="E196" s="10" t="inlineStr">
        <is>
          <t>unicef.org</t>
        </is>
      </c>
      <c r="F196" t="inlineStr">
        <is>
          <t>unicef.org</t>
        </is>
      </c>
      <c r="G196" s="1" t="inlineStr">
        <is>
          <t>We support countries to implement digital learning</t>
        </is>
      </c>
      <c r="H196" s="1" t="inlineStr">
        <is>
          <t>xEdu</t>
        </is>
      </c>
      <c r="I196" s="1" t="inlineStr">
        <is>
          <t>English</t>
        </is>
      </c>
      <c r="J196" s="1" t="inlineStr">
        <is>
          <t>Bonn</t>
        </is>
      </c>
      <c r="K196" t="inlineStr">
        <is>
          <t>Bonn</t>
        </is>
      </c>
      <c r="L196" t="inlineStr">
        <is>
          <t>Bonn, Germany</t>
        </is>
      </c>
      <c r="M196" t="n">
        <v>50.7352621</v>
      </c>
      <c r="N196" t="n">
        <v>7.1024635</v>
      </c>
      <c r="O196" s="1" t="inlineStr">
        <is>
          <t>Germany</t>
        </is>
      </c>
      <c r="P196" s="1" t="inlineStr">
        <is>
          <t>Other</t>
        </is>
      </c>
      <c r="Q196" s="1" t="inlineStr">
        <is>
          <t>Medium (50-250 FTE employees)</t>
        </is>
      </c>
      <c r="R196" t="inlineStr">
        <is>
          <t>Medium</t>
        </is>
      </c>
      <c r="S196" s="1" t="inlineStr">
        <is>
          <t>Business to Government</t>
        </is>
      </c>
      <c r="T196" s="1" t="inlineStr">
        <is>
          <t>Early childhood development (0-5 years), Primary Education, Secondary Education, Vocational Education and Training (VET), Special Education</t>
        </is>
      </c>
      <c r="U196" s="1" t="inlineStr">
        <is>
          <t>System/Administrative</t>
        </is>
      </c>
      <c r="V196" s="1" t="inlineStr">
        <is>
          <t>Digital Learning</t>
        </is>
      </c>
      <c r="W196" s="1" t="inlineStr">
        <is>
          <t>Supporting countries in their digital transformation</t>
        </is>
      </c>
      <c r="X196" s="1" t="n"/>
      <c r="Z196" s="1" t="n"/>
      <c r="AA196" s="1" t="inlineStr">
        <is>
          <t>Unverified</t>
        </is>
      </c>
      <c r="AB196" s="1" t="inlineStr">
        <is>
          <t>Collaborations between EdTech organisations, Project consortium building, Public-private partnerships, Industry-academia partnerships</t>
        </is>
      </c>
      <c r="AC196" s="1" t="inlineStr">
        <is>
          <t>Other</t>
        </is>
      </c>
      <c r="AD196" s="1" t="b">
        <v>1</v>
      </c>
      <c r="AE196" s="1" t="b">
        <v>1</v>
      </c>
      <c r="AF196" s="1" t="inlineStr">
        <is>
          <t>No</t>
        </is>
      </c>
      <c r="AG196" s="1" t="n"/>
      <c r="AH196" s="1" t="n"/>
      <c r="AI196" s="1" t="n"/>
      <c r="AJ196" s="1" t="n"/>
    </row>
    <row r="197" ht="12.5" customHeight="1">
      <c r="A197" s="6" t="n">
        <v>45839</v>
      </c>
      <c r="B197" s="1" t="inlineStr">
        <is>
          <t>ORG_1931</t>
        </is>
      </c>
      <c r="C197" s="1" t="b">
        <v>1</v>
      </c>
      <c r="D197" s="1" t="inlineStr">
        <is>
          <t>Maths Circle</t>
        </is>
      </c>
      <c r="E197" s="10" t="inlineStr">
        <is>
          <t>mathscircle.com</t>
        </is>
      </c>
      <c r="F197" t="inlineStr">
        <is>
          <t>mathscircle.com</t>
        </is>
      </c>
      <c r="G197" s="1" t="inlineStr">
        <is>
          <t>Providers of maths online learning platforms Times Tables Rock Stars and NumBots</t>
        </is>
      </c>
      <c r="H197" s="1" t="inlineStr">
        <is>
          <t>I'm not part of any EdTech association</t>
        </is>
      </c>
      <c r="I197" s="1" t="inlineStr">
        <is>
          <t>English</t>
        </is>
      </c>
      <c r="J197" s="1" t="inlineStr">
        <is>
          <t>Bedford</t>
        </is>
      </c>
      <c r="K197" t="inlineStr">
        <is>
          <t>Bedford</t>
        </is>
      </c>
      <c r="L197" t="inlineStr">
        <is>
          <t>Bedford, United Kingdom</t>
        </is>
      </c>
      <c r="M197" t="n">
        <v>52.1363806</v>
      </c>
      <c r="N197" t="n">
        <v>-0.4675041</v>
      </c>
      <c r="O197" s="1" t="inlineStr">
        <is>
          <t>United Kingdom</t>
        </is>
      </c>
      <c r="P197" s="1" t="inlineStr">
        <is>
          <t>Albania, Andorra, Austria, Belarus, Belgium, Bosnia and Herzegovina, Bulgaria, Croatia, Republic of Cyprus, Czechia, Denmark, Estonia, Finland, France, Germany, Greece, Hungary, Iceland, Ireland, Italy, Kosovo, Latvia, Liechtenstein, Lithuania, Luxembourg, Malta, Moldova, Monaco, Montenegro, Netherlands, North Macedonia, Norway, Poland, Portugal, Romania, San Marino, Slovakia, Slovenia, Spain, Sweden, Switzerland, Turkey, Ukraine, United Kingdom</t>
        </is>
      </c>
      <c r="Q197" s="1" t="inlineStr">
        <is>
          <t>Small (10-49 FTE employees)</t>
        </is>
      </c>
      <c r="R197" t="inlineStr">
        <is>
          <t>Small</t>
        </is>
      </c>
      <c r="S197" s="1" t="inlineStr">
        <is>
          <t>Business to Schools, Business to Consumer</t>
        </is>
      </c>
      <c r="T197" s="1" t="inlineStr">
        <is>
          <t>Primary Education, Secondary Education, Special Education</t>
        </is>
      </c>
      <c r="U197" s="1" t="inlineStr">
        <is>
          <t>Student interfacing</t>
        </is>
      </c>
      <c r="V197" s="1" t="inlineStr">
        <is>
          <t>Times Tables Rock Stars</t>
        </is>
      </c>
      <c r="W197" s="1" t="inlineStr">
        <is>
          <t>online maths learning platform that teaches children multiplication and division skills</t>
        </is>
      </c>
      <c r="X197" s="1" t="inlineStr">
        <is>
          <t>NumBots</t>
        </is>
      </c>
      <c r="Y197" t="inlineStr">
        <is>
          <t>online maths learning platform that teaches children basic numeracy skills and builds maths confidence</t>
        </is>
      </c>
      <c r="Z197" s="1" t="n"/>
      <c r="AA197" s="1" t="inlineStr">
        <is>
          <t>Unverified</t>
        </is>
      </c>
      <c r="AB197" s="1" t="inlineStr">
        <is>
          <t>Collaborations between EdTech organisations</t>
        </is>
      </c>
      <c r="AC197" s="1" t="inlineStr">
        <is>
          <t>For-profit company</t>
        </is>
      </c>
      <c r="AD197" s="1" t="b">
        <v>1</v>
      </c>
      <c r="AE197" s="1" t="b">
        <v>1</v>
      </c>
      <c r="AF197" s="1" t="inlineStr">
        <is>
          <t>Yes</t>
        </is>
      </c>
      <c r="AG197" s="1" t="n"/>
      <c r="AH197" s="1" t="n"/>
      <c r="AI197" s="1" t="inlineStr">
        <is>
          <t>@ttrockstars</t>
        </is>
      </c>
      <c r="AJ197" s="1" t="n"/>
    </row>
    <row r="198" ht="12.5" customHeight="1">
      <c r="A198" s="6" t="n">
        <v>45839</v>
      </c>
      <c r="B198" s="1" t="inlineStr">
        <is>
          <t>ORG_2146</t>
        </is>
      </c>
      <c r="C198" s="1" t="b">
        <v>1</v>
      </c>
      <c r="D198" s="1" t="inlineStr">
        <is>
          <t>QuikWise AI</t>
        </is>
      </c>
      <c r="E198" s="10" t="inlineStr">
        <is>
          <t>quikwise.ai</t>
        </is>
      </c>
      <c r="F198" t="inlineStr">
        <is>
          <t>quikwise.ai</t>
        </is>
      </c>
      <c r="G198" s="1" t="inlineStr">
        <is>
          <t>QuikWise is an AI-powered tutoring platform providing 24/7 personalized support for students of all ages and learning needs. It uses adaptive AI, voice-based interaction, quizzes, and real-time parental feedback to create an inclusive and engaging learning experience. Designed for both individual learners and institutions, QuikWise scales across subjects and education levels to make effective tutoring accessible to everyone.</t>
        </is>
      </c>
      <c r="H198" s="1" t="inlineStr">
        <is>
          <t>EdTech Austria</t>
        </is>
      </c>
      <c r="I198" s="1" t="inlineStr">
        <is>
          <t>English</t>
        </is>
      </c>
      <c r="J198" s="1" t="inlineStr">
        <is>
          <t>Graz</t>
        </is>
      </c>
      <c r="K198" t="inlineStr">
        <is>
          <t>Graz</t>
        </is>
      </c>
      <c r="L198" t="inlineStr">
        <is>
          <t>Graz, Austria</t>
        </is>
      </c>
      <c r="M198" t="n">
        <v>47.0708678</v>
      </c>
      <c r="N198" t="n">
        <v>15.4382786</v>
      </c>
      <c r="O198" s="1" t="inlineStr">
        <is>
          <t>Austria</t>
        </is>
      </c>
      <c r="P198" s="1" t="inlineStr">
        <is>
          <t>Albania, Andorra, Austria, Belarus, Belgium, Bosnia and Herzegovina, Republic of Cyprus, Croatia, Bulgaria, Czechia, Denmark, Estonia, Germany, France, Finland, Greece, Hungary, Iceland, Kosovo, Italy, Ireland, Latvia, Liechtenstein, Lithuania, Moldova, Malta, Luxembourg, Monaco, Montenegro, Netherlands, Poland, Norway, North Macedonia, Portugal, Romania, San Marino, Spain, Slovenia, Slovakia, Sweden, Switzerland, Turkey, United Kingdom, Ukraine</t>
        </is>
      </c>
      <c r="Q198" s="1" t="inlineStr">
        <is>
          <t>Micro (1-9 FTE employees)</t>
        </is>
      </c>
      <c r="R198" t="inlineStr">
        <is>
          <t>Micro</t>
        </is>
      </c>
      <c r="S198" s="1" t="inlineStr">
        <is>
          <t>Business to Consumer, Business to Business, Business to Schools</t>
        </is>
      </c>
      <c r="T198" s="1" t="inlineStr">
        <is>
          <t>Primary Education, Secondary Education, Higher Education, Vocational Education and Training (VET), Corporate Training, Lifelong learning/Adult education</t>
        </is>
      </c>
      <c r="U198" s="1" t="inlineStr">
        <is>
          <t>Student interfacing, Teacher interfacing</t>
        </is>
      </c>
      <c r="V198" s="1" t="inlineStr">
        <is>
          <t>AI tutor</t>
        </is>
      </c>
      <c r="W198" s="1" t="inlineStr">
        <is>
          <t>An AI-powered, always-available tutor that provides personalized learning support, voice-based interaction, real-time quizzes, and progress feedback for students of all ages and abilities.</t>
        </is>
      </c>
      <c r="X198" s="10" t="n"/>
      <c r="Z198" s="1" t="n"/>
      <c r="AA198" s="1" t="inlineStr">
        <is>
          <t>Unverified</t>
        </is>
      </c>
      <c r="AB198" s="1" t="inlineStr">
        <is>
          <t>Collaborations between EdTech organisations, Public-private partnerships, Industry-academia partnerships</t>
        </is>
      </c>
      <c r="AC198" s="1" t="inlineStr">
        <is>
          <t>For-profit company</t>
        </is>
      </c>
      <c r="AD198" s="1" t="b">
        <v>1</v>
      </c>
      <c r="AE198" s="1" t="b">
        <v>1</v>
      </c>
      <c r="AF198" s="1" t="inlineStr">
        <is>
          <t>Yes</t>
        </is>
      </c>
      <c r="AG198" s="1" t="inlineStr">
        <is>
          <t>https://www.instagram.com/quikwise.ai</t>
        </is>
      </c>
      <c r="AH198" s="1" t="inlineStr">
        <is>
          <t>https://www.instagram.com/quikwise.ai</t>
        </is>
      </c>
      <c r="AI198" s="1" t="inlineStr">
        <is>
          <t>https://www.instagram.com/quikwise.ai</t>
        </is>
      </c>
      <c r="AJ198" s="10" t="inlineStr">
        <is>
          <t>https://www.facebook.com/quikwise</t>
        </is>
      </c>
    </row>
    <row r="199" ht="12.5" customHeight="1">
      <c r="A199" s="6" t="n">
        <v>45839</v>
      </c>
      <c r="B199" s="1" t="inlineStr">
        <is>
          <t>ORG_1071</t>
        </is>
      </c>
      <c r="C199" s="1" t="b">
        <v>1</v>
      </c>
      <c r="D199" s="1" t="inlineStr">
        <is>
          <t>Analytikus</t>
        </is>
      </c>
      <c r="E199" s="10" t="inlineStr">
        <is>
          <t>http://www.analytikus.com</t>
        </is>
      </c>
      <c r="F199" t="inlineStr">
        <is>
          <t>analytikus.com</t>
        </is>
      </c>
      <c r="G199" s="1" t="inlineStr">
        <is>
          <t>Analytikus is a global EdTech company that uses artificial intelligence and data analytics to improve higher education. Founded in 2015, it works with universities in over 15 countries to help them make smarter decisions and personalize the student experience. Its main product is SEAL – a smart platform that supports students across their academic journey, from admissions to graduation and career planning. SEAL connects data from different systems (like SIS, LMS, CRM, and ERP) into one place, using a data hub called WHALE. With SEAL, institutions can: Improve student recruitment with Admissions Optimizer Prevent dropouts using Foresight Help students develop job-ready skills through Skills Planner Provide personalized learning and teaching support with tools like Portrait, Learning Buddy, and virtual coaches like Emilia Analytikus combines educational expertise with advanced AI to deliver easy-to-use, ready-made solutions that make a real impact in higher education.</t>
        </is>
      </c>
      <c r="H199" s="1" t="inlineStr">
        <is>
          <t>I'm not part of any EdTech association</t>
        </is>
      </c>
      <c r="I199" s="1" t="inlineStr">
        <is>
          <t>English, Spanish</t>
        </is>
      </c>
      <c r="J199" s="1" t="inlineStr">
        <is>
          <t>Valencia</t>
        </is>
      </c>
      <c r="K199" t="inlineStr">
        <is>
          <t>Valencia</t>
        </is>
      </c>
      <c r="L199" t="inlineStr">
        <is>
          <t>Valencia, Spain</t>
        </is>
      </c>
      <c r="M199" t="n">
        <v>39.6819591</v>
      </c>
      <c r="N199" t="n">
        <v>-0.7654406</v>
      </c>
      <c r="O199" s="1" t="inlineStr">
        <is>
          <t>Spain</t>
        </is>
      </c>
      <c r="P199" s="1" t="inlineStr">
        <is>
          <t>Spain, Netherlands, Germany, United Kingdom</t>
        </is>
      </c>
      <c r="Q199" s="1" t="inlineStr">
        <is>
          <t>Small (10-49 FTE employees)</t>
        </is>
      </c>
      <c r="R199" t="inlineStr">
        <is>
          <t>Small</t>
        </is>
      </c>
      <c r="S199" s="1" t="inlineStr">
        <is>
          <t>Business to Business</t>
        </is>
      </c>
      <c r="T199" s="1" t="inlineStr">
        <is>
          <t>Higher Education</t>
        </is>
      </c>
      <c r="U199" s="1" t="inlineStr">
        <is>
          <t>Student interfacing, System/Administrative</t>
        </is>
      </c>
      <c r="V199" s="1" t="inlineStr">
        <is>
          <t>SEAL Platform</t>
        </is>
      </c>
      <c r="W199" s="1" t="inlineStr">
        <is>
          <t>SEAL (Student Experience for Augmented Learning) is Analytikus’ AI-powered platform designed to enhance every stage of the student journey in higher education. It connects data from multiple systems (SIS, LMS, CRM, ERP) into a unified view through its data engine called WHALE.</t>
        </is>
      </c>
      <c r="X199" s="10" t="inlineStr">
        <is>
          <t>SEALs modules</t>
        </is>
      </c>
      <c r="Y199" t="inlineStr">
        <is>
          <t>SEAL uses machine learning and generative AI to help universities:
-Recruit more effectively (Admissions Optimizer)
-Prevent student dropout (Foresight)
-Support personalized learning (Portrait &amp; Learning Buddy)
-Improve teaching quality (Teaching Buddy &amp; Grading Assistant)</t>
        </is>
      </c>
      <c r="Z199" s="1" t="n"/>
      <c r="AA199" s="1" t="inlineStr">
        <is>
          <t>Unverified</t>
        </is>
      </c>
      <c r="AB199" s="1" t="inlineStr">
        <is>
          <t>Collaborations between EdTech organisations, Industry-academia partnerships, Project consortium building</t>
        </is>
      </c>
      <c r="AC199" s="1" t="inlineStr">
        <is>
          <t>For-profit company</t>
        </is>
      </c>
      <c r="AD199" s="1" t="b">
        <v>1</v>
      </c>
      <c r="AE199" s="1" t="b">
        <v>1</v>
      </c>
      <c r="AF199" s="1" t="inlineStr">
        <is>
          <t>Yes</t>
        </is>
      </c>
      <c r="AG199" s="1" t="inlineStr">
        <is>
          <t>https://www.linkedin.com/company/analytikus/</t>
        </is>
      </c>
      <c r="AH199" s="1" t="inlineStr">
        <is>
          <t>https://www.linkedin.com/company/analytikus/</t>
        </is>
      </c>
      <c r="AI199" s="1" t="inlineStr">
        <is>
          <t>https://www.linkedin.com/company/analytikus/</t>
        </is>
      </c>
      <c r="AJ199" s="1" t="n"/>
    </row>
    <row r="200" ht="12.5" customHeight="1">
      <c r="A200" s="6" t="n">
        <v>45839</v>
      </c>
      <c r="B200" s="1" t="inlineStr">
        <is>
          <t>ORG_1299</t>
        </is>
      </c>
      <c r="C200" s="1" t="b">
        <v>1</v>
      </c>
      <c r="D200" s="1" t="inlineStr">
        <is>
          <t>Corolair</t>
        </is>
      </c>
      <c r="E200" s="10" t="inlineStr">
        <is>
          <t>corolair.com</t>
        </is>
      </c>
      <c r="F200" t="inlineStr">
        <is>
          <t>corolair.com</t>
        </is>
      </c>
      <c r="G200" s="1" t="inlineStr">
        <is>
          <t>The student-centric AI assistant for Higher Education</t>
        </is>
      </c>
      <c r="H200" s="1" t="inlineStr">
        <is>
          <t>EdTech France</t>
        </is>
      </c>
      <c r="I200" s="1" t="inlineStr">
        <is>
          <t>English, Spanish, Italian, French, German</t>
        </is>
      </c>
      <c r="J200" s="1" t="inlineStr">
        <is>
          <t>Paris</t>
        </is>
      </c>
      <c r="K200" t="inlineStr">
        <is>
          <t>Paris</t>
        </is>
      </c>
      <c r="L200" t="inlineStr">
        <is>
          <t>Paris, France</t>
        </is>
      </c>
      <c r="M200" t="n">
        <v>48.8534951</v>
      </c>
      <c r="N200" t="n">
        <v>2.3483915</v>
      </c>
      <c r="O200" s="1" t="inlineStr">
        <is>
          <t>France</t>
        </is>
      </c>
      <c r="P200" s="1" t="inlineStr">
        <is>
          <t>France, Spain, Switzerland, United Kingdom, Netherlands, Germany</t>
        </is>
      </c>
      <c r="Q200" s="1" t="inlineStr">
        <is>
          <t>Micro (1-9 FTE employees)</t>
        </is>
      </c>
      <c r="R200" t="inlineStr">
        <is>
          <t>Micro</t>
        </is>
      </c>
      <c r="S200" s="1" t="inlineStr">
        <is>
          <t>Business to Business</t>
        </is>
      </c>
      <c r="T200" s="1" t="inlineStr">
        <is>
          <t>Higher Education, Vocational Education and Training (VET), Corporate Training, Lifelong learning/Adult education</t>
        </is>
      </c>
      <c r="U200" s="1" t="inlineStr">
        <is>
          <t>Student interfacing, Teacher interfacing, System/Administrative</t>
        </is>
      </c>
      <c r="V200" s="1" t="inlineStr">
        <is>
          <t>Teaching assistant on Moodle</t>
        </is>
      </c>
      <c r="W200" s="1" t="inlineStr">
        <is>
          <t>Support students 24/7 on their academic, admin &amp; pro questions</t>
        </is>
      </c>
      <c r="X200" s="1" t="inlineStr">
        <is>
          <t>Essay pre-grader</t>
        </is>
      </c>
      <c r="Y200" t="inlineStr">
        <is>
          <t>Save up to 10h/week grading student work</t>
        </is>
      </c>
      <c r="Z200" s="1" t="n"/>
      <c r="AA200" s="1" t="inlineStr">
        <is>
          <t>Unverified</t>
        </is>
      </c>
      <c r="AB200" s="1" t="inlineStr">
        <is>
          <t>Project consortium building, Public-private partnerships, Industry-academia partnerships, Collaborations between EdTech organisations</t>
        </is>
      </c>
      <c r="AC200" s="1" t="inlineStr">
        <is>
          <t>For-profit company</t>
        </is>
      </c>
      <c r="AD200" s="1" t="b">
        <v>1</v>
      </c>
      <c r="AE200" s="1" t="b">
        <v>1</v>
      </c>
      <c r="AF200" s="1" t="inlineStr">
        <is>
          <t>No</t>
        </is>
      </c>
      <c r="AG200" s="1" t="n"/>
      <c r="AH200" s="1" t="n"/>
      <c r="AI200" s="1" t="n"/>
      <c r="AJ200" s="1" t="n"/>
    </row>
    <row r="201" ht="12.5" customHeight="1">
      <c r="A201" s="6" t="n">
        <v>45839</v>
      </c>
      <c r="B201" s="1" t="inlineStr">
        <is>
          <t>ORG_1201</t>
        </is>
      </c>
      <c r="C201" s="1" t="b">
        <v>1</v>
      </c>
      <c r="D201" s="1" t="inlineStr">
        <is>
          <t>Brightbook</t>
        </is>
      </c>
      <c r="E201" s="10" t="inlineStr">
        <is>
          <t>www.brightbook.io</t>
        </is>
      </c>
      <c r="F201" t="inlineStr">
        <is>
          <t>brightbook.io</t>
        </is>
      </c>
      <c r="G201" s="1" t="inlineStr">
        <is>
          <t>An authoring tool for creating your own digital courses (education) or setting-up digital learning paths and supporting training (business). Brightbook makes it easy to create and share engaging, interactive courseware. Build and experience a seamless, integrated learning experience that brings enlightenment to the learning process.</t>
        </is>
      </c>
      <c r="H201" s="1" t="inlineStr">
        <is>
          <t>edtechstation</t>
        </is>
      </c>
      <c r="I201" s="1" t="inlineStr">
        <is>
          <t>English, French, Dutch</t>
        </is>
      </c>
      <c r="J201" s="1" t="inlineStr">
        <is>
          <t>Brugge</t>
        </is>
      </c>
      <c r="K201" t="inlineStr">
        <is>
          <t>Brugge</t>
        </is>
      </c>
      <c r="L201" t="inlineStr">
        <is>
          <t>Brugge, Belgium</t>
        </is>
      </c>
      <c r="M201" t="n">
        <v>51.2085526</v>
      </c>
      <c r="N201" t="n">
        <v>3.226772</v>
      </c>
      <c r="O201" s="1" t="inlineStr">
        <is>
          <t>Belgium</t>
        </is>
      </c>
      <c r="P201" s="1" t="inlineStr">
        <is>
          <t>Belgium, Netherlands</t>
        </is>
      </c>
      <c r="Q201" s="1" t="inlineStr">
        <is>
          <t>Micro (1-9 FTE employees)</t>
        </is>
      </c>
      <c r="R201" t="inlineStr">
        <is>
          <t>Micro</t>
        </is>
      </c>
      <c r="S201" s="1" t="inlineStr">
        <is>
          <t>Business to Business, Business to Consumer, Business to Schools, Business to Government</t>
        </is>
      </c>
      <c r="T201" s="1" t="inlineStr">
        <is>
          <t>Secondary Education, Vocational Education and Training (VET), Higher Education, Corporate Training, Lifelong learning/Adult education</t>
        </is>
      </c>
      <c r="U201" s="1" t="inlineStr">
        <is>
          <t>Teacher interfacing, Student interfacing</t>
        </is>
      </c>
      <c r="V201" s="1" t="inlineStr">
        <is>
          <t>Brightbook</t>
        </is>
      </c>
      <c r="W201" s="1" t="inlineStr">
        <is>
          <t>Authoringtool to create own digital courses or learning paths.</t>
        </is>
      </c>
      <c r="X201" s="10" t="n"/>
      <c r="Z201" s="1" t="n"/>
      <c r="AA201" s="1" t="inlineStr">
        <is>
          <t>Unverified</t>
        </is>
      </c>
      <c r="AB201" s="1" t="inlineStr">
        <is>
          <t>Collaborations between EdTech organisations, Project consortium building, Public-private partnerships, Industry-academia partnerships</t>
        </is>
      </c>
      <c r="AC201" s="1" t="inlineStr">
        <is>
          <t>For-profit company</t>
        </is>
      </c>
      <c r="AD201" s="1" t="b">
        <v>1</v>
      </c>
      <c r="AE201" s="1" t="b">
        <v>1</v>
      </c>
      <c r="AF201" s="1" t="inlineStr">
        <is>
          <t>Yes</t>
        </is>
      </c>
      <c r="AG201" s="1" t="inlineStr">
        <is>
          <t>https://www.linkedin.com/company/86933752/admin/dashboard/</t>
        </is>
      </c>
      <c r="AH201" s="1" t="inlineStr">
        <is>
          <t>https://www.linkedin.com/company/86933752/admin/dashboard/</t>
        </is>
      </c>
      <c r="AI201" s="1" t="inlineStr">
        <is>
          <t>https://www.linkedin.com/company/86933752/admin/dashboard/</t>
        </is>
      </c>
      <c r="AJ201" s="10" t="inlineStr">
        <is>
          <t>https://www.facebook.com/p/Brightbook</t>
        </is>
      </c>
    </row>
    <row r="202" ht="12.5" customHeight="1">
      <c r="A202" s="6" t="n">
        <v>45839</v>
      </c>
      <c r="B202" s="1" t="inlineStr">
        <is>
          <t>ORG_2523</t>
        </is>
      </c>
      <c r="C202" s="1" t="b">
        <v>1</v>
      </c>
      <c r="D202" s="1" t="inlineStr">
        <is>
          <t>WellBased</t>
        </is>
      </c>
      <c r="E202" s="10" t="inlineStr">
        <is>
          <t>https://wellbased.nl</t>
        </is>
      </c>
      <c r="F202" t="inlineStr">
        <is>
          <t>wellbased.nl</t>
        </is>
      </c>
      <c r="G202" s="1" t="inlineStr">
        <is>
          <t>WellBased is a Dutch educational platform that supports secondary school teachers by providing ready-to-use lesson materials that focus on enhancing students' social-emotional development and study skills, covering topics such as bullying, motivation, stress management, planning, and digital literacy.</t>
        </is>
      </c>
      <c r="H202" s="1" t="inlineStr">
        <is>
          <t>Dutch EdTech</t>
        </is>
      </c>
      <c r="I202" s="1" t="inlineStr">
        <is>
          <t>English, Dutch</t>
        </is>
      </c>
      <c r="J202" s="1" t="inlineStr">
        <is>
          <t>Netherlands</t>
        </is>
      </c>
      <c r="K202" t="inlineStr">
        <is>
          <t>Netherlands</t>
        </is>
      </c>
      <c r="L202" t="inlineStr">
        <is>
          <t>Netherlands, The Netherlands</t>
        </is>
      </c>
      <c r="M202" t="n">
        <v>52.0749456</v>
      </c>
      <c r="N202" t="n">
        <v>4.2696802</v>
      </c>
      <c r="O202" s="1" t="inlineStr">
        <is>
          <t>The Netherlands</t>
        </is>
      </c>
      <c r="P202" s="1" t="inlineStr">
        <is>
          <t>Netherlands, United Kingdom</t>
        </is>
      </c>
      <c r="Q202" s="1" t="inlineStr">
        <is>
          <t>Micro (1-9 FTE employees)</t>
        </is>
      </c>
      <c r="R202" t="inlineStr">
        <is>
          <t>Micro</t>
        </is>
      </c>
      <c r="S202" s="1" t="inlineStr">
        <is>
          <t>Business to Schools</t>
        </is>
      </c>
      <c r="T202" s="1" t="inlineStr">
        <is>
          <t>Secondary Education</t>
        </is>
      </c>
      <c r="U202" s="1" t="inlineStr">
        <is>
          <t>Teacher interfacing</t>
        </is>
      </c>
      <c r="V202" s="1" t="n"/>
      <c r="W202" s="1" t="n"/>
      <c r="X202" s="1" t="n"/>
      <c r="Z202" s="1" t="n"/>
      <c r="AA202" s="1" t="inlineStr">
        <is>
          <t>Unverified</t>
        </is>
      </c>
      <c r="AB202" s="1" t="n"/>
      <c r="AC202" s="1" t="inlineStr">
        <is>
          <t>For-profit company</t>
        </is>
      </c>
      <c r="AD202" s="1" t="b">
        <v>1</v>
      </c>
      <c r="AE202" s="1" t="b">
        <v>1</v>
      </c>
      <c r="AF202" s="1" t="inlineStr">
        <is>
          <t>No</t>
        </is>
      </c>
      <c r="AG202" s="1" t="n"/>
      <c r="AH202" s="1" t="n"/>
      <c r="AI202" s="1" t="n"/>
      <c r="AJ202" s="1" t="n"/>
    </row>
    <row r="203" ht="12.5" customHeight="1">
      <c r="A203" s="6" t="n">
        <v>45839</v>
      </c>
      <c r="B203" s="1" t="inlineStr">
        <is>
          <t>ORG_1151</t>
        </is>
      </c>
      <c r="C203" s="1" t="b">
        <v>1</v>
      </c>
      <c r="D203" s="1" t="inlineStr">
        <is>
          <t>BeezNest Belgium</t>
        </is>
      </c>
      <c r="E203" s="10" t="inlineStr">
        <is>
          <t>https://beeznest.com/</t>
        </is>
      </c>
      <c r="F203" t="inlineStr">
        <is>
          <t>beeznest.com</t>
        </is>
      </c>
      <c r="G203" s="1" t="inlineStr">
        <is>
          <t>BeezNest is an international information technology consulting and software development company. BeezNest is the editor of Chamilo LMS. Its extensive experience in e-learning and high-availability infrastructures make it the ideal partner for the implementation of large-scale projects. Chamilo LMS is the LMS platform recognized as one of the three most used Open Source e-learning platforms in the world, and especially as the number 1 platform in terms of ease of use and ergonomics. BeezNest supports the Chamilo Association through funding, development and promotion of the Chamilo software.</t>
        </is>
      </c>
      <c r="H203" s="1" t="inlineStr">
        <is>
          <t>I'm not part of any EdTech association</t>
        </is>
      </c>
      <c r="I203" s="1" t="inlineStr">
        <is>
          <t>English, French, Spanish</t>
        </is>
      </c>
      <c r="J203" s="1" t="inlineStr">
        <is>
          <t>Nivelles</t>
        </is>
      </c>
      <c r="K203" t="inlineStr">
        <is>
          <t>Nivelles</t>
        </is>
      </c>
      <c r="L203" t="inlineStr">
        <is>
          <t>Nivelles, Belgium</t>
        </is>
      </c>
      <c r="M203" t="n">
        <v>50.5976885</v>
      </c>
      <c r="N203" t="n">
        <v>4.3235854</v>
      </c>
      <c r="O203" s="1" t="inlineStr">
        <is>
          <t>Belgium</t>
        </is>
      </c>
      <c r="P203" s="1" t="inlineStr">
        <is>
          <t>Albania, Belarus, Andorra, Belgium, Bosnia and Herzegovina, Austria, Republic of Cyprus, Croatia, Bulgaria, Czechia, Denmark, Estonia, Germany, France, Finland, Greece, Hungary, Iceland, Kosovo, Romania, Portugal, Slovakia, Slovenia, Spain, Lithuania, Poland</t>
        </is>
      </c>
      <c r="Q203" s="1" t="inlineStr">
        <is>
          <t>Micro (1-9 FTE employees)</t>
        </is>
      </c>
      <c r="R203" t="inlineStr">
        <is>
          <t>Micro</t>
        </is>
      </c>
      <c r="S203" s="1" t="inlineStr">
        <is>
          <t>Business to Business, Business to Government, Business to Schools</t>
        </is>
      </c>
      <c r="T203" s="1" t="inlineStr">
        <is>
          <t>Corporate Training, Higher Education, Vocational Education and Training (VET), Secondary Education, Primary Education, Early childhood development (0-5 years), Lifelong learning/Adult education, Special Education</t>
        </is>
      </c>
      <c r="U203" s="1" t="inlineStr">
        <is>
          <t>Student interfacing, Teacher interfacing, System/Administrative</t>
        </is>
      </c>
      <c r="V203" s="1" t="inlineStr">
        <is>
          <t>Chamilo LMS</t>
        </is>
      </c>
      <c r="W203" s="1" t="inlineStr">
        <is>
          <t>Chamilo LMS is a Learning Management System and Talent Management System with a clear focus on ease of use. It allows an organization to setup and distribute courses to its staff, while retaining important information about their learning and skills achievements, a valuable tool for HR departments.</t>
        </is>
      </c>
      <c r="X203" s="10" t="inlineStr">
        <is>
          <t>Expert Services for Chamilo LMS Deployment</t>
        </is>
      </c>
      <c r="Y203" t="inlineStr">
        <is>
          <t>BeezNest supports organizations from various sectors in implementing their e-learning platforms by providing high-quality services, ranging from training and hosting to custom development.</t>
        </is>
      </c>
      <c r="Z203" s="1" t="n"/>
      <c r="AA203" s="1" t="inlineStr">
        <is>
          <t>Unverified</t>
        </is>
      </c>
      <c r="AB203" s="1" t="inlineStr">
        <is>
          <t>Collaborations between EdTech organisations, Project consortium building, Public-private partnerships, Industry-academia partnerships</t>
        </is>
      </c>
      <c r="AC203" s="1" t="inlineStr">
        <is>
          <t>For-profit company</t>
        </is>
      </c>
      <c r="AD203" s="1" t="b">
        <v>1</v>
      </c>
      <c r="AE203" s="1" t="b">
        <v>0</v>
      </c>
      <c r="AF203" s="1" t="inlineStr">
        <is>
          <t>Yes</t>
        </is>
      </c>
      <c r="AG203" s="1" t="inlineStr">
        <is>
          <t>https://www.linkedin.com/company/206029/</t>
        </is>
      </c>
      <c r="AH203" s="1" t="inlineStr">
        <is>
          <t>https://www.linkedin.com/company/206029/</t>
        </is>
      </c>
      <c r="AI203" s="1" t="inlineStr">
        <is>
          <t>https://www.linkedin.com/company/206029/</t>
        </is>
      </c>
      <c r="AJ203" s="1" t="n"/>
    </row>
    <row r="204" ht="12.5" customHeight="1">
      <c r="A204" s="6" t="n">
        <v>45839</v>
      </c>
      <c r="B204" s="1" t="inlineStr">
        <is>
          <t>ORG_1988</t>
        </is>
      </c>
      <c r="C204" s="1" t="b">
        <v>1</v>
      </c>
      <c r="D204" s="1" t="inlineStr">
        <is>
          <t>Morphoses</t>
        </is>
      </c>
      <c r="E204" s="10" t="inlineStr">
        <is>
          <t>morphoses.io</t>
        </is>
      </c>
      <c r="F204" t="inlineStr">
        <is>
          <t>morphoses.io</t>
        </is>
      </c>
      <c r="G204" s="1" t="inlineStr">
        <is>
          <t>Morphoses - the end to end solution for soft skills</t>
        </is>
      </c>
      <c r="H204" s="1" t="inlineStr">
        <is>
          <t>I'm not part of any EdTech association</t>
        </is>
      </c>
      <c r="I204" s="1" t="inlineStr">
        <is>
          <t>English</t>
        </is>
      </c>
      <c r="J204" s="1" t="inlineStr">
        <is>
          <t>London</t>
        </is>
      </c>
      <c r="K204" t="inlineStr">
        <is>
          <t>London</t>
        </is>
      </c>
      <c r="L204" t="inlineStr">
        <is>
          <t>London, United Kingdom</t>
        </is>
      </c>
      <c r="M204" t="n">
        <v>51.5074456</v>
      </c>
      <c r="N204" t="n">
        <v>-0.1277653</v>
      </c>
      <c r="O204" s="1" t="inlineStr">
        <is>
          <t>United Kingdom</t>
        </is>
      </c>
      <c r="P204" s="1" t="inlineStr">
        <is>
          <t>Greece, United Kingdom, Romania</t>
        </is>
      </c>
      <c r="Q204" s="1" t="inlineStr">
        <is>
          <t>Small (10-49 FTE employees)</t>
        </is>
      </c>
      <c r="R204" t="inlineStr">
        <is>
          <t>Small</t>
        </is>
      </c>
      <c r="S204" s="1" t="inlineStr">
        <is>
          <t>Business to Business, Business to Consumer</t>
        </is>
      </c>
      <c r="T204" s="1" t="inlineStr">
        <is>
          <t>Primary Education, Secondary Education, Corporate Training, Higher Education</t>
        </is>
      </c>
      <c r="U204" s="1" t="inlineStr">
        <is>
          <t>Student interfacing</t>
        </is>
      </c>
      <c r="V204" s="1" t="inlineStr">
        <is>
          <t>Morphoses</t>
        </is>
      </c>
      <c r="W204" s="1" t="inlineStr">
        <is>
          <t>End to end solution for soft skills</t>
        </is>
      </c>
      <c r="X204" s="10" t="n"/>
      <c r="Z204" s="1" t="n"/>
      <c r="AA204" s="1" t="inlineStr">
        <is>
          <t>Unverified</t>
        </is>
      </c>
      <c r="AB204" s="1" t="inlineStr">
        <is>
          <t>Project consortium building, Public-private partnerships, Industry-academia partnerships</t>
        </is>
      </c>
      <c r="AC204" s="1" t="inlineStr">
        <is>
          <t>For-profit company</t>
        </is>
      </c>
      <c r="AD204" s="1" t="b">
        <v>1</v>
      </c>
      <c r="AE204" s="1" t="b">
        <v>1</v>
      </c>
      <c r="AF204" s="1" t="inlineStr">
        <is>
          <t>Yes</t>
        </is>
      </c>
      <c r="AG204" s="1" t="inlineStr">
        <is>
          <t>https://www.linkedin.com/company/74557040</t>
        </is>
      </c>
      <c r="AH204" s="1" t="inlineStr">
        <is>
          <t>https://www.linkedin.com/company/74557040</t>
        </is>
      </c>
      <c r="AI204" s="1" t="inlineStr">
        <is>
          <t>https://www.linkedin.com/company/74557040</t>
        </is>
      </c>
      <c r="AJ204" s="1" t="n"/>
    </row>
    <row r="205" ht="12.5" customHeight="1">
      <c r="A205" s="6" t="n">
        <v>45839</v>
      </c>
      <c r="B205" s="1" t="inlineStr">
        <is>
          <t>ORG_2248</t>
        </is>
      </c>
      <c r="C205" s="1" t="b">
        <v>1</v>
      </c>
      <c r="D205" s="1" t="inlineStr">
        <is>
          <t>Singularity Experts</t>
        </is>
      </c>
      <c r="E205" s="10" t="inlineStr">
        <is>
          <t>https://singularity-experts.com/en/</t>
        </is>
      </c>
      <c r="F205" t="inlineStr">
        <is>
          <t>singularity-experts.com/en</t>
        </is>
      </c>
      <c r="G205" s="1" t="inlineStr">
        <is>
          <t>Singularity Experts is the only vocational guidance platform with expertise in the new and changing labour market, guiding people through the thousands of training and jobs that emerge every day, helping them to choose only careers, vocational training, postgraduates and jobs with high employability.</t>
        </is>
      </c>
      <c r="H205" s="1" t="inlineStr">
        <is>
          <t>SEK Lab</t>
        </is>
      </c>
      <c r="I205" s="1" t="inlineStr">
        <is>
          <t>English, Spanish</t>
        </is>
      </c>
      <c r="J205" s="1" t="inlineStr">
        <is>
          <t>Madrid</t>
        </is>
      </c>
      <c r="K205" t="inlineStr">
        <is>
          <t>Madrid</t>
        </is>
      </c>
      <c r="L205" t="inlineStr">
        <is>
          <t>Madrid, Spain</t>
        </is>
      </c>
      <c r="M205" t="n">
        <v>40.416782</v>
      </c>
      <c r="N205" t="n">
        <v>-3.703507</v>
      </c>
      <c r="O205" s="1" t="inlineStr">
        <is>
          <t>Spain</t>
        </is>
      </c>
      <c r="P205" s="1" t="inlineStr">
        <is>
          <t>Spain, Colombia</t>
        </is>
      </c>
      <c r="Q205" s="1" t="inlineStr">
        <is>
          <t>Micro (1-9 FTE employees)</t>
        </is>
      </c>
      <c r="R205" t="inlineStr">
        <is>
          <t>Micro</t>
        </is>
      </c>
      <c r="S205" s="1" t="inlineStr">
        <is>
          <t>Business to Business, Business to Consumer, Business to Schools, Business to Government</t>
        </is>
      </c>
      <c r="T205" s="1" t="inlineStr">
        <is>
          <t>Vocational Education and Training (VET), Secondary Education, Higher Education, Lifelong learning/Adult education</t>
        </is>
      </c>
      <c r="U205" s="1" t="inlineStr">
        <is>
          <t>Student interfacing</t>
        </is>
      </c>
      <c r="V205" s="1" t="inlineStr">
        <is>
          <t>BTC model</t>
        </is>
      </c>
      <c r="W205" s="1" t="inlineStr">
        <is>
          <t>Sells the solution directly to private customers who access the web in search of guidance: schoolchildren to decide on high school, FP or career; university students to choose complementary training and adult professionals to retrain.</t>
        </is>
      </c>
      <c r="X205" s="10" t="inlineStr">
        <is>
          <t>BTB model</t>
        </is>
      </c>
      <c r="Y205" t="inlineStr">
        <is>
          <t>a) Colleges and Universities: sale of license or commissions for the intermediary sale
b) Companies: sale of licenses for employee upskilling
c) Consulting projects: definition of training to be given, jobs to be created, etc. in public companies</t>
        </is>
      </c>
      <c r="Z205" s="1" t="n"/>
      <c r="AA205" s="1" t="inlineStr">
        <is>
          <t>Unverified</t>
        </is>
      </c>
      <c r="AB205" s="1" t="inlineStr">
        <is>
          <t>Collaborations between EdTech organisations, Project consortium building, Public-private partnerships, Industry-academia partnerships</t>
        </is>
      </c>
      <c r="AC205" s="1" t="inlineStr">
        <is>
          <t>For-profit company</t>
        </is>
      </c>
      <c r="AD205" s="1" t="b">
        <v>1</v>
      </c>
      <c r="AE205" s="1" t="b">
        <v>1</v>
      </c>
      <c r="AF205" s="1" t="inlineStr">
        <is>
          <t>Yes</t>
        </is>
      </c>
      <c r="AG205" s="1" t="inlineStr">
        <is>
          <t>https://www.linkedin.com/company/singularity</t>
        </is>
      </c>
      <c r="AH205" s="1" t="inlineStr">
        <is>
          <t>https://www.linkedin.com/company/singularity</t>
        </is>
      </c>
      <c r="AI205" s="1" t="inlineStr">
        <is>
          <t>https://www.linkedin.com/company/singularity</t>
        </is>
      </c>
    </row>
    <row r="206" ht="12.5" customHeight="1">
      <c r="A206" s="6" t="n">
        <v>45839</v>
      </c>
      <c r="B206" s="1" t="inlineStr">
        <is>
          <t>ORG_2285</t>
        </is>
      </c>
      <c r="C206" s="1" t="b">
        <v>1</v>
      </c>
      <c r="D206" s="1" t="inlineStr">
        <is>
          <t>Snackson</t>
        </is>
      </c>
      <c r="E206" s="10" t="inlineStr">
        <is>
          <t>https://www.snackson.com/</t>
        </is>
      </c>
      <c r="F206" t="inlineStr">
        <is>
          <t>snackson.com</t>
        </is>
      </c>
      <c r="G206" s="1" t="inlineStr">
        <is>
          <t>Snackson is an innovative microlearning platform designed to revolutionize organizational training. The company specializes in delivering effective learning experiences through short, daily sessions lasting just a few minutes. Their approach combines microlearning methodologies with gamification dynamics, accessible both on mobile devices and web browsers. Key features include: A catalog of ready-to-use courses for immediate deployment Custom microcourse creation capabilities Expert consulting services for designing comprehensive training experiences Training subsidies through collaboration with FUNDAE experts Snackson serves over 50,000 participants annually and positions itself as more than just microlearning - they're e-learning specialists who handle projects beyond microlearning, including Moodle, RISE, and artificial intelligence implementations. The platform offers flexible solutions where organizations can choose their desired approach, from using existing catalog content to creating fully customized learning experiences.</t>
        </is>
      </c>
      <c r="H206" s="1" t="inlineStr">
        <is>
          <t>I'm not part of any EdTech association, SEK Lab</t>
        </is>
      </c>
      <c r="I206" s="1" t="inlineStr">
        <is>
          <t>Spanish</t>
        </is>
      </c>
      <c r="J206" s="1" t="inlineStr">
        <is>
          <t>Barcelona</t>
        </is>
      </c>
      <c r="K206" t="inlineStr">
        <is>
          <t>Barcelona</t>
        </is>
      </c>
      <c r="L206" t="inlineStr">
        <is>
          <t>Barcelona, Spain</t>
        </is>
      </c>
      <c r="M206" t="n">
        <v>41.3825802</v>
      </c>
      <c r="N206" t="n">
        <v>2.177073</v>
      </c>
      <c r="O206" s="1" t="inlineStr">
        <is>
          <t>Spain</t>
        </is>
      </c>
      <c r="P206" s="1" t="inlineStr">
        <is>
          <t>Spain</t>
        </is>
      </c>
      <c r="Q206" s="1" t="inlineStr">
        <is>
          <t>Micro (1-9 FTE employees)</t>
        </is>
      </c>
      <c r="R206" t="inlineStr">
        <is>
          <t>Micro</t>
        </is>
      </c>
      <c r="S206" s="1" t="inlineStr">
        <is>
          <t>Business to Business</t>
        </is>
      </c>
      <c r="T206" s="1" t="inlineStr">
        <is>
          <t>Lifelong learning/Adult education, Corporate Training</t>
        </is>
      </c>
      <c r="U206" s="1" t="inlineStr">
        <is>
          <t>Student interfacing, Teacher interfacing, System/Administrative</t>
        </is>
      </c>
      <c r="V206" s="1" t="inlineStr">
        <is>
          <t>Snackson</t>
        </is>
      </c>
      <c r="W206" s="1" t="inlineStr">
        <is>
          <t>A microlearning platform with gamification dynamics, accessible both on mobile devices and web browsers.</t>
        </is>
      </c>
      <c r="X206" s="10" t="inlineStr">
        <is>
          <t>Wizard Ai</t>
        </is>
      </c>
      <c r="Y206" t="inlineStr">
        <is>
          <t>Wizard AI is an artificial intelligence tool that automatically creates didactic scripts for e-learning.</t>
        </is>
      </c>
      <c r="Z206" s="1" t="n"/>
      <c r="AA206" s="1" t="inlineStr">
        <is>
          <t>Unverified</t>
        </is>
      </c>
      <c r="AB206" s="1" t="inlineStr">
        <is>
          <t>Collaborations between EdTech organisations, Public-private partnerships, Project consortium building, Industry-academia partnerships</t>
        </is>
      </c>
      <c r="AC206" s="1" t="inlineStr">
        <is>
          <t>For-profit company</t>
        </is>
      </c>
      <c r="AD206" s="1" t="b">
        <v>1</v>
      </c>
      <c r="AE206" s="1" t="b">
        <v>1</v>
      </c>
      <c r="AF206" s="1" t="inlineStr">
        <is>
          <t>Yes</t>
        </is>
      </c>
      <c r="AG206" s="1" t="inlineStr">
        <is>
          <t>https://www.linkedin.com/company/snackson/</t>
        </is>
      </c>
      <c r="AH206" s="1" t="inlineStr">
        <is>
          <t>https://www.linkedin.com/company/snackson/</t>
        </is>
      </c>
      <c r="AI206" s="1" t="inlineStr">
        <is>
          <t>https://www.linkedin.com/company/snackson/</t>
        </is>
      </c>
    </row>
    <row r="207" ht="12.5" customHeight="1">
      <c r="A207" s="6" t="n">
        <v>45839</v>
      </c>
      <c r="B207" s="1" t="inlineStr">
        <is>
          <t>ORG_1026</t>
        </is>
      </c>
      <c r="C207" s="1" t="b">
        <v>1</v>
      </c>
      <c r="D207" s="1" t="inlineStr">
        <is>
          <t>Academic Software</t>
        </is>
      </c>
      <c r="E207" s="10" t="inlineStr">
        <is>
          <t>www.academicsoftware.com</t>
        </is>
      </c>
      <c r="F207" t="inlineStr">
        <is>
          <t>academicsoftware.com</t>
        </is>
      </c>
      <c r="G207" s="1" t="inlineStr">
        <is>
          <t>The European partner of choice of educational and research institutions, with the goal to improve education through seamless access to all digital assets, unburdening students, educators, researchers and staff with focus on end-user experience.</t>
        </is>
      </c>
      <c r="H207" s="1" t="inlineStr">
        <is>
          <t>I'm not part of any EdTech association</t>
        </is>
      </c>
      <c r="I207" s="1" t="inlineStr">
        <is>
          <t>English, German, French, Spanish, Italian, Dutch</t>
        </is>
      </c>
      <c r="J207" s="1" t="inlineStr">
        <is>
          <t>Lokeren</t>
        </is>
      </c>
      <c r="K207" t="inlineStr">
        <is>
          <t>Lokeren</t>
        </is>
      </c>
      <c r="L207" t="inlineStr">
        <is>
          <t>Lokeren, Belgium</t>
        </is>
      </c>
      <c r="M207" t="n">
        <v>51.1044488</v>
      </c>
      <c r="N207" t="n">
        <v>3.9898689</v>
      </c>
      <c r="O207" s="1" t="inlineStr">
        <is>
          <t>Belgium</t>
        </is>
      </c>
      <c r="P207" s="1" t="inlineStr">
        <is>
          <t>Belgium, Austria, Germany, France, Finland, Italy, Luxembourg, Netherlands, Poland, Spain, Switzerland, United Kingdom</t>
        </is>
      </c>
      <c r="Q207" s="1" t="inlineStr">
        <is>
          <t>Medium (50-250 FTE employees)</t>
        </is>
      </c>
      <c r="R207" t="inlineStr">
        <is>
          <t>Medium</t>
        </is>
      </c>
      <c r="S207" s="1" t="inlineStr">
        <is>
          <t>Business to Consumer, Business to Schools</t>
        </is>
      </c>
      <c r="T207" s="1" t="inlineStr">
        <is>
          <t>Secondary Education, Vocational Education and Training (VET), Higher Education, Lifelong learning/Adult education, Special Education</t>
        </is>
      </c>
      <c r="U207" s="1" t="inlineStr">
        <is>
          <t>Student interfacing, Teacher interfacing, System/Administrative</t>
        </is>
      </c>
      <c r="V207" s="1" t="inlineStr">
        <is>
          <t>Deployment portal</t>
        </is>
      </c>
      <c r="W207" s="1" t="inlineStr">
        <is>
          <t>Academic Software offers an intuitive platform that
streamlines and centralises the deployment and
packaging of all the software licences and digital
resources your institution requires, across multiple
devices. The software management tool for educational and
research institutions.</t>
        </is>
      </c>
      <c r="X207" s="10" t="inlineStr">
        <is>
          <t>Procurement portal</t>
        </is>
      </c>
      <c r="Y207" t="inlineStr">
        <is>
          <t>The Procurement Platform is designed to streamline the purchasing of software titles, removing the administrative burden from educational and research institutions. It offers flexible payment methods and cost centre allocation, tailored to the institution’s needs and approval processes.</t>
        </is>
      </c>
      <c r="Z207" s="1" t="n"/>
      <c r="AA207" s="1" t="inlineStr">
        <is>
          <t>Unverified</t>
        </is>
      </c>
      <c r="AB207" s="1" t="inlineStr">
        <is>
          <t>Collaborations between EdTech organisations, Project consortium building, Public-private partnerships, Industry-academia partnerships</t>
        </is>
      </c>
      <c r="AC207" s="1" t="inlineStr">
        <is>
          <t>For-profit company</t>
        </is>
      </c>
      <c r="AD207" s="1" t="b">
        <v>1</v>
      </c>
      <c r="AE207" s="1" t="b">
        <v>0</v>
      </c>
      <c r="AF207" s="1" t="inlineStr">
        <is>
          <t>Yes</t>
        </is>
      </c>
      <c r="AG207" s="1" t="inlineStr">
        <is>
          <t>http://www.linkedin.com/company/academic</t>
        </is>
      </c>
      <c r="AH207" s="1" t="inlineStr">
        <is>
          <t>http://www.linkedin.com/company/academic</t>
        </is>
      </c>
      <c r="AI207" s="1" t="inlineStr">
        <is>
          <t>www.linkedin.com/company/academic</t>
        </is>
      </c>
      <c r="AJ207" s="1" t="n"/>
    </row>
    <row r="208" ht="12.5" customHeight="1">
      <c r="A208" s="6" t="n">
        <v>45839</v>
      </c>
      <c r="B208" s="1" t="inlineStr">
        <is>
          <t>ORG_1433</t>
        </is>
      </c>
      <c r="C208" s="1" t="b">
        <v>1</v>
      </c>
      <c r="D208" s="1" t="inlineStr">
        <is>
          <t>Educational Intelligence</t>
        </is>
      </c>
      <c r="E208" s="10" t="inlineStr">
        <is>
          <t>www.eduintel.io</t>
        </is>
      </c>
      <c r="F208" t="inlineStr">
        <is>
          <t>eduintel.io</t>
        </is>
      </c>
      <c r="G208" s="1" t="inlineStr">
        <is>
          <t>AI-powered app for adult financial numeracy - sold via B2B</t>
        </is>
      </c>
      <c r="H208" s="1" t="inlineStr">
        <is>
          <t>I'm not part of any EdTech association</t>
        </is>
      </c>
      <c r="I208" s="1" t="inlineStr">
        <is>
          <t>English</t>
        </is>
      </c>
      <c r="J208" s="1" t="n"/>
      <c r="O208" s="1" t="n"/>
      <c r="P208" s="1" t="inlineStr">
        <is>
          <t>United Kingdom</t>
        </is>
      </c>
      <c r="Q208" s="1" t="inlineStr">
        <is>
          <t>Micro (1-9 FTE employees)</t>
        </is>
      </c>
      <c r="R208" t="inlineStr">
        <is>
          <t>Micro</t>
        </is>
      </c>
      <c r="S208" s="1" t="inlineStr">
        <is>
          <t>Business to Business, Business to Government</t>
        </is>
      </c>
      <c r="T208" s="1" t="inlineStr">
        <is>
          <t>Vocational Education and Training (VET), Lifelong learning/Adult education, Corporate Training</t>
        </is>
      </c>
      <c r="U208" s="1" t="inlineStr">
        <is>
          <t>Student interfacing</t>
        </is>
      </c>
      <c r="V208" s="1" t="inlineStr">
        <is>
          <t>Money Matters</t>
        </is>
      </c>
      <c r="W208" s="1" t="inlineStr">
        <is>
          <t>Mobile app for improving financial numeracy - deployed by governments, educators and businesses</t>
        </is>
      </c>
      <c r="X208" s="1" t="n"/>
      <c r="Z208" s="1" t="n"/>
      <c r="AA208" s="1" t="inlineStr">
        <is>
          <t>Unverified</t>
        </is>
      </c>
      <c r="AB208" s="1" t="inlineStr">
        <is>
          <t>Collaborations between EdTech organisations, Project consortium building, Industry-academia partnerships, Public-private partnerships</t>
        </is>
      </c>
      <c r="AC208" s="1" t="inlineStr">
        <is>
          <t>For-profit company</t>
        </is>
      </c>
      <c r="AD208" s="1" t="b">
        <v>0</v>
      </c>
      <c r="AE208" s="1" t="b">
        <v>1</v>
      </c>
      <c r="AF208" s="1" t="inlineStr">
        <is>
          <t>No</t>
        </is>
      </c>
      <c r="AG208" s="1" t="n"/>
      <c r="AH208" s="1" t="n"/>
      <c r="AI208" s="1" t="n"/>
      <c r="AJ208" s="1" t="n"/>
    </row>
    <row r="209" ht="12.5" customHeight="1">
      <c r="A209" s="6" t="n">
        <v>45839</v>
      </c>
      <c r="B209" s="1" t="inlineStr">
        <is>
          <t>ORG_2470</t>
        </is>
      </c>
      <c r="C209" s="1" t="b">
        <v>1</v>
      </c>
      <c r="D209" s="1" t="inlineStr">
        <is>
          <t>UNOWHY</t>
        </is>
      </c>
      <c r="E209" s="10" t="inlineStr">
        <is>
          <t>unowhy.com</t>
        </is>
      </c>
      <c r="F209" t="inlineStr">
        <is>
          <t>unowhy.com</t>
        </is>
      </c>
      <c r="G209" s="1" t="inlineStr">
        <is>
          <t>Des solutions numériques complètes au service de la transmission des savoirs</t>
        </is>
      </c>
      <c r="H209" s="1" t="inlineStr">
        <is>
          <t>AFINEF, EdTech France</t>
        </is>
      </c>
      <c r="I209" s="1" t="inlineStr">
        <is>
          <t>French, English</t>
        </is>
      </c>
      <c r="J209" s="1" t="inlineStr">
        <is>
          <t>Neuilly-Sur-Seine</t>
        </is>
      </c>
      <c r="K209" t="inlineStr">
        <is>
          <t>Neuilly-Sur-Seine</t>
        </is>
      </c>
      <c r="L209" t="inlineStr">
        <is>
          <t>Neuilly-Sur-Seine, France</t>
        </is>
      </c>
      <c r="M209" t="n">
        <v>48.884683</v>
      </c>
      <c r="N209" t="n">
        <v>2.2695658</v>
      </c>
      <c r="O209" s="1" t="inlineStr">
        <is>
          <t>France</t>
        </is>
      </c>
      <c r="P209" s="1" t="inlineStr">
        <is>
          <t>France</t>
        </is>
      </c>
      <c r="Q209" s="1" t="inlineStr">
        <is>
          <t>Medium (50-250 FTE employees)</t>
        </is>
      </c>
      <c r="R209" t="inlineStr">
        <is>
          <t>Medium</t>
        </is>
      </c>
      <c r="S209" s="1" t="inlineStr">
        <is>
          <t>Business to Government</t>
        </is>
      </c>
      <c r="T209" s="1" t="inlineStr">
        <is>
          <t>Primary Education, Secondary Education, Higher Education</t>
        </is>
      </c>
      <c r="U209" s="1" t="inlineStr">
        <is>
          <t>System/Administrative, Teacher interfacing, Student interfacing</t>
        </is>
      </c>
      <c r="V209" s="1" t="inlineStr">
        <is>
          <t>SQOOL</t>
        </is>
      </c>
      <c r="W209" s="1" t="inlineStr">
        <is>
          <t>La solution numérique tout-en-un au service de l'éducation</t>
        </is>
      </c>
      <c r="X209" s="1" t="inlineStr">
        <is>
          <t>SQOOL Extend</t>
        </is>
      </c>
      <c r="Y209" t="inlineStr">
        <is>
          <t>La première solution de PC virtuels dédiée à l'éducation</t>
        </is>
      </c>
      <c r="Z209" s="1" t="n"/>
      <c r="AA209" s="1" t="inlineStr">
        <is>
          <t>Unverified</t>
        </is>
      </c>
      <c r="AB209" s="1" t="inlineStr">
        <is>
          <t>Collaborations between EdTech organisations, Public-private partnerships</t>
        </is>
      </c>
      <c r="AC209" s="1" t="inlineStr">
        <is>
          <t>For-profit company</t>
        </is>
      </c>
      <c r="AD209" s="1" t="b">
        <v>1</v>
      </c>
      <c r="AE209" s="1" t="b">
        <v>1</v>
      </c>
      <c r="AF209" s="1" t="inlineStr">
        <is>
          <t>No</t>
        </is>
      </c>
      <c r="AG209" s="1" t="n"/>
      <c r="AH209" s="1" t="n"/>
      <c r="AI209" s="1" t="n"/>
    </row>
    <row r="210" ht="12.5" customHeight="1">
      <c r="A210" s="6" t="n">
        <v>45839</v>
      </c>
      <c r="B210" s="1" t="inlineStr">
        <is>
          <t>ORG_1539</t>
        </is>
      </c>
      <c r="C210" s="1" t="b">
        <v>1</v>
      </c>
      <c r="D210" s="1" t="inlineStr">
        <is>
          <t>EXATECH</t>
        </is>
      </c>
      <c r="E210" s="10" t="inlineStr">
        <is>
          <t>https://global.exatech-group.com/</t>
        </is>
      </c>
      <c r="F210" t="inlineStr">
        <is>
          <t>global.exatech-group.com</t>
        </is>
      </c>
      <c r="G210" s="1" t="inlineStr">
        <is>
          <t>The software developed by EXATECH’s digital unit is exclusively dedicated to optimising and securing exams and assessments. Its R&amp;D sector and technologies put EXATECH among France’s most innovative technology companies. EXATECH software is used by most French government departments, top-ranking higher education establishments, prestigious universities and public institutions. In France, EXATECH manages and organizes written and oral exams throughout the year, with up to 50,000 candidates. Abroad, more than 350 higher education institutions use our software. EXATECH also relies on a network of renowned partners to distribute its software internationally.</t>
        </is>
      </c>
      <c r="H210" s="1" t="inlineStr">
        <is>
          <t>EdTech France</t>
        </is>
      </c>
      <c r="I210" s="1" t="inlineStr">
        <is>
          <t>English, French, Spanish, German</t>
        </is>
      </c>
      <c r="J210" s="1" t="inlineStr">
        <is>
          <t>Montpellier</t>
        </is>
      </c>
      <c r="K210" t="inlineStr">
        <is>
          <t>Montpellier</t>
        </is>
      </c>
      <c r="L210" t="inlineStr">
        <is>
          <t>Montpellier, France</t>
        </is>
      </c>
      <c r="M210" t="n">
        <v>43.6112422</v>
      </c>
      <c r="N210" t="n">
        <v>3.8767337</v>
      </c>
      <c r="O210" s="1" t="inlineStr">
        <is>
          <t>France</t>
        </is>
      </c>
      <c r="P210" s="1" t="inlineStr">
        <is>
          <t>Albania, Belarus, Bulgaria, Czechia, Finland, Greece, Ireland, Latvia, Luxembourg, Monaco, North Macedonia, Portugal, Slovakia, Sweden, Ukraine, United Kingdom, Switzerland, Slovenia, Romania, Norway, Montenegro, Malta, Liechtenstein, Italy, Hungary, France, Denmark, Croatia, Belgium, Andorra, Austria, Bosnia and Herzegovina, Republic of Cyprus, Estonia, Germany, Iceland, Kosovo, Lithuania, Moldova, Netherlands, Poland, San Marino, Spain, Turkey</t>
        </is>
      </c>
      <c r="Q210" s="1" t="inlineStr">
        <is>
          <t>Small (10-49 FTE employees)</t>
        </is>
      </c>
      <c r="R210" t="inlineStr">
        <is>
          <t>Small</t>
        </is>
      </c>
      <c r="S210" s="1" t="inlineStr">
        <is>
          <t>Business to Business, Business to Government, Business to Schools, Business to Consumer</t>
        </is>
      </c>
      <c r="T210" s="1" t="inlineStr">
        <is>
          <t>Higher Education</t>
        </is>
      </c>
      <c r="U210" s="1" t="inlineStr">
        <is>
          <t>https://x.com/exatechgroup;</t>
        </is>
      </c>
      <c r="V210" s="1" t="inlineStr">
        <is>
          <t>Viatique</t>
        </is>
      </c>
      <c r="W210" s="10" t="inlineStr">
        <is>
          <t>The Viatique platform digitizes candidates’ exam papers, renders them anonymous, then instantaneously and securely dispatches them to markers. Viatique revolutionises exam management, reducing organisational costs while also providing unmatched comfort for educational professionals.</t>
        </is>
      </c>
      <c r="X210" s="10" t="n"/>
      <c r="Z210" s="1" t="n"/>
      <c r="AA210" s="1" t="inlineStr">
        <is>
          <t>Unverified</t>
        </is>
      </c>
      <c r="AB210" s="1" t="inlineStr">
        <is>
          <t>Collaborations between EdTech organisations, Project consortium building, Public-private partnerships</t>
        </is>
      </c>
      <c r="AC210" s="1" t="inlineStr">
        <is>
          <t>For-profit company</t>
        </is>
      </c>
      <c r="AD210" s="1" t="b">
        <v>0</v>
      </c>
      <c r="AE210" s="1" t="b">
        <v>0</v>
      </c>
      <c r="AF210" s="1" t="inlineStr">
        <is>
          <t>Yes</t>
        </is>
      </c>
      <c r="AG210" s="1" t="inlineStr">
        <is>
          <t>https://x.com/exatechgroup;</t>
        </is>
      </c>
      <c r="AH210" s="1" t="inlineStr">
        <is>
          <t>https://x.com/exatechgroup;</t>
        </is>
      </c>
      <c r="AI210" s="1" t="inlineStr">
        <is>
          <t>https://fr.linkedin.com/company/exatech</t>
        </is>
      </c>
    </row>
    <row r="211" ht="12.5" customHeight="1">
      <c r="A211" s="6" t="n">
        <v>45839</v>
      </c>
      <c r="B211" s="1" t="inlineStr">
        <is>
          <t>ORG_1813</t>
        </is>
      </c>
      <c r="C211" s="1" t="b">
        <v>1</v>
      </c>
      <c r="D211" s="1" t="inlineStr">
        <is>
          <t>Lanterna Education</t>
        </is>
      </c>
      <c r="E211" s="10" t="inlineStr">
        <is>
          <t>lanterna.com</t>
        </is>
      </c>
      <c r="F211" t="inlineStr">
        <is>
          <t>lanterna.com</t>
        </is>
      </c>
      <c r="G211" s="1" t="inlineStr">
        <is>
          <t>Lanterna has helped thousands off IB students across the globe achieve their academic goals, gain entry to top universities, and establish learning habits which have set them up for a bright future. We do this in two ways: by offering tutoring from our extensive network of tutors and by supporting schools with online teachers of the IB curriculum.</t>
        </is>
      </c>
      <c r="H211" s="1" t="inlineStr">
        <is>
          <t>I'm not part of any EdTech association</t>
        </is>
      </c>
      <c r="I211" s="1" t="inlineStr">
        <is>
          <t>English</t>
        </is>
      </c>
      <c r="J211" s="1" t="inlineStr">
        <is>
          <t>Stockholm</t>
        </is>
      </c>
      <c r="K211" t="inlineStr">
        <is>
          <t>Stockholm</t>
        </is>
      </c>
      <c r="L211" t="inlineStr">
        <is>
          <t>Stockholm, Sweden</t>
        </is>
      </c>
      <c r="M211" t="n">
        <v>59.3251172</v>
      </c>
      <c r="N211" t="n">
        <v>18.0710935</v>
      </c>
      <c r="O211" s="1" t="inlineStr">
        <is>
          <t>Sweden</t>
        </is>
      </c>
      <c r="P211" s="1" t="inlineStr">
        <is>
          <t>Austria, Belgium, Bosnia and Herzegovina, Bulgaria, Croatia, Republic of Cyprus, Estonia, Denmark, Czechia, Finland, France, Germany, Iceland, Hungary, Greece, Ireland, Italy, Kosovo, Lithuania, Liechtenstein, Latvia, Luxembourg, Malta, Moldova, Netherlands, Montenegro, Monaco, North Macedonia, Norway, Poland, San Marino, Romania, Portugal, Slovakia, Slovenia, Spain, Turkey, Switzerland, United Kingdom, Ukraine, Sweden, Albania, Andorra</t>
        </is>
      </c>
      <c r="Q211" s="1" t="inlineStr">
        <is>
          <t>Small (10-49 FTE employees)</t>
        </is>
      </c>
      <c r="R211" t="inlineStr">
        <is>
          <t>Small</t>
        </is>
      </c>
      <c r="S211" s="1" t="inlineStr">
        <is>
          <t>Business to Consumer, Business to Schools</t>
        </is>
      </c>
      <c r="T211" s="1" t="inlineStr">
        <is>
          <t>Secondary Education, Primary Education</t>
        </is>
      </c>
      <c r="U211" s="1" t="inlineStr">
        <is>
          <t>Student interfacing, Teacher interfacing</t>
        </is>
      </c>
      <c r="V211" s="1" t="inlineStr">
        <is>
          <t>Online substitute teaching</t>
        </is>
      </c>
      <c r="W211" s="1" t="inlineStr">
        <is>
          <t>Lanterna offers qualified IB substitute teachers to schools worldwide, available within 48 hours. Our educators are IB-qualified, Category 2 trained, and experienced in delivering high-quality virtual lessons.</t>
        </is>
      </c>
      <c r="X211" s="10" t="inlineStr">
        <is>
          <t>Online tutoring</t>
        </is>
      </c>
      <c r="Y211" t="inlineStr">
        <is>
          <t>Our tutors are guaranteed to make the IB easier for our students.They have aced their IB themselves and are now experts in the program. We offer flexible and reliable private online 1:1 tutoring tailored to our students needs-</t>
        </is>
      </c>
      <c r="Z211" s="1" t="n"/>
      <c r="AA211" s="1" t="inlineStr">
        <is>
          <t>Unverified</t>
        </is>
      </c>
      <c r="AB211" s="1" t="inlineStr">
        <is>
          <t>Collaborations between EdTech organisations, Public-private partnerships, Industry-academia partnerships</t>
        </is>
      </c>
      <c r="AC211" s="1" t="inlineStr">
        <is>
          <t>For-profit company</t>
        </is>
      </c>
      <c r="AD211" s="1" t="b">
        <v>1</v>
      </c>
      <c r="AE211" s="1" t="b">
        <v>1</v>
      </c>
      <c r="AF211" s="1" t="inlineStr">
        <is>
          <t>Yes</t>
        </is>
      </c>
      <c r="AG211" s="1" t="inlineStr">
        <is>
          <t>https://www.linkedin.com/company/1227848</t>
        </is>
      </c>
      <c r="AH211" s="1" t="inlineStr">
        <is>
          <t>https://www.linkedin.com/company/1227848</t>
        </is>
      </c>
      <c r="AI211" s="1" t="inlineStr">
        <is>
          <t>https://www.linkedin.com/company/1227848</t>
        </is>
      </c>
    </row>
    <row r="212" ht="12.5" customHeight="1">
      <c r="A212" s="6" t="n">
        <v>45839</v>
      </c>
      <c r="B212" s="1" t="inlineStr">
        <is>
          <t>ORG_2385</t>
        </is>
      </c>
      <c r="C212" s="1" t="b">
        <v>1</v>
      </c>
      <c r="D212" s="1" t="inlineStr">
        <is>
          <t>Tempus Information Systems AB</t>
        </is>
      </c>
      <c r="E212" s="10" t="inlineStr">
        <is>
          <t>https://www.tempusinfo.se/</t>
        </is>
      </c>
      <c r="F212" t="inlineStr">
        <is>
          <t>tempusinfo.se</t>
        </is>
      </c>
      <c r="G212" s="1" t="inlineStr">
        <is>
          <t>Tempus is an established and user-friendly system designed for resource planning, scheduling, and attendance management in preschools and leisure centers. Tempus Children comprises three distinct interfaces: Home, Now, and Admin, tailored for guardians/parents, educators/preschool personnel, and management/administrators, respectively. Tempus Personnel is an optional add-on module that facilitates staff allocation scheduling and planning.</t>
        </is>
      </c>
      <c r="H212" s="1" t="inlineStr">
        <is>
          <t>Swedish EdTech Industry</t>
        </is>
      </c>
      <c r="I212" s="1" t="inlineStr">
        <is>
          <t>English, Swedish</t>
        </is>
      </c>
      <c r="J212" s="1" t="inlineStr">
        <is>
          <t>Umeå</t>
        </is>
      </c>
      <c r="K212" t="inlineStr">
        <is>
          <t>Umeå</t>
        </is>
      </c>
      <c r="L212" t="inlineStr">
        <is>
          <t>Umeå, Sweden</t>
        </is>
      </c>
      <c r="M212" t="n">
        <v>63.8256568</v>
      </c>
      <c r="N212" t="n">
        <v>20.2630745</v>
      </c>
      <c r="O212" s="1" t="inlineStr">
        <is>
          <t>Sweden</t>
        </is>
      </c>
      <c r="P212" s="1" t="inlineStr">
        <is>
          <t>Finland, Sweden</t>
        </is>
      </c>
      <c r="Q212" s="1" t="inlineStr">
        <is>
          <t>Micro (1-9 FTE employees)</t>
        </is>
      </c>
      <c r="R212" t="inlineStr">
        <is>
          <t>Micro</t>
        </is>
      </c>
      <c r="S212" s="1" t="inlineStr">
        <is>
          <t>Business to Schools, Business to Business</t>
        </is>
      </c>
      <c r="T212" s="1" t="inlineStr">
        <is>
          <t>Early childhood development (0-5 years), Primary Education</t>
        </is>
      </c>
      <c r="U212" s="1" t="inlineStr">
        <is>
          <t>Student interfacing, Teacher interfacing, System/Administrative</t>
        </is>
      </c>
      <c r="V212" s="10" t="inlineStr">
        <is>
          <t>Tempus Children</t>
        </is>
      </c>
      <c r="W212" s="1" t="inlineStr">
        <is>
          <t>Tempus Personnel</t>
        </is>
      </c>
      <c r="X212" s="10" t="inlineStr">
        <is>
          <t>Tempus Documentation</t>
        </is>
      </c>
      <c r="Z212" s="1" t="n"/>
      <c r="AA212" s="1" t="inlineStr">
        <is>
          <t>Unverified</t>
        </is>
      </c>
      <c r="AB212" s="1" t="inlineStr">
        <is>
          <t>Collaborations between EdTech organisations, Industry-academia partnerships, Project consortium building, Public-private partnerships</t>
        </is>
      </c>
      <c r="AC212" s="1" t="inlineStr">
        <is>
          <t>For-profit company</t>
        </is>
      </c>
      <c r="AD212" s="1" t="b">
        <v>1</v>
      </c>
      <c r="AE212" s="1" t="b">
        <v>0</v>
      </c>
      <c r="AF212" s="1" t="inlineStr">
        <is>
          <t>Yes</t>
        </is>
      </c>
      <c r="AG212" s="1" t="inlineStr">
        <is>
          <t>https://www.instagram.com/tempus_information_systems_ab/</t>
        </is>
      </c>
      <c r="AH212" s="1" t="inlineStr">
        <is>
          <t>https://www.linkedin.com/company/tempus</t>
        </is>
      </c>
      <c r="AI212" s="1" t="inlineStr">
        <is>
          <t>https://www.linkedin.com/company/tempus</t>
        </is>
      </c>
      <c r="AJ212" s="10" t="inlineStr">
        <is>
          <t>https://www.facebook.com/tempusinfo/</t>
        </is>
      </c>
    </row>
    <row r="213" ht="12.5" customHeight="1">
      <c r="A213" s="6" t="n">
        <v>45839</v>
      </c>
      <c r="B213" s="1" t="inlineStr">
        <is>
          <t>ORG_1548</t>
        </is>
      </c>
      <c r="C213" s="1" t="b">
        <v>1</v>
      </c>
      <c r="D213" s="1" t="inlineStr">
        <is>
          <t>FABA</t>
        </is>
      </c>
      <c r="E213" s="10" t="inlineStr">
        <is>
          <t>http://www.myfaba.com/</t>
        </is>
      </c>
      <c r="F213" t="inlineStr">
        <is>
          <t>myfaba.com</t>
        </is>
      </c>
      <c r="G213" s="1" t="inlineStr">
        <is>
          <t>FABA is a screen-free edutainment platform for children aged 0–10, combining storytelling and audio to support learning and imagination. We help kids grow through fun, safe, and educational content enjoyed by families across Europe.</t>
        </is>
      </c>
      <c r="H213" s="1" t="inlineStr">
        <is>
          <t>EdTech Italia</t>
        </is>
      </c>
      <c r="I213" s="1" t="inlineStr">
        <is>
          <t>English, French, Spanish, Italian, Catalan</t>
        </is>
      </c>
      <c r="J213" s="1" t="inlineStr">
        <is>
          <t>Treviso</t>
        </is>
      </c>
      <c r="K213" t="inlineStr">
        <is>
          <t>Treviso</t>
        </is>
      </c>
      <c r="L213" t="inlineStr">
        <is>
          <t>Treviso, Italy</t>
        </is>
      </c>
      <c r="M213" t="n">
        <v>45.8066913</v>
      </c>
      <c r="N213" t="n">
        <v>12.2063158</v>
      </c>
      <c r="O213" s="1" t="inlineStr">
        <is>
          <t>Italy</t>
        </is>
      </c>
      <c r="P213" s="1" t="inlineStr">
        <is>
          <t>France, Germany, Italy, Netherlands, Spain, San Marino, Belgium, Austria</t>
        </is>
      </c>
      <c r="Q213" s="1" t="inlineStr">
        <is>
          <t>Small (10-49 FTE employees)</t>
        </is>
      </c>
      <c r="R213" t="inlineStr">
        <is>
          <t>Small</t>
        </is>
      </c>
      <c r="S213" s="1" t="inlineStr">
        <is>
          <t>Business to Consumer, Business to Schools, Business to Business</t>
        </is>
      </c>
      <c r="T213" s="1" t="inlineStr">
        <is>
          <t>Early childhood development (0-5 years)</t>
        </is>
      </c>
      <c r="U213" s="1" t="inlineStr">
        <is>
          <t>Student interfacing</t>
        </is>
      </c>
      <c r="V213" s="1" t="inlineStr">
        <is>
          <t>FABA Storyteller</t>
        </is>
      </c>
      <c r="W213" s="1" t="inlineStr">
        <is>
          <t>A screen-free audio device designed for children aged 0–10 that plays stories, songs, and routines through tactile audio figurines, promoting safe and independent listening.</t>
        </is>
      </c>
      <c r="X213" s="10" t="inlineStr">
        <is>
          <t>FABA Audio Content</t>
        </is>
      </c>
      <c r="Y213" t="inlineStr">
        <is>
          <t>A curated library of audio stories, songs, and educational content—developed with experts and categorized by age and skill—to support children’s growth and imagination.</t>
        </is>
      </c>
      <c r="Z213" s="1" t="n"/>
      <c r="AA213" s="1" t="inlineStr">
        <is>
          <t>Unverified</t>
        </is>
      </c>
      <c r="AB213" s="1" t="inlineStr">
        <is>
          <t>Collaborations between EdTech organisations, Project consortium building, Public-private partnerships, Industry-academia partnerships</t>
        </is>
      </c>
      <c r="AC213" s="1" t="inlineStr">
        <is>
          <t>For-profit company</t>
        </is>
      </c>
      <c r="AD213" s="1" t="b">
        <v>0</v>
      </c>
      <c r="AE213" s="1" t="b">
        <v>1</v>
      </c>
      <c r="AF213" s="1" t="inlineStr">
        <is>
          <t>Yes</t>
        </is>
      </c>
      <c r="AG213" s="1" t="inlineStr">
        <is>
          <t>https://www.linkedin.com/company/faba</t>
        </is>
      </c>
      <c r="AH213" s="1" t="inlineStr">
        <is>
          <t>https://www.linkedin.com/company/faba</t>
        </is>
      </c>
      <c r="AI213" s="1" t="inlineStr">
        <is>
          <t>https://www.linkedin.com/company/faba</t>
        </is>
      </c>
      <c r="AJ213" s="1" t="n"/>
    </row>
    <row r="214" ht="12.5" customHeight="1">
      <c r="A214" s="6" t="n">
        <v>45839</v>
      </c>
      <c r="B214" s="1" t="inlineStr">
        <is>
          <t>ORG_2179</t>
        </is>
      </c>
      <c r="C214" s="1" t="b">
        <v>1</v>
      </c>
      <c r="D214" s="1" t="inlineStr">
        <is>
          <t>reteach</t>
        </is>
      </c>
      <c r="E214" s="10" t="inlineStr">
        <is>
          <t>www.reteach.com</t>
        </is>
      </c>
      <c r="F214" t="inlineStr">
        <is>
          <t>reteach.com</t>
        </is>
      </c>
      <c r="G214" s="1" t="inlineStr">
        <is>
          <t>LMS for SME</t>
        </is>
      </c>
      <c r="H214" s="1" t="inlineStr">
        <is>
          <t>I'm not part of any EdTech association</t>
        </is>
      </c>
      <c r="I214" s="1" t="inlineStr">
        <is>
          <t>English, German, Spanish, French, Italian</t>
        </is>
      </c>
      <c r="J214" s="1" t="inlineStr">
        <is>
          <t>Berlin</t>
        </is>
      </c>
      <c r="K214" t="inlineStr">
        <is>
          <t>Berlin</t>
        </is>
      </c>
      <c r="L214" t="inlineStr">
        <is>
          <t>Berlin, Germany</t>
        </is>
      </c>
      <c r="M214" t="n">
        <v>52.5173885</v>
      </c>
      <c r="N214" t="n">
        <v>13.3951309</v>
      </c>
      <c r="O214" s="1" t="inlineStr">
        <is>
          <t>Germany</t>
        </is>
      </c>
      <c r="P214" s="1" t="inlineStr">
        <is>
          <t>Germany, Switzerland, Austria</t>
        </is>
      </c>
      <c r="Q214" s="1" t="inlineStr">
        <is>
          <t>Medium (50-250 FTE employees)</t>
        </is>
      </c>
      <c r="R214" t="inlineStr">
        <is>
          <t>Medium</t>
        </is>
      </c>
      <c r="S214" s="1" t="inlineStr">
        <is>
          <t>Business to Business</t>
        </is>
      </c>
      <c r="T214" s="1" t="inlineStr">
        <is>
          <t>Corporate Training</t>
        </is>
      </c>
      <c r="U214" s="1" t="inlineStr">
        <is>
          <t>System/Administrative</t>
        </is>
      </c>
      <c r="V214" s="1" t="inlineStr">
        <is>
          <t>reteach LMS</t>
        </is>
      </c>
      <c r="W214" s="1" t="inlineStr">
        <is>
          <t>LMS for SME</t>
        </is>
      </c>
      <c r="X214" s="1" t="n"/>
      <c r="Z214" s="1" t="n"/>
      <c r="AA214" s="1" t="inlineStr">
        <is>
          <t>Unverified</t>
        </is>
      </c>
      <c r="AB214" s="1" t="n"/>
      <c r="AC214" s="1" t="inlineStr">
        <is>
          <t>For-profit company</t>
        </is>
      </c>
      <c r="AD214" s="1" t="b">
        <v>0</v>
      </c>
      <c r="AE214" s="1" t="b">
        <v>1</v>
      </c>
      <c r="AF214" s="1" t="inlineStr">
        <is>
          <t>No</t>
        </is>
      </c>
      <c r="AG214" s="1" t="n"/>
      <c r="AH214" s="1" t="n"/>
      <c r="AI214" s="1" t="n"/>
      <c r="AJ214" s="1" t="n"/>
    </row>
    <row r="215" ht="12.5" customHeight="1">
      <c r="A215" s="6" t="n">
        <v>45839</v>
      </c>
      <c r="B215" s="1" t="inlineStr">
        <is>
          <t>ORG_1449</t>
        </is>
      </c>
      <c r="C215" s="1" t="b">
        <v>1</v>
      </c>
      <c r="D215" s="1" t="inlineStr">
        <is>
          <t>EduMedia</t>
        </is>
      </c>
      <c r="E215" s="10" t="inlineStr">
        <is>
          <t>https://alec-edu.com</t>
        </is>
      </c>
      <c r="F215" t="inlineStr">
        <is>
          <t>alec-edu.com</t>
        </is>
      </c>
      <c r="G215" s="1" t="inlineStr">
        <is>
          <t>Digital content provider. Web-based . 3 products: edumedia.com, pikado.education and Alec-edu.com,</t>
        </is>
      </c>
      <c r="H215" s="1" t="inlineStr">
        <is>
          <t>AFINEF</t>
        </is>
      </c>
      <c r="I215" s="1" t="inlineStr">
        <is>
          <t>English, German, French, Spanish</t>
        </is>
      </c>
      <c r="J215" s="1" t="inlineStr">
        <is>
          <t>Bordeaux</t>
        </is>
      </c>
      <c r="K215" t="inlineStr">
        <is>
          <t>Bordeaux</t>
        </is>
      </c>
      <c r="L215" t="inlineStr">
        <is>
          <t>Bordeaux, France</t>
        </is>
      </c>
      <c r="M215" t="n">
        <v>44.841225</v>
      </c>
      <c r="N215" t="n">
        <v>-0.5800364</v>
      </c>
      <c r="O215" s="1" t="inlineStr">
        <is>
          <t>France</t>
        </is>
      </c>
      <c r="P215" s="1" t="inlineStr">
        <is>
          <t>Belgium, France, Monaco, Switzerland</t>
        </is>
      </c>
      <c r="Q215" s="1" t="inlineStr">
        <is>
          <t>Small (10-49 FTE employees)</t>
        </is>
      </c>
      <c r="R215" t="inlineStr">
        <is>
          <t>Small</t>
        </is>
      </c>
      <c r="S215" s="1" t="inlineStr">
        <is>
          <t>Business to Schools</t>
        </is>
      </c>
      <c r="T215" s="1" t="inlineStr">
        <is>
          <t>Primary Education, Secondary Education, Special Education</t>
        </is>
      </c>
      <c r="U215" s="1" t="inlineStr">
        <is>
          <t>Teacher interfacing</t>
        </is>
      </c>
      <c r="V215" s="1" t="inlineStr">
        <is>
          <t>EduMedia (www.eduMedia.com)</t>
        </is>
      </c>
      <c r="W215" s="1" t="inlineStr">
        <is>
          <t>largest collection of interactive simulations for science teachers</t>
        </is>
      </c>
      <c r="X215" s="1" t="inlineStr">
        <is>
          <t>Alec (alec-edu.com)</t>
        </is>
      </c>
      <c r="Y215" t="inlineStr">
        <is>
          <t>Collection of digital game for learning math and english / math et français/ math y espanol - we also have a third product pikado.education. Collection of free applications for primary school teacher.</t>
        </is>
      </c>
      <c r="Z215" s="1" t="n"/>
      <c r="AA215" s="1" t="inlineStr">
        <is>
          <t>Unverified</t>
        </is>
      </c>
      <c r="AB215" s="1" t="n"/>
      <c r="AC215" s="1" t="inlineStr">
        <is>
          <t>For-profit company</t>
        </is>
      </c>
      <c r="AD215" s="1" t="b">
        <v>1</v>
      </c>
      <c r="AE215" s="1" t="b">
        <v>1</v>
      </c>
      <c r="AF215" s="1" t="inlineStr">
        <is>
          <t>No</t>
        </is>
      </c>
      <c r="AG215" s="1" t="n"/>
      <c r="AH215" s="1" t="n"/>
      <c r="AI215" s="1" t="n"/>
      <c r="AJ215" s="1" t="n"/>
    </row>
    <row r="216" ht="12.5" customHeight="1">
      <c r="A216" s="6" t="n">
        <v>45839</v>
      </c>
      <c r="B216" s="1" t="inlineStr">
        <is>
          <t>ORG_1049</t>
        </is>
      </c>
      <c r="C216" s="1" t="b">
        <v>1</v>
      </c>
      <c r="D216" s="1" t="inlineStr">
        <is>
          <t>Algebrakit</t>
        </is>
      </c>
      <c r="E216" s="10" t="inlineStr">
        <is>
          <t>algebrakit.com</t>
        </is>
      </c>
      <c r="F216" t="inlineStr">
        <is>
          <t>algebrakit.com</t>
        </is>
      </c>
      <c r="G216" s="1" t="inlineStr">
        <is>
          <t>Algebrakit provides intelligent question types for mathematics. Our tools are used by educational publishers worldwide</t>
        </is>
      </c>
      <c r="H216" s="1" t="inlineStr">
        <is>
          <t>Dutch EdTech</t>
        </is>
      </c>
      <c r="I216" s="1" t="inlineStr">
        <is>
          <t>English, German, French, Italian, Spanish, Lithuanian</t>
        </is>
      </c>
      <c r="J216" s="1" t="inlineStr">
        <is>
          <t>Eindhoven</t>
        </is>
      </c>
      <c r="K216" t="inlineStr">
        <is>
          <t>Eindhoven</t>
        </is>
      </c>
      <c r="L216" t="inlineStr">
        <is>
          <t>Eindhoven, The Netherlands</t>
        </is>
      </c>
      <c r="M216" t="n">
        <v>51.4105222</v>
      </c>
      <c r="N216" t="n">
        <v>5.457494</v>
      </c>
      <c r="O216" s="1" t="inlineStr">
        <is>
          <t>The Netherlands</t>
        </is>
      </c>
      <c r="P216" s="1" t="inlineStr">
        <is>
          <t>Portugal, United Kingdom, Netherlands, Belgium, Lithuania</t>
        </is>
      </c>
      <c r="Q216" s="1" t="inlineStr">
        <is>
          <t>Small (10-49 FTE employees)</t>
        </is>
      </c>
      <c r="R216" t="inlineStr">
        <is>
          <t>Small</t>
        </is>
      </c>
      <c r="S216" s="1" t="inlineStr">
        <is>
          <t>Business to Business</t>
        </is>
      </c>
      <c r="T216" s="1" t="inlineStr">
        <is>
          <t>Secondary Education, Primary Education</t>
        </is>
      </c>
      <c r="U216" s="1" t="inlineStr">
        <is>
          <t>Student interfacing, Teacher interfacing, System/Administrative</t>
        </is>
      </c>
      <c r="V216" s="1" t="inlineStr">
        <is>
          <t>Algebrakit</t>
        </is>
      </c>
      <c r="W216" s="1" t="inlineStr">
        <is>
          <t>Question types and scoring engine for math education</t>
        </is>
      </c>
      <c r="X216" s="10" t="n"/>
      <c r="Z216" s="1" t="n"/>
      <c r="AA216" s="1" t="inlineStr">
        <is>
          <t>Unverified</t>
        </is>
      </c>
      <c r="AB216" s="1" t="inlineStr">
        <is>
          <t>Collaborations between EdTech organisations, Project consortium building, Public-private partnerships, Industry-academia partnerships</t>
        </is>
      </c>
      <c r="AC216" s="1" t="inlineStr">
        <is>
          <t>For-profit company</t>
        </is>
      </c>
      <c r="AD216" s="1" t="b">
        <v>1</v>
      </c>
      <c r="AE216" s="1" t="b">
        <v>1</v>
      </c>
      <c r="AF216" s="1" t="inlineStr">
        <is>
          <t>Yes</t>
        </is>
      </c>
      <c r="AG216" s="1" t="inlineStr">
        <is>
          <t>https://www.linkedin.com/company/algebrakit</t>
        </is>
      </c>
      <c r="AH216" s="1" t="inlineStr">
        <is>
          <t>https://www.linkedin.com/company/algebrakit</t>
        </is>
      </c>
      <c r="AI216" s="1" t="inlineStr">
        <is>
          <t>https://www.linkedin.com/company/algebrakit</t>
        </is>
      </c>
    </row>
    <row r="217" ht="12.5" customHeight="1">
      <c r="A217" s="6" t="n">
        <v>45839</v>
      </c>
      <c r="B217" s="1" t="inlineStr">
        <is>
          <t>ORG_1934</t>
        </is>
      </c>
      <c r="C217" s="1" t="b">
        <v>1</v>
      </c>
      <c r="D217" s="1" t="inlineStr">
        <is>
          <t>MaxBrain AG</t>
        </is>
      </c>
      <c r="E217" s="10" t="inlineStr">
        <is>
          <t>www.maxbrain.com</t>
        </is>
      </c>
      <c r="F217" t="inlineStr">
        <is>
          <t>maxbrain.com</t>
        </is>
      </c>
      <c r="G217" s="1" t="inlineStr">
        <is>
          <t>MaxBrain is the strategic solution partner for building and implementing holistic learning ecosystems in companies, educational centers, and professional and industry associations. We combine technology, learning content, and consulting expertise to successfully transform learning strategies and embed them into corporate culture.</t>
        </is>
      </c>
      <c r="H217" s="1" t="inlineStr">
        <is>
          <t>Swiss EdTech Collider</t>
        </is>
      </c>
      <c r="I217" s="1" t="inlineStr">
        <is>
          <t>English, French, Italian, German</t>
        </is>
      </c>
      <c r="J217" s="1" t="inlineStr">
        <is>
          <t>Zürich</t>
        </is>
      </c>
      <c r="K217" t="inlineStr">
        <is>
          <t>Zürich</t>
        </is>
      </c>
      <c r="L217" t="inlineStr">
        <is>
          <t>Zürich, Switzerland</t>
        </is>
      </c>
      <c r="M217" t="n">
        <v>47.3744489</v>
      </c>
      <c r="N217" t="n">
        <v>8.5410422</v>
      </c>
      <c r="O217" s="1" t="inlineStr">
        <is>
          <t>Switzerland</t>
        </is>
      </c>
      <c r="P217" s="1" t="inlineStr">
        <is>
          <t>Germany, Switzerland</t>
        </is>
      </c>
      <c r="Q217" s="1" t="inlineStr">
        <is>
          <t>Small (10-49 FTE employees)</t>
        </is>
      </c>
      <c r="R217" t="inlineStr">
        <is>
          <t>Small</t>
        </is>
      </c>
      <c r="S217" s="1" t="inlineStr">
        <is>
          <t>Business to Business</t>
        </is>
      </c>
      <c r="T217" s="1" t="inlineStr">
        <is>
          <t>Higher Education, Corporate Training, Vocational Education and Training (VET), Lifelong learning/Adult education</t>
        </is>
      </c>
      <c r="U217" s="1" t="inlineStr">
        <is>
          <t>Student interfacing, System/Administrative</t>
        </is>
      </c>
      <c r="V217" s="1" t="inlineStr">
        <is>
          <t>LXP (Learning Experience Plattform, Software as a Service)</t>
        </is>
      </c>
      <c r="W217" s="1" t="inlineStr">
        <is>
          <t>The LXP provides your company with all the essential features to offer professional training programs. MaxBrain stands out through its integrations, high level of customizability, dedicated customer success services, and tools to maximize return on learning.</t>
        </is>
      </c>
      <c r="X217" s="10" t="inlineStr">
        <is>
          <t>Success Services</t>
        </is>
      </c>
      <c r="Y217" t="inlineStr">
        <is>
          <t>The success services include 1) Engineering, 2) Project Management, 3) Content Production, 4) L&amp;D Adivsory and 5) AI Enablement</t>
        </is>
      </c>
      <c r="Z217" s="1" t="n"/>
      <c r="AA217" s="1" t="inlineStr">
        <is>
          <t>Unverified</t>
        </is>
      </c>
      <c r="AB217" s="1" t="inlineStr">
        <is>
          <t>Collaborations between EdTech organisations, Public-private partnerships</t>
        </is>
      </c>
      <c r="AC217" s="1" t="inlineStr">
        <is>
          <t>For-profit company</t>
        </is>
      </c>
      <c r="AD217" s="1" t="b">
        <v>1</v>
      </c>
      <c r="AE217" s="1" t="b">
        <v>1</v>
      </c>
      <c r="AF217" s="1" t="inlineStr">
        <is>
          <t>Yes</t>
        </is>
      </c>
      <c r="AG217" s="1" t="inlineStr">
        <is>
          <t>https://www.linkedin.com/company/maxbrain</t>
        </is>
      </c>
      <c r="AH217" s="1" t="inlineStr">
        <is>
          <t>https://www.linkedin.com/company/maxbrain</t>
        </is>
      </c>
      <c r="AI217" s="1" t="inlineStr">
        <is>
          <t>https://www.linkedin.com/company/maxbrain</t>
        </is>
      </c>
      <c r="AJ217" s="1" t="n"/>
    </row>
    <row r="218" ht="12.5" customHeight="1">
      <c r="A218" s="6" t="n">
        <v>45839</v>
      </c>
      <c r="B218" s="1" t="inlineStr">
        <is>
          <t>ORG_1780</t>
        </is>
      </c>
      <c r="C218" s="1" t="b">
        <v>1</v>
      </c>
      <c r="D218" s="1" t="inlineStr">
        <is>
          <t>Kiwix</t>
        </is>
      </c>
      <c r="E218" s="10" t="inlineStr">
        <is>
          <t>kiwix.org</t>
        </is>
      </c>
      <c r="F218" t="inlineStr">
        <is>
          <t>kiwix.org</t>
        </is>
      </c>
      <c r="G218" s="1" t="inlineStr">
        <is>
          <t>Kiwix makes internet content available offline. You can basically store any website (e.g. Wikipedia) on a phone or computer and browse it without connectivity.</t>
        </is>
      </c>
      <c r="H218" s="1" t="inlineStr">
        <is>
          <t>I'm not part of any EdTech association</t>
        </is>
      </c>
      <c r="I218" s="1" t="inlineStr">
        <is>
          <t>English, German, French, Italian, Spanish, Other</t>
        </is>
      </c>
      <c r="J218" s="1" t="inlineStr">
        <is>
          <t>Lausanne</t>
        </is>
      </c>
      <c r="K218" t="inlineStr">
        <is>
          <t>Lausanne</t>
        </is>
      </c>
      <c r="L218" t="inlineStr">
        <is>
          <t>Lausanne, Switzerland</t>
        </is>
      </c>
      <c r="M218" t="n">
        <v>46.5218269</v>
      </c>
      <c r="N218" t="n">
        <v>6.6327025</v>
      </c>
      <c r="O218" s="1" t="inlineStr">
        <is>
          <t>Switzerland</t>
        </is>
      </c>
      <c r="P218" s="1" t="inlineStr">
        <is>
          <t>Albania, Belarus, Andorra, Belgium, Austria, Bosnia and Herzegovina, Republic of Cyprus, Croatia, Bulgaria, Czechia, Denmark, Estonia, Germany, France, Finland, Greece, Hungary, Iceland, Kosovo, Italy, Ireland, Latvia, Liechtenstein, Lithuania, Moldova, Netherlands, Poland, Norway, Montenegro, Malta, Luxembourg, Monaco, North Macedonia, Portugal, Slovakia, Ukraine, Sweden, Switzerland, United Kingdom, Slovenia, Romania, San Marino, Spain, Turkey, Global</t>
        </is>
      </c>
      <c r="Q218" s="1" t="inlineStr">
        <is>
          <t>Micro (1-9 FTE employees)</t>
        </is>
      </c>
      <c r="R218" t="inlineStr">
        <is>
          <t>Micro</t>
        </is>
      </c>
      <c r="S218" s="1" t="inlineStr">
        <is>
          <t>Business to Business, Business to Consumer</t>
        </is>
      </c>
      <c r="T218" s="1" t="inlineStr">
        <is>
          <t>Primary Education, Secondary Education, Vocational Education and Training (VET), Higher Education, Corporate Training, Lifelong learning/Adult education</t>
        </is>
      </c>
      <c r="U218" s="1" t="inlineStr">
        <is>
          <t>Student interfacing</t>
        </is>
      </c>
      <c r="V218" s="1" t="inlineStr">
        <is>
          <t>Kiwix for Android/Desktop/Apple</t>
        </is>
      </c>
      <c r="W218" s="1" t="inlineStr">
        <is>
          <t>A simple reader that allows people to download, store and browse copies of websites</t>
        </is>
      </c>
      <c r="X218" s="10" t="inlineStr">
        <is>
          <t>Kiwix Hotspot</t>
        </is>
      </c>
      <c r="Y218" t="inlineStr">
        <is>
          <t>A simple microserver to which users can connect via wifi to browse educational content, even if there is no internet (content is stored on the hotspot)</t>
        </is>
      </c>
      <c r="Z218" s="1" t="n"/>
      <c r="AA218" s="1" t="inlineStr">
        <is>
          <t>Unverified</t>
        </is>
      </c>
      <c r="AB218" s="1" t="inlineStr">
        <is>
          <t>Project consortium building, Public-private partnerships</t>
        </is>
      </c>
      <c r="AC218" s="1" t="inlineStr">
        <is>
          <t>Non-profit organisation</t>
        </is>
      </c>
      <c r="AD218" s="1" t="b">
        <v>1</v>
      </c>
      <c r="AE218" s="1" t="b">
        <v>1</v>
      </c>
      <c r="AF218" s="1" t="inlineStr">
        <is>
          <t>Yes</t>
        </is>
      </c>
      <c r="AG218" s="1" t="inlineStr">
        <is>
          <t>https://www.linkedin.com/company/kiwixoffline</t>
        </is>
      </c>
      <c r="AH218" s="1" t="inlineStr">
        <is>
          <t>https://www.linkedin.com/company/kiwixoffline</t>
        </is>
      </c>
      <c r="AI218" s="1" t="inlineStr">
        <is>
          <t>https://www.linkedin.com/company/kiwixoffline</t>
        </is>
      </c>
      <c r="AJ218" s="1" t="n"/>
    </row>
    <row r="219" ht="12.5" customHeight="1">
      <c r="A219" s="6" t="n">
        <v>45839</v>
      </c>
      <c r="B219" s="1" t="inlineStr">
        <is>
          <t>ORG_1895</t>
        </is>
      </c>
      <c r="C219" s="1" t="b">
        <v>1</v>
      </c>
      <c r="D219" s="1" t="inlineStr">
        <is>
          <t>Lutz Education</t>
        </is>
      </c>
      <c r="E219" s="10" t="inlineStr">
        <is>
          <t>https://lutz.education</t>
        </is>
      </c>
      <c r="F219" t="inlineStr">
        <is>
          <t>lutz.education</t>
        </is>
      </c>
      <c r="G219" s="1" t="inlineStr">
        <is>
          <t>Digital transformation, AI in education &amp; EdTech consulting</t>
        </is>
      </c>
      <c r="H219" s="1" t="inlineStr">
        <is>
          <t>I'm not part of any EdTech association</t>
        </is>
      </c>
      <c r="I219" s="1" t="inlineStr">
        <is>
          <t>German</t>
        </is>
      </c>
      <c r="J219" s="1" t="inlineStr">
        <is>
          <t>Dachsen</t>
        </is>
      </c>
      <c r="K219" t="inlineStr">
        <is>
          <t>Dachsen</t>
        </is>
      </c>
      <c r="L219" t="inlineStr">
        <is>
          <t>Dachsen, Switzerland</t>
        </is>
      </c>
      <c r="M219" t="n">
        <v>47.6661896</v>
      </c>
      <c r="N219" t="n">
        <v>8.6150532</v>
      </c>
      <c r="O219" s="1" t="inlineStr">
        <is>
          <t>Switzerland</t>
        </is>
      </c>
      <c r="P219" s="1" t="inlineStr">
        <is>
          <t>Switzerland, Liechtenstein</t>
        </is>
      </c>
      <c r="Q219" s="1" t="inlineStr">
        <is>
          <t>Micro (1-9 FTE employees)</t>
        </is>
      </c>
      <c r="R219" t="inlineStr">
        <is>
          <t>Micro</t>
        </is>
      </c>
      <c r="S219" s="1" t="inlineStr">
        <is>
          <t>Business to Schools</t>
        </is>
      </c>
      <c r="T219" s="1" t="inlineStr">
        <is>
          <t>Primary Education, Secondary Education, Vocational Education and Training (VET), Higher Education</t>
        </is>
      </c>
      <c r="U219" s="1" t="inlineStr">
        <is>
          <t>Student interfacing, Teacher interfacing</t>
        </is>
      </c>
      <c r="V219" s="1" t="inlineStr">
        <is>
          <t>Workshops: AI in Education</t>
        </is>
      </c>
      <c r="W219" s="1" t="inlineStr">
        <is>
          <t>The workshops demonstrate practical and innovative ways to effectively utilise AI in the classroom.
The hands-on training sessions cover a range of topics, from understanding LLMs to using AI for lesson planning and creating assessments, as well as assisting students with career preparation.</t>
        </is>
      </c>
      <c r="X219" s="10" t="inlineStr">
        <is>
          <t>EdTech consulting</t>
        </is>
      </c>
      <c r="Y219" t="inlineStr">
        <is>
          <t>As a bridge between EdTech companies and schools, we identify areas for product improvement based on the actual needs and expectations of educators and students. We test your product in the classroom environment to provide valuable, direct feedback on its overall educational value.</t>
        </is>
      </c>
      <c r="Z219" s="1" t="n"/>
      <c r="AA219" s="1" t="inlineStr">
        <is>
          <t>Unverified</t>
        </is>
      </c>
      <c r="AB219" s="1" t="n"/>
      <c r="AC219" s="1" t="inlineStr">
        <is>
          <t>For-profit company</t>
        </is>
      </c>
      <c r="AD219" s="1" t="b">
        <v>1</v>
      </c>
      <c r="AE219" s="1" t="b">
        <v>1</v>
      </c>
      <c r="AF219" s="1" t="inlineStr">
        <is>
          <t>Yes</t>
        </is>
      </c>
      <c r="AG219" s="1" t="inlineStr">
        <is>
          <t>https://www.linkedin.com/company/lutz</t>
        </is>
      </c>
      <c r="AH219" s="1" t="inlineStr">
        <is>
          <t>https://www.linkedin.com/company/lutz</t>
        </is>
      </c>
      <c r="AI219" s="1" t="inlineStr">
        <is>
          <t>https://www.linkedin.com/company/lutz</t>
        </is>
      </c>
    </row>
    <row r="220" ht="12.5" customHeight="1">
      <c r="A220" s="6" t="n">
        <v>45839</v>
      </c>
      <c r="B220" s="1" t="inlineStr">
        <is>
          <t>ORG_1836</t>
        </is>
      </c>
      <c r="C220" s="1" t="b">
        <v>1</v>
      </c>
      <c r="D220" s="1" t="inlineStr">
        <is>
          <t>LearningStone</t>
        </is>
      </c>
      <c r="E220" s="10" t="inlineStr">
        <is>
          <t>www.learningstone.com</t>
        </is>
      </c>
      <c r="F220" t="inlineStr">
        <is>
          <t>learningstone.com</t>
        </is>
      </c>
      <c r="G220" s="1" t="inlineStr">
        <is>
          <t>LearningStone is a multilingual platform for trainers and coaches supporting blended and online learning.</t>
        </is>
      </c>
      <c r="H220" s="1" t="inlineStr">
        <is>
          <t>I'm not part of any EdTech association</t>
        </is>
      </c>
      <c r="I220" s="1" t="inlineStr">
        <is>
          <t>English, German, French, Italian, Spanish</t>
        </is>
      </c>
      <c r="J220" s="1" t="inlineStr">
        <is>
          <t>Amsterdam</t>
        </is>
      </c>
      <c r="K220" t="inlineStr">
        <is>
          <t>Amsterdam</t>
        </is>
      </c>
      <c r="L220" t="inlineStr">
        <is>
          <t>Amsterdam, The Netherlands</t>
        </is>
      </c>
      <c r="M220" t="n">
        <v>52.3701984</v>
      </c>
      <c r="N220" t="n">
        <v>4.892168</v>
      </c>
      <c r="O220" s="1" t="inlineStr">
        <is>
          <t>The Netherlands</t>
        </is>
      </c>
      <c r="P220" s="1" t="inlineStr">
        <is>
          <t>Germany, France, Belgium, Netherlands, Luxembourg, Spain, United Kingdom, Switzerland, Ireland</t>
        </is>
      </c>
      <c r="Q220" s="1" t="inlineStr">
        <is>
          <t>Small (10-49 FTE employees)</t>
        </is>
      </c>
      <c r="R220" t="inlineStr">
        <is>
          <t>Small</t>
        </is>
      </c>
      <c r="S220" s="1" t="inlineStr">
        <is>
          <t>Business to Business</t>
        </is>
      </c>
      <c r="T220" s="1" t="inlineStr">
        <is>
          <t>Corporate Training, Lifelong learning/Adult education</t>
        </is>
      </c>
      <c r="U220" s="1" t="inlineStr">
        <is>
          <t>Student interfacing, Teacher interfacing, System/Administrative</t>
        </is>
      </c>
      <c r="V220" s="1" t="inlineStr">
        <is>
          <t>LearningStone</t>
        </is>
      </c>
      <c r="W220" s="1" t="inlineStr">
        <is>
          <t>Platform technology for blended and online learning</t>
        </is>
      </c>
      <c r="X220" s="10" t="n"/>
      <c r="Z220" s="1" t="n"/>
      <c r="AA220" s="1" t="inlineStr">
        <is>
          <t>Unverified</t>
        </is>
      </c>
      <c r="AB220" s="1" t="inlineStr">
        <is>
          <t>Project consortium building, Industry-academia partnerships</t>
        </is>
      </c>
      <c r="AC220" s="1" t="inlineStr">
        <is>
          <t>For-profit company</t>
        </is>
      </c>
      <c r="AD220" s="1" t="b">
        <v>1</v>
      </c>
      <c r="AE220" s="1" t="b">
        <v>1</v>
      </c>
      <c r="AF220" s="1" t="inlineStr">
        <is>
          <t>Yes</t>
        </is>
      </c>
      <c r="AG220" s="1" t="inlineStr">
        <is>
          <t>https://www.linkedin.com/company/learningstone</t>
        </is>
      </c>
      <c r="AH220" s="1" t="inlineStr">
        <is>
          <t>https://www.linkedin.com/company/learningstone</t>
        </is>
      </c>
      <c r="AI220" s="1" t="inlineStr">
        <is>
          <t>https://www.linkedin.com/company/learningstone</t>
        </is>
      </c>
    </row>
    <row r="221" ht="12.5" customHeight="1">
      <c r="A221" s="6" t="n">
        <v>45839</v>
      </c>
      <c r="B221" s="1" t="inlineStr">
        <is>
          <t>ORG_1455</t>
        </is>
      </c>
      <c r="C221" s="1" t="b">
        <v>1</v>
      </c>
      <c r="D221" s="1" t="inlineStr">
        <is>
          <t>Edunexis</t>
        </is>
      </c>
      <c r="E221" s="10" t="inlineStr">
        <is>
          <t>www.edunexis.com</t>
        </is>
      </c>
      <c r="F221" t="inlineStr">
        <is>
          <t>edunexis.com</t>
        </is>
      </c>
      <c r="G221" s="1" t="inlineStr">
        <is>
          <t>Edunexis develops AI-powered tools that empower educators and institutions to implement competency-based teaching and assessment with ease. Our solutions bridge the gap between educational frameworks and classroom practice — allowing any learning activity to be aligned with any curricular standard or competency model.</t>
        </is>
      </c>
      <c r="H221" s="1" t="inlineStr">
        <is>
          <t>SEK Lab, EduTech Cluster Spain</t>
        </is>
      </c>
      <c r="I221" s="1" t="inlineStr">
        <is>
          <t>English, Spanish</t>
        </is>
      </c>
      <c r="J221" s="1" t="inlineStr">
        <is>
          <t>Cartagena</t>
        </is>
      </c>
      <c r="K221" t="inlineStr">
        <is>
          <t>Cartagena</t>
        </is>
      </c>
      <c r="L221" t="inlineStr">
        <is>
          <t>Cartagena, Spain</t>
        </is>
      </c>
      <c r="M221" t="n">
        <v>37.6155018</v>
      </c>
      <c r="N221" t="n">
        <v>-0.987511</v>
      </c>
      <c r="O221" s="1" t="inlineStr">
        <is>
          <t>Spain</t>
        </is>
      </c>
      <c r="P221" s="1" t="inlineStr">
        <is>
          <t>Spain</t>
        </is>
      </c>
      <c r="Q221" s="1" t="inlineStr">
        <is>
          <t>Micro (1-9 FTE employees)</t>
        </is>
      </c>
      <c r="R221" t="inlineStr">
        <is>
          <t>Micro</t>
        </is>
      </c>
      <c r="S221" s="1" t="inlineStr">
        <is>
          <t>Business to Consumer, Business to Government, Business to Schools</t>
        </is>
      </c>
      <c r="T221" s="1" t="inlineStr">
        <is>
          <t>Early childhood development (0-5 years), Primary Education, Secondary Education, Vocational Education and Training (VET), Higher Education</t>
        </is>
      </c>
      <c r="U221" s="1" t="inlineStr">
        <is>
          <t>Teacher interfacing</t>
        </is>
      </c>
      <c r="V221" s="1" t="inlineStr">
        <is>
          <t>GRownTH</t>
        </is>
      </c>
      <c r="W221" s="1" t="inlineStr">
        <is>
          <t>Platform that empowers educators and institutions to implement competency-based teaching and assessment with ease.</t>
        </is>
      </c>
      <c r="X221" s="1" t="n"/>
      <c r="Z221" s="1" t="n"/>
      <c r="AA221" s="1" t="inlineStr">
        <is>
          <t>Unverified</t>
        </is>
      </c>
      <c r="AB221" s="1" t="inlineStr">
        <is>
          <t>Collaborations between EdTech organisations, Project consortium building, Public-private partnerships, Industry-academia partnerships</t>
        </is>
      </c>
      <c r="AC221" s="1" t="inlineStr">
        <is>
          <t>For-profit company</t>
        </is>
      </c>
      <c r="AD221" s="1" t="b">
        <v>1</v>
      </c>
      <c r="AE221" s="1" t="b">
        <v>1</v>
      </c>
      <c r="AF221" s="1" t="inlineStr">
        <is>
          <t>No</t>
        </is>
      </c>
      <c r="AG221" s="1" t="n"/>
      <c r="AH221" s="1" t="n"/>
      <c r="AI221" s="1" t="n"/>
    </row>
    <row r="222" ht="12.5" customHeight="1">
      <c r="A222" s="6" t="n">
        <v>45839</v>
      </c>
      <c r="B222" s="1" t="inlineStr">
        <is>
          <t>ORG_1219</t>
        </is>
      </c>
      <c r="C222" s="1" t="b">
        <v>1</v>
      </c>
      <c r="D222" s="1" t="inlineStr">
        <is>
          <t>Cards micro-learning</t>
        </is>
      </c>
      <c r="E222" s="10" t="inlineStr">
        <is>
          <t>https://cards-microlearning.com/</t>
        </is>
      </c>
      <c r="F222" t="inlineStr">
        <is>
          <t>cards-microlearning.com</t>
        </is>
      </c>
      <c r="G222" s="1" t="inlineStr">
        <is>
          <t>Cards is a B2B microlearning platform designed to help organizations anchor essential knowledge through short, high-impact learning experiences. Powered by our proprietary Learning Routine® engine and AI assistant, Cards enables L&amp;D teams, HR leaders, and subject-matter experts to create, automate, and scale microlearning — especially for onboarding, compliance, operational excellence, and continuous upskilling. Cards is used by companies like industries, bank, insurance and retail industries to turn knowledge into action, at scale.</t>
        </is>
      </c>
      <c r="H222" s="1" t="inlineStr">
        <is>
          <t>I'm not part of any EdTech association</t>
        </is>
      </c>
      <c r="I222" s="1" t="inlineStr">
        <is>
          <t>French, English</t>
        </is>
      </c>
      <c r="J222" s="1" t="inlineStr">
        <is>
          <t>Lyon</t>
        </is>
      </c>
      <c r="K222" t="inlineStr">
        <is>
          <t>Lyon</t>
        </is>
      </c>
      <c r="L222" t="inlineStr">
        <is>
          <t>Lyon, France</t>
        </is>
      </c>
      <c r="M222" t="n">
        <v>45.7578137</v>
      </c>
      <c r="N222" t="n">
        <v>4.8320114</v>
      </c>
      <c r="O222" s="1" t="inlineStr">
        <is>
          <t>France</t>
        </is>
      </c>
      <c r="P222" s="1" t="inlineStr">
        <is>
          <t>Belgium, United Kingdom, Switzerland, Andorra, France, Finland, Germany, Hungary, Greece, Ireland, Italy, Luxembourg, Netherlands, Monaco, Norway, Poland, San Marino, Portugal, Slovakia, Slovenia, Spain, Turkey, Sweden, Moldova, Malta, Liechtenstein, Denmark, Czechia, Bulgaria, Croatia, Republic of Cyprus, Austria, Belarus, Estonia, Iceland, Lithuania, Romania</t>
        </is>
      </c>
      <c r="Q222" s="1" t="inlineStr">
        <is>
          <t>Micro (1-9 FTE employees)</t>
        </is>
      </c>
      <c r="R222" t="inlineStr">
        <is>
          <t>Micro</t>
        </is>
      </c>
      <c r="S222" s="1" t="inlineStr">
        <is>
          <t>Business to Business</t>
        </is>
      </c>
      <c r="T222" s="1" t="inlineStr">
        <is>
          <t>Corporate Training, Lifelong learning/Adult education</t>
        </is>
      </c>
      <c r="U222" s="1" t="inlineStr">
        <is>
          <t>Student interfacing, Teacher interfacing, System/Administrative</t>
        </is>
      </c>
      <c r="V222" s="1" t="inlineStr">
        <is>
          <t>Cards – Microlearning &amp; Knowledge Anchoring Platform</t>
        </is>
      </c>
      <c r="W222" s="1" t="inlineStr">
        <is>
          <t>Cards is a B2B SaaS platform that helps organizations design, automate, and scale short, high-impact learning experiences.
Powered by our Learning Routine® engine and AI assistant, Cards improves knowledge retention through spaced repetition, micro-content, and smart notifications.
Ideal for onboard</t>
        </is>
      </c>
      <c r="X222" s="10" t="inlineStr">
        <is>
          <t>Cards Authoring Tool</t>
        </is>
      </c>
      <c r="Y222" t="inlineStr">
        <is>
          <t>The Cards authoring tool allows internal experts and L&amp;D teams to create engaging microlearning modules with ease.
Courses can be delivered through Cards or exported in SCORM format to be used in any LMS.
The tool supports AI-assisted content creation, multilingual versions, and interactive formats.</t>
        </is>
      </c>
      <c r="Z222" s="1" t="n"/>
      <c r="AA222" s="1" t="inlineStr">
        <is>
          <t>Unverified</t>
        </is>
      </c>
      <c r="AB222" s="1" t="inlineStr">
        <is>
          <t>Industry-academia partnerships, Collaborations between EdTech organisations</t>
        </is>
      </c>
      <c r="AC222" s="1" t="inlineStr">
        <is>
          <t>For-profit company</t>
        </is>
      </c>
      <c r="AD222" s="1" t="b">
        <v>1</v>
      </c>
      <c r="AE222" s="1" t="b">
        <v>0</v>
      </c>
      <c r="AF222" s="1" t="inlineStr">
        <is>
          <t>Yes</t>
        </is>
      </c>
      <c r="AG222" s="1" t="inlineStr">
        <is>
          <t>https://www.linkedin.com/company/cards</t>
        </is>
      </c>
      <c r="AH222" s="1" t="inlineStr">
        <is>
          <t>https://www.linkedin.com/company/cards</t>
        </is>
      </c>
      <c r="AI222" s="1" t="inlineStr">
        <is>
          <t>https://www.linkedin.com/company/cards</t>
        </is>
      </c>
    </row>
    <row r="223" ht="12.5" customHeight="1">
      <c r="A223" s="6" t="n">
        <v>45839</v>
      </c>
      <c r="B223" s="1" t="inlineStr">
        <is>
          <t>ORG_2163</t>
        </is>
      </c>
      <c r="C223" s="1" t="b">
        <v>1</v>
      </c>
      <c r="D223" s="1" t="inlineStr">
        <is>
          <t>Readmio</t>
        </is>
      </c>
      <c r="E223" s="10" t="inlineStr">
        <is>
          <t>www.readmio.com</t>
        </is>
      </c>
      <c r="F223" t="inlineStr">
        <is>
          <t>readmio.com</t>
        </is>
      </c>
      <c r="G223" s="1" t="inlineStr">
        <is>
          <t>Digital publisher with more than 6 million stories read, trusted by over 1M families, and featured by Apple and Google.</t>
        </is>
      </c>
      <c r="H223" s="1" t="inlineStr">
        <is>
          <t>I'm not part of any EdTech association</t>
        </is>
      </c>
      <c r="I223" s="1" t="inlineStr">
        <is>
          <t>English, German, Italian, Spanish, German, Polish, Portuguese, Other</t>
        </is>
      </c>
      <c r="J223" s="1" t="inlineStr">
        <is>
          <t>Prague</t>
        </is>
      </c>
      <c r="K223" t="inlineStr">
        <is>
          <t>Prague</t>
        </is>
      </c>
      <c r="L223" t="inlineStr">
        <is>
          <t>Prague, Czech Republic</t>
        </is>
      </c>
      <c r="M223" t="n">
        <v>50.0864234</v>
      </c>
      <c r="N223" t="n">
        <v>14.4156772</v>
      </c>
      <c r="O223" s="1" t="inlineStr">
        <is>
          <t>Czech Republic</t>
        </is>
      </c>
      <c r="P223" s="1" t="inlineStr">
        <is>
          <t>Slovakia, Austria, Germany, Czechia, Italy, Ireland, Poland, Portugal, United Kingdom, Latin America</t>
        </is>
      </c>
      <c r="Q223" s="1" t="inlineStr">
        <is>
          <t>Small (10-49 FTE employees)</t>
        </is>
      </c>
      <c r="R223" t="inlineStr">
        <is>
          <t>Small</t>
        </is>
      </c>
      <c r="S223" s="1" t="inlineStr">
        <is>
          <t>Business to Consumer</t>
        </is>
      </c>
      <c r="T223" s="1" t="inlineStr">
        <is>
          <t>Early childhood development (0-5 years), Primary Education</t>
        </is>
      </c>
      <c r="U223" s="1" t="inlineStr">
        <is>
          <t>Student interfacing</t>
        </is>
      </c>
      <c r="V223" s="1" t="inlineStr">
        <is>
          <t>Mobile app</t>
        </is>
      </c>
      <c r="W223" s="1" t="n"/>
      <c r="X223" s="10" t="n"/>
      <c r="Z223" s="1" t="n"/>
      <c r="AA223" s="1" t="inlineStr">
        <is>
          <t>Unverified</t>
        </is>
      </c>
      <c r="AB223" s="1" t="inlineStr">
        <is>
          <t>Collaborations between EdTech organisations, Project consortium building, Public-private partnerships</t>
        </is>
      </c>
      <c r="AC223" s="1" t="inlineStr">
        <is>
          <t>For-profit company</t>
        </is>
      </c>
      <c r="AD223" s="1" t="b">
        <v>1</v>
      </c>
      <c r="AE223" s="1" t="b">
        <v>1</v>
      </c>
      <c r="AF223" s="1" t="inlineStr">
        <is>
          <t>Yes</t>
        </is>
      </c>
      <c r="AG223" s="1" t="inlineStr">
        <is>
          <t>https://www.linkedin.com/company/42912604/admin/dashboard/</t>
        </is>
      </c>
      <c r="AH223" s="1" t="inlineStr">
        <is>
          <t>https://www.linkedin.com/company/42912604/admin/dashboard/</t>
        </is>
      </c>
      <c r="AI223" s="1" t="inlineStr">
        <is>
          <t>https://www.linkedin.com/company/42912604/admin/dashboard/</t>
        </is>
      </c>
    </row>
    <row r="224" ht="12.5" customHeight="1">
      <c r="A224" s="6" t="n">
        <v>45839</v>
      </c>
      <c r="B224" s="1" t="inlineStr">
        <is>
          <t>ORG_1691</t>
        </is>
      </c>
      <c r="C224" s="1" t="b">
        <v>1</v>
      </c>
      <c r="D224" s="1" t="inlineStr">
        <is>
          <t>Human AI Tech</t>
        </is>
      </c>
      <c r="E224" s="10" t="inlineStr">
        <is>
          <t>https://humanaitech.com/</t>
        </is>
      </c>
      <c r="F224" t="inlineStr">
        <is>
          <t>humanaitech.com</t>
        </is>
      </c>
      <c r="G224" s="1" t="inlineStr">
        <is>
          <t>The assistant with artificial intelligence to make immediate analyses of personality and socio-emotional skills from texts in the natural language of a person, avoiding the self-perception bias and the tedious traditional questionnaires.</t>
        </is>
      </c>
      <c r="H224" s="1" t="inlineStr">
        <is>
          <t>EduTech Cluster Spain</t>
        </is>
      </c>
      <c r="I224" s="1" t="inlineStr">
        <is>
          <t>English, French, Spanish, Portuguese</t>
        </is>
      </c>
      <c r="J224" s="1" t="inlineStr">
        <is>
          <t>Pamplona</t>
        </is>
      </c>
      <c r="K224" t="inlineStr">
        <is>
          <t>Pamplona</t>
        </is>
      </c>
      <c r="L224" t="inlineStr">
        <is>
          <t>Pamplona, Spain</t>
        </is>
      </c>
      <c r="M224" t="n">
        <v>42.815686</v>
      </c>
      <c r="N224" t="n">
        <v>-1.6522353</v>
      </c>
      <c r="O224" s="1" t="inlineStr">
        <is>
          <t>Spain</t>
        </is>
      </c>
      <c r="P224" s="1" t="inlineStr">
        <is>
          <t>Spain, United Kingdom, France, Albania, Andorra, Austria, Bosnia and Herzegovina, Belgium, Belarus, Bulgaria, Croatia, Republic of Cyprus, Estonia, Denmark, Czechia, Finland, Germany, Iceland, Hungary, Greece, Ireland, Italy, Kosovo, Lithuania, Liechtenstein, Latvia, Luxembourg, Malta, Moldova, Netherlands, Poland, San Marino, Montenegro, Monaco, North Macedonia, Slovakia, Portugal, Sweden, Ukraine, Switzerland, Slovenia, Romania, Norway, Turkey, United States of America</t>
        </is>
      </c>
      <c r="Q224" s="1" t="inlineStr">
        <is>
          <t>Small (10-49 FTE employees)</t>
        </is>
      </c>
      <c r="R224" t="inlineStr">
        <is>
          <t>Small</t>
        </is>
      </c>
      <c r="S224" s="1" t="inlineStr">
        <is>
          <t>Business to Business</t>
        </is>
      </c>
      <c r="T224" s="1" t="inlineStr">
        <is>
          <t>Secondary Education, Vocational Education and Training (VET), Higher Education, Corporate Training, Lifelong learning/Adult education, Special Education</t>
        </is>
      </c>
      <c r="U224" s="1" t="inlineStr">
        <is>
          <t>Student interfacing, Teacher interfacing</t>
        </is>
      </c>
      <c r="V224" s="10" t="inlineStr">
        <is>
          <t>Soft skills analysis</t>
        </is>
      </c>
      <c r="W224" s="1" t="inlineStr">
        <is>
          <t>Socio-emotional skills analysis based on a 800 words text, avoiding self-perception bias</t>
        </is>
      </c>
      <c r="X224" s="10" t="n"/>
      <c r="Z224" s="1" t="n"/>
      <c r="AA224" s="1" t="inlineStr">
        <is>
          <t>Unverified</t>
        </is>
      </c>
      <c r="AB224" s="1" t="inlineStr">
        <is>
          <t>Collaborations between EdTech organisations, Project consortium building, Public-private partnerships, Industry-academia partnerships</t>
        </is>
      </c>
      <c r="AC224" s="1" t="inlineStr">
        <is>
          <t>For-profit company</t>
        </is>
      </c>
      <c r="AD224" s="1" t="b">
        <v>1</v>
      </c>
      <c r="AE224" s="1" t="b">
        <v>0</v>
      </c>
      <c r="AF224" s="1" t="inlineStr">
        <is>
          <t>Yes</t>
        </is>
      </c>
      <c r="AG224" s="1" t="inlineStr">
        <is>
          <t>https://www.instagram.com/humanai_tech/</t>
        </is>
      </c>
      <c r="AH224" s="1" t="inlineStr">
        <is>
          <t>https://www.linkedin.com/company/aplicaciones</t>
        </is>
      </c>
      <c r="AI224" s="1" t="inlineStr">
        <is>
          <t>https://www.linkedin.com/company/aplicaciones</t>
        </is>
      </c>
    </row>
    <row r="225" ht="12.5" customHeight="1">
      <c r="A225" s="6" t="n">
        <v>45839</v>
      </c>
      <c r="B225" s="1" t="inlineStr">
        <is>
          <t>ORG_2063</t>
        </is>
      </c>
      <c r="C225" s="1" t="b">
        <v>1</v>
      </c>
      <c r="D225" s="1" t="inlineStr">
        <is>
          <t>OneBonsai</t>
        </is>
      </c>
      <c r="E225" s="10" t="inlineStr">
        <is>
          <t>https://onebonsai.com</t>
        </is>
      </c>
      <c r="F225" t="inlineStr">
        <is>
          <t>onebonsai.com</t>
        </is>
      </c>
      <c r="G225" s="1" t="inlineStr">
        <is>
          <t>OneBonsai is a technology company specializing in immersive solutions using Virtual Reality and Artificial Intelligence. In the EdTech sector, OneBonsai focuses on developing innovative VR-based training and educational tools that enhance learning experiences through interactive, realistic simulations. Our solutions are used for soft skills training, safety procedures, and technical education, providing scalable, engaging, and effective learning environments for both academic institutions and corporate training programs.</t>
        </is>
      </c>
      <c r="H225" s="1" t="inlineStr">
        <is>
          <t>edtechstation</t>
        </is>
      </c>
      <c r="I225" s="1" t="inlineStr">
        <is>
          <t>English, French, Spanish, German, Dutch</t>
        </is>
      </c>
      <c r="J225" s="1" t="inlineStr">
        <is>
          <t>Leuven</t>
        </is>
      </c>
      <c r="K225" t="inlineStr">
        <is>
          <t>Leuven</t>
        </is>
      </c>
      <c r="L225" t="inlineStr">
        <is>
          <t>Leuven, Belgium</t>
        </is>
      </c>
      <c r="M225" t="n">
        <v>50.879202</v>
      </c>
      <c r="N225" t="n">
        <v>4.7011675</v>
      </c>
      <c r="O225" s="1" t="inlineStr">
        <is>
          <t>Belgium</t>
        </is>
      </c>
      <c r="P225" s="1" t="inlineStr">
        <is>
          <t>Belgium</t>
        </is>
      </c>
      <c r="Q225" s="1" t="inlineStr">
        <is>
          <t>Small (10-49 FTE employees)</t>
        </is>
      </c>
      <c r="R225" t="inlineStr">
        <is>
          <t>Small</t>
        </is>
      </c>
      <c r="S225" s="1" t="inlineStr">
        <is>
          <t>Business to Business, Business to Government</t>
        </is>
      </c>
      <c r="T225" s="1" t="inlineStr">
        <is>
          <t>Higher Education, Corporate Training, Lifelong learning/Adult education</t>
        </is>
      </c>
      <c r="U225" s="1" t="inlineStr">
        <is>
          <t>Student interfacing</t>
        </is>
      </c>
      <c r="V225" s="1" t="inlineStr">
        <is>
          <t>VR Training Platform</t>
        </is>
      </c>
      <c r="W225" s="1" t="inlineStr">
        <is>
          <t>OneBonsai offers a Virtual Reality Training Platform which provides immersive learning modules that simulate real-life scenarios, enabling students or trainees to practice skills in a safe, controlled environment.</t>
        </is>
      </c>
      <c r="X225" s="10" t="n"/>
      <c r="Z225" s="1" t="n"/>
      <c r="AA225" s="1" t="inlineStr">
        <is>
          <t>Unverified</t>
        </is>
      </c>
      <c r="AB225" s="1" t="inlineStr">
        <is>
          <t>Collaborations between EdTech organisations, Project consortium building, Public-private partnerships</t>
        </is>
      </c>
      <c r="AC225" s="1" t="inlineStr">
        <is>
          <t>For-profit company</t>
        </is>
      </c>
      <c r="AD225" s="1" t="b">
        <v>1</v>
      </c>
      <c r="AE225" s="1" t="b">
        <v>1</v>
      </c>
      <c r="AF225" s="1" t="inlineStr">
        <is>
          <t>Yes</t>
        </is>
      </c>
      <c r="AG225" s="1" t="inlineStr">
        <is>
          <t>https://www.linkedin.com/company/onebonsai</t>
        </is>
      </c>
      <c r="AH225" s="1" t="inlineStr">
        <is>
          <t>https://www.linkedin.com/company/onebonsai</t>
        </is>
      </c>
      <c r="AI225" s="1" t="inlineStr">
        <is>
          <t>https://www.linkedin.com/company/onebonsai</t>
        </is>
      </c>
      <c r="AJ225" s="1" t="n"/>
    </row>
    <row r="226" ht="12.5" customHeight="1">
      <c r="A226" s="6" t="n">
        <v>45839</v>
      </c>
      <c r="B226" s="1" t="inlineStr">
        <is>
          <t>ORG_1959</t>
        </is>
      </c>
      <c r="C226" s="1" t="b">
        <v>1</v>
      </c>
      <c r="D226" s="1" t="inlineStr">
        <is>
          <t>Meta Learn</t>
        </is>
      </c>
      <c r="E226" s="10" t="inlineStr">
        <is>
          <t>https://business.metalearnapps.com/</t>
        </is>
      </c>
      <c r="F226" t="inlineStr">
        <is>
          <t>business.metalearnapps.com</t>
        </is>
      </c>
      <c r="G226" s="1" t="inlineStr">
        <is>
          <t>The Survey That Actively Improves Well-Being. Our well-being measurement goes beyond just collecting data. Using AI-powered insights, we identify employees with low well-being and provide targeted exercises to prevent burnout and stress. This ensures help reaches those who need it most effortlessly. By taking action, we help create a healthier, more engaged, and high-performing team.</t>
        </is>
      </c>
      <c r="H226" s="1" t="inlineStr">
        <is>
          <t>EdTech Denmark</t>
        </is>
      </c>
      <c r="I226" s="1" t="inlineStr">
        <is>
          <t>English, German, Danish, Swedish, Norwegian</t>
        </is>
      </c>
      <c r="J226" s="1" t="inlineStr">
        <is>
          <t>Eskilstrup</t>
        </is>
      </c>
      <c r="K226" t="inlineStr">
        <is>
          <t>Eskilstrup</t>
        </is>
      </c>
      <c r="L226" t="inlineStr">
        <is>
          <t>Eskilstrup, Denmark</t>
        </is>
      </c>
      <c r="M226" t="n">
        <v>54.8568436</v>
      </c>
      <c r="N226" t="n">
        <v>11.8840358</v>
      </c>
      <c r="O226" s="1" t="inlineStr">
        <is>
          <t>Denmark</t>
        </is>
      </c>
      <c r="P226" s="1" t="inlineStr">
        <is>
          <t>Denmark</t>
        </is>
      </c>
      <c r="Q226" s="1" t="inlineStr">
        <is>
          <t>Micro (1-9 FTE employees)</t>
        </is>
      </c>
      <c r="R226" t="inlineStr">
        <is>
          <t>Micro</t>
        </is>
      </c>
      <c r="S226" s="1" t="inlineStr">
        <is>
          <t>Business to Business, Business to Schools, Business to Government</t>
        </is>
      </c>
      <c r="T226" s="1" t="inlineStr">
        <is>
          <t>Primary Education, Secondary Education, Higher Education, Vocational Education and Training (VET), Corporate Training, Lifelong learning/Adult education, Special Education</t>
        </is>
      </c>
      <c r="U226" s="1" t="inlineStr">
        <is>
          <t>Student interfacing, Teacher interfacing, System/Administrative</t>
        </is>
      </c>
      <c r="V226" s="1" t="inlineStr">
        <is>
          <t>AI-Powered Survey</t>
        </is>
      </c>
      <c r="W226" s="1" t="inlineStr">
        <is>
          <t>Transforms employee feedback into action. Promotes well-being and job satisfaction – every day.
Preventive action with AI: Detects distress in real time through anonymous data.</t>
        </is>
      </c>
      <c r="X226" s="10" t="inlineStr">
        <is>
          <t>Self-help app</t>
        </is>
      </c>
      <c r="Y226" t="inlineStr">
        <is>
          <t>Anonymous self-help: 100% anonymous process with no sharing of sensitive data. Automatically support based on the users own well-being data.</t>
        </is>
      </c>
      <c r="Z226" s="1" t="n"/>
      <c r="AA226" s="1" t="inlineStr">
        <is>
          <t>Unverified</t>
        </is>
      </c>
      <c r="AB226" s="1" t="n"/>
      <c r="AC226" s="1" t="inlineStr">
        <is>
          <t>For-profit company</t>
        </is>
      </c>
      <c r="AD226" s="1" t="b">
        <v>1</v>
      </c>
      <c r="AE226" s="1" t="b">
        <v>1</v>
      </c>
      <c r="AF226" s="1" t="inlineStr">
        <is>
          <t>Yes</t>
        </is>
      </c>
      <c r="AG226" s="1" t="inlineStr">
        <is>
          <t>https://www.linkedin.com/company/meta</t>
        </is>
      </c>
      <c r="AH226" s="1" t="inlineStr">
        <is>
          <t>https://www.linkedin.com/company/meta</t>
        </is>
      </c>
      <c r="AI226" s="1" t="inlineStr">
        <is>
          <t>https://www.linkedin.com/company/meta</t>
        </is>
      </c>
    </row>
    <row r="227" ht="12.5" customHeight="1">
      <c r="A227" s="6" t="n">
        <v>45839</v>
      </c>
      <c r="B227" s="1" t="inlineStr">
        <is>
          <t>ORG_2215</t>
        </is>
      </c>
      <c r="C227" s="1" t="b">
        <v>1</v>
      </c>
      <c r="D227" s="1" t="inlineStr">
        <is>
          <t>SchuBu Systems GmbH</t>
        </is>
      </c>
      <c r="E227" s="10" t="inlineStr">
        <is>
          <t>https://www.schubu.org</t>
        </is>
      </c>
      <c r="F227" t="inlineStr">
        <is>
          <t>schubu.org</t>
        </is>
      </c>
      <c r="G227" s="1" t="inlineStr">
        <is>
          <t>SchuBu is a digital publisher based in Vienna and created the first, fully interactive digital learning world. This is award-winning, is already widely used and valued in Austrian schools and is now an integral part of the market. SchuBu is one Teaching and learning platform (currently for secondary level 1) is state-of-the-art: its special feature is that Combining the teaching material with simulations, games, presentation slides, exercises, worksheets and experiments. This makes teaching easier and learning more interesting, in keeping with the intrinsically motivating gamification approach: “Playing is a child’s way of learning, discovering the world and understanding connections.”</t>
        </is>
      </c>
      <c r="H227" s="1" t="inlineStr">
        <is>
          <t>EdTech Austria</t>
        </is>
      </c>
      <c r="I227" s="1" t="inlineStr">
        <is>
          <t>German</t>
        </is>
      </c>
      <c r="J227" s="1" t="inlineStr">
        <is>
          <t>Vienna</t>
        </is>
      </c>
      <c r="K227" t="inlineStr">
        <is>
          <t>Vienna</t>
        </is>
      </c>
      <c r="L227" t="inlineStr">
        <is>
          <t>Vienna, Austria</t>
        </is>
      </c>
      <c r="M227" t="n">
        <v>48.2083537</v>
      </c>
      <c r="N227" t="n">
        <v>16.3725042</v>
      </c>
      <c r="O227" s="1" t="inlineStr">
        <is>
          <t>Austria</t>
        </is>
      </c>
      <c r="P227" s="1" t="inlineStr">
        <is>
          <t>Austria, Germany, Switzerland, Italy</t>
        </is>
      </c>
      <c r="Q227" s="1" t="inlineStr">
        <is>
          <t>Small (10-49 FTE employees)</t>
        </is>
      </c>
      <c r="R227" t="inlineStr">
        <is>
          <t>Small</t>
        </is>
      </c>
      <c r="S227" s="1" t="inlineStr">
        <is>
          <t>Business to Schools</t>
        </is>
      </c>
      <c r="T227" s="1" t="inlineStr">
        <is>
          <t>Secondary Education</t>
        </is>
      </c>
      <c r="U227" s="1" t="inlineStr">
        <is>
          <t>Student interfacing, Teacher interfacing, System/Administrative</t>
        </is>
      </c>
      <c r="V227" s="1" t="inlineStr">
        <is>
          <t>SchuBu</t>
        </is>
      </c>
      <c r="W227" s="1" t="inlineStr">
        <is>
          <t>SchuBu Systems GmbH addresses a critical issue in today’s education: the need of teachers to have immediately accessible, classroom-ready digital content that supports effective teaching.</t>
        </is>
      </c>
      <c r="X227" s="10" t="inlineStr">
        <is>
          <t>SchuBu+</t>
        </is>
      </c>
      <c r="Y227" t="inlineStr">
        <is>
          <t>The platform offers precompiled learning paths and ready-to-use materials that minimize preparation time, enabling teachers to focus on fostering meaningful relationships with students.</t>
        </is>
      </c>
      <c r="Z227" s="1" t="n"/>
      <c r="AA227" s="1" t="inlineStr">
        <is>
          <t>Unverified</t>
        </is>
      </c>
      <c r="AB227" s="1" t="inlineStr">
        <is>
          <t>Public-private partnerships, Industry-academia partnerships, Collaborations between EdTech organisations</t>
        </is>
      </c>
      <c r="AC227" s="1" t="inlineStr">
        <is>
          <t>For-profit company</t>
        </is>
      </c>
      <c r="AD227" s="1" t="b">
        <v>1</v>
      </c>
      <c r="AE227" s="1" t="b">
        <v>1</v>
      </c>
      <c r="AF227" s="1" t="inlineStr">
        <is>
          <t>Yes</t>
        </is>
      </c>
      <c r="AG227" s="1" t="inlineStr">
        <is>
          <t>https://at.linkedin.com/company/schubuwien</t>
        </is>
      </c>
      <c r="AH227" s="1" t="inlineStr">
        <is>
          <t>https://at.linkedin.com/company/schubuwien</t>
        </is>
      </c>
      <c r="AI227" s="1" t="inlineStr">
        <is>
          <t>https://at.linkedin.com/company/schubuwien</t>
        </is>
      </c>
    </row>
    <row r="228" ht="12.5" customHeight="1">
      <c r="A228" s="6" t="n">
        <v>45839</v>
      </c>
      <c r="B228" s="1" t="inlineStr">
        <is>
          <t>ORG_1797</t>
        </is>
      </c>
      <c r="C228" s="1" t="b">
        <v>1</v>
      </c>
      <c r="D228" s="1" t="inlineStr">
        <is>
          <t>Kwizie</t>
        </is>
      </c>
      <c r="E228" s="10" t="inlineStr">
        <is>
          <t>https://www.kwizie.ai/</t>
        </is>
      </c>
      <c r="F228" t="inlineStr">
        <is>
          <t>kwizie.ai</t>
        </is>
      </c>
      <c r="G228" s="1" t="inlineStr">
        <is>
          <t>Kwizie is a smart assessment and credentialing platform designed to help upskill everyone for the future of work.</t>
        </is>
      </c>
      <c r="H228" s="1" t="inlineStr">
        <is>
          <t>EdTech Finland</t>
        </is>
      </c>
      <c r="I228" s="1" t="n"/>
      <c r="J228" s="1" t="inlineStr">
        <is>
          <t>Helsinki</t>
        </is>
      </c>
      <c r="K228" t="inlineStr">
        <is>
          <t>Helsinki</t>
        </is>
      </c>
      <c r="L228" t="inlineStr">
        <is>
          <t>Helsinki, Finland</t>
        </is>
      </c>
      <c r="M228" t="n">
        <v>60.1666204</v>
      </c>
      <c r="N228" t="n">
        <v>24.9435408</v>
      </c>
      <c r="O228" s="1" t="inlineStr">
        <is>
          <t>Finland</t>
        </is>
      </c>
      <c r="P228" s="1" t="n"/>
      <c r="Q228" s="1" t="inlineStr">
        <is>
          <t>Micro (1-9 FTE employees)</t>
        </is>
      </c>
      <c r="R228" t="inlineStr">
        <is>
          <t>Micro</t>
        </is>
      </c>
      <c r="S228" s="1" t="inlineStr">
        <is>
          <t>Business to Business, Business to Consumer, Business to Government, Business to Schools</t>
        </is>
      </c>
      <c r="T228" s="1" t="inlineStr">
        <is>
          <t>Secondary Education, Vocational Education and Training (VET), Higher Education, Corporate Training, Lifelong learning/Adult education</t>
        </is>
      </c>
      <c r="U228" s="1" t="inlineStr">
        <is>
          <t>Student interfacing, Teacher interfacing</t>
        </is>
      </c>
      <c r="V228" s="1" t="inlineStr">
        <is>
          <t>https://www.linkedin.com/company/kwizie/</t>
        </is>
      </c>
      <c r="W228" s="1" t="n"/>
      <c r="X228" s="10" t="n"/>
      <c r="Z228" s="1" t="n"/>
      <c r="AA228" s="1" t="inlineStr">
        <is>
          <t>Unverified</t>
        </is>
      </c>
      <c r="AB228" s="1" t="inlineStr">
        <is>
          <t>Collaborations between EdTech organisations, Project consortium building, Public-private partnerships, Industry-academia partnerships</t>
        </is>
      </c>
      <c r="AC228" s="1" t="inlineStr">
        <is>
          <t>For-profit company</t>
        </is>
      </c>
      <c r="AD228" s="1" t="b">
        <v>1</v>
      </c>
      <c r="AE228" s="1" t="n"/>
      <c r="AF228" s="1" t="inlineStr">
        <is>
          <t>Yes</t>
        </is>
      </c>
      <c r="AG228" s="1" t="inlineStr">
        <is>
          <t>https://www.linkedin.com/company/kwizie/</t>
        </is>
      </c>
      <c r="AH228" s="1" t="inlineStr">
        <is>
          <t>https://www.linkedin.com/company/kwizie/</t>
        </is>
      </c>
      <c r="AI228" s="1" t="inlineStr">
        <is>
          <t>https://www.linkedin.com/company/kwizie/</t>
        </is>
      </c>
      <c r="AJ228" s="1" t="n"/>
    </row>
    <row r="229" ht="12.5" customHeight="1">
      <c r="A229" s="6" t="n">
        <v>45839</v>
      </c>
      <c r="B229" s="1" t="inlineStr">
        <is>
          <t>ORG_2208</t>
        </is>
      </c>
      <c r="C229" s="1" t="b">
        <v>1</v>
      </c>
      <c r="D229" s="1" t="inlineStr">
        <is>
          <t>SceneSnap</t>
        </is>
      </c>
      <c r="E229" s="10" t="inlineStr">
        <is>
          <t>https://scenesnap.co/</t>
        </is>
      </c>
      <c r="F229" t="inlineStr">
        <is>
          <t>scenesnap.co</t>
        </is>
      </c>
      <c r="G229" s="1" t="inlineStr">
        <is>
          <t>SceneSnap turns passive learning materials into interactive, AI-powered learning experiences. Used in universities and companies, SceneSnap helps learners engage faster, retain more, and access content in a way that fits their daily habits.</t>
        </is>
      </c>
      <c r="H229" s="1" t="inlineStr">
        <is>
          <t>I'm not part of any EdTech association</t>
        </is>
      </c>
      <c r="I229" s="1" t="inlineStr">
        <is>
          <t>English, German, Italian, French, Spanish, Other</t>
        </is>
      </c>
      <c r="J229" s="1" t="inlineStr">
        <is>
          <t>Milan</t>
        </is>
      </c>
      <c r="K229" t="inlineStr">
        <is>
          <t>Milan</t>
        </is>
      </c>
      <c r="L229" t="inlineStr">
        <is>
          <t>Milan, Italy</t>
        </is>
      </c>
      <c r="M229" t="n">
        <v>45.4641943</v>
      </c>
      <c r="N229" t="n">
        <v>9.1896346</v>
      </c>
      <c r="O229" s="1" t="inlineStr">
        <is>
          <t>Italy</t>
        </is>
      </c>
      <c r="P229" s="1" t="n"/>
      <c r="Q229" s="1" t="inlineStr">
        <is>
          <t>Micro (1-9 FTE employees)</t>
        </is>
      </c>
      <c r="R229" t="inlineStr">
        <is>
          <t>Micro</t>
        </is>
      </c>
      <c r="S229" s="1" t="inlineStr">
        <is>
          <t>Business to Consumer, Business to Business, Business to Government, Business to Schools</t>
        </is>
      </c>
      <c r="T229" s="1" t="inlineStr">
        <is>
          <t>Higher Education, Corporate Training</t>
        </is>
      </c>
      <c r="U229" s="1" t="inlineStr">
        <is>
          <t>Student interfacing, Teacher interfacing, System/Administrative</t>
        </is>
      </c>
      <c r="V229" s="1" t="inlineStr">
        <is>
          <t>SceneSnap Platform</t>
        </is>
      </c>
      <c r="W229" s="1" t="inlineStr">
        <is>
          <t>An AI-powered learning platform that transforms passive content, videos, PDFs, and SOPs into interactive, personalized learning assets. Features include summaries, flashcards, mind maps, quizzes, and a conversational AI tutor.</t>
        </is>
      </c>
      <c r="X229" s="10" t="inlineStr">
        <is>
          <t>The Repeater (AI Tutor)</t>
        </is>
      </c>
      <c r="Y229" t="inlineStr">
        <is>
          <t>An interactive AI tutor that helps students understand course content through conversation. It can generate tailored explanations, slides, and videos in real time based on the user’s questions and learning needs.</t>
        </is>
      </c>
      <c r="Z229" s="1" t="n"/>
      <c r="AA229" s="1" t="inlineStr">
        <is>
          <t>Unverified</t>
        </is>
      </c>
      <c r="AB229" s="1" t="inlineStr">
        <is>
          <t>Public-private partnerships, Industry-academia partnerships, Project consortium building, Collaborations between EdTech organisations</t>
        </is>
      </c>
      <c r="AC229" s="1" t="inlineStr">
        <is>
          <t>For-profit company</t>
        </is>
      </c>
      <c r="AD229" s="1" t="b">
        <v>1</v>
      </c>
      <c r="AE229" s="1" t="b">
        <v>1</v>
      </c>
      <c r="AF229" s="1" t="inlineStr">
        <is>
          <t>Yes</t>
        </is>
      </c>
      <c r="AG229" s="1" t="inlineStr">
        <is>
          <t>https://www.linkedin.com/company/scenesnap/</t>
        </is>
      </c>
      <c r="AH229" s="1" t="inlineStr">
        <is>
          <t>https://www.linkedin.com/company/scenesnap/</t>
        </is>
      </c>
      <c r="AI229" s="1" t="inlineStr">
        <is>
          <t>https://www.linkedin.com/company/scenesnap/</t>
        </is>
      </c>
      <c r="AJ229" s="1" t="n"/>
    </row>
    <row r="230" ht="12.5" customHeight="1">
      <c r="A230" s="6" t="n">
        <v>45839</v>
      </c>
      <c r="B230" s="1" t="inlineStr">
        <is>
          <t>ORG_1399</t>
        </is>
      </c>
      <c r="C230" s="1" t="b">
        <v>1</v>
      </c>
      <c r="D230" s="1" t="inlineStr">
        <is>
          <t>edChild</t>
        </is>
      </c>
      <c r="E230" s="10" t="inlineStr">
        <is>
          <t>www.edchild.com</t>
        </is>
      </c>
      <c r="F230" t="inlineStr">
        <is>
          <t>edchild.com</t>
        </is>
      </c>
      <c r="G230" s="1" t="inlineStr">
        <is>
          <t>edChild is an award-winning non-profit EdTech company dedicated to empowering early childhood educators with valuable resources and opportunities for knowledge sharing and personalised learning particularly around sustainability.</t>
        </is>
      </c>
      <c r="H230" s="1" t="inlineStr">
        <is>
          <t>I'm not part of any EdTech association</t>
        </is>
      </c>
      <c r="I230" s="1" t="inlineStr">
        <is>
          <t>English, French, Spanish, Swedish</t>
        </is>
      </c>
      <c r="J230" s="1" t="inlineStr">
        <is>
          <t>Stockholm</t>
        </is>
      </c>
      <c r="K230" t="inlineStr">
        <is>
          <t>Stockholm</t>
        </is>
      </c>
      <c r="L230" t="inlineStr">
        <is>
          <t>Stockholm, Sweden</t>
        </is>
      </c>
      <c r="M230" t="n">
        <v>59.3251172</v>
      </c>
      <c r="N230" t="n">
        <v>18.0710935</v>
      </c>
      <c r="O230" s="1" t="inlineStr">
        <is>
          <t>Sweden</t>
        </is>
      </c>
      <c r="P230" s="1" t="inlineStr">
        <is>
          <t>Austria, Belgium, Croatia, Czechia, Denmark, Estonia, Finland, France, Ireland, Italy, Netherlands, Norway, Poland, Portugal, Slovakia, Spain, Sweden, Switzerland, United Kingdom</t>
        </is>
      </c>
      <c r="Q230" s="1" t="inlineStr">
        <is>
          <t>Micro (1-9 FTE employees)</t>
        </is>
      </c>
      <c r="R230" t="inlineStr">
        <is>
          <t>Micro</t>
        </is>
      </c>
      <c r="S230" s="1" t="inlineStr">
        <is>
          <t>Business to Consumer, Business to Schools</t>
        </is>
      </c>
      <c r="T230" s="1" t="inlineStr">
        <is>
          <t>Early childhood development (0-5 years), Lifelong learning/Adult education</t>
        </is>
      </c>
      <c r="U230" s="1" t="inlineStr">
        <is>
          <t>Teacher interfacing</t>
        </is>
      </c>
      <c r="V230" s="1" t="inlineStr">
        <is>
          <t>ECE Academy</t>
        </is>
      </c>
      <c r="W230" s="1" t="inlineStr">
        <is>
          <t>An online course platform designed for early childhood educators. It currently features the course “Sustainability from the Start,” which was developed in a major European project. This widely recognised course has been highlighted by UNESCO, the Swedish National Agency for Education, and COP28.</t>
        </is>
      </c>
      <c r="X230" s="1" t="n"/>
      <c r="Z230" s="1" t="n"/>
      <c r="AA230" s="1" t="inlineStr">
        <is>
          <t>Unverified</t>
        </is>
      </c>
      <c r="AB230" s="1" t="inlineStr">
        <is>
          <t>Public-private partnerships, Project consortium building</t>
        </is>
      </c>
      <c r="AC230" s="1" t="inlineStr">
        <is>
          <t>Non-profit organisation</t>
        </is>
      </c>
      <c r="AD230" s="1" t="b">
        <v>1</v>
      </c>
      <c r="AE230" s="1" t="b">
        <v>1</v>
      </c>
      <c r="AF230" s="1" t="inlineStr">
        <is>
          <t>Yes</t>
        </is>
      </c>
      <c r="AG230" s="1" t="inlineStr">
        <is>
          <t>https://www.facebook.com/edChildECEAcademy</t>
        </is>
      </c>
      <c r="AH230" s="1" t="n"/>
      <c r="AI230" s="1" t="n"/>
      <c r="AJ230" s="10" t="inlineStr">
        <is>
          <t>https://www.facebook.com/edChildECEAcademy</t>
        </is>
      </c>
    </row>
    <row r="231" ht="12.5" customHeight="1">
      <c r="A231" s="6" t="n">
        <v>45839</v>
      </c>
      <c r="B231" s="1" t="inlineStr">
        <is>
          <t>ORG_2566</t>
        </is>
      </c>
      <c r="C231" s="1" t="b">
        <v>1</v>
      </c>
      <c r="D231" s="1" t="inlineStr">
        <is>
          <t>Your Next Concepts B.V</t>
        </is>
      </c>
      <c r="E231" s="10" t="inlineStr">
        <is>
          <t>https://yournextconcepts.com</t>
        </is>
      </c>
      <c r="F231" t="inlineStr">
        <is>
          <t>yournextconcepts.com</t>
        </is>
      </c>
      <c r="G231" s="1" t="inlineStr">
        <is>
          <t>We enable educational institutions to develop and organise educational processes based on their educational vision.</t>
        </is>
      </c>
      <c r="H231" s="1" t="inlineStr">
        <is>
          <t>Dutch EdTech</t>
        </is>
      </c>
      <c r="I231" s="1" t="inlineStr">
        <is>
          <t>English, Dutch</t>
        </is>
      </c>
      <c r="J231" s="1" t="inlineStr">
        <is>
          <t>Utrecht</t>
        </is>
      </c>
      <c r="K231" t="inlineStr">
        <is>
          <t>Utrecht</t>
        </is>
      </c>
      <c r="L231" t="inlineStr">
        <is>
          <t>Utrecht, The Netherlands</t>
        </is>
      </c>
      <c r="M231" t="n">
        <v>52.0906195</v>
      </c>
      <c r="N231" t="n">
        <v>5.1119709</v>
      </c>
      <c r="O231" s="1" t="inlineStr">
        <is>
          <t>The Netherlands</t>
        </is>
      </c>
      <c r="P231" s="1" t="inlineStr">
        <is>
          <t>Belgium, Netherlands</t>
        </is>
      </c>
      <c r="Q231" s="1" t="inlineStr">
        <is>
          <t>Small (10-49 FTE employees)</t>
        </is>
      </c>
      <c r="R231" t="inlineStr">
        <is>
          <t>Small</t>
        </is>
      </c>
      <c r="S231" s="1" t="inlineStr">
        <is>
          <t>Business to Schools</t>
        </is>
      </c>
      <c r="T231" s="1" t="inlineStr">
        <is>
          <t>Vocational Education and Training (VET), Higher Education, Lifelong learning/Adult education, Corporate Training</t>
        </is>
      </c>
      <c r="U231" s="1" t="inlineStr">
        <is>
          <t>Student interfacing, Teacher interfacing, System/Administrative</t>
        </is>
      </c>
      <c r="V231" s="1" t="inlineStr">
        <is>
          <t>SQill</t>
        </is>
      </c>
      <c r="W231" s="1" t="inlineStr">
        <is>
          <t>Support flexible education by structuring the curriculum in one place.</t>
        </is>
      </c>
      <c r="X231" s="10" t="inlineStr">
        <is>
          <t>Academy Attendance</t>
        </is>
      </c>
      <c r="Y231" t="inlineStr">
        <is>
          <t>Manage everything related to enrollment, attendance tracking, and feedback with Academy Attendance.</t>
        </is>
      </c>
      <c r="Z231" s="1" t="n"/>
      <c r="AA231" s="1" t="inlineStr">
        <is>
          <t>Unverified</t>
        </is>
      </c>
      <c r="AB231" s="1" t="n"/>
      <c r="AC231" s="1" t="inlineStr">
        <is>
          <t>For-profit company</t>
        </is>
      </c>
      <c r="AD231" s="1" t="b">
        <v>1</v>
      </c>
      <c r="AE231" s="1" t="b">
        <v>1</v>
      </c>
      <c r="AF231" s="1" t="inlineStr">
        <is>
          <t>Yes</t>
        </is>
      </c>
      <c r="AG231" s="1" t="inlineStr">
        <is>
          <t>https://www.linkedin.com/company/yournextconcepts/</t>
        </is>
      </c>
      <c r="AH231" s="1" t="inlineStr">
        <is>
          <t>https://www.linkedin.com/company/yournextconcepts/</t>
        </is>
      </c>
      <c r="AI231" s="1" t="inlineStr">
        <is>
          <t>https://www.linkedin.com/company/yournextconcepts/</t>
        </is>
      </c>
      <c r="AJ231" s="1" t="n"/>
    </row>
    <row r="232" ht="12.5" customHeight="1">
      <c r="A232" s="6" t="n">
        <v>45839</v>
      </c>
      <c r="B232" s="1" t="inlineStr">
        <is>
          <t>ORG_2173</t>
        </is>
      </c>
      <c r="C232" s="1" t="b">
        <v>1</v>
      </c>
      <c r="D232" s="1" t="inlineStr">
        <is>
          <t>Redox Interactive</t>
        </is>
      </c>
      <c r="E232" s="10" t="inlineStr">
        <is>
          <t>https://redox-interactive.com</t>
        </is>
      </c>
      <c r="F232" t="inlineStr">
        <is>
          <t>redox-interactive.com</t>
        </is>
      </c>
      <c r="G232" s="1" t="inlineStr">
        <is>
          <t>Redox Interactive is a independent game development studio from Austria, in the very heart of Europe.</t>
        </is>
      </c>
      <c r="H232" s="1" t="inlineStr">
        <is>
          <t>EdTech Austria</t>
        </is>
      </c>
      <c r="I232" s="1" t="n"/>
      <c r="J232" s="1" t="inlineStr">
        <is>
          <t>Salzburg</t>
        </is>
      </c>
      <c r="K232" t="inlineStr">
        <is>
          <t>Salzburg</t>
        </is>
      </c>
      <c r="L232" t="inlineStr">
        <is>
          <t>Salzburg, Austria</t>
        </is>
      </c>
      <c r="M232" t="n">
        <v>47.7981346</v>
      </c>
      <c r="N232" t="n">
        <v>13.0464806</v>
      </c>
      <c r="O232" s="1" t="inlineStr">
        <is>
          <t>Austria</t>
        </is>
      </c>
      <c r="P232" s="1" t="n"/>
      <c r="Q232" s="1" t="inlineStr">
        <is>
          <t>Small (10-49 FTE employees)</t>
        </is>
      </c>
      <c r="R232" t="inlineStr">
        <is>
          <t>Small</t>
        </is>
      </c>
      <c r="S232" s="1" t="inlineStr">
        <is>
          <t>Business to Business, Business to Consumer</t>
        </is>
      </c>
      <c r="T232" s="1" t="inlineStr">
        <is>
          <t>Early childhood development (0-5 years), Corporate Training</t>
        </is>
      </c>
      <c r="U232" s="1" t="inlineStr">
        <is>
          <t>Teacher interfacing, System/Administrative</t>
        </is>
      </c>
      <c r="V232" s="1" t="n"/>
      <c r="W232" s="1" t="n"/>
      <c r="X232" s="1" t="n"/>
      <c r="Z232" s="1" t="n"/>
      <c r="AA232" s="1" t="inlineStr">
        <is>
          <t>Unverified</t>
        </is>
      </c>
      <c r="AB232" s="1" t="inlineStr">
        <is>
          <t>Project consortium building</t>
        </is>
      </c>
      <c r="AC232" s="1" t="inlineStr">
        <is>
          <t>For-profit company</t>
        </is>
      </c>
      <c r="AD232" s="1" t="b">
        <v>0</v>
      </c>
      <c r="AE232" s="1" t="n"/>
      <c r="AF232" s="1" t="inlineStr">
        <is>
          <t>No</t>
        </is>
      </c>
      <c r="AG232" s="1" t="n"/>
      <c r="AH232" s="1" t="n"/>
      <c r="AI232" s="1" t="n"/>
      <c r="AJ232" s="1" t="n"/>
    </row>
    <row r="233" ht="12.5" customHeight="1">
      <c r="A233" s="6" t="n">
        <v>45839</v>
      </c>
      <c r="B233" s="1" t="inlineStr">
        <is>
          <t>ORG_2455</t>
        </is>
      </c>
      <c r="C233" s="1" t="b">
        <v>1</v>
      </c>
      <c r="D233" s="1" t="inlineStr">
        <is>
          <t>Ugly Duckling Games</t>
        </is>
      </c>
      <c r="E233" s="10" t="inlineStr">
        <is>
          <t>uglyducklinggames.com</t>
        </is>
      </c>
      <c r="F233" t="inlineStr">
        <is>
          <t>uglyducklinggames.com</t>
        </is>
      </c>
      <c r="G233" s="1" t="inlineStr">
        <is>
          <t>We build collaborative and creative games for education.</t>
        </is>
      </c>
      <c r="H233" s="1" t="inlineStr">
        <is>
          <t>EdTech Denmark</t>
        </is>
      </c>
      <c r="I233" s="1" t="inlineStr">
        <is>
          <t>English, German, Swedish, Norwegian, Danish</t>
        </is>
      </c>
      <c r="J233" s="1" t="inlineStr">
        <is>
          <t>Galten</t>
        </is>
      </c>
      <c r="K233" t="inlineStr">
        <is>
          <t>Galten</t>
        </is>
      </c>
      <c r="L233" t="inlineStr">
        <is>
          <t>Galten, Denmark</t>
        </is>
      </c>
      <c r="M233" t="n">
        <v>56.154066</v>
      </c>
      <c r="N233" t="n">
        <v>9.9098817</v>
      </c>
      <c r="O233" s="1" t="inlineStr">
        <is>
          <t>Denmark</t>
        </is>
      </c>
      <c r="P233" s="1" t="inlineStr">
        <is>
          <t>Denmark, Sweden, Germany, United Kingdom, Norway</t>
        </is>
      </c>
      <c r="Q233" s="1" t="inlineStr">
        <is>
          <t>Micro (1-9 FTE employees)</t>
        </is>
      </c>
      <c r="R233" t="inlineStr">
        <is>
          <t>Micro</t>
        </is>
      </c>
      <c r="S233" s="1" t="inlineStr">
        <is>
          <t>Business to Business, Business to Schools</t>
        </is>
      </c>
      <c r="T233" s="1" t="inlineStr">
        <is>
          <t>Secondary Education, Primary Education</t>
        </is>
      </c>
      <c r="U233" s="1" t="inlineStr">
        <is>
          <t>Student interfacing</t>
        </is>
      </c>
      <c r="V233" s="1" t="inlineStr">
        <is>
          <t>Drama Studio</t>
        </is>
      </c>
      <c r="W233" s="1" t="inlineStr">
        <is>
          <t>dramastudio.com - an online collaborative, creative sandbox that allows students of all ages to create stunning 3D animated stageplays, faster than they write.</t>
        </is>
      </c>
      <c r="X233" s="10" t="inlineStr">
        <is>
          <t>Adventure Studio</t>
        </is>
      </c>
      <c r="Y233" t="inlineStr">
        <is>
          <t>A collaborative, creative sandbox, that allows students to create their own Point and Click Adventures. Still in development.</t>
        </is>
      </c>
      <c r="Z233" s="1" t="n"/>
      <c r="AA233" s="1" t="inlineStr">
        <is>
          <t>Unverified</t>
        </is>
      </c>
      <c r="AB233" s="1" t="inlineStr">
        <is>
          <t>Collaborations between EdTech organisations, Public-private partnerships, Industry-academia partnerships</t>
        </is>
      </c>
      <c r="AC233" s="1" t="inlineStr">
        <is>
          <t>For-profit company</t>
        </is>
      </c>
      <c r="AD233" s="1" t="b">
        <v>1</v>
      </c>
      <c r="AE233" s="1" t="b">
        <v>1</v>
      </c>
      <c r="AF233" s="1" t="inlineStr">
        <is>
          <t>Yes</t>
        </is>
      </c>
      <c r="AG233" s="1" t="inlineStr">
        <is>
          <t>https://www.linkedin.com/company/uglyducklinggames/</t>
        </is>
      </c>
      <c r="AH233" s="1" t="inlineStr">
        <is>
          <t>https://www.linkedin.com/company/uglyducklinggames/</t>
        </is>
      </c>
      <c r="AI233" s="1" t="inlineStr">
        <is>
          <t>https://www.linkedin.com/company/uglyducklinggames/</t>
        </is>
      </c>
      <c r="AJ233" s="1" t="n"/>
    </row>
    <row r="234" ht="12.5" customHeight="1">
      <c r="A234" s="6" t="n">
        <v>45839</v>
      </c>
      <c r="B234" s="1" t="inlineStr">
        <is>
          <t>ORG_1504</t>
        </is>
      </c>
      <c r="C234" s="1" t="b">
        <v>1</v>
      </c>
      <c r="D234" s="1" t="inlineStr">
        <is>
          <t>EPA Portfolio</t>
        </is>
      </c>
      <c r="E234" s="10" t="inlineStr">
        <is>
          <t>https://epaportfolio.com</t>
        </is>
      </c>
      <c r="F234" t="inlineStr">
        <is>
          <t>epaportfolio.com</t>
        </is>
      </c>
      <c r="G234" s="1" t="inlineStr">
        <is>
          <t>Reconcept EPA Portfolio is a skills and assessment app fully equipped to support any Competency Based Medical Education (CBME) curriculum.</t>
        </is>
      </c>
      <c r="H234" s="1" t="inlineStr">
        <is>
          <t>Dutch EdTech</t>
        </is>
      </c>
      <c r="I234" s="1" t="inlineStr">
        <is>
          <t>English, Dutch</t>
        </is>
      </c>
      <c r="J234" s="1" t="inlineStr">
        <is>
          <t>Groningen</t>
        </is>
      </c>
      <c r="K234" t="inlineStr">
        <is>
          <t>Groningen</t>
        </is>
      </c>
      <c r="L234" t="inlineStr">
        <is>
          <t>Groningen, The Netherlands</t>
        </is>
      </c>
      <c r="M234" t="n">
        <v>53.1974568</v>
      </c>
      <c r="N234" t="n">
        <v>6.5225217</v>
      </c>
      <c r="O234" s="1" t="inlineStr">
        <is>
          <t>The Netherlands</t>
        </is>
      </c>
      <c r="P234" s="1" t="inlineStr">
        <is>
          <t>Netherlands, Iceland, Austria, Belgium, Denmark, Estonia, Finland, France, Germany, Greece, Italy, Ireland, Luxembourg, Norway, Portugal, Spain, Sweden, Switzerland, United Kingdom</t>
        </is>
      </c>
      <c r="Q234" s="1" t="inlineStr">
        <is>
          <t>Small (10-49 FTE employees)</t>
        </is>
      </c>
      <c r="R234" t="inlineStr">
        <is>
          <t>Small</t>
        </is>
      </c>
      <c r="S234" s="1" t="inlineStr">
        <is>
          <t>Business to Schools, Business to Business, Business to Government</t>
        </is>
      </c>
      <c r="T234" s="1" t="inlineStr">
        <is>
          <t>Higher Education, Lifelong learning/Adult education</t>
        </is>
      </c>
      <c r="U234" s="1" t="inlineStr">
        <is>
          <t>Student interfacing, Teacher interfacing</t>
        </is>
      </c>
      <c r="V234" s="1" t="inlineStr">
        <is>
          <t>EPA Portfolio</t>
        </is>
      </c>
      <c r="W234" s="1" t="inlineStr">
        <is>
          <t>Reconcept EPA Portfolio is a skills and assessment app fully equipped to support any Competency Based Medical Education (CBME) curriculum.</t>
        </is>
      </c>
      <c r="X234" s="10" t="n"/>
      <c r="Z234" s="1" t="n"/>
      <c r="AA234" s="1" t="inlineStr">
        <is>
          <t>Unverified</t>
        </is>
      </c>
      <c r="AB234" s="1" t="inlineStr">
        <is>
          <t>Collaborations between EdTech organisations, Project consortium building, Public-private partnerships, Industry-academia partnerships</t>
        </is>
      </c>
      <c r="AC234" s="1" t="inlineStr">
        <is>
          <t>For-profit company</t>
        </is>
      </c>
      <c r="AD234" s="1" t="b">
        <v>1</v>
      </c>
      <c r="AE234" s="1" t="b">
        <v>0</v>
      </c>
      <c r="AF234" s="1" t="inlineStr">
        <is>
          <t>Yes</t>
        </is>
      </c>
      <c r="AG234" s="1" t="inlineStr">
        <is>
          <t>https://www.linkedin.com/showcase/epa</t>
        </is>
      </c>
      <c r="AH234" s="1" t="inlineStr">
        <is>
          <t>https://www.linkedin.com/showcase/epa</t>
        </is>
      </c>
      <c r="AI234" s="1" t="inlineStr">
        <is>
          <t>https://www.linkedin.com/showcase/epa</t>
        </is>
      </c>
      <c r="AJ234" s="1" t="n"/>
    </row>
    <row r="235" ht="12.5" customHeight="1">
      <c r="A235" s="6" t="n">
        <v>45839</v>
      </c>
      <c r="B235" s="1" t="inlineStr">
        <is>
          <t>ORG_1194</t>
        </is>
      </c>
      <c r="C235" s="1" t="b">
        <v>1</v>
      </c>
      <c r="D235" s="1" t="inlineStr">
        <is>
          <t>Braingaze</t>
        </is>
      </c>
      <c r="E235" s="10" t="inlineStr">
        <is>
          <t>https://braingaze.com</t>
        </is>
      </c>
      <c r="F235" t="inlineStr">
        <is>
          <t>braingaze.com</t>
        </is>
      </c>
      <c r="G235" s="1" t="inlineStr">
        <is>
          <t>We offer digital early detection and therapeutic tools to manage traits of ADHD, Autism and Dyslexia</t>
        </is>
      </c>
      <c r="H235" s="1" t="inlineStr">
        <is>
          <t>I'm not part of any EdTech association</t>
        </is>
      </c>
      <c r="I235" s="1" t="inlineStr">
        <is>
          <t>English, Spanish, French, German, Italian</t>
        </is>
      </c>
      <c r="J235" s="1" t="n"/>
      <c r="O235" s="1" t="n"/>
      <c r="P235" s="1" t="inlineStr">
        <is>
          <t>United Kingdom, Spain, Netherlands</t>
        </is>
      </c>
      <c r="Q235" s="1" t="inlineStr">
        <is>
          <t>Small (10-49 FTE employees)</t>
        </is>
      </c>
      <c r="R235" t="inlineStr">
        <is>
          <t>Small</t>
        </is>
      </c>
      <c r="S235" s="1" t="inlineStr">
        <is>
          <t>Business to Schools, Business to Government, Business to Business, Business to Consumer</t>
        </is>
      </c>
      <c r="T235" s="1" t="inlineStr">
        <is>
          <t>Primary Education, Secondary Education, Corporate Training</t>
        </is>
      </c>
      <c r="U235" s="1" t="inlineStr">
        <is>
          <t>Student interfacing, Teacher interfacing</t>
        </is>
      </c>
      <c r="V235" s="1" t="inlineStr">
        <is>
          <t>BGaze Educational</t>
        </is>
      </c>
      <c r="W235" s="1" t="inlineStr">
        <is>
          <t>Eye tracking based testing (10-12 minutes per test) enabling high accuracy detection of likelihood of ADHD, Autism, Dyslexia.</t>
        </is>
      </c>
      <c r="X235" s="10" t="inlineStr">
        <is>
          <t>BGaze Focus</t>
        </is>
      </c>
      <c r="Y235" t="inlineStr">
        <is>
          <t>Mobile device app offering gaze-controlled games arcade with scientifically proven therapeutic effects reducing symptoms of ADHD, Autism and Dyslexia. App is compatible with laptops, Android and iOS mobile devices.</t>
        </is>
      </c>
      <c r="Z235" s="1" t="n"/>
      <c r="AA235" s="1" t="inlineStr">
        <is>
          <t>Unverified</t>
        </is>
      </c>
      <c r="AB235" s="1" t="inlineStr">
        <is>
          <t>Collaborations between EdTech organisations, Project consortium building, Public-private partnerships, Industry-academia partnerships</t>
        </is>
      </c>
      <c r="AC235" s="1" t="inlineStr">
        <is>
          <t>For-profit company</t>
        </is>
      </c>
      <c r="AD235" s="1" t="b">
        <v>0</v>
      </c>
      <c r="AE235" s="1" t="b">
        <v>1</v>
      </c>
      <c r="AF235" s="1" t="inlineStr">
        <is>
          <t>Yes</t>
        </is>
      </c>
      <c r="AG235" s="1" t="inlineStr">
        <is>
          <t>https://www.linkedin.com/company/braingaze</t>
        </is>
      </c>
      <c r="AH235" s="1" t="inlineStr">
        <is>
          <t>https://www.linkedin.com/company/braingaze</t>
        </is>
      </c>
      <c r="AI235" s="1" t="inlineStr">
        <is>
          <t>https://www.linkedin.com/company/braingaze</t>
        </is>
      </c>
      <c r="AJ235" s="1" t="n"/>
    </row>
    <row r="236" ht="12.5" customHeight="1">
      <c r="A236" s="6" t="n">
        <v>45839</v>
      </c>
      <c r="B236" s="1" t="inlineStr">
        <is>
          <t>ORG_1416</t>
        </is>
      </c>
      <c r="C236" s="1" t="b">
        <v>1</v>
      </c>
      <c r="D236" s="1" t="inlineStr">
        <is>
          <t>EDruptiva</t>
        </is>
      </c>
      <c r="E236" s="10" t="inlineStr">
        <is>
          <t>https://www.edruptiva.org/</t>
        </is>
      </c>
      <c r="F236" t="inlineStr">
        <is>
          <t>edruptiva.org</t>
        </is>
      </c>
      <c r="G236" s="1" t="inlineStr">
        <is>
          <t>EDruptiva is a Portuguese non-profit driving inclusive digital education. We empower children, youth, and educators through technology, creativity, and active learning. Our programmes combine coding, AI, entrepreneurship, and digital citizenship to promote equal opportunities and future-ready skills — especially in vulnerable and underserved communities.</t>
        </is>
      </c>
      <c r="H236" s="1" t="inlineStr">
        <is>
          <t>I'm not part of any EdTech association</t>
        </is>
      </c>
      <c r="I236" s="1" t="inlineStr">
        <is>
          <t>English, French</t>
        </is>
      </c>
      <c r="J236" s="1" t="inlineStr">
        <is>
          <t>Lisbon</t>
        </is>
      </c>
      <c r="K236" t="inlineStr">
        <is>
          <t>Lisbon</t>
        </is>
      </c>
      <c r="L236" t="inlineStr">
        <is>
          <t>Lisbon, Portugal</t>
        </is>
      </c>
      <c r="M236" t="n">
        <v>38.7077507</v>
      </c>
      <c r="N236" t="n">
        <v>-9.136591900000001</v>
      </c>
      <c r="O236" s="1" t="inlineStr">
        <is>
          <t>Portugal</t>
        </is>
      </c>
      <c r="P236" s="1" t="inlineStr">
        <is>
          <t>Portugal, France</t>
        </is>
      </c>
      <c r="Q236" s="1" t="inlineStr">
        <is>
          <t>Micro (1-9 FTE employees)</t>
        </is>
      </c>
      <c r="R236" t="inlineStr">
        <is>
          <t>Micro</t>
        </is>
      </c>
      <c r="S236" s="1" t="inlineStr">
        <is>
          <t>Business to Business, Business to Government, Business to Schools</t>
        </is>
      </c>
      <c r="T236" s="1" t="inlineStr">
        <is>
          <t>Early childhood development (0-5 years), Primary Education, Secondary Education</t>
        </is>
      </c>
      <c r="U236" s="1" t="inlineStr">
        <is>
          <t>Student interfacing, Teacher interfacing</t>
        </is>
      </c>
      <c r="V236" s="1" t="inlineStr">
        <is>
          <t>Coding Curriculum for Schools</t>
        </is>
      </c>
      <c r="W236" s="1" t="inlineStr">
        <is>
          <t>A ready-to-use coding and digital skills curriculum for schools, aligned with national education frameworks and designed for students aged 4–17. It includes structured lesson plans, teacher training, classroom resources.</t>
        </is>
      </c>
      <c r="X236" s="10" t="inlineStr">
        <is>
          <t>EDruptiva Social Impact Programs</t>
        </is>
      </c>
      <c r="Y236" t="inlineStr">
        <is>
          <t>Inclusive tech education programmes for underserved and vulnerable communities, combining digital literacy, coding, AI, and entrepreneurship with civic engagement and soft skills. Delivered in partnership with schools, municipalities and NGOs to promote equal access and digital inclusion.</t>
        </is>
      </c>
      <c r="Z236" s="1" t="n"/>
      <c r="AA236" s="1" t="inlineStr">
        <is>
          <t>Unverified</t>
        </is>
      </c>
      <c r="AB236" s="1" t="inlineStr">
        <is>
          <t>Collaborations between EdTech organisations, Project consortium building, Public-private partnerships, Industry-academia partnerships</t>
        </is>
      </c>
      <c r="AC236" s="1" t="inlineStr">
        <is>
          <t>Non-profit organisation</t>
        </is>
      </c>
      <c r="AD236" s="1" t="b">
        <v>1</v>
      </c>
      <c r="AE236" s="1" t="b">
        <v>1</v>
      </c>
      <c r="AF236" s="1" t="inlineStr">
        <is>
          <t>Yes</t>
        </is>
      </c>
      <c r="AG236" s="1" t="inlineStr">
        <is>
          <t>https://www.linkedin.com/company/edruptiva/</t>
        </is>
      </c>
      <c r="AH236" s="1" t="inlineStr">
        <is>
          <t>https://www.linkedin.com/company/edruptiva/</t>
        </is>
      </c>
      <c r="AI236" s="1" t="inlineStr">
        <is>
          <t>https://www.linkedin.com/company/edruptiva/</t>
        </is>
      </c>
      <c r="AJ236" s="1" t="n"/>
    </row>
    <row r="237" ht="12.5" customHeight="1">
      <c r="A237" s="6" t="n">
        <v>45839</v>
      </c>
      <c r="B237" s="1" t="inlineStr">
        <is>
          <t>ORG_1570</t>
        </is>
      </c>
      <c r="C237" s="1" t="b">
        <v>1</v>
      </c>
      <c r="D237" s="1" t="inlineStr">
        <is>
          <t>Flux Learning Ltd</t>
        </is>
      </c>
      <c r="E237" s="10" t="inlineStr">
        <is>
          <t>https://www.fluxlearning.net/</t>
        </is>
      </c>
      <c r="F237" t="inlineStr">
        <is>
          <t>fluxlearning.net</t>
        </is>
      </c>
      <c r="G237" s="1" t="inlineStr">
        <is>
          <t>Digital education development, online learning administration, proficiency based progression, podcasting, multimedia recording.</t>
        </is>
      </c>
      <c r="H237" s="1" t="inlineStr">
        <is>
          <t>I'm not part of any EdTech association</t>
        </is>
      </c>
      <c r="I237" s="1" t="inlineStr">
        <is>
          <t>English</t>
        </is>
      </c>
      <c r="J237" s="1" t="inlineStr">
        <is>
          <t>Clonakilty</t>
        </is>
      </c>
      <c r="K237" t="inlineStr">
        <is>
          <t>Clonakilty</t>
        </is>
      </c>
      <c r="L237" t="inlineStr">
        <is>
          <t>Clonakilty, Ireland</t>
        </is>
      </c>
      <c r="M237" t="n">
        <v>51.6232159</v>
      </c>
      <c r="N237" t="n">
        <v>-8.8914072</v>
      </c>
      <c r="O237" s="1" t="inlineStr">
        <is>
          <t>Ireland</t>
        </is>
      </c>
      <c r="P237" s="1" t="inlineStr">
        <is>
          <t>Albania, Andorra, Austria, Bosnia and Herzegovina, Belgium, Belarus, Bulgaria, Croatia, Republic of Cyprus, Estonia, Denmark, Czechia, Finland, Greece, Hungary, France, Germany, Iceland, Kosovo, Italy, Ireland, Latvia, Luxembourg, Malta, Liechtenstein, Lithuania, Moldova, Poland, Netherlands, Montenegro, Norway, North Macedonia, Monaco, Ukraine, United Kingdom, Turkey, Spain, Switzerland, Sweden, Slovakia, Slovenia, Portugal, Romania, San Marino, United States of America</t>
        </is>
      </c>
      <c r="Q237" s="1" t="inlineStr">
        <is>
          <t>Micro (1-9 FTE employees)</t>
        </is>
      </c>
      <c r="R237" t="inlineStr">
        <is>
          <t>Micro</t>
        </is>
      </c>
      <c r="S237" s="1" t="inlineStr">
        <is>
          <t>Business to Business</t>
        </is>
      </c>
      <c r="T237" s="1" t="inlineStr">
        <is>
          <t>Primary Education, Secondary Education, Vocational Education and Training (VET), Higher Education, Corporate Training, Lifelong learning/Adult education, Special Education</t>
        </is>
      </c>
      <c r="U237" s="1" t="inlineStr">
        <is>
          <t>Student interfacing, Teacher interfacing, System/Administrative</t>
        </is>
      </c>
      <c r="V237" s="1" t="inlineStr">
        <is>
          <t>Proficiency Based Progression Training</t>
        </is>
      </c>
      <c r="W237" s="1" t="inlineStr">
        <is>
          <t>Metrics based training for skills development
Support for training administration, study administration, curriculum development and validation, video recording and online course development.</t>
        </is>
      </c>
      <c r="X237" s="10" t="inlineStr">
        <is>
          <t>Digital Learning Platform Support</t>
        </is>
      </c>
      <c r="Y237" t="inlineStr">
        <is>
          <t>Learning platform admin and maintenance
Learner support and learning analytics reporting
Subject matter expert support and onboarding.
Course development and iteration of didactic and assessment content.</t>
        </is>
      </c>
      <c r="Z237" s="1" t="n"/>
      <c r="AA237" s="1" t="inlineStr">
        <is>
          <t>Unverified</t>
        </is>
      </c>
      <c r="AB237" s="1" t="inlineStr">
        <is>
          <t>Collaborations between EdTech organisations, Project consortium building, Public-private partnerships, Industry-academia partnerships</t>
        </is>
      </c>
      <c r="AC237" s="1" t="inlineStr">
        <is>
          <t>For-profit company</t>
        </is>
      </c>
      <c r="AD237" s="1" t="b">
        <v>1</v>
      </c>
      <c r="AE237" s="1" t="b">
        <v>1</v>
      </c>
      <c r="AF237" s="1" t="inlineStr">
        <is>
          <t>Yes</t>
        </is>
      </c>
      <c r="AG237" s="1" t="inlineStr">
        <is>
          <t>https://www.linkedin.com/company/13041153/</t>
        </is>
      </c>
      <c r="AH237" s="1" t="inlineStr">
        <is>
          <t>https://www.linkedin.com/company/13041153/</t>
        </is>
      </c>
      <c r="AI237" s="1" t="inlineStr">
        <is>
          <t>https://www.linkedin.com/company/13041153/</t>
        </is>
      </c>
    </row>
    <row r="238" ht="12.5" customHeight="1">
      <c r="A238" s="6" t="n">
        <v>45839</v>
      </c>
      <c r="B238" s="1" t="inlineStr">
        <is>
          <t>ORG_1658</t>
        </is>
      </c>
      <c r="C238" s="1" t="b">
        <v>1</v>
      </c>
      <c r="D238" s="1" t="inlineStr">
        <is>
          <t>Habitat Learn Group Limited</t>
        </is>
      </c>
      <c r="E238" s="10" t="inlineStr">
        <is>
          <t>https://www.habitatlearn.com</t>
        </is>
      </c>
      <c r="F238" t="inlineStr">
        <is>
          <t>habitatlearn.com</t>
        </is>
      </c>
      <c r="G238" s="1" t="inlineStr">
        <is>
          <t>Accessible Software and services for students with barriers to learning</t>
        </is>
      </c>
      <c r="H238" s="1" t="inlineStr">
        <is>
          <t>I'm not part of any EdTech association</t>
        </is>
      </c>
      <c r="I238" s="1" t="inlineStr">
        <is>
          <t>English, French, Spanish</t>
        </is>
      </c>
      <c r="J238" s="1" t="inlineStr">
        <is>
          <t>Woking</t>
        </is>
      </c>
      <c r="K238" t="inlineStr">
        <is>
          <t>Woking</t>
        </is>
      </c>
      <c r="L238" t="inlineStr">
        <is>
          <t>Woking, United Kingdom</t>
        </is>
      </c>
      <c r="M238" t="n">
        <v>51.3201891</v>
      </c>
      <c r="N238" t="n">
        <v>-0.5564726</v>
      </c>
      <c r="O238" s="1" t="inlineStr">
        <is>
          <t>United Kingdom</t>
        </is>
      </c>
      <c r="P238" s="1" t="inlineStr">
        <is>
          <t>United Kingdom</t>
        </is>
      </c>
      <c r="Q238" s="1" t="inlineStr">
        <is>
          <t>Small (10-49 FTE employees)</t>
        </is>
      </c>
      <c r="R238" t="inlineStr">
        <is>
          <t>Small</t>
        </is>
      </c>
      <c r="S238" s="1" t="inlineStr">
        <is>
          <t>Business to Business, Business to Schools</t>
        </is>
      </c>
      <c r="T238" s="1" t="inlineStr">
        <is>
          <t>Higher Education</t>
        </is>
      </c>
      <c r="U238" s="1" t="inlineStr">
        <is>
          <t>Student interfacing</t>
        </is>
      </c>
      <c r="V238" s="1" t="inlineStr">
        <is>
          <t>Messenger Pigeon</t>
        </is>
      </c>
      <c r="W238" s="1" t="inlineStr">
        <is>
          <t>Productivity software to record and process all lecture content for subsequent student interaction and engagement</t>
        </is>
      </c>
      <c r="X238" s="10" t="inlineStr">
        <is>
          <t>Classroom of the Future</t>
        </is>
      </c>
      <c r="Y238" t="inlineStr">
        <is>
          <t>Accessible learning environment for every learner</t>
        </is>
      </c>
      <c r="Z238" s="1" t="n"/>
      <c r="AA238" s="1" t="inlineStr">
        <is>
          <t>Unverified</t>
        </is>
      </c>
      <c r="AB238" s="1" t="inlineStr">
        <is>
          <t>Collaborations between EdTech organisations, Project consortium building, Public-private partnerships, Industry-academia partnerships</t>
        </is>
      </c>
      <c r="AC238" s="1" t="inlineStr">
        <is>
          <t>For-profit company</t>
        </is>
      </c>
      <c r="AD238" s="1" t="b">
        <v>1</v>
      </c>
      <c r="AE238" s="1" t="b">
        <v>1</v>
      </c>
      <c r="AF238" s="1" t="inlineStr">
        <is>
          <t>Yes</t>
        </is>
      </c>
      <c r="AG238" s="1" t="inlineStr">
        <is>
          <t>https://www.linkedin.com/in/habitatlearn/</t>
        </is>
      </c>
      <c r="AH238" s="1" t="inlineStr">
        <is>
          <t>https://www.linkedin.com/in/habitatlearn/</t>
        </is>
      </c>
      <c r="AI238" s="1" t="inlineStr">
        <is>
          <t>https://www.linkedin.com/in/habitatlearn/</t>
        </is>
      </c>
    </row>
    <row r="239" ht="12.5" customHeight="1">
      <c r="A239" s="6" t="n">
        <v>45839</v>
      </c>
      <c r="B239" s="1" t="inlineStr">
        <is>
          <t>ORG_1290</t>
        </is>
      </c>
      <c r="C239" s="1" t="b">
        <v>1</v>
      </c>
      <c r="D239" s="1" t="inlineStr">
        <is>
          <t>Conexus</t>
        </is>
      </c>
      <c r="E239" s="10" t="inlineStr">
        <is>
          <t>www.conexus.no</t>
        </is>
      </c>
      <c r="F239" t="inlineStr">
        <is>
          <t>conexus.no</t>
        </is>
      </c>
      <c r="G239" s="1" t="inlineStr">
        <is>
          <t>Conexus is a student-centric platform that empowers schools with essential insights and tools to plan and evaluate follow-ups for enhanced learning development</t>
        </is>
      </c>
      <c r="H239" s="1" t="inlineStr">
        <is>
          <t>I'm not part of any EdTech association</t>
        </is>
      </c>
      <c r="I239" s="1" t="inlineStr">
        <is>
          <t>Norwegian</t>
        </is>
      </c>
      <c r="J239" s="1" t="inlineStr">
        <is>
          <t>Drammen</t>
        </is>
      </c>
      <c r="K239" t="inlineStr">
        <is>
          <t>Drammen</t>
        </is>
      </c>
      <c r="L239" t="inlineStr">
        <is>
          <t>Drammen, Norway</t>
        </is>
      </c>
      <c r="M239" t="n">
        <v>59.6964936</v>
      </c>
      <c r="N239" t="n">
        <v>10.175642</v>
      </c>
      <c r="O239" s="1" t="inlineStr">
        <is>
          <t>Norway</t>
        </is>
      </c>
      <c r="P239" s="1" t="inlineStr">
        <is>
          <t>Norway, Singapore</t>
        </is>
      </c>
      <c r="Q239" s="1" t="inlineStr">
        <is>
          <t>Small (10-49 FTE employees)</t>
        </is>
      </c>
      <c r="R239" t="inlineStr">
        <is>
          <t>Small</t>
        </is>
      </c>
      <c r="S239" s="1" t="inlineStr">
        <is>
          <t>Business to Government, Business to Schools</t>
        </is>
      </c>
      <c r="T239" s="1" t="inlineStr">
        <is>
          <t>Primary Education, Secondary Education, Lifelong learning/Adult education</t>
        </is>
      </c>
      <c r="U239" s="1" t="inlineStr">
        <is>
          <t>Teacher interfacing, System/Administrative</t>
        </is>
      </c>
      <c r="V239" s="1" t="inlineStr">
        <is>
          <t>Conexus Engage</t>
        </is>
      </c>
      <c r="W239" s="1" t="inlineStr">
        <is>
          <t>Engage collects student data and provides teachers with insights into both student and class development, facilitating personalized teaching and improved student follow-ups</t>
        </is>
      </c>
      <c r="X239" s="1" t="inlineStr">
        <is>
          <t>Conexus Elevate</t>
        </is>
      </c>
      <c r="Y239" t="inlineStr">
        <is>
          <t>Through Elevate, schools can easily document and collaborate on student follow-ups concerning children’s well-being, academic assistance and other special needs</t>
        </is>
      </c>
      <c r="Z239" s="1" t="n"/>
      <c r="AA239" s="1" t="inlineStr">
        <is>
          <t>Unverified</t>
        </is>
      </c>
      <c r="AB239" s="1" t="inlineStr">
        <is>
          <t>Collaborations between EdTech organisations, Public-private partnerships, Industry-academia partnerships</t>
        </is>
      </c>
      <c r="AC239" s="1" t="inlineStr">
        <is>
          <t>For-profit company</t>
        </is>
      </c>
      <c r="AD239" s="1" t="b">
        <v>1</v>
      </c>
      <c r="AE239" s="1" t="b">
        <v>1</v>
      </c>
      <c r="AF239" s="1" t="inlineStr">
        <is>
          <t>Yes</t>
        </is>
      </c>
      <c r="AG239" s="1" t="n"/>
      <c r="AH239" s="1" t="n"/>
      <c r="AI239" s="1" t="inlineStr">
        <is>
          <t>@ConexusNorge</t>
        </is>
      </c>
    </row>
    <row r="240" ht="12.5" customHeight="1">
      <c r="A240" s="6" t="n">
        <v>45839</v>
      </c>
      <c r="B240" s="1" t="inlineStr">
        <is>
          <t>ORG_2195</t>
        </is>
      </c>
      <c r="C240" s="1" t="b">
        <v>1</v>
      </c>
      <c r="D240" s="1" t="inlineStr">
        <is>
          <t>RoboTech</t>
        </is>
      </c>
      <c r="E240" s="10" t="inlineStr">
        <is>
          <t>www.robotech.si</t>
        </is>
      </c>
      <c r="F240" t="inlineStr">
        <is>
          <t>robotech.si</t>
        </is>
      </c>
      <c r="G240" s="1" t="inlineStr">
        <is>
          <t>K AvRoboTech - Izobraževanje na področju robotike, digitalnih tehnologij in programiranja STARI GRAD 15 C 2321 MAKOLE Slovenia Robotech.si is an educational company specializing in robotics, digital technologies, and programming education. Their primary focus is on young learners, whom they engage through hands-on workshops designed to develop both technical and soft skills. The company stands out for: - VEX robotics workshops where participants build and program robots - Experienced certified mentors with international expertise - Small learning groups with personalized attention - Project-based learning through real-world challenges Their educational program spans various fields, from basic programming to advanced robotics, with an emphasis on practical work and developing future-ready skills. Workshops take place in a supportive environment where learning is combined with fun and collaborative activities. The company maintains partnerships with technology companies and educational institutions both in Slovenia and internationally. Their participants consistently achieve success in competitions, further validating the quality of their educational approach.</t>
        </is>
      </c>
      <c r="H240" s="1" t="inlineStr">
        <is>
          <t>EdTech Slovenia</t>
        </is>
      </c>
      <c r="I240" s="1" t="inlineStr">
        <is>
          <t>English, Slovenian</t>
        </is>
      </c>
      <c r="J240" s="1" t="inlineStr">
        <is>
          <t>Makole</t>
        </is>
      </c>
      <c r="K240" t="inlineStr">
        <is>
          <t>Makole</t>
        </is>
      </c>
      <c r="L240" t="inlineStr">
        <is>
          <t>Makole, Slovenia</t>
        </is>
      </c>
      <c r="M240" t="n">
        <v>46.3169639</v>
      </c>
      <c r="N240" t="n">
        <v>15.6668625</v>
      </c>
      <c r="O240" s="1" t="inlineStr">
        <is>
          <t>Slovenia</t>
        </is>
      </c>
      <c r="P240" s="1" t="inlineStr">
        <is>
          <t>Croatia, Slovenia</t>
        </is>
      </c>
      <c r="Q240" s="1" t="inlineStr">
        <is>
          <t>Solo entrepreneur</t>
        </is>
      </c>
      <c r="R240" t="inlineStr">
        <is>
          <t>Solo entrepreneur</t>
        </is>
      </c>
      <c r="S240" s="1" t="inlineStr">
        <is>
          <t>Business to Consumer, Business to Government, Business to Schools</t>
        </is>
      </c>
      <c r="T240" s="1" t="inlineStr">
        <is>
          <t>Primary Education, Secondary Education, Lifelong learning/Adult education</t>
        </is>
      </c>
      <c r="U240" s="1" t="inlineStr">
        <is>
          <t>Student interfacing, Teacher interfacing</t>
        </is>
      </c>
      <c r="V240" s="1" t="inlineStr">
        <is>
          <t>https://www.linkedin.com/in/obucek/</t>
        </is>
      </c>
      <c r="W240" s="1" t="n"/>
      <c r="X240" s="10" t="n"/>
      <c r="Z240" s="1" t="n"/>
      <c r="AA240" s="1" t="inlineStr">
        <is>
          <t>Unverified</t>
        </is>
      </c>
      <c r="AB240" s="1" t="inlineStr">
        <is>
          <t>Collaborations between EdTech organisations, Project consortium building, Public-private partnerships</t>
        </is>
      </c>
      <c r="AC240" s="1" t="inlineStr">
        <is>
          <t>For-profit company</t>
        </is>
      </c>
      <c r="AD240" s="1" t="b">
        <v>1</v>
      </c>
      <c r="AE240" s="1" t="b">
        <v>0</v>
      </c>
      <c r="AF240" s="1" t="inlineStr">
        <is>
          <t>Yes</t>
        </is>
      </c>
      <c r="AG240" s="1" t="inlineStr">
        <is>
          <t>https://www.linkedin.com/in/obucek/</t>
        </is>
      </c>
      <c r="AH240" s="1" t="inlineStr">
        <is>
          <t>https://www.linkedin.com/in/obucek/</t>
        </is>
      </c>
      <c r="AI240" s="1" t="inlineStr">
        <is>
          <t>https://www.linkedin.com/in/obucek/</t>
        </is>
      </c>
    </row>
    <row r="241" ht="12.5" customHeight="1">
      <c r="A241" s="6" t="n">
        <v>45839</v>
      </c>
      <c r="B241" s="1" t="inlineStr">
        <is>
          <t>ORG_1984</t>
        </is>
      </c>
      <c r="C241" s="1" t="b">
        <v>1</v>
      </c>
      <c r="D241" s="1" t="inlineStr">
        <is>
          <t>MONOP B.V.</t>
        </is>
      </c>
      <c r="E241" s="10" t="inlineStr">
        <is>
          <t>www.greenscreenbox.eu</t>
        </is>
      </c>
      <c r="F241" t="inlineStr">
        <is>
          <t>greenscreenbox.eu</t>
        </is>
      </c>
      <c r="G241" s="1" t="inlineStr">
        <is>
          <t>MONOP BV empowers students’ creativity, language, and digital skills through hands-on multimedia learning. We develop innovative greenscreen-based educational tools for primary and secondary education, including schools, after-school programs, libraries, and educational labs. Our Greenscreenbox® and accompanying app help learners create videos, stopmotions, and photos, strengthening 21st-century skills through storytelling and digital making. To support teachers, we also offer ready-to-use lesson materials that make it easy to get started and integrate our tools into their existing curriculum. Educators value our solutions for their practical applicability and the way they enhance both engagement and learning outcomes.</t>
        </is>
      </c>
      <c r="H241" s="1" t="inlineStr">
        <is>
          <t>Dutch EdTech</t>
        </is>
      </c>
      <c r="I241" s="1" t="inlineStr">
        <is>
          <t>English, German, French, Italian, Spanish, Dutch</t>
        </is>
      </c>
      <c r="J241" s="1" t="inlineStr">
        <is>
          <t>Lieshout</t>
        </is>
      </c>
      <c r="K241" t="inlineStr">
        <is>
          <t>Lieshout</t>
        </is>
      </c>
      <c r="L241" t="inlineStr">
        <is>
          <t>Lieshout, The Netherlands</t>
        </is>
      </c>
      <c r="M241" t="n">
        <v>51.4378922</v>
      </c>
      <c r="N241" t="n">
        <v>5.4798502</v>
      </c>
      <c r="O241" s="1" t="inlineStr">
        <is>
          <t>The Netherlands</t>
        </is>
      </c>
      <c r="P241" s="1" t="inlineStr">
        <is>
          <t>Ireland, United Kingdom, Switzerland, Italy, France, Denmark, Belgium, Germany, Netherlands, Spain</t>
        </is>
      </c>
      <c r="Q241" s="1" t="inlineStr">
        <is>
          <t>Micro (1-9 FTE employees)</t>
        </is>
      </c>
      <c r="R241" t="inlineStr">
        <is>
          <t>Micro</t>
        </is>
      </c>
      <c r="S241" s="1" t="inlineStr">
        <is>
          <t>Business to Business, Business to Consumer, Business to Schools</t>
        </is>
      </c>
      <c r="T241" s="1" t="inlineStr">
        <is>
          <t>Primary Education, Secondary Education</t>
        </is>
      </c>
      <c r="U241" s="1" t="inlineStr">
        <is>
          <t>Student interfacing</t>
        </is>
      </c>
      <c r="V241" s="10" t="inlineStr">
        <is>
          <t>Greenscreenbox</t>
        </is>
      </c>
      <c r="W241" s="1" t="inlineStr">
        <is>
          <t>Greenscreenbox app</t>
        </is>
      </c>
      <c r="X241" s="10" t="inlineStr">
        <is>
          <t>Create &amp; Learn Teaching projects</t>
        </is>
      </c>
      <c r="Y241" t="inlineStr">
        <is>
          <t>Greenscreenbox Creation Cards</t>
        </is>
      </c>
      <c r="Z241" s="1" t="n"/>
      <c r="AA241" s="1" t="inlineStr">
        <is>
          <t>Unverified</t>
        </is>
      </c>
      <c r="AB241" s="1" t="n"/>
      <c r="AC241" s="1" t="inlineStr">
        <is>
          <t>For-profit company</t>
        </is>
      </c>
      <c r="AD241" s="1" t="b">
        <v>1</v>
      </c>
      <c r="AE241" s="1" t="b">
        <v>1</v>
      </c>
      <c r="AF241" s="1" t="inlineStr">
        <is>
          <t>Yes</t>
        </is>
      </c>
      <c r="AG241" s="1" t="inlineStr">
        <is>
          <t>https://www.instagram.com/greenscreenbox/</t>
        </is>
      </c>
      <c r="AH241" s="1" t="inlineStr">
        <is>
          <t>https://nl.linkedin.com/company/monop</t>
        </is>
      </c>
      <c r="AI241" s="1" t="inlineStr">
        <is>
          <t>https://nl.linkedin.com/company/monop</t>
        </is>
      </c>
      <c r="AJ241" s="10" t="inlineStr">
        <is>
          <t>https://www.facebook.com/Greenscreenbox/</t>
        </is>
      </c>
    </row>
    <row r="242" ht="12.5" customHeight="1">
      <c r="A242" s="6" t="n">
        <v>45839</v>
      </c>
      <c r="B242" s="1" t="inlineStr">
        <is>
          <t>ORG_1664</t>
        </is>
      </c>
      <c r="C242" s="1" t="b">
        <v>1</v>
      </c>
      <c r="D242" s="1" t="inlineStr">
        <is>
          <t>Happy Code</t>
        </is>
      </c>
      <c r="E242" s="10" t="inlineStr">
        <is>
          <t>https://happycode.pt/</t>
        </is>
      </c>
      <c r="F242" t="inlineStr">
        <is>
          <t>happycode.pt</t>
        </is>
      </c>
      <c r="G242" s="1" t="inlineStr">
        <is>
          <t>Happy Code is a Portuguese EdTech company that empowers children and teenagers (ages 4–17) to become thinkers and creators of the future through technology education. Based in Portugal and France, we teach coding, AI, game development, and digital creativity using active, playful, and inclusive methodologies. Our purpose is to nurture future-ready minds, combining technical skills with creativity, critical thinking, and empathy. What sets us apart is our unique blend of technology + soft skills, our proprietary pedagogical approach, and our joyful, mission-driven culture — where learning is fun, meaningful, and transformative.</t>
        </is>
      </c>
      <c r="H242" s="1" t="inlineStr">
        <is>
          <t>I'm not part of any EdTech association</t>
        </is>
      </c>
      <c r="I242" s="1" t="inlineStr">
        <is>
          <t>English, French</t>
        </is>
      </c>
      <c r="J242" s="1" t="inlineStr">
        <is>
          <t>Lisbon</t>
        </is>
      </c>
      <c r="K242" t="inlineStr">
        <is>
          <t>Lisbon</t>
        </is>
      </c>
      <c r="L242" t="inlineStr">
        <is>
          <t>Lisbon, Portugal</t>
        </is>
      </c>
      <c r="M242" t="n">
        <v>38.7077507</v>
      </c>
      <c r="N242" t="n">
        <v>-9.136591900000001</v>
      </c>
      <c r="O242" s="1" t="inlineStr">
        <is>
          <t>Portugal</t>
        </is>
      </c>
      <c r="P242" s="1" t="inlineStr">
        <is>
          <t>Portugal, France</t>
        </is>
      </c>
      <c r="Q242" s="1" t="inlineStr">
        <is>
          <t>Micro (1-9 FTE employees)</t>
        </is>
      </c>
      <c r="R242" t="inlineStr">
        <is>
          <t>Micro</t>
        </is>
      </c>
      <c r="S242" s="1" t="inlineStr">
        <is>
          <t>Business to Business, Business to Consumer, Business to Government, Business to Schools</t>
        </is>
      </c>
      <c r="T242" s="1" t="inlineStr">
        <is>
          <t>Primary Education, Secondary Education, Early childhood development (0-5 years)</t>
        </is>
      </c>
      <c r="U242" s="1" t="inlineStr">
        <is>
          <t>Student interfacing, Teacher interfacing</t>
        </is>
      </c>
      <c r="V242" s="1" t="inlineStr">
        <is>
          <t>Happy Code Afterschool Learning Program</t>
        </is>
      </c>
      <c r="W242" s="1" t="inlineStr">
        <is>
          <t>Hands-on educational programs for children and teenagers (ages 4 to 17) in coding, AI, game development, digital citizenship, and soft skills. Based on active learning, gamification, and project-based methodologies.</t>
        </is>
      </c>
      <c r="X242" s="10" t="inlineStr">
        <is>
          <t>Happy CodeSchools Curriculum Program</t>
        </is>
      </c>
      <c r="Y242" t="inlineStr">
        <is>
          <t>Customised technology education programs delivered directly in schools, fully aligned with the national curriculum and Ministry of Education frameworks. Includes in-class implementation, teacher training, and pedagogical resources to integrate digital skills into formal education</t>
        </is>
      </c>
      <c r="Z242" s="1" t="n"/>
      <c r="AA242" s="1" t="inlineStr">
        <is>
          <t>Unverified</t>
        </is>
      </c>
      <c r="AB242" s="1" t="inlineStr">
        <is>
          <t>Collaborations between EdTech organisations, Project consortium building, Public-private partnerships, Industry-academia partnerships</t>
        </is>
      </c>
      <c r="AC242" s="1" t="inlineStr">
        <is>
          <t>For-profit company</t>
        </is>
      </c>
      <c r="AD242" s="1" t="b">
        <v>1</v>
      </c>
      <c r="AE242" s="1" t="b">
        <v>1</v>
      </c>
      <c r="AF242" s="1" t="inlineStr">
        <is>
          <t>Yes</t>
        </is>
      </c>
      <c r="AG242" s="1" t="inlineStr">
        <is>
          <t>https://www.linkedin.com/company/happycodept/</t>
        </is>
      </c>
      <c r="AH242" s="1" t="inlineStr">
        <is>
          <t>https://www.linkedin.com/company/happycodept/</t>
        </is>
      </c>
      <c r="AI242" s="1" t="inlineStr">
        <is>
          <t>https://www.linkedin.com/company/happycodept/</t>
        </is>
      </c>
      <c r="AJ242" s="1" t="n"/>
    </row>
    <row r="243" ht="12.5" customHeight="1">
      <c r="A243" s="6" t="n">
        <v>45839</v>
      </c>
      <c r="B243" s="1" t="inlineStr">
        <is>
          <t>ORG_2557</t>
        </is>
      </c>
      <c r="C243" s="1" t="b">
        <v>1</v>
      </c>
      <c r="D243" s="1" t="inlineStr">
        <is>
          <t>X2 Mobile</t>
        </is>
      </c>
      <c r="E243" s="10" t="inlineStr">
        <is>
          <t>https://www.x2mobile.net/</t>
        </is>
      </c>
      <c r="F243" t="inlineStr">
        <is>
          <t>x2mobile.net</t>
        </is>
      </c>
      <c r="G243" s="1" t="inlineStr">
        <is>
          <t>We help EdTech companies, particularly those servicing K–12 and higher education institutions to power modern education and enterprise platforms in a secure, user-focused way.</t>
        </is>
      </c>
      <c r="H243" s="1" t="inlineStr">
        <is>
          <t>I'm not part of any EdTech association</t>
        </is>
      </c>
      <c r="I243" s="1" t="inlineStr">
        <is>
          <t>English, Romanian</t>
        </is>
      </c>
      <c r="J243" s="1" t="n"/>
      <c r="O243" s="1" t="inlineStr">
        <is>
          <t>Romania</t>
        </is>
      </c>
      <c r="P243" s="1" t="inlineStr">
        <is>
          <t>Romania, United Kingdom, Germany, United States of America, Africa</t>
        </is>
      </c>
      <c r="Q243" s="1" t="inlineStr">
        <is>
          <t>Small (10-49 FTE employees)</t>
        </is>
      </c>
      <c r="R243" t="inlineStr">
        <is>
          <t>Small</t>
        </is>
      </c>
      <c r="S243" s="1" t="inlineStr">
        <is>
          <t>Business to Business, Business to Government, Business to Schools</t>
        </is>
      </c>
      <c r="T243" s="1" t="inlineStr">
        <is>
          <t>Primary Education, Secondary Education, Early childhood development (0-5 years), Higher Education, Special Education</t>
        </is>
      </c>
      <c r="U243" s="1" t="inlineStr">
        <is>
          <t>Student interfacing, Teacher interfacing, System/Administrative</t>
        </is>
      </c>
      <c r="V243" s="1" t="inlineStr">
        <is>
          <t>Mobile App Development</t>
        </is>
      </c>
      <c r="W243" s="1" t="n"/>
      <c r="X243" s="10" t="inlineStr">
        <is>
          <t>Web App Development</t>
        </is>
      </c>
      <c r="Z243" s="1" t="n"/>
      <c r="AA243" s="1" t="inlineStr">
        <is>
          <t>Unverified</t>
        </is>
      </c>
      <c r="AB243" s="1" t="inlineStr">
        <is>
          <t>Collaborations between EdTech organisations, Project consortium building, Public-private partnerships, Industry-academia partnerships</t>
        </is>
      </c>
      <c r="AC243" s="1" t="inlineStr">
        <is>
          <t>For-profit company</t>
        </is>
      </c>
      <c r="AD243" s="1" t="b">
        <v>1</v>
      </c>
      <c r="AE243" s="1" t="b">
        <v>1</v>
      </c>
      <c r="AF243" s="1" t="inlineStr">
        <is>
          <t>Yes</t>
        </is>
      </c>
      <c r="AG243" s="1" t="inlineStr">
        <is>
          <t>https://www.linkedin.com/company/x2mobile/</t>
        </is>
      </c>
      <c r="AH243" s="1" t="inlineStr">
        <is>
          <t>https://www.linkedin.com/company/x2mobile/</t>
        </is>
      </c>
      <c r="AI243" s="1" t="inlineStr">
        <is>
          <t>https://www.linkedin.com/company/x2mobile/</t>
        </is>
      </c>
      <c r="AJ243" s="1" t="n"/>
    </row>
    <row r="244" ht="12.5" customHeight="1">
      <c r="A244" s="6" t="n">
        <v>45839</v>
      </c>
      <c r="B244" s="1" t="inlineStr">
        <is>
          <t>ORG_2254</t>
        </is>
      </c>
      <c r="C244" s="1" t="b">
        <v>1</v>
      </c>
      <c r="D244" s="1" t="inlineStr">
        <is>
          <t>Skillgym - AI Role Play</t>
        </is>
      </c>
      <c r="E244" s="10" t="inlineStr">
        <is>
          <t>www.skillgym.com</t>
        </is>
      </c>
      <c r="F244" t="inlineStr">
        <is>
          <t>skillgym.com</t>
        </is>
      </c>
      <c r="G244" s="1" t="inlineStr">
        <is>
          <t>Skillgym is a digital authoring tool that allows you to create and deliver realistic, AI-powered conversation simulations to develop soft skills. It helps users practice key behaviors in a safe environment, with personalized feedback after each session. Scenarios are based on real-life workplace challenges and grounded in a neuroscience-based learning methodology. Skillgym supports continuous learning and measurable growth in areas like leadership, feedback, Sales, Customer Care, DE&amp;I, etc...</t>
        </is>
      </c>
      <c r="H244" s="1" t="inlineStr">
        <is>
          <t>EdTech Italia</t>
        </is>
      </c>
      <c r="I244" s="1" t="inlineStr">
        <is>
          <t>All</t>
        </is>
      </c>
      <c r="J244" s="1" t="inlineStr">
        <is>
          <t>Chiasso</t>
        </is>
      </c>
      <c r="K244" t="inlineStr">
        <is>
          <t>Chiasso</t>
        </is>
      </c>
      <c r="L244" t="inlineStr">
        <is>
          <t>Chiasso, Switzerland</t>
        </is>
      </c>
      <c r="M244" t="n">
        <v>45.8355209</v>
      </c>
      <c r="N244" t="n">
        <v>9.0290169</v>
      </c>
      <c r="O244" s="1" t="inlineStr">
        <is>
          <t>Switzerland</t>
        </is>
      </c>
      <c r="P244" s="1" t="inlineStr">
        <is>
          <t>Global</t>
        </is>
      </c>
      <c r="Q244" s="1" t="inlineStr">
        <is>
          <t>Small (10-49 FTE employees)</t>
        </is>
      </c>
      <c r="R244" t="inlineStr">
        <is>
          <t>Small</t>
        </is>
      </c>
      <c r="S244" s="1" t="inlineStr">
        <is>
          <t>Business to Business, Business to Government</t>
        </is>
      </c>
      <c r="T244" s="1" t="inlineStr">
        <is>
          <t>Corporate Training, Lifelong learning/Adult education</t>
        </is>
      </c>
      <c r="U244" s="1" t="inlineStr">
        <is>
          <t>System/Administrative</t>
        </is>
      </c>
      <c r="V244" s="1" t="inlineStr">
        <is>
          <t>Skillgym - AI Role Play</t>
        </is>
      </c>
      <c r="W244" s="1" t="inlineStr">
        <is>
          <t>Skillgym is a digital authoring tool that allows you to create and deliver realistic, AI-powered conversation simulations to develop soft skills. It helps users practice key behaviors in a safe environment, with personalized feedback after each session.</t>
        </is>
      </c>
      <c r="X244" s="10" t="n"/>
      <c r="Z244" s="1" t="n"/>
      <c r="AA244" s="1" t="inlineStr">
        <is>
          <t>Unverified</t>
        </is>
      </c>
      <c r="AB244" s="1" t="inlineStr">
        <is>
          <t>Public-private partnerships, Industry-academia partnerships</t>
        </is>
      </c>
      <c r="AC244" s="1" t="inlineStr">
        <is>
          <t>For-profit company</t>
        </is>
      </c>
      <c r="AD244" s="1" t="b">
        <v>0</v>
      </c>
      <c r="AE244" s="1" t="b">
        <v>1</v>
      </c>
      <c r="AF244" s="1" t="inlineStr">
        <is>
          <t>Yes</t>
        </is>
      </c>
      <c r="AG244" s="1" t="inlineStr">
        <is>
          <t>https://www.linkedin.com/company/skillgym/</t>
        </is>
      </c>
      <c r="AH244" s="1" t="inlineStr">
        <is>
          <t>https://www.linkedin.com/company/skillgym/</t>
        </is>
      </c>
      <c r="AI244" s="1" t="inlineStr">
        <is>
          <t>https://www.linkedin.com/company/skillgym/</t>
        </is>
      </c>
      <c r="AJ244" s="1" t="n"/>
    </row>
    <row r="245" ht="12.5" customHeight="1">
      <c r="A245" s="6" t="n">
        <v>45839</v>
      </c>
      <c r="B245" s="1" t="inlineStr">
        <is>
          <t>ORG_1587</t>
        </is>
      </c>
      <c r="C245" s="1" t="b">
        <v>1</v>
      </c>
      <c r="D245" s="1" t="inlineStr">
        <is>
          <t>FrontRead</t>
        </is>
      </c>
      <c r="E245" s="10" t="inlineStr">
        <is>
          <t>www.frontread.com</t>
        </is>
      </c>
      <c r="F245" t="inlineStr">
        <is>
          <t>frontread.com</t>
        </is>
      </c>
      <c r="G245" s="1" t="inlineStr">
        <is>
          <t>FrontRead is providing one of Europes most used reading training platforms with more than 350.000 users across 9 countries</t>
        </is>
      </c>
      <c r="H245" s="1" t="inlineStr">
        <is>
          <t>EdTech Denmark</t>
        </is>
      </c>
      <c r="I245" s="1" t="inlineStr">
        <is>
          <t>English, German, Danish</t>
        </is>
      </c>
      <c r="J245" s="1" t="inlineStr">
        <is>
          <t>Aarhus</t>
        </is>
      </c>
      <c r="K245" t="inlineStr">
        <is>
          <t>Aarhus</t>
        </is>
      </c>
      <c r="L245" t="inlineStr">
        <is>
          <t>Aarhus, Denmark</t>
        </is>
      </c>
      <c r="M245" t="n">
        <v>56.1496278</v>
      </c>
      <c r="N245" t="n">
        <v>10.2134046</v>
      </c>
      <c r="O245" s="1" t="inlineStr">
        <is>
          <t>Denmark</t>
        </is>
      </c>
      <c r="P245" s="1" t="inlineStr">
        <is>
          <t>Belgium, Denmark, Italy, Norway, Switzerland, Austria, Germany, Netherlands, United Kingdom</t>
        </is>
      </c>
      <c r="Q245" s="1" t="inlineStr">
        <is>
          <t>Small (10-49 FTE employees)</t>
        </is>
      </c>
      <c r="R245" t="inlineStr">
        <is>
          <t>Small</t>
        </is>
      </c>
      <c r="S245" s="1" t="inlineStr">
        <is>
          <t>Business to Business, Business to Government, Business to Schools, Business to Consumer</t>
        </is>
      </c>
      <c r="T245" s="1" t="inlineStr">
        <is>
          <t>Primary Education, Secondary Education, Vocational Education and Training (VET), Higher Education, Corporate Training, Lifelong learning/Adult education, Special Education</t>
        </is>
      </c>
      <c r="U245" s="1" t="inlineStr">
        <is>
          <t>Student interfacing, Teacher interfacing</t>
        </is>
      </c>
      <c r="V245" s="1" t="inlineStr">
        <is>
          <t>FrontRead</t>
        </is>
      </c>
      <c r="W245" s="1" t="inlineStr">
        <is>
          <t>FrontRead is the unique online training course, that improves the reading speed and comprehension as well as helping to develop better reading strategies for each individual student. FrontRead is usable by all types of educational institutions</t>
        </is>
      </c>
      <c r="X245" s="10" t="n"/>
      <c r="Z245" s="1" t="n"/>
      <c r="AA245" s="1" t="inlineStr">
        <is>
          <t>Unverified</t>
        </is>
      </c>
      <c r="AB245" s="1" t="inlineStr">
        <is>
          <t>Public-private partnerships, Industry-academia partnerships, Collaborations between EdTech organisations</t>
        </is>
      </c>
      <c r="AC245" s="1" t="inlineStr">
        <is>
          <t>For-profit company</t>
        </is>
      </c>
      <c r="AD245" s="1" t="b">
        <v>1</v>
      </c>
      <c r="AE245" s="1" t="b">
        <v>1</v>
      </c>
      <c r="AF245" s="1" t="inlineStr">
        <is>
          <t>Yes</t>
        </is>
      </c>
      <c r="AG245" s="1" t="inlineStr">
        <is>
          <t>https://www.linkedin.com/company/5352422/admin/dashboard/</t>
        </is>
      </c>
      <c r="AH245" s="1" t="inlineStr">
        <is>
          <t>https://www.linkedin.com/company/5352422/admin/dashboard/</t>
        </is>
      </c>
      <c r="AI245" s="1" t="inlineStr">
        <is>
          <t>https://www.linkedin.com/company/5352422/admin/dashboard/</t>
        </is>
      </c>
      <c r="AJ245" s="1" t="n"/>
    </row>
    <row r="246" ht="12.5" customHeight="1">
      <c r="A246" s="6" t="n">
        <v>45839</v>
      </c>
      <c r="B246" s="1" t="inlineStr">
        <is>
          <t>ORG_1862</t>
        </is>
      </c>
      <c r="C246" s="1" t="b">
        <v>1</v>
      </c>
      <c r="D246" s="1" t="inlineStr">
        <is>
          <t>Levebee</t>
        </is>
      </c>
      <c r="E246" s="10" t="inlineStr">
        <is>
          <t>https://www.levebee.com</t>
        </is>
      </c>
      <c r="F246" t="inlineStr">
        <is>
          <t>levebee.com</t>
        </is>
      </c>
      <c r="G246" s="1" t="inlineStr">
        <is>
          <t>Levebee provides diagnostic assessment and personalized math practice for K-3 students. In just 20 minutes, teachers get a clear explanation of why specific students struggle with math and how to help them. Hundreds of personalized, evidence-based exercises augmented with AI feedback ensure maximum independent learning. Built with love for SpEd students and English Language Learners. Trusted by 1,000+ schools and 500,000 students. 97 % of teachers recommend Levebee to other teachers.</t>
        </is>
      </c>
      <c r="H246" s="1" t="inlineStr">
        <is>
          <t>Swedish EdTech Industry</t>
        </is>
      </c>
      <c r="I246" s="1" t="inlineStr">
        <is>
          <t>English, French, Italian, Spanish, German, Czech</t>
        </is>
      </c>
      <c r="J246" s="1" t="inlineStr">
        <is>
          <t>Prague</t>
        </is>
      </c>
      <c r="K246" t="inlineStr">
        <is>
          <t>Prague</t>
        </is>
      </c>
      <c r="L246" t="inlineStr">
        <is>
          <t>Prague, Czech Republic</t>
        </is>
      </c>
      <c r="M246" t="n">
        <v>50.0864234</v>
      </c>
      <c r="N246" t="n">
        <v>14.4156772</v>
      </c>
      <c r="O246" s="1" t="inlineStr">
        <is>
          <t>Czech Republic</t>
        </is>
      </c>
      <c r="P246" s="1" t="inlineStr">
        <is>
          <t>Croatia, Czechia, Finland, Slovakia, Romania, United Kingdom, Ukraine, Sweden, Poland, Germany, Spain, United States of America</t>
        </is>
      </c>
      <c r="Q246" s="1" t="inlineStr">
        <is>
          <t>Micro (1-9 FTE employees)</t>
        </is>
      </c>
      <c r="R246" t="inlineStr">
        <is>
          <t>Micro</t>
        </is>
      </c>
      <c r="S246" s="1" t="inlineStr">
        <is>
          <t>Business to Consumer, Business to Schools, Business to Government</t>
        </is>
      </c>
      <c r="T246" s="1" t="inlineStr">
        <is>
          <t>Early childhood development (0-5 years), Primary Education</t>
        </is>
      </c>
      <c r="U246" s="1" t="inlineStr">
        <is>
          <t>Student interfacing, Teacher interfacing, System/Administrative</t>
        </is>
      </c>
      <c r="V246" s="1" t="inlineStr">
        <is>
          <t>Levebee</t>
        </is>
      </c>
      <c r="W246" s="10" t="inlineStr">
        <is>
          <t>Levebee identifies the gaps and explains in plain language how to help a student in and beyond the app. Hundreds of personalized, evidence-based exercises ensure maximum independent learning. With Levebee, anyone can help any child master and love math.</t>
        </is>
      </c>
      <c r="X246" s="1" t="n"/>
      <c r="Z246" s="1" t="n"/>
      <c r="AA246" s="1" t="inlineStr">
        <is>
          <t>Unverified</t>
        </is>
      </c>
      <c r="AB246" s="1" t="inlineStr">
        <is>
          <t>Public-private partnerships, Industry-academia partnerships, Collaborations between EdTech organisations</t>
        </is>
      </c>
      <c r="AC246" s="1" t="inlineStr">
        <is>
          <t>For-profit company</t>
        </is>
      </c>
      <c r="AD246" s="1" t="b">
        <v>1</v>
      </c>
      <c r="AE246" s="1" t="b">
        <v>1</v>
      </c>
      <c r="AF246" s="1" t="inlineStr">
        <is>
          <t>Yes</t>
        </is>
      </c>
      <c r="AG246" s="1" t="inlineStr">
        <is>
          <t>https://x.com/levebeeapp</t>
        </is>
      </c>
      <c r="AH246" s="1" t="inlineStr">
        <is>
          <t>https://x.com/levebeeapp</t>
        </is>
      </c>
      <c r="AI246" s="1" t="n"/>
    </row>
    <row r="247" ht="12.5" customHeight="1">
      <c r="A247" s="6" t="n">
        <v>45839</v>
      </c>
      <c r="B247" s="1" t="inlineStr">
        <is>
          <t>ORG_1365</t>
        </is>
      </c>
      <c r="C247" s="1" t="b">
        <v>1</v>
      </c>
      <c r="D247" s="1" t="inlineStr">
        <is>
          <t>Discentis</t>
        </is>
      </c>
      <c r="E247" s="10" t="inlineStr">
        <is>
          <t>https://discentis.it/</t>
        </is>
      </c>
      <c r="F247" t="inlineStr">
        <is>
          <t>discentis.it</t>
        </is>
      </c>
      <c r="G247" s="1" t="inlineStr">
        <is>
          <t>Discentis is an Italian EdTech initiative dedicated to transforming education through community-driven innovation. At its core, Discentis fosters a vibrant ecosystem of teachers, educators, and school leaders by combining hands-on professional development with a strong sense of belonging. Through workshops, peer-learning formats, and a growing online platform, Discentis empowers educators to experiment, connect, and co-design new approaches to teaching and learning.</t>
        </is>
      </c>
      <c r="H247" s="1" t="inlineStr">
        <is>
          <t>EdTech Italia</t>
        </is>
      </c>
      <c r="I247" s="1" t="inlineStr">
        <is>
          <t>Italian</t>
        </is>
      </c>
      <c r="J247" s="1" t="inlineStr">
        <is>
          <t>Turin</t>
        </is>
      </c>
      <c r="K247" t="inlineStr">
        <is>
          <t>Turin</t>
        </is>
      </c>
      <c r="L247" t="inlineStr">
        <is>
          <t>Turin, Italy</t>
        </is>
      </c>
      <c r="M247" t="n">
        <v>45.0677551</v>
      </c>
      <c r="N247" t="n">
        <v>7.6824892</v>
      </c>
      <c r="O247" s="1" t="inlineStr">
        <is>
          <t>Italy</t>
        </is>
      </c>
      <c r="P247" s="1" t="inlineStr">
        <is>
          <t>Italy</t>
        </is>
      </c>
      <c r="Q247" s="1" t="inlineStr">
        <is>
          <t>Small (10-49 FTE employees)</t>
        </is>
      </c>
      <c r="R247" t="inlineStr">
        <is>
          <t>Small</t>
        </is>
      </c>
      <c r="S247" s="1" t="inlineStr">
        <is>
          <t>Business to Consumer, Business to Government</t>
        </is>
      </c>
      <c r="T247" s="1" t="inlineStr">
        <is>
          <t>Early childhood development (0-5 years), Primary Education, Secondary Education</t>
        </is>
      </c>
      <c r="U247" s="1" t="inlineStr">
        <is>
          <t>Teacher interfacing</t>
        </is>
      </c>
      <c r="V247" s="10" t="inlineStr">
        <is>
          <t>Discentis Community Membership</t>
        </is>
      </c>
      <c r="W247" s="1" t="inlineStr">
        <is>
          <t>A subscription-based membership that gives educators access to an active community of peers, exclusive resources, live sessions, and collaborative opportunities to share and grow innovative teaching practices.</t>
        </is>
      </c>
      <c r="X247" s="10" t="inlineStr">
        <is>
          <t>Teacher Training Courses</t>
        </is>
      </c>
      <c r="Y247" t="inlineStr">
        <is>
          <t>Practical and engaging courses focused on innovative didactic methodologies, such as storytelling, game-based learning, and project-based learning — designed to inspire and support real change in everyday classroom practice.</t>
        </is>
      </c>
      <c r="Z247" s="1" t="n"/>
      <c r="AA247" s="1" t="inlineStr">
        <is>
          <t>Unverified</t>
        </is>
      </c>
      <c r="AB247" s="1" t="inlineStr">
        <is>
          <t>Collaborations between EdTech organisations, Project consortium building, Public-private partnerships, Industry-academia partnerships</t>
        </is>
      </c>
      <c r="AC247" s="1" t="inlineStr">
        <is>
          <t>For-profit company</t>
        </is>
      </c>
      <c r="AD247" s="1" t="b">
        <v>1</v>
      </c>
      <c r="AE247" s="1" t="b">
        <v>1</v>
      </c>
      <c r="AF247" s="1" t="inlineStr">
        <is>
          <t>Yes</t>
        </is>
      </c>
      <c r="AG247" s="1" t="inlineStr">
        <is>
          <t>https://www.instagram.com/discentis.it/</t>
        </is>
      </c>
      <c r="AH247" s="1" t="inlineStr">
        <is>
          <t>https://www.linkedin.com/company/discentis/</t>
        </is>
      </c>
      <c r="AI247" s="1" t="inlineStr">
        <is>
          <t>https://www.linkedin.com/company/discentis/</t>
        </is>
      </c>
    </row>
    <row r="248" ht="12.5" customHeight="1">
      <c r="A248" s="6" t="n">
        <v>45839</v>
      </c>
      <c r="B248" s="1" t="inlineStr">
        <is>
          <t>ORG_1395</t>
        </is>
      </c>
      <c r="C248" s="1" t="b">
        <v>1</v>
      </c>
      <c r="D248" s="1" t="inlineStr">
        <is>
          <t>ECWT - European Centre for Women and Technology</t>
        </is>
      </c>
      <c r="E248" s="10" t="inlineStr">
        <is>
          <t>https://ecwt.eu</t>
        </is>
      </c>
      <c r="F248" t="inlineStr">
        <is>
          <t>ecwt.eu</t>
        </is>
      </c>
      <c r="G248" s="1" t="inlineStr">
        <is>
          <t>ECWT is according to the European e-Skills Association the leading organization for Women in Digital Transformation. Established in 2008 ECWT is safeguarding the gender dimension and working in 30+ European countries, Latin America, US, Canada and Asia-Pacific and with global strategic partners to measurably and significantly increasing the number of girls and women in coding, CT thinking and throughout the entire career pipeline in digital.</t>
        </is>
      </c>
      <c r="H248" s="1" t="inlineStr">
        <is>
          <t>I'm not part of any EdTech association</t>
        </is>
      </c>
      <c r="I248" s="1" t="inlineStr">
        <is>
          <t>Other</t>
        </is>
      </c>
      <c r="J248" s="1" t="inlineStr">
        <is>
          <t>Oslo</t>
        </is>
      </c>
      <c r="K248" t="inlineStr">
        <is>
          <t>Oslo</t>
        </is>
      </c>
      <c r="L248" t="inlineStr">
        <is>
          <t>Oslo, Norway</t>
        </is>
      </c>
      <c r="M248" t="n">
        <v>59.9067935</v>
      </c>
      <c r="N248" t="n">
        <v>10.7610162</v>
      </c>
      <c r="O248" s="1" t="inlineStr">
        <is>
          <t>Norway</t>
        </is>
      </c>
      <c r="P248" s="1" t="inlineStr">
        <is>
          <t>Bulgaria, Denmark, Finland, France, Germany, Greece, Hungary, Iceland, Italy, Lithuania, Luxembourg, Netherlands, North Macedonia, Norway, Poland, Portugal, Romania, Spain, Sweden, Switzerland, United Kingdom, Ukraine</t>
        </is>
      </c>
      <c r="Q248" s="1" t="inlineStr">
        <is>
          <t>Medium (50-250 FTE employees)</t>
        </is>
      </c>
      <c r="R248" t="inlineStr">
        <is>
          <t>Medium</t>
        </is>
      </c>
      <c r="S248" s="1" t="inlineStr">
        <is>
          <t>Business to Government, Business to Consumer, Business to Schools, Business to Business</t>
        </is>
      </c>
      <c r="T248" s="1" t="inlineStr">
        <is>
          <t>Secondary Education, Vocational Education and Training (VET), Higher Education, Corporate Training, Lifelong learning/Adult education, Special Education, Primary Education</t>
        </is>
      </c>
      <c r="U248" s="1" t="inlineStr">
        <is>
          <t>Teacher interfacing, Student interfacing</t>
        </is>
      </c>
      <c r="V248" s="1" t="inlineStr">
        <is>
          <t>Community</t>
        </is>
      </c>
      <c r="W248" s="1" t="inlineStr">
        <is>
          <t>multi-stakeholder representatives, girls &amp; women</t>
        </is>
      </c>
      <c r="X248" s="10" t="inlineStr">
        <is>
          <t>training</t>
        </is>
      </c>
      <c r="Y248" t="inlineStr">
        <is>
          <t>on different levels with a focus on digital, mentoring, certification</t>
        </is>
      </c>
      <c r="Z248" s="1" t="n"/>
      <c r="AA248" s="1" t="inlineStr">
        <is>
          <t>Unverified</t>
        </is>
      </c>
      <c r="AB248" s="1" t="inlineStr">
        <is>
          <t>Project consortium building, Collaborations between EdTech organisations, Industry-academia partnerships</t>
        </is>
      </c>
      <c r="AC248" s="1" t="inlineStr">
        <is>
          <t>Non-profit organisation</t>
        </is>
      </c>
      <c r="AD248" s="1" t="b">
        <v>1</v>
      </c>
      <c r="AE248" s="1" t="b">
        <v>1</v>
      </c>
      <c r="AF248" s="1" t="inlineStr">
        <is>
          <t>Yes</t>
        </is>
      </c>
      <c r="AG248" s="1" t="inlineStr">
        <is>
          <t>https://www.linkedin.com/in/womenandtechnology/</t>
        </is>
      </c>
      <c r="AH248" s="1" t="inlineStr">
        <is>
          <t>https://www.linkedin.com/in/womenandtechnology/</t>
        </is>
      </c>
      <c r="AI248" s="1" t="inlineStr">
        <is>
          <t>https://www.linkedin.com/in/womenandtechnology/</t>
        </is>
      </c>
      <c r="AJ248" s="10" t="inlineStr">
        <is>
          <t>https://www.facebook.com/w4techEU</t>
        </is>
      </c>
    </row>
    <row r="249" ht="12.5" customHeight="1">
      <c r="A249" s="6" t="n">
        <v>45839</v>
      </c>
      <c r="B249" s="1" t="inlineStr">
        <is>
          <t>ORG_1507</t>
        </is>
      </c>
      <c r="C249" s="1" t="b">
        <v>1</v>
      </c>
      <c r="D249" s="1" t="inlineStr">
        <is>
          <t>Equal Education Srl</t>
        </is>
      </c>
      <c r="E249" s="10" t="inlineStr">
        <is>
          <t>www.equalmate.it</t>
        </is>
      </c>
      <c r="F249" t="inlineStr">
        <is>
          <t>equalmate.it</t>
        </is>
      </c>
      <c r="G249" s="1" t="inlineStr">
        <is>
          <t>Equal Education develops AI-powered tutoring technology that helps students master STEM subjects through personalized, step-by-step guidance while providing teachers with learning analytics to identify knowledge gaps, all powered by proprietary deterministic algorithms ensuring accuracy</t>
        </is>
      </c>
      <c r="H249" s="1" t="inlineStr">
        <is>
          <t>EdTech Italia</t>
        </is>
      </c>
      <c r="I249" s="1" t="inlineStr">
        <is>
          <t>All</t>
        </is>
      </c>
      <c r="J249" s="1" t="inlineStr">
        <is>
          <t>Collegno</t>
        </is>
      </c>
      <c r="K249" t="inlineStr">
        <is>
          <t>Collegno</t>
        </is>
      </c>
      <c r="L249" t="inlineStr">
        <is>
          <t>Collegno, Italy</t>
        </is>
      </c>
      <c r="M249" t="n">
        <v>45.0775473</v>
      </c>
      <c r="N249" t="n">
        <v>7.5724262</v>
      </c>
      <c r="O249" s="1" t="inlineStr">
        <is>
          <t>Italy</t>
        </is>
      </c>
      <c r="P249" s="1" t="inlineStr">
        <is>
          <t>Italy, Ghana</t>
        </is>
      </c>
      <c r="Q249" s="1" t="inlineStr">
        <is>
          <t>Micro (1-9 FTE employees)</t>
        </is>
      </c>
      <c r="R249" t="inlineStr">
        <is>
          <t>Micro</t>
        </is>
      </c>
      <c r="S249" s="1" t="inlineStr">
        <is>
          <t>Business to Schools, Business to Consumer</t>
        </is>
      </c>
      <c r="T249" s="1" t="inlineStr">
        <is>
          <t>Secondary Education</t>
        </is>
      </c>
      <c r="U249" s="1" t="inlineStr">
        <is>
          <t>Student interfacing, Teacher interfacing</t>
        </is>
      </c>
      <c r="V249" s="1" t="inlineStr">
        <is>
          <t>Equal</t>
        </is>
      </c>
      <c r="W249" s="1" t="inlineStr">
        <is>
          <t>Equal is an AI-powered tutoring platform that helps students master math through personalized, step-by-step guidance with a challenge-based approach. It provides teachers with learning analytics to identify knowledge gaps, while proprietary deterministic algorithms ensure AI accuracy</t>
        </is>
      </c>
      <c r="X249" s="1" t="n"/>
      <c r="Z249" s="1" t="n"/>
      <c r="AA249" s="1" t="inlineStr">
        <is>
          <t>Unverified</t>
        </is>
      </c>
      <c r="AB249" s="1" t="inlineStr">
        <is>
          <t>Public-private partnerships</t>
        </is>
      </c>
      <c r="AC249" s="1" t="inlineStr">
        <is>
          <t>For-profit company</t>
        </is>
      </c>
      <c r="AD249" s="1" t="b">
        <v>1</v>
      </c>
      <c r="AE249" s="1" t="b">
        <v>1</v>
      </c>
      <c r="AF249" s="1" t="inlineStr">
        <is>
          <t>No</t>
        </is>
      </c>
      <c r="AG249" s="1" t="n"/>
      <c r="AH249" s="1" t="n"/>
      <c r="AI249" s="1" t="n"/>
      <c r="AJ249" s="1" t="n"/>
    </row>
    <row r="250" ht="12.5" customHeight="1">
      <c r="A250" s="6" t="n">
        <v>45839</v>
      </c>
      <c r="B250" s="1" t="inlineStr">
        <is>
          <t>ORG_1616</t>
        </is>
      </c>
      <c r="C250" s="1" t="b">
        <v>1</v>
      </c>
      <c r="D250" s="1" t="inlineStr">
        <is>
          <t>Genio</t>
        </is>
      </c>
      <c r="E250" s="10" t="inlineStr">
        <is>
          <t>genio.co</t>
        </is>
      </c>
      <c r="F250" t="inlineStr">
        <is>
          <t>genio.co</t>
        </is>
      </c>
      <c r="G250" s="1" t="inlineStr">
        <is>
          <t>We help learners overcome challenges, by creating an environment in which they are equipped, empowered and encouraged to succeed from day one.</t>
        </is>
      </c>
      <c r="H250" s="1" t="inlineStr">
        <is>
          <t>I'm not part of any EdTech association</t>
        </is>
      </c>
      <c r="I250" s="1" t="inlineStr">
        <is>
          <t>English, German, French, Italian, Spanish</t>
        </is>
      </c>
      <c r="J250" s="1" t="inlineStr">
        <is>
          <t>Leeds</t>
        </is>
      </c>
      <c r="K250" t="inlineStr">
        <is>
          <t>Leeds</t>
        </is>
      </c>
      <c r="L250" t="inlineStr">
        <is>
          <t>Leeds, United Kingdom</t>
        </is>
      </c>
      <c r="M250" t="n">
        <v>53.7974185</v>
      </c>
      <c r="N250" t="n">
        <v>-1.5437941</v>
      </c>
      <c r="O250" s="1" t="inlineStr">
        <is>
          <t>United Kingdom</t>
        </is>
      </c>
      <c r="P250" s="1" t="inlineStr">
        <is>
          <t>United Kingdom, Ireland, Sweden, Denmark, France, Italy, Malta, Switzerland, Spain, Netherlands, Germany, Austria</t>
        </is>
      </c>
      <c r="Q250" s="1" t="inlineStr">
        <is>
          <t>Medium (50-250 FTE employees)</t>
        </is>
      </c>
      <c r="R250" t="inlineStr">
        <is>
          <t>Medium</t>
        </is>
      </c>
      <c r="S250" s="1" t="inlineStr">
        <is>
          <t>Business to Business, Business to Government, Business to Consumer</t>
        </is>
      </c>
      <c r="T250" s="1" t="inlineStr">
        <is>
          <t>Higher Education, Lifelong learning/Adult education, Special Education, Vocational Education and Training (VET)</t>
        </is>
      </c>
      <c r="U250" s="1" t="inlineStr">
        <is>
          <t>Student interfacing</t>
        </is>
      </c>
      <c r="V250" s="1" t="inlineStr">
        <is>
          <t>Genio Notes</t>
        </is>
      </c>
      <c r="W250" s="1" t="inlineStr">
        <is>
          <t>The #1 recommended note taking solution to boost knowledge, skills and confidence. It works online or offline, on any device. Built around an effective 4-step note taking process that unlocks better learning, Genio Notes is helping thousands of learners with user-friendly and accessible features</t>
        </is>
      </c>
      <c r="X250" s="10" t="inlineStr">
        <is>
          <t>Genio Present</t>
        </is>
      </c>
      <c r="Y250" t="inlineStr">
        <is>
          <t>A brand new presentation rehearsal tool that helps students of all abilities reduce anxiety and build lasting communication skills. Record yourself presenting with slides, audio and video and review as often as needed to build confidence in private.</t>
        </is>
      </c>
      <c r="Z250" s="1" t="n"/>
      <c r="AA250" s="1" t="inlineStr">
        <is>
          <t>Unverified</t>
        </is>
      </c>
      <c r="AB250" s="1" t="inlineStr">
        <is>
          <t>Project consortium building, Public-private partnerships, Industry-academia partnerships, Collaborations between EdTech organisations</t>
        </is>
      </c>
      <c r="AC250" s="1" t="inlineStr">
        <is>
          <t>For-profit company</t>
        </is>
      </c>
      <c r="AD250" s="1" t="b">
        <v>1</v>
      </c>
      <c r="AE250" s="1" t="b">
        <v>0</v>
      </c>
      <c r="AF250" s="1" t="inlineStr">
        <is>
          <t>Yes</t>
        </is>
      </c>
      <c r="AG250" s="1" t="inlineStr">
        <is>
          <t>https://www.linkedin.com/company/geniolearn/posts/?feedView=all</t>
        </is>
      </c>
      <c r="AH250" s="1" t="inlineStr">
        <is>
          <t>https://www.linkedin.com/company/geniolearn/posts/?feedView=all</t>
        </is>
      </c>
      <c r="AI250" s="1" t="inlineStr">
        <is>
          <t>https://www.linkedin.com/company/geniolearn/posts/?feedView=all</t>
        </is>
      </c>
      <c r="AJ250" s="1" t="n"/>
    </row>
    <row r="251" ht="12.5" customHeight="1">
      <c r="A251" s="6" t="n">
        <v>45825</v>
      </c>
      <c r="B251" s="1" t="inlineStr">
        <is>
          <t>ORG_1280</t>
        </is>
      </c>
      <c r="C251" s="1" t="b">
        <v>1</v>
      </c>
      <c r="D251" s="1" t="inlineStr">
        <is>
          <t>CoLab</t>
        </is>
      </c>
      <c r="E251" s="10" t="inlineStr">
        <is>
          <t>https://www.collaborationlaboratory.com/</t>
        </is>
      </c>
      <c r="F251" t="inlineStr">
        <is>
          <t>collaborationlaboratory.com</t>
        </is>
      </c>
      <c r="G251" s="1" t="inlineStr">
        <is>
          <t>CoLab is an award winning online programme that combines live coaching with immersive games, discussions and escape rooms to teach kids the skills they need for life.</t>
        </is>
      </c>
      <c r="H251" s="1" t="inlineStr">
        <is>
          <t>I'm not part of any EdTech association</t>
        </is>
      </c>
      <c r="I251" s="1" t="inlineStr">
        <is>
          <t>English</t>
        </is>
      </c>
      <c r="J251" s="1" t="inlineStr">
        <is>
          <t>London</t>
        </is>
      </c>
      <c r="K251" t="inlineStr">
        <is>
          <t>London</t>
        </is>
      </c>
      <c r="L251" t="inlineStr">
        <is>
          <t>London, United Kingdom</t>
        </is>
      </c>
      <c r="M251" t="n">
        <v>51.5074456</v>
      </c>
      <c r="N251" t="n">
        <v>-0.1277653</v>
      </c>
      <c r="O251" s="1" t="inlineStr">
        <is>
          <t>United Kingdom</t>
        </is>
      </c>
      <c r="P251" s="1" t="inlineStr">
        <is>
          <t>Belgium, Italy, Netherlands, Portugal, Spain, Switzerland, United Kingdom</t>
        </is>
      </c>
      <c r="Q251" s="1" t="inlineStr">
        <is>
          <t>3 to 5</t>
        </is>
      </c>
      <c r="R251" t="inlineStr">
        <is>
          <t>Micro</t>
        </is>
      </c>
      <c r="S251" s="1" t="inlineStr">
        <is>
          <t>Business to Business, Business to Schools, Business to Consumer</t>
        </is>
      </c>
      <c r="T251" s="1" t="inlineStr">
        <is>
          <t>Early childhood development (0-5 years), Primary Education, Lifelong learning/Adult education</t>
        </is>
      </c>
      <c r="U251" s="1" t="inlineStr">
        <is>
          <t>System/Administrative, Student interfacing, Teacher interfacing</t>
        </is>
      </c>
      <c r="V251" s="10" t="inlineStr">
        <is>
          <t>CoLab</t>
        </is>
      </c>
      <c r="W251" s="1" t="inlineStr">
        <is>
          <t>1 hour a week online session with 2 live coaches that supercharge your child's social, emotional and strategic skills.</t>
        </is>
      </c>
      <c r="X251" s="10" t="inlineStr">
        <is>
          <t>https://drive.google.com/uc?export=view&amp;id=1pp0MjmL9-4UG_ExR4bmn0dL7jzDG9rfh</t>
        </is>
      </c>
      <c r="Y251" t="inlineStr">
        <is>
          <t>https://drive.google.com/uc?export=view&amp;id=1pp0MjmL9-4UG_ExR4bmn0dL7jzDG9rfh</t>
        </is>
      </c>
      <c r="Z251" s="1" t="inlineStr">
        <is>
          <t>https://drive.google.com/uc?export=view&amp;id=1pp0MjmL9-4UG_ExR4bmn0dL7jzDG9rfh</t>
        </is>
      </c>
      <c r="AA251" s="1" t="inlineStr">
        <is>
          <t>Unverified</t>
        </is>
      </c>
      <c r="AB251" s="1" t="n"/>
      <c r="AC251" s="1" t="n"/>
      <c r="AD251" s="10" t="n"/>
      <c r="AE251" s="1" t="n"/>
      <c r="AF251" s="1" t="inlineStr">
        <is>
          <t>Yes</t>
        </is>
      </c>
      <c r="AG251" s="1" t="inlineStr">
        <is>
          <t>https://www.instagram.com/colab_global_/</t>
        </is>
      </c>
      <c r="AH251" s="1" t="inlineStr">
        <is>
          <t>https://www.linkedin.com/company/collaboration-laboratory</t>
        </is>
      </c>
      <c r="AI251" s="1" t="inlineStr">
        <is>
          <t>https://www.linkedin.com/company/collaboration-laboratory</t>
        </is>
      </c>
      <c r="AJ251" s="1" t="n"/>
    </row>
    <row r="252" ht="12.5" customHeight="1">
      <c r="A252" s="6" t="n">
        <v>45814</v>
      </c>
      <c r="B252" s="1" t="inlineStr">
        <is>
          <t>ORG_1335</t>
        </is>
      </c>
      <c r="C252" s="1" t="b">
        <v>1</v>
      </c>
      <c r="D252" s="1" t="inlineStr">
        <is>
          <t>Delenta</t>
        </is>
      </c>
      <c r="E252" s="10" t="inlineStr">
        <is>
          <t>https://delenta.com</t>
        </is>
      </c>
      <c r="F252" t="inlineStr">
        <is>
          <t>delenta.com</t>
        </is>
      </c>
      <c r="G252" s="1" t="inlineStr">
        <is>
          <t>Delenta is a UK-based edtech company redefining the £12 billion professional coaching and training sector with a unified SaaS platform. Designed in collaboration with a global community of coaches and trainers, Delenta eliminates the “multi-system chaos” that plagues growing coaching businesses by consolidating scheduling, CRM, learning management, and AI-powered tools including automated notetaking and a conversational chatbot into a single, branded ecosystem
Founded in 2020 as a social experiment to foster knowledge sharing, Delenta has since evolved guided by a community of coaches and trainers into a robust solution that integrates key business functions into a single, branded digital hub. Delenta solves the problem of fragmented and inefficient coaching operations by providing an all-in-one, AI-powered platform that centralizes session management, client communication, task automation, and data-driven insights. This solution addresses key challenges faced by coaching businesses, such as:
Coaching businesses are drowning in operational chaos. They waste countless hours wrestling with disconnected tools such as scheduling nightmares, CRM confusion, task management mayhem. Scaling? Forget it. Managing multiple coaches and clients with this mess is a recipe for burnout. Delenta ends this pain. We integrate everything, stop the time drain, and provide the tools to actually grow.
Scaling coaching teams is a nightmare of communication silos. Missed deadlines, lost data, and inconsistent processes cripple efficiency and client results, stalling growth. Delenta smashes these silos with centralized dashboards, enabling seamless collaboration and clear progress tracking. Plus, machine learning delivers actionable insights, predicting client success and driving data-driven growth.
We are solving the problem of fragmented and inaccessible AI and compliance solutions for SMEs in coaching and consultancy. Currently, these businesses must navigate multiple providers and complex regulations. We're offering a single, integrated solution – a one-stop AI service model combined with our cybersecurity accreditation – to streamline their operations and ensure they meet all necessary compliance standards</t>
        </is>
      </c>
      <c r="H252" s="1" t="inlineStr">
        <is>
          <t>I'm not part of any EdTech association</t>
        </is>
      </c>
      <c r="I252" s="1" t="inlineStr">
        <is>
          <t>English</t>
        </is>
      </c>
      <c r="J252" s="1" t="inlineStr">
        <is>
          <t>London</t>
        </is>
      </c>
      <c r="K252" t="inlineStr">
        <is>
          <t>London</t>
        </is>
      </c>
      <c r="L252" t="inlineStr">
        <is>
          <t>London, United Kingdom</t>
        </is>
      </c>
      <c r="M252" t="n">
        <v>51.5074456</v>
      </c>
      <c r="N252" t="n">
        <v>-0.1277653</v>
      </c>
      <c r="O252" s="1" t="inlineStr">
        <is>
          <t>United Kingdom</t>
        </is>
      </c>
      <c r="P252" s="1" t="inlineStr">
        <is>
          <t>United Kingdom</t>
        </is>
      </c>
      <c r="Q252" s="1" t="inlineStr">
        <is>
          <t>3 to 5</t>
        </is>
      </c>
      <c r="R252" t="inlineStr">
        <is>
          <t>Micro</t>
        </is>
      </c>
      <c r="S252" s="1" t="inlineStr">
        <is>
          <t>Business to Business, Business to Schools, Business to Government</t>
        </is>
      </c>
      <c r="T252" s="1" t="inlineStr">
        <is>
          <t>Corporate Training, Lifelong learning/Adult education, Vocational Education and Training (VET), Higher Education</t>
        </is>
      </c>
      <c r="U252" s="1" t="inlineStr">
        <is>
          <t>System/Administrative, Student interfacing</t>
        </is>
      </c>
      <c r="V252" s="1" t="inlineStr">
        <is>
          <t>Delenta Teams Platform (Enterprise)</t>
        </is>
      </c>
      <c r="W252" s="10" t="inlineStr">
        <is>
          <t>Delenta Teams is an integrated, white-label platform designed for coaching and training organizations to efficiently manage multi-coach operations at scale. It centralises scheduling, client management, reporting, and communication, giving both leaders and coaches real-time visibility into sessions, client progress, and team performance all within a branded digital ecosystem.</t>
        </is>
      </c>
      <c r="X252" s="10" t="inlineStr">
        <is>
          <t>Delenta Premium (Solopreneur)</t>
        </is>
      </c>
      <c r="Y252" t="inlineStr">
        <is>
          <t>Delenta Premium for Solo is an all-in-one, white-label platform tailored for individual coaches, consultants, and solo practitioners who want to streamline their business and deliver a professional client experience. With Delenta Premium, you can manage scheduling, client relationships, session notes, contracts, and digital resources—all from a single, customizable portal under your own brand.</t>
        </is>
      </c>
      <c r="Z252" s="1" t="inlineStr">
        <is>
          <t>https://drive.google.com/uc?export=view&amp;id=1Av2BZ8tnQWdhBGiebJMLzkbAfKIxxrQb</t>
        </is>
      </c>
      <c r="AA252" s="1" t="inlineStr">
        <is>
          <t>Unverified</t>
        </is>
      </c>
      <c r="AB252" s="1" t="n"/>
      <c r="AC252" s="1" t="n"/>
      <c r="AD252" s="10" t="n"/>
      <c r="AE252" s="1" t="n"/>
      <c r="AF252" s="1" t="inlineStr">
        <is>
          <t>Yes</t>
        </is>
      </c>
      <c r="AG252" s="1" t="inlineStr">
        <is>
          <t>https://x.com/Delentacoaching</t>
        </is>
      </c>
      <c r="AH252" s="1" t="inlineStr">
        <is>
          <t>https://x.com/Delentacoaching</t>
        </is>
      </c>
      <c r="AI252" s="1" t="inlineStr">
        <is>
          <t>https://www.linkedin.com/company/delenta/</t>
        </is>
      </c>
      <c r="AJ252" s="1" t="n"/>
    </row>
    <row r="253" ht="12.5" customHeight="1">
      <c r="A253" s="6" t="n">
        <v>45810</v>
      </c>
      <c r="B253" s="1" t="inlineStr">
        <is>
          <t>ORG_1205</t>
        </is>
      </c>
      <c r="C253" s="1" t="b">
        <v>1</v>
      </c>
      <c r="D253" s="1" t="inlineStr">
        <is>
          <t>By Kids to Kids</t>
        </is>
      </c>
      <c r="E253" s="10" t="inlineStr">
        <is>
          <t>https://decriancaparacrianca.com.br/en/</t>
        </is>
      </c>
      <c r="F253" t="inlineStr">
        <is>
          <t>decriancaparacrianca.com.br/en</t>
        </is>
      </c>
      <c r="G253" s="1" t="inlineStr">
        <is>
          <t>The name By Kids to Kids perfectly captures the essence of our work: all content is created by kids specifically for other kids. We started our company, aiming to inspire and enrich the learning experience of students in classrooms. We have our office in Helsinki, Finland, and have representatives in Scandinavia, Spain, Brazil, and Portugal.
We developed “Creating Together”, a teaching methodology which places students at the center of their learning journey. Simple, fun, and easy to implement, with Creating Together, subjects like math, geography and science, or important issues like racism, inclusion, or bullying become stories that come to life through animations that can be seen repeatedly by students all over the world.</t>
        </is>
      </c>
      <c r="H253" s="1" t="inlineStr">
        <is>
          <t>EdTech Denmark</t>
        </is>
      </c>
      <c r="I253" s="1" t="inlineStr">
        <is>
          <t>English, Portuguese, Spanish, Finnish</t>
        </is>
      </c>
      <c r="J253" s="1" t="inlineStr">
        <is>
          <t>Helsinki</t>
        </is>
      </c>
      <c r="K253" t="inlineStr">
        <is>
          <t>Helsinki</t>
        </is>
      </c>
      <c r="L253" t="inlineStr">
        <is>
          <t>Helsinki, Finland</t>
        </is>
      </c>
      <c r="M253" t="n">
        <v>60.1666204</v>
      </c>
      <c r="N253" t="n">
        <v>24.9435408</v>
      </c>
      <c r="O253" s="1" t="inlineStr">
        <is>
          <t>Finland</t>
        </is>
      </c>
      <c r="P253" s="1" t="inlineStr">
        <is>
          <t>Denmark, Finland, Portugal, Spain</t>
        </is>
      </c>
      <c r="Q253" s="1" t="inlineStr">
        <is>
          <t>3 to 5</t>
        </is>
      </c>
      <c r="R253" t="inlineStr">
        <is>
          <t>Micro</t>
        </is>
      </c>
      <c r="S253" s="1" t="inlineStr">
        <is>
          <t>Business to Business, Business to Schools, Business to Government</t>
        </is>
      </c>
      <c r="T253" s="1" t="inlineStr">
        <is>
          <t>Primary Education, Secondary Education</t>
        </is>
      </c>
      <c r="U253" s="1" t="inlineStr">
        <is>
          <t>Student interfacing, Teacher interfacing, System/Administrative</t>
        </is>
      </c>
      <c r="V253" s="1" t="n"/>
      <c r="W253" s="1" t="inlineStr">
        <is>
          <t>https://drive.google.com/uc?export=view&amp;id=1bkq3-JDoXwLUVn21hzq0wRqLJugI4tVN</t>
        </is>
      </c>
      <c r="X253" s="1" t="inlineStr">
        <is>
          <t>https://drive.google.com/uc?export=view&amp;id=1bkq3-JDoXwLUVn21hzq0wRqLJugI4tVN</t>
        </is>
      </c>
      <c r="Y253" t="inlineStr">
        <is>
          <t>https://drive.google.com/uc?export=view&amp;id=1bkq3-JDoXwLUVn21hzq0wRqLJugI4tVN</t>
        </is>
      </c>
      <c r="Z253" s="1" t="inlineStr">
        <is>
          <t>https://drive.google.com/uc?export=view&amp;id=1bkq3-JDoXwLUVn21hzq0wRqLJugI4tVN</t>
        </is>
      </c>
      <c r="AA253" s="1" t="inlineStr">
        <is>
          <t>Unverified</t>
        </is>
      </c>
      <c r="AB253" s="1" t="n"/>
      <c r="AC253" s="1" t="n"/>
      <c r="AD253" s="10" t="n"/>
      <c r="AE253" s="1" t="n"/>
      <c r="AF253" s="1" t="inlineStr">
        <is>
          <t>No</t>
        </is>
      </c>
      <c r="AG253" s="1" t="n"/>
      <c r="AH253" s="1" t="n"/>
      <c r="AI253" s="1" t="n"/>
    </row>
    <row r="254" ht="12.5" customHeight="1">
      <c r="A254" s="6" t="n">
        <v>45794</v>
      </c>
      <c r="B254" s="1" t="inlineStr">
        <is>
          <t>ORG_1831</t>
        </is>
      </c>
      <c r="C254" s="1" t="b">
        <v>1</v>
      </c>
      <c r="D254" s="1" t="inlineStr">
        <is>
          <t>LearnGraph</t>
        </is>
      </c>
      <c r="E254" s="10" t="inlineStr">
        <is>
          <t>https://learngraph.org</t>
        </is>
      </c>
      <c r="F254" t="inlineStr">
        <is>
          <t>learngraph.org</t>
        </is>
      </c>
      <c r="G254" s="1" t="inlineStr">
        <is>
          <t>LearnGraph enables a new way of learning with freedom – complete learner-agency. LearnGraph is creating a free, flexible, and community-powered education platform that works like an interactive “knowledge map.” Instead of traditional courses, it lets learners explore topics as interconnected pathways — making learning inclusive, intuitive and personalized. Open-source tech plus global skill tags let anyone add lessons, rate routes, and trusted micro-credentials. Live analytics flag gaps and alert mentors, cutting dropout. Mobile-first, offline access opens doors in low-bandwidth zones, while zero-knowledge privacy keeps data safe. For universities, LearnGraph is instant interoperability; for firms, a live skills radar. Join us and turn curiosity into clear, community-driven growth. Now.</t>
        </is>
      </c>
      <c r="H254" s="1" t="inlineStr">
        <is>
          <t>I'm not part of any EdTech association</t>
        </is>
      </c>
      <c r="I254" s="1" t="inlineStr">
        <is>
          <t>English, German, Italian, Spanish, Arabic, Chinese</t>
        </is>
      </c>
      <c r="J254" s="1" t="inlineStr">
        <is>
          <t>Bochum</t>
        </is>
      </c>
      <c r="K254" t="inlineStr">
        <is>
          <t>Bochum</t>
        </is>
      </c>
      <c r="L254" t="inlineStr">
        <is>
          <t>Bochum, Germany</t>
        </is>
      </c>
      <c r="M254" t="n">
        <v>51.4818111</v>
      </c>
      <c r="N254" t="n">
        <v>7.2196635</v>
      </c>
      <c r="O254" s="1" t="inlineStr">
        <is>
          <t>Germany</t>
        </is>
      </c>
      <c r="P254" s="1" t="inlineStr">
        <is>
          <t>Germany, Ireland, Italy, Netherlands, Portugal, Romania, Spain</t>
        </is>
      </c>
      <c r="Q254" s="1" t="inlineStr">
        <is>
          <t>6 to 10</t>
        </is>
      </c>
      <c r="R254" t="inlineStr">
        <is>
          <t>Micro</t>
        </is>
      </c>
      <c r="S254" s="1" t="inlineStr">
        <is>
          <t>Business to Business, Business to Schools, Business to Consumer, Business to Government</t>
        </is>
      </c>
      <c r="T254" s="1" t="inlineStr">
        <is>
          <t>Secondary Education, Corporate Training, Lifelong learning/Adult education, Vocational Education and Training (VET), Higher Education</t>
        </is>
      </c>
      <c r="U254" s="1" t="inlineStr">
        <is>
          <t>Student interfacing</t>
        </is>
      </c>
      <c r="V254" s="10" t="inlineStr">
        <is>
          <t>LearnGraph</t>
        </is>
      </c>
      <c r="W254" s="1" t="inlineStr">
        <is>
          <t>LearnGraph is an open-source knowledge map for students, professionals and educators. Interactive nodes replace static courses, letting anyone hop, add micro-lessons and earn verifiable badges. Smart hints and mentor pings sustain momentum, and offline mobile works anywhere. Universities gain live learning insight; employers spot talent signals. Learning feels like exploring Google Maps for ideas.</t>
        </is>
      </c>
      <c r="X254" s="10" t="inlineStr">
        <is>
          <t>https://drive.google.com/uc?export=view&amp;id=1rDs6ulz-x6nHoolDDj8x-q62ECbHgpPG</t>
        </is>
      </c>
      <c r="Y254" t="inlineStr">
        <is>
          <t>https://drive.google.com/uc?export=view&amp;id=1rDs6ulz-x6nHoolDDj8x-q62ECbHgpPG</t>
        </is>
      </c>
      <c r="Z254" s="1" t="inlineStr">
        <is>
          <t>https://drive.google.com/uc?export=view&amp;id=1rDs6ulz-x6nHoolDDj8x-q62ECbHgpPG</t>
        </is>
      </c>
      <c r="AA254" s="1" t="inlineStr">
        <is>
          <t>Unverified</t>
        </is>
      </c>
      <c r="AB254" s="1" t="n"/>
      <c r="AC254" s="1" t="n"/>
      <c r="AD254" s="10" t="n"/>
      <c r="AE254" s="1" t="n"/>
      <c r="AF254" s="1" t="inlineStr">
        <is>
          <t>Yes</t>
        </is>
      </c>
      <c r="AG254" s="1" t="inlineStr">
        <is>
          <t>https://www.instagram.com/learngraph_org/</t>
        </is>
      </c>
      <c r="AH254" s="1" t="inlineStr">
        <is>
          <t>https://www.linkedin.com/company/learngraph</t>
        </is>
      </c>
      <c r="AI254" s="1" t="inlineStr">
        <is>
          <t>https://www.linkedin.com/company/learngraph</t>
        </is>
      </c>
    </row>
    <row r="255" ht="12.5" customHeight="1">
      <c r="A255" s="6" t="n">
        <v>45762</v>
      </c>
      <c r="B255" s="1" t="inlineStr">
        <is>
          <t>ORG_2037</t>
        </is>
      </c>
      <c r="C255" s="1" t="b">
        <v>1</v>
      </c>
      <c r="D255" s="1" t="inlineStr">
        <is>
          <t>Nifty Learning</t>
        </is>
      </c>
      <c r="E255" s="10" t="inlineStr">
        <is>
          <t>https://niftylearning.io</t>
        </is>
      </c>
      <c r="F255" t="inlineStr">
        <is>
          <t>niftylearning.io</t>
        </is>
      </c>
      <c r="G255" s="1" t="inlineStr">
        <is>
          <t>Our Learning Management Platform enables organizations to strategically plan, manage, and optimize training activities. Designed to drive measurable outcomes, it enhances employee development while delivering a positive impact on business performance and the bottom line.</t>
        </is>
      </c>
      <c r="H255" s="1" t="inlineStr">
        <is>
          <t>I'm not part of any EdTech association</t>
        </is>
      </c>
      <c r="I255" s="1" t="inlineStr">
        <is>
          <t>English</t>
        </is>
      </c>
      <c r="J255" s="1" t="inlineStr">
        <is>
          <t>Iasi</t>
        </is>
      </c>
      <c r="K255" t="inlineStr">
        <is>
          <t>Iasi</t>
        </is>
      </c>
      <c r="L255" t="inlineStr">
        <is>
          <t>Iasi, Romania</t>
        </is>
      </c>
      <c r="M255" t="n">
        <v>47.1615598</v>
      </c>
      <c r="N255" t="n">
        <v>27.5837814</v>
      </c>
      <c r="O255" s="1" t="inlineStr">
        <is>
          <t>Romania</t>
        </is>
      </c>
      <c r="P255" s="1" t="inlineStr">
        <is>
          <t>Romania</t>
        </is>
      </c>
      <c r="Q255" s="1" t="inlineStr">
        <is>
          <t>3 to 5</t>
        </is>
      </c>
      <c r="R255" t="inlineStr">
        <is>
          <t>Micro</t>
        </is>
      </c>
      <c r="S255" s="1" t="inlineStr">
        <is>
          <t>Business to Business, Business to Government</t>
        </is>
      </c>
      <c r="T255" s="1" t="inlineStr">
        <is>
          <t>Corporate Training</t>
        </is>
      </c>
      <c r="U255" s="1" t="inlineStr">
        <is>
          <t>Teacher interfacing, System/Administrative, Student interfacing</t>
        </is>
      </c>
      <c r="V255" s="1" t="inlineStr">
        <is>
          <t>Nifty Learning</t>
        </is>
      </c>
      <c r="W255" s="1" t="inlineStr">
        <is>
          <t>yearly subscription to the Nifty Learning Management Platform based on company headcount</t>
        </is>
      </c>
      <c r="X255" s="10" t="inlineStr">
        <is>
          <t>https://drive.google.com/uc?export=view&amp;id=1Z0dmTKUX9yTViMacAayWbSSQUqY3KroY</t>
        </is>
      </c>
      <c r="Y255" t="inlineStr">
        <is>
          <t>https://drive.google.com/uc?export=view&amp;id=1Z0dmTKUX9yTViMacAayWbSSQUqY3KroY</t>
        </is>
      </c>
      <c r="Z255" s="1" t="inlineStr">
        <is>
          <t>https://drive.google.com/uc?export=view&amp;id=1Z0dmTKUX9yTViMacAayWbSSQUqY3KroY</t>
        </is>
      </c>
      <c r="AA255" s="1" t="inlineStr">
        <is>
          <t>Unverified</t>
        </is>
      </c>
      <c r="AB255" s="1" t="n"/>
      <c r="AC255" s="1" t="n"/>
      <c r="AD255" s="10" t="n"/>
      <c r="AE255" s="1" t="n"/>
      <c r="AF255" t="inlineStr">
        <is>
          <t>Yes</t>
        </is>
      </c>
      <c r="AG255" t="inlineStr">
        <is>
          <t>https://www.linkedin.com/company/niftylearning</t>
        </is>
      </c>
      <c r="AH255" t="inlineStr">
        <is>
          <t>https://www.linkedin.com/company/niftylearning</t>
        </is>
      </c>
      <c r="AI255" t="inlineStr">
        <is>
          <t>https://www.linkedin.com/company/niftylearning</t>
        </is>
      </c>
    </row>
    <row r="256" ht="12.5" customHeight="1">
      <c r="A256" s="6" t="n">
        <v>45750</v>
      </c>
      <c r="B256" s="1" t="inlineStr">
        <is>
          <t>ORG_1497</t>
        </is>
      </c>
      <c r="C256" s="1" t="b">
        <v>1</v>
      </c>
      <c r="D256" s="1" t="inlineStr">
        <is>
          <t>English Therapy</t>
        </is>
      </c>
      <c r="E256" s="10" t="inlineStr">
        <is>
          <t>englishtherapy.co.uk</t>
        </is>
      </c>
      <c r="F256" t="inlineStr">
        <is>
          <t>englishtherapy.co.uk</t>
        </is>
      </c>
      <c r="G256" s="1" t="inlineStr">
        <is>
          <t>English Therapy is an online language school that provides English courses through highly qualified UK-based teachers. We have identified that communication in a second language is often limited by psychological barriers rather than knowledge of the language itself.
By combining language lessons with learning therapy sessions that focus on the personal, psychological and emotional side of learning, we help our students overcome both language and social challenges.</t>
        </is>
      </c>
      <c r="H256" s="1" t="inlineStr">
        <is>
          <t>I'm not part of any EdTech association</t>
        </is>
      </c>
      <c r="I256" s="1" t="n"/>
      <c r="J256" s="1" t="inlineStr">
        <is>
          <t>Leeds</t>
        </is>
      </c>
      <c r="K256" t="inlineStr">
        <is>
          <t>Leeds</t>
        </is>
      </c>
      <c r="L256" t="inlineStr">
        <is>
          <t>Leeds, United Kingdom</t>
        </is>
      </c>
      <c r="M256" t="n">
        <v>53.7974185</v>
      </c>
      <c r="N256" t="n">
        <v>-1.5437941</v>
      </c>
      <c r="O256" s="1" t="inlineStr">
        <is>
          <t>United Kingdom</t>
        </is>
      </c>
      <c r="P256" s="1" t="inlineStr">
        <is>
          <t>Italy, Spain, Turkey, United Kingdom</t>
        </is>
      </c>
      <c r="Q256" s="1" t="inlineStr">
        <is>
          <t>0 to 2</t>
        </is>
      </c>
      <c r="R256" t="inlineStr">
        <is>
          <t>Solo entrepreneur</t>
        </is>
      </c>
      <c r="S256" s="1" t="inlineStr">
        <is>
          <t>Business to Business, Business to Schools</t>
        </is>
      </c>
      <c r="T256" s="1" t="inlineStr">
        <is>
          <t>Corporate Training, Lifelong learning/Adult education, Vocational Education and Training (VET), Higher Education</t>
        </is>
      </c>
      <c r="U256" s="1" t="inlineStr">
        <is>
          <t>System/Administrative, Student interfacing</t>
        </is>
      </c>
      <c r="V256" s="1" t="inlineStr">
        <is>
          <t>English For Life</t>
        </is>
      </c>
      <c r="W256" s="1" t="inlineStr">
        <is>
          <t>Our English for Life (EFL) courses help individuals learn English language skills naturally for daily communications</t>
        </is>
      </c>
      <c r="X256" s="10" t="inlineStr">
        <is>
          <t>Enterprise English</t>
        </is>
      </c>
      <c r="Y256" t="inlineStr">
        <is>
          <t>Courses for professionals and business owners to enter the international job market</t>
        </is>
      </c>
      <c r="Z256" s="1" t="inlineStr">
        <is>
          <t>https://drive.google.com/uc?export=view&amp;id=1XTssh_x714NNGecEqwot8Cfhro1BheCX</t>
        </is>
      </c>
      <c r="AA256" s="1" t="inlineStr">
        <is>
          <t>Unverified</t>
        </is>
      </c>
      <c r="AB256" s="1" t="n"/>
      <c r="AC256" s="1" t="n"/>
      <c r="AD256" s="10" t="n"/>
      <c r="AE256" s="1" t="n"/>
      <c r="AF256" t="inlineStr">
        <is>
          <t>Yes</t>
        </is>
      </c>
      <c r="AG256" t="inlineStr">
        <is>
          <t>https://www.linkedin.com/company/english-learning-therapy</t>
        </is>
      </c>
      <c r="AH256" t="inlineStr">
        <is>
          <t>https://www.linkedin.com/company/english-learning-therapy</t>
        </is>
      </c>
      <c r="AI256" t="inlineStr">
        <is>
          <t>https://www.linkedin.com/company/english-learning-therapy</t>
        </is>
      </c>
    </row>
    <row r="257" ht="12.5" customHeight="1">
      <c r="A257" s="6" t="n">
        <v>45747</v>
      </c>
      <c r="B257" s="1" t="inlineStr">
        <is>
          <t>ORG_1720</t>
        </is>
      </c>
      <c r="C257" s="1" t="b">
        <v>1</v>
      </c>
      <c r="D257" s="1" t="inlineStr">
        <is>
          <t>InDiPaed - Institut für Digitale Pädagogik (n.staatl.)</t>
        </is>
      </c>
      <c r="E257" s="10" t="inlineStr">
        <is>
          <t>https://www.indipaed.de/</t>
        </is>
      </c>
      <c r="F257" t="inlineStr">
        <is>
          <t>indipaed.de</t>
        </is>
      </c>
      <c r="G257" s="1" t="inlineStr">
        <is>
          <t>InDiPaed - Institut für Digitale Pädagogik (n.staatl.) is an online learning platform based in Berlin, Germany, founded in 2020. It offers a variety of courses on current pedagogical topics, particularly focusing on child protection and sexual education. These programs are designed to enhance the skills and knowledge of educators and caregivers in kindergartens, providing accessible learning resources that support the implementation of effective educational strategies.</t>
        </is>
      </c>
      <c r="H257" s="1" t="inlineStr">
        <is>
          <t>I'm not part of any EdTech association</t>
        </is>
      </c>
      <c r="I257" s="1" t="inlineStr">
        <is>
          <t>German</t>
        </is>
      </c>
      <c r="J257" s="1" t="inlineStr">
        <is>
          <t>Berlin</t>
        </is>
      </c>
      <c r="K257" t="inlineStr">
        <is>
          <t>Berlin</t>
        </is>
      </c>
      <c r="L257" t="inlineStr">
        <is>
          <t>Berlin, Germany</t>
        </is>
      </c>
      <c r="M257" t="n">
        <v>52.5173885</v>
      </c>
      <c r="N257" t="n">
        <v>13.3951309</v>
      </c>
      <c r="O257" s="1" t="inlineStr">
        <is>
          <t>Germany</t>
        </is>
      </c>
      <c r="P257" s="1" t="inlineStr">
        <is>
          <t>Austria, Germany, Luxembourg, Switzerland</t>
        </is>
      </c>
      <c r="Q257" s="1" t="inlineStr">
        <is>
          <t>3 to 5</t>
        </is>
      </c>
      <c r="R257" t="inlineStr">
        <is>
          <t>Micro</t>
        </is>
      </c>
      <c r="S257" s="1" t="inlineStr">
        <is>
          <t>Business to Business, Business to Schools, Business to Consumer, Business to Government</t>
        </is>
      </c>
      <c r="T257" s="1" t="inlineStr">
        <is>
          <t>Corporate Training, Lifelong learning/Adult education</t>
        </is>
      </c>
      <c r="U257" s="1" t="inlineStr">
        <is>
          <t>Student interfacing</t>
        </is>
      </c>
      <c r="V257" s="10" t="inlineStr">
        <is>
          <t>Training courses for early childhood educators</t>
        </is>
      </c>
      <c r="W257" s="10" t="inlineStr">
        <is>
          <t>This service offers flexible, self-paced learning for early childhood educators, focusing on topics such as child protection, sexual education, and everyday challenges in kindergartens. Through engaging content like videos and interactive materials, participants gain practical knowledge they can apply directly to their work. Each learning experience is designed to build confidence, enhance professional skills, and can be completed anytime, anywhere—ending with a recognized certificate.</t>
        </is>
      </c>
      <c r="X257" s="10" t="inlineStr">
        <is>
          <t>https://drive.google.com/uc?export=view&amp;id=1gxzvStaQfeWptb4M8zzRQHyYxVr9xCB5</t>
        </is>
      </c>
      <c r="Y257" t="inlineStr">
        <is>
          <t>https://drive.google.com/uc?export=view&amp;id=1gxzvStaQfeWptb4M8zzRQHyYxVr9xCB5</t>
        </is>
      </c>
      <c r="Z257" s="1" t="inlineStr">
        <is>
          <t>https://drive.google.com/uc?export=view&amp;id=1gxzvStaQfeWptb4M8zzRQHyYxVr9xCB5</t>
        </is>
      </c>
      <c r="AA257" s="1" t="inlineStr">
        <is>
          <t>Unverified</t>
        </is>
      </c>
      <c r="AB257" s="1" t="n"/>
      <c r="AC257" s="1" t="n"/>
      <c r="AD257" s="10" t="n"/>
      <c r="AE257" s="1" t="n"/>
      <c r="AF257" t="inlineStr">
        <is>
          <t>Yes</t>
        </is>
      </c>
      <c r="AG257" t="inlineStr">
        <is>
          <t>https://www.instagram.com/indipaed/</t>
        </is>
      </c>
      <c r="AH257" t="inlineStr">
        <is>
          <t>https://x.com/indipaed</t>
        </is>
      </c>
      <c r="AI257" t="inlineStr">
        <is>
          <t>https://www.linkedin.com/company/indipaed/</t>
        </is>
      </c>
    </row>
    <row r="258" ht="12.5" customHeight="1">
      <c r="A258" s="6" t="n">
        <v>45742</v>
      </c>
      <c r="B258" s="1" t="inlineStr">
        <is>
          <t>ORG_1277</t>
        </is>
      </c>
      <c r="C258" s="1" t="b">
        <v>1</v>
      </c>
      <c r="D258" s="1" t="inlineStr">
        <is>
          <t>Cogniphant</t>
        </is>
      </c>
      <c r="E258" s="10" t="inlineStr">
        <is>
          <t>http://www.cogniphant.org/</t>
        </is>
      </c>
      <c r="F258" t="inlineStr">
        <is>
          <t>cogniphant.org</t>
        </is>
      </c>
      <c r="G258" s="1" t="inlineStr">
        <is>
          <t>Cogniphant is an EdTech startup revolutionizing ADHD screening and support in schools through AI-powered tools. Our platform enables early identification of ADHD symptoms, provides real-time reports, and offers personalized classroom strategies to educators. By equipping teachers, parents, and schools with data-driven insights and practical interventions, Cogniphant fosters more inclusive learning environments for neurodiverse students.</t>
        </is>
      </c>
      <c r="H258" s="1" t="inlineStr">
        <is>
          <t>I'm not part of any EdTech association</t>
        </is>
      </c>
      <c r="I258" s="1" t="inlineStr">
        <is>
          <t>English, Spanish</t>
        </is>
      </c>
      <c r="J258" s="1" t="inlineStr">
        <is>
          <t>Järvevana Tee 9</t>
        </is>
      </c>
      <c r="L258" t="inlineStr">
        <is>
          <t>Järvevana Tee 9, Estonia</t>
        </is>
      </c>
      <c r="O258" s="1" t="inlineStr">
        <is>
          <t>Estonia</t>
        </is>
      </c>
      <c r="P258" s="1" t="inlineStr">
        <is>
          <t>Spain, United Kingdom</t>
        </is>
      </c>
      <c r="Q258" s="1" t="inlineStr">
        <is>
          <t>3 to 5</t>
        </is>
      </c>
      <c r="R258" t="inlineStr">
        <is>
          <t>Micro</t>
        </is>
      </c>
      <c r="S258" s="1" t="inlineStr">
        <is>
          <t>Business to Business, Business to Schools, Business to Government</t>
        </is>
      </c>
      <c r="T258" s="1" t="inlineStr">
        <is>
          <t>Primary Education, Secondary Education</t>
        </is>
      </c>
      <c r="U258" s="1" t="inlineStr">
        <is>
          <t>System/Administrative, Student interfacing, Teacher interfacing</t>
        </is>
      </c>
      <c r="V258" s="1" t="inlineStr">
        <is>
          <t>https://www.linkedin.com/company/cogniphant/</t>
        </is>
      </c>
      <c r="W258" s="1" t="inlineStr">
        <is>
          <t>https://drive.google.com/uc?export=view&amp;id=1tNQQjGpLMpZq0NUXaDWsYG7bQp11K-ex</t>
        </is>
      </c>
      <c r="X258" s="10" t="inlineStr">
        <is>
          <t>https://drive.google.com/uc?export=view&amp;id=1tNQQjGpLMpZq0NUXaDWsYG7bQp11K-ex</t>
        </is>
      </c>
      <c r="Y258" t="inlineStr">
        <is>
          <t>https://drive.google.com/uc?export=view&amp;id=1tNQQjGpLMpZq0NUXaDWsYG7bQp11K-ex</t>
        </is>
      </c>
      <c r="Z258" s="1" t="inlineStr">
        <is>
          <t>https://drive.google.com/uc?export=view&amp;id=1tNQQjGpLMpZq0NUXaDWsYG7bQp11K-ex</t>
        </is>
      </c>
      <c r="AA258" s="1" t="inlineStr">
        <is>
          <t>Unverified</t>
        </is>
      </c>
      <c r="AB258" s="1" t="n"/>
      <c r="AC258" s="1" t="n"/>
      <c r="AD258" s="10" t="n"/>
      <c r="AE258" s="1" t="n"/>
      <c r="AF258" t="inlineStr">
        <is>
          <t>Yes</t>
        </is>
      </c>
      <c r="AG258" t="inlineStr">
        <is>
          <t>https://www.linkedin.com/company/cogniphant/</t>
        </is>
      </c>
      <c r="AH258" t="inlineStr">
        <is>
          <t>https://www.linkedin.com/company/cogniphant/</t>
        </is>
      </c>
      <c r="AI258" t="inlineStr">
        <is>
          <t>https://www.linkedin.com/company/cogniphant/</t>
        </is>
      </c>
    </row>
    <row r="259" ht="12.5" customHeight="1">
      <c r="A259" s="6" t="n">
        <v>45740</v>
      </c>
      <c r="B259" s="1" t="inlineStr">
        <is>
          <t>ORG_1703</t>
        </is>
      </c>
      <c r="C259" s="1" t="b">
        <v>1</v>
      </c>
      <c r="D259" s="1" t="inlineStr">
        <is>
          <t>ICoBC</t>
        </is>
      </c>
      <c r="E259" s="10" t="inlineStr">
        <is>
          <t>https://icobc.net/</t>
        </is>
      </c>
      <c r="F259" t="inlineStr">
        <is>
          <t>icobc.net</t>
        </is>
      </c>
      <c r="G259" s="1" t="inlineStr">
        <is>
          <t>At the International Council on Badges and Credentials, our mission is to foster a dynamic ecosystem that advances the recognition of informal, non-formal, and formal learning through digital badges and (micro-)credentials. We are dedicated to cultivating a world where diverse learning pathways are acknowledged, valued, and interconnected. Our actions are guided by the principles of holistic understanding, inclusive collaboration, global awareness, and innovation support. Through methodical development, technological advancement, and organizational synergy, we strive to create a transformative impact on individuals, organizations, and societies.</t>
        </is>
      </c>
      <c r="H259" s="1" t="inlineStr">
        <is>
          <t>I'm not part of any EdTech association</t>
        </is>
      </c>
      <c r="I259" s="1" t="n"/>
      <c r="J259" s="1" t="inlineStr">
        <is>
          <t>Berlin</t>
        </is>
      </c>
      <c r="K259" t="inlineStr">
        <is>
          <t>Berlin</t>
        </is>
      </c>
      <c r="L259" t="inlineStr">
        <is>
          <t>Berlin, Germany</t>
        </is>
      </c>
      <c r="M259" t="n">
        <v>52.5173885</v>
      </c>
      <c r="N259" t="n">
        <v>13.3951309</v>
      </c>
      <c r="O259" s="1" t="inlineStr">
        <is>
          <t>Germany</t>
        </is>
      </c>
      <c r="P259" s="1" t="inlineStr">
        <is>
          <t>Austria, Belgium, Denmark, France, Germany, Ireland, Lithuania, Serbia, Spain, Switzerland, United Kingdom</t>
        </is>
      </c>
      <c r="Q259" s="1" t="inlineStr">
        <is>
          <t>0 to 2</t>
        </is>
      </c>
      <c r="R259" t="inlineStr">
        <is>
          <t>Solo entrepreneur</t>
        </is>
      </c>
      <c r="S259" s="1" t="inlineStr">
        <is>
          <t>Business to Business, Business to Schools, Business to Government</t>
        </is>
      </c>
      <c r="T259" s="1" t="inlineStr">
        <is>
          <t>Corporate Training, Lifelong learning/Adult education, Vocational Education and Training (VET), Higher Education</t>
        </is>
      </c>
      <c r="U259" s="1" t="inlineStr">
        <is>
          <t>System/Administrative</t>
        </is>
      </c>
      <c r="V259" s="1" t="inlineStr">
        <is>
          <t>Digital Badge and Micro-Credential Consulting</t>
        </is>
      </c>
      <c r="W259" s="1" t="inlineStr">
        <is>
          <t>ICoBC offers coaching and consulting to its members on a vendor-neutral base, through its unique network of experts and partnering organizations. The goal is to help you planning, starting, establishing and refining your credentialing program to create impact and recognition.</t>
        </is>
      </c>
      <c r="X259" s="10" t="inlineStr">
        <is>
          <t>Quality Accreditation</t>
        </is>
      </c>
      <c r="Y259" t="inlineStr">
        <is>
          <t>Especially designed for organizations that have established first credentialing and badging projects but want to further strive for recognition of the quality of their programs, the ICoBC offers to audit and accredit your credentialing program, based on a detailed assessment, review and certification.</t>
        </is>
      </c>
      <c r="Z259" s="1" t="inlineStr">
        <is>
          <t>https://drive.google.com/uc?export=view&amp;id=17H9DkNZkFru5Crf0tlm584D0e5wZeeVX</t>
        </is>
      </c>
      <c r="AA259" s="1" t="inlineStr">
        <is>
          <t>Unverified</t>
        </is>
      </c>
      <c r="AB259" s="1" t="n"/>
      <c r="AC259" s="1" t="n"/>
      <c r="AD259" s="10" t="n"/>
      <c r="AE259" s="1" t="n"/>
      <c r="AF259" t="inlineStr">
        <is>
          <t>Yes</t>
        </is>
      </c>
      <c r="AG259" t="inlineStr">
        <is>
          <t>https://www.linkedin.com/groups/2702395/</t>
        </is>
      </c>
      <c r="AH259" t="inlineStr">
        <is>
          <t>https://www.linkedin.com/groups/2702395/</t>
        </is>
      </c>
      <c r="AI259" t="inlineStr">
        <is>
          <t>https://www.linkedin.com/groups/2702395/</t>
        </is>
      </c>
    </row>
    <row r="260" ht="12.5" customHeight="1">
      <c r="A260" s="6" t="n">
        <v>45735</v>
      </c>
      <c r="B260" s="1" t="inlineStr">
        <is>
          <t>ORG_2206</t>
        </is>
      </c>
      <c r="C260" s="1" t="b">
        <v>1</v>
      </c>
      <c r="D260" s="1" t="inlineStr">
        <is>
          <t>Savremena Primary School</t>
        </is>
      </c>
      <c r="E260" s="10" t="inlineStr">
        <is>
          <t>https://www.savremena-osnovna.edu.rs/</t>
        </is>
      </c>
      <c r="F260" t="inlineStr">
        <is>
          <t>savremena-osnovna.edu.rs</t>
        </is>
      </c>
      <c r="G260" s="1" t="inlineStr">
        <is>
          <t>Savremena primary school uses the most advanced technology in teaching to make sure that the children adopt new knowledge in the most efficient way. Also, our technological tools greatly empower our teaching personnel, enabling them to create personalised plans and approach each child’s progress on an individual basis. Advanced devices combined with educational apps appropriate for the child’s age let your child learn using sound and vision and immersive graphics. Modern technologies implemented in teaching include computers, iPads and other tablet solutions, interactive tables, interactive whiteboards, 3D printer, scanner and pen, along with interesting educational apps such as Motion Math, Explain Everything, History of the World… Also, the classrooms where the teaching takes place deserve their description as intelligent, as they are designed so that they facilitate modern teaching and learning. 
Besides the national programme, which is implemented according to the curriculum approved by the Ministry of Education, Science and Technological Development of the Republic of Serbia at Savremena, students can attend the Combined – bilingual programme, which blends the national education with the prestigious Cambridge education. This sort of programme lets the children attend lessons mediated in their first language and acquire all the necessary traditional knowledge, as well as to acquire an entirely new dimension by learning English through attending assorted English-mediated lessons.</t>
        </is>
      </c>
      <c r="H260" s="1" t="inlineStr">
        <is>
          <t>I'm not part of any EdTech association</t>
        </is>
      </c>
      <c r="I260" s="1" t="inlineStr">
        <is>
          <t>English</t>
        </is>
      </c>
      <c r="J260" s="1" t="inlineStr">
        <is>
          <t>Belgrade</t>
        </is>
      </c>
      <c r="K260" t="inlineStr">
        <is>
          <t>Belgrade</t>
        </is>
      </c>
      <c r="L260" t="inlineStr">
        <is>
          <t>Belgrade, Serbia</t>
        </is>
      </c>
      <c r="M260" t="n">
        <v>44.8178131</v>
      </c>
      <c r="N260" t="n">
        <v>20.4568974</v>
      </c>
      <c r="O260" s="1" t="inlineStr">
        <is>
          <t>Serbia</t>
        </is>
      </c>
      <c r="P260" s="1" t="inlineStr">
        <is>
          <t>Serbia</t>
        </is>
      </c>
      <c r="Q260" s="1" t="inlineStr">
        <is>
          <t>51 to 100</t>
        </is>
      </c>
      <c r="R260" t="inlineStr">
        <is>
          <t>Medium</t>
        </is>
      </c>
      <c r="S260" s="1" t="inlineStr">
        <is>
          <t>Business to Business, Business to Schools, Business to Consumer, Business to Government</t>
        </is>
      </c>
      <c r="T260" s="1" t="inlineStr">
        <is>
          <t>Early childhood development (0-5 years), Primary Education, Secondary Education</t>
        </is>
      </c>
      <c r="U260" s="1" t="inlineStr">
        <is>
          <t>System/Administrative, Student interfacing, Teacher interfacing</t>
        </is>
      </c>
      <c r="V260" s="1" t="inlineStr">
        <is>
          <t>Primary school</t>
        </is>
      </c>
      <c r="W260" s="1" t="inlineStr">
        <is>
          <t>https://drive.google.com/uc?export=view&amp;id=1XejP6Ukcua5ebT53yQlgLv218KZITvbe</t>
        </is>
      </c>
      <c r="X260" s="1" t="inlineStr">
        <is>
          <t>https://drive.google.com/uc?export=view&amp;id=1XejP6Ukcua5ebT53yQlgLv218KZITvbe</t>
        </is>
      </c>
      <c r="Y260" t="inlineStr">
        <is>
          <t>https://drive.google.com/uc?export=view&amp;id=1XejP6Ukcua5ebT53yQlgLv218KZITvbe</t>
        </is>
      </c>
      <c r="Z260" s="1" t="inlineStr">
        <is>
          <t>https://drive.google.com/uc?export=view&amp;id=1XejP6Ukcua5ebT53yQlgLv218KZITvbe</t>
        </is>
      </c>
      <c r="AA260" s="1" t="inlineStr">
        <is>
          <t>Unverified</t>
        </is>
      </c>
      <c r="AB260" s="1" t="n"/>
      <c r="AC260" s="1" t="n"/>
      <c r="AD260" s="10" t="n"/>
      <c r="AE260" s="1" t="n"/>
      <c r="AF260" t="inlineStr">
        <is>
          <t>No</t>
        </is>
      </c>
    </row>
    <row r="261" ht="12.5" customHeight="1">
      <c r="A261" s="6" t="n">
        <v>45730</v>
      </c>
      <c r="B261" s="1" t="inlineStr">
        <is>
          <t>ORG_1937</t>
        </is>
      </c>
      <c r="C261" s="1" t="b">
        <v>1</v>
      </c>
      <c r="D261" s="1" t="inlineStr">
        <is>
          <t>MEDIASQUAD</t>
        </is>
      </c>
      <c r="E261" s="10" t="inlineStr">
        <is>
          <t>https://www.msq.at/</t>
        </is>
      </c>
      <c r="F261" t="inlineStr">
        <is>
          <t>msq.at</t>
        </is>
      </c>
      <c r="G261" s="1" t="inlineStr">
        <is>
          <t>MEDIASQUAD is an internationally acclaimed XR (Extended Reality) studio headquartered in Innsbruck, Austria, recognized for its groundbreaking Virtual Reality training programs and experiences. Established in 2007, the company specializes in tailored, scalable solutions, enabling global industrial and service enterprises, as well as the public sector, to significantly improve the efficiency of training and sales activities using virtual environments.</t>
        </is>
      </c>
      <c r="H261" s="1" t="inlineStr">
        <is>
          <t>EdTech Austria</t>
        </is>
      </c>
      <c r="I261" s="1" t="inlineStr">
        <is>
          <t>All</t>
        </is>
      </c>
      <c r="J261" s="1" t="inlineStr">
        <is>
          <t>Innsbruck</t>
        </is>
      </c>
      <c r="K261" t="inlineStr">
        <is>
          <t>Innsbruck</t>
        </is>
      </c>
      <c r="L261" t="inlineStr">
        <is>
          <t>Innsbruck, Austria</t>
        </is>
      </c>
      <c r="M261" t="n">
        <v>47.2654296</v>
      </c>
      <c r="N261" t="n">
        <v>11.3927685</v>
      </c>
      <c r="O261" s="1" t="inlineStr">
        <is>
          <t>Austria</t>
        </is>
      </c>
      <c r="P261" s="1" t="inlineStr">
        <is>
          <t>Austria, Germany, Switzerland</t>
        </is>
      </c>
      <c r="Q261" s="1" t="inlineStr">
        <is>
          <t>6 to 10</t>
        </is>
      </c>
      <c r="R261" t="inlineStr">
        <is>
          <t>Micro</t>
        </is>
      </c>
      <c r="S261" s="1" t="inlineStr">
        <is>
          <t>Business to Business, Business to Schools, Business to Government</t>
        </is>
      </c>
      <c r="T261" s="1" t="inlineStr">
        <is>
          <t>Primary Education, Secondary Education, Corporate Training, Lifelong learning/Adult education, Vocational Education and Training (VET), Higher Education</t>
        </is>
      </c>
      <c r="U261" s="1" t="inlineStr">
        <is>
          <t>Student interfacing, System/Administrative</t>
        </is>
      </c>
      <c r="V261" s="1" t="inlineStr">
        <is>
          <t>eXperience.together! (EX2)</t>
        </is>
      </c>
      <c r="W261" s="1" t="inlineStr">
        <is>
          <t>With eXperience.together!, it is now possible to experience and interact with virtual content in a shared physical space. This innovative technology enables multiple users to see and modify the same digital elements in real time, fostering a truly collaborative and immersive experience. EX2 is particularly well-suited for in-person teaching, as both educators and learners view identical content, ensuring clear explanations, seamless communication, and the ability to address questions directly and effectively. This creates an engaging and interactive learning environment that enhances understanding and participation.</t>
        </is>
      </c>
      <c r="X261" s="10" t="inlineStr">
        <is>
          <t>Extended Reality Applications</t>
        </is>
      </c>
      <c r="Y261" t="inlineStr">
        <is>
          <t>Learning in the digital age means more than just e-learning on a PC or attending lessons via Zoom.
Extended Reality applications—including Virtual Reality, Mixed Reality, and Augmented Reality—offer learners the unique advantage of not only seeing content but truly experiencing it.
Thanks to our many years of experience, we develop interactive, gamified apps that enable learning in entirely new dimensions.</t>
        </is>
      </c>
      <c r="Z261" s="1" t="inlineStr">
        <is>
          <t>https://drive.google.com/uc?export=view&amp;id=1LbiAPO8qu2foB2y5sB157iBfWaQUen8n</t>
        </is>
      </c>
      <c r="AA261" s="1" t="inlineStr">
        <is>
          <t>Unverified</t>
        </is>
      </c>
      <c r="AB261" s="1" t="n"/>
      <c r="AC261" s="1" t="n"/>
      <c r="AD261" s="10" t="n"/>
      <c r="AE261" s="1" t="n"/>
      <c r="AF261" t="inlineStr">
        <is>
          <t>Yes</t>
        </is>
      </c>
      <c r="AG261" t="inlineStr">
        <is>
          <t>https://www.linkedin.com/company/mediasquad/</t>
        </is>
      </c>
      <c r="AH261" t="inlineStr">
        <is>
          <t>https://www.linkedin.com/company/mediasquad/</t>
        </is>
      </c>
      <c r="AI261" t="inlineStr">
        <is>
          <t>https://www.linkedin.com/company/mediasquad/</t>
        </is>
      </c>
    </row>
    <row r="262" ht="12.5" customHeight="1">
      <c r="A262" s="6" t="n">
        <v>45705</v>
      </c>
      <c r="B262" s="1" t="inlineStr">
        <is>
          <t>ORG_1387</t>
        </is>
      </c>
      <c r="C262" s="1" t="b">
        <v>1</v>
      </c>
      <c r="D262" s="1" t="inlineStr">
        <is>
          <t>E Akademi</t>
        </is>
      </c>
      <c r="E262" s="10" t="inlineStr">
        <is>
          <t>https://lekon.dk/kurser</t>
        </is>
      </c>
      <c r="F262" t="inlineStr">
        <is>
          <t>lekon.dk/kurser</t>
        </is>
      </c>
      <c r="G262" s="1" t="inlineStr">
        <is>
          <t>E-Akademi offers a wide range of online safety courses, primarily targeting craftsmen and the production industry. Our e-learning solutions make it easy to complete mandatory and competency-based training in a flexible way.
We cover topics such as electrical safety, hot work, occupational health and safety, and the safe use and inspection of technical equipment.
With automatic certificate issuance and flexible access, we make learning simple and efficient.</t>
        </is>
      </c>
      <c r="H262" s="1" t="inlineStr">
        <is>
          <t>EdTech Denmark</t>
        </is>
      </c>
      <c r="I262" s="1" t="inlineStr">
        <is>
          <t>Danish, English, Swedish, German, Kalaallisut, Polish</t>
        </is>
      </c>
      <c r="J262" s="1" t="inlineStr">
        <is>
          <t>Roskilde</t>
        </is>
      </c>
      <c r="K262" t="inlineStr">
        <is>
          <t>Roskilde</t>
        </is>
      </c>
      <c r="L262" t="inlineStr">
        <is>
          <t>Roskilde, Denmark</t>
        </is>
      </c>
      <c r="M262" t="n">
        <v>55.6433478</v>
      </c>
      <c r="N262" t="n">
        <v>12.0819247</v>
      </c>
      <c r="O262" s="1" t="inlineStr">
        <is>
          <t>Denmark</t>
        </is>
      </c>
      <c r="P262" s="1" t="inlineStr">
        <is>
          <t>Denmark</t>
        </is>
      </c>
      <c r="Q262" s="1" t="inlineStr">
        <is>
          <t>11 to 50</t>
        </is>
      </c>
      <c r="R262" t="inlineStr">
        <is>
          <t>Small</t>
        </is>
      </c>
      <c r="S262" s="1" t="inlineStr">
        <is>
          <t>Business to Business</t>
        </is>
      </c>
      <c r="T262" s="1" t="inlineStr">
        <is>
          <t>Corporate Training, Lifelong learning/Adult education</t>
        </is>
      </c>
      <c r="U262" s="1" t="inlineStr">
        <is>
          <t>System/Administrative, Student interfacing</t>
        </is>
      </c>
      <c r="V262" s="1" t="inlineStr">
        <is>
          <t>E-learning</t>
        </is>
      </c>
      <c r="W262" s="1" t="inlineStr">
        <is>
          <t>E-learning can be translated as online learning, meaning that your course is delivered digitally.
Our courses are designed to save you time and money without compromising quality or learning outcomes.
We have minimized the amount of text on course slides, so you don’t have to read through the entire course.
Instead, you can listen to the instructor’s voice while the educational content is supported by graphics and visual examples.</t>
        </is>
      </c>
      <c r="X262" s="10" t="inlineStr">
        <is>
          <t>Effective Competence Development</t>
        </is>
      </c>
      <c r="Y262" t="inlineStr">
        <is>
          <t>When you enroll in one of our e-learning courses, you get:
An email with a link to your course
Access to the course from any device: PC, tablet, and mobile
24/7 access to the course materials for three months
In short: You can take our e-learning courses whenever and wherever it suits you best!</t>
        </is>
      </c>
      <c r="Z262" s="1" t="inlineStr">
        <is>
          <t>https://drive.google.com/uc?export=view&amp;id=1SzSXE1GkFxvFgGUY6rVWz18PD140gM_Q</t>
        </is>
      </c>
      <c r="AA262" s="1" t="inlineStr">
        <is>
          <t>Unverified</t>
        </is>
      </c>
      <c r="AB262" s="1" t="n"/>
      <c r="AC262" s="1" t="n"/>
      <c r="AD262" s="10" t="n"/>
      <c r="AE262" s="1" t="n"/>
      <c r="AF262" t="inlineStr">
        <is>
          <t>Yes</t>
        </is>
      </c>
      <c r="AG262" t="inlineStr">
        <is>
          <t>https://www.linkedin.com/company/lekon-r-dgivning/</t>
        </is>
      </c>
      <c r="AH262" t="inlineStr">
        <is>
          <t>https://www.linkedin.com/company/lekon-r-dgivning/</t>
        </is>
      </c>
      <c r="AI262" t="inlineStr">
        <is>
          <t>https://www.linkedin.com/company/lekon-r-dgivning/</t>
        </is>
      </c>
    </row>
    <row r="263" ht="12.5" customHeight="1">
      <c r="A263" s="6" t="n">
        <v>45700</v>
      </c>
      <c r="B263" s="1" t="inlineStr">
        <is>
          <t>ORG_1500</t>
        </is>
      </c>
      <c r="C263" s="1" t="b">
        <v>1</v>
      </c>
      <c r="D263" s="1" t="inlineStr">
        <is>
          <t>Enlightware</t>
        </is>
      </c>
      <c r="E263" s="10" t="inlineStr">
        <is>
          <t>https://enlightware.ch/</t>
        </is>
      </c>
      <c r="F263" t="inlineStr">
        <is>
          <t>enlightware.ch</t>
        </is>
      </c>
      <c r="G263" s="1" t="inlineStr">
        <is>
          <t>We pursue the mission to foster autonomy, creativity and collaboration skills of each individual through digital products. Our flagship product is Candli, an app that enables anyone to create their own video games and learn STEAM skills.</t>
        </is>
      </c>
      <c r="H263" s="1" t="inlineStr">
        <is>
          <t>Swiss EdTech Collider</t>
        </is>
      </c>
      <c r="I263" s="1" t="inlineStr">
        <is>
          <t>English, French, German, Portuguese</t>
        </is>
      </c>
      <c r="J263" s="1" t="inlineStr">
        <is>
          <t>Zurich</t>
        </is>
      </c>
      <c r="K263" t="inlineStr">
        <is>
          <t>Zurich</t>
        </is>
      </c>
      <c r="L263" t="inlineStr">
        <is>
          <t>Zurich, Switzerland</t>
        </is>
      </c>
      <c r="M263" t="n">
        <v>47.3744489</v>
      </c>
      <c r="N263" t="n">
        <v>8.5410422</v>
      </c>
      <c r="O263" s="1" t="inlineStr">
        <is>
          <t>Switzerland</t>
        </is>
      </c>
      <c r="P263"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263" s="1" t="inlineStr">
        <is>
          <t>3 to 5</t>
        </is>
      </c>
      <c r="R263" t="inlineStr">
        <is>
          <t>Micro</t>
        </is>
      </c>
      <c r="S263" s="1" t="inlineStr">
        <is>
          <t>Business to Business, Business to Schools, Business to Consumer, Business to Government</t>
        </is>
      </c>
      <c r="T263" s="1" t="inlineStr">
        <is>
          <t>Primary Education, Secondary Education, Corporate Training, Lifelong learning/Adult education, Vocational Education and Training (VET)</t>
        </is>
      </c>
      <c r="U263" s="1" t="inlineStr">
        <is>
          <t>System/Administrative, Student interfacing, Teacher interfacing</t>
        </is>
      </c>
      <c r="V263" s="10" t="inlineStr">
        <is>
          <t>Candli</t>
        </is>
      </c>
      <c r="W263" s="1" t="inlineStr">
        <is>
          <t>Candli is an app that enables anyone to create their own video games and learn STEAM skills.</t>
        </is>
      </c>
      <c r="X263" s="10" t="inlineStr">
        <is>
          <t>https://drive.google.com/uc?export=view&amp;id=1Igk-3Vp9zFZmQ8R3vq-eBIHQTlnnYo5b</t>
        </is>
      </c>
      <c r="Y263" t="inlineStr">
        <is>
          <t>https://drive.google.com/uc?export=view&amp;id=1Igk-3Vp9zFZmQ8R3vq-eBIHQTlnnYo5b</t>
        </is>
      </c>
      <c r="Z263" s="1" t="inlineStr">
        <is>
          <t>https://drive.google.com/uc?export=view&amp;id=1Igk-3Vp9zFZmQ8R3vq-eBIHQTlnnYo5b</t>
        </is>
      </c>
      <c r="AA263" s="1" t="inlineStr">
        <is>
          <t>Unverified</t>
        </is>
      </c>
      <c r="AB263" s="1" t="n"/>
      <c r="AC263" s="1" t="n"/>
      <c r="AD263" s="10" t="n"/>
      <c r="AE263" s="1" t="n"/>
      <c r="AF263" s="1" t="inlineStr">
        <is>
          <t>Yes</t>
        </is>
      </c>
      <c r="AG263" s="1" t="inlineStr">
        <is>
          <t>https://www.instagram.com/candlicreate/</t>
        </is>
      </c>
      <c r="AH263" s="1" t="inlineStr">
        <is>
          <t>https://www.linkedin.com/company/enlightware/</t>
        </is>
      </c>
      <c r="AI263" t="inlineStr">
        <is>
          <t>https://www.linkedin.com/company/enlightware/</t>
        </is>
      </c>
    </row>
    <row r="264" ht="12.5" customHeight="1">
      <c r="A264" s="6" t="n">
        <v>45698</v>
      </c>
      <c r="B264" s="1" t="inlineStr">
        <is>
          <t>ORG_1693</t>
        </is>
      </c>
      <c r="C264" s="1" t="b">
        <v>1</v>
      </c>
      <c r="D264" s="10" t="inlineStr">
        <is>
          <t>Humy.ai</t>
        </is>
      </c>
      <c r="E264" s="10" t="inlineStr">
        <is>
          <t>www.humy.ai</t>
        </is>
      </c>
      <c r="F264" t="inlineStr">
        <is>
          <t>humy.ai</t>
        </is>
      </c>
      <c r="G264" s="1" t="inlineStr">
        <is>
          <t>Ai-historical figures for schools.</t>
        </is>
      </c>
      <c r="H264" s="1" t="inlineStr">
        <is>
          <t>I'm not part of any EdTech association</t>
        </is>
      </c>
      <c r="I264" s="1" t="n"/>
      <c r="J264" s="1" t="inlineStr">
        <is>
          <t>Stockholm</t>
        </is>
      </c>
      <c r="K264" t="inlineStr">
        <is>
          <t>Stockholm</t>
        </is>
      </c>
      <c r="L264" t="inlineStr">
        <is>
          <t>Stockholm, Sweden</t>
        </is>
      </c>
      <c r="M264" t="n">
        <v>59.3251172</v>
      </c>
      <c r="N264" t="n">
        <v>18.0710935</v>
      </c>
      <c r="O264" s="1" t="inlineStr">
        <is>
          <t>Sweden</t>
        </is>
      </c>
      <c r="P264" s="1" t="inlineStr">
        <is>
          <t>Belgium, Denmark, Finland, France, Germany, Italy, Sweden, Switzerland, United Kingdom</t>
        </is>
      </c>
      <c r="Q264" s="1" t="inlineStr">
        <is>
          <t>3 to 5</t>
        </is>
      </c>
      <c r="R264" t="inlineStr">
        <is>
          <t>Micro</t>
        </is>
      </c>
      <c r="S264" s="1" t="inlineStr">
        <is>
          <t>Business to Schools, Business to Consumer, Business to Government</t>
        </is>
      </c>
      <c r="T264" s="1" t="inlineStr">
        <is>
          <t>Primary Education, Higher Education</t>
        </is>
      </c>
      <c r="U264" s="1" t="inlineStr">
        <is>
          <t>Student interfacing, Teacher interfacing</t>
        </is>
      </c>
      <c r="V264" s="1" t="inlineStr">
        <is>
          <t>Humy.ai</t>
        </is>
      </c>
      <c r="W264" s="1" t="inlineStr">
        <is>
          <t>We help history teachers personalize learning and increase student engagement with AI.</t>
        </is>
      </c>
      <c r="X264" s="10" t="inlineStr">
        <is>
          <t>Hello History</t>
        </is>
      </c>
      <c r="Y264" t="inlineStr">
        <is>
          <t>We help the general public interview AI-historical figures for educational and fun.</t>
        </is>
      </c>
      <c r="Z264" s="10" t="inlineStr">
        <is>
          <t>https://drive.google.com/uc?export=view&amp;id=1fRQno2W7cdNRA99pWW_RsameowepV7hG</t>
        </is>
      </c>
      <c r="AA264" s="1" t="inlineStr">
        <is>
          <t>Unverified</t>
        </is>
      </c>
      <c r="AB264" s="1" t="n"/>
      <c r="AC264" s="1" t="n"/>
      <c r="AD264" s="10" t="n"/>
      <c r="AE264" s="1" t="n"/>
      <c r="AF264" s="1" t="inlineStr">
        <is>
          <t>Yes</t>
        </is>
      </c>
      <c r="AG264" s="1" t="inlineStr">
        <is>
          <t>https://www.linkedin.com/company/humy-ai</t>
        </is>
      </c>
      <c r="AH264" s="1" t="inlineStr">
        <is>
          <t>https://www.linkedin.com/company/humy-ai</t>
        </is>
      </c>
      <c r="AI264" t="inlineStr">
        <is>
          <t>https://www.linkedin.com/company/humy-ai</t>
        </is>
      </c>
    </row>
    <row r="265" ht="12.5" customHeight="1">
      <c r="A265" s="6" t="n">
        <v>45686</v>
      </c>
      <c r="B265" s="1" t="inlineStr">
        <is>
          <t>ORG_1956</t>
        </is>
      </c>
      <c r="C265" s="1" t="b">
        <v>1</v>
      </c>
      <c r="D265" s="1" t="inlineStr">
        <is>
          <t>Meritus AI</t>
        </is>
      </c>
      <c r="E265" s="10" t="inlineStr">
        <is>
          <t>https://meritus.ai/</t>
        </is>
      </c>
      <c r="F265" t="inlineStr">
        <is>
          <t>meritus.ai</t>
        </is>
      </c>
      <c r="G265" s="1" t="inlineStr">
        <is>
          <t>Empowering the Future of Learning
At Meritus, we are driven by a passion for empowering the futurer of learning. As a leading education technology (EdTech) company, we revolutionize education through innovation and technology. Our diverse range of courses in AI, VR, Robotics, Coding, and STEM Learning which fosters creativity, critical thinking, and lifelong learning. With a commitment to accessibility and inclusivity, we provide transformative learning experiences for students of all ages and backgrounds. Join us on this journey of discovery and growth, as we nurture future innovators and equip them with the skills to excel in an ever-changing world. Meritus - Empowering Education, Empowering You.</t>
        </is>
      </c>
      <c r="H265" s="1" t="inlineStr">
        <is>
          <t>EdTech France</t>
        </is>
      </c>
      <c r="I265" s="1" t="inlineStr">
        <is>
          <t>English</t>
        </is>
      </c>
      <c r="J265" s="1" t="inlineStr">
        <is>
          <t>Chennai</t>
        </is>
      </c>
      <c r="K265" t="inlineStr">
        <is>
          <t>Chennai</t>
        </is>
      </c>
      <c r="L265" t="inlineStr">
        <is>
          <t>Chennai, India</t>
        </is>
      </c>
      <c r="M265" t="n">
        <v>13.0836939</v>
      </c>
      <c r="N265" t="n">
        <v>80.270186</v>
      </c>
      <c r="O265" s="1" t="inlineStr">
        <is>
          <t>India</t>
        </is>
      </c>
      <c r="P265" s="1" t="inlineStr">
        <is>
          <t>Bulgaria, Denmark, France, Germany, Romania, Turkey, United Kingdom</t>
        </is>
      </c>
      <c r="Q265" s="1" t="inlineStr">
        <is>
          <t>51 to 100</t>
        </is>
      </c>
      <c r="R265" t="inlineStr">
        <is>
          <t>Medium</t>
        </is>
      </c>
      <c r="S265" s="1" t="inlineStr">
        <is>
          <t>Business to Business, Business to Schools, Business to Consumer, Business to Government</t>
        </is>
      </c>
      <c r="T265" s="1" t="inlineStr">
        <is>
          <t>Primary Education, Secondary Education, Vocational Education and Training (VET), Higher Education</t>
        </is>
      </c>
      <c r="U265" s="1" t="inlineStr">
        <is>
          <t>System/Administrative, Student interfacing, Teacher interfacing</t>
        </is>
      </c>
      <c r="V265" s="10" t="inlineStr">
        <is>
          <t>Meritus AI Robotics &amp; Coding Program</t>
        </is>
      </c>
      <c r="W265" s="10" t="inlineStr">
        <is>
          <t>Meritus AI Robotics &amp; Coding Program is an educational solution designed for K-12 students. It focuses on teaching robotics, artificial intelligence, and coding through interactive lessons and hands-on projects. This program aims to empower students with essential tech skills, enhancing their problem-solving and critical thinking abilities. It brings value by fostering innovation and preparing the next generation for the digital future.</t>
        </is>
      </c>
      <c r="X265" s="10" t="inlineStr">
        <is>
          <t>AI Lite</t>
        </is>
      </c>
      <c r="Y265" t="inlineStr">
        <is>
          <t>AI Lite is an introductory platform designed to teach the fundamentals of artificial intelligence in a simple, accessible way. Aimed at beginners and young learners, AI Lite breaks down complex AI concepts into digestible lessons with hands-on exercises. It empowers students to explore AI's potential without requiring prior technical knowledge, fostering curiosity and understanding in the growing field of AI technology.</t>
        </is>
      </c>
      <c r="Z265" s="1" t="inlineStr">
        <is>
          <t>https://drive.google.com/uc?export=view&amp;id=16aLvrT2kF38VQQf5z4ooy4zyhc-eUrVW</t>
        </is>
      </c>
      <c r="AA265" s="1" t="inlineStr">
        <is>
          <t>Unverified</t>
        </is>
      </c>
      <c r="AB265" s="1" t="n"/>
      <c r="AC265" s="1" t="n"/>
      <c r="AD265" s="10" t="n"/>
      <c r="AE265" s="1" t="n"/>
      <c r="AF265" t="inlineStr">
        <is>
          <t>Yes</t>
        </is>
      </c>
      <c r="AG265" t="inlineStr">
        <is>
          <t>https://www.instagram.com/meritus.ai/</t>
        </is>
      </c>
      <c r="AH265" t="inlineStr">
        <is>
          <t>https://x.com/MeritusAI/status/1881586399260144079</t>
        </is>
      </c>
      <c r="AI265" t="inlineStr">
        <is>
          <t>https://in.linkedin.com/company/meritusai</t>
        </is>
      </c>
    </row>
    <row r="266" ht="12.5" customHeight="1">
      <c r="A266" s="6" t="n">
        <v>45681</v>
      </c>
      <c r="B266" s="1" t="inlineStr">
        <is>
          <t>ORG_2550</t>
        </is>
      </c>
      <c r="C266" s="1" t="b">
        <v>1</v>
      </c>
      <c r="D266" s="1" t="inlineStr">
        <is>
          <t>World History Encyclopedia</t>
        </is>
      </c>
      <c r="E266" s="10" t="inlineStr">
        <is>
          <t>https://www.worldhistory.org</t>
        </is>
      </c>
      <c r="F266" t="inlineStr">
        <is>
          <t>worldhistory.org</t>
        </is>
      </c>
      <c r="G266" s="1" t="inlineStr">
        <is>
          <t>World History Encyclopedia is a non-profit organization publishing the world's most read history encyclopedia, used by many millions of learners worldwide. Its mission is to engage people with cultural heritage and to improve history education worldwide.</t>
        </is>
      </c>
      <c r="H266" s="1" t="inlineStr">
        <is>
          <t>I'm not part of any EdTech association</t>
        </is>
      </c>
      <c r="I266" s="1" t="n"/>
      <c r="J266" s="1" t="inlineStr">
        <is>
          <t>Godalming</t>
        </is>
      </c>
      <c r="K266" t="inlineStr">
        <is>
          <t>Godalming</t>
        </is>
      </c>
      <c r="L266" t="inlineStr">
        <is>
          <t>Godalming, United Kingdom</t>
        </is>
      </c>
      <c r="M266" t="n">
        <v>51.1855806</v>
      </c>
      <c r="N266" t="n">
        <v>-0.6126567000000001</v>
      </c>
      <c r="O266" s="1" t="inlineStr">
        <is>
          <t>United Kingdom</t>
        </is>
      </c>
      <c r="P26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266" s="1" t="inlineStr">
        <is>
          <t>6 to 10</t>
        </is>
      </c>
      <c r="R266" t="inlineStr">
        <is>
          <t>Micro</t>
        </is>
      </c>
      <c r="S266" s="1" t="inlineStr">
        <is>
          <t>Business to Schools, Business to Consumer, Business to Government</t>
        </is>
      </c>
      <c r="T266" s="1" t="inlineStr">
        <is>
          <t>Secondary Education, Lifelong learning/Adult education, Higher Education</t>
        </is>
      </c>
      <c r="U266" s="1" t="inlineStr">
        <is>
          <t>Student interfacing, Teacher interfacing</t>
        </is>
      </c>
      <c r="V266" s="1" t="inlineStr">
        <is>
          <t>World History Encyclopedia</t>
        </is>
      </c>
      <c r="W266" s="1" t="inlineStr">
        <is>
          <t>A carefully reviewed encyclopedia of world history, aligned with international curricula. Written to be of high academic standard yet engaging and easy to understand. Uses text, maps, illustrations, videos and podcasts to teach about history. Available in 42 languages.</t>
        </is>
      </c>
      <c r="X266" s="1" t="inlineStr">
        <is>
          <t>https://drive.google.com/uc?export=view&amp;id=1PEWxHZqkip7lExnXHsUW-sQZ6WJ4OIop</t>
        </is>
      </c>
      <c r="Y266" t="inlineStr">
        <is>
          <t>https://drive.google.com/uc?export=view&amp;id=1PEWxHZqkip7lExnXHsUW-sQZ6WJ4OIop</t>
        </is>
      </c>
      <c r="Z266" s="1" t="inlineStr">
        <is>
          <t>https://drive.google.com/uc?export=view&amp;id=1PEWxHZqkip7lExnXHsUW-sQZ6WJ4OIop</t>
        </is>
      </c>
      <c r="AA266" s="1" t="inlineStr">
        <is>
          <t>Unverified</t>
        </is>
      </c>
      <c r="AB266" s="1" t="n"/>
      <c r="AC266" s="1" t="n"/>
      <c r="AD266" s="10" t="n"/>
      <c r="AE266" s="1" t="n"/>
      <c r="AF266" s="1" t="inlineStr">
        <is>
          <t>Yes</t>
        </is>
      </c>
      <c r="AG266" s="1" t="inlineStr">
        <is>
          <t>whencyclopedia</t>
        </is>
      </c>
      <c r="AH266" s="1" t="inlineStr">
        <is>
          <t>whencyclopedia</t>
        </is>
      </c>
      <c r="AI266" t="inlineStr">
        <is>
          <t>whencyclopedia</t>
        </is>
      </c>
    </row>
    <row r="267" ht="12.5" customHeight="1">
      <c r="A267" s="6" t="n">
        <v>45679</v>
      </c>
      <c r="B267" s="1" t="inlineStr">
        <is>
          <t>ORG_2484</t>
        </is>
      </c>
      <c r="C267" s="1" t="b">
        <v>1</v>
      </c>
      <c r="D267" s="1" t="inlineStr">
        <is>
          <t>Vergil AI</t>
        </is>
      </c>
      <c r="E267" s="10" t="inlineStr">
        <is>
          <t>https://vergilai.com/</t>
        </is>
      </c>
      <c r="F267" t="inlineStr">
        <is>
          <t>vergilai.com</t>
        </is>
      </c>
      <c r="G267" s="1" t="inlineStr">
        <is>
          <t>Vergil AI is a London-based innovative start-up, which aims to modernise education with the use of artificial intelligence. Our goal is to provide educational tools with the use of artificial intelligence, thereby making learning more effective, modern, and enjoyable. With the use of psychometric data, we strive to ensure that the user is in a constant state of ‘flow’ whereby the learning process and the enjoyment thereof is constantly optimised. Our current product development is focused on creating a shark-tank-like game in a virtual environment where users can master the skills associated with business plans, as well as the substantive knowledge behind it.</t>
        </is>
      </c>
      <c r="H267" s="1" t="inlineStr">
        <is>
          <t>I'm not part of any EdTech association</t>
        </is>
      </c>
      <c r="I267" s="1" t="n"/>
      <c r="J267" s="1" t="inlineStr">
        <is>
          <t>London</t>
        </is>
      </c>
      <c r="K267" t="inlineStr">
        <is>
          <t>London</t>
        </is>
      </c>
      <c r="L267" t="inlineStr">
        <is>
          <t>London, United Kingdom</t>
        </is>
      </c>
      <c r="M267" t="n">
        <v>51.5074456</v>
      </c>
      <c r="N267" t="n">
        <v>-0.1277653</v>
      </c>
      <c r="O267" s="1" t="inlineStr">
        <is>
          <t>United Kingdom</t>
        </is>
      </c>
      <c r="P267" s="1" t="inlineStr">
        <is>
          <t>Hungary, Netherlands, United Kingdom</t>
        </is>
      </c>
      <c r="Q267" s="1" t="inlineStr">
        <is>
          <t>6 to 10</t>
        </is>
      </c>
      <c r="R267" t="inlineStr">
        <is>
          <t>Micro</t>
        </is>
      </c>
      <c r="S267" s="1" t="inlineStr">
        <is>
          <t>Business to Business, Business to Schools, Business to Government</t>
        </is>
      </c>
      <c r="T267" s="1" t="inlineStr">
        <is>
          <t>Early childhood development (0-5 years), Primary Education, Secondary Education, Corporate Training</t>
        </is>
      </c>
      <c r="U267" s="1" t="inlineStr">
        <is>
          <t>Student interfacing, Teacher interfacing, System/Administrative</t>
        </is>
      </c>
      <c r="V267" s="1" t="inlineStr">
        <is>
          <t>https://www.linkedin.com/company/103983727</t>
        </is>
      </c>
      <c r="W267" s="1" t="inlineStr">
        <is>
          <t>https://drive.google.com/uc?export=view&amp;id=1eXgfFFfccBmC9EXuMDN_x9QRPlqdkJjn</t>
        </is>
      </c>
      <c r="X267" s="10" t="inlineStr">
        <is>
          <t>https://drive.google.com/uc?export=view&amp;id=1eXgfFFfccBmC9EXuMDN_x9QRPlqdkJjn</t>
        </is>
      </c>
      <c r="Y267" t="inlineStr">
        <is>
          <t>https://drive.google.com/uc?export=view&amp;id=1eXgfFFfccBmC9EXuMDN_x9QRPlqdkJjn</t>
        </is>
      </c>
      <c r="Z267" s="1" t="inlineStr">
        <is>
          <t>https://drive.google.com/uc?export=view&amp;id=1eXgfFFfccBmC9EXuMDN_x9QRPlqdkJjn</t>
        </is>
      </c>
      <c r="AA267" s="1" t="inlineStr">
        <is>
          <t>Unverified</t>
        </is>
      </c>
      <c r="AB267" s="1" t="n"/>
      <c r="AC267" s="1" t="n"/>
      <c r="AD267" s="10" t="n"/>
      <c r="AE267" s="1" t="n"/>
      <c r="AF267" t="inlineStr">
        <is>
          <t>Yes</t>
        </is>
      </c>
      <c r="AG267" t="inlineStr">
        <is>
          <t>https://www.linkedin.com/company/103983727</t>
        </is>
      </c>
      <c r="AH267" t="inlineStr">
        <is>
          <t>https://www.linkedin.com/company/103983727</t>
        </is>
      </c>
      <c r="AI267" t="inlineStr">
        <is>
          <t>https://www.linkedin.com/company/103983727</t>
        </is>
      </c>
    </row>
    <row r="268" ht="12.5" customHeight="1">
      <c r="A268" s="6" t="n">
        <v>45679</v>
      </c>
      <c r="B268" s="1" t="inlineStr">
        <is>
          <t>ORG_2515</t>
        </is>
      </c>
      <c r="C268" s="1" t="b">
        <v>1</v>
      </c>
      <c r="D268" s="1" t="inlineStr">
        <is>
          <t>We Are Learning AS</t>
        </is>
      </c>
      <c r="E268" s="10" t="inlineStr">
        <is>
          <t>www.wearelearning.io</t>
        </is>
      </c>
      <c r="F268" t="inlineStr">
        <is>
          <t>wearelearning.io</t>
        </is>
      </c>
      <c r="G268" s="1" t="inlineStr">
        <is>
          <t>We Are enables anyone to produce high-quality immersive contyent for training, internal communication and marketing, without the need for technical skills or expensive outsourcing. With our intuitive platform and AI-assistant, you can create captivating 3d content that drives learner engagement. In minutes. Not months!</t>
        </is>
      </c>
      <c r="H268" s="1" t="inlineStr">
        <is>
          <t>Swedish EdTech Industry</t>
        </is>
      </c>
      <c r="I268" s="1" t="inlineStr">
        <is>
          <t>All</t>
        </is>
      </c>
      <c r="J268" s="1" t="inlineStr">
        <is>
          <t>Oslo</t>
        </is>
      </c>
      <c r="K268" t="inlineStr">
        <is>
          <t>Oslo</t>
        </is>
      </c>
      <c r="L268" t="inlineStr">
        <is>
          <t>Oslo, Norway</t>
        </is>
      </c>
      <c r="M268" t="n">
        <v>59.9067935</v>
      </c>
      <c r="N268" t="n">
        <v>10.7610162</v>
      </c>
      <c r="O268" s="1" t="inlineStr">
        <is>
          <t>Norway</t>
        </is>
      </c>
      <c r="P268" s="1" t="inlineStr">
        <is>
          <t>Denmark, Finland, Norway, Sweden</t>
        </is>
      </c>
      <c r="Q268" s="1" t="inlineStr">
        <is>
          <t>11 to 50</t>
        </is>
      </c>
      <c r="R268" t="inlineStr">
        <is>
          <t>Small</t>
        </is>
      </c>
      <c r="S268" s="1" t="inlineStr">
        <is>
          <t>Business to Business, Business to Schools, Business to Government</t>
        </is>
      </c>
      <c r="T268" s="1" t="inlineStr">
        <is>
          <t>Corporate Training, Lifelong learning/Adult education, Vocational Education and Training (VET)</t>
        </is>
      </c>
      <c r="U268" s="1" t="inlineStr">
        <is>
          <t>Student interfacing, Teacher interfacing, System/Administrative</t>
        </is>
      </c>
      <c r="V268" s="1" t="inlineStr">
        <is>
          <t>Content Creation Studio</t>
        </is>
      </c>
      <c r="W268" s="1" t="inlineStr">
        <is>
          <t>Super easy Studio for creation of 3d animated videos or interactive simulations. Upload your locations, have your avatars dressed up in your company branded costumes, use our AI-assistant Aico to help building your script, animate your characters with drag &amp; drop functionality, ad imagery, slides and presentations inton the stories, then publish on any platform. Be a Content Creation Hero in minutes not months.
Simple and straight forward pricing plan. License starts at 99 €/month.</t>
        </is>
      </c>
      <c r="X268" s="10" t="inlineStr">
        <is>
          <t>LMS Power Plug In</t>
        </is>
      </c>
      <c r="Y268" t="inlineStr">
        <is>
          <t>We Are is a Power-Plug in for any LMS
Eliminate delays and cost concerns in creating immersive learning content. We Are is your new Power Plug-in. As your partner, crafting interactive learning simulations, films and imagery for your LMS or e-learning platform becomes effortless. Content is King.</t>
        </is>
      </c>
      <c r="Z268" s="1" t="inlineStr">
        <is>
          <t>https://drive.google.com/uc?export=view&amp;id=1nbBOFp8Nqv3zAjZuJtkckT1fbor7CK2_</t>
        </is>
      </c>
      <c r="AA268" s="1" t="inlineStr">
        <is>
          <t>Unverified</t>
        </is>
      </c>
      <c r="AB268" s="1" t="n"/>
      <c r="AC268" s="1" t="n"/>
      <c r="AD268" s="10" t="n"/>
      <c r="AE268" s="1" t="n"/>
      <c r="AF268" t="inlineStr">
        <is>
          <t>Yes</t>
        </is>
      </c>
      <c r="AG268" t="inlineStr">
        <is>
          <t>https://www.linkedin.com/company/83500375/admin/feed/posts/</t>
        </is>
      </c>
      <c r="AH268" t="inlineStr">
        <is>
          <t>https://www.linkedin.com/company/83500375/admin/feed/posts/</t>
        </is>
      </c>
      <c r="AI268" t="inlineStr">
        <is>
          <t>https://www.linkedin.com/company/83500375/admin/feed/posts/</t>
        </is>
      </c>
    </row>
    <row r="269" ht="12.5" customHeight="1">
      <c r="A269" s="6" t="n">
        <v>45679</v>
      </c>
      <c r="B269" s="1" t="inlineStr">
        <is>
          <t>ORG_1589</t>
        </is>
      </c>
      <c r="C269" s="1" t="b">
        <v>1</v>
      </c>
      <c r="D269" s="1" t="inlineStr">
        <is>
          <t>FUJOUR</t>
        </is>
      </c>
      <c r="E269" s="10" t="inlineStr">
        <is>
          <t>https://fujour.com/</t>
        </is>
      </c>
      <c r="F269" t="inlineStr">
        <is>
          <t>fujour.com</t>
        </is>
      </c>
      <c r="G269" s="1" t="inlineStr">
        <is>
          <t>FUJOUR is a platform solution for vocational orientation. Namely, it is our answer to questions about career choices, a shortage in the labour market and apprentices. Because yes, there is a huge lack. There is a lack of career perspectives and orientation. There is a lack of support, contacts and suitable job coaching to develop these perspectives. There is a lack of suitable trainees but also of internship offers that provide a taste of the professional world. And a lack of skilled workers. And the huge amount of connection options after school is overwhelming. People will live a happy, meaningful life when they can deepen their interests and talents. They will turn into motivated professionals. FUJOUR guides them through the process.</t>
        </is>
      </c>
      <c r="H269" s="1" t="inlineStr">
        <is>
          <t>EDUvation</t>
        </is>
      </c>
      <c r="I269" s="1" t="inlineStr">
        <is>
          <t>German</t>
        </is>
      </c>
      <c r="J269" s="1" t="inlineStr">
        <is>
          <t>Hünstetten</t>
        </is>
      </c>
      <c r="K269" t="inlineStr">
        <is>
          <t>Hünstetten</t>
        </is>
      </c>
      <c r="L269" t="inlineStr">
        <is>
          <t>Hünstetten, Germany</t>
        </is>
      </c>
      <c r="M269" t="n">
        <v>50.24816</v>
      </c>
      <c r="N269" t="n">
        <v>8.186210000000001</v>
      </c>
      <c r="O269" s="1" t="inlineStr">
        <is>
          <t>Germany</t>
        </is>
      </c>
      <c r="P269" s="1" t="inlineStr">
        <is>
          <t>Austria, Belgium, Czechia, Denmark, France, Germany, Luxembourg, Netherlands, Poland, Switzerland</t>
        </is>
      </c>
      <c r="Q269" s="1" t="inlineStr">
        <is>
          <t>6 to 10</t>
        </is>
      </c>
      <c r="R269" t="inlineStr">
        <is>
          <t>Micro</t>
        </is>
      </c>
      <c r="S269" s="1" t="inlineStr">
        <is>
          <t>Business to Business, Business to Schools, Business to Consumer</t>
        </is>
      </c>
      <c r="T269" s="1" t="inlineStr">
        <is>
          <t>Secondary Education, Vocational Education and Training (VET), Higher Education</t>
        </is>
      </c>
      <c r="U269" s="1" t="inlineStr">
        <is>
          <t>System/Administrative, Student interfacing, Teacher interfacing</t>
        </is>
      </c>
      <c r="V269" s="10" t="inlineStr">
        <is>
          <t>FUJOUR</t>
        </is>
      </c>
      <c r="W269" s="10" t="inlineStr">
        <is>
          <t>FUJOUR is a platform solution for vocational orientation. Namely, it is our answer to questions about career choices, a shortage in the labour market and apprentices. Because yes, there is a huge lack. There is a lack of career perspectives and orientation. There is a lack of support, contacts and suitable job coaching to develop these perspectives. There is a lack of suitable trainees but also of internship offers that provide a taste of the professional world. And a lack of skilled workers. And the huge amount of connection options after school is overwhelming. People will live a happy, meaningful life when they can deepen their interests and talents. They will turn into motivated professionals. FUJOUR guides them through the process.</t>
        </is>
      </c>
      <c r="X269" s="10" t="inlineStr">
        <is>
          <t>https://drive.google.com/uc?export=view&amp;id=1C790PtDnC8uXh3_tj4mo2UuS1-eQnriz</t>
        </is>
      </c>
      <c r="Y269" t="inlineStr">
        <is>
          <t>https://drive.google.com/uc?export=view&amp;id=1C790PtDnC8uXh3_tj4mo2UuS1-eQnriz</t>
        </is>
      </c>
      <c r="Z269" s="1" t="inlineStr">
        <is>
          <t>https://drive.google.com/uc?export=view&amp;id=1C790PtDnC8uXh3_tj4mo2UuS1-eQnriz</t>
        </is>
      </c>
      <c r="AA269" s="1" t="inlineStr">
        <is>
          <t>Unverified</t>
        </is>
      </c>
      <c r="AB269" s="1" t="n"/>
      <c r="AC269" s="1" t="n"/>
      <c r="AD269" s="10" t="n"/>
      <c r="AE269" s="1" t="n"/>
      <c r="AF269" t="inlineStr">
        <is>
          <t>Yes</t>
        </is>
      </c>
      <c r="AG269" t="inlineStr">
        <is>
          <t>https://www.instagram.com/fujour_app/</t>
        </is>
      </c>
      <c r="AH269" t="inlineStr">
        <is>
          <t>https://twitter.com/FUJOUR_App</t>
        </is>
      </c>
      <c r="AI269" t="inlineStr">
        <is>
          <t>https://www.linkedin.com/company/98164769</t>
        </is>
      </c>
    </row>
    <row r="270" ht="12.5" customHeight="1">
      <c r="A270" s="6" t="n">
        <v>45679</v>
      </c>
      <c r="B270" s="1" t="inlineStr">
        <is>
          <t>ORG_2080</t>
        </is>
      </c>
      <c r="C270" s="1" t="b">
        <v>1</v>
      </c>
      <c r="D270" s="1" t="inlineStr">
        <is>
          <t>OurSmart Town</t>
        </is>
      </c>
      <c r="E270" s="10" t="inlineStr">
        <is>
          <t>www.oursmarttown.de</t>
        </is>
      </c>
      <c r="F270" t="inlineStr">
        <is>
          <t>oursmarttown.de</t>
        </is>
      </c>
      <c r="G270" s="1" t="inlineStr">
        <is>
          <t>Final digitalization of municipalities/federal states in the application process</t>
        </is>
      </c>
      <c r="H270" s="1" t="inlineStr">
        <is>
          <t>I'm not part of any EdTech association</t>
        </is>
      </c>
      <c r="I270" s="1" t="inlineStr">
        <is>
          <t>All</t>
        </is>
      </c>
      <c r="J270" s="1" t="inlineStr">
        <is>
          <t>Bielefeld</t>
        </is>
      </c>
      <c r="K270" t="inlineStr">
        <is>
          <t>Bielefeld</t>
        </is>
      </c>
      <c r="L270" t="inlineStr">
        <is>
          <t>Bielefeld, Germany</t>
        </is>
      </c>
      <c r="M270" t="n">
        <v>52.0191005</v>
      </c>
      <c r="N270" t="n">
        <v>8.531007000000001</v>
      </c>
      <c r="O270" s="1" t="inlineStr">
        <is>
          <t>Germany</t>
        </is>
      </c>
      <c r="P270" s="1" t="inlineStr">
        <is>
          <t>Germany</t>
        </is>
      </c>
      <c r="Q270" s="1" t="inlineStr">
        <is>
          <t>0 to 2</t>
        </is>
      </c>
      <c r="R270" t="inlineStr">
        <is>
          <t>Solo entrepreneur</t>
        </is>
      </c>
      <c r="S270" s="1" t="inlineStr">
        <is>
          <t>Business to Government</t>
        </is>
      </c>
      <c r="T270" s="1" t="inlineStr">
        <is>
          <t>Early childhood development (0-5 years), Primary Education, Secondary Education</t>
        </is>
      </c>
      <c r="U270" s="1" t="inlineStr">
        <is>
          <t>System/Administrative, Student interfacing</t>
        </is>
      </c>
      <c r="V270" s="1" t="inlineStr">
        <is>
          <t>OurSmart Town</t>
        </is>
      </c>
      <c r="W270" s="1" t="inlineStr">
        <is>
          <t>We have developed a program with which applications for education and participation can be submitted fully digitally</t>
        </is>
      </c>
      <c r="X270" s="10" t="inlineStr">
        <is>
          <t>Kinderchancenportal</t>
        </is>
      </c>
      <c r="Y270" t="inlineStr">
        <is>
          <t>the application for education and participation services, cultural activities, as well as the approval process by the municipality or federal state</t>
        </is>
      </c>
      <c r="Z270" s="1" t="inlineStr">
        <is>
          <t>https://drive.google.com/uc?export=view&amp;id=1syp5wyoPwASgHaNyK-29dG01RGPj8kR-</t>
        </is>
      </c>
      <c r="AA270" s="1" t="inlineStr">
        <is>
          <t>Unverified</t>
        </is>
      </c>
      <c r="AB270" s="1" t="n"/>
      <c r="AC270" s="1" t="n"/>
      <c r="AD270" s="10" t="n"/>
      <c r="AE270" s="1" t="n"/>
      <c r="AF270" t="inlineStr">
        <is>
          <t>Yes</t>
        </is>
      </c>
      <c r="AG270" t="inlineStr">
        <is>
          <t>https://www.linkedin.com/company/oursmart-town/</t>
        </is>
      </c>
      <c r="AH270" t="inlineStr">
        <is>
          <t>https://www.linkedin.com/company/oursmart-town/</t>
        </is>
      </c>
      <c r="AI270" t="inlineStr">
        <is>
          <t>https://www.linkedin.com/company/oursmart-town/</t>
        </is>
      </c>
    </row>
    <row r="271" ht="12.5" customHeight="1">
      <c r="A271" s="6" t="n">
        <v>45679</v>
      </c>
      <c r="B271" s="1" t="inlineStr">
        <is>
          <t>ORG_1166</t>
        </is>
      </c>
      <c r="C271" s="1" t="b">
        <v>1</v>
      </c>
      <c r="D271" s="1" t="inlineStr">
        <is>
          <t>Binogi</t>
        </is>
      </c>
      <c r="E271" s="10" t="inlineStr">
        <is>
          <t>www.binogi.de</t>
        </is>
      </c>
      <c r="F271" t="inlineStr">
        <is>
          <t>binogi.de</t>
        </is>
      </c>
      <c r="G271" s="1" t="inlineStr">
        <is>
          <t>Binogi is an international Edtech company and content provider for schools. Binogi innovates and provides online learning through a multilingual, digital learning platform for students in secondary school. The platform consists of animated videos and interactive quizzes. Students are able to study in a language of their choosing. Audio tracks and subtitles are easily switched between languages. Necessary for some but good for all, every student learns differently. Binogi is aware of it and very pleased to meet many needs. The platform helps accelerate the integration of newcomers into the school environment, by making content accessible to everyone regardless of their first language, barriers to learning are reduced and access to education is increased. Teachers have been taking advantage of Binogi since 2014. With over 500 000 students using the platform, Binogi became an important resource in many classrooms. 2016 Binogi GmbH was founded in Essen, Germany to support students in Germany.</t>
        </is>
      </c>
      <c r="H271" s="1" t="inlineStr">
        <is>
          <t>I'm not part of any EdTech association</t>
        </is>
      </c>
      <c r="I271" s="1" t="n"/>
      <c r="J271" s="1" t="inlineStr">
        <is>
          <t>Essen</t>
        </is>
      </c>
      <c r="K271" t="inlineStr">
        <is>
          <t>Essen</t>
        </is>
      </c>
      <c r="L271" t="inlineStr">
        <is>
          <t>Essen, Germany</t>
        </is>
      </c>
      <c r="M271" t="n">
        <v>51.4582235</v>
      </c>
      <c r="N271" t="n">
        <v>7.0158171</v>
      </c>
      <c r="O271" s="1" t="inlineStr">
        <is>
          <t>Germany</t>
        </is>
      </c>
      <c r="P271" s="1" t="inlineStr">
        <is>
          <t>Austria, Finland, Germany, Sweden, Switzerland</t>
        </is>
      </c>
      <c r="Q271" s="1" t="inlineStr">
        <is>
          <t>0 to 10</t>
        </is>
      </c>
      <c r="R271" t="inlineStr">
        <is>
          <t>Micro</t>
        </is>
      </c>
      <c r="S271" s="1" t="inlineStr">
        <is>
          <t>Business to Business</t>
        </is>
      </c>
      <c r="T271" s="1" t="inlineStr">
        <is>
          <t>Secondary Education</t>
        </is>
      </c>
      <c r="U271" s="1" t="inlineStr">
        <is>
          <t>Student interfacing, Teacher interfacing</t>
        </is>
      </c>
      <c r="V271" s="1" t="n"/>
      <c r="W271" s="1" t="inlineStr">
        <is>
          <t>https://drive.google.com/uc?export=view&amp;id=1ExBLbD-i887-J2b5qUeRsJBDSYW6oN_J</t>
        </is>
      </c>
      <c r="X271" s="1" t="inlineStr">
        <is>
          <t>https://drive.google.com/uc?export=view&amp;id=1ExBLbD-i887-J2b5qUeRsJBDSYW6oN_J</t>
        </is>
      </c>
      <c r="Y271" t="inlineStr">
        <is>
          <t>https://drive.google.com/uc?export=view&amp;id=1ExBLbD-i887-J2b5qUeRsJBDSYW6oN_J</t>
        </is>
      </c>
      <c r="Z271" s="1" t="inlineStr">
        <is>
          <t>https://drive.google.com/uc?export=view&amp;id=1ExBLbD-i887-J2b5qUeRsJBDSYW6oN_J</t>
        </is>
      </c>
      <c r="AA271" s="1" t="inlineStr">
        <is>
          <t>Unverified</t>
        </is>
      </c>
      <c r="AB271" s="1" t="n"/>
      <c r="AC271" s="1" t="n"/>
      <c r="AD271" s="10" t="n"/>
      <c r="AE271" s="1" t="n"/>
      <c r="AF271" t="inlineStr">
        <is>
          <t>No</t>
        </is>
      </c>
    </row>
    <row r="272" ht="12.5" customHeight="1">
      <c r="A272" s="6" t="n">
        <v>45679</v>
      </c>
      <c r="B272" s="1" t="inlineStr">
        <is>
          <t>ORG_1100</t>
        </is>
      </c>
      <c r="C272" s="1" t="b">
        <v>1</v>
      </c>
      <c r="D272" s="1" t="inlineStr">
        <is>
          <t>ARTE Education</t>
        </is>
      </c>
      <c r="E272" s="10" t="inlineStr">
        <is>
          <t>https://education.arte.tv/</t>
        </is>
      </c>
      <c r="F272" t="inlineStr">
        <is>
          <t>education.arte.tv</t>
        </is>
      </c>
      <c r="G272" s="1" t="inlineStr">
        <is>
          <t>ARTE Education is a branch of ARTE France whose mission is to develop the educational projects of the European cultural channel. ARTE Education operates Educ'ARTE and ARTE Campus, two interactive media platforms that make high-quality videos available to schools and universities on a long-term basis and within a legally secure framework. 
The platforms enable the diffusion of cultural, historical and scientific content while promoting information literacy, media literacy and interculturality. The initiative aims to provide digital access to knowledge and culture for everyone, regardless of educational background or origin. Educ'ARTE targets pupils aged 10 to 19 while ARTE Campus is tailored to the needs of higher and adult education.</t>
        </is>
      </c>
      <c r="H272" s="1" t="inlineStr">
        <is>
          <t>EdTech France</t>
        </is>
      </c>
      <c r="I272" s="1" t="n"/>
      <c r="J272" s="1" t="inlineStr">
        <is>
          <t>Issy-Les-Moulineaux</t>
        </is>
      </c>
      <c r="K272" t="inlineStr">
        <is>
          <t>Issy-Les-Moulineaux</t>
        </is>
      </c>
      <c r="L272" t="inlineStr">
        <is>
          <t>Issy-Les-Moulineaux, France</t>
        </is>
      </c>
      <c r="M272" t="n">
        <v>48.8250508</v>
      </c>
      <c r="N272" t="n">
        <v>2.273457</v>
      </c>
      <c r="O272" s="1" t="inlineStr">
        <is>
          <t>France</t>
        </is>
      </c>
      <c r="P272" s="1" t="inlineStr">
        <is>
          <t>Austria, Belgium, France, Germany, Luxembourg, Switzerland</t>
        </is>
      </c>
      <c r="Q272" s="1" t="inlineStr">
        <is>
          <t>0 to 10</t>
        </is>
      </c>
      <c r="R272" t="inlineStr">
        <is>
          <t>Micro</t>
        </is>
      </c>
      <c r="S272" s="1" t="inlineStr">
        <is>
          <t>Business to Government, Business to Schools</t>
        </is>
      </c>
      <c r="T272" s="1" t="inlineStr">
        <is>
          <t>Secondary Education, Higher Education</t>
        </is>
      </c>
      <c r="U272" s="1" t="inlineStr">
        <is>
          <t>Teacher interfacing</t>
        </is>
      </c>
      <c r="V272" s="1" t="inlineStr">
        <is>
          <t>Educ'ARTE</t>
        </is>
      </c>
      <c r="W272" s="10" t="inlineStr">
        <is>
          <t>Educ'ARTE was designed for school use and offers a constantly growing range of more than 2000 high-quality ARTE programmes, consisting of documentaries, magazines and short films. 
The content, selected by teachers, is indexed by subject and grade level and is based on the curricula for lower and upper secondary schools. They can be used both to acquire knowledge and to deepen what has already been learned. Educ'ARTE also offers the opportunity to participate in unique educational projects.</t>
        </is>
      </c>
      <c r="X272" s="10" t="inlineStr">
        <is>
          <t>ARTE Campus</t>
        </is>
      </c>
      <c r="Y272" t="inlineStr">
        <is>
          <t>The ARTE Campus catalogue offers over 2000 videos for higher education and adult education and covers all relevant fields of knowledge: politics and administration, economics, languages and arts, natural sciences and technology, and many more.
The offer serves the general education of students, be it for their field of study or for their personal development. Furthermore, specialised contents of high scientific quality are available (e.g. in the fields of cinema, history, architecture, pedagogy), which are particularly suitable for Master's students.</t>
        </is>
      </c>
      <c r="Z272" s="1" t="inlineStr">
        <is>
          <t>https://drive.google.com/uc?export=view&amp;id=1-jc7-jGrO6YWvJf-2uXwoRZ_M1SmgIKt</t>
        </is>
      </c>
      <c r="AA272" s="1" t="inlineStr">
        <is>
          <t>Unverified</t>
        </is>
      </c>
      <c r="AB272" s="1" t="n"/>
      <c r="AC272" s="1" t="n"/>
      <c r="AD272" s="10" t="n"/>
      <c r="AE272" s="1" t="n"/>
      <c r="AF272" t="inlineStr">
        <is>
          <t>Yes</t>
        </is>
      </c>
      <c r="AG272" t="inlineStr">
        <is>
          <t>https://twitter.com/EducARTEfr</t>
        </is>
      </c>
      <c r="AH272" t="inlineStr">
        <is>
          <t>https://twitter.com/EducARTEfr</t>
        </is>
      </c>
      <c r="AI272" t="inlineStr">
        <is>
          <t>https://www.linkedin.com/company/arte-education/</t>
        </is>
      </c>
    </row>
    <row r="273" ht="12.5" customHeight="1">
      <c r="A273" s="6" t="n">
        <v>45679</v>
      </c>
      <c r="B273" s="1" t="inlineStr">
        <is>
          <t>ORG_1583</t>
        </is>
      </c>
      <c r="C273" s="1" t="b">
        <v>1</v>
      </c>
      <c r="D273" s="1" t="inlineStr">
        <is>
          <t>Freeed</t>
        </is>
      </c>
      <c r="E273" s="10" t="inlineStr">
        <is>
          <t>https://www.freeed.com/</t>
        </is>
      </c>
      <c r="F273" t="inlineStr">
        <is>
          <t>freeed.com</t>
        </is>
      </c>
      <c r="G273" s="1" t="inlineStr">
        <is>
          <t>Freeed creates online communities of teachers. The service provides a digital safe space for teachers where share material, receive and give feedback, be inspired by other's teachers' work, and enter in contact with colleagues. 
Freeed aims to improve education quality in the world through teachers.</t>
        </is>
      </c>
      <c r="H273" s="1" t="inlineStr">
        <is>
          <t>EdTech Finland</t>
        </is>
      </c>
      <c r="I273" s="1" t="n"/>
      <c r="J273" s="1" t="inlineStr">
        <is>
          <t>Helsinki</t>
        </is>
      </c>
      <c r="K273" t="inlineStr">
        <is>
          <t>Helsinki</t>
        </is>
      </c>
      <c r="L273" t="inlineStr">
        <is>
          <t>Helsinki, Finland</t>
        </is>
      </c>
      <c r="M273" t="n">
        <v>60.1666204</v>
      </c>
      <c r="N273" t="n">
        <v>24.9435408</v>
      </c>
      <c r="O273" s="1" t="inlineStr">
        <is>
          <t>Finland</t>
        </is>
      </c>
      <c r="P273" s="1" t="inlineStr">
        <is>
          <t>Finland, Italy, Spain</t>
        </is>
      </c>
      <c r="Q273" s="1" t="inlineStr">
        <is>
          <t>0 to 10</t>
        </is>
      </c>
      <c r="R273" t="inlineStr">
        <is>
          <t>Micro</t>
        </is>
      </c>
      <c r="S273" s="1" t="inlineStr">
        <is>
          <t>Business to Business, Business to Consumer</t>
        </is>
      </c>
      <c r="T273" s="1" t="inlineStr">
        <is>
          <t>Early childhood development (0-5 years), Primary Education, Secondary Education</t>
        </is>
      </c>
      <c r="U273" s="1" t="inlineStr">
        <is>
          <t>Teacher interfacing</t>
        </is>
      </c>
      <c r="V273" s="1" t="inlineStr">
        <is>
          <t>Freeed</t>
        </is>
      </c>
      <c r="W273" s="1" t="inlineStr">
        <is>
          <t>A hybrid between a social media exclusive for teachers and a material bank.</t>
        </is>
      </c>
      <c r="X273" s="10" t="inlineStr">
        <is>
          <t>https://drive.google.com/uc?export=view&amp;id=1nRwl2xwkT9jqH1RxBqf5y_A9c59pzS0i</t>
        </is>
      </c>
      <c r="Y273" t="inlineStr">
        <is>
          <t>https://drive.google.com/uc?export=view&amp;id=1nRwl2xwkT9jqH1RxBqf5y_A9c59pzS0i</t>
        </is>
      </c>
      <c r="Z273" s="1" t="inlineStr">
        <is>
          <t>https://drive.google.com/uc?export=view&amp;id=1nRwl2xwkT9jqH1RxBqf5y_A9c59pzS0i</t>
        </is>
      </c>
      <c r="AA273" s="1" t="inlineStr">
        <is>
          <t>Unverified</t>
        </is>
      </c>
      <c r="AB273" s="1" t="n"/>
      <c r="AC273" s="1" t="n"/>
      <c r="AD273" s="10" t="n"/>
      <c r="AE273" s="1" t="n"/>
      <c r="AF273" t="inlineStr">
        <is>
          <t>Yes</t>
        </is>
      </c>
      <c r="AG273" t="inlineStr">
        <is>
          <t>https://www.linkedin.com/company/freeed/</t>
        </is>
      </c>
      <c r="AH273" t="inlineStr">
        <is>
          <t>https://www.linkedin.com/company/freeed/</t>
        </is>
      </c>
      <c r="AI273" t="inlineStr">
        <is>
          <t>https://www.linkedin.com/company/freeed/</t>
        </is>
      </c>
    </row>
    <row r="274" ht="12.5" customHeight="1">
      <c r="A274" s="6" t="n">
        <v>45679</v>
      </c>
      <c r="B274" s="1" t="inlineStr">
        <is>
          <t>ORG_1224</t>
        </is>
      </c>
      <c r="C274" s="1" t="b">
        <v>1</v>
      </c>
      <c r="D274" s="1" t="inlineStr">
        <is>
          <t>Cefilni Consulting ICT</t>
        </is>
      </c>
      <c r="E274" s="10" t="inlineStr">
        <is>
          <t>https://editor.wix.com/html/editor/web/renderer/edit/9a0d6075-831a-4ec5-b816-f69be1cb10af?metaSiteId=b00b86c7-bb2e-4d0a-af84-75b944f65834</t>
        </is>
      </c>
      <c r="F274" t="inlineStr">
        <is>
          <t>editor.wix.com/html/editor/web/renderer/edit/9a0d6075-831a-4ec5-b816-f69be1cb10af?metasiteid=b00b86c7-bb2e-4d0a-af84-75b944f65834</t>
        </is>
      </c>
      <c r="G274" s="1" t="inlineStr">
        <is>
          <t>About us
Through storytelling and narrative, we aim to develop bridges of understanding between cultural activities and the environment.
We focus on the tradition of outdoor education in the Nordic and Scandinavian countries.
Our network is UNESCO, the Community of Inquiry, Critical Thinking Movement, and Philosophy for/with Children.
We help with integration and inclusion for families who comes to Norway with Barnas Montessori LjosHeim daycare center, based on Adel Alas Model for Language Immersion.</t>
        </is>
      </c>
      <c r="H274" s="1" t="inlineStr">
        <is>
          <t>EdTech Denmark, EdTech Finland, EdTech France, EdTech Italia, EduTech Cluster Spain, Swiss EdTech Collider</t>
        </is>
      </c>
      <c r="I274" s="1" t="n"/>
      <c r="J274" s="1" t="inlineStr">
        <is>
          <t>Sola Kommune</t>
        </is>
      </c>
      <c r="K274" t="inlineStr">
        <is>
          <t>Sola Kommune</t>
        </is>
      </c>
      <c r="L274" t="inlineStr">
        <is>
          <t>Sola Kommune, Norway</t>
        </is>
      </c>
      <c r="M274" t="n">
        <v>58.8972966</v>
      </c>
      <c r="N274" t="n">
        <v>5.6449762</v>
      </c>
      <c r="O274" s="1" t="inlineStr">
        <is>
          <t>Norway</t>
        </is>
      </c>
      <c r="P274" s="1" t="inlineStr">
        <is>
          <t>Austria, Belgium, Denmark, Finland, France, Germany, Iceland, Ireland, Italy, Luxembourg, Netherlands, Norway, Spain, Sweden, Switzerland, United Kingdom</t>
        </is>
      </c>
      <c r="Q274" s="1" t="inlineStr">
        <is>
          <t>0 to 10</t>
        </is>
      </c>
      <c r="R274" t="inlineStr">
        <is>
          <t>Micro</t>
        </is>
      </c>
      <c r="S274" s="1" t="inlineStr">
        <is>
          <t>Business to Business, Business to Consumer, Business to Government, Business to Schools</t>
        </is>
      </c>
      <c r="T274" s="1" t="inlineStr">
        <is>
          <t>Early childhood development (0-5 years), Primary Education, Secondary Education, Higher Education, Corporate Training, Lifelong learning/Adult education</t>
        </is>
      </c>
      <c r="U274" s="1" t="inlineStr">
        <is>
          <t>System/Administrative, Student interfacing, Teacher interfacing</t>
        </is>
      </c>
      <c r="V274" s="1" t="inlineStr">
        <is>
          <t>Barnas Montessori Ljosheim</t>
        </is>
      </c>
      <c r="W274" s="1" t="inlineStr">
        <is>
          <t>Montessori daycare center based on Montessori and Regio Emilia pedagogy
at Sola Kommune, Rogland Norway</t>
        </is>
      </c>
      <c r="X274" s="10" t="inlineStr">
        <is>
          <t>Adel Alas Foundation</t>
        </is>
      </c>
      <c r="Y274" t="inlineStr">
        <is>
          <t>Adel Alas is an Immersion program for children and families who arrived in Norway based on Philosophical Inquiry and narrative</t>
        </is>
      </c>
      <c r="Z274" s="1" t="inlineStr">
        <is>
          <t>https://drive.google.com/uc?export=view&amp;id=1JGzYVGoxxpYYEtzJAWcolUS5Ec9y8jhZ</t>
        </is>
      </c>
      <c r="AA274" s="1" t="inlineStr">
        <is>
          <t>Unverified</t>
        </is>
      </c>
      <c r="AB274" s="1" t="n"/>
      <c r="AC274" s="1" t="n"/>
      <c r="AD274" s="10" t="n"/>
      <c r="AE274" s="1" t="n"/>
      <c r="AF274" t="inlineStr">
        <is>
          <t>Yes</t>
        </is>
      </c>
      <c r="AG274" t="inlineStr">
        <is>
          <t>Cefilni Consulting</t>
        </is>
      </c>
      <c r="AH274" t="inlineStr">
        <is>
          <t>@Mariade57054573</t>
        </is>
      </c>
      <c r="AI274" t="inlineStr">
        <is>
          <t>https://www.linkedin.com/in/mar%C3%ADa-de-los-%C3%A1ngeles-%C3%A1lvarez-laso-39a906a/</t>
        </is>
      </c>
    </row>
    <row r="275" ht="12.5" customHeight="1">
      <c r="A275" s="6" t="n">
        <v>45679</v>
      </c>
      <c r="B275" s="1" t="inlineStr">
        <is>
          <t>ORG_1572</t>
        </is>
      </c>
      <c r="C275" s="1" t="b">
        <v>1</v>
      </c>
      <c r="D275" s="1" t="inlineStr">
        <is>
          <t>fobizz</t>
        </is>
      </c>
      <c r="E275" s="10" t="inlineStr">
        <is>
          <t>https://fobizz.com</t>
        </is>
      </c>
      <c r="F275" t="inlineStr">
        <is>
          <t>fobizz.com</t>
        </is>
      </c>
      <c r="G275" s="1" t="inlineStr">
        <is>
          <t>fobizz is the leading German-language platform for professional development and provider of digital tools for teachers and schools. With the aim of driving digital progress in educational institutions, fobizz offers a comprehensive selection of practice-oriented training courses, user-friendly digital tools and AI. With fobizz, teachers are freed up to spend more time on the essentials.</t>
        </is>
      </c>
      <c r="H275" s="1" t="inlineStr">
        <is>
          <t>I'm not part of any EdTech association</t>
        </is>
      </c>
      <c r="I275" s="1" t="inlineStr">
        <is>
          <t>German, English</t>
        </is>
      </c>
      <c r="J275" s="1" t="inlineStr">
        <is>
          <t>Hamburg</t>
        </is>
      </c>
      <c r="K275" t="inlineStr">
        <is>
          <t>Hamburg</t>
        </is>
      </c>
      <c r="L275" t="inlineStr">
        <is>
          <t>Hamburg, Germany</t>
        </is>
      </c>
      <c r="M275" t="n">
        <v>53.5501721</v>
      </c>
      <c r="N275" t="n">
        <v>10.0013165</v>
      </c>
      <c r="O275" s="1" t="inlineStr">
        <is>
          <t>Germany</t>
        </is>
      </c>
      <c r="P275" s="1" t="inlineStr">
        <is>
          <t>Albania, Armenia, Austria, Belarus, Belgium, Bosnia and Herzegovina, Bulgaria, Croatia, Czechia, Denmark, Estonia, Finland, France, Georgia, Germany, Greece, Hungary, Ireland, Italy, Kazakhstan, Liechtenstein, Lithuania, Luxembourg, Netherlands, Norway, Poland, Portugal, Romania, Russia, Slovakia, Spain, Sweden, Switzerland, Turkey, Ukraine, United Kingdom</t>
        </is>
      </c>
      <c r="Q275" s="1" t="inlineStr">
        <is>
          <t>11 to 50</t>
        </is>
      </c>
      <c r="R275" t="inlineStr">
        <is>
          <t>Small</t>
        </is>
      </c>
      <c r="S275" s="1" t="inlineStr">
        <is>
          <t>Business to Business, Business to Consumer, Business to Government, Business to Schools</t>
        </is>
      </c>
      <c r="T275" s="1" t="inlineStr">
        <is>
          <t>Primary Education, Secondary Education, Higher Education</t>
        </is>
      </c>
      <c r="U275" s="1" t="inlineStr">
        <is>
          <t>System/Administrative, Student interfacing, Teacher interfacing</t>
        </is>
      </c>
      <c r="V275" s="10" t="inlineStr">
        <is>
          <t>Digital Tools &amp; AI for Teachers</t>
        </is>
      </c>
      <c r="W275" s="10" t="inlineStr">
        <is>
          <t>Teachers need time to focus on the essentials. Fobizz supports them with more than 20 data-safe and ad-free tools. The tools are specially designed for teachers. They make it easy to create digital teaching materials, such as interactive worksheets, surveys or digital pinboards. Content and materials such as files, audio and screen recordings can be easily shared. With the data-secure fobizz AI Assistant, teachers can be supported in organizing and preparing lessons or correcting. The AI assistant includes tools for text, images, documents, transcriptions and characters.</t>
        </is>
      </c>
      <c r="X275" s="10" t="inlineStr">
        <is>
          <t>Online Coures for Teachers</t>
        </is>
      </c>
      <c r="Y275" t="inlineStr">
        <is>
          <t>fobizz helps schools take the next step towards digitalisation. Everyone can learn according to their needs. More than 300 self-learning courses on current topics such as AI are available - anytime, anywhere. Participants receive a certificate. Fobizz offers schools additional services such as pedagogical days, workshops or lectures. There are also offers for parents, for example on how to use digital media. More than 300,000 teachers from all over the world have already trained with fobizz and more than 5,000 schools are participating.</t>
        </is>
      </c>
      <c r="Z275" s="1" t="inlineStr">
        <is>
          <t>https://drive.google.com/uc?export=view&amp;id=1Vp-SeLr-OxTerw9CCP6GWnKGyrNG2qfN</t>
        </is>
      </c>
      <c r="AA275" s="1" t="inlineStr">
        <is>
          <t>Unverified</t>
        </is>
      </c>
      <c r="AB275" s="1" t="n"/>
      <c r="AC275" s="1" t="n"/>
      <c r="AD275" s="10" t="n"/>
      <c r="AE275" s="1" t="n"/>
      <c r="AF275" t="inlineStr">
        <is>
          <t>Yes</t>
        </is>
      </c>
      <c r="AG275" t="inlineStr">
        <is>
          <t>https://www.instagram.com/fobizz_com/</t>
        </is>
      </c>
      <c r="AH275" t="inlineStr">
        <is>
          <t>https://twitter.com/fobizz</t>
        </is>
      </c>
      <c r="AI275" t="inlineStr">
        <is>
          <t>https://www.linkedin.com/company/fobizz/</t>
        </is>
      </c>
    </row>
    <row r="276" ht="12.5" customHeight="1">
      <c r="A276" s="6" t="n">
        <v>45679</v>
      </c>
      <c r="B276" s="1" t="inlineStr">
        <is>
          <t>ORG_2493</t>
        </is>
      </c>
      <c r="C276" s="1" t="b">
        <v>1</v>
      </c>
      <c r="D276" s="1" t="inlineStr">
        <is>
          <t>ViewSonic Technology</t>
        </is>
      </c>
      <c r="E276" s="10" t="inlineStr">
        <is>
          <t>https://www.viewsonic.com/eu/</t>
        </is>
      </c>
      <c r="F276" t="inlineStr">
        <is>
          <t>viewsonic.com/eu</t>
        </is>
      </c>
      <c r="G276" s="1" t="inlineStr">
        <is>
          <t>ViewSonic® was founded in 1987 in California and has its European headquarters in London, UK. We firmly believe that we can partner with educators to achieve sustainable success and better learning outcomes.
Our considerable experience has taught us a great deal about the real-life challenges and needs of people we work with.
We are dedicated to shaping the future of the educational landscape by solving real problems. Through innovation, great products, and people orientated services, we promise to find the answers together.</t>
        </is>
      </c>
      <c r="H276" s="1" t="inlineStr">
        <is>
          <t>I'm not part of any EdTech association</t>
        </is>
      </c>
      <c r="I276" s="1" t="n"/>
      <c r="J276" s="1" t="inlineStr">
        <is>
          <t>London</t>
        </is>
      </c>
      <c r="K276" t="inlineStr">
        <is>
          <t>London</t>
        </is>
      </c>
      <c r="L276" t="inlineStr">
        <is>
          <t>London, United Kingdom</t>
        </is>
      </c>
      <c r="M276" t="n">
        <v>51.5074456</v>
      </c>
      <c r="N276" t="n">
        <v>-0.1277653</v>
      </c>
      <c r="O276" s="1" t="inlineStr">
        <is>
          <t>United Kingdom</t>
        </is>
      </c>
      <c r="P27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276" s="1" t="inlineStr">
        <is>
          <t>500+</t>
        </is>
      </c>
      <c r="R276" t="inlineStr">
        <is>
          <t>Large</t>
        </is>
      </c>
      <c r="S276" s="1" t="inlineStr">
        <is>
          <t>Business to Consumer, Business to Government, Business to Schools</t>
        </is>
      </c>
      <c r="T276" s="1" t="inlineStr">
        <is>
          <t>Early childhood development (0-5 years), Primary Education, Secondary Education, Higher Education, Corporate Training, Lifelong learning/Adult education</t>
        </is>
      </c>
      <c r="U276" s="1" t="inlineStr">
        <is>
          <t>System/Administrative, Student interfacing, Teacher interfacing</t>
        </is>
      </c>
      <c r="V276" s="1" t="inlineStr">
        <is>
          <t>VIEWSONIC EDUCATION SOLUTIONS</t>
        </is>
      </c>
      <c r="W276" s="1" t="inlineStr">
        <is>
          <t>With our advanced visual solutions, we particularly support schools and other educational institutions in their digitalisation.
Our product range includes digital whiteboards - we call them ViewBoards® - monitors and beamers. All this in combination with user-friendly software solutions such as the GDPR-compliant, didactic whiteboard software myViewBoard®.</t>
        </is>
      </c>
      <c r="X276" s="10" t="inlineStr">
        <is>
          <t>https://drive.google.com/uc?export=view&amp;id=1CMOe4vD8XWve4uAp-SqJvYo9fSVCAz5h</t>
        </is>
      </c>
      <c r="Y276" t="inlineStr">
        <is>
          <t>https://drive.google.com/uc?export=view&amp;id=1CMOe4vD8XWve4uAp-SqJvYo9fSVCAz5h</t>
        </is>
      </c>
      <c r="Z276" s="1" t="inlineStr">
        <is>
          <t>https://drive.google.com/uc?export=view&amp;id=1CMOe4vD8XWve4uAp-SqJvYo9fSVCAz5h</t>
        </is>
      </c>
      <c r="AA276" s="1" t="inlineStr">
        <is>
          <t>Unverified</t>
        </is>
      </c>
      <c r="AB276" s="1" t="n"/>
      <c r="AC276" s="1" t="n"/>
      <c r="AD276" s="10" t="n"/>
      <c r="AE276" s="1" t="n"/>
      <c r="AF276" t="inlineStr">
        <is>
          <t>Yes</t>
        </is>
      </c>
      <c r="AG276" t="inlineStr">
        <is>
          <t>https://www.linkedin.com/company/viewsonic</t>
        </is>
      </c>
      <c r="AH276" t="inlineStr">
        <is>
          <t>https://www.linkedin.com/company/viewsonic</t>
        </is>
      </c>
      <c r="AI276" t="inlineStr">
        <is>
          <t>https://www.linkedin.com/company/viewsonic</t>
        </is>
      </c>
    </row>
    <row r="277" ht="12.5" customHeight="1">
      <c r="A277" s="6" t="n">
        <v>45679</v>
      </c>
      <c r="B277" s="1" t="inlineStr">
        <is>
          <t>ORG_1111</t>
        </is>
      </c>
      <c r="C277" s="1" t="b">
        <v>1</v>
      </c>
      <c r="D277" s="1" t="inlineStr">
        <is>
          <t>Aspire 2Be</t>
        </is>
      </c>
      <c r="E277" s="1" t="inlineStr">
        <is>
          <t>Aspire 2Be.co.uk</t>
        </is>
      </c>
      <c r="F277" t="inlineStr">
        <is>
          <t>aspire 2be.co.uk</t>
        </is>
      </c>
      <c r="G277" s="1" t="inlineStr">
        <is>
          <t>At Aspire 2Be, we offer bespoke, digital solutions to drive your business forward. We believe in harnessing the latest technologies to make your workplace efficient, responsive, and adaptable. We believe in empowering people through learning and development.
The wide experience within our team – including highly experienced educationalists, former government advisers, tech experts and business professionals – enables us to have an in-depth appreciation of how different industries and businesses work. This cross-functional experience gives us the knowledge and understanding to deliver the best possible solutions to our clients.</t>
        </is>
      </c>
      <c r="H277" s="1" t="inlineStr">
        <is>
          <t>I'm not part of any EdTech association</t>
        </is>
      </c>
      <c r="I277" s="1" t="n"/>
      <c r="J277" s="1" t="inlineStr">
        <is>
          <t>Swansea</t>
        </is>
      </c>
      <c r="K277" t="inlineStr">
        <is>
          <t>Swansea</t>
        </is>
      </c>
      <c r="L277" t="inlineStr">
        <is>
          <t>Swansea, United Kingdom</t>
        </is>
      </c>
      <c r="M277" t="n">
        <v>51.6195955</v>
      </c>
      <c r="N277" t="n">
        <v>-3.9459248</v>
      </c>
      <c r="O277" s="1" t="inlineStr">
        <is>
          <t>United Kingdom</t>
        </is>
      </c>
      <c r="P277" s="1" t="inlineStr">
        <is>
          <t>Germany, Ireland, Italy, Monaco, Spain, United Kingdom</t>
        </is>
      </c>
      <c r="Q277" s="1" t="inlineStr">
        <is>
          <t>11 to 50</t>
        </is>
      </c>
      <c r="R277" t="inlineStr">
        <is>
          <t>Small</t>
        </is>
      </c>
      <c r="S277" s="1" t="inlineStr">
        <is>
          <t>Business to Business, Business to Consumer, Business to Government, Business to Schools</t>
        </is>
      </c>
      <c r="T277" s="1" t="inlineStr">
        <is>
          <t>Early childhood development (0-5 years), Primary Education, Secondary Education, Higher Education, Corporate Training, Lifelong learning/Adult education</t>
        </is>
      </c>
      <c r="U277" s="1" t="inlineStr">
        <is>
          <t>System/Administrative, Teacher interfacing, Student interfacing</t>
        </is>
      </c>
      <c r="V277" s="1" t="n"/>
      <c r="W277" s="1" t="inlineStr">
        <is>
          <t>https://drive.google.com/uc?export=view&amp;id=1-uX7IgQqyKiQ7EXVfRUpNvgjy4T-HbK8</t>
        </is>
      </c>
      <c r="X277" s="1" t="inlineStr">
        <is>
          <t>https://drive.google.com/uc?export=view&amp;id=1-uX7IgQqyKiQ7EXVfRUpNvgjy4T-HbK8</t>
        </is>
      </c>
      <c r="Y277" t="inlineStr">
        <is>
          <t>https://drive.google.com/uc?export=view&amp;id=1-uX7IgQqyKiQ7EXVfRUpNvgjy4T-HbK8</t>
        </is>
      </c>
      <c r="Z277" s="1" t="inlineStr">
        <is>
          <t>https://drive.google.com/uc?export=view&amp;id=1-uX7IgQqyKiQ7EXVfRUpNvgjy4T-HbK8</t>
        </is>
      </c>
      <c r="AA277" s="1" t="inlineStr">
        <is>
          <t>Unverified</t>
        </is>
      </c>
      <c r="AB277" s="1" t="n"/>
      <c r="AC277" s="1" t="n"/>
      <c r="AD277" s="10" t="n"/>
      <c r="AE277" s="1" t="n"/>
      <c r="AF277" s="1" t="inlineStr">
        <is>
          <t>No</t>
        </is>
      </c>
      <c r="AG277" s="1" t="n"/>
      <c r="AH277" s="1" t="n"/>
    </row>
    <row r="278" ht="12.5" customHeight="1">
      <c r="A278" s="6" t="n">
        <v>45679</v>
      </c>
      <c r="B278" s="1" t="inlineStr">
        <is>
          <t>ORG_2160</t>
        </is>
      </c>
      <c r="C278" s="1" t="b">
        <v>1</v>
      </c>
      <c r="D278" s="1" t="inlineStr">
        <is>
          <t>re:edu</t>
        </is>
      </c>
      <c r="E278" s="10" t="inlineStr">
        <is>
          <t>https://www.reedu.de</t>
        </is>
      </c>
      <c r="F278" t="inlineStr">
        <is>
          <t>reedu.de</t>
        </is>
      </c>
      <c r="G278" s="1" t="inlineStr">
        <is>
          <t>At re:edu (reengineering education) we create educational technologies from for smart cities, citizen science and the Internet of Things as the senseBox. 
senseBox is an IoT-enabled environmental measurement station you can construct, code and collect and share data about climate, air quality, light and many more phenomena. senseBox is edtech used in schools, universities and at home by citizen scientists. Learners build stationary or mobile smart devices with sensors and connect to the internet. It empowers you to contribute to important local or global environmental challenges and improves your data literacy. senseBox supports you to learn to code with its visual coding and learning analytics platform blockly. This making &amp; coding approach with a serious and relevant use case as climate change is part of our USP.</t>
        </is>
      </c>
      <c r="H278" s="1" t="inlineStr">
        <is>
          <t>I'm not part of any EdTech association</t>
        </is>
      </c>
      <c r="I278" s="1" t="n"/>
      <c r="J278" s="1" t="inlineStr">
        <is>
          <t>Münster</t>
        </is>
      </c>
      <c r="K278" t="inlineStr">
        <is>
          <t>Münster</t>
        </is>
      </c>
      <c r="L278" t="inlineStr">
        <is>
          <t>Münster, Germany</t>
        </is>
      </c>
      <c r="M278" t="n">
        <v>51.9625101</v>
      </c>
      <c r="N278" t="n">
        <v>7.6251879</v>
      </c>
      <c r="O278" s="1" t="inlineStr">
        <is>
          <t>Germany</t>
        </is>
      </c>
      <c r="P278" s="1" t="inlineStr">
        <is>
          <t>Austria, Belgium, Bulgaria, Denmark, Finland, France, Germany, Italy, Netherlands, Poland, Portugal, Switzerland, United Kingdom</t>
        </is>
      </c>
      <c r="Q278" s="1" t="inlineStr">
        <is>
          <t>0 to 10</t>
        </is>
      </c>
      <c r="R278" t="inlineStr">
        <is>
          <t>Micro</t>
        </is>
      </c>
      <c r="S278" s="1" t="inlineStr">
        <is>
          <t>Business to Business, Business to Consumer, Business to Government, Business to Schools</t>
        </is>
      </c>
      <c r="T278" s="1" t="inlineStr">
        <is>
          <t>Primary Education, Secondary Education, Higher Education, Lifelong learning/Adult education</t>
        </is>
      </c>
      <c r="U278" s="1" t="inlineStr">
        <is>
          <t>System/Administrative, Student interfacing, Teacher interfacing</t>
        </is>
      </c>
      <c r="V278" s="1" t="n"/>
      <c r="W278" s="1" t="inlineStr">
        <is>
          <t>https://drive.google.com/uc?export=view&amp;id=1rY4MqTHd467dc4qCsAeBv2MKVAtAazyD</t>
        </is>
      </c>
      <c r="X278" s="1" t="inlineStr">
        <is>
          <t>https://drive.google.com/uc?export=view&amp;id=1rY4MqTHd467dc4qCsAeBv2MKVAtAazyD</t>
        </is>
      </c>
      <c r="Y278" t="inlineStr">
        <is>
          <t>https://drive.google.com/uc?export=view&amp;id=1rY4MqTHd467dc4qCsAeBv2MKVAtAazyD</t>
        </is>
      </c>
      <c r="Z278" s="1" t="inlineStr">
        <is>
          <t>https://drive.google.com/uc?export=view&amp;id=1rY4MqTHd467dc4qCsAeBv2MKVAtAazyD</t>
        </is>
      </c>
      <c r="AA278" s="1" t="inlineStr">
        <is>
          <t>Unverified</t>
        </is>
      </c>
      <c r="AB278" s="1" t="n"/>
      <c r="AC278" s="1" t="n"/>
      <c r="AD278" s="10" t="n"/>
      <c r="AE278" s="1" t="n"/>
      <c r="AF278" t="inlineStr">
        <is>
          <t>No</t>
        </is>
      </c>
    </row>
    <row r="279" ht="12.5" customHeight="1">
      <c r="A279" s="6" t="n">
        <v>45679</v>
      </c>
      <c r="B279" s="1" t="inlineStr">
        <is>
          <t>ORG_2204</t>
        </is>
      </c>
      <c r="C279" s="1" t="b">
        <v>1</v>
      </c>
      <c r="D279" s="1" t="inlineStr">
        <is>
          <t>SalamanderSoft</t>
        </is>
      </c>
      <c r="E279" s="10" t="inlineStr">
        <is>
          <t>https://www.salamandersoft.co.uk/</t>
        </is>
      </c>
      <c r="F279" t="inlineStr">
        <is>
          <t>salamandersoft.co.uk</t>
        </is>
      </c>
      <c r="G279" s="1" t="inlineStr">
        <is>
          <t>We provide fully bespoke user management services to schools, colleges and universities of all sizes. We work with Active Directory, Microsoft 365, Google Workspace and other systems.
Helping trusts, local authorities and other groups of schools manage the provisioning and life cycle of their user accounts, helping provide teachers and students quick and easy access to the power of Google Workspace and Microsoft 365</t>
        </is>
      </c>
      <c r="H279" s="1" t="inlineStr">
        <is>
          <t>I'm not part of any EdTech association</t>
        </is>
      </c>
      <c r="I279" s="1" t="n"/>
      <c r="J279" s="1" t="inlineStr">
        <is>
          <t>Bingham</t>
        </is>
      </c>
      <c r="K279" t="inlineStr">
        <is>
          <t>Bingham</t>
        </is>
      </c>
      <c r="L279" t="inlineStr">
        <is>
          <t>Bingham, United Kingdom</t>
        </is>
      </c>
      <c r="M279" t="n">
        <v>52.9515683</v>
      </c>
      <c r="N279" t="n">
        <v>-0.9522445</v>
      </c>
      <c r="O279" s="1" t="inlineStr">
        <is>
          <t>United Kingdom</t>
        </is>
      </c>
      <c r="P279" s="1" t="inlineStr">
        <is>
          <t>France, Germany, Ireland, Portugal, Romania, Spain, Switzerland, United Kingdom</t>
        </is>
      </c>
      <c r="Q279" s="1" t="inlineStr">
        <is>
          <t>11 to 50</t>
        </is>
      </c>
      <c r="R279" t="inlineStr">
        <is>
          <t>Small</t>
        </is>
      </c>
      <c r="S279" s="1" t="inlineStr">
        <is>
          <t>Business to Business, Business to Schools</t>
        </is>
      </c>
      <c r="T279" s="1" t="inlineStr">
        <is>
          <t>Primary Education, Secondary Education</t>
        </is>
      </c>
      <c r="U279" s="1" t="inlineStr">
        <is>
          <t>Teacher interfacing, System/Administrative</t>
        </is>
      </c>
      <c r="V279" s="1" t="inlineStr">
        <is>
          <t>Salamander Integration Suite</t>
        </is>
      </c>
      <c r="W279" s="1" t="inlineStr">
        <is>
          <t>Helping trusts, local authorities and other groups of schools manage the provisioning and life cycle of their user accounts, helping provide teachers and students quick and easy access to the power of Google Workspace and Microsoft 365</t>
        </is>
      </c>
      <c r="X279" s="10" t="inlineStr">
        <is>
          <t>https://drive.google.com/uc?export=view&amp;id=1rch5litgCLh1OA0p_I3t-JAutjPVSKeN</t>
        </is>
      </c>
      <c r="Y279" t="inlineStr">
        <is>
          <t>https://drive.google.com/uc?export=view&amp;id=1rch5litgCLh1OA0p_I3t-JAutjPVSKeN</t>
        </is>
      </c>
      <c r="Z279" s="1" t="inlineStr">
        <is>
          <t>https://drive.google.com/uc?export=view&amp;id=1rch5litgCLh1OA0p_I3t-JAutjPVSKeN</t>
        </is>
      </c>
      <c r="AA279" s="1" t="inlineStr">
        <is>
          <t>Unverified</t>
        </is>
      </c>
      <c r="AB279" s="1" t="n"/>
      <c r="AC279" s="1" t="n"/>
      <c r="AD279" s="10" t="n"/>
      <c r="AE279" s="1" t="n"/>
      <c r="AF279" t="inlineStr">
        <is>
          <t>Yes</t>
        </is>
      </c>
      <c r="AG279" t="inlineStr">
        <is>
          <t>https://www.linkedin.com/company/salamandersoft</t>
        </is>
      </c>
      <c r="AH279" t="inlineStr">
        <is>
          <t>@salamandersoft</t>
        </is>
      </c>
      <c r="AI279" t="inlineStr">
        <is>
          <t>https://www.linkedin.com/company/salamandersoft</t>
        </is>
      </c>
    </row>
    <row r="280" ht="12.5" customHeight="1">
      <c r="A280" s="6" t="n">
        <v>45679</v>
      </c>
      <c r="B280" s="1" t="inlineStr">
        <is>
          <t>ORG_1834</t>
        </is>
      </c>
      <c r="C280" s="1" t="b">
        <v>1</v>
      </c>
      <c r="D280" s="1" t="inlineStr">
        <is>
          <t>Learning Ladders</t>
        </is>
      </c>
      <c r="E280" s="10" t="inlineStr">
        <is>
          <t>www.learningladders.info</t>
        </is>
      </c>
      <c r="F280" t="inlineStr">
        <is>
          <t>learningladders.info</t>
        </is>
      </c>
      <c r="G280" s="1" t="inlineStr">
        <is>
          <t>The planning, assessment and reporting platform for Primary and EYFS settings.
Create, teach, evaluate, monitor and report against any curriculum in any language both in school and remotely.
Winner of the 2022 Global BETT EdTech Award 'Best system for planning, assessment and reporting'.</t>
        </is>
      </c>
      <c r="H280" s="1" t="inlineStr">
        <is>
          <t>I'm not part of any EdTech association</t>
        </is>
      </c>
      <c r="I280" s="1" t="n"/>
      <c r="J280" s="1" t="inlineStr">
        <is>
          <t>Lymington</t>
        </is>
      </c>
      <c r="K280" t="inlineStr">
        <is>
          <t>Lymington</t>
        </is>
      </c>
      <c r="L280" t="inlineStr">
        <is>
          <t>Lymington, United Kingdom</t>
        </is>
      </c>
      <c r="M280" t="n">
        <v>50.7583753</v>
      </c>
      <c r="N280" t="n">
        <v>-1.5426885</v>
      </c>
      <c r="O280" s="1" t="inlineStr">
        <is>
          <t>United Kingdom</t>
        </is>
      </c>
      <c r="P280" s="1" t="inlineStr">
        <is>
          <t>Germany, Italy, Spain, United Kingdom</t>
        </is>
      </c>
      <c r="Q280" s="1" t="inlineStr">
        <is>
          <t>11 to 50</t>
        </is>
      </c>
      <c r="R280" t="inlineStr">
        <is>
          <t>Small</t>
        </is>
      </c>
      <c r="S280" s="1" t="inlineStr">
        <is>
          <t>Business to Business, Business to Government, Business to Schools</t>
        </is>
      </c>
      <c r="T280" s="1" t="inlineStr">
        <is>
          <t>Early childhood development (0-5 years), Primary Education</t>
        </is>
      </c>
      <c r="U280" s="1" t="inlineStr">
        <is>
          <t>Teacher interfacing</t>
        </is>
      </c>
      <c r="V280" s="1" t="inlineStr">
        <is>
          <t>Learning Ladders</t>
        </is>
      </c>
      <c r="W280" s="10" t="inlineStr">
        <is>
          <t>The planning, assessment and reporting platform for Primary and EYFS settings.
Create, teach, evaluate, monitor and report against any curriculum in any language both in school and remotely.
Winner of the 2022 Global BETT EdTech Award 'Best system for planning, assessment and reporting'.</t>
        </is>
      </c>
      <c r="X280" s="10" t="inlineStr">
        <is>
          <t>https://drive.google.com/uc?export=view&amp;id=1Kdo86D53Gm-hGdx2f19wayRjFepEnJT4</t>
        </is>
      </c>
      <c r="Y280" t="inlineStr">
        <is>
          <t>https://drive.google.com/uc?export=view&amp;id=1Kdo86D53Gm-hGdx2f19wayRjFepEnJT4</t>
        </is>
      </c>
      <c r="Z280" s="1" t="inlineStr">
        <is>
          <t>https://drive.google.com/uc?export=view&amp;id=1Kdo86D53Gm-hGdx2f19wayRjFepEnJT4</t>
        </is>
      </c>
      <c r="AA280" s="1" t="inlineStr">
        <is>
          <t>Unverified</t>
        </is>
      </c>
      <c r="AB280" s="1" t="n"/>
      <c r="AC280" s="1" t="n"/>
      <c r="AD280" s="10" t="n"/>
      <c r="AE280" s="1" t="n"/>
      <c r="AF280" t="inlineStr">
        <is>
          <t>Yes</t>
        </is>
      </c>
      <c r="AG280" t="inlineStr">
        <is>
          <t>EdTech Evidence Group</t>
        </is>
      </c>
      <c r="AH280" t="inlineStr">
        <is>
          <t>https://twitter.com/LearningLadder5</t>
        </is>
      </c>
      <c r="AI280" t="inlineStr">
        <is>
          <t>https://www.linkedin.com/company/5234901</t>
        </is>
      </c>
    </row>
    <row r="281" ht="12.5" customHeight="1">
      <c r="A281" s="6" t="n">
        <v>45679</v>
      </c>
      <c r="B281" s="1" t="inlineStr">
        <is>
          <t>ORG_1199</t>
        </is>
      </c>
      <c r="C281" s="1" t="b">
        <v>1</v>
      </c>
      <c r="D281" s="1" t="inlineStr">
        <is>
          <t>BRAINYOO</t>
        </is>
      </c>
      <c r="E281" s="10" t="inlineStr">
        <is>
          <t>https://brainyoo.de/</t>
        </is>
      </c>
      <c r="F281" t="inlineStr">
        <is>
          <t>brainyoo.de</t>
        </is>
      </c>
      <c r="G281" s="1" t="inlineStr">
        <is>
          <t>BRAINYOO develops and runs an e-learning platform. It offers functions for content creation, collaborative learning, spaced repetition, digital assessments, gamification and vocabulary acquisition. It is used in schools, corporate training and by private users.</t>
        </is>
      </c>
      <c r="H281" s="1" t="inlineStr">
        <is>
          <t>EDUvation</t>
        </is>
      </c>
      <c r="I281" s="1" t="n"/>
      <c r="J281" s="1" t="inlineStr">
        <is>
          <t>Wiesbaden</t>
        </is>
      </c>
      <c r="K281" t="inlineStr">
        <is>
          <t>Wiesbaden</t>
        </is>
      </c>
      <c r="L281" t="inlineStr">
        <is>
          <t>Wiesbaden, Germany</t>
        </is>
      </c>
      <c r="M281" t="n">
        <v>50.0820384</v>
      </c>
      <c r="N281" t="n">
        <v>8.2416556</v>
      </c>
      <c r="O281" s="1" t="inlineStr">
        <is>
          <t>Germany</t>
        </is>
      </c>
      <c r="P281" s="1" t="inlineStr">
        <is>
          <t>Germany</t>
        </is>
      </c>
      <c r="Q281" s="1" t="inlineStr">
        <is>
          <t>11 to 50</t>
        </is>
      </c>
      <c r="R281" t="inlineStr">
        <is>
          <t>Small</t>
        </is>
      </c>
      <c r="S281" s="1" t="inlineStr">
        <is>
          <t>Business to Business, Business to Consumer</t>
        </is>
      </c>
      <c r="T281" s="1" t="inlineStr">
        <is>
          <t>Secondary Education, Higher Education, Corporate Training</t>
        </is>
      </c>
      <c r="U281" s="1" t="inlineStr">
        <is>
          <t>Student interfacing, Teacher interfacing, System/Administrative</t>
        </is>
      </c>
      <c r="V281" s="10" t="inlineStr">
        <is>
          <t>BRAINYOO</t>
        </is>
      </c>
      <c r="W281" s="10" t="inlineStr">
        <is>
          <t>BRAINYOO is based on micro-learning contents which can be used and created in various ways. It offers a flashcard repetition engine, teacher-managed study groups with digital assessments, tools for vocabulary requests and vocabulary flashcard creation, as well as a quiz battle for gamification.</t>
        </is>
      </c>
      <c r="X281" s="1" t="inlineStr">
        <is>
          <t>https://drive.google.com/uc?export=view&amp;id=1albQ3mmC_TwFTVrvGjFA1ghlH-bAMukT</t>
        </is>
      </c>
      <c r="Y281" t="inlineStr">
        <is>
          <t>https://drive.google.com/uc?export=view&amp;id=1albQ3mmC_TwFTVrvGjFA1ghlH-bAMukT</t>
        </is>
      </c>
      <c r="Z281" s="1" t="inlineStr">
        <is>
          <t>https://drive.google.com/uc?export=view&amp;id=1albQ3mmC_TwFTVrvGjFA1ghlH-bAMukT</t>
        </is>
      </c>
      <c r="AA281" s="1" t="inlineStr">
        <is>
          <t>Unverified</t>
        </is>
      </c>
      <c r="AB281" s="1" t="n"/>
      <c r="AC281" s="1" t="n"/>
      <c r="AD281" s="10" t="n"/>
      <c r="AE281" s="1" t="n"/>
      <c r="AF281" t="inlineStr">
        <is>
          <t>Yes</t>
        </is>
      </c>
      <c r="AG281" t="inlineStr">
        <is>
          <t>https://www.instagram.com/brainyoo.lernen/</t>
        </is>
      </c>
      <c r="AH281" t="inlineStr">
        <is>
          <t>https://twitter.com/brainyoo</t>
        </is>
      </c>
    </row>
    <row r="282" ht="12.5" customHeight="1">
      <c r="A282" s="6" t="n">
        <v>45679</v>
      </c>
      <c r="B282" s="1" t="inlineStr">
        <is>
          <t>ORG_1263</t>
        </is>
      </c>
      <c r="C282" s="1" t="b">
        <v>1</v>
      </c>
      <c r="D282" s="1" t="inlineStr">
        <is>
          <t>Cloudwise</t>
        </is>
      </c>
      <c r="E282" s="1" t="inlineStr">
        <is>
          <t>cloudwise.cool</t>
        </is>
      </c>
      <c r="F282" t="inlineStr">
        <is>
          <t>cloudwise.cool</t>
        </is>
      </c>
      <c r="G282" s="1" t="inlineStr">
        <is>
          <t>Your virtual teaching assistant.
COOL supports you every day, every step of the way. Wherever learning happens.</t>
        </is>
      </c>
      <c r="H282" s="1" t="inlineStr">
        <is>
          <t>I'm not part of any EdTech association</t>
        </is>
      </c>
      <c r="I282" s="1" t="n"/>
      <c r="J282" s="1" t="inlineStr">
        <is>
          <t>Woerden</t>
        </is>
      </c>
      <c r="K282" t="inlineStr">
        <is>
          <t>Woerden</t>
        </is>
      </c>
      <c r="L282" t="inlineStr">
        <is>
          <t>Woerden, The Netherlands</t>
        </is>
      </c>
      <c r="M282" t="n">
        <v>52.0803841</v>
      </c>
      <c r="N282" t="n">
        <v>4.8896654</v>
      </c>
      <c r="O282" s="1" t="inlineStr">
        <is>
          <t>The Netherlands</t>
        </is>
      </c>
      <c r="P282" s="1" t="inlineStr">
        <is>
          <t>Austria, Belgium, Bulgaria, Denmark, Finland, France, Germany, Italy, Netherlands, Spain, United Kingdom</t>
        </is>
      </c>
      <c r="Q282" s="1" t="inlineStr">
        <is>
          <t>0 to 10</t>
        </is>
      </c>
      <c r="R282" t="inlineStr">
        <is>
          <t>Micro</t>
        </is>
      </c>
      <c r="S282" s="1" t="inlineStr">
        <is>
          <t>Business to Business, Business to Consumer</t>
        </is>
      </c>
      <c r="T282" s="1" t="inlineStr">
        <is>
          <t>Early childhood development (0-5 years), Primary Education, Secondary Education</t>
        </is>
      </c>
      <c r="U282" s="1" t="inlineStr">
        <is>
          <t>Student interfacing, Teacher interfacing, System/Administrative</t>
        </is>
      </c>
      <c r="V282" s="10" t="inlineStr">
        <is>
          <t>COOL portal</t>
        </is>
      </c>
      <c r="W282" s="1" t="inlineStr">
        <is>
          <t>COOL gets you and your students off to a flying start in every school day. With just 1 login, you can access all educational apps and schoolwork, as well as your Google Workspace or Microsoft 365 environment. Easy, secure and fast!
Free to use
Single sign-on
All edu apps in 1 platform</t>
        </is>
      </c>
      <c r="X282" s="10" t="inlineStr">
        <is>
          <t>COOL Easy login</t>
        </is>
      </c>
      <c r="Y282" t="inlineStr">
        <is>
          <t>Empower young students. Let them log in to their Chrome device and Google account with a picture password or QR code. All by themselves.
4-9 yrs
Easy and fast login
Age-appropriate and secure
Connected with students' Google accounts</t>
        </is>
      </c>
      <c r="Z282" s="1" t="inlineStr">
        <is>
          <t>https://drive.google.com/uc?export=view&amp;id=1ILaxrDs73EMaq1bq33tkHKLoTmggcbD6</t>
        </is>
      </c>
      <c r="AA282" s="1" t="inlineStr">
        <is>
          <t>Unverified</t>
        </is>
      </c>
      <c r="AB282" s="1" t="n"/>
      <c r="AC282" s="1" t="n"/>
      <c r="AD282" s="10" t="n"/>
      <c r="AE282" s="1" t="n"/>
      <c r="AF282" t="inlineStr">
        <is>
          <t>Yes</t>
        </is>
      </c>
      <c r="AG282" t="inlineStr">
        <is>
          <t>https://www.instagram.com/coolcloudwise/</t>
        </is>
      </c>
      <c r="AH282" t="inlineStr">
        <is>
          <t>https://www.linkedin.com/company/64560789/admin/</t>
        </is>
      </c>
      <c r="AI282" t="inlineStr">
        <is>
          <t>https://www.linkedin.com/company/64560789/admin/</t>
        </is>
      </c>
    </row>
    <row r="283" ht="12.5" customHeight="1">
      <c r="A283" s="6" t="n">
        <v>45679</v>
      </c>
      <c r="B283" s="1" t="inlineStr">
        <is>
          <t>ORG_1835</t>
        </is>
      </c>
      <c r="C283" s="1" t="b">
        <v>1</v>
      </c>
      <c r="D283" s="1" t="inlineStr">
        <is>
          <t>Learning Village</t>
        </is>
      </c>
      <c r="E283" s="10" t="inlineStr">
        <is>
          <t>www.learningvillage.net</t>
        </is>
      </c>
      <c r="F283" t="inlineStr">
        <is>
          <t>learningvillage.net</t>
        </is>
      </c>
      <c r="G283" s="1" t="inlineStr">
        <is>
          <t>Across Cultures provides teachers with the skills and blended learning resources needed to successfully support their English as an additional language (EAL) learners within the demands of an English-medium curriculum.</t>
        </is>
      </c>
      <c r="H283" s="1" t="inlineStr">
        <is>
          <t>I'm not part of any EdTech association</t>
        </is>
      </c>
      <c r="I283" s="1" t="n"/>
      <c r="J283" s="1" t="inlineStr">
        <is>
          <t>Reading</t>
        </is>
      </c>
      <c r="K283" t="inlineStr">
        <is>
          <t>Reading</t>
        </is>
      </c>
      <c r="L283" t="inlineStr">
        <is>
          <t>Reading, United Kingdom</t>
        </is>
      </c>
      <c r="M283" t="n">
        <v>51.4564242</v>
      </c>
      <c r="N283" t="n">
        <v>-0.9700664</v>
      </c>
      <c r="O283" s="1" t="inlineStr">
        <is>
          <t>United Kingdom</t>
        </is>
      </c>
      <c r="P283" s="1" t="inlineStr">
        <is>
          <t>United Kingdom</t>
        </is>
      </c>
      <c r="Q283" s="1" t="inlineStr">
        <is>
          <t>0 to 10</t>
        </is>
      </c>
      <c r="R283" t="inlineStr">
        <is>
          <t>Micro</t>
        </is>
      </c>
      <c r="S283" s="1" t="inlineStr">
        <is>
          <t>Business to Business, Business to Consumer</t>
        </is>
      </c>
      <c r="T283" s="1" t="inlineStr">
        <is>
          <t>Primary Education, Secondary Education</t>
        </is>
      </c>
      <c r="U283" s="1" t="inlineStr">
        <is>
          <t>Teacher interfacing</t>
        </is>
      </c>
      <c r="V283" s="1" t="n"/>
      <c r="W283" s="1" t="inlineStr">
        <is>
          <t>https://drive.google.com/uc?export=view&amp;id=14bnpIju9FVkz3SuiZslenFuaBkjhf1WP</t>
        </is>
      </c>
      <c r="X283" s="1" t="inlineStr">
        <is>
          <t>https://drive.google.com/uc?export=view&amp;id=14bnpIju9FVkz3SuiZslenFuaBkjhf1WP</t>
        </is>
      </c>
      <c r="Y283" t="inlineStr">
        <is>
          <t>https://drive.google.com/uc?export=view&amp;id=14bnpIju9FVkz3SuiZslenFuaBkjhf1WP</t>
        </is>
      </c>
      <c r="Z283" s="1" t="inlineStr">
        <is>
          <t>https://drive.google.com/uc?export=view&amp;id=14bnpIju9FVkz3SuiZslenFuaBkjhf1WP</t>
        </is>
      </c>
      <c r="AA283" s="1" t="inlineStr">
        <is>
          <t>Unverified</t>
        </is>
      </c>
      <c r="AB283" s="1" t="n"/>
      <c r="AC283" s="1" t="n"/>
      <c r="AD283" s="10" t="n"/>
      <c r="AE283" s="1" t="n"/>
      <c r="AF283" t="inlineStr">
        <is>
          <t>No</t>
        </is>
      </c>
    </row>
    <row r="284" ht="12.5" customHeight="1">
      <c r="A284" s="6" t="n">
        <v>45679</v>
      </c>
      <c r="B284" s="1" t="inlineStr">
        <is>
          <t>ORG_1394</t>
        </is>
      </c>
      <c r="C284" s="1" t="b">
        <v>1</v>
      </c>
      <c r="D284" s="1" t="inlineStr">
        <is>
          <t>EC-Play</t>
        </is>
      </c>
      <c r="E284" s="10" t="inlineStr">
        <is>
          <t>www.ec-play.com</t>
        </is>
      </c>
      <c r="F284" t="inlineStr">
        <is>
          <t>ec-play.com</t>
        </is>
      </c>
      <c r="G284" s="1" t="inlineStr">
        <is>
          <t>EC-Play = Everyone Can Play. Together. This is an innovation in music education which will change the music education industry. EC-Play makes it possible for one teacher to teach a class of students, all on different levels, on 5 different instruments at the same time.</t>
        </is>
      </c>
      <c r="H284" s="1" t="inlineStr">
        <is>
          <t>I'm not part of any EdTech association</t>
        </is>
      </c>
      <c r="I284" s="1" t="n"/>
      <c r="J284" s="1" t="inlineStr">
        <is>
          <t>Heggedal</t>
        </is>
      </c>
      <c r="K284" t="inlineStr">
        <is>
          <t>Heggedal</t>
        </is>
      </c>
      <c r="L284" t="inlineStr">
        <is>
          <t>Heggedal, Norway</t>
        </is>
      </c>
      <c r="M284" t="n">
        <v>59.7872163</v>
      </c>
      <c r="N284" t="n">
        <v>10.4370443</v>
      </c>
      <c r="O284" s="1" t="inlineStr">
        <is>
          <t>Norway</t>
        </is>
      </c>
      <c r="P284" s="1" t="inlineStr">
        <is>
          <t>Latvia, Norway, Sweden, Ukraine</t>
        </is>
      </c>
      <c r="Q284" s="1" t="inlineStr">
        <is>
          <t>0 to 10</t>
        </is>
      </c>
      <c r="R284" t="inlineStr">
        <is>
          <t>Micro</t>
        </is>
      </c>
      <c r="S284" s="1" t="inlineStr">
        <is>
          <t>Business to Business, Business to Government</t>
        </is>
      </c>
      <c r="T284" s="1" t="inlineStr">
        <is>
          <t>Primary Education, Secondary Education, Lifelong learning/Adult education</t>
        </is>
      </c>
      <c r="U284" s="1" t="inlineStr">
        <is>
          <t>System/Administrative, Student interfacing, Teacher interfacing</t>
        </is>
      </c>
      <c r="V284" s="1" t="inlineStr">
        <is>
          <t>EC-Play</t>
        </is>
      </c>
      <c r="W284" s="1" t="inlineStr">
        <is>
          <t>EC-Play makes it easy for groups of people to play together on all kinds of muisical instruments even the first time they try. The system is based on colors, shapes, numbers and letters in an uniqe way. The EC-Play method combined with the EC-Play pedagogic help teachers to teach even if they have no knowledge of music. The tool also gives students personal and relational development, and is a unique tool for inclusion of everyone, as everyone can participate regardless of prerequisites, background and prior knowledge.</t>
        </is>
      </c>
      <c r="X284" s="1" t="inlineStr">
        <is>
          <t>https://drive.google.com/uc?export=view&amp;id=12UbLBbJOGaWuGhfZGOMRhKvtTamRnIML</t>
        </is>
      </c>
      <c r="Y284" t="inlineStr">
        <is>
          <t>https://drive.google.com/uc?export=view&amp;id=12UbLBbJOGaWuGhfZGOMRhKvtTamRnIML</t>
        </is>
      </c>
      <c r="Z284" s="1" t="inlineStr">
        <is>
          <t>https://drive.google.com/uc?export=view&amp;id=12UbLBbJOGaWuGhfZGOMRhKvtTamRnIML</t>
        </is>
      </c>
      <c r="AA284" s="1" t="inlineStr">
        <is>
          <t>Unverified</t>
        </is>
      </c>
      <c r="AB284" s="1" t="n"/>
      <c r="AC284" s="1" t="n"/>
      <c r="AD284" s="10" t="n"/>
      <c r="AE284" s="1" t="n"/>
      <c r="AF284" t="inlineStr">
        <is>
          <t>No</t>
        </is>
      </c>
    </row>
    <row r="285" ht="12.5" customHeight="1">
      <c r="A285" s="6" t="n">
        <v>45679</v>
      </c>
      <c r="B285" s="1" t="inlineStr">
        <is>
          <t>ORG_1085</t>
        </is>
      </c>
      <c r="C285" s="1" t="b">
        <v>1</v>
      </c>
      <c r="D285" s="10" t="inlineStr">
        <is>
          <t>Apprend.ly</t>
        </is>
      </c>
      <c r="E285" s="10" t="inlineStr">
        <is>
          <t>https://www.apprend.ly</t>
        </is>
      </c>
      <c r="F285" t="inlineStr">
        <is>
          <t>apprend.ly</t>
        </is>
      </c>
      <c r="G285" s="1" t="inlineStr">
        <is>
          <t>Apprend.ly - create 3D games and simulations for business. Fast.</t>
        </is>
      </c>
      <c r="H285" s="1" t="inlineStr">
        <is>
          <t>I'm not part of any EdTech association</t>
        </is>
      </c>
      <c r="I285" s="1" t="n"/>
      <c r="J285" s="1" t="inlineStr">
        <is>
          <t>Asker</t>
        </is>
      </c>
      <c r="K285" t="inlineStr">
        <is>
          <t>Asker</t>
        </is>
      </c>
      <c r="L285" t="inlineStr">
        <is>
          <t>Asker, Norway</t>
        </is>
      </c>
      <c r="M285" t="n">
        <v>59.6812603</v>
      </c>
      <c r="N285" t="n">
        <v>10.474836</v>
      </c>
      <c r="O285" s="1" t="inlineStr">
        <is>
          <t>Norway</t>
        </is>
      </c>
      <c r="P285" s="1" t="inlineStr">
        <is>
          <t>Belgium, Norway, Spain</t>
        </is>
      </c>
      <c r="Q285" s="1" t="inlineStr">
        <is>
          <t>0 to 10</t>
        </is>
      </c>
      <c r="R285" t="inlineStr">
        <is>
          <t>Micro</t>
        </is>
      </c>
      <c r="S285" s="1" t="inlineStr">
        <is>
          <t>Business to Business</t>
        </is>
      </c>
      <c r="T285" s="1" t="inlineStr">
        <is>
          <t>Higher Education, Corporate Training, Lifelong learning/Adult education</t>
        </is>
      </c>
      <c r="U285" s="1" t="inlineStr">
        <is>
          <t>Teacher interfacing, Student interfacing, System/Administrative</t>
        </is>
      </c>
      <c r="V285" s="10" t="inlineStr">
        <is>
          <t>Apprend.ly</t>
        </is>
      </c>
      <c r="W285" s="10" t="inlineStr">
        <is>
          <t>With Apprend.ly Creator™ you can quickly create 3D game worlds and make them come alive with a diverse set of characters, world objects, effects, weather and more. Games are played on any device through Apprend.ly unique streaming service.</t>
        </is>
      </c>
      <c r="X285" s="10" t="inlineStr">
        <is>
          <t>https://drive.google.com/uc?export=view&amp;id=1v8B93echWXMC1blx4mRZXhqjJ8hJwlOJ</t>
        </is>
      </c>
      <c r="Y285" t="inlineStr">
        <is>
          <t>https://drive.google.com/uc?export=view&amp;id=1v8B93echWXMC1blx4mRZXhqjJ8hJwlOJ</t>
        </is>
      </c>
      <c r="Z285" s="10" t="inlineStr">
        <is>
          <t>https://drive.google.com/uc?export=view&amp;id=1v8B93echWXMC1blx4mRZXhqjJ8hJwlOJ</t>
        </is>
      </c>
      <c r="AA285" s="1" t="inlineStr">
        <is>
          <t>Unverified</t>
        </is>
      </c>
      <c r="AB285" s="1" t="n"/>
      <c r="AC285" s="1" t="n"/>
      <c r="AD285" s="10" t="n"/>
      <c r="AE285" s="1" t="n"/>
      <c r="AF285" t="inlineStr">
        <is>
          <t>Yes</t>
        </is>
      </c>
      <c r="AG285" t="inlineStr">
        <is>
          <t>https://www.instagram.com/apprendly/</t>
        </is>
      </c>
      <c r="AH285" t="inlineStr">
        <is>
          <t>https://twitter.com/apprendly</t>
        </is>
      </c>
      <c r="AI285" t="inlineStr">
        <is>
          <t>https://www.linkedin.com/company/apprend-ly</t>
        </is>
      </c>
    </row>
    <row r="286" ht="12.5" customHeight="1">
      <c r="A286" s="6" t="n">
        <v>45679</v>
      </c>
      <c r="B286" s="1" t="inlineStr">
        <is>
          <t>ORG_1429</t>
        </is>
      </c>
      <c r="C286" s="1" t="b">
        <v>1</v>
      </c>
      <c r="D286" s="1" t="inlineStr">
        <is>
          <t>Education AI</t>
        </is>
      </c>
      <c r="E286" s="10" t="inlineStr">
        <is>
          <t>https://educationai.co.uk/</t>
        </is>
      </c>
      <c r="F286" t="inlineStr">
        <is>
          <t>educationai.co.uk</t>
        </is>
      </c>
      <c r="G286" s="1" t="inlineStr">
        <is>
          <t>Education AI is an EdTech firm which provides a complete learning platform for Computational Thinking, Coding, Computer Science, and Robotics. Our platform provides a broad coverage across both subject areas and age range (6 - 18 years old).
Our approach means teachers are supported by a set of AI enabled analytics and tools, allowing them to focus their efforts on teaching. This includes a data dashboard, highlighting the learning progress, and challenges, for a cohort or individual students. 
Our adaptive Curriculum includes a complete mapping of Learning Objectives and Prerequisite Knowledge, allowing teachers to customise their lessons and allow for different levels of students.
Our educational aids and resources include both unplugged and online variants. These include games and activities for younger children, online questions with AI powered adaptive learning paths and auto-marking, as well as an online Python IDE with auto-marking and recommendations on what to code next.</t>
        </is>
      </c>
      <c r="H286" s="1" t="inlineStr">
        <is>
          <t>I'm not part of any EdTech association</t>
        </is>
      </c>
      <c r="I286" s="1" t="n"/>
      <c r="J286" s="1" t="inlineStr">
        <is>
          <t>London</t>
        </is>
      </c>
      <c r="K286" t="inlineStr">
        <is>
          <t>London</t>
        </is>
      </c>
      <c r="L286" t="inlineStr">
        <is>
          <t>London, United Kingdom</t>
        </is>
      </c>
      <c r="M286" t="n">
        <v>51.5074456</v>
      </c>
      <c r="N286" t="n">
        <v>-0.1277653</v>
      </c>
      <c r="O286" s="1" t="inlineStr">
        <is>
          <t>United Kingdom</t>
        </is>
      </c>
      <c r="P286" s="1" t="inlineStr">
        <is>
          <t>United Kingdom</t>
        </is>
      </c>
      <c r="Q286" s="1" t="inlineStr">
        <is>
          <t>11 to 50</t>
        </is>
      </c>
      <c r="R286" t="inlineStr">
        <is>
          <t>Small</t>
        </is>
      </c>
      <c r="S286" s="1" t="inlineStr">
        <is>
          <t>Business to Business, Business to Consumer</t>
        </is>
      </c>
      <c r="T286" s="1" t="inlineStr">
        <is>
          <t>Early childhood development (0-5 years), Primary Education, Secondary Education, Higher Education</t>
        </is>
      </c>
      <c r="U286" s="1" t="inlineStr">
        <is>
          <t>System/Administrative, Student interfacing, Teacher interfacing</t>
        </is>
      </c>
      <c r="V286" s="1" t="n"/>
      <c r="W286" s="1" t="inlineStr">
        <is>
          <t>https://drive.google.com/uc?export=view&amp;id=1VS8VzrOw56U-jnmmmPncKUAZ-JPcd-pU</t>
        </is>
      </c>
      <c r="X286" s="1" t="inlineStr">
        <is>
          <t>https://drive.google.com/uc?export=view&amp;id=1VS8VzrOw56U-jnmmmPncKUAZ-JPcd-pU</t>
        </is>
      </c>
      <c r="Y286" t="inlineStr">
        <is>
          <t>https://drive.google.com/uc?export=view&amp;id=1VS8VzrOw56U-jnmmmPncKUAZ-JPcd-pU</t>
        </is>
      </c>
      <c r="Z286" s="1" t="inlineStr">
        <is>
          <t>https://drive.google.com/uc?export=view&amp;id=1VS8VzrOw56U-jnmmmPncKUAZ-JPcd-pU</t>
        </is>
      </c>
      <c r="AA286" s="1" t="inlineStr">
        <is>
          <t>Unverified</t>
        </is>
      </c>
      <c r="AB286" s="1" t="n"/>
      <c r="AC286" s="1" t="n"/>
      <c r="AD286" s="10" t="n"/>
      <c r="AE286" s="1" t="n"/>
      <c r="AF286" t="inlineStr">
        <is>
          <t>No</t>
        </is>
      </c>
    </row>
    <row r="287" ht="12.5" customHeight="1">
      <c r="A287" s="6" t="n">
        <v>45679</v>
      </c>
      <c r="B287" s="1" t="inlineStr">
        <is>
          <t>ORG_1561</t>
        </is>
      </c>
      <c r="C287" s="1" t="b">
        <v>1</v>
      </c>
      <c r="D287" s="1" t="inlineStr">
        <is>
          <t>Fiction Express</t>
        </is>
      </c>
      <c r="E287" s="10" t="inlineStr">
        <is>
          <t>www.fictionexpress.com</t>
        </is>
      </c>
      <c r="F287" t="inlineStr">
        <is>
          <t>fictionexpress.com</t>
        </is>
      </c>
      <c r="G287" s="1" t="inlineStr">
        <is>
          <t>Fiction Express is an award-winning literacy resource designed to improve all areas of literacy in a truly cohesive way: reading; writing; spelling, punctuation &amp; grammar; and speaking &amp; listening. We have developed a unique value proposition for schools, teachers and students in the space of reading, establishing a new category of digital reading/literacy resources, which has been defined as co-creative reading. Fiction Express is redefining reading by creating a student-centred approach (focused on experience and learning outcomes), as opposed to a product-focused (= book) method.</t>
        </is>
      </c>
      <c r="H287" s="1" t="inlineStr">
        <is>
          <t>I'm not part of any EdTech association</t>
        </is>
      </c>
      <c r="I287" s="1" t="n"/>
      <c r="J287" s="1" t="inlineStr">
        <is>
          <t>Barcelona</t>
        </is>
      </c>
      <c r="K287" t="inlineStr">
        <is>
          <t>Barcelona</t>
        </is>
      </c>
      <c r="L287" t="inlineStr">
        <is>
          <t>Barcelona, Spain</t>
        </is>
      </c>
      <c r="M287" t="n">
        <v>41.3825802</v>
      </c>
      <c r="N287" t="n">
        <v>2.177073</v>
      </c>
      <c r="O287" s="1" t="inlineStr">
        <is>
          <t>Spain</t>
        </is>
      </c>
      <c r="P287" s="1" t="inlineStr">
        <is>
          <t>Andorra, Austria, Czechia, Estonia, Georgia, Germany, Greece, Italy, Malta, Poland, Portugal, Romania, Spain, Switzerland, Turkey, Ukraine, United Kingdom</t>
        </is>
      </c>
      <c r="Q287" s="1" t="inlineStr">
        <is>
          <t>11 to 50</t>
        </is>
      </c>
      <c r="R287" t="inlineStr">
        <is>
          <t>Small</t>
        </is>
      </c>
      <c r="S287" s="1" t="inlineStr">
        <is>
          <t>Business to Business, Business to Consumer, Business to Government</t>
        </is>
      </c>
      <c r="T287" s="1" t="inlineStr">
        <is>
          <t>Primary Education, Secondary Education</t>
        </is>
      </c>
      <c r="U287" s="1" t="inlineStr">
        <is>
          <t>Teacher interfacing</t>
        </is>
      </c>
      <c r="V287" s="1" t="inlineStr">
        <is>
          <t>Fiction Express</t>
        </is>
      </c>
      <c r="W287" s="1" t="inlineStr">
        <is>
          <t>Fiction Express is an award-winning K-12 literacy resource designed to improve all areas of literacy in a truly cohesive way: reading; writing; spelling, punctuation &amp; grammar; and speaking &amp; listening. We have developed a unique value proposition for schools, teachers and students in the space of reading, establishing a new category of digital reading/literacy resources, which has been defined as co-creative reading.</t>
        </is>
      </c>
      <c r="X287" s="10" t="inlineStr">
        <is>
          <t>https://drive.google.com/uc?export=view&amp;id=1YEMxIuHxIAzumD-5Gqqkiy750hAd1o-g</t>
        </is>
      </c>
      <c r="Y287" t="inlineStr">
        <is>
          <t>https://drive.google.com/uc?export=view&amp;id=1YEMxIuHxIAzumD-5Gqqkiy750hAd1o-g</t>
        </is>
      </c>
      <c r="Z287" s="1" t="inlineStr">
        <is>
          <t>https://drive.google.com/uc?export=view&amp;id=1YEMxIuHxIAzumD-5Gqqkiy750hAd1o-g</t>
        </is>
      </c>
      <c r="AA287" s="1" t="inlineStr">
        <is>
          <t>Unverified</t>
        </is>
      </c>
      <c r="AB287" s="1" t="n"/>
      <c r="AC287" s="1" t="n"/>
      <c r="AD287" s="10" t="n"/>
      <c r="AE287" s="1" t="n"/>
      <c r="AF287" t="inlineStr">
        <is>
          <t>Yes</t>
        </is>
      </c>
      <c r="AG287" t="inlineStr">
        <is>
          <t>https://www.linkedin.com/company/fictionexpress</t>
        </is>
      </c>
      <c r="AH287" t="inlineStr">
        <is>
          <t>@fictionexpress</t>
        </is>
      </c>
      <c r="AI287" t="inlineStr">
        <is>
          <t>https://www.linkedin.com/company/fictionexpress</t>
        </is>
      </c>
    </row>
    <row r="288" ht="12.5" customHeight="1">
      <c r="A288" s="6" t="n">
        <v>45679</v>
      </c>
      <c r="B288" s="1" t="inlineStr">
        <is>
          <t>ORG_1981</t>
        </is>
      </c>
      <c r="C288" s="1" t="b">
        <v>1</v>
      </c>
      <c r="D288" s="1" t="inlineStr">
        <is>
          <t>Moki Health</t>
        </is>
      </c>
      <c r="E288" s="10" t="inlineStr">
        <is>
          <t>https://moki.health/</t>
        </is>
      </c>
      <c r="F288" t="inlineStr">
        <is>
          <t>moki.health</t>
        </is>
      </c>
      <c r="G288" s="1" t="inlineStr">
        <is>
          <t>Moki is a smart wristband and software platform that allows schools to accurately measure the physical activity levels of their students. What's more Moki provides teachers with a unique new way to engage pupils in an active curriculum as well as better understand the impact of certain initiative and activities. Challenges can be set within classrooms, between classes in the same school or between schools in different countries, giving pupils and teachers a fun and engaging way of encouraging physical activity and developing an understanding of the lifestyle benefits of being active each day for physical and mental health.
Moki provides each child with an individual view of the activity data through the school day. This data can be used across the curriculum, as a dataset for maths and a basis for geography lessons. Moki has been developed to not interrupt the school day but to compliment the teaching staff and their efforts to support a healthy student population.
By pooling anonymous activity data from schools around the world Moki has the potential to provide unprecedented insights into children's physical activity. This information can directly support the ongoing efforts of research teams, charities, NGO's and Government departments looking to analyse or address issues related to children's physical activity, health and well-being.</t>
        </is>
      </c>
      <c r="H288" s="1" t="inlineStr">
        <is>
          <t>I'm not part of any EdTech association</t>
        </is>
      </c>
      <c r="I288" s="1" t="n"/>
      <c r="J288" s="1" t="inlineStr">
        <is>
          <t>Bath</t>
        </is>
      </c>
      <c r="K288" t="inlineStr">
        <is>
          <t>Bath</t>
        </is>
      </c>
      <c r="L288" t="inlineStr">
        <is>
          <t>Bath, United Kingdom</t>
        </is>
      </c>
      <c r="M288" t="n">
        <v>51.3813864</v>
      </c>
      <c r="N288" t="n">
        <v>-2.3596963</v>
      </c>
      <c r="O288" s="1" t="inlineStr">
        <is>
          <t>United Kingdom</t>
        </is>
      </c>
      <c r="P288" s="1" t="inlineStr">
        <is>
          <t>Albania, Andorra, Belgium, Croatia, Cyprus, Denmark, Finland, France, Germany, Greece, Hungary, Iceland, Ireland, Italy, Luxembourg, Malta, Netherlands, Norway, Portugal, Romania, Spain, Sweden, Switzerland, United Kingdom</t>
        </is>
      </c>
      <c r="Q288" s="1" t="inlineStr">
        <is>
          <t>0 to 10</t>
        </is>
      </c>
      <c r="R288" t="inlineStr">
        <is>
          <t>Micro</t>
        </is>
      </c>
      <c r="S288" s="1" t="inlineStr">
        <is>
          <t>Business to Consumer</t>
        </is>
      </c>
      <c r="T288" s="1" t="inlineStr">
        <is>
          <t>Primary Education, Corporate Training</t>
        </is>
      </c>
      <c r="U288" s="1" t="inlineStr">
        <is>
          <t>System/Administrative, Teacher interfacing, Student interfacing</t>
        </is>
      </c>
      <c r="V288" s="1" t="inlineStr">
        <is>
          <t>Moki</t>
        </is>
      </c>
      <c r="W288" s="10" t="inlineStr">
        <is>
          <t>Moki is the fitness tracker designed for schools. A whole new kind of learning. How active are your children? How active is your school?</t>
        </is>
      </c>
      <c r="X288" s="10" t="inlineStr">
        <is>
          <t>https://drive.google.com/uc?export=view&amp;id=1VUvR_9xfjcV7MIHWOALUndFWTyt-sVl6</t>
        </is>
      </c>
      <c r="Y288" t="inlineStr">
        <is>
          <t>https://drive.google.com/uc?export=view&amp;id=1VUvR_9xfjcV7MIHWOALUndFWTyt-sVl6</t>
        </is>
      </c>
      <c r="Z288" s="1" t="inlineStr">
        <is>
          <t>https://drive.google.com/uc?export=view&amp;id=1VUvR_9xfjcV7MIHWOALUndFWTyt-sVl6</t>
        </is>
      </c>
      <c r="AA288" s="1" t="inlineStr">
        <is>
          <t>Unverified</t>
        </is>
      </c>
      <c r="AB288" s="1" t="n"/>
      <c r="AC288" s="1" t="n"/>
      <c r="AD288" s="10" t="n"/>
      <c r="AE288" s="1" t="n"/>
      <c r="AF288" t="inlineStr">
        <is>
          <t>Yes</t>
        </is>
      </c>
      <c r="AG288" t="inlineStr">
        <is>
          <t>https://twitter.com/moki_health/</t>
        </is>
      </c>
      <c r="AH288" t="inlineStr">
        <is>
          <t>https://twitter.com/moki_health/</t>
        </is>
      </c>
      <c r="AI288" t="inlineStr">
        <is>
          <t>https://www.linkedin.com/company/mokihealth/</t>
        </is>
      </c>
    </row>
    <row r="289" ht="12.5" customHeight="1">
      <c r="A289" s="6" t="n">
        <v>45679</v>
      </c>
      <c r="B289" s="1" t="inlineStr">
        <is>
          <t>ORG_2021</t>
        </is>
      </c>
      <c r="C289" s="1" t="b">
        <v>1</v>
      </c>
      <c r="D289" s="1" t="inlineStr">
        <is>
          <t>Natterhub</t>
        </is>
      </c>
      <c r="E289" s="10" t="inlineStr">
        <is>
          <t>https://natterhub.com/</t>
        </is>
      </c>
      <c r="F289" t="inlineStr">
        <is>
          <t>natterhub.com</t>
        </is>
      </c>
      <c r="G289" s="1" t="inlineStr">
        <is>
          <t>Natterhub is a gated, immersive online safety platform designed for primary schools. Stocked with over 350 interactive lessons, teachers have the opportunity to teach the soft skills that underpin positive digital citizenship. 
With an easy to use planning, assessment and tracking system, Natterhub is an obvious choice for schools looking to prepare children to thrive online.</t>
        </is>
      </c>
      <c r="H289" s="1" t="inlineStr">
        <is>
          <t>I'm not part of any EdTech association</t>
        </is>
      </c>
      <c r="I289" s="1" t="n"/>
      <c r="J289" s="1" t="inlineStr">
        <is>
          <t>Surrey Technology Park</t>
        </is>
      </c>
      <c r="K289" t="inlineStr">
        <is>
          <t>Surrey Technology Park</t>
        </is>
      </c>
      <c r="L289" t="inlineStr">
        <is>
          <t>Surrey Technology Park, United Kingdom</t>
        </is>
      </c>
      <c r="O289" s="1" t="inlineStr">
        <is>
          <t>United Kingdom</t>
        </is>
      </c>
      <c r="P289" s="1" t="inlineStr">
        <is>
          <t>Belgium, Denmark, France, Greece, Ireland, Italy, Netherlands, Norway, Poland, Portugal, Spain, Sweden, Switzerland, United Kingdom</t>
        </is>
      </c>
      <c r="Q289" s="1" t="inlineStr">
        <is>
          <t>0 to 10</t>
        </is>
      </c>
      <c r="R289" t="inlineStr">
        <is>
          <t>Micro</t>
        </is>
      </c>
      <c r="S289" s="1" t="inlineStr">
        <is>
          <t>Business to Consumer</t>
        </is>
      </c>
      <c r="T289" s="1" t="inlineStr">
        <is>
          <t>Primary Education, Lifelong learning/Adult education</t>
        </is>
      </c>
      <c r="U289" s="1" t="inlineStr">
        <is>
          <t>Student interfacing, Teacher interfacing</t>
        </is>
      </c>
      <c r="V289" s="1" t="inlineStr">
        <is>
          <t>Natterhub</t>
        </is>
      </c>
      <c r="W289" s="1" t="inlineStr">
        <is>
          <t>Natterhub provides primary school teachers with an interactive library of lessons to teach online safety, digital citizenship and media literacy. By Foy using on soft skills development, Natterhub builds digital resilience, promotes online empathy and tracks skills acquisition towards safe digital independence.</t>
        </is>
      </c>
      <c r="X289" s="1" t="inlineStr">
        <is>
          <t>https://drive.google.com/uc?export=view&amp;id=1UAhVY1YCtKJvDnSAe66k3shjcKoFaTMJ</t>
        </is>
      </c>
      <c r="Y289" t="inlineStr">
        <is>
          <t>https://drive.google.com/uc?export=view&amp;id=1UAhVY1YCtKJvDnSAe66k3shjcKoFaTMJ</t>
        </is>
      </c>
      <c r="Z289" s="1" t="inlineStr">
        <is>
          <t>https://drive.google.com/uc?export=view&amp;id=1UAhVY1YCtKJvDnSAe66k3shjcKoFaTMJ</t>
        </is>
      </c>
      <c r="AA289" s="1" t="inlineStr">
        <is>
          <t>Unverified</t>
        </is>
      </c>
      <c r="AB289" s="1" t="n"/>
      <c r="AC289" s="1" t="n"/>
      <c r="AD289" s="10" t="n"/>
      <c r="AE289" s="1" t="n"/>
      <c r="AF289" t="inlineStr">
        <is>
          <t>Yes</t>
        </is>
      </c>
      <c r="AG289" t="inlineStr">
        <is>
          <t>@natterhub</t>
        </is>
      </c>
      <c r="AH289" t="inlineStr">
        <is>
          <t>@natterhub</t>
        </is>
      </c>
      <c r="AI289" t="inlineStr">
        <is>
          <t>@natterhub</t>
        </is>
      </c>
    </row>
    <row r="290" ht="12.5" customHeight="1">
      <c r="A290" s="6" t="n">
        <v>45679</v>
      </c>
      <c r="B290" s="1" t="inlineStr">
        <is>
          <t>ORG_2447</t>
        </is>
      </c>
      <c r="C290" s="1" t="b">
        <v>1</v>
      </c>
      <c r="D290" s="1" t="inlineStr">
        <is>
          <t>Twin Science &amp; Robotics</t>
        </is>
      </c>
      <c r="E290" s="10" t="inlineStr">
        <is>
          <t>https://www.twinscience.com/</t>
        </is>
      </c>
      <c r="F290" t="inlineStr">
        <is>
          <t>twinscience.com</t>
        </is>
      </c>
      <c r="G290" s="1" t="inlineStr">
        <is>
          <t>Twin Science is an EdTech start-up transforming education for younger generations. Designed with the play-learn-earn and share methodology, Twin provides an end-to-end educational journey for children. Through its physical kits and digital app, Twin develops skills and competencies required for the 21'st century with a compassionate understanding.</t>
        </is>
      </c>
      <c r="H290" s="1" t="inlineStr">
        <is>
          <t>I'm not part of any EdTech association</t>
        </is>
      </c>
      <c r="I290" s="1" t="n"/>
      <c r="J290" s="1" t="inlineStr">
        <is>
          <t>London</t>
        </is>
      </c>
      <c r="K290" t="inlineStr">
        <is>
          <t>London</t>
        </is>
      </c>
      <c r="L290" t="inlineStr">
        <is>
          <t>London, United Kingdom</t>
        </is>
      </c>
      <c r="M290" t="n">
        <v>51.5074456</v>
      </c>
      <c r="N290" t="n">
        <v>-0.1277653</v>
      </c>
      <c r="O290" s="1" t="inlineStr">
        <is>
          <t>United Kingdom</t>
        </is>
      </c>
      <c r="P290" s="1" t="inlineStr">
        <is>
          <t>France, Germany, Italy, Turkey, Ukraine, United Kingdom</t>
        </is>
      </c>
      <c r="Q290" s="1" t="inlineStr">
        <is>
          <t>11 to 50</t>
        </is>
      </c>
      <c r="R290" t="inlineStr">
        <is>
          <t>Small</t>
        </is>
      </c>
      <c r="S290" s="1" t="inlineStr">
        <is>
          <t>Business to Government, Business to Schools</t>
        </is>
      </c>
      <c r="T290" s="1" t="inlineStr">
        <is>
          <t>Primary Education, Secondary Education</t>
        </is>
      </c>
      <c r="U290" s="1" t="inlineStr">
        <is>
          <t>System/Administrative, Student interfacing, Teacher interfacing</t>
        </is>
      </c>
      <c r="V290" s="10" t="inlineStr">
        <is>
          <t>Twin Kits</t>
        </is>
      </c>
      <c r="W290" s="1" t="inlineStr">
        <is>
          <t>LEGO®-compatible AI, robotics and coding kits that introduce students to the jobs of tomorrow. Easy to implement into lesson plans. No welding is required because it connects with magnets! One kit can be used by up to 4 students at the same time. 100+ hours of curriculum-aligned lessons developed with esteemed universities. Integrable with international curricula</t>
        </is>
      </c>
      <c r="X290" s="10" t="inlineStr">
        <is>
          <t>Twin App</t>
        </is>
      </c>
      <c r="Y290" t="inlineStr">
        <is>
          <t>Twin app is the virtual campus of Twin School: Tech4Good. On a mission to make screen time both fun and educational, Twin’s educational specialists, storytellers, and edtech experts have developed Twin app with the needs of young learners in mind. Today, thousands of students use Twin app to supplement their coursework and have fun!</t>
        </is>
      </c>
      <c r="Z290" s="1" t="inlineStr">
        <is>
          <t>https://drive.google.com/uc?export=view&amp;id=1Bc5bXdGUZG9027zDw_iDGwOtTCaEjnMo</t>
        </is>
      </c>
      <c r="AA290" s="1" t="inlineStr">
        <is>
          <t>Unverified</t>
        </is>
      </c>
      <c r="AB290" s="1" t="n"/>
      <c r="AC290" s="1" t="n"/>
      <c r="AD290" s="10" t="n"/>
      <c r="AE290" s="1" t="n"/>
      <c r="AF290" t="inlineStr">
        <is>
          <t>Yes</t>
        </is>
      </c>
      <c r="AG290" t="inlineStr">
        <is>
          <t>https://www.instagram.com/twinscience</t>
        </is>
      </c>
      <c r="AH290" t="inlineStr">
        <is>
          <t>@twin_science</t>
        </is>
      </c>
      <c r="AI290" t="inlineStr">
        <is>
          <t>https://www.linkedin.com/company/29024499/</t>
        </is>
      </c>
    </row>
    <row r="291" ht="12.5" customHeight="1">
      <c r="A291" s="6" t="n">
        <v>45679</v>
      </c>
      <c r="B291" s="1" t="inlineStr">
        <is>
          <t>ORG_2549</t>
        </is>
      </c>
      <c r="C291" s="1" t="b">
        <v>1</v>
      </c>
      <c r="D291" s="1" t="inlineStr">
        <is>
          <t>WorkTripp</t>
        </is>
      </c>
      <c r="E291" s="10" t="inlineStr">
        <is>
          <t>www.worktripp.com</t>
        </is>
      </c>
      <c r="F291" t="inlineStr">
        <is>
          <t>worktripp.com</t>
        </is>
      </c>
      <c r="G291" s="1" t="inlineStr">
        <is>
          <t>WorkTripp is a platform for teams to plan, book, and measure gatherings &amp; offsites as part of their cycle of work. 🔄</t>
        </is>
      </c>
      <c r="H291" s="1" t="inlineStr">
        <is>
          <t>I'm not part of any EdTech association</t>
        </is>
      </c>
      <c r="I291" s="1" t="n"/>
      <c r="J291" s="1" t="inlineStr">
        <is>
          <t>Plymouth</t>
        </is>
      </c>
      <c r="K291" t="inlineStr">
        <is>
          <t>Plymouth</t>
        </is>
      </c>
      <c r="L291" t="inlineStr">
        <is>
          <t>Plymouth, United Kingdom</t>
        </is>
      </c>
      <c r="M291" t="n">
        <v>50.3714122</v>
      </c>
      <c r="N291" t="n">
        <v>-4.1424451</v>
      </c>
      <c r="O291" s="1" t="inlineStr">
        <is>
          <t>United Kingdom</t>
        </is>
      </c>
      <c r="P291" s="1" t="inlineStr">
        <is>
          <t>Austria, Belgium, Bulgaria, Croatia, Denmark, Estonia, Finland, France, Georgia, Germany, Greece, Iceland, Italy, Latvia, Luxembourg, Malta, Netherlands, Norway, Poland, Portugal, Slovenia, Spain, Sweden, Switzerland, Turkey, United Kingdom</t>
        </is>
      </c>
      <c r="Q291" s="1" t="inlineStr">
        <is>
          <t>0 to 2</t>
        </is>
      </c>
      <c r="R291" t="inlineStr">
        <is>
          <t>Solo entrepreneur</t>
        </is>
      </c>
      <c r="S291" s="1" t="inlineStr">
        <is>
          <t>Business to Schools</t>
        </is>
      </c>
      <c r="T291" s="1" t="inlineStr">
        <is>
          <t>Corporate Training</t>
        </is>
      </c>
      <c r="U291" s="1" t="inlineStr">
        <is>
          <t>System/Administrative, Student interfacing</t>
        </is>
      </c>
      <c r="V291" s="10" t="inlineStr">
        <is>
          <t>WorkTripp</t>
        </is>
      </c>
      <c r="W291" s="10" t="inlineStr">
        <is>
          <t>WorkTripp is a platform for teams to plan, book, and measure gatherings &amp; offsites as part of their cycle of work. 🔄</t>
        </is>
      </c>
      <c r="X291" s="10" t="inlineStr">
        <is>
          <t>https://drive.google.com/uc?export=view&amp;id=1h-xeVx118Gx0xIWAVdBTTXJ3ILocN72G</t>
        </is>
      </c>
      <c r="Y291" t="inlineStr">
        <is>
          <t>https://drive.google.com/uc?export=view&amp;id=1h-xeVx118Gx0xIWAVdBTTXJ3ILocN72G</t>
        </is>
      </c>
      <c r="Z291" s="1" t="inlineStr">
        <is>
          <t>https://drive.google.com/uc?export=view&amp;id=1h-xeVx118Gx0xIWAVdBTTXJ3ILocN72G</t>
        </is>
      </c>
      <c r="AA291" s="1" t="inlineStr">
        <is>
          <t>Unverified</t>
        </is>
      </c>
      <c r="AB291" s="1" t="n"/>
      <c r="AC291" s="1" t="n"/>
      <c r="AD291" s="10" t="n"/>
      <c r="AE291" s="1" t="n"/>
      <c r="AF291" t="inlineStr">
        <is>
          <t>Yes</t>
        </is>
      </c>
      <c r="AG291" t="inlineStr">
        <is>
          <t>https://www.instagram.com/work.tripp/</t>
        </is>
      </c>
      <c r="AH291" t="inlineStr">
        <is>
          <t>https://twitter.com/work_tripp</t>
        </is>
      </c>
      <c r="AI291" t="inlineStr">
        <is>
          <t>https://www.linkedin.com/company/worktripp/</t>
        </is>
      </c>
    </row>
    <row r="292" ht="12.5" customHeight="1">
      <c r="A292" s="6" t="n">
        <v>45679</v>
      </c>
      <c r="B292" s="1" t="inlineStr">
        <is>
          <t>ORG_1380</t>
        </is>
      </c>
      <c r="C292" s="1" t="b">
        <v>1</v>
      </c>
      <c r="D292" s="1" t="inlineStr">
        <is>
          <t>DreamApply</t>
        </is>
      </c>
      <c r="E292" s="10" t="inlineStr">
        <is>
          <t>https://dreamapply.com/</t>
        </is>
      </c>
      <c r="F292" t="inlineStr">
        <is>
          <t>dreamapply.com</t>
        </is>
      </c>
      <c r="G292" s="1" t="inlineStr">
        <is>
          <t>DreamApply is a SaaS suite that revolutionizes the admission and enrollment experience for educational institutions and students. Founded in Estonia, in 2011, DreamApply has grown to become a worldwide-recognized Ed-tech company. Its solutions have helped transform the operations of more than 300 education institutions in over 40 countries. It is the system chosen by the national agencies for international education in Estonia, Hungary, and Lithuania. DreamApply offers a 50-100% increase in student admission applications within three years and an up to 60% decrease in the administrative workload for educators.</t>
        </is>
      </c>
      <c r="H292" s="1" t="inlineStr">
        <is>
          <t>EdTech Estonia</t>
        </is>
      </c>
      <c r="I292" s="1" t="n"/>
      <c r="J292" s="1" t="inlineStr">
        <is>
          <t>Tallinn</t>
        </is>
      </c>
      <c r="K292" t="inlineStr">
        <is>
          <t>Tallinn</t>
        </is>
      </c>
      <c r="L292" t="inlineStr">
        <is>
          <t>Tallinn, Estonia</t>
        </is>
      </c>
      <c r="M292" t="n">
        <v>59.437242</v>
      </c>
      <c r="N292" t="n">
        <v>24.7572693</v>
      </c>
      <c r="O292" s="1" t="inlineStr">
        <is>
          <t>Estonia</t>
        </is>
      </c>
      <c r="P292" s="1" t="inlineStr">
        <is>
          <t>Belgium, Estonia, Finland, Germany, Greece, Hungary, Ireland, Italy, Latvia, Lithuania, Netherlands, Poland, Spain, Sweden, Turkey</t>
        </is>
      </c>
      <c r="Q292" s="1" t="inlineStr">
        <is>
          <t>11 to 50</t>
        </is>
      </c>
      <c r="R292" t="inlineStr">
        <is>
          <t>Small</t>
        </is>
      </c>
      <c r="S292" s="1" t="inlineStr">
        <is>
          <t>Business to Business, Business to Consumer, Business to Government, Business to Schools</t>
        </is>
      </c>
      <c r="T292" s="1" t="inlineStr">
        <is>
          <t>Higher Education</t>
        </is>
      </c>
      <c r="U292" s="1" t="inlineStr">
        <is>
          <t>System/Administrative</t>
        </is>
      </c>
      <c r="V292" s="1" t="inlineStr">
        <is>
          <t>DreamApply Admissions Solution</t>
        </is>
      </c>
      <c r="W292" s="1" t="inlineStr">
        <is>
          <t>A SaaS suite designed for educational institutions that are looking to increase student enrollment, reduce workload, and easily manage recruitment and admission efforts. DreamApply helps educators to recruit and process applications more effectively, guiding the applicants through a fast and convenient application process.</t>
        </is>
      </c>
      <c r="X292" s="10" t="inlineStr">
        <is>
          <t>DreamApply Scholarships &amp; Grants</t>
        </is>
      </c>
      <c r="Y292" t="inlineStr">
        <is>
          <t>An all-in-one scholarship and grant application management solution that empowers educators in their daily operations and decision-making processes when awarding talents for scholarship programs. The solution streamlines the complex process of analyzing and processing scholarships and grants and their financial aid lifecycle. It facilitates the application scoring and reviewing for multiple committee members, builds ranks automatically, and attributes different statuses for the entire applicant journey. It also provides statistics for allocations, management of funding activities, and runs diligence checks, among others.</t>
        </is>
      </c>
      <c r="Z292" s="1" t="inlineStr">
        <is>
          <t>https://drive.google.com/uc?export=view&amp;id=1FMsUk88f4izpSQ0onFxW2ipAbyuZJVXn</t>
        </is>
      </c>
      <c r="AA292" s="1" t="inlineStr">
        <is>
          <t>Unverified</t>
        </is>
      </c>
      <c r="AB292" s="1" t="n"/>
      <c r="AC292" s="1" t="n"/>
      <c r="AD292" s="10" t="n"/>
      <c r="AE292" s="1" t="n"/>
      <c r="AF292" s="1" t="inlineStr">
        <is>
          <t>Yes</t>
        </is>
      </c>
      <c r="AG292" s="1" t="inlineStr">
        <is>
          <t>https://www.linkedin.com/company/dreamapply</t>
        </is>
      </c>
      <c r="AH292" s="1" t="inlineStr">
        <is>
          <t>https://www.linkedin.com/company/dreamapply</t>
        </is>
      </c>
      <c r="AI292" t="inlineStr">
        <is>
          <t>https://www.linkedin.com/company/dreamapply</t>
        </is>
      </c>
    </row>
    <row r="293" ht="12.5" customHeight="1">
      <c r="A293" s="6" t="n">
        <v>45679</v>
      </c>
      <c r="B293" s="1" t="inlineStr">
        <is>
          <t>ORG_1789</t>
        </is>
      </c>
      <c r="C293" s="1" t="b">
        <v>1</v>
      </c>
      <c r="D293" s="1" t="inlineStr">
        <is>
          <t>Kortext</t>
        </is>
      </c>
      <c r="E293" s="10" t="inlineStr">
        <is>
          <t>https://www.kortext.com/</t>
        </is>
      </c>
      <c r="F293" t="inlineStr">
        <is>
          <t>kortext.com</t>
        </is>
      </c>
      <c r="G293" s="1" t="inlineStr">
        <is>
          <t>Kortext is creator of the world-leading student learning content and engagement platform, Kortext Arcturus – supporting universities in their mission to educate the next generation of difference makers. The platform provides a gateway to 2 million eBooks and digital content from 4,700 publishers. We partner with institutions to supply a digital bookshelf that embeds into VLEs, so students and academics can engage with course content anytime, anywhere. Our smart study tools and collaboration features enable deep engagement with content for an engaging and research-led learning experience, whilst our insightful learner analytics help universities make informed acquisition decisions, drive improvements and provide tailored student support. With unlimited user capacity, Arcturus is scalable, supporting programmes, institutions and entire countries, where access to technology offers exciting opportunities for all.</t>
        </is>
      </c>
      <c r="H293" s="1" t="inlineStr">
        <is>
          <t>I'm not part of any EdTech association</t>
        </is>
      </c>
      <c r="I293" s="1" t="n"/>
      <c r="J293" s="1" t="inlineStr">
        <is>
          <t>Bournemouth</t>
        </is>
      </c>
      <c r="K293" t="inlineStr">
        <is>
          <t>Bournemouth</t>
        </is>
      </c>
      <c r="L293" t="inlineStr">
        <is>
          <t>Bournemouth, United Kingdom</t>
        </is>
      </c>
      <c r="M293" t="n">
        <v>50.7201514</v>
      </c>
      <c r="N293" t="n">
        <v>-1.8799118</v>
      </c>
      <c r="O293" s="1" t="inlineStr">
        <is>
          <t>United Kingdom</t>
        </is>
      </c>
      <c r="P293"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293" s="1" t="inlineStr">
        <is>
          <t>100+</t>
        </is>
      </c>
      <c r="R293" t="inlineStr">
        <is>
          <t>Medium or Large (unspecified)</t>
        </is>
      </c>
      <c r="S293" s="1" t="inlineStr">
        <is>
          <t>Business to Business, Business to Consumer, Business to Government, Business to Schools</t>
        </is>
      </c>
      <c r="T293" s="1" t="inlineStr">
        <is>
          <t>Higher Education, Corporate Training, Lifelong learning/Adult education</t>
        </is>
      </c>
      <c r="U293" s="1" t="inlineStr">
        <is>
          <t>Student interfacing, Teacher interfacing, System/Administrative</t>
        </is>
      </c>
      <c r="V293" s="1" t="inlineStr">
        <is>
          <t>The Kortext Arcturus Platform</t>
        </is>
      </c>
      <c r="W293" s="10" t="inlineStr">
        <is>
          <t>The Kortext Arcturus platform is the UK’s number one learning content and engagement platform for students in higher education, supporting universities in their mission to educate the next generation of difference makers. Accessed by millions of students worldwide, Arcturus – named after the brightest star in the Northern Hemisphere – is fast, secure, reliable and unlimited, enhancing teaching and learning experiences for the global education community.</t>
        </is>
      </c>
      <c r="X293" s="10" t="inlineStr">
        <is>
          <t>KeyLinks</t>
        </is>
      </c>
      <c r="Y293" t="inlineStr">
        <is>
          <t>KeyLinks is the smart reading list management system that enables further and higher education institutions to organise and manage learning content such as eTextbooks, journal extracts, articles, case reference files and training materials into easily accessible reading lists.
With KeyLinks, institution libraries and academics can work in partnership to direct students to the right materials at the right time.</t>
        </is>
      </c>
      <c r="Z293" s="1" t="inlineStr">
        <is>
          <t>https://drive.google.com/uc?export=view&amp;id=1iDx1dFzc7GiYqFatYkfY-s549Cw1jrp9</t>
        </is>
      </c>
      <c r="AA293" s="1" t="inlineStr">
        <is>
          <t>Unverified</t>
        </is>
      </c>
      <c r="AB293" s="1" t="n"/>
      <c r="AC293" s="1" t="n"/>
      <c r="AD293" s="10" t="n"/>
      <c r="AE293" s="1" t="n"/>
      <c r="AF293" t="inlineStr">
        <is>
          <t>Yes</t>
        </is>
      </c>
      <c r="AG293" t="inlineStr">
        <is>
          <t>Kortext</t>
        </is>
      </c>
      <c r="AH293" t="inlineStr">
        <is>
          <t>https://twitter.com/Kortext</t>
        </is>
      </c>
      <c r="AI293" t="inlineStr">
        <is>
          <t>https://www.linkedin.com/company/kortext/</t>
        </is>
      </c>
    </row>
    <row r="294" ht="12.5" customHeight="1">
      <c r="A294" s="6" t="n">
        <v>45679</v>
      </c>
      <c r="B294" s="1" t="inlineStr">
        <is>
          <t>ORG_1997</t>
        </is>
      </c>
      <c r="C294" s="1" t="b">
        <v>1</v>
      </c>
      <c r="D294" s="1" t="inlineStr">
        <is>
          <t>Mussila</t>
        </is>
      </c>
      <c r="E294" s="10" t="inlineStr">
        <is>
          <t>https://mussila.com/</t>
        </is>
      </c>
      <c r="F294" t="inlineStr">
        <is>
          <t>mussila.com</t>
        </is>
      </c>
      <c r="G294" s="1" t="inlineStr">
        <is>
          <t>Mussila is an EdTech company that offers creative digital learning solutions for children through a unique Learn, Play &amp; Create methodology. Mussila won the Bett 2022 for the Best International Digital Educational Resource. Today schools from 20 countries are using the Mussila solutions in the classroom.</t>
        </is>
      </c>
      <c r="H294" s="1" t="inlineStr">
        <is>
          <t>SuperCharger Ventures, xEdu</t>
        </is>
      </c>
      <c r="I294" s="1" t="n"/>
      <c r="J294" s="1" t="inlineStr">
        <is>
          <t>Reykjavik</t>
        </is>
      </c>
      <c r="K294" t="inlineStr">
        <is>
          <t>Reykjavik</t>
        </is>
      </c>
      <c r="L294" t="inlineStr">
        <is>
          <t>Reykjavik, Iceland</t>
        </is>
      </c>
      <c r="M294" t="n">
        <v>64.14598100000001</v>
      </c>
      <c r="N294" t="n">
        <v>-21.9422367</v>
      </c>
      <c r="O294" s="1" t="inlineStr">
        <is>
          <t>Iceland</t>
        </is>
      </c>
      <c r="P294" s="1" t="inlineStr">
        <is>
          <t>Belgium, Bulgaria, Croatia, Cyprus, Czechia, Denmark, Estonia, France, Germany, Greece, Hungary, Iceland, Ireland, Italy, Norway, Poland, Portugal, Romania, Russia, Serbia, Slovakia, Slovenia, Spain, Sweden, Switzerland, Turkey, Ukraine, United Kingdom</t>
        </is>
      </c>
      <c r="Q294" s="1" t="inlineStr">
        <is>
          <t>11 to 50</t>
        </is>
      </c>
      <c r="R294" t="inlineStr">
        <is>
          <t>Small</t>
        </is>
      </c>
      <c r="S294" s="1" t="inlineStr">
        <is>
          <t>Business to Business, Business to Consumer, Business to Schools</t>
        </is>
      </c>
      <c r="T294" s="1" t="inlineStr">
        <is>
          <t>Primary Education</t>
        </is>
      </c>
      <c r="U294" s="1" t="inlineStr">
        <is>
          <t>System/Administrative, Teacher interfacing</t>
        </is>
      </c>
      <c r="V294" s="10" t="inlineStr">
        <is>
          <t>Mussila Music</t>
        </is>
      </c>
      <c r="W294" s="1" t="inlineStr">
        <is>
          <t>Mussila Music is the award-winning app that allows kids to explore the world of music on their own and allows them to gain knowledge without continuous external help.
The app provides hours of musical lessons, games, and challenges, carefully crafted by musical experts and educators, designed to provide a joyful experience.
Not sure about your musical skills? Don’t worry, Mussila is perfect for beginners.</t>
        </is>
      </c>
      <c r="X294" s="10" t="inlineStr">
        <is>
          <t>Mussila WordPlay</t>
        </is>
      </c>
      <c r="Y294" t="inlineStr">
        <is>
          <t>WordPlay is a reading and comprehension app that will help kids strengthen their vocabulary in a fun and playful way. While playing, users will improve their language skills, memory, auditory understanding, and speech
Not fluent in English? This is the perfect app to learn as a native!
Start the journey: learn through play</t>
        </is>
      </c>
      <c r="Z294" s="1" t="inlineStr">
        <is>
          <t>https://drive.google.com/uc?export=view&amp;id=1CugYaWJjQygOychkFnQ7QOmI9Jel0jF1</t>
        </is>
      </c>
      <c r="AA294" s="1" t="inlineStr">
        <is>
          <t>Unverified</t>
        </is>
      </c>
      <c r="AB294" s="1" t="n"/>
      <c r="AC294" s="1" t="n"/>
      <c r="AD294" s="10" t="n"/>
      <c r="AE294" s="1" t="n"/>
      <c r="AF294" t="inlineStr">
        <is>
          <t>Yes</t>
        </is>
      </c>
      <c r="AG294" t="inlineStr">
        <is>
          <t>https://www.instagram.com/mussila_apps/</t>
        </is>
      </c>
      <c r="AH294" t="inlineStr">
        <is>
          <t>https://www.linkedin.com/in/jongunnarthordarson/</t>
        </is>
      </c>
      <c r="AI294" t="inlineStr">
        <is>
          <t>https://www.linkedin.com/in/jongunnarthordarson/</t>
        </is>
      </c>
    </row>
    <row r="295" ht="12.5" customHeight="1">
      <c r="A295" s="6" t="n">
        <v>45679</v>
      </c>
      <c r="B295" s="1" t="inlineStr">
        <is>
          <t>ORG_2391</t>
        </is>
      </c>
      <c r="C295" s="1" t="b">
        <v>1</v>
      </c>
      <c r="D295" s="1" t="inlineStr">
        <is>
          <t>Texthelp Ltd</t>
        </is>
      </c>
      <c r="E295" s="10" t="inlineStr">
        <is>
          <t>https://www.texthelp.com/en-gb/</t>
        </is>
      </c>
      <c r="F295" t="inlineStr">
        <is>
          <t>texthelp.com/en-gb</t>
        </is>
      </c>
      <c r="G295" s="1" t="inlineStr">
        <is>
          <t>The Texthelp Group has spent three decades developing innovative education software tools that support literacy, accessibility, maths and science. With 60 million users across the globe, their software tools have a tangible, positive impact upon the educational development of countless students. 
Texthelp software includes Read&amp;Write to support literacy and dyslexia, Equatio© that enables engaging opportunities for learning maths online and OrbitNote© to create new ways of utilising PDF documents for learning. Across all devices, platforms and content types, they seamlessly integrate with the tools teachers and students already use. 
With over 350 staff based across the UK, Nordics, US and Australia, the Texthelp mission is to help everyone understand and be understood. Visit www.texthelp.com for more information.</t>
        </is>
      </c>
      <c r="H295" s="1" t="inlineStr">
        <is>
          <t>I'm not part of any EdTech association</t>
        </is>
      </c>
      <c r="I295" s="1" t="n"/>
      <c r="J295" s="1" t="inlineStr">
        <is>
          <t>Antrim</t>
        </is>
      </c>
      <c r="K295" t="inlineStr">
        <is>
          <t>Antrim</t>
        </is>
      </c>
      <c r="L295" t="inlineStr">
        <is>
          <t>Antrim, United Kingdom</t>
        </is>
      </c>
      <c r="M295" t="n">
        <v>54.8647255</v>
      </c>
      <c r="N295" t="n">
        <v>-6.1436379</v>
      </c>
      <c r="O295" s="1" t="inlineStr">
        <is>
          <t>United Kingdom</t>
        </is>
      </c>
      <c r="P295" s="1" t="inlineStr">
        <is>
          <t>Austria, Belgium, Bulgaria, Cyprus, Denmark, Finland, France, Germany, Hungary, Iceland, Ireland, Italy, Luxembourg, Netherlands, Norway, Poland, Portugal, Romania, Spain, Sweden, Switzerland, United Kingdom</t>
        </is>
      </c>
      <c r="Q295" s="1" t="inlineStr">
        <is>
          <t>100+</t>
        </is>
      </c>
      <c r="R295" t="inlineStr">
        <is>
          <t>Medium or Large (unspecified)</t>
        </is>
      </c>
      <c r="S295" s="1" t="inlineStr">
        <is>
          <t>Business to Consumer, Business to Government, Business to Schools</t>
        </is>
      </c>
      <c r="T295" s="1" t="inlineStr">
        <is>
          <t>Primary Education, Secondary Education, Higher Education, Lifelong learning/Adult education</t>
        </is>
      </c>
      <c r="U295" s="1" t="inlineStr">
        <is>
          <t>System/Administrative, Teacher interfacing, Student interfacing</t>
        </is>
      </c>
      <c r="V295" s="10" t="inlineStr">
        <is>
          <t>Read&amp;Write</t>
        </is>
      </c>
      <c r="W295" s="10" t="inlineStr">
        <is>
          <t>A literacy support toolbar that works across all content and platforms to support literacy, accessibility, dyslexia and language learning. The toolbar includes a wide range of supports like text to speech, speech to text, talking dictionaries, picture dictionaries, study and revision tools and more.</t>
        </is>
      </c>
      <c r="X295" s="10" t="inlineStr">
        <is>
          <t>OrbitNote</t>
        </is>
      </c>
      <c r="Y295" t="inlineStr">
        <is>
          <t>OrbitNote is a PDF software that allows you to transform and interact with documents in a completely different way. OrbitNote allows you to create an accessible, dynamic and collaborative space that works for everyone and to create new ways of utilising PDF documents for learning.</t>
        </is>
      </c>
      <c r="Z295" s="1" t="inlineStr">
        <is>
          <t>https://drive.google.com/uc?export=view&amp;id=1IiuEPKZpGt7mOTtPZABGmkr-rWNXWJjG</t>
        </is>
      </c>
      <c r="AA295" s="1" t="inlineStr">
        <is>
          <t>Unverified</t>
        </is>
      </c>
      <c r="AB295" s="1" t="n"/>
      <c r="AC295" s="1" t="n"/>
      <c r="AD295" s="10" t="n"/>
      <c r="AE295" s="1" t="n"/>
      <c r="AF295" t="inlineStr">
        <is>
          <t>Yes</t>
        </is>
      </c>
      <c r="AG295" t="inlineStr">
        <is>
          <t>https://www.instagram.com/texthelpers/?hl=en</t>
        </is>
      </c>
      <c r="AH295" t="inlineStr">
        <is>
          <t>https://twitter.com/texthelp</t>
        </is>
      </c>
      <c r="AI295" t="inlineStr">
        <is>
          <t>https://www.linkedin.com/company/texthelp/mycompany/</t>
        </is>
      </c>
    </row>
    <row r="296" ht="12.5" customHeight="1">
      <c r="A296" s="6" t="n">
        <v>45679</v>
      </c>
      <c r="B296" s="1" t="inlineStr">
        <is>
          <t>ORG_2527</t>
        </is>
      </c>
      <c r="C296" s="1" t="b">
        <v>1</v>
      </c>
      <c r="D296" s="1" t="inlineStr">
        <is>
          <t>Whizz Education</t>
        </is>
      </c>
      <c r="E296" s="10" t="inlineStr">
        <is>
          <t>www.whizzeducation.com</t>
        </is>
      </c>
      <c r="F296" t="inlineStr">
        <is>
          <t>whizzeducation.com</t>
        </is>
      </c>
      <c r="G296" s="1" t="inlineStr">
        <is>
          <t>Whizz Education is an education partner accountable for learning outcomes. Guided by a wealth of live learning data from the world’s first personalised, scaffolded, and adaptive virtual tutor, Maths-Whizz, we work with education stakeholders across borders and cultures to instigate sustainable changes to education and deliver accelerate learning. We design large-scale implementations within a coherent theory of change to embrace the unique context of each environment and drive sustainable educational impact.
Our technologies are designed for flexible adoption. They are adaptable enough to serve implementations in low and high resource environments. Our solutions are localised to meet the particular requirements of national curricula, ensuring that learning, teaching and reporting are aligned to the specific educational objectives of each school client and government project.</t>
        </is>
      </c>
      <c r="H296" s="1" t="inlineStr">
        <is>
          <t>I'm not part of any EdTech association</t>
        </is>
      </c>
      <c r="I296" s="1" t="n"/>
      <c r="J296" s="1" t="inlineStr">
        <is>
          <t>London</t>
        </is>
      </c>
      <c r="K296" t="inlineStr">
        <is>
          <t>London</t>
        </is>
      </c>
      <c r="L296" t="inlineStr">
        <is>
          <t>London, United Kingdom</t>
        </is>
      </c>
      <c r="M296" t="n">
        <v>51.5074456</v>
      </c>
      <c r="N296" t="n">
        <v>-0.1277653</v>
      </c>
      <c r="O296" s="1" t="inlineStr">
        <is>
          <t>United Kingdom</t>
        </is>
      </c>
      <c r="P296" s="1" t="inlineStr">
        <is>
          <t>France, Germany, Greece, Ireland, Spain, Switzerland, United Kingdom</t>
        </is>
      </c>
      <c r="Q296" s="1" t="inlineStr">
        <is>
          <t>11 to 50</t>
        </is>
      </c>
      <c r="R296" t="inlineStr">
        <is>
          <t>Small</t>
        </is>
      </c>
      <c r="S296" s="1" t="inlineStr">
        <is>
          <t>Business to Government, Business to Schools</t>
        </is>
      </c>
      <c r="T296" s="1" t="inlineStr">
        <is>
          <t>Primary Education, Secondary Education</t>
        </is>
      </c>
      <c r="U296" s="1" t="inlineStr">
        <is>
          <t>System/Administrative, Student interfacing, Teacher interfacing</t>
        </is>
      </c>
      <c r="V296" s="1" t="n"/>
      <c r="W296" s="1" t="inlineStr">
        <is>
          <t>https://drive.google.com/uc?export=view&amp;id=1HgiulYJF2Q8dxQSXsFN6vbLdkR9j8Qsg</t>
        </is>
      </c>
      <c r="X296" s="1" t="inlineStr">
        <is>
          <t>https://drive.google.com/uc?export=view&amp;id=1HgiulYJF2Q8dxQSXsFN6vbLdkR9j8Qsg</t>
        </is>
      </c>
      <c r="Y296" t="inlineStr">
        <is>
          <t>https://drive.google.com/uc?export=view&amp;id=1HgiulYJF2Q8dxQSXsFN6vbLdkR9j8Qsg</t>
        </is>
      </c>
      <c r="Z296" s="1" t="inlineStr">
        <is>
          <t>https://drive.google.com/uc?export=view&amp;id=1HgiulYJF2Q8dxQSXsFN6vbLdkR9j8Qsg</t>
        </is>
      </c>
      <c r="AA296" s="1" t="inlineStr">
        <is>
          <t>Unverified</t>
        </is>
      </c>
      <c r="AB296" s="1" t="n"/>
      <c r="AC296" s="1" t="n"/>
      <c r="AD296" s="10" t="n"/>
      <c r="AE296" s="1" t="n"/>
      <c r="AF296" t="inlineStr">
        <is>
          <t>No</t>
        </is>
      </c>
    </row>
    <row r="297" ht="12.5" customHeight="1">
      <c r="A297" s="6" t="n">
        <v>45679</v>
      </c>
      <c r="B297" s="1" t="inlineStr">
        <is>
          <t>ORG_1230</t>
        </is>
      </c>
      <c r="C297" s="1" t="b">
        <v>1</v>
      </c>
      <c r="D297" s="1" t="inlineStr">
        <is>
          <t>Chart Learning Solutions</t>
        </is>
      </c>
      <c r="E297" s="10" t="inlineStr">
        <is>
          <t>www.chartlearningsolutions.com</t>
        </is>
      </c>
      <c r="F297" t="inlineStr">
        <is>
          <t>chartlearningsolutions.com</t>
        </is>
      </c>
      <c r="G297" s="1" t="inlineStr">
        <is>
          <t>Chart Learning Solutions is a performance improvement company and a leading global provider of award-winning hybrid and e-learning content in professional skill development and employee accountability. 
Piloting Leadership Development training, using artificial intelligence together with Area 9 Lyceum.
Chart Learning Solutions' core differentiation is to combine analysis, self-paced online learning, our Performance Assurance System™ with live coaching and value add services to achieve your objectives. 
Chart is today a 10-times award-winning company providing impact to companies on a global basis providing +300 online courses in Soft Skills.</t>
        </is>
      </c>
      <c r="H297" s="1" t="inlineStr">
        <is>
          <t>I'm not part of any EdTech association</t>
        </is>
      </c>
      <c r="I297" s="1" t="n"/>
      <c r="J297" s="1" t="inlineStr">
        <is>
          <t>Båstad</t>
        </is>
      </c>
      <c r="K297" t="inlineStr">
        <is>
          <t>Båstad</t>
        </is>
      </c>
      <c r="L297" t="inlineStr">
        <is>
          <t>Båstad, Sweden</t>
        </is>
      </c>
      <c r="M297" t="n">
        <v>56.4268963</v>
      </c>
      <c r="N297" t="n">
        <v>12.8608789</v>
      </c>
      <c r="O297" s="1" t="inlineStr">
        <is>
          <t>Sweden</t>
        </is>
      </c>
      <c r="P297" s="1" t="inlineStr">
        <is>
          <t>France, Portugal, Spain, Sweden, Switzerland, United Kingdom</t>
        </is>
      </c>
      <c r="Q297" s="1" t="inlineStr">
        <is>
          <t>0 to 10</t>
        </is>
      </c>
      <c r="R297" t="inlineStr">
        <is>
          <t>Micro</t>
        </is>
      </c>
      <c r="S297" s="1" t="inlineStr">
        <is>
          <t>Business to Business</t>
        </is>
      </c>
      <c r="T297" s="1" t="inlineStr">
        <is>
          <t>Corporate Training</t>
        </is>
      </c>
      <c r="U297" s="1" t="inlineStr">
        <is>
          <t>Teacher interfacing, System/Administrative</t>
        </is>
      </c>
      <c r="V297" s="1" t="inlineStr">
        <is>
          <t>Chart Leadership Development</t>
        </is>
      </c>
      <c r="W297" s="1" t="inlineStr">
        <is>
          <t>Chart Learning Solutions offers training options to assist organizations in the development of leaders, teams, customer service providers, and sales executives. Our award-winning, proprietary learning process increases performance, accountability, and delivers lasting cultural change.
 We are experts at helping organizations: 
•	Begin conversations that stimulate creativity and innovation
•	Create effective processes that drive positive outcomes and results
•	Improve employee accountability 
•	Build a common language that enhances communication between sales, service, and leading managers</t>
        </is>
      </c>
      <c r="X297" s="10" t="inlineStr">
        <is>
          <t>Training Accountability Platform</t>
        </is>
      </c>
      <c r="Y297" t="inlineStr">
        <is>
          <t>Chart’s Training Accountability Platform (TAP) is recognized by its ease of use and its graphical user interface. You don’t have to leave your dashboard, just get started!
Start your e-learning and blended learning project in minutes to immediately deliver training to users across the world. If you are a traditional class-room provider and wants to become digital, this is the solution!
Chart’s TAP is unique since it comes pre-load with nearly 300 award-winning blended-learning courses.</t>
        </is>
      </c>
      <c r="Z297" s="1" t="inlineStr">
        <is>
          <t>https://drive.google.com/uc?export=view&amp;id=1R2pjUni_iEWRJ0PzrcVEI775e2HHlLmy</t>
        </is>
      </c>
      <c r="AA297" s="1" t="inlineStr">
        <is>
          <t>Unverified</t>
        </is>
      </c>
      <c r="AB297" s="1" t="n"/>
      <c r="AC297" s="1" t="n"/>
      <c r="AD297" s="10" t="n"/>
      <c r="AE297" s="1" t="n"/>
      <c r="AF297" t="inlineStr">
        <is>
          <t>Yes</t>
        </is>
      </c>
      <c r="AG297" t="inlineStr">
        <is>
          <t>https://www.linkedin.com/company/chart-learning-solutions-international/</t>
        </is>
      </c>
      <c r="AH297" t="inlineStr">
        <is>
          <t>https://www.linkedin.com/company/chart-learning-solutions-international/</t>
        </is>
      </c>
      <c r="AI297" t="inlineStr">
        <is>
          <t>https://www.linkedin.com/company/chart-learning-solutions-international/</t>
        </is>
      </c>
    </row>
    <row r="298" ht="12.5" customHeight="1">
      <c r="A298" s="6" t="n">
        <v>45679</v>
      </c>
      <c r="B298" s="1" t="inlineStr">
        <is>
          <t>ORG_1750</t>
        </is>
      </c>
      <c r="C298" s="1" t="b">
        <v>1</v>
      </c>
      <c r="D298" s="1" t="inlineStr">
        <is>
          <t>itslearning</t>
        </is>
      </c>
      <c r="E298" s="10" t="inlineStr">
        <is>
          <t>https://itslearning.com/global/</t>
        </is>
      </c>
      <c r="F298" t="inlineStr">
        <is>
          <t>itslearning.com/global</t>
        </is>
      </c>
      <c r="G298" s="1" t="inlineStr">
        <is>
          <t>About itslearning 
itslearning is the leading European provider of learning platforms for schools and universities. We are Nordic in spirit and by design. Our focus is to deliver an intuitive learning platform, empowering educators and students.
Built specifically for teaching, itslearning is used by millions of people around the world. The company is headquartered in Bergen, Norway, with offices in 7 countries. Since 2019, itslearning has been part of the Sanoma Group. See more information at itslearning.com 
About Sanoma 
Sanoma is an innovative and agile learning and media company impacting the lives of millions every day. Our learning products and services enable teachers to develop the talents of every child to reach their full potential. We offer printed and digital course materials as well as digital learning and teaching platforms. More information is available at www.sanoma.com.</t>
        </is>
      </c>
      <c r="H298" s="1" t="inlineStr">
        <is>
          <t>EdTech Denmark, Swedish EdTech Industry</t>
        </is>
      </c>
      <c r="I298" s="1" t="n"/>
      <c r="J298" s="1" t="inlineStr">
        <is>
          <t>Edvard Griegs Vei 1</t>
        </is>
      </c>
      <c r="L298" t="inlineStr">
        <is>
          <t>Edvard Griegs Vei 1, Norway</t>
        </is>
      </c>
      <c r="O298" s="1" t="inlineStr">
        <is>
          <t>Norway</t>
        </is>
      </c>
      <c r="P298" s="1" t="inlineStr">
        <is>
          <t>Belgium, Denmark, Finland, France, Germany, Ireland, Malta, Netherlands, Norway, Poland, Spain, Sweden, United Kingdom</t>
        </is>
      </c>
      <c r="Q298" s="1" t="inlineStr">
        <is>
          <t>101 to 500</t>
        </is>
      </c>
      <c r="R298" t="inlineStr">
        <is>
          <t>Medium or Large (unspecified)</t>
        </is>
      </c>
      <c r="S298" s="1" t="inlineStr">
        <is>
          <t>Business to Business, Business to Government, Business to Schools</t>
        </is>
      </c>
      <c r="T298" s="1" t="inlineStr">
        <is>
          <t>Primary Education, Secondary Education, Lifelong learning/Adult education, Vocational Education and Training (VET), Higher Education</t>
        </is>
      </c>
      <c r="U298" s="1" t="inlineStr">
        <is>
          <t>Student interfacing, Teacher interfacing, System/Administrative</t>
        </is>
      </c>
      <c r="V298" s="1" t="inlineStr">
        <is>
          <t>itslearning</t>
        </is>
      </c>
      <c r="W298" s="10" t="inlineStr">
        <is>
          <t>itslearning is a cloud-based learning platform designed for teachers and how they want to teach. 
Our platform helps you plan for successful learning. It's easy to create lessons and resources that engage your students. It streamlines common teaching tasks, allowing more time to teach. It provides actionable insights about student progress to help better personalize instruction.
The result: delighted teachers, happy students, and improved learning.
Learn more at itslearning.com/global</t>
        </is>
      </c>
      <c r="X298" s="10" t="inlineStr">
        <is>
          <t>https://drive.google.com/uc?export=view&amp;id=1L2ZJs-VbMlvtebHw5l_1nsjxIJ6vY8X8</t>
        </is>
      </c>
      <c r="Y298" t="inlineStr">
        <is>
          <t>https://drive.google.com/uc?export=view&amp;id=1L2ZJs-VbMlvtebHw5l_1nsjxIJ6vY8X8</t>
        </is>
      </c>
      <c r="Z298" s="1" t="inlineStr">
        <is>
          <t>https://drive.google.com/uc?export=view&amp;id=1L2ZJs-VbMlvtebHw5l_1nsjxIJ6vY8X8</t>
        </is>
      </c>
      <c r="AA298" s="1" t="inlineStr">
        <is>
          <t>Unverified</t>
        </is>
      </c>
      <c r="AB298" s="1" t="n"/>
      <c r="AC298" s="1" t="n"/>
      <c r="AD298" s="10" t="n"/>
      <c r="AE298" s="1" t="n"/>
      <c r="AF298" s="1" t="inlineStr">
        <is>
          <t>Yes</t>
        </is>
      </c>
      <c r="AG298" s="1" t="inlineStr">
        <is>
          <t>https://twitter.com/itslearning</t>
        </is>
      </c>
      <c r="AH298" s="1" t="inlineStr">
        <is>
          <t>https://twitter.com/itslearning</t>
        </is>
      </c>
      <c r="AI298" t="inlineStr">
        <is>
          <t>https://www.linkedin.com/company/itslearning-as</t>
        </is>
      </c>
    </row>
    <row r="299" ht="12.5" customHeight="1">
      <c r="A299" s="6" t="n">
        <v>45679</v>
      </c>
      <c r="B299" s="1" t="inlineStr">
        <is>
          <t>ORG_1091</t>
        </is>
      </c>
      <c r="C299" s="1" t="b">
        <v>1</v>
      </c>
      <c r="D299" s="1" t="inlineStr">
        <is>
          <t>Archipel Academy</t>
        </is>
      </c>
      <c r="E299" s="10" t="inlineStr">
        <is>
          <t>www.archipel.academy</t>
        </is>
      </c>
      <c r="F299" t="inlineStr">
        <is>
          <t>archipel.academy</t>
        </is>
      </c>
      <c r="G299" s="1" t="inlineStr">
        <is>
          <t>●	Archipel Academy is a leading Dutch educational technology and services company
●	The company was launched in 2019 to support organizations with streamlining learning processes, organization and purchasing
Archipel orchestrates learning of large organizations and is trusted by blue-chips such as Unilever, KPMG, Bosch, Philips and TransDev
●	Archipel covers the entire learning curriculum and needs: online &amp; offline, company internal courses &amp; training as well as 
third party courses &amp; training
●	Our company offers a unique end-to-end platform by combining a SaaS learning platform, content marketplace and a learning services model</t>
        </is>
      </c>
      <c r="H299" s="1" t="inlineStr">
        <is>
          <t>Dutch EdTech</t>
        </is>
      </c>
      <c r="I299" s="1" t="inlineStr">
        <is>
          <t>English, French, German, Swedish, Finnish, Dutch</t>
        </is>
      </c>
      <c r="J299" s="1" t="inlineStr">
        <is>
          <t>Zaltbommel</t>
        </is>
      </c>
      <c r="K299" t="inlineStr">
        <is>
          <t>Zaltbommel</t>
        </is>
      </c>
      <c r="L299" t="inlineStr">
        <is>
          <t>Zaltbommel, The Netherlands</t>
        </is>
      </c>
      <c r="M299" t="n">
        <v>51.7970128</v>
      </c>
      <c r="N299" t="n">
        <v>5.2595648</v>
      </c>
      <c r="O299" s="1" t="inlineStr">
        <is>
          <t>The Netherlands</t>
        </is>
      </c>
      <c r="P299" s="1" t="inlineStr">
        <is>
          <t>Belgium, Denmark, France, Germany, Netherlands, Norway, Spain, Sweden, United Kingdom</t>
        </is>
      </c>
      <c r="Q299" s="1" t="inlineStr">
        <is>
          <t>101 to 500</t>
        </is>
      </c>
      <c r="R299" t="inlineStr">
        <is>
          <t>Medium or Large (unspecified)</t>
        </is>
      </c>
      <c r="S299" s="1" t="inlineStr">
        <is>
          <t>Business to Business</t>
        </is>
      </c>
      <c r="T299" s="1" t="inlineStr">
        <is>
          <t>Corporate Training, Lifelong learning/Adult education, Higher Education</t>
        </is>
      </c>
      <c r="U299" s="1" t="inlineStr">
        <is>
          <t>Student interfacing, System/Administrative</t>
        </is>
      </c>
      <c r="V299" s="1" t="inlineStr">
        <is>
          <t>Learning platform</t>
        </is>
      </c>
      <c r="W299" s="1" t="inlineStr">
        <is>
          <t>Our all-in-one AI powered learning platform is the central place for organization where there is a clear overview of everything related to learning ranging from certifications, learning curricula, learning content, test and scans and create and publish e-learning modules.</t>
        </is>
      </c>
      <c r="X299" s="10" t="inlineStr">
        <is>
          <t>Learning services</t>
        </is>
      </c>
      <c r="Y299" t="inlineStr">
        <is>
          <t>Archipel academy's learning services take operational, financial and administrative processes off your hands. From planning to evaluation we handle it all.</t>
        </is>
      </c>
      <c r="Z299" s="1" t="inlineStr">
        <is>
          <t>https://drive.google.com/uc?export=view&amp;id=1jTPXcAwTZj6mGTcn-3xdeT67Ydw8hoWY</t>
        </is>
      </c>
      <c r="AA299" s="1" t="inlineStr">
        <is>
          <t>Unverified</t>
        </is>
      </c>
      <c r="AB299" s="1" t="n"/>
      <c r="AC299" s="1" t="n"/>
      <c r="AD299" s="10" t="n"/>
      <c r="AE299" s="1" t="n"/>
      <c r="AF299" s="1" t="inlineStr">
        <is>
          <t>Yes</t>
        </is>
      </c>
      <c r="AG299" s="1" t="inlineStr">
        <is>
          <t>https://www.linkedin.com/company/archipel-academy/</t>
        </is>
      </c>
      <c r="AH299" s="1" t="inlineStr">
        <is>
          <t>https://www.linkedin.com/company/archipel-academy/</t>
        </is>
      </c>
      <c r="AI299" s="1" t="inlineStr">
        <is>
          <t>https://www.linkedin.com/company/archipel-academy/</t>
        </is>
      </c>
      <c r="AJ299" s="1" t="n"/>
    </row>
    <row r="300" ht="12.5" customHeight="1">
      <c r="A300" s="6" t="n">
        <v>45679</v>
      </c>
      <c r="B300" s="1" t="inlineStr">
        <is>
          <t>ORG_1188</t>
        </is>
      </c>
      <c r="C300" s="1" t="b">
        <v>1</v>
      </c>
      <c r="D300" s="1" t="inlineStr">
        <is>
          <t>Bool Technologies</t>
        </is>
      </c>
      <c r="E300" s="10" t="inlineStr">
        <is>
          <t>www.bool.ie</t>
        </is>
      </c>
      <c r="F300" t="inlineStr">
        <is>
          <t>bool.ie</t>
        </is>
      </c>
      <c r="G300" s="1" t="inlineStr">
        <is>
          <t>Edtech school management systems incl. student time and attendance, library management, school meals &amp; cashless catering, parent communications and more</t>
        </is>
      </c>
      <c r="H300" s="1" t="inlineStr">
        <is>
          <t>I'm not part of any EdTech association</t>
        </is>
      </c>
      <c r="I300" s="1" t="n"/>
      <c r="J300" s="1" t="inlineStr">
        <is>
          <t>Killarney Rd., Killorglin, Co. Kerry</t>
        </is>
      </c>
      <c r="K300" t="inlineStr">
        <is>
          <t>Killorglin</t>
        </is>
      </c>
      <c r="L300" t="inlineStr">
        <is>
          <t>Killorglin, Ireland</t>
        </is>
      </c>
      <c r="M300" t="n">
        <v>52.1061973</v>
      </c>
      <c r="N300" t="n">
        <v>-9.786788100000001</v>
      </c>
      <c r="O300" s="1" t="inlineStr">
        <is>
          <t>Ireland</t>
        </is>
      </c>
      <c r="P300" s="1" t="inlineStr">
        <is>
          <t>Ireland</t>
        </is>
      </c>
      <c r="Q300" s="1" t="inlineStr">
        <is>
          <t>0 to 10</t>
        </is>
      </c>
      <c r="R300" t="inlineStr">
        <is>
          <t>Micro</t>
        </is>
      </c>
      <c r="S300" s="1" t="inlineStr">
        <is>
          <t>Business to Business</t>
        </is>
      </c>
      <c r="T300" s="1" t="inlineStr">
        <is>
          <t>Secondary Education, Higher Education</t>
        </is>
      </c>
      <c r="U300" s="1" t="inlineStr">
        <is>
          <t>Student interfacing, Teacher interfacing, System/Administrative</t>
        </is>
      </c>
      <c r="V300" s="1" t="n"/>
      <c r="W300" s="1" t="inlineStr">
        <is>
          <t>https://drive.google.com/uc?export=view&amp;id=1DZNSVGV5GfJ1_P88ASD3e77QGXgkQFJm</t>
        </is>
      </c>
      <c r="X300" s="1" t="inlineStr">
        <is>
          <t>https://drive.google.com/uc?export=view&amp;id=1DZNSVGV5GfJ1_P88ASD3e77QGXgkQFJm</t>
        </is>
      </c>
      <c r="Y300" t="inlineStr">
        <is>
          <t>https://drive.google.com/uc?export=view&amp;id=1DZNSVGV5GfJ1_P88ASD3e77QGXgkQFJm</t>
        </is>
      </c>
      <c r="Z300" s="1" t="inlineStr">
        <is>
          <t>https://drive.google.com/uc?export=view&amp;id=1DZNSVGV5GfJ1_P88ASD3e77QGXgkQFJm</t>
        </is>
      </c>
      <c r="AA300" s="1" t="inlineStr">
        <is>
          <t>Unverified</t>
        </is>
      </c>
      <c r="AB300" s="1" t="n"/>
      <c r="AC300" s="1" t="n"/>
      <c r="AD300" s="10" t="n"/>
      <c r="AE300" s="1" t="n"/>
      <c r="AF300" t="inlineStr">
        <is>
          <t>No</t>
        </is>
      </c>
    </row>
    <row r="301" ht="12.5" customHeight="1">
      <c r="A301" s="6" t="n">
        <v>45679</v>
      </c>
      <c r="B301" s="1" t="inlineStr">
        <is>
          <t>ORG_1579</t>
        </is>
      </c>
      <c r="C301" s="1" t="b">
        <v>1</v>
      </c>
      <c r="D301" s="1" t="inlineStr">
        <is>
          <t>Fox Education</t>
        </is>
      </c>
      <c r="E301" s="10" t="inlineStr">
        <is>
          <t>https://foxeducation.com/</t>
        </is>
      </c>
      <c r="F301" t="inlineStr">
        <is>
          <t>foxeducation.com</t>
        </is>
      </c>
      <c r="G301" s="1" t="inlineStr">
        <is>
          <t>FoxEducation helps every educational institution taking the next step into the digital world. As a reliable partner to thousands of schools, daycare centers, boards and municipalities, we support your digitisation at every stage.</t>
        </is>
      </c>
      <c r="H301" s="1" t="inlineStr">
        <is>
          <t>I'm not part of any EdTech association</t>
        </is>
      </c>
      <c r="I301" s="1" t="n"/>
      <c r="J301" s="1" t="inlineStr">
        <is>
          <t>Wien</t>
        </is>
      </c>
      <c r="K301" t="inlineStr">
        <is>
          <t>Wien</t>
        </is>
      </c>
      <c r="L301" t="inlineStr">
        <is>
          <t>Wien, Austria</t>
        </is>
      </c>
      <c r="M301" t="n">
        <v>48.2083537</v>
      </c>
      <c r="N301" t="n">
        <v>16.3725042</v>
      </c>
      <c r="O301" s="1" t="inlineStr">
        <is>
          <t>Austria</t>
        </is>
      </c>
      <c r="P301" s="1" t="inlineStr">
        <is>
          <t>Austria, Belgium, France, Germany, Italy, Spain, Switzerland, Turkey</t>
        </is>
      </c>
      <c r="Q301" s="1" t="inlineStr">
        <is>
          <t>51 to 100</t>
        </is>
      </c>
      <c r="R301" t="inlineStr">
        <is>
          <t>Medium</t>
        </is>
      </c>
      <c r="S301" s="1" t="inlineStr">
        <is>
          <t>Business to Business</t>
        </is>
      </c>
      <c r="T301" s="1" t="inlineStr">
        <is>
          <t>Early childhood development (0-5 years), Primary Education, Secondary Education</t>
        </is>
      </c>
      <c r="U301" s="1" t="inlineStr">
        <is>
          <t>System/Administrative, Student interfacing, Teacher interfacing</t>
        </is>
      </c>
      <c r="V301" s="10" t="inlineStr">
        <is>
          <t>SchoolFox</t>
        </is>
      </c>
      <c r="W301" s="1" t="inlineStr">
        <is>
          <t>SchoolFox is an integrated messenger, organiser and LMS.
With file storage, group chats and video lessons. For all school types and age groups. This is how school works from anywhere!</t>
        </is>
      </c>
      <c r="X301" s="10" t="inlineStr">
        <is>
          <t>KidsFox</t>
        </is>
      </c>
      <c r="Y301" t="inlineStr">
        <is>
          <t>The Daycare-Messenger
3 in 1: Messenger, digital assistant and organisation. With cloud storage, video conference &amp; group chats. Especially for daycare centers and kindergartens.</t>
        </is>
      </c>
      <c r="Z301" s="1" t="inlineStr">
        <is>
          <t>https://drive.google.com/uc?export=view&amp;id=1ykvgwsRTkJKB1TRdhRNy9v1TVafzC9ad</t>
        </is>
      </c>
      <c r="AA301" s="1" t="inlineStr">
        <is>
          <t>Unverified</t>
        </is>
      </c>
      <c r="AB301" s="1" t="n"/>
      <c r="AC301" s="1" t="n"/>
      <c r="AD301" s="10" t="n"/>
      <c r="AE301" s="1" t="n"/>
      <c r="AF301" s="1" t="inlineStr">
        <is>
          <t>Yes</t>
        </is>
      </c>
      <c r="AG301" s="1" t="inlineStr">
        <is>
          <t>https://www.instagram.com/foxeducation_dach/</t>
        </is>
      </c>
      <c r="AH301" s="1" t="inlineStr">
        <is>
          <t>https://at.linkedin.com/company/schoolfox</t>
        </is>
      </c>
      <c r="AI301" t="inlineStr">
        <is>
          <t>https://at.linkedin.com/company/schoolfox</t>
        </is>
      </c>
    </row>
    <row r="302" ht="12.5" customHeight="1">
      <c r="A302" s="6" t="n">
        <v>45679</v>
      </c>
      <c r="B302" s="1" t="inlineStr">
        <is>
          <t>ORG_1250</t>
        </is>
      </c>
      <c r="C302" s="1" t="b">
        <v>1</v>
      </c>
      <c r="D302" s="1" t="inlineStr">
        <is>
          <t>Classlist</t>
        </is>
      </c>
      <c r="E302" s="10" t="inlineStr">
        <is>
          <t>https://www.classlist.com</t>
        </is>
      </c>
      <c r="F302" t="inlineStr">
        <is>
          <t>classlist.com</t>
        </is>
      </c>
      <c r="G302" s="1" t="inlineStr">
        <is>
          <t>Classlist is the UK’s largest social networking app designed especially for schools. We operate in over 1,000 schools and 25 countries. Basically we help schools build amazing communities. Helping parents to connect with each other and share sensitive information about their kids and where they live. Helping parents and staff to collaborate - whether it’s helping to run the school garden or lift sharing to school matches. Lastly to help celebrate important milestones: starting school, sports day, concerts and leavers balls. In terms of functionality all the tools for positive community building are in one place. We’re like Linkedin, Ebay and Eventbrite for your school community.</t>
        </is>
      </c>
      <c r="H302" s="1" t="inlineStr">
        <is>
          <t>I'm not part of any EdTech association</t>
        </is>
      </c>
      <c r="I302" s="1" t="n"/>
      <c r="J302" s="1" t="inlineStr">
        <is>
          <t>Oxford</t>
        </is>
      </c>
      <c r="K302" t="inlineStr">
        <is>
          <t>Oxford</t>
        </is>
      </c>
      <c r="L302" t="inlineStr">
        <is>
          <t>Oxford, United Kingdom</t>
        </is>
      </c>
      <c r="M302" t="n">
        <v>51.7520131</v>
      </c>
      <c r="N302" t="n">
        <v>-1.2578499</v>
      </c>
      <c r="O302" s="1" t="inlineStr">
        <is>
          <t>United Kingdom</t>
        </is>
      </c>
      <c r="P302" s="1" t="inlineStr">
        <is>
          <t>Denmark, France, Germany, Hungary, Poland, Slovenia, Sweden, Switzerland, Turkey, United Kingdom</t>
        </is>
      </c>
      <c r="Q302" s="1" t="inlineStr">
        <is>
          <t>11 to 50</t>
        </is>
      </c>
      <c r="R302" t="inlineStr">
        <is>
          <t>Small</t>
        </is>
      </c>
      <c r="S302" s="1" t="inlineStr">
        <is>
          <t>Business to Business</t>
        </is>
      </c>
      <c r="T302" s="1" t="inlineStr">
        <is>
          <t>Primary Education, Secondary Education</t>
        </is>
      </c>
      <c r="U302" s="1" t="inlineStr">
        <is>
          <t>System/Administrative</t>
        </is>
      </c>
      <c r="V302" s="10" t="inlineStr">
        <is>
          <t>Classlist Parent Finder</t>
        </is>
      </c>
      <c r="W302" s="10" t="inlineStr">
        <is>
          <t>The Parent Finder is a popular feature on the Classlist App. It's a directory of parents at your school. Identifiable by their children's class and year group. Parents share sensitive information with each other. Such as their phone number, email and home address to facilitate school run sharing, birthday party invitations and playdates. Parents can private message each other or call them directly.</t>
        </is>
      </c>
      <c r="X302" s="10" t="inlineStr">
        <is>
          <t>Classlist Events</t>
        </is>
      </c>
      <c r="Y302" t="inlineStr">
        <is>
          <t>In real life meetups are core to nurturing a thriving school community. Classlist's event feature can cater to the more informal coffee mornings right up to the multi-stall summer festival or fayre. Parents use Classlist events to manage birthday parties and parent nights out. Parent Associations and Schools use Classlist events to arrange large scale fundraising balls and fairs. Utilising additional pro-features such as multiple ticket types and different currencies. Plus a volunteer sign up and scheduling tool.</t>
        </is>
      </c>
      <c r="Z302" s="1" t="inlineStr">
        <is>
          <t>https://drive.google.com/uc?export=view&amp;id=1WbnoXs7lAtAC_HjhkRCZWuSNczy35m9P</t>
        </is>
      </c>
      <c r="AA302" s="1" t="inlineStr">
        <is>
          <t>Unverified</t>
        </is>
      </c>
      <c r="AB302" s="1" t="n"/>
      <c r="AC302" s="1" t="n"/>
      <c r="AD302" s="10" t="n"/>
      <c r="AE302" s="1" t="n"/>
      <c r="AF302" t="inlineStr">
        <is>
          <t>Yes</t>
        </is>
      </c>
      <c r="AG302" t="inlineStr">
        <is>
          <t>https://www.instagram.com/classlist/</t>
        </is>
      </c>
      <c r="AH302" t="inlineStr">
        <is>
          <t>https://twitter.com/goClasslist</t>
        </is>
      </c>
      <c r="AI302" t="inlineStr">
        <is>
          <t>https://www.linkedin.com/company/5244730/admin/</t>
        </is>
      </c>
    </row>
    <row r="303" ht="12.5" customHeight="1">
      <c r="A303" s="6" t="n">
        <v>45679</v>
      </c>
      <c r="B303" s="1" t="inlineStr">
        <is>
          <t>ORG_1531</t>
        </is>
      </c>
      <c r="C303" s="1" t="b">
        <v>1</v>
      </c>
      <c r="D303" s="1" t="inlineStr">
        <is>
          <t>Evolytes</t>
        </is>
      </c>
      <c r="E303" s="10" t="inlineStr">
        <is>
          <t>https://www.evolytes.com/</t>
        </is>
      </c>
      <c r="F303" t="inlineStr">
        <is>
          <t>evolytes.com</t>
        </is>
      </c>
      <c r="G303" s="1" t="inlineStr">
        <is>
          <t>Evolytes teaches math faster and more effectively in a fun and engaging way. Evolytes is based on leading research and theories in psychology to speed up student skill acquisition. Students who use Evolytes learn math 4x faster on average. Evolytes combines three products in one: the Evolytes game, companion books and monitoring platform for parents and teachers. Evolytes uses data driven assessment to provide individualized content based on the students skill level.</t>
        </is>
      </c>
      <c r="H303" s="1" t="inlineStr">
        <is>
          <t>I'm not part of any EdTech association</t>
        </is>
      </c>
      <c r="I303" s="1" t="n"/>
      <c r="J303" s="1" t="inlineStr">
        <is>
          <t>Reykjavik</t>
        </is>
      </c>
      <c r="K303" t="inlineStr">
        <is>
          <t>Reykjavik</t>
        </is>
      </c>
      <c r="L303" t="inlineStr">
        <is>
          <t>Reykjavik, Iceland</t>
        </is>
      </c>
      <c r="M303" t="n">
        <v>64.14598100000001</v>
      </c>
      <c r="N303" t="n">
        <v>-21.9422367</v>
      </c>
      <c r="O303" s="1" t="inlineStr">
        <is>
          <t>Iceland</t>
        </is>
      </c>
      <c r="P303" s="1" t="inlineStr">
        <is>
          <t>France, Germany, Iceland, Lithuania, Norway, Sweden, United Kingdom</t>
        </is>
      </c>
      <c r="Q303" s="1" t="inlineStr">
        <is>
          <t>0 to 10</t>
        </is>
      </c>
      <c r="R303" t="inlineStr">
        <is>
          <t>Micro</t>
        </is>
      </c>
      <c r="S303" s="1" t="inlineStr">
        <is>
          <t>Business to Business, Business to Consumer</t>
        </is>
      </c>
      <c r="T303" s="1" t="inlineStr">
        <is>
          <t>Primary Education</t>
        </is>
      </c>
      <c r="U303" s="1" t="inlineStr">
        <is>
          <t>System/Administrative, Student interfacing, Teacher interfacing</t>
        </is>
      </c>
      <c r="V303" s="1" t="n"/>
      <c r="W303" s="1" t="inlineStr">
        <is>
          <t>https://drive.google.com/uc?export=view&amp;id=1fEWMTM4pxdghdnZhmTwZgC7oom6dneqH</t>
        </is>
      </c>
      <c r="X303" s="1" t="inlineStr">
        <is>
          <t>https://drive.google.com/uc?export=view&amp;id=1fEWMTM4pxdghdnZhmTwZgC7oom6dneqH</t>
        </is>
      </c>
      <c r="Y303" t="inlineStr">
        <is>
          <t>https://drive.google.com/uc?export=view&amp;id=1fEWMTM4pxdghdnZhmTwZgC7oom6dneqH</t>
        </is>
      </c>
      <c r="Z303" s="1" t="inlineStr">
        <is>
          <t>https://drive.google.com/uc?export=view&amp;id=1fEWMTM4pxdghdnZhmTwZgC7oom6dneqH</t>
        </is>
      </c>
      <c r="AA303" s="1" t="inlineStr">
        <is>
          <t>Unverified</t>
        </is>
      </c>
      <c r="AB303" s="1" t="n"/>
      <c r="AC303" s="1" t="n"/>
      <c r="AD303" s="10" t="n"/>
      <c r="AE303" s="1" t="n"/>
      <c r="AF303" t="inlineStr">
        <is>
          <t>No</t>
        </is>
      </c>
    </row>
    <row r="304" ht="12.5" customHeight="1">
      <c r="A304" s="6" t="n">
        <v>45679</v>
      </c>
      <c r="B304" s="1" t="inlineStr">
        <is>
          <t>ORG_1341</t>
        </is>
      </c>
      <c r="C304" s="1" t="b">
        <v>1</v>
      </c>
      <c r="D304" s="1" t="inlineStr">
        <is>
          <t>Developing Experts</t>
        </is>
      </c>
      <c r="E304" s="10" t="inlineStr">
        <is>
          <t>https://developingexperts.com/</t>
        </is>
      </c>
      <c r="F304" t="inlineStr">
        <is>
          <t>developingexperts.com</t>
        </is>
      </c>
      <c r="G304" s="1" t="inlineStr">
        <is>
          <t>Developing Experts offers a stimulating, interactive STEM applied learning- career ‘ed tech’ platform that links the science curriculum with the STEM workplace. The platform integrates specialists from a network of more than 200 industry and University professionals, designed to address the long-term STEM skills challenges. We achieve this by: -
- Engaging young children from the age of 4 years to broaden their aspirations and horizons in the STEM sector-cultivating a sustaining sense of self-belief in their capabilities and potential. The platform’s insights, experiences, learning, and exposure helps to ignite children’s curiosity and perceptions about the world of STEM to exert continued investment in studies and career options.
- Integrating local employer opportunities into the career platform.
- Increasing confidence amongst the teaching community through a library of self-build curriculum tools
- Fully integrated into a database which features over 1000 career profiles and 100,000 jobs.
- Meeting wider societal objectives including the preparation of a confident, diverse, inclusive and strong resilient workforce for addressing equality of opportunity and critical labour market shortfalls against
- Employer demands.
- Responding to local and central government campaigns.
We inspire and support young people and their families/job seekers to consider STEM education, skills, and career pathways that they would not have been considered before. On the journey, our solutions fulfil and address shortfalls in educational attainment and skill deficits. It also builds teachers’ confidence in teaching the evolving STEM subjects. By exposing the range of opportunities, and offering tailored learning-career pathways, the model effectively breaks down barriers into the labour market to increase diversity, inclusion and human intellectual capital. Developing Experts model is designed to ensure that career choice will not be left to chance, so that diverse communities can be offered greater opportunities to excel.</t>
        </is>
      </c>
      <c r="H304" s="1" t="inlineStr">
        <is>
          <t>I'm not part of any EdTech association</t>
        </is>
      </c>
      <c r="I304" s="1" t="n"/>
      <c r="J304" s="1" t="inlineStr">
        <is>
          <t>Norwich</t>
        </is>
      </c>
      <c r="K304" t="inlineStr">
        <is>
          <t>Norwich</t>
        </is>
      </c>
      <c r="L304" t="inlineStr">
        <is>
          <t>Norwich, United Kingdom</t>
        </is>
      </c>
      <c r="M304" t="n">
        <v>52.6285576</v>
      </c>
      <c r="N304" t="n">
        <v>1.2923954</v>
      </c>
      <c r="O304" s="1" t="inlineStr">
        <is>
          <t>United Kingdom</t>
        </is>
      </c>
      <c r="P304" s="1" t="inlineStr">
        <is>
          <t>United Kingdom</t>
        </is>
      </c>
      <c r="Q304" s="1" t="inlineStr">
        <is>
          <t>0 to 10</t>
        </is>
      </c>
      <c r="R304" t="inlineStr">
        <is>
          <t>Micro</t>
        </is>
      </c>
      <c r="S304" s="1" t="inlineStr">
        <is>
          <t>Business to Business</t>
        </is>
      </c>
      <c r="T304" s="1" t="inlineStr">
        <is>
          <t>Early childhood development (0-5 years), Primary Education, Secondary Education, Higher Education</t>
        </is>
      </c>
      <c r="U304" s="1" t="inlineStr">
        <is>
          <t>System/Administrative, Student interfacing, Teacher interfacing</t>
        </is>
      </c>
      <c r="V304" s="1" t="n"/>
      <c r="W304" s="1" t="inlineStr">
        <is>
          <t>https://drive.google.com/uc?export=view&amp;id=1h_21bBQbP4BO_UAjBkNF0aGp4TQ9Upud</t>
        </is>
      </c>
      <c r="X304" s="1" t="inlineStr">
        <is>
          <t>https://drive.google.com/uc?export=view&amp;id=1h_21bBQbP4BO_UAjBkNF0aGp4TQ9Upud</t>
        </is>
      </c>
      <c r="Y304" t="inlineStr">
        <is>
          <t>https://drive.google.com/uc?export=view&amp;id=1h_21bBQbP4BO_UAjBkNF0aGp4TQ9Upud</t>
        </is>
      </c>
      <c r="Z304" s="1" t="inlineStr">
        <is>
          <t>https://drive.google.com/uc?export=view&amp;id=1h_21bBQbP4BO_UAjBkNF0aGp4TQ9Upud</t>
        </is>
      </c>
      <c r="AA304" s="1" t="inlineStr">
        <is>
          <t>Unverified</t>
        </is>
      </c>
      <c r="AB304" s="1" t="n"/>
      <c r="AC304" s="1" t="n"/>
      <c r="AD304" s="10" t="n"/>
      <c r="AE304" s="1" t="n"/>
      <c r="AF304" t="inlineStr">
        <is>
          <t>No</t>
        </is>
      </c>
    </row>
    <row r="305" ht="12.5" customHeight="1">
      <c r="A305" s="6" t="n">
        <v>45679</v>
      </c>
      <c r="B305" s="1" t="inlineStr">
        <is>
          <t>ORG_1488</t>
        </is>
      </c>
      <c r="C305" s="1" t="b">
        <v>1</v>
      </c>
      <c r="D305" s="1" t="inlineStr">
        <is>
          <t>eMathStudio</t>
        </is>
      </c>
      <c r="E305" s="10" t="inlineStr">
        <is>
          <t>https://emathstudio.com/</t>
        </is>
      </c>
      <c r="F305" t="inlineStr">
        <is>
          <t>emathstudio.com</t>
        </is>
      </c>
      <c r="G305" s="1" t="inlineStr">
        <is>
          <t>eMathStudio is a digital platform for learning, assessments and interactions in mathematics education. The unique math checker verifies the correctness of every step of the student’s working, the math editor helps students to structure their solutions, and skill gap maps show the fundamental skills a student is missing. For middle school, high school and higher education, for teachers, tutors, learners and parents.</t>
        </is>
      </c>
      <c r="H305" s="1" t="inlineStr">
        <is>
          <t>EdTech Finland</t>
        </is>
      </c>
      <c r="I305" s="1" t="n"/>
      <c r="J305" s="1" t="inlineStr">
        <is>
          <t>Turku</t>
        </is>
      </c>
      <c r="K305" t="inlineStr">
        <is>
          <t>Turku</t>
        </is>
      </c>
      <c r="L305" t="inlineStr">
        <is>
          <t>Turku, Finland</t>
        </is>
      </c>
      <c r="M305" t="n">
        <v>60.4515932</v>
      </c>
      <c r="N305" t="n">
        <v>22.2669991</v>
      </c>
      <c r="O305" s="1" t="inlineStr">
        <is>
          <t>Finland</t>
        </is>
      </c>
      <c r="P305" s="1" t="inlineStr">
        <is>
          <t>Belgium, Finland, Germany, Iceland, Kosovo, Sweden, United Kingdom</t>
        </is>
      </c>
      <c r="Q305" s="1" t="inlineStr">
        <is>
          <t>0 to 10</t>
        </is>
      </c>
      <c r="R305" t="inlineStr">
        <is>
          <t>Micro</t>
        </is>
      </c>
      <c r="S305" s="1" t="inlineStr">
        <is>
          <t>Business to Business</t>
        </is>
      </c>
      <c r="T305" s="1" t="inlineStr">
        <is>
          <t>Primary Education, Secondary Education, Higher Education, Lifelong learning/Adult education</t>
        </is>
      </c>
      <c r="U305" s="1" t="inlineStr">
        <is>
          <t>System/Administrative, Student interfacing, Teacher interfacing</t>
        </is>
      </c>
      <c r="V305" s="1" t="inlineStr">
        <is>
          <t>eMathStudio</t>
        </is>
      </c>
      <c r="W305" s="1" t="inlineStr">
        <is>
          <t>eMathStudio is a digital platform for learning, assessments and interactions in mathematics education. The unique math checker verifies the correctness of every step of the student’s working, the math editor helps students to structure their solutions. Teachers can track progress and problems, check their students' assignments automatically, give individual feedback and share some solutions as models to the class. For middle school, high school and higher education, for teachers, tutors, learners and parents.</t>
        </is>
      </c>
      <c r="X305" s="1" t="inlineStr">
        <is>
          <t>eMath textbook series for grades 7-9 and grades 10-12</t>
        </is>
      </c>
      <c r="Y305" t="inlineStr">
        <is>
          <t>The eMath textbook series is developed by Math teachers from Finland, Sweden and Estonia. The books follow a teaching approach that uses the Structured Derivations methodology, where the idea is that every step is explained in words. This makes it easy to follow the examples that explain the theory. At the same time the approach forces the student to reflect on what they are doing. The books also introduce the students to logic, a step often skipped in school, but without which mathematics becomes magic instead of reasonable and understandable. Fully customizable, interactive books, with over 1000 assignments per grade level. All automatically corrected.</t>
        </is>
      </c>
      <c r="Z305" s="1" t="inlineStr">
        <is>
          <t>https://drive.google.com/uc?export=view&amp;id=1RI6o8BHyIE7NwVyGsref3RwDIPvgpqdv</t>
        </is>
      </c>
      <c r="AA305" s="1" t="inlineStr">
        <is>
          <t>Unverified</t>
        </is>
      </c>
      <c r="AB305" s="1" t="n"/>
      <c r="AC305" s="1" t="n"/>
      <c r="AD305" s="10" t="n"/>
      <c r="AE305" s="1" t="n"/>
      <c r="AF305" t="inlineStr">
        <is>
          <t>Yes</t>
        </is>
      </c>
      <c r="AG305" t="inlineStr">
        <is>
          <t>Four Ferries Oy</t>
        </is>
      </c>
      <c r="AH305" t="inlineStr">
        <is>
          <t>Four Ferries Oy</t>
        </is>
      </c>
      <c r="AI305" t="inlineStr">
        <is>
          <t>Four Ferries Oy</t>
        </is>
      </c>
    </row>
    <row r="306" ht="12.5" customHeight="1">
      <c r="A306" s="6" t="n">
        <v>45679</v>
      </c>
      <c r="B306" s="1" t="inlineStr">
        <is>
          <t>ORG_2216</t>
        </is>
      </c>
      <c r="C306" s="1" t="b">
        <v>1</v>
      </c>
      <c r="D306" s="1" t="inlineStr">
        <is>
          <t>schultech</t>
        </is>
      </c>
      <c r="E306" s="10" t="inlineStr">
        <is>
          <t>https://schultech.de/</t>
        </is>
      </c>
      <c r="F306" t="inlineStr">
        <is>
          <t>schultech.de</t>
        </is>
      </c>
      <c r="G306" s="1" t="inlineStr">
        <is>
          <t>You want functional and simple media technology for classrooms? Then you have come to the right place.
At schultech you will find all the options for equipping your teaching rooms with digital media - from media technology and media furniture to screen-cast dongles and modern presentation solutions.</t>
        </is>
      </c>
      <c r="H306" s="1" t="inlineStr">
        <is>
          <t>I'm not part of any EdTech association</t>
        </is>
      </c>
      <c r="I306" s="1" t="n"/>
      <c r="J306" s="1" t="inlineStr">
        <is>
          <t>Neu-Ulm</t>
        </is>
      </c>
      <c r="K306" t="inlineStr">
        <is>
          <t>Neu-Ulm</t>
        </is>
      </c>
      <c r="L306" t="inlineStr">
        <is>
          <t>Neu-Ulm, Germany</t>
        </is>
      </c>
      <c r="M306" t="n">
        <v>48.3953489</v>
      </c>
      <c r="N306" t="n">
        <v>10.0005211</v>
      </c>
      <c r="O306" s="1" t="inlineStr">
        <is>
          <t>Germany</t>
        </is>
      </c>
      <c r="P306" s="1" t="inlineStr">
        <is>
          <t>Austria, Germany, Italy, Poland, Switzerland</t>
        </is>
      </c>
      <c r="Q306" s="1" t="inlineStr">
        <is>
          <t>11 to 50</t>
        </is>
      </c>
      <c r="R306" t="inlineStr">
        <is>
          <t>Small</t>
        </is>
      </c>
      <c r="S306" s="1" t="inlineStr">
        <is>
          <t>Business to Business, Business to Government</t>
        </is>
      </c>
      <c r="T306" s="1" t="inlineStr">
        <is>
          <t>Primary Education, Secondary Education, Higher Education</t>
        </is>
      </c>
      <c r="U306" s="1" t="inlineStr">
        <is>
          <t>Teacher interfacing, System/Administrative</t>
        </is>
      </c>
      <c r="V306" s="1" t="n"/>
      <c r="W306" s="1" t="inlineStr">
        <is>
          <t>https://drive.google.com/uc?export=view&amp;id=1si3RjDN2FziyYQLs-IdFc5LuFgN0V92M</t>
        </is>
      </c>
      <c r="X306" s="1" t="inlineStr">
        <is>
          <t>https://drive.google.com/uc?export=view&amp;id=1si3RjDN2FziyYQLs-IdFc5LuFgN0V92M</t>
        </is>
      </c>
      <c r="Y306" t="inlineStr">
        <is>
          <t>https://drive.google.com/uc?export=view&amp;id=1si3RjDN2FziyYQLs-IdFc5LuFgN0V92M</t>
        </is>
      </c>
      <c r="Z306" s="1" t="inlineStr">
        <is>
          <t>https://drive.google.com/uc?export=view&amp;id=1si3RjDN2FziyYQLs-IdFc5LuFgN0V92M</t>
        </is>
      </c>
      <c r="AA306" s="1" t="inlineStr">
        <is>
          <t>Unverified</t>
        </is>
      </c>
      <c r="AB306" s="1" t="n"/>
      <c r="AC306" s="1" t="n"/>
      <c r="AD306" s="10" t="n"/>
      <c r="AE306" s="1" t="n"/>
      <c r="AF306" t="inlineStr">
        <is>
          <t>No</t>
        </is>
      </c>
    </row>
    <row r="307" ht="12.5" customHeight="1">
      <c r="A307" s="6" t="n">
        <v>45679</v>
      </c>
      <c r="B307" s="1" t="inlineStr">
        <is>
          <t>ORG_1155</t>
        </is>
      </c>
      <c r="C307" s="1" t="b">
        <v>1</v>
      </c>
      <c r="D307" s="1" t="inlineStr">
        <is>
          <t>bettermarks</t>
        </is>
      </c>
      <c r="E307" s="10" t="inlineStr">
        <is>
          <t>www.bettermarks.com</t>
        </is>
      </c>
      <c r="F307" t="inlineStr">
        <is>
          <t>bettermarks.com</t>
        </is>
      </c>
      <c r="G307" s="1" t="inlineStr">
        <is>
          <t>bettermarks was founded in 2008 by Arndt Kwiatkowski, Marianne Voigt und Christophe Speroni and is located in Berlin, Germany. Teachers, content creators and software specialists are working on the next generation learning material to reach our goal: improve math education worldwide.</t>
        </is>
      </c>
      <c r="H307" s="1" t="inlineStr">
        <is>
          <t>I'm not part of any EdTech association</t>
        </is>
      </c>
      <c r="I307" s="1" t="n"/>
      <c r="J307" s="1" t="inlineStr">
        <is>
          <t>Berlin</t>
        </is>
      </c>
      <c r="K307" t="inlineStr">
        <is>
          <t>Berlin</t>
        </is>
      </c>
      <c r="L307" t="inlineStr">
        <is>
          <t>Berlin, Germany</t>
        </is>
      </c>
      <c r="M307" t="n">
        <v>52.5173885</v>
      </c>
      <c r="N307" t="n">
        <v>13.3951309</v>
      </c>
      <c r="O307" s="1" t="inlineStr">
        <is>
          <t>Germany</t>
        </is>
      </c>
      <c r="P307" s="1" t="inlineStr">
        <is>
          <t>Austria, Germany, Netherlands, Switzerland</t>
        </is>
      </c>
      <c r="Q307" s="1" t="inlineStr">
        <is>
          <t>11 to 50</t>
        </is>
      </c>
      <c r="R307" t="inlineStr">
        <is>
          <t>Small</t>
        </is>
      </c>
      <c r="S307" s="1" t="inlineStr">
        <is>
          <t>Business to Business</t>
        </is>
      </c>
      <c r="T307" s="1" t="inlineStr">
        <is>
          <t>Primary Education, Secondary Education, Higher Education</t>
        </is>
      </c>
      <c r="U307" s="1" t="inlineStr">
        <is>
          <t>Teacher interfacing, System/Administrative</t>
        </is>
      </c>
      <c r="V307" s="10" t="inlineStr">
        <is>
          <t>bettermarks</t>
        </is>
      </c>
      <c r="W307" s="1" t="inlineStr">
        <is>
          <t>bettermarks is an adaptive learning system for maths replacing printed textbooks or exercise books. Our goal is to facilitate the learning and teaching of mathematics. 
To reach this goal, bettermarks employs teachers, mathematicians, academic educationalists and software specialists to work together. Our adaptive math books guide students through exercises step by step with constructive feedback and enables them to learn from their mistakes. As a teacher, you receive comprehensive reports on all your students‘ activity.</t>
        </is>
      </c>
      <c r="X307" s="10" t="inlineStr">
        <is>
          <t>https://drive.google.com/uc?export=view&amp;id=12_SAB9zbqMpaEFmmqU3KLKSZlqshHc4I</t>
        </is>
      </c>
      <c r="Y307" t="inlineStr">
        <is>
          <t>https://drive.google.com/uc?export=view&amp;id=12_SAB9zbqMpaEFmmqU3KLKSZlqshHc4I</t>
        </is>
      </c>
      <c r="Z307" s="1" t="inlineStr">
        <is>
          <t>https://drive.google.com/uc?export=view&amp;id=12_SAB9zbqMpaEFmmqU3KLKSZlqshHc4I</t>
        </is>
      </c>
      <c r="AA307" s="1" t="inlineStr">
        <is>
          <t>Unverified</t>
        </is>
      </c>
      <c r="AB307" s="1" t="n"/>
      <c r="AC307" s="1" t="n"/>
      <c r="AD307" s="10" t="n"/>
      <c r="AE307" s="1" t="n"/>
      <c r="AF307" t="inlineStr">
        <is>
          <t>Yes</t>
        </is>
      </c>
      <c r="AG307" t="inlineStr">
        <is>
          <t>https://www.instagram.com/bettermarks_de/</t>
        </is>
      </c>
      <c r="AH307" t="inlineStr">
        <is>
          <t>https://www.linkedin.com/company/bettermarks-gmbh</t>
        </is>
      </c>
      <c r="AI307" t="inlineStr">
        <is>
          <t>https://www.linkedin.com/company/bettermarks-gmbh</t>
        </is>
      </c>
    </row>
    <row r="308" ht="12.5" customHeight="1">
      <c r="A308" s="6" t="n">
        <v>45679</v>
      </c>
      <c r="B308" s="1" t="inlineStr">
        <is>
          <t>ORG_1232</t>
        </is>
      </c>
      <c r="C308" s="1" t="b">
        <v>1</v>
      </c>
      <c r="D308" s="1" t="inlineStr">
        <is>
          <t>ChatterStars</t>
        </is>
      </c>
      <c r="E308" s="10" t="inlineStr">
        <is>
          <t>https://chatterstars.co.uk/</t>
        </is>
      </c>
      <c r="F308" t="inlineStr">
        <is>
          <t>chatterstars.co.uk</t>
        </is>
      </c>
      <c r="G308" s="1" t="inlineStr">
        <is>
          <t>Chatterstars is designed to rapidly develop children’s vocabulary with fun, fast, personalised activities, and dynamic rewards to boost vocabulary confidence - the best predictor of future success. Puzzles are played individually or used to stimulate discussion, allowing pupils to unpick layers of meaning and connotation – the bedrock of English assessment. Beneficial for all pupil groups, teachers can track and report progress, without the need for marking and assessment tasks, helping schools bridge the word gap and improve life chances.</t>
        </is>
      </c>
      <c r="H308" s="1" t="inlineStr">
        <is>
          <t>I'm not part of any EdTech association</t>
        </is>
      </c>
      <c r="I308" s="1" t="inlineStr">
        <is>
          <t>English</t>
        </is>
      </c>
      <c r="J308" s="1" t="inlineStr">
        <is>
          <t>Torquay</t>
        </is>
      </c>
      <c r="K308" t="inlineStr">
        <is>
          <t>Torquay</t>
        </is>
      </c>
      <c r="L308" t="inlineStr">
        <is>
          <t>Torquay, United Kingdom</t>
        </is>
      </c>
      <c r="M308" t="n">
        <v>50.4652392</v>
      </c>
      <c r="N308" t="n">
        <v>-3.5211361</v>
      </c>
      <c r="O308" s="1" t="inlineStr">
        <is>
          <t>United Kingdom</t>
        </is>
      </c>
      <c r="P308" s="1" t="inlineStr">
        <is>
          <t>France, Ireland, Netherlands, United Kingdom</t>
        </is>
      </c>
      <c r="Q308" s="1" t="inlineStr">
        <is>
          <t>0 to 2</t>
        </is>
      </c>
      <c r="R308" t="inlineStr">
        <is>
          <t>Solo entrepreneur</t>
        </is>
      </c>
      <c r="S308" s="1" t="inlineStr">
        <is>
          <t>Business to Business</t>
        </is>
      </c>
      <c r="T308" s="1" t="inlineStr">
        <is>
          <t>Primary Education, Secondary Education</t>
        </is>
      </c>
      <c r="U308" s="1" t="inlineStr">
        <is>
          <t>System/Administrative, Student interfacing, Teacher interfacing</t>
        </is>
      </c>
      <c r="V308" s="10" t="inlineStr">
        <is>
          <t>ChatterStars</t>
        </is>
      </c>
      <c r="W308" s="10" t="inlineStr">
        <is>
          <t>We help families and tutors to boost their child's vocabulary – the best predictor of future success - through our intuitive, gamified app. Our puzzles will secure a confident voice for each child, enhancing academic success and improving life chances. Through our unique vocabulary age, families and teachers can track vocabulary progress, without the need for marking or assessment tasks.</t>
        </is>
      </c>
      <c r="X308" s="10" t="inlineStr">
        <is>
          <t>ChatterStars 11+</t>
        </is>
      </c>
      <c r="Y308" t="inlineStr">
        <is>
          <t>ChatterStars 11+ has been developed by industry experts to help secure the full range of vocabulary needed for both GL and CEM assessments. Our 11+ puzzles secure a confident voice for each child, enhancing exam success and improving life chances. Through our unique vocabulary age, families and tutors can track vocabulary progress, without the need for marking or assessment tasks.</t>
        </is>
      </c>
      <c r="Z308" s="1" t="inlineStr">
        <is>
          <t>https://drive.google.com/uc?export=view&amp;id=1BALNGzv5ruw3Nv7Pyc1WWQzmHKvPy13g</t>
        </is>
      </c>
      <c r="AA308" s="1" t="inlineStr">
        <is>
          <t>Unverified</t>
        </is>
      </c>
      <c r="AB308" s="1" t="n"/>
      <c r="AC308" s="1" t="n"/>
      <c r="AD308" s="10" t="n"/>
      <c r="AE308" s="1" t="n"/>
      <c r="AF308" t="inlineStr">
        <is>
          <t>Yes</t>
        </is>
      </c>
      <c r="AG308" t="inlineStr">
        <is>
          <t>https://www.instagram.com/chatterstarsthevocabapp/?hl=en-gb</t>
        </is>
      </c>
      <c r="AH308" t="inlineStr">
        <is>
          <t>https://twitter.com/ChatterStarsApp</t>
        </is>
      </c>
      <c r="AI308" t="inlineStr">
        <is>
          <t>https://www.linkedin.com/company/chatterstars/?viewAsMember=true</t>
        </is>
      </c>
    </row>
    <row r="309" ht="12.5" customHeight="1">
      <c r="A309" s="6" t="n">
        <v>45679</v>
      </c>
      <c r="B309" s="1" t="inlineStr">
        <is>
          <t>ORG_1310</t>
        </is>
      </c>
      <c r="C309" s="1" t="b">
        <v>1</v>
      </c>
      <c r="D309" s="1" t="inlineStr">
        <is>
          <t>Creaza</t>
        </is>
      </c>
      <c r="E309" s="10" t="inlineStr">
        <is>
          <t>www.creaza.com</t>
        </is>
      </c>
      <c r="F309" t="inlineStr">
        <is>
          <t>creaza.com</t>
        </is>
      </c>
      <c r="G309" s="1" t="inlineStr">
        <is>
          <t>Creative and Playful Learning
Creaza provides creative tools and content for Digital Storytelling for all classrooms. 
Creaza enables you to easily create amazing cartoons, videos, animations, podcasts, mind maps, and presentations.</t>
        </is>
      </c>
      <c r="H309" s="1" t="inlineStr">
        <is>
          <t>I'm not part of any EdTech association</t>
        </is>
      </c>
      <c r="I309" s="1" t="n"/>
      <c r="J309" s="1" t="inlineStr">
        <is>
          <t>Oslo</t>
        </is>
      </c>
      <c r="K309" t="inlineStr">
        <is>
          <t>Oslo</t>
        </is>
      </c>
      <c r="L309" t="inlineStr">
        <is>
          <t>Oslo, Norway</t>
        </is>
      </c>
      <c r="M309" t="n">
        <v>59.9067935</v>
      </c>
      <c r="N309" t="n">
        <v>10.7610162</v>
      </c>
      <c r="O309" s="1" t="inlineStr">
        <is>
          <t>Norway</t>
        </is>
      </c>
      <c r="P309" s="1" t="inlineStr">
        <is>
          <t>Denmark, Finland, Germany, Netherlands, Norway, Sweden</t>
        </is>
      </c>
      <c r="Q309" s="1" t="inlineStr">
        <is>
          <t>11 to 50</t>
        </is>
      </c>
      <c r="R309" t="inlineStr">
        <is>
          <t>Small</t>
        </is>
      </c>
      <c r="S309" s="1" t="inlineStr">
        <is>
          <t>Business to Business</t>
        </is>
      </c>
      <c r="T309" s="1" t="inlineStr">
        <is>
          <t>Primary Education, Secondary Education, Higher Education</t>
        </is>
      </c>
      <c r="U309" s="1" t="inlineStr">
        <is>
          <t>Student interfacing, Teacher interfacing</t>
        </is>
      </c>
      <c r="V309" s="10" t="inlineStr">
        <is>
          <t>Creaza</t>
        </is>
      </c>
      <c r="W309" s="10" t="inlineStr">
        <is>
          <t>Creative and Playful Learning
Creaza provides creative tools and content for Digital Storytelling for all classrooms. 
Creaza enables you to easily create amazing cartoons, videos, animations, podcasts, mind maps, and presentations.</t>
        </is>
      </c>
      <c r="X309" s="10" t="inlineStr">
        <is>
          <t>https://drive.google.com/uc?export=view&amp;id=1jFoxufYAGNcdzl8wXldllljMQsrtKljA</t>
        </is>
      </c>
      <c r="Y309" t="inlineStr">
        <is>
          <t>https://drive.google.com/uc?export=view&amp;id=1jFoxufYAGNcdzl8wXldllljMQsrtKljA</t>
        </is>
      </c>
      <c r="Z309" s="1" t="inlineStr">
        <is>
          <t>https://drive.google.com/uc?export=view&amp;id=1jFoxufYAGNcdzl8wXldllljMQsrtKljA</t>
        </is>
      </c>
      <c r="AA309" s="1" t="inlineStr">
        <is>
          <t>Unverified</t>
        </is>
      </c>
      <c r="AB309" s="1" t="n"/>
      <c r="AC309" s="1" t="n"/>
      <c r="AD309" s="10" t="n"/>
      <c r="AE309" s="1" t="n"/>
      <c r="AF309" t="inlineStr">
        <is>
          <t>Yes</t>
        </is>
      </c>
      <c r="AG309" t="inlineStr">
        <is>
          <t>https://www.instagram.com/creazaas/</t>
        </is>
      </c>
      <c r="AH309" t="inlineStr">
        <is>
          <t>https://twitter.com/creazatweet</t>
        </is>
      </c>
      <c r="AI309" t="inlineStr">
        <is>
          <t>https://www.linkedin.com/company/creaza-as/</t>
        </is>
      </c>
    </row>
    <row r="310" ht="12.5" customHeight="1">
      <c r="A310" s="6" t="n">
        <v>45679</v>
      </c>
      <c r="B310" s="1" t="inlineStr">
        <is>
          <t>ORG_1641</t>
        </is>
      </c>
      <c r="C310" s="1" t="b">
        <v>1</v>
      </c>
      <c r="D310" s="1" t="inlineStr">
        <is>
          <t>GraphoGame</t>
        </is>
      </c>
      <c r="E310" s="10" t="inlineStr">
        <is>
          <t>https://www.graphogame.com/index.html</t>
        </is>
      </c>
      <c r="F310" t="inlineStr">
        <is>
          <t>graphogame.com/index.html</t>
        </is>
      </c>
      <c r="G310" s="1" t="inlineStr">
        <is>
          <t>GraphoGame is the world's most researched literacy learning technology. GraphoGame combines Finland's pedagogical expertise with evidence from cutting-edge research in neuroscience to provide personalised reading support for millions of children around the world. The app is available offline, on any device, in 9 languages and free in 15 participating countries. Find more on our website: graphogame.com</t>
        </is>
      </c>
      <c r="H310" s="1" t="inlineStr">
        <is>
          <t>EdTech Finland, xEdu</t>
        </is>
      </c>
      <c r="I310" s="1" t="n"/>
      <c r="J310" s="1" t="inlineStr">
        <is>
          <t>Turku</t>
        </is>
      </c>
      <c r="K310" t="inlineStr">
        <is>
          <t>Turku</t>
        </is>
      </c>
      <c r="L310" t="inlineStr">
        <is>
          <t>Turku, Finland</t>
        </is>
      </c>
      <c r="M310" t="n">
        <v>60.4515932</v>
      </c>
      <c r="N310" t="n">
        <v>22.2669991</v>
      </c>
      <c r="O310" s="1" t="inlineStr">
        <is>
          <t>Finland</t>
        </is>
      </c>
      <c r="P310" s="1" t="inlineStr">
        <is>
          <t>Belgium, Denmark, Estonia, Finland, France, Ireland, Luxembourg, Netherlands, Norway, Portugal, Spain, Sweden, United Kingdom</t>
        </is>
      </c>
      <c r="Q310" s="1" t="inlineStr">
        <is>
          <t>0 to 10</t>
        </is>
      </c>
      <c r="R310" t="inlineStr">
        <is>
          <t>Micro</t>
        </is>
      </c>
      <c r="S310" s="1" t="inlineStr">
        <is>
          <t>Business to Business, Business to Consumer, Business to Government, Business to Schools</t>
        </is>
      </c>
      <c r="T310" s="1" t="inlineStr">
        <is>
          <t>Primary Education</t>
        </is>
      </c>
      <c r="U310" s="1" t="inlineStr">
        <is>
          <t>System/Administrative, Student interfacing, Teacher interfacing</t>
        </is>
      </c>
      <c r="V310" s="10" t="inlineStr">
        <is>
          <t>GraphoGame: Kids Learn to Read</t>
        </is>
      </c>
      <c r="W310" s="10" t="inlineStr">
        <is>
          <t>British English synthetic phonics game researched in collaboration with University of Cambridge Centre for Neuroscience in Education. Most effective for Key Stages 1 and 2 learners (ages 4 - 9) and as effective as direct teacher support for improving phonics skills.</t>
        </is>
      </c>
      <c r="X310" s="10" t="inlineStr">
        <is>
          <t>GraphoGame Brasil</t>
        </is>
      </c>
      <c r="Y310" t="inlineStr">
        <is>
          <t>Brazilian Portuguese literacy game researched in collaboration with the Brain Institute at the Pontifical University of Rio Grande do Sul. Free to download for residents of Brazil as part of the Ministry of Education’s Tempo de Aprender program.</t>
        </is>
      </c>
      <c r="Z310" s="1" t="inlineStr">
        <is>
          <t>https://drive.google.com/uc?export=view&amp;id=1OX7G1PdT0jMCXOsQEj-9eGlmOC-X2F5A</t>
        </is>
      </c>
      <c r="AA310" s="1" t="inlineStr">
        <is>
          <t>Unverified</t>
        </is>
      </c>
      <c r="AB310" s="1" t="n"/>
      <c r="AC310" s="1" t="n"/>
      <c r="AD310" s="10" t="n"/>
      <c r="AE310" s="1" t="n"/>
      <c r="AF310" s="1" t="inlineStr">
        <is>
          <t>Yes</t>
        </is>
      </c>
      <c r="AG310" s="1" t="inlineStr">
        <is>
          <t>https://www.instagram.com/graphogame/</t>
        </is>
      </c>
      <c r="AH310" s="1" t="inlineStr">
        <is>
          <t>https://twitter.com/GraphoGame</t>
        </is>
      </c>
      <c r="AI310" t="inlineStr">
        <is>
          <t>https://www.linkedin.com/company/11290942/</t>
        </is>
      </c>
    </row>
    <row r="311" ht="12.5" customHeight="1">
      <c r="A311" s="6" t="n">
        <v>45679</v>
      </c>
      <c r="B311" s="1" t="inlineStr">
        <is>
          <t>ORG_1762</t>
        </is>
      </c>
      <c r="C311" s="1" t="b">
        <v>1</v>
      </c>
      <c r="D311" s="1" t="inlineStr">
        <is>
          <t>KALIGO</t>
        </is>
      </c>
      <c r="E311" s="10" t="inlineStr">
        <is>
          <t>https://www.kaligo-apps.com/</t>
        </is>
      </c>
      <c r="F311" t="inlineStr">
        <is>
          <t>kaligo-apps.com</t>
        </is>
      </c>
      <c r="G311" s="1" t="inlineStr">
        <is>
          <t>Founded in 2017, Learn&amp;Go is an Ed-tech company with the mission to support each student in their journey of learning to write and spell, through a modern, digital and fun approach : Kaligo. This application available on Playstore and iOS store is designed to teach students how to write and spell using a tablet and stylus in the classroom or at home. Avalaible in French, English and German, Kaligo aims to support children of all abilities to achieve their highest possible literacy levels.</t>
        </is>
      </c>
      <c r="H311" s="1" t="inlineStr">
        <is>
          <t>AFINEF</t>
        </is>
      </c>
      <c r="I311" s="1" t="n"/>
      <c r="J311" s="1" t="inlineStr">
        <is>
          <t>Rennes</t>
        </is>
      </c>
      <c r="K311" t="inlineStr">
        <is>
          <t>Rennes</t>
        </is>
      </c>
      <c r="L311" t="inlineStr">
        <is>
          <t>Rennes, France</t>
        </is>
      </c>
      <c r="M311" t="n">
        <v>48.1113387</v>
      </c>
      <c r="N311" t="n">
        <v>-1.6800198</v>
      </c>
      <c r="O311" s="1" t="inlineStr">
        <is>
          <t>France</t>
        </is>
      </c>
      <c r="P311" s="1" t="inlineStr">
        <is>
          <t>Belgium, France, Germany, Ireland, Luxembourg, Switzerland, United Kingdom</t>
        </is>
      </c>
      <c r="Q311" s="1" t="inlineStr">
        <is>
          <t>11 to 50</t>
        </is>
      </c>
      <c r="R311" t="inlineStr">
        <is>
          <t>Small</t>
        </is>
      </c>
      <c r="S311" s="1" t="inlineStr">
        <is>
          <t>Business to Business, Business to Consumer, Business to Government, Business to Schools</t>
        </is>
      </c>
      <c r="T311" s="1" t="inlineStr">
        <is>
          <t>Early childhood development (0-5 years), Primary Education</t>
        </is>
      </c>
      <c r="U311" s="1" t="inlineStr">
        <is>
          <t>Student interfacing, Teacher interfacing</t>
        </is>
      </c>
      <c r="V311" s="10" t="inlineStr">
        <is>
          <t>Kaligo</t>
        </is>
      </c>
      <c r="W311" s="10" t="inlineStr">
        <is>
          <t>Kaligo’s AI machine analyses each handwriting stroke based on shape, direction, order and line spacing, and identifies any difficulties children as young as the age of three may have with forming letters, numbers or even if they have an issue with their pencil control.
Kaligo provides students with real time corrective feedback which empowers independent learning, whilst simultaneously providing teachers with real time results and progression reports for whole classrooms and individual students.
c est cofnirme
With Kaligo, students find handwriting more fun as the colourful and intuitive screens on tablets most students are already familiar with, making the task of handwriting more exciting.</t>
        </is>
      </c>
      <c r="X311" s="10" t="inlineStr">
        <is>
          <t>https://drive.google.com/uc?export=view&amp;id=1BdgBQQvg41LeVdgIMlUt3Mxu2jxAvDRv</t>
        </is>
      </c>
      <c r="Y311" t="inlineStr">
        <is>
          <t>https://drive.google.com/uc?export=view&amp;id=1BdgBQQvg41LeVdgIMlUt3Mxu2jxAvDRv</t>
        </is>
      </c>
      <c r="Z311" s="1" t="inlineStr">
        <is>
          <t>https://drive.google.com/uc?export=view&amp;id=1BdgBQQvg41LeVdgIMlUt3Mxu2jxAvDRv</t>
        </is>
      </c>
      <c r="AA311" s="1" t="inlineStr">
        <is>
          <t>Unverified</t>
        </is>
      </c>
      <c r="AB311" s="1" t="n"/>
      <c r="AC311" s="1" t="n"/>
      <c r="AD311" s="10" t="n"/>
      <c r="AE311" s="1" t="n"/>
      <c r="AF311" s="1" t="inlineStr">
        <is>
          <t>Yes</t>
        </is>
      </c>
      <c r="AG311" s="1" t="inlineStr">
        <is>
          <t>https://www.instagram.com/kaligoapps_en/</t>
        </is>
      </c>
      <c r="AH311" s="1" t="inlineStr">
        <is>
          <t>https://twitter.com/KaligoApps_EN</t>
        </is>
      </c>
      <c r="AI311" t="inlineStr">
        <is>
          <t>https://www.linkedin.com/company/kaligo-uk/</t>
        </is>
      </c>
    </row>
    <row r="312" ht="12.5" customHeight="1">
      <c r="A312" s="6" t="n">
        <v>45679</v>
      </c>
      <c r="B312" s="1" t="inlineStr">
        <is>
          <t>ORG_1712</t>
        </is>
      </c>
      <c r="C312" s="1" t="b">
        <v>1</v>
      </c>
      <c r="D312" s="1" t="inlineStr">
        <is>
          <t>imagiLabs</t>
        </is>
      </c>
      <c r="E312" s="10" t="inlineStr">
        <is>
          <t>https://imagilabs.com/</t>
        </is>
      </c>
      <c r="F312" t="inlineStr">
        <is>
          <t>imagilabs.com</t>
        </is>
      </c>
      <c r="G312" s="1" t="inlineStr">
        <is>
          <t>At imagiLabs, we empower young girls to unlock the tech industry's full potential and reimagine the future. We do this by inspiring girls to become creators Our products span across the physical and digital. The imagi mobile game is a social sandbox game that teaches coding through pixel art, games, and a one-of-a-kind, positive community. The experience is enhanced by the imagiCharm, a programmable accessory that brings code to life.</t>
        </is>
      </c>
      <c r="H312" s="1" t="inlineStr">
        <is>
          <t>I'm not part of any EdTech association</t>
        </is>
      </c>
      <c r="I312" s="1" t="n"/>
      <c r="J312" s="1" t="inlineStr">
        <is>
          <t>Stockholm</t>
        </is>
      </c>
      <c r="K312" t="inlineStr">
        <is>
          <t>Stockholm</t>
        </is>
      </c>
      <c r="L312" t="inlineStr">
        <is>
          <t>Stockholm, Sweden</t>
        </is>
      </c>
      <c r="M312" t="n">
        <v>59.3251172</v>
      </c>
      <c r="N312" t="n">
        <v>18.0710935</v>
      </c>
      <c r="O312" s="1" t="inlineStr">
        <is>
          <t>Sweden</t>
        </is>
      </c>
      <c r="P312" s="1" t="inlineStr">
        <is>
          <t>Austria, Belgium, Czechia, Denmark, Estonia, Finland, France, Germany, Greece, Hungary, Iceland, Ireland, Italy, Latvia, Lithuania, Netherlands, Norway, Poland, Portugal, Romania, Slovakia, Spain, Sweden, Switzerland, United Kingdom</t>
        </is>
      </c>
      <c r="Q312" s="1" t="inlineStr">
        <is>
          <t>0 to 10</t>
        </is>
      </c>
      <c r="R312" t="inlineStr">
        <is>
          <t>Micro</t>
        </is>
      </c>
      <c r="S312" s="1" t="inlineStr">
        <is>
          <t>Business to Business, Business to Consumer, Business to Schools</t>
        </is>
      </c>
      <c r="T312" s="1" t="inlineStr">
        <is>
          <t>Primary Education</t>
        </is>
      </c>
      <c r="U312" s="1" t="inlineStr">
        <is>
          <t>System/Administrative, Student interfacing, Teacher interfacing</t>
        </is>
      </c>
      <c r="V312" s="1" t="n"/>
      <c r="W312" s="1" t="inlineStr">
        <is>
          <t>https://drive.google.com/uc?export=view&amp;id=1bM2NWtF-4CPy8GQwfSEvJodSLmwoR1em</t>
        </is>
      </c>
      <c r="X312" s="1" t="inlineStr">
        <is>
          <t>https://drive.google.com/uc?export=view&amp;id=1bM2NWtF-4CPy8GQwfSEvJodSLmwoR1em</t>
        </is>
      </c>
      <c r="Y312" t="inlineStr">
        <is>
          <t>https://drive.google.com/uc?export=view&amp;id=1bM2NWtF-4CPy8GQwfSEvJodSLmwoR1em</t>
        </is>
      </c>
      <c r="Z312" s="1" t="inlineStr">
        <is>
          <t>https://drive.google.com/uc?export=view&amp;id=1bM2NWtF-4CPy8GQwfSEvJodSLmwoR1em</t>
        </is>
      </c>
      <c r="AA312" s="1" t="inlineStr">
        <is>
          <t>Unverified</t>
        </is>
      </c>
      <c r="AB312" s="1" t="n"/>
      <c r="AC312" s="1" t="n"/>
      <c r="AD312" s="10" t="n"/>
      <c r="AE312" s="1" t="n"/>
      <c r="AF312" s="1" t="inlineStr">
        <is>
          <t>No</t>
        </is>
      </c>
      <c r="AG312" s="1" t="n"/>
      <c r="AH312" s="1" t="n"/>
    </row>
    <row r="313" ht="12.5" customHeight="1">
      <c r="A313" s="6" t="n">
        <v>45679</v>
      </c>
      <c r="B313" s="1" t="inlineStr">
        <is>
          <t>ORG_1528</t>
        </is>
      </c>
      <c r="C313" s="1" t="b">
        <v>1</v>
      </c>
      <c r="D313" s="1" t="inlineStr">
        <is>
          <t>EvidenceB</t>
        </is>
      </c>
      <c r="E313" s="10" t="inlineStr">
        <is>
          <t>https://www.evidenceb.com/</t>
        </is>
      </c>
      <c r="F313" t="inlineStr">
        <is>
          <t>evidenceb.com</t>
        </is>
      </c>
      <c r="G313" s="1" t="inlineStr">
        <is>
          <t>EvidenceB has developed the most advanced evidence-based Intelligent Tutoring System mixing Artificial Intelligence R&amp;D and Cognitive Science. Our adaptive learning ITS is available on a Saas mode. EvidenceB ITS resolves failure in learning in K12, Higher Education and corporate training. Based on cognitive sciences and reinforced by multi-prized AI, our international B2B strategy has been validated with major international contracts and a serie-A fundraising led by EduCapital, the biggest EdTech VC in Europe. EvidenceB has buiilt strong partnerships with EdTech, Publishers, Distributors and Institutions / Ministries of Education, in an internationally scalable BtoB approach.</t>
        </is>
      </c>
      <c r="H313" s="1" t="inlineStr">
        <is>
          <t>AFINEF, EdTech France</t>
        </is>
      </c>
      <c r="I313" s="1" t="inlineStr">
        <is>
          <t>French, English, Spanish</t>
        </is>
      </c>
      <c r="J313" s="1" t="inlineStr">
        <is>
          <t>Paris 18</t>
        </is>
      </c>
      <c r="K313" t="inlineStr">
        <is>
          <t>Paris</t>
        </is>
      </c>
      <c r="L313" t="inlineStr">
        <is>
          <t>Paris, France</t>
        </is>
      </c>
      <c r="M313" t="n">
        <v>48.8534951</v>
      </c>
      <c r="N313" t="n">
        <v>2.3483915</v>
      </c>
      <c r="O313" s="1" t="inlineStr">
        <is>
          <t>France</t>
        </is>
      </c>
      <c r="P313" s="1" t="inlineStr">
        <is>
          <t>Belgium, Denmark, France, Germany, Ireland, Italy, Luxembourg, Spain, Switzerland, United Kingdom</t>
        </is>
      </c>
      <c r="Q313" s="1" t="inlineStr">
        <is>
          <t>11 to 50</t>
        </is>
      </c>
      <c r="R313" t="inlineStr">
        <is>
          <t>Small</t>
        </is>
      </c>
      <c r="S313" s="1" t="inlineStr">
        <is>
          <t>Business to Business, Business to Consumer, Business to Government, Business to Schools</t>
        </is>
      </c>
      <c r="T313" s="1" t="inlineStr">
        <is>
          <t>Primary Education, Secondary Education, Corporate Training, Higher Education</t>
        </is>
      </c>
      <c r="U313" s="1" t="inlineStr">
        <is>
          <t>Student interfacing, Teacher interfacing, System/Administrative</t>
        </is>
      </c>
      <c r="V313" s="10" t="inlineStr">
        <is>
          <t>EvidenceB Intelligent Tutoring System SaaS</t>
        </is>
      </c>
      <c r="W313" s="10" t="inlineStr">
        <is>
          <t>EvidenceB ITS (Intelligent Tutoring System) Saas :
1- Analyzes the student's level of mastery of a given concept through a placement test (novice level, expert level, level of conceptual understanding...)
2- Provides recommendations for suitable types of resources based on the level of mastery (EvidenceB remediation modules or other resources from publishers or teachers).
3- Within the chosen resource, automates and personalizes the student's learning path to enhance their mastery of the concept and intrinsic motivation, including:
- A personalized sequence of activities
- Personalized feedback
- Motivational messages
- Metacognitive support
- Training in challenging questions
4- Allows the student to change roles, transitioning from "learner" to "teacher."
5- Offers the student learning assessments through:
- A dashboard
- Achievement verification tests
- Reviews
6- Facilitates interactions between the student and their human tutor, including:
- The option for the student to request assistance from their human tutor
- A teacher's dashboard with visualization of results and alerts for the class, groups of students, and individual students
- The ability for the human tutor to create new resources based on their dashboard results.</t>
        </is>
      </c>
      <c r="X313" s="10" t="inlineStr">
        <is>
          <t>Adaptiv'Math</t>
        </is>
      </c>
      <c r="Y313" t="inlineStr">
        <is>
          <t>Adaptiv'Math offers a personalised path for each student, drawing on a bank of over 10000 self-correcting exercises, presented in 5 modules:
Number 's Sense (Module 1) which, starting from the innate ability to perceive and process quantities, works on the principles of cardinality, successor, decomposition and position in a variety of exercises that lead the student to compare, position on the number line, order and link symbolic and non-symbolic representations of numbers.
Calculation (Module 2) reinforces the understanding of operations and their properties by systematically switching back and forth between mathematical symbols and object manipulation, and by consolidating key numerical facts through repetition.
Arithmetic Problem Solving (Module 3) and Scale and Measurement (Module 4) approach the four operations based on intuitive scenarios, taken from students' everyday life, designed to enable students to work beyond intuitive knowledge and develop thorough understanding of the four operations.
Adaptiv'Math has been developed in partnership with the French Ministry of Education's Artifial Intelligence Innovation Program (P2IA) for early primary students throughout France.</t>
        </is>
      </c>
      <c r="Z313" s="1" t="inlineStr">
        <is>
          <t>https://drive.google.com/uc?export=view&amp;id=1f32KSaOBheKkP9KbCtUGu_nhD6qcnqts</t>
        </is>
      </c>
      <c r="AA313" s="1" t="inlineStr">
        <is>
          <t>Unverified</t>
        </is>
      </c>
      <c r="AB313" s="1" t="n"/>
      <c r="AC313" s="1" t="n"/>
      <c r="AD313" s="10" t="n"/>
      <c r="AE313" s="1" t="n"/>
      <c r="AF313" s="1" t="inlineStr">
        <is>
          <t>Yes</t>
        </is>
      </c>
      <c r="AG313" s="1" t="inlineStr">
        <is>
          <t>https://www.instagram.com/adaptivmath/</t>
        </is>
      </c>
      <c r="AH313" s="1" t="inlineStr">
        <is>
          <t>https://twitter.com/T_EvidenceB</t>
        </is>
      </c>
      <c r="AI313" s="1" t="inlineStr">
        <is>
          <t>https://www.linkedin.com/company/evidenceb-inside</t>
        </is>
      </c>
      <c r="AJ313" s="1" t="n"/>
    </row>
    <row r="314" ht="12.5" customHeight="1">
      <c r="A314" s="6" t="n">
        <v>45679</v>
      </c>
      <c r="B314" s="1" t="inlineStr">
        <is>
          <t>ORG_1635</t>
        </is>
      </c>
      <c r="C314" s="1" t="b">
        <v>1</v>
      </c>
      <c r="D314" s="1" t="inlineStr">
        <is>
          <t>Good2Learn</t>
        </is>
      </c>
      <c r="E314" s="10" t="inlineStr">
        <is>
          <t>www.good2learn.com</t>
        </is>
      </c>
      <c r="F314" t="inlineStr">
        <is>
          <t>good2learn.com</t>
        </is>
      </c>
      <c r="G314" s="1" t="inlineStr">
        <is>
          <t>Good2Learn is a multi award-winning Ed Tech enterprise, based at the Centre for Digital Innovation (C4DI) in Hull, and part of Barclay’s Eagle Labs tech eco system. Focusing mainly on KS2 and KS3 maths and English learning, the innovative platform comprises of short engaging video lessons using ‘real presenters’, accompanied by automated interactive exercises. Children are rewarded with medals and certificates boosting their confidence whilst teachers can easily keep track on their progress and development. The cloud-based platform can be accessed any time on any device that has an internet connection; there are no Apps to download or software to update.
One of the many key benefits schools pay reverence to is that the platform is uniquely knowledge dependent and not age or year-group dependent. It eliminates any feeling of peer-pressure or embarrassment when pupils need to back-track to fill in knowledge gaps.
The intuitive platform, powered by AWS – Amazon Web Services, has proven to significantly reduce teacher workload; saving weighty resource planning and assessment time. The innovative software monitors pupil progress and provides crucial insights by pinpointing areas where pupils need targeted intervention. The platform is currently used in schools to very effectively bridge gaps in pupils’ attainment targets and is perfect for intervention groups. 
The platform, designed by UK teachers, is backed and used by schools to support teachers’ delivery of the curriculum. In addition to mainstream schools, Good2Learn also provide its services to governmental local authorities; Virtual School for Looked after Children, Pupil Referral Units, Special Needs and Disability Schools and recently a national foster care group. 
The platform promotes in-class and remote independent learning, enriches children’s educational journey and makes a significant impact on pupil and school attainment trajectory. 
These are very challenging times for schools, particularly with thousands of children having to isolate from school. Good2Learn is very well positioned to make an immediate impact by: ensuring continuity for schools, making school-life easier for teachers and most importantly, keeping children’s learning uninterrupted. 
As part of their expansion plans, Good2Learn are offering a free term trial for schools and Multi Academy Trusts. The on-boarding process is seamless and starts with a thirty-minute video call.
Here are a few key features:
* Online Maths and English Lessons for ages 7 - 16 years
* Designed by teachers - loved by pupils - backed by schools
* Short 5-10 minute engaging video lessons with ‘real presenters’
* Intuitive and interactive exercises with instant feedback for children and teachers
* Easy monitoring and progress tracking statistics for schools and teachers 
* Pinpoints strengths and areas for development
* Knowledge dependent - not restricted by age or year group
* Colour blind and dyslexic friendly
* Rewards, certificates and confidence boosting incentives for children
* Cloud-based, unlimited use on any device at anytime - no Apps to download or update</t>
        </is>
      </c>
      <c r="H314" s="1" t="inlineStr">
        <is>
          <t>I'm not part of any EdTech association</t>
        </is>
      </c>
      <c r="I314" s="1" t="n"/>
      <c r="J314" s="1" t="inlineStr">
        <is>
          <t>Hull</t>
        </is>
      </c>
      <c r="K314" t="inlineStr">
        <is>
          <t>Hull</t>
        </is>
      </c>
      <c r="L314" t="inlineStr">
        <is>
          <t>Hull, United Kingdom</t>
        </is>
      </c>
      <c r="M314" t="n">
        <v>53.7435722</v>
      </c>
      <c r="N314" t="n">
        <v>-0.3394758</v>
      </c>
      <c r="O314" s="1" t="inlineStr">
        <is>
          <t>United Kingdom</t>
        </is>
      </c>
      <c r="P314" s="1" t="inlineStr">
        <is>
          <t>Ireland, Poland, Spain, United Kingdom</t>
        </is>
      </c>
      <c r="Q314" s="1" t="inlineStr">
        <is>
          <t>0 to 10</t>
        </is>
      </c>
      <c r="R314" t="inlineStr">
        <is>
          <t>Micro</t>
        </is>
      </c>
      <c r="S314" s="1" t="inlineStr">
        <is>
          <t>Business to Business, Business to Consumer, Business to Schools</t>
        </is>
      </c>
      <c r="T314" s="1" t="inlineStr">
        <is>
          <t>Primary Education, Secondary Education</t>
        </is>
      </c>
      <c r="U314" s="1" t="inlineStr">
        <is>
          <t>System/Administrative, Student interfacing, Teacher interfacing</t>
        </is>
      </c>
      <c r="V314" s="1" t="n"/>
      <c r="W314" s="1" t="inlineStr">
        <is>
          <t>https://drive.google.com/uc?export=view&amp;id=1SLTz3Q6pM1s_z-7lmLEcJFDvbrrJgKjJ</t>
        </is>
      </c>
      <c r="X314" s="1" t="inlineStr">
        <is>
          <t>https://drive.google.com/uc?export=view&amp;id=1SLTz3Q6pM1s_z-7lmLEcJFDvbrrJgKjJ</t>
        </is>
      </c>
      <c r="Y314" t="inlineStr">
        <is>
          <t>https://drive.google.com/uc?export=view&amp;id=1SLTz3Q6pM1s_z-7lmLEcJFDvbrrJgKjJ</t>
        </is>
      </c>
      <c r="Z314" s="1" t="inlineStr">
        <is>
          <t>https://drive.google.com/uc?export=view&amp;id=1SLTz3Q6pM1s_z-7lmLEcJFDvbrrJgKjJ</t>
        </is>
      </c>
      <c r="AA314" s="1" t="inlineStr">
        <is>
          <t>Unverified</t>
        </is>
      </c>
      <c r="AB314" s="1" t="n"/>
      <c r="AC314" s="1" t="n"/>
      <c r="AD314" s="10" t="n"/>
      <c r="AE314" s="1" t="n"/>
      <c r="AF314" s="1" t="inlineStr">
        <is>
          <t>No</t>
        </is>
      </c>
      <c r="AG314" s="1" t="n"/>
      <c r="AH314" s="1" t="n"/>
      <c r="AI314" s="1" t="n"/>
      <c r="AJ314" s="1" t="n"/>
    </row>
    <row r="315" ht="12.5" customHeight="1">
      <c r="A315" s="6" t="n">
        <v>45679</v>
      </c>
      <c r="B315" s="1" t="inlineStr">
        <is>
          <t>ORG_1695</t>
        </is>
      </c>
      <c r="C315" s="1" t="b">
        <v>1</v>
      </c>
      <c r="D315" s="1" t="inlineStr">
        <is>
          <t>Hypatia Learning AS</t>
        </is>
      </c>
      <c r="E315" s="10" t="inlineStr">
        <is>
          <t>https://www.hypatia-learning.com/</t>
        </is>
      </c>
      <c r="F315" t="inlineStr">
        <is>
          <t>hypatia-learning.com</t>
        </is>
      </c>
      <c r="G315" s="1" t="inlineStr">
        <is>
          <t>The future of education is based on data.
Hypatia Learning provide a digital infrastructure that gives the educational institutions the possibility to govern all data produced by learners from their digital learning activities, to meet ePrivacy and GDPR regulations.
We provide different tools that focuses on the learning process. We have a collection of tools supporting different aspects of "Assessment for Learning" that gives educators a better view where individual learners are on their learning journey. We pedagogical AI to provide better insight to learners and educator enabling a more individualized adapted learning experience.
We develop tools that help educators to better understand what learners actually learn in contrast to a focus on what has been taught.</t>
        </is>
      </c>
      <c r="H315" s="1" t="inlineStr">
        <is>
          <t>I'm not part of any EdTech association</t>
        </is>
      </c>
      <c r="I315" s="1" t="inlineStr">
        <is>
          <t>All</t>
        </is>
      </c>
      <c r="J315" s="1" t="inlineStr">
        <is>
          <t>Fredrikstad</t>
        </is>
      </c>
      <c r="K315" t="inlineStr">
        <is>
          <t>Fredrikstad</t>
        </is>
      </c>
      <c r="L315" t="inlineStr">
        <is>
          <t>Fredrikstad, Norway</t>
        </is>
      </c>
      <c r="M315" t="n">
        <v>59.1862013</v>
      </c>
      <c r="N315" t="n">
        <v>10.8680241</v>
      </c>
      <c r="O315" s="1" t="inlineStr">
        <is>
          <t>Norway</t>
        </is>
      </c>
      <c r="P315" s="1" t="inlineStr">
        <is>
          <t>Norway</t>
        </is>
      </c>
      <c r="Q315" s="1" t="inlineStr">
        <is>
          <t>0 to 2</t>
        </is>
      </c>
      <c r="R315" t="inlineStr">
        <is>
          <t>Solo entrepreneur</t>
        </is>
      </c>
      <c r="S315" s="1" t="inlineStr">
        <is>
          <t>Business to Business, Business to Government</t>
        </is>
      </c>
      <c r="T315" s="1" t="inlineStr">
        <is>
          <t>Primary Education, Secondary Education, Corporate Training, Lifelong learning/Adult education, Vocational Education and Training (VET), Higher Education</t>
        </is>
      </c>
      <c r="U315" s="1" t="inlineStr">
        <is>
          <t>Student interfacing, Teacher interfacing, System/Administrative</t>
        </is>
      </c>
      <c r="V315" s="10" t="inlineStr">
        <is>
          <t>Assessment For Learning</t>
        </is>
      </c>
      <c r="W315" s="1" t="inlineStr">
        <is>
          <t>Supports the pedagogical process of Assessment for Learning, such as insight into learners perspective on school environment, learning environment in class. Defining learning outcomes together with learners, and learners perspective of their understanding of the learning outcome. We support deep learning and evolving of learners metacognitive processes. We use pedagogical AI to provide individual feedback in writing processes. Assignments could be assessed by the educator or peer-reviewed by Lerners.</t>
        </is>
      </c>
      <c r="X315" s="10" t="inlineStr">
        <is>
          <t>Learning Service Infrastructure</t>
        </is>
      </c>
      <c r="Y315" t="inlineStr">
        <is>
          <t>The future of education is based on data, and to create value from data to schools, educators, learners, parents and the school-owners we first need to have a secure governance of all data produced by the learners.
With our solutions the data could be governed and managed by the educational institutions, or by a selected third party.
When the educational institutions govern their own data, a new set of services using pedagocial AI could be applied to on the collated set of data from all learners.</t>
        </is>
      </c>
      <c r="Z315" s="1" t="inlineStr">
        <is>
          <t>https://drive.google.com/uc?export=view&amp;id=1I5QwkeyEy4LKDT1vkYVANXOWLEsR8KeV</t>
        </is>
      </c>
      <c r="AA315" s="1" t="inlineStr">
        <is>
          <t>Unverified</t>
        </is>
      </c>
      <c r="AB315" s="1" t="n"/>
      <c r="AC315" s="1" t="n"/>
      <c r="AD315" s="10" t="n"/>
      <c r="AE315" s="1" t="n"/>
      <c r="AF315" t="inlineStr">
        <is>
          <t>Yes</t>
        </is>
      </c>
      <c r="AG315" t="inlineStr">
        <is>
          <t>https://www.instagram.com/hypatialearning/</t>
        </is>
      </c>
      <c r="AH315" t="inlineStr">
        <is>
          <t>@hypatialearning</t>
        </is>
      </c>
      <c r="AI315" t="inlineStr">
        <is>
          <t>https://www.linkedin.com/company/hypatialearning/</t>
        </is>
      </c>
    </row>
    <row r="316" ht="12.5" customHeight="1">
      <c r="A316" s="6" t="n">
        <v>45679</v>
      </c>
      <c r="B316" s="1" t="inlineStr">
        <is>
          <t>ORG_2098</t>
        </is>
      </c>
      <c r="C316" s="1" t="b">
        <v>1</v>
      </c>
      <c r="D316" s="1" t="inlineStr">
        <is>
          <t>phase6</t>
        </is>
      </c>
      <c r="E316" s="10" t="inlineStr">
        <is>
          <t>www.phase6.de</t>
        </is>
      </c>
      <c r="F316" t="inlineStr">
        <is>
          <t>phase6.de</t>
        </is>
      </c>
      <c r="G316" s="1" t="inlineStr">
        <is>
          <t>phase6 is the market leader in digital vocabulary training in the DACH region.
phase6 is the only provider in Germany to offer tailor-made digital vocabulary lists for school books for all common language textbooks in cooperation with all leading textbook and educational publishers.</t>
        </is>
      </c>
      <c r="H316" s="1" t="inlineStr">
        <is>
          <t>I'm not part of any EdTech association</t>
        </is>
      </c>
      <c r="I316" s="1" t="n"/>
      <c r="J316" s="1" t="inlineStr">
        <is>
          <t>Berlin</t>
        </is>
      </c>
      <c r="K316" t="inlineStr">
        <is>
          <t>Berlin</t>
        </is>
      </c>
      <c r="L316" t="inlineStr">
        <is>
          <t>Berlin, Germany</t>
        </is>
      </c>
      <c r="M316" t="n">
        <v>52.5173885</v>
      </c>
      <c r="N316" t="n">
        <v>13.3951309</v>
      </c>
      <c r="O316" s="1" t="inlineStr">
        <is>
          <t>Germany</t>
        </is>
      </c>
      <c r="P316" s="1" t="inlineStr">
        <is>
          <t>Austria, Germany, Luxembourg, Switzerland</t>
        </is>
      </c>
      <c r="Q316" s="1" t="inlineStr">
        <is>
          <t>11 to 50</t>
        </is>
      </c>
      <c r="R316" t="inlineStr">
        <is>
          <t>Small</t>
        </is>
      </c>
      <c r="S316" s="1" t="inlineStr">
        <is>
          <t>Business to Consumer</t>
        </is>
      </c>
      <c r="T316" s="1" t="inlineStr">
        <is>
          <t>Primary Education, Secondary Education, Higher Education, Corporate Training, Lifelong learning/Adult education</t>
        </is>
      </c>
      <c r="U316" s="1" t="inlineStr">
        <is>
          <t>System/Administrative, Student interfacing, Teacher interfacing</t>
        </is>
      </c>
      <c r="V316" s="1" t="inlineStr">
        <is>
          <t>phase6</t>
        </is>
      </c>
      <c r="W316" s="1" t="inlineStr">
        <is>
          <t>phase6 is Germany's leading vocabulary trainer. phase6 is the only app to offer vocabulary lists for all current course books and schoolbooks developed in close cooperation with Germany's leading educational publishers. 
phase6 provides systematic training in vocabulary with lasting success. The app is based in the learner's current state of knowledge. More difficult words are repeated more frequently than ones which the learner already knows well.</t>
        </is>
      </c>
      <c r="X316" s="1" t="inlineStr">
        <is>
          <t>https://drive.google.com/uc?export=view&amp;id=1HpwGQ0v0w0b08HQ4Xu1Hv2kHv2ie967Q</t>
        </is>
      </c>
      <c r="Y316" t="inlineStr">
        <is>
          <t>https://drive.google.com/uc?export=view&amp;id=1HpwGQ0v0w0b08HQ4Xu1Hv2kHv2ie967Q</t>
        </is>
      </c>
      <c r="Z316" s="1" t="inlineStr">
        <is>
          <t>https://drive.google.com/uc?export=view&amp;id=1HpwGQ0v0w0b08HQ4Xu1Hv2kHv2ie967Q</t>
        </is>
      </c>
      <c r="AA316" s="1" t="inlineStr">
        <is>
          <t>Unverified</t>
        </is>
      </c>
      <c r="AB316" s="1" t="n"/>
      <c r="AC316" s="1" t="n"/>
      <c r="AD316" s="10" t="n"/>
      <c r="AE316" s="1" t="n"/>
      <c r="AF316" t="inlineStr">
        <is>
          <t>No</t>
        </is>
      </c>
    </row>
    <row r="317" ht="12.5" customHeight="1">
      <c r="A317" s="6" t="n">
        <v>45679</v>
      </c>
      <c r="B317" s="1" t="inlineStr">
        <is>
          <t>ORG_1309</t>
        </is>
      </c>
      <c r="C317" s="1" t="b">
        <v>1</v>
      </c>
      <c r="D317" s="1" t="inlineStr">
        <is>
          <t>CreativeHUT</t>
        </is>
      </c>
      <c r="E317" s="10" t="inlineStr">
        <is>
          <t>www.creative-hut.com</t>
        </is>
      </c>
      <c r="F317" t="inlineStr">
        <is>
          <t>creative-hut.com</t>
        </is>
      </c>
      <c r="G317" s="1" t="inlineStr">
        <is>
          <t>CreativeHUT are a STEAM Education resources and training provider also delivering state of the art learning centres and engaging edutainment experience days.
Catering for learning from early years right through to higher and further education. Our mission is to create lifelong learners, through get hands on resources. Providing the tools and inspiration requited to develop 21st Century Learning Skills for a future yet to be determined.</t>
        </is>
      </c>
      <c r="H317" s="1" t="inlineStr">
        <is>
          <t>I'm not part of any EdTech association</t>
        </is>
      </c>
      <c r="I317" s="1" t="n"/>
      <c r="J317" s="1" t="inlineStr">
        <is>
          <t>Warrington</t>
        </is>
      </c>
      <c r="K317" t="inlineStr">
        <is>
          <t>Warrington</t>
        </is>
      </c>
      <c r="L317" t="inlineStr">
        <is>
          <t>Warrington, United Kingdom</t>
        </is>
      </c>
      <c r="M317" t="n">
        <v>53.3899497</v>
      </c>
      <c r="N317" t="n">
        <v>-2.5943178</v>
      </c>
      <c r="O317" s="1" t="inlineStr">
        <is>
          <t>United Kingdom</t>
        </is>
      </c>
      <c r="P317" s="1" t="inlineStr">
        <is>
          <t>United Kingdom</t>
        </is>
      </c>
      <c r="Q317" s="1" t="inlineStr">
        <is>
          <t>0 to 10</t>
        </is>
      </c>
      <c r="R317" t="inlineStr">
        <is>
          <t>Micro</t>
        </is>
      </c>
      <c r="S317" s="1" t="inlineStr">
        <is>
          <t>Business to Business</t>
        </is>
      </c>
      <c r="T317" s="1" t="inlineStr">
        <is>
          <t>Early childhood development (0-5 years), Primary Education, Secondary Education, Higher Education, Corporate Training, Lifelong learning/Adult education</t>
        </is>
      </c>
      <c r="U317" s="1" t="inlineStr">
        <is>
          <t>System/Administrative, Student interfacing, Teacher interfacing</t>
        </is>
      </c>
      <c r="V317" s="1" t="n"/>
      <c r="W317" s="1" t="inlineStr">
        <is>
          <t>https://drive.google.com/uc?export=view&amp;id=1ZZY2AIlTDFjH-D-6_u6USIElYG0fiyEx</t>
        </is>
      </c>
      <c r="X317" s="1" t="inlineStr">
        <is>
          <t>https://drive.google.com/uc?export=view&amp;id=1ZZY2AIlTDFjH-D-6_u6USIElYG0fiyEx</t>
        </is>
      </c>
      <c r="Y317" t="inlineStr">
        <is>
          <t>https://drive.google.com/uc?export=view&amp;id=1ZZY2AIlTDFjH-D-6_u6USIElYG0fiyEx</t>
        </is>
      </c>
      <c r="Z317" s="1" t="inlineStr">
        <is>
          <t>https://drive.google.com/uc?export=view&amp;id=1ZZY2AIlTDFjH-D-6_u6USIElYG0fiyEx</t>
        </is>
      </c>
      <c r="AA317" s="1" t="inlineStr">
        <is>
          <t>Unverified</t>
        </is>
      </c>
      <c r="AB317" s="1" t="n"/>
      <c r="AC317" s="1" t="n"/>
      <c r="AD317" s="10" t="n"/>
      <c r="AE317" s="1" t="n"/>
      <c r="AF317" t="inlineStr">
        <is>
          <t>No</t>
        </is>
      </c>
    </row>
    <row r="318" ht="12.5" customHeight="1">
      <c r="A318" s="6" t="n">
        <v>45679</v>
      </c>
      <c r="B318" s="1" t="inlineStr">
        <is>
          <t>ORG_1771</t>
        </is>
      </c>
      <c r="C318" s="1" t="b">
        <v>1</v>
      </c>
      <c r="D318" s="1" t="inlineStr">
        <is>
          <t>Kikora</t>
        </is>
      </c>
      <c r="E318" s="10" t="inlineStr">
        <is>
          <t>www.kikora.no</t>
        </is>
      </c>
      <c r="F318" t="inlineStr">
        <is>
          <t>kikora.no</t>
        </is>
      </c>
      <c r="G318" s="1" t="inlineStr">
        <is>
          <t>Kikora is a learning platform withing maths, and a leading edtech company in Scandinavia. 
With our unique math engine we provide the students with step-by-step feedback, enhancing the importance of the mathematical process, and not just end-answer verification. With hundreds of digital interactive mathematical concretes we are explorative by nature, learning students topics by activating them. In Kikora you will also find a classroom discussion tool, programming and an low-stake assessment feature. 
Kikora is one of the market leader within digital maths in Scandinvaia. We are present in Germany and France through partnerships. 
Kikora AS is a subsidiary of Inspera AS - a leading assessment platform globally</t>
        </is>
      </c>
      <c r="H318" s="1" t="n"/>
      <c r="I318" s="1" t="n"/>
      <c r="J318" s="1" t="inlineStr">
        <is>
          <t>Oslo</t>
        </is>
      </c>
      <c r="K318" t="inlineStr">
        <is>
          <t>Oslo</t>
        </is>
      </c>
      <c r="L318" t="inlineStr">
        <is>
          <t>Oslo, Norway</t>
        </is>
      </c>
      <c r="M318" t="n">
        <v>59.9067935</v>
      </c>
      <c r="N318" t="n">
        <v>10.7610162</v>
      </c>
      <c r="O318" s="1" t="inlineStr">
        <is>
          <t>Norway</t>
        </is>
      </c>
      <c r="P318" s="1" t="inlineStr">
        <is>
          <t>France, Germany, Norway, Sweden</t>
        </is>
      </c>
      <c r="Q318" s="1" t="inlineStr">
        <is>
          <t>11 to 50</t>
        </is>
      </c>
      <c r="R318" t="inlineStr">
        <is>
          <t>Small</t>
        </is>
      </c>
      <c r="S318" s="1" t="inlineStr">
        <is>
          <t>Business to Business, Business to Consumer, Business to Schools</t>
        </is>
      </c>
      <c r="T318" s="1" t="inlineStr">
        <is>
          <t>Primary Education, Secondary Education</t>
        </is>
      </c>
      <c r="U318" s="1" t="inlineStr">
        <is>
          <t>Student interfacing, Teacher interfacing</t>
        </is>
      </c>
      <c r="V318" s="1" t="inlineStr">
        <is>
          <t>Kikora</t>
        </is>
      </c>
      <c r="W318" s="1" t="inlineStr">
        <is>
          <t>Kikora is a mathematical univers. We cover the curriculum in Norway, Sweden, Germany and France. Grade 1-12. 
Our unique math engine we provide the students with step-by-step feedback. With hundreds of digital interactive mathematical concretes we are explorative by nature. We have more than 50 000 exercises, and the teacher has full oversight of all activities, tasks and work the class has done, and for the individual students.</t>
        </is>
      </c>
      <c r="X318" s="1" t="inlineStr">
        <is>
          <t>https://drive.google.com/uc?export=view&amp;id=1ov4oT-5tAvROXFPJRFOSxeAHqgdMQjnH</t>
        </is>
      </c>
      <c r="Y318" t="inlineStr">
        <is>
          <t>https://drive.google.com/uc?export=view&amp;id=1ov4oT-5tAvROXFPJRFOSxeAHqgdMQjnH</t>
        </is>
      </c>
      <c r="Z318" s="1" t="inlineStr">
        <is>
          <t>https://drive.google.com/uc?export=view&amp;id=1ov4oT-5tAvROXFPJRFOSxeAHqgdMQjnH</t>
        </is>
      </c>
      <c r="AA318" s="1" t="inlineStr">
        <is>
          <t>Unverified</t>
        </is>
      </c>
      <c r="AB318" s="1" t="n"/>
      <c r="AC318" s="1" t="n"/>
      <c r="AD318" s="10" t="n"/>
      <c r="AE318" s="1" t="n"/>
      <c r="AF318" t="inlineStr">
        <is>
          <t>Yes</t>
        </is>
      </c>
      <c r="AG318" t="inlineStr">
        <is>
          <t>Kikora AS</t>
        </is>
      </c>
      <c r="AH318" t="inlineStr">
        <is>
          <t>Kikora AS</t>
        </is>
      </c>
      <c r="AI318" t="inlineStr">
        <is>
          <t>https://no.linkedin.com › kikora-as</t>
        </is>
      </c>
    </row>
    <row r="319" ht="12.5" customHeight="1">
      <c r="A319" s="6" t="n">
        <v>45679</v>
      </c>
      <c r="B319" s="1" t="inlineStr">
        <is>
          <t>ORG_1893</t>
        </is>
      </c>
      <c r="C319" s="1" t="b">
        <v>1</v>
      </c>
      <c r="D319" s="1" t="inlineStr">
        <is>
          <t>Ludenso</t>
        </is>
      </c>
      <c r="E319" s="10" t="inlineStr">
        <is>
          <t>https://ludenso.com/</t>
        </is>
      </c>
      <c r="F319" t="inlineStr">
        <is>
          <t>ludenso.com</t>
        </is>
      </c>
      <c r="G319" s="1" t="inlineStr">
        <is>
          <t>We are building a learning universe to empower all learners and educators with augmented reality (AR).</t>
        </is>
      </c>
      <c r="H319" s="1" t="inlineStr">
        <is>
          <t>Dutch EdTech, Swedish EdTech Industry, SuperCharger Ventures</t>
        </is>
      </c>
      <c r="I319" s="1" t="inlineStr">
        <is>
          <t>English</t>
        </is>
      </c>
      <c r="J319" s="1" t="inlineStr">
        <is>
          <t>Oslo</t>
        </is>
      </c>
      <c r="K319" t="inlineStr">
        <is>
          <t>Oslo</t>
        </is>
      </c>
      <c r="L319" t="inlineStr">
        <is>
          <t>Oslo, Norway</t>
        </is>
      </c>
      <c r="M319" t="n">
        <v>59.9067935</v>
      </c>
      <c r="N319" t="n">
        <v>10.7610162</v>
      </c>
      <c r="O319" s="1" t="inlineStr">
        <is>
          <t>Norway</t>
        </is>
      </c>
      <c r="P319" s="1" t="inlineStr">
        <is>
          <t>Belgium, Germany, Greece, Norway, Sweden, United Kingdom</t>
        </is>
      </c>
      <c r="Q319" s="1" t="inlineStr">
        <is>
          <t>6 to 10</t>
        </is>
      </c>
      <c r="R319" t="inlineStr">
        <is>
          <t>Micro</t>
        </is>
      </c>
      <c r="S319" s="1" t="inlineStr">
        <is>
          <t>Business to Business, Business to Government</t>
        </is>
      </c>
      <c r="T319" s="1" t="inlineStr">
        <is>
          <t>Primary Education, Secondary Education, Vocational Education and Training (VET), Higher Education</t>
        </is>
      </c>
      <c r="U319" s="1" t="inlineStr">
        <is>
          <t>Student interfacing, Teacher interfacing, System/Administrative</t>
        </is>
      </c>
      <c r="V319" s="10" t="inlineStr">
        <is>
          <t>Ludenso Explore</t>
        </is>
      </c>
      <c r="W319" s="10" t="inlineStr">
        <is>
          <t>Ludenso Explore AR app, recognized as the "Best Free App" in the BETT Awards, seamlessly integrates textbooks with digital resources, offering an immersive educational experience. By bridging the gap between printed materials and technology, it enriches learning through videos, audio support, and interactive 3D models, enhancing engagement and comprehension for students.</t>
        </is>
      </c>
      <c r="X319" s="10" t="inlineStr">
        <is>
          <t>Ludenso Studio</t>
        </is>
      </c>
      <c r="Y319" t="inlineStr">
        <is>
          <t>Ludenso Studio is a dynamic platform enabling publishers in the US, UK, Nordics, Greece, and Belgium to effortlessly enhance their textbooks with engaging augmented reality (AR) content. This tool seamlessly integrates 3D models, videos, and audio support, breathing life into traditional learning materials, and adapting them to the digital age.</t>
        </is>
      </c>
      <c r="Z319" s="1" t="inlineStr">
        <is>
          <t>https://drive.google.com/uc?export=view&amp;id=1DVzKbCF-0LHGs4q7RsJeIVSAhhMencNj</t>
        </is>
      </c>
      <c r="AA319" s="1" t="inlineStr">
        <is>
          <t>Unverified</t>
        </is>
      </c>
      <c r="AB319" s="1" t="n"/>
      <c r="AC319" s="1" t="n"/>
      <c r="AD319" s="10" t="n"/>
      <c r="AE319" s="1" t="n"/>
      <c r="AF319" t="inlineStr">
        <is>
          <t>Yes</t>
        </is>
      </c>
      <c r="AG319" t="inlineStr">
        <is>
          <t>https://www.instagram.com/byludenso/?hl=en</t>
        </is>
      </c>
      <c r="AH319" t="inlineStr">
        <is>
          <t>https://twitter.com/ByLudenso</t>
        </is>
      </c>
      <c r="AI319" t="inlineStr">
        <is>
          <t>https://www.linkedin.com/company/11865939/admin/feed/posts/</t>
        </is>
      </c>
    </row>
    <row r="320" ht="12.5" customHeight="1">
      <c r="A320" s="6" t="n">
        <v>45679</v>
      </c>
      <c r="B320" s="1" t="inlineStr">
        <is>
          <t>ORG_2029</t>
        </is>
      </c>
      <c r="C320" s="1" t="b">
        <v>1</v>
      </c>
      <c r="D320" s="1" t="inlineStr">
        <is>
          <t>NetSupport</t>
        </is>
      </c>
      <c r="E320" s="10" t="inlineStr">
        <is>
          <t>www.netsupportsoftware.com</t>
        </is>
      </c>
      <c r="F320" t="inlineStr">
        <is>
          <t>netsupportsoftware.com</t>
        </is>
      </c>
      <c r="G320" s="1" t="inlineStr">
        <is>
          <t>NetSupport are a UK based EdTech company, with offices in Atlanta, Toronto and Munich, that creates solutions for school IT Management, Online Safety, Classroom Orchestration, Alerting and Remote support tools. NetSupport has been developing EdTech solutions for 33 years and has an install base exceeding 19 million users in over 110 countries.</t>
        </is>
      </c>
      <c r="H320" s="1" t="inlineStr">
        <is>
          <t>I'm not part of any EdTech association</t>
        </is>
      </c>
      <c r="I320" s="1" t="n"/>
      <c r="J320" s="1" t="inlineStr">
        <is>
          <t>Peterborough</t>
        </is>
      </c>
      <c r="K320" t="inlineStr">
        <is>
          <t>Peterborough</t>
        </is>
      </c>
      <c r="L320" t="inlineStr">
        <is>
          <t>Peterborough, United Kingdom</t>
        </is>
      </c>
      <c r="M320" t="n">
        <v>52.5725769</v>
      </c>
      <c r="N320" t="n">
        <v>-0.2427336</v>
      </c>
      <c r="O320" s="1" t="inlineStr">
        <is>
          <t>United Kingdom</t>
        </is>
      </c>
      <c r="P320" s="1" t="inlineStr">
        <is>
          <t>Austria, Belgium, Bosnia and Herzegovina, Bulgaria, Croatia, Cyprus, Czechia, Denmark, Estonia, Finland, France, Georgia, Germany, Greece, Hungary, Iceland, Ireland, Italy, Latvia, Lithuania, Luxembourg, Malta, Monaco, Netherlands, Norway, Poland, Portugal, Romania, San Marino, Serbia, Slovakia, Slovenia, Spain, Sweden, Switzerland, Turkey, Ukraine, United Kingdom</t>
        </is>
      </c>
      <c r="Q320" s="1" t="inlineStr">
        <is>
          <t>100+</t>
        </is>
      </c>
      <c r="R320" t="inlineStr">
        <is>
          <t>Medium or Large (unspecified)</t>
        </is>
      </c>
      <c r="S320" s="1" t="inlineStr">
        <is>
          <t>Business to Business, Business to Government, Business to Schools</t>
        </is>
      </c>
      <c r="T320" s="1" t="inlineStr">
        <is>
          <t>Primary Education, Secondary Education, Higher Education, Corporate Training</t>
        </is>
      </c>
      <c r="U320" s="1" t="inlineStr">
        <is>
          <t>Teacher interfacing, System/Administrative</t>
        </is>
      </c>
      <c r="V320" s="10" t="inlineStr">
        <is>
          <t>Classroom.cloud</t>
        </is>
      </c>
      <c r="W320" s="10" t="inlineStr">
        <is>
          <t>Super easy to set up and use, classroom.cloud is a cloud-based teaching, online safety and IT management platform, providing all the essential tools for supporting teaching and learning in any setting. http://classroom.cloud</t>
        </is>
      </c>
      <c r="X320" s="10" t="inlineStr">
        <is>
          <t>NetSupport School</t>
        </is>
      </c>
      <c r="Y320" t="inlineStr">
        <is>
          <t>Complete classroom management - With over 31 years of development, NetSupport School is the market-leading and most feature-rich classroom instruction and monitoring solution (includes a wealth of monitoring, control, collaboration and assessment features) available for multiple platforms across LAN and WAN.</t>
        </is>
      </c>
      <c r="Z320" s="1" t="inlineStr">
        <is>
          <t>https://drive.google.com/uc?export=view&amp;id=1eMMfNPHgCkxXpGghUe-hDcdVPmsIYz1O</t>
        </is>
      </c>
      <c r="AA320" s="1" t="inlineStr">
        <is>
          <t>Unverified</t>
        </is>
      </c>
      <c r="AB320" s="1" t="n"/>
      <c r="AC320" s="1" t="n"/>
      <c r="AD320" s="10" t="n"/>
      <c r="AE320" s="1" t="n"/>
      <c r="AF320" t="inlineStr">
        <is>
          <t>Yes</t>
        </is>
      </c>
      <c r="AG320" t="inlineStr">
        <is>
          <t>https://www.instagram.com/netsupportgroup/</t>
        </is>
      </c>
      <c r="AH320" t="inlineStr">
        <is>
          <t>https://twitter.com/NetSupportGroup</t>
        </is>
      </c>
      <c r="AI320" t="inlineStr">
        <is>
          <t>https://www.linkedin.com/company/netsupport-limited</t>
        </is>
      </c>
    </row>
    <row r="321" ht="12.5" customHeight="1">
      <c r="A321" s="6" t="n">
        <v>45679</v>
      </c>
      <c r="B321" s="1" t="inlineStr">
        <is>
          <t>ORG_2209</t>
        </is>
      </c>
      <c r="C321" s="1" t="b">
        <v>1</v>
      </c>
      <c r="D321" s="1" t="inlineStr">
        <is>
          <t>School Day</t>
        </is>
      </c>
      <c r="E321" s="10" t="inlineStr">
        <is>
          <t>https://schoolday.com</t>
        </is>
      </c>
      <c r="F321" t="inlineStr">
        <is>
          <t>schoolday.com</t>
        </is>
      </c>
      <c r="G321" s="1" t="inlineStr">
        <is>
          <t>School Day is a tool for district leaders and teachers to proactively lead well-being in the classroom in order to improve learning results.</t>
        </is>
      </c>
      <c r="H321" s="1" t="inlineStr">
        <is>
          <t>EdTech Finland</t>
        </is>
      </c>
      <c r="I321" s="1" t="n"/>
      <c r="J321" s="1" t="inlineStr">
        <is>
          <t>Helsinki</t>
        </is>
      </c>
      <c r="K321" t="inlineStr">
        <is>
          <t>Helsinki</t>
        </is>
      </c>
      <c r="L321" t="inlineStr">
        <is>
          <t>Helsinki, Finland</t>
        </is>
      </c>
      <c r="M321" t="n">
        <v>60.1666204</v>
      </c>
      <c r="N321" t="n">
        <v>24.9435408</v>
      </c>
      <c r="O321" s="1" t="inlineStr">
        <is>
          <t>Finland</t>
        </is>
      </c>
      <c r="P321" s="1" t="inlineStr">
        <is>
          <t>Finland, United Kingdom</t>
        </is>
      </c>
      <c r="Q321" s="1" t="inlineStr">
        <is>
          <t>0 to 10</t>
        </is>
      </c>
      <c r="R321" t="inlineStr">
        <is>
          <t>Micro</t>
        </is>
      </c>
      <c r="S321" s="1" t="inlineStr">
        <is>
          <t>Business to Business, Business to Schools</t>
        </is>
      </c>
      <c r="T321" s="1" t="inlineStr">
        <is>
          <t>Primary Education, Secondary Education</t>
        </is>
      </c>
      <c r="U321" s="1" t="inlineStr">
        <is>
          <t>Teacher interfacing, System/Administrative</t>
        </is>
      </c>
      <c r="V321" s="10" t="inlineStr">
        <is>
          <t>School Day</t>
        </is>
      </c>
      <c r="W321" s="10" t="inlineStr">
        <is>
          <t>School Day asks students questions about their well-being, analyzes the data, and provides real-time insight. Our service highlights what’s going well in the classroom and provides easily implementable solutions. From the classroom to school and district level, we help students and educators around the world learn how well-being improves learning outcomes. When students feel good, they learn better.</t>
        </is>
      </c>
      <c r="X321" s="10" t="inlineStr">
        <is>
          <t>https://drive.google.com/uc?export=view&amp;id=1goqD6_U9g5P0YYzhp8tuO3xcstCF0zPF</t>
        </is>
      </c>
      <c r="Y321" t="inlineStr">
        <is>
          <t>https://drive.google.com/uc?export=view&amp;id=1goqD6_U9g5P0YYzhp8tuO3xcstCF0zPF</t>
        </is>
      </c>
      <c r="Z321" s="1" t="inlineStr">
        <is>
          <t>https://drive.google.com/uc?export=view&amp;id=1goqD6_U9g5P0YYzhp8tuO3xcstCF0zPF</t>
        </is>
      </c>
      <c r="AA321" s="1" t="inlineStr">
        <is>
          <t>Unverified</t>
        </is>
      </c>
      <c r="AB321" s="1" t="n"/>
      <c r="AC321" s="1" t="n"/>
      <c r="AD321" s="10" t="n"/>
      <c r="AE321" s="1" t="n"/>
      <c r="AF321" t="inlineStr">
        <is>
          <t>Yes</t>
        </is>
      </c>
      <c r="AG321" t="inlineStr">
        <is>
          <t>https://www.instagram.com/schooldaycom/</t>
        </is>
      </c>
      <c r="AH321" t="inlineStr">
        <is>
          <t>https://twitter.com/schooldaycom</t>
        </is>
      </c>
      <c r="AI321" t="inlineStr">
        <is>
          <t>https://www.linkedin.com/company/school-day-finland</t>
        </is>
      </c>
    </row>
    <row r="322" ht="12.5" customHeight="1">
      <c r="A322" s="6" t="n">
        <v>45679</v>
      </c>
      <c r="B322" s="1" t="inlineStr">
        <is>
          <t>ORG_2446</t>
        </is>
      </c>
      <c r="C322" s="1" t="b">
        <v>1</v>
      </c>
      <c r="D322" s="1" t="inlineStr">
        <is>
          <t>Twig Education</t>
        </is>
      </c>
      <c r="E322" s="10" t="inlineStr">
        <is>
          <t>https://twigeducation.com/</t>
        </is>
      </c>
      <c r="F322" t="inlineStr">
        <is>
          <t>twigeducation.com</t>
        </is>
      </c>
      <c r="G322" s="1" t="inlineStr">
        <is>
          <t>Twig Education is at the forefront of STEM education, specializing in short films, media-rich instructional materials, and core-curriculum solutions for Pre–K–12 learning. Our modern, innovative, engaging, and interactive content, mapped to global curricula, makes complex scientific concepts accessible and understandable for all.
Our multi-lingual portfolio supports schools, publishers, and governments around the world and includes Twig Science, a comprehensive STEM program for ages 4-12. Built around long-form, immersive investigations, Twig Science transforms science curricula into engaging 3D storylines that integrate visual, digital, and hands-on learning. Also available are Tigtag and Twig, platforms for ages 4-16, containing a suite of supplemental resources centered on video-based learning for science, maths, and geography and supported by complete lesson plans and multimedia content.</t>
        </is>
      </c>
      <c r="H322" s="1" t="inlineStr">
        <is>
          <t>I'm not part of any EdTech association</t>
        </is>
      </c>
      <c r="I322" s="1" t="n"/>
      <c r="J322" s="1" t="inlineStr">
        <is>
          <t>Glasgow</t>
        </is>
      </c>
      <c r="K322" t="inlineStr">
        <is>
          <t>Glasgow</t>
        </is>
      </c>
      <c r="L322" t="inlineStr">
        <is>
          <t>Glasgow, United Kingdom</t>
        </is>
      </c>
      <c r="M322" t="n">
        <v>55.861155</v>
      </c>
      <c r="N322" t="n">
        <v>-4.2501687</v>
      </c>
      <c r="O322" s="1" t="inlineStr">
        <is>
          <t>United Kingdom</t>
        </is>
      </c>
      <c r="P322" s="1" t="inlineStr">
        <is>
          <t>Austria, Croatia, France, Germany, Greece, Iceland, Ireland, Italy, Kazakhstan, Latvia, Lithuania, Montenegro, Netherlands, North Macedonia, Norway, Poland, Portugal, Romania, Serbia, Slovakia, Slovenia, Spain, Sweden, Switzerland, Turkey, Ukraine, United Kingdom</t>
        </is>
      </c>
      <c r="Q322" s="1" t="inlineStr">
        <is>
          <t>100+</t>
        </is>
      </c>
      <c r="R322" t="inlineStr">
        <is>
          <t>Medium or Large (unspecified)</t>
        </is>
      </c>
      <c r="S322" s="1" t="inlineStr">
        <is>
          <t>Business to Government, Business to Schools</t>
        </is>
      </c>
      <c r="T322" s="1" t="inlineStr">
        <is>
          <t>Early childhood development (0-5 years), Primary Education, Secondary Education</t>
        </is>
      </c>
      <c r="U322" s="1" t="inlineStr">
        <is>
          <t>Student interfacing, Teacher interfacing, System/Administrative</t>
        </is>
      </c>
      <c r="V322" s="1" t="n"/>
      <c r="W322" s="1" t="inlineStr">
        <is>
          <t>https://drive.google.com/uc?export=view&amp;id=1eSfjJfWhZKB3KKlP6h83gQs3K0EZq9Op</t>
        </is>
      </c>
      <c r="X322" s="1" t="inlineStr">
        <is>
          <t>https://drive.google.com/uc?export=view&amp;id=1eSfjJfWhZKB3KKlP6h83gQs3K0EZq9Op</t>
        </is>
      </c>
      <c r="Y322" t="inlineStr">
        <is>
          <t>https://drive.google.com/uc?export=view&amp;id=1eSfjJfWhZKB3KKlP6h83gQs3K0EZq9Op</t>
        </is>
      </c>
      <c r="Z322" s="1" t="inlineStr">
        <is>
          <t>https://drive.google.com/uc?export=view&amp;id=1eSfjJfWhZKB3KKlP6h83gQs3K0EZq9Op</t>
        </is>
      </c>
      <c r="AA322" s="1" t="inlineStr">
        <is>
          <t>Unverified</t>
        </is>
      </c>
      <c r="AB322" s="1" t="n"/>
      <c r="AC322" s="1" t="n"/>
      <c r="AD322" s="10" t="n"/>
      <c r="AE322" s="1" t="n"/>
      <c r="AF322" t="inlineStr">
        <is>
          <t>No</t>
        </is>
      </c>
    </row>
    <row r="323" ht="12.5" customHeight="1">
      <c r="A323" s="6" t="n">
        <v>45679</v>
      </c>
      <c r="B323" s="1" t="inlineStr">
        <is>
          <t>ORG_2334</t>
        </is>
      </c>
      <c r="C323" s="1" t="b">
        <v>1</v>
      </c>
      <c r="D323" s="1" t="inlineStr">
        <is>
          <t>Studentlitteratur AB</t>
        </is>
      </c>
      <c r="E323" s="10" t="inlineStr">
        <is>
          <t>http://www.studentlitteratur.se</t>
        </is>
      </c>
      <c r="F323" t="inlineStr">
        <is>
          <t>studentlitteratur.se</t>
        </is>
      </c>
      <c r="G323" s="1" t="inlineStr">
        <is>
          <t>Studentlitteratur is Sweden’s leading publisher of educational materials. In close collaboration with representatives of preschool, primary, secondary and adult education, university and professional life, we develop products that support knowledge and development of skills along all stages of life.
We publish around 300 new titles annually and lead the way in developing digital learning materials. Regardless of the form and packaging, however, the basic concept remains the same. Everything we offer is based on scientific grounds, proven experience and the adaptivity of our educational materials to our target groups.
Studentlitteratur is a family-owned publishing company founded in 1963. Our range of study resources, academic publishing, easy-to-read literature, study programmes and digital information services makes Studentlitteratur Sweden’s leading educational publisher. The Studentlitteratur Group has a turnover of SEK 422 million and 164 employees.</t>
        </is>
      </c>
      <c r="H323" s="1" t="n"/>
      <c r="I323" s="1" t="n"/>
      <c r="J323" s="1" t="inlineStr">
        <is>
          <t>Lund</t>
        </is>
      </c>
      <c r="K323" t="inlineStr">
        <is>
          <t>Lund</t>
        </is>
      </c>
      <c r="L323" t="inlineStr">
        <is>
          <t>Lund, Sweden</t>
        </is>
      </c>
      <c r="M323" t="n">
        <v>55.7029296</v>
      </c>
      <c r="N323" t="n">
        <v>13.1929449</v>
      </c>
      <c r="O323" s="1" t="inlineStr">
        <is>
          <t>Sweden</t>
        </is>
      </c>
      <c r="P323" s="1" t="inlineStr">
        <is>
          <t>Sweden</t>
        </is>
      </c>
      <c r="Q323" s="1" t="inlineStr">
        <is>
          <t>100+</t>
        </is>
      </c>
      <c r="R323" t="inlineStr">
        <is>
          <t>Medium or Large (unspecified)</t>
        </is>
      </c>
      <c r="S323" s="1" t="inlineStr">
        <is>
          <t>Business to Business, Business to Government, Business to Schools</t>
        </is>
      </c>
      <c r="T323" s="1" t="inlineStr">
        <is>
          <t>Early childhood development (0-5 years), Primary Education, Secondary Education, Higher Education, Corporate Training, Lifelong learning/Adult education</t>
        </is>
      </c>
      <c r="U323" s="1" t="inlineStr">
        <is>
          <t>Student interfacing, Teacher interfacing, System/Administrative</t>
        </is>
      </c>
      <c r="V323" s="1" t="inlineStr">
        <is>
          <t>Digital learning materials</t>
        </is>
      </c>
      <c r="W323" s="10" t="inlineStr">
        <is>
          <t>In close collaboration with representatives of preschool, primary, secondary and adult education, university and professional life, we develop products that support knowledge and development of skills along all stages of life.
Everything we offer is based on scientific grounds, proven experience and the adaptivity of our educational materials to our target groups.</t>
        </is>
      </c>
      <c r="X323" s="10" t="inlineStr">
        <is>
          <t>https://drive.google.com/uc?export=view&amp;id=1YI85j1TsJqXtkzktcC5bY27csS3YzOt4</t>
        </is>
      </c>
      <c r="Y323" t="inlineStr">
        <is>
          <t>https://drive.google.com/uc?export=view&amp;id=1YI85j1TsJqXtkzktcC5bY27csS3YzOt4</t>
        </is>
      </c>
      <c r="Z323" s="1" t="inlineStr">
        <is>
          <t>https://drive.google.com/uc?export=view&amp;id=1YI85j1TsJqXtkzktcC5bY27csS3YzOt4</t>
        </is>
      </c>
      <c r="AA323" s="1" t="inlineStr">
        <is>
          <t>Unverified</t>
        </is>
      </c>
      <c r="AB323" s="1" t="n"/>
      <c r="AC323" s="1" t="n"/>
      <c r="AD323" s="10" t="n"/>
      <c r="AE323" s="1" t="n"/>
      <c r="AF323" t="inlineStr">
        <is>
          <t>Yes</t>
        </is>
      </c>
      <c r="AG323" t="inlineStr">
        <is>
          <t>https://twitter.com/Studentlitterat</t>
        </is>
      </c>
      <c r="AH323" t="inlineStr">
        <is>
          <t>https://twitter.com/Studentlitterat</t>
        </is>
      </c>
      <c r="AI323" t="inlineStr">
        <is>
          <t>https://www.linkedin.com/company/studentlitteratur</t>
        </is>
      </c>
    </row>
    <row r="324" ht="12.5" customHeight="1">
      <c r="A324" s="6" t="n">
        <v>45679</v>
      </c>
      <c r="B324" s="1" t="inlineStr">
        <is>
          <t>ORG_1005</t>
        </is>
      </c>
      <c r="C324" s="1" t="b">
        <v>1</v>
      </c>
      <c r="D324" s="1" t="inlineStr">
        <is>
          <t>123Chemie</t>
        </is>
      </c>
      <c r="E324" s="10" t="inlineStr">
        <is>
          <t>https://www.123chemie.de/</t>
        </is>
      </c>
      <c r="F324" t="inlineStr">
        <is>
          <t>123chemie.de</t>
        </is>
      </c>
      <c r="G324" s="1" t="inlineStr">
        <is>
          <t>The digital chemistry shelf: this is how successful learning succeeds
Individualized Learning because the learning applications take up the knowledge learned in experimental chemistry lessons in order to link and expand it at a higher learning level.</t>
        </is>
      </c>
      <c r="H324" s="1" t="inlineStr">
        <is>
          <t>I'm not part of any EdTech association</t>
        </is>
      </c>
      <c r="I324" s="1" t="n"/>
      <c r="J324" s="1" t="inlineStr">
        <is>
          <t>Neukirchen</t>
        </is>
      </c>
      <c r="K324" t="inlineStr">
        <is>
          <t>Neukirchen</t>
        </is>
      </c>
      <c r="L324" t="inlineStr">
        <is>
          <t>Neukirchen, Germany</t>
        </is>
      </c>
      <c r="M324" t="n">
        <v>54.8687122</v>
      </c>
      <c r="N324" t="n">
        <v>8.7339915</v>
      </c>
      <c r="O324" s="1" t="inlineStr">
        <is>
          <t>Germany</t>
        </is>
      </c>
      <c r="P324" s="1" t="inlineStr">
        <is>
          <t>Germany</t>
        </is>
      </c>
      <c r="Q324" s="1" t="inlineStr">
        <is>
          <t>0 to 10</t>
        </is>
      </c>
      <c r="R324" t="inlineStr">
        <is>
          <t>Micro</t>
        </is>
      </c>
      <c r="S324" s="1" t="inlineStr">
        <is>
          <t>Business to Business</t>
        </is>
      </c>
      <c r="T324" s="1" t="inlineStr">
        <is>
          <t>Secondary Education</t>
        </is>
      </c>
      <c r="U324" s="1" t="inlineStr">
        <is>
          <t>Student interfacing, Teacher interfacing</t>
        </is>
      </c>
      <c r="V324" s="1" t="inlineStr">
        <is>
          <t>The digital chemistry shelf</t>
        </is>
      </c>
      <c r="W324" s="1" t="inlineStr">
        <is>
          <t>Read - Practise - Test - Design: This is how successful learning succeeds in Chemistry</t>
        </is>
      </c>
      <c r="X324" s="1" t="inlineStr">
        <is>
          <t>https://drive.google.com/uc?export=view&amp;id=1vFSvaLUqKh21Cw2NbHFQv6efYz4RIJUd</t>
        </is>
      </c>
      <c r="Y324" t="inlineStr">
        <is>
          <t>https://drive.google.com/uc?export=view&amp;id=1vFSvaLUqKh21Cw2NbHFQv6efYz4RIJUd</t>
        </is>
      </c>
      <c r="Z324" s="1" t="inlineStr">
        <is>
          <t>https://drive.google.com/uc?export=view&amp;id=1vFSvaLUqKh21Cw2NbHFQv6efYz4RIJUd</t>
        </is>
      </c>
      <c r="AA324" s="1" t="inlineStr">
        <is>
          <t>Unverified</t>
        </is>
      </c>
      <c r="AB324" s="1" t="n"/>
      <c r="AC324" s="1" t="n"/>
      <c r="AD324" s="10" t="n"/>
      <c r="AE324" s="1" t="n"/>
      <c r="AF324" t="inlineStr">
        <is>
          <t>Yes</t>
        </is>
      </c>
      <c r="AG324" t="inlineStr">
        <is>
          <t>123Chemie</t>
        </is>
      </c>
      <c r="AH324" t="inlineStr">
        <is>
          <t>123Chemie</t>
        </is>
      </c>
      <c r="AI324" t="inlineStr">
        <is>
          <t>123Chemie</t>
        </is>
      </c>
    </row>
    <row r="325" ht="12.5" customHeight="1">
      <c r="A325" s="6" t="n">
        <v>45679</v>
      </c>
      <c r="B325" s="1" t="inlineStr">
        <is>
          <t>ORG_1698</t>
        </is>
      </c>
      <c r="C325" s="1" t="b">
        <v>1</v>
      </c>
      <c r="D325" s="1" t="inlineStr">
        <is>
          <t>Hypocampus</t>
        </is>
      </c>
      <c r="E325" s="10" t="inlineStr">
        <is>
          <t>hypocampus.fr</t>
        </is>
      </c>
      <c r="F325" t="inlineStr">
        <is>
          <t>hypocampus.fr</t>
        </is>
      </c>
      <c r="G325" s="1" t="inlineStr">
        <is>
          <t>The core of Hypocampus AB is Cortexio, a complete and flexible learning experience platform with modules for learners, content creators and educators. We take control of both the content production and the learning experience to help each learner reach their goals. More than 100k learners stretching from HE (law &amp; medical students), K12 and corporate education rely on our study platform to reach their educational goals.</t>
        </is>
      </c>
      <c r="H325" s="1" t="n"/>
      <c r="I325" s="1" t="n"/>
      <c r="J325" s="1" t="inlineStr">
        <is>
          <t>Göteborg</t>
        </is>
      </c>
      <c r="K325" t="inlineStr">
        <is>
          <t>Göteborg</t>
        </is>
      </c>
      <c r="L325" t="inlineStr">
        <is>
          <t>Göteborg, Sweden</t>
        </is>
      </c>
      <c r="M325" t="n">
        <v>57.7072326</v>
      </c>
      <c r="N325" t="n">
        <v>11.9670171</v>
      </c>
      <c r="O325" s="1" t="inlineStr">
        <is>
          <t>Sweden</t>
        </is>
      </c>
      <c r="P325" s="1" t="inlineStr">
        <is>
          <t>Belgium, Denmark, Finland, Italy, Norway, Romania, Sweden, Turkey</t>
        </is>
      </c>
      <c r="Q325" s="1" t="inlineStr">
        <is>
          <t>11 to 50</t>
        </is>
      </c>
      <c r="R325" t="inlineStr">
        <is>
          <t>Small</t>
        </is>
      </c>
      <c r="S325" s="1" t="inlineStr">
        <is>
          <t>Business to Business</t>
        </is>
      </c>
      <c r="T325" s="1" t="inlineStr">
        <is>
          <t>Secondary Education, Higher Education, Corporate Training, Lifelong learning/Adult education</t>
        </is>
      </c>
      <c r="U325" s="1" t="inlineStr">
        <is>
          <t>Student interfacing, Teacher interfacing</t>
        </is>
      </c>
      <c r="V325" s="10" t="inlineStr">
        <is>
          <t>Hypocampus</t>
        </is>
      </c>
      <c r="W325" s="1" t="inlineStr">
        <is>
          <t>A complete solution for medical students and doctors. Hypocampus provides a combination of a knowledge and a Q-bank packaged in an evidenced based study platform that support each user to learn the right thing, in the right way at the right time. More than 50k medical students across Europe rely on Hypocampus in their studies.</t>
        </is>
      </c>
      <c r="X325" s="10" t="inlineStr">
        <is>
          <t>Cortexio</t>
        </is>
      </c>
      <c r="Y325" t="inlineStr">
        <is>
          <t>The platform behind Hypocampus is also provided as a white label SaaS product for publishers, educators and enterprises.</t>
        </is>
      </c>
      <c r="Z325" s="1" t="inlineStr">
        <is>
          <t>https://drive.google.com/uc?export=view&amp;id=1tCps8JSGsBupSeghtYCTZRPP53HwAy9L</t>
        </is>
      </c>
      <c r="AA325" s="1" t="inlineStr">
        <is>
          <t>Unverified</t>
        </is>
      </c>
      <c r="AB325" s="1" t="n"/>
      <c r="AC325" s="1" t="n"/>
      <c r="AD325" s="10" t="n"/>
      <c r="AE325" s="1" t="n"/>
      <c r="AF325" t="inlineStr">
        <is>
          <t>Yes</t>
        </is>
      </c>
      <c r="AG325" t="inlineStr">
        <is>
          <t>https://www.instagram.com/hypocampus.fr/</t>
        </is>
      </c>
      <c r="AH325" t="inlineStr">
        <is>
          <t>https://www.linkedin.com/company/hypocampus-ab</t>
        </is>
      </c>
      <c r="AI325" t="inlineStr">
        <is>
          <t>https://www.linkedin.com/company/hypocampus-ab</t>
        </is>
      </c>
    </row>
    <row r="326" ht="12.5" customHeight="1">
      <c r="A326" s="6" t="n">
        <v>45679</v>
      </c>
      <c r="B326" s="1" t="inlineStr">
        <is>
          <t>ORG_2519</t>
        </is>
      </c>
      <c r="C326" s="1" t="b">
        <v>1</v>
      </c>
      <c r="D326" s="1" t="inlineStr">
        <is>
          <t>WebWeaver®</t>
        </is>
      </c>
      <c r="E326" s="10" t="inlineStr">
        <is>
          <t>https://www.webweaver.de/</t>
        </is>
      </c>
      <c r="F326" t="inlineStr">
        <is>
          <t>webweaver.de</t>
        </is>
      </c>
      <c r="G326" s="1" t="inlineStr">
        <is>
          <t>Founded in 1996, DigiOnline GmbH is an IT-Company based in Cologne and specializes in the development of high quality web applications, interactive media, prototypical curricula and apps for every education sector. The products are distributed under the name WebWeaver® and customers include schools, education and training providers as well as associations and publishers.</t>
        </is>
      </c>
      <c r="H326" s="1" t="inlineStr">
        <is>
          <t>I'm not part of any EdTech association</t>
        </is>
      </c>
      <c r="I326" s="1" t="n"/>
      <c r="J326" s="1" t="inlineStr">
        <is>
          <t>Cologne</t>
        </is>
      </c>
      <c r="K326" t="inlineStr">
        <is>
          <t>Cologne</t>
        </is>
      </c>
      <c r="L326" t="inlineStr">
        <is>
          <t>Cologne, Germany</t>
        </is>
      </c>
      <c r="M326" t="n">
        <v>50.938361</v>
      </c>
      <c r="N326" t="n">
        <v>6.959974</v>
      </c>
      <c r="O326" s="1" t="inlineStr">
        <is>
          <t>Germany</t>
        </is>
      </c>
      <c r="P326" s="1" t="inlineStr">
        <is>
          <t>Germany, Switzerland</t>
        </is>
      </c>
      <c r="Q326" s="1" t="inlineStr">
        <is>
          <t>11 to 50</t>
        </is>
      </c>
      <c r="R326" t="inlineStr">
        <is>
          <t>Small</t>
        </is>
      </c>
      <c r="S326" s="1" t="inlineStr">
        <is>
          <t>Business to Government, Business to Schools</t>
        </is>
      </c>
      <c r="T326" s="1" t="inlineStr">
        <is>
          <t>Primary Education, Secondary Education, Lifelong learning/Adult education</t>
        </is>
      </c>
      <c r="U326" s="1" t="inlineStr">
        <is>
          <t>Student interfacing, Teacher interfacing, System/Administrative</t>
        </is>
      </c>
      <c r="V326" s="1" t="inlineStr">
        <is>
          <t>WebWeaver®</t>
        </is>
      </c>
      <c r="W326" s="10" t="inlineStr">
        <is>
          <t>WebWeaver® is a cloud solution tailored to the requirements of learning environments. Flexible communication and collaboration is provided by a range of add-ons such as a video conferencing and document processing tool.
Learners have access to the learning platform at any time using any device and stay mobile with the WebWeaver®Messenger &amp; Mail App. 
Content providers can develop and distribute online courses, exercises and tests via the integrated Courselets authoring system. The platform also allows combining various components and modules and connecting third-party systems.</t>
        </is>
      </c>
      <c r="X326" s="10" t="inlineStr">
        <is>
          <t>https://drive.google.com/uc?export=view&amp;id=1P1lg9lrdRe-sgmaVY9m39qJNzldk-m_S</t>
        </is>
      </c>
      <c r="Y326" t="inlineStr">
        <is>
          <t>https://drive.google.com/uc?export=view&amp;id=1P1lg9lrdRe-sgmaVY9m39qJNzldk-m_S</t>
        </is>
      </c>
      <c r="Z326" s="1" t="inlineStr">
        <is>
          <t>https://drive.google.com/uc?export=view&amp;id=1P1lg9lrdRe-sgmaVY9m39qJNzldk-m_S</t>
        </is>
      </c>
      <c r="AA326" s="1" t="inlineStr">
        <is>
          <t>Unverified</t>
        </is>
      </c>
      <c r="AB326" s="1" t="n"/>
      <c r="AC326" s="1" t="n"/>
      <c r="AD326" s="10" t="n"/>
      <c r="AE326" s="1" t="n"/>
      <c r="AF326" t="inlineStr">
        <is>
          <t>Yes</t>
        </is>
      </c>
      <c r="AG326" t="inlineStr">
        <is>
          <t>https://twitter.com/WebWeaver_DE</t>
        </is>
      </c>
      <c r="AH326" t="inlineStr">
        <is>
          <t>https://twitter.com/WebWeaver_DE</t>
        </is>
      </c>
      <c r="AI326" t="inlineStr">
        <is>
          <t>https://www.linkedin.com/company/digionline-gmbh</t>
        </is>
      </c>
    </row>
    <row r="327" ht="12.5" customHeight="1">
      <c r="A327" s="6" t="n">
        <v>45679</v>
      </c>
      <c r="B327" s="1" t="inlineStr">
        <is>
          <t>ORG_1516</t>
        </is>
      </c>
      <c r="C327" s="1" t="b">
        <v>1</v>
      </c>
      <c r="D327" s="1" t="inlineStr">
        <is>
          <t>eSquirrel</t>
        </is>
      </c>
      <c r="E327" s="10" t="inlineStr">
        <is>
          <t>www.eSquirrel.com</t>
        </is>
      </c>
      <c r="F327" t="inlineStr">
        <is>
          <t>esquirrel.com</t>
        </is>
      </c>
      <c r="G327" s="1" t="inlineStr">
        <is>
          <t>eSquirrel is a learning experience platform designed for smartphones that offers valuable digital learning content for existing textbooks or your own learning materials. eSquirrel takes on the hassle of correcting homework, simplifies tests and motivates students to learn via gamification throughout the whole school year. It saves publishers time and money by providing them a validated, certified and affordable digital add-on to their textbooks.</t>
        </is>
      </c>
      <c r="H327" s="1" t="inlineStr">
        <is>
          <t>EdTech Austria, EDUvation</t>
        </is>
      </c>
      <c r="I327" s="1" t="inlineStr">
        <is>
          <t>German, English, French, Spanish, Ukrainian, Hungarian</t>
        </is>
      </c>
      <c r="J327" s="1" t="inlineStr">
        <is>
          <t>Vienna</t>
        </is>
      </c>
      <c r="K327" t="inlineStr">
        <is>
          <t>Vienna</t>
        </is>
      </c>
      <c r="L327" t="inlineStr">
        <is>
          <t>Vienna, Austria</t>
        </is>
      </c>
      <c r="M327" t="n">
        <v>48.2083537</v>
      </c>
      <c r="N327" t="n">
        <v>16.3725042</v>
      </c>
      <c r="O327" s="1" t="inlineStr">
        <is>
          <t>Austria</t>
        </is>
      </c>
      <c r="P327" s="1" t="inlineStr">
        <is>
          <t>Austria, Czechia, France, Germany, Hungary, Italy, Liechtenstein, Luxembourg, Romania, Slovakia, Switzerland, Turkey, Ukraine, United Kingdom</t>
        </is>
      </c>
      <c r="Q327" s="1" t="inlineStr">
        <is>
          <t>11 to 50</t>
        </is>
      </c>
      <c r="R327" t="inlineStr">
        <is>
          <t>Small</t>
        </is>
      </c>
      <c r="S327" s="1" t="inlineStr">
        <is>
          <t>Business to Business, Business to Consumer, Business to Government, Business to Schools</t>
        </is>
      </c>
      <c r="T327" s="1" t="inlineStr">
        <is>
          <t>Primary Education, Secondary Education, Corporate Training, Lifelong learning/Adult education, Vocational Education and Training (VET), Higher Education</t>
        </is>
      </c>
      <c r="U327" s="1" t="inlineStr">
        <is>
          <t>Student interfacing, Teacher interfacing, System/Administrative</t>
        </is>
      </c>
      <c r="V327" s="10" t="inlineStr">
        <is>
          <t>eSquirrel</t>
        </is>
      </c>
      <c r="W327" s="10" t="inlineStr">
        <is>
          <t>eSquirrel turns any smartphone into a learning fascination!
Well suited for textbooks in schools or learning materials for employees - eSquirrel inspires learners, and simplifies teaching, training, and onboarding. 
Experience exciting quests, 1-click analysis of homework and training exercises, quizzes and learning analytics - completely available offline.</t>
        </is>
      </c>
      <c r="X327" s="10" t="inlineStr">
        <is>
          <t>eSquirrel business</t>
        </is>
      </c>
      <c r="Y327" t="inlineStr">
        <is>
          <t>With eSquirrel, companies bring new employees onboard efficiently and for the long term. With a learning app tailored to individual onboarding materials, newcomers can be integrated into the company faster and better. Long-time employees benefit from subject-specific and mobile-optimised training opportunities.</t>
        </is>
      </c>
      <c r="Z327" s="1" t="inlineStr">
        <is>
          <t>https://drive.google.com/uc?export=view&amp;id=1j7oIooMD7COCTlXxIaeXerlBJUggNYVU</t>
        </is>
      </c>
      <c r="AA327" s="1" t="inlineStr">
        <is>
          <t>Unverified</t>
        </is>
      </c>
      <c r="AB327" s="1" t="n"/>
      <c r="AC327" s="1" t="n"/>
      <c r="AD327" s="10" t="n"/>
      <c r="AE327" s="1" t="n"/>
      <c r="AF327" t="inlineStr">
        <is>
          <t>Yes</t>
        </is>
      </c>
      <c r="AG327" t="inlineStr">
        <is>
          <t>https://www.instagram.com/esquirrelapp/</t>
        </is>
      </c>
      <c r="AH327" t="inlineStr">
        <is>
          <t>https://twitter.com/esquirrelapp</t>
        </is>
      </c>
      <c r="AI327" t="inlineStr">
        <is>
          <t>https://www.linkedin.com/company/esquirrel/</t>
        </is>
      </c>
    </row>
    <row r="328" ht="12.5" customHeight="1">
      <c r="A328" s="6" t="n">
        <v>45679</v>
      </c>
      <c r="B328" s="1" t="inlineStr">
        <is>
          <t>ORG_1938</t>
        </is>
      </c>
      <c r="C328" s="1" t="b">
        <v>1</v>
      </c>
      <c r="D328" s="1" t="inlineStr">
        <is>
          <t>MedienLB - Experts for digital educational content</t>
        </is>
      </c>
      <c r="E328" s="10" t="inlineStr">
        <is>
          <t>https://www.medienlb.de</t>
        </is>
      </c>
      <c r="F328" t="inlineStr">
        <is>
          <t>medienlb.de</t>
        </is>
      </c>
      <c r="G328" s="1" t="inlineStr">
        <is>
          <t>MedienLB is a near munich based company. Founded in 2006, MedienLB has produced more than 700 educational films for all subjects and the ages from Elementary School up to K12. Since 2018, MedienLB produces digital interactive tasks based on H5P. As the German Market Leader for privately produced educational content, MedienLb takes part in German discussions on educational matters and is an active member of Bündnis für Bildung e.V.</t>
        </is>
      </c>
      <c r="H328" s="1" t="inlineStr">
        <is>
          <t>I'm not part of any EdTech association</t>
        </is>
      </c>
      <c r="I328" s="1" t="n"/>
      <c r="J328" s="1" t="inlineStr">
        <is>
          <t>Starnberg</t>
        </is>
      </c>
      <c r="K328" t="inlineStr">
        <is>
          <t>Starnberg</t>
        </is>
      </c>
      <c r="L328" t="inlineStr">
        <is>
          <t>Starnberg, Germany</t>
        </is>
      </c>
      <c r="M328" t="n">
        <v>47.9986851</v>
      </c>
      <c r="N328" t="n">
        <v>11.3410791</v>
      </c>
      <c r="O328" s="1" t="inlineStr">
        <is>
          <t>Germany</t>
        </is>
      </c>
      <c r="P328" s="1" t="inlineStr">
        <is>
          <t>Germany</t>
        </is>
      </c>
      <c r="Q328" s="1" t="inlineStr">
        <is>
          <t>11 to 50</t>
        </is>
      </c>
      <c r="R328" t="inlineStr">
        <is>
          <t>Small</t>
        </is>
      </c>
      <c r="S328" s="1" t="inlineStr">
        <is>
          <t>Business to Business, Business to Government</t>
        </is>
      </c>
      <c r="T328" s="1" t="inlineStr">
        <is>
          <t>Early childhood development (0-5 years), Primary Education, Secondary Education</t>
        </is>
      </c>
      <c r="U328" s="1" t="inlineStr">
        <is>
          <t>Student interfacing, Teacher interfacing</t>
        </is>
      </c>
      <c r="V328" s="1" t="inlineStr">
        <is>
          <t>Fake News - Glaubwürdigkeit in den Medien</t>
        </is>
      </c>
      <c r="W328" s="10" t="inlineStr">
        <is>
          <t>Thes educational movie adresses Learners from K8-K12. Combined with additional educational media (interactive tasks, worksheets...) it gives important content to a critical media consumption. The Movie is in German language.</t>
        </is>
      </c>
      <c r="X328" s="1" t="inlineStr">
        <is>
          <t>Politics, Economy 10-12, Vol. 1 - Political Systems, Economy, Environment</t>
        </is>
      </c>
      <c r="Y328" t="inlineStr">
        <is>
          <t>This collection of 50 interactive tasks (based on H5P) adresses pupils from K10 up to K12.</t>
        </is>
      </c>
      <c r="Z328" s="1" t="inlineStr">
        <is>
          <t>https://drive.google.com/uc?export=view&amp;id=1Mr4emRSVu5BmOvihMgDy5HAa4hNjVUFA</t>
        </is>
      </c>
      <c r="AA328" s="1" t="inlineStr">
        <is>
          <t>Unverified</t>
        </is>
      </c>
      <c r="AB328" s="1" t="n"/>
      <c r="AC328" s="1" t="n"/>
      <c r="AD328" s="10" t="n"/>
      <c r="AE328" s="1" t="n"/>
      <c r="AF328" t="inlineStr">
        <is>
          <t>Yes</t>
        </is>
      </c>
      <c r="AG328" t="inlineStr">
        <is>
          <t>https://mobile.twitter.com/medienlb</t>
        </is>
      </c>
      <c r="AH328" t="inlineStr">
        <is>
          <t>https://mobile.twitter.com/medienlb</t>
        </is>
      </c>
    </row>
    <row r="329" ht="12.5" customHeight="1">
      <c r="A329" s="6" t="n">
        <v>45679</v>
      </c>
      <c r="B329" s="1" t="inlineStr">
        <is>
          <t>ORG_2082</t>
        </is>
      </c>
      <c r="C329" s="1" t="b">
        <v>1</v>
      </c>
      <c r="D329" s="1" t="inlineStr">
        <is>
          <t>OxEd and Assessment Ltd</t>
        </is>
      </c>
      <c r="E329" s="10" t="inlineStr">
        <is>
          <t>https://oxedandassessment.com/</t>
        </is>
      </c>
      <c r="F329" t="inlineStr">
        <is>
          <t>oxedandassessment.com</t>
        </is>
      </c>
      <c r="G329" s="1" t="inlineStr">
        <is>
          <t>OxEd and Assessment Ltd (OxEd) is a University of Oxford spinout company launched to take the research of Professor Charles Hulme and his team through to practical application in schools. 
Developed by the same research team responsible for the Nuffield Early Language Intervention (NELI) programme. We develop educational assessment apps and interventions which improve educational outcomes for children.</t>
        </is>
      </c>
      <c r="H329" s="1" t="inlineStr">
        <is>
          <t>I'm not part of any EdTech association</t>
        </is>
      </c>
      <c r="I329" s="1" t="n"/>
      <c r="J329" s="1" t="inlineStr">
        <is>
          <t>Oxford</t>
        </is>
      </c>
      <c r="K329" t="inlineStr">
        <is>
          <t>Oxford</t>
        </is>
      </c>
      <c r="L329" t="inlineStr">
        <is>
          <t>Oxford, United Kingdom</t>
        </is>
      </c>
      <c r="M329" t="n">
        <v>51.7520131</v>
      </c>
      <c r="N329" t="n">
        <v>-1.2578499</v>
      </c>
      <c r="O329" s="1" t="inlineStr">
        <is>
          <t>United Kingdom</t>
        </is>
      </c>
      <c r="P329" s="1" t="inlineStr">
        <is>
          <t>Netherlands</t>
        </is>
      </c>
      <c r="Q329" s="1" t="inlineStr">
        <is>
          <t>0 to 10</t>
        </is>
      </c>
      <c r="R329" t="inlineStr">
        <is>
          <t>Micro</t>
        </is>
      </c>
      <c r="S329" s="1" t="inlineStr">
        <is>
          <t>Business to Business, Business to Government, Business to Schools</t>
        </is>
      </c>
      <c r="T329" s="1" t="inlineStr">
        <is>
          <t>Early childhood development (0-5 years), Primary Education</t>
        </is>
      </c>
      <c r="U329" s="1" t="inlineStr">
        <is>
          <t>Teacher interfacing</t>
        </is>
      </c>
      <c r="V329" s="1" t="n"/>
      <c r="W329" s="1" t="inlineStr">
        <is>
          <t>https://drive.google.com/uc?export=view&amp;id=1X6uAHzsZ90xjGcfWdWp_mMag6_zvXihy</t>
        </is>
      </c>
      <c r="X329" s="1" t="inlineStr">
        <is>
          <t>https://drive.google.com/uc?export=view&amp;id=1X6uAHzsZ90xjGcfWdWp_mMag6_zvXihy</t>
        </is>
      </c>
      <c r="Y329" t="inlineStr">
        <is>
          <t>https://drive.google.com/uc?export=view&amp;id=1X6uAHzsZ90xjGcfWdWp_mMag6_zvXihy</t>
        </is>
      </c>
      <c r="Z329" s="1" t="inlineStr">
        <is>
          <t>https://drive.google.com/uc?export=view&amp;id=1X6uAHzsZ90xjGcfWdWp_mMag6_zvXihy</t>
        </is>
      </c>
      <c r="AA329" s="1" t="inlineStr">
        <is>
          <t>Unverified</t>
        </is>
      </c>
      <c r="AB329" s="1" t="n"/>
      <c r="AC329" s="1" t="n"/>
      <c r="AD329" s="10" t="n"/>
      <c r="AE329" s="1" t="n"/>
      <c r="AF329" s="1" t="inlineStr">
        <is>
          <t>No</t>
        </is>
      </c>
      <c r="AG329" s="1" t="n"/>
      <c r="AH329" s="1" t="n"/>
    </row>
    <row r="330" ht="12.5" customHeight="1">
      <c r="A330" s="6" t="n">
        <v>45679</v>
      </c>
      <c r="B330" s="1" t="inlineStr">
        <is>
          <t>ORG_1347</t>
        </is>
      </c>
      <c r="C330" s="1" t="b">
        <v>1</v>
      </c>
      <c r="D330" s="1" t="inlineStr">
        <is>
          <t>didactmedia</t>
        </is>
      </c>
      <c r="E330" s="10" t="inlineStr">
        <is>
          <t>www.didactmedia.eu</t>
        </is>
      </c>
      <c r="F330" t="inlineStr">
        <is>
          <t>didactmedia.eu</t>
        </is>
      </c>
      <c r="G330" s="1" t="inlineStr">
        <is>
          <t>didactmedia produces audiovisual media for education combined with interactive worksheets and exercises.</t>
        </is>
      </c>
      <c r="H330" s="1" t="inlineStr">
        <is>
          <t>I'm not part of any EdTech association</t>
        </is>
      </c>
      <c r="I330" s="1" t="n"/>
      <c r="J330" s="1" t="inlineStr">
        <is>
          <t>Konstanz</t>
        </is>
      </c>
      <c r="K330" t="inlineStr">
        <is>
          <t>Konstanz</t>
        </is>
      </c>
      <c r="L330" t="inlineStr">
        <is>
          <t>Konstanz, Germany</t>
        </is>
      </c>
      <c r="M330" t="n">
        <v>47.659216</v>
      </c>
      <c r="N330" t="n">
        <v>9.1750718</v>
      </c>
      <c r="O330" s="1" t="inlineStr">
        <is>
          <t>Germany</t>
        </is>
      </c>
      <c r="P330" s="1" t="inlineStr">
        <is>
          <t>Austria, Germany, Luxembourg, Switzerland</t>
        </is>
      </c>
      <c r="Q330" s="1" t="inlineStr">
        <is>
          <t>11 to 50</t>
        </is>
      </c>
      <c r="R330" t="inlineStr">
        <is>
          <t>Small</t>
        </is>
      </c>
      <c r="S330" s="1" t="inlineStr">
        <is>
          <t>Business to Business, Business to Consumer</t>
        </is>
      </c>
      <c r="T330" s="1" t="inlineStr">
        <is>
          <t>Primary Education, Secondary Education</t>
        </is>
      </c>
      <c r="U330" s="1" t="inlineStr">
        <is>
          <t>Student interfacing, Teacher interfacing, System/Administrative</t>
        </is>
      </c>
      <c r="V330" s="1" t="inlineStr">
        <is>
          <t>Audiovisual Media</t>
        </is>
      </c>
      <c r="W330" s="1" t="inlineStr">
        <is>
          <t>Audiovisual media for education combined with interactive worksheets and exercises</t>
        </is>
      </c>
      <c r="X330" s="1" t="inlineStr">
        <is>
          <t>https://drive.google.com/uc?export=view&amp;id=189hh6gcu3MRjjqFzoTLQ5nlYZyjgZgoT</t>
        </is>
      </c>
      <c r="Y330" t="inlineStr">
        <is>
          <t>https://drive.google.com/uc?export=view&amp;id=189hh6gcu3MRjjqFzoTLQ5nlYZyjgZgoT</t>
        </is>
      </c>
      <c r="Z330" s="1" t="inlineStr">
        <is>
          <t>https://drive.google.com/uc?export=view&amp;id=189hh6gcu3MRjjqFzoTLQ5nlYZyjgZgoT</t>
        </is>
      </c>
      <c r="AA330" s="1" t="inlineStr">
        <is>
          <t>Unverified</t>
        </is>
      </c>
      <c r="AB330" s="1" t="n"/>
      <c r="AC330" s="1" t="n"/>
      <c r="AD330" s="10" t="n"/>
      <c r="AE330" s="1" t="n"/>
      <c r="AF330" s="1" t="inlineStr">
        <is>
          <t>No</t>
        </is>
      </c>
      <c r="AG330" s="1" t="n"/>
      <c r="AH330" s="1" t="n"/>
    </row>
    <row r="331" ht="12.5" customHeight="1">
      <c r="A331" s="6" t="n">
        <v>45679</v>
      </c>
      <c r="B331" s="1" t="inlineStr">
        <is>
          <t>ORG_1465</t>
        </is>
      </c>
      <c r="C331" s="1" t="b">
        <v>1</v>
      </c>
      <c r="D331" s="1" t="inlineStr">
        <is>
          <t>Eduversum Verlag und Bildungsagentur</t>
        </is>
      </c>
      <c r="E331" s="10" t="inlineStr">
        <is>
          <t>www.eduversum.de</t>
        </is>
      </c>
      <c r="F331" t="inlineStr">
        <is>
          <t>eduversum.de</t>
        </is>
      </c>
      <c r="G331" s="1" t="inlineStr">
        <is>
          <t>Successful communication with schools and young people:
Eduversum is a publisher that develops digital products and services for schools and non-formal education. On behalf of ministries, associations and companies, we develop a wide range of educational projects. Our website www.lehrer-online.de ("teachers online") is the leading independent educational portal in the German-speaking countries with pedagogically and editorially reviewed contents that schools and teachers can use freely in all educational settings. 
With our innovative communication activities, we reach teachers as well as children and teenagers of all ages all over Germany. This way, we make sure that our topics and messages reach our target groups reliably and are received favourably by teachers and their pupils.</t>
        </is>
      </c>
      <c r="H331" s="1" t="inlineStr">
        <is>
          <t>I'm not part of any EdTech association</t>
        </is>
      </c>
      <c r="I331" s="1" t="n"/>
      <c r="J331" s="1" t="inlineStr">
        <is>
          <t>Wiesbaden</t>
        </is>
      </c>
      <c r="K331" t="inlineStr">
        <is>
          <t>Wiesbaden</t>
        </is>
      </c>
      <c r="L331" t="inlineStr">
        <is>
          <t>Wiesbaden, Germany</t>
        </is>
      </c>
      <c r="M331" t="n">
        <v>50.0820384</v>
      </c>
      <c r="N331" t="n">
        <v>8.2416556</v>
      </c>
      <c r="O331" s="1" t="inlineStr">
        <is>
          <t>Germany</t>
        </is>
      </c>
      <c r="P331" s="1" t="inlineStr">
        <is>
          <t>Austria, Switzerland</t>
        </is>
      </c>
      <c r="Q331" s="1" t="inlineStr">
        <is>
          <t>11 to 50</t>
        </is>
      </c>
      <c r="R331" t="inlineStr">
        <is>
          <t>Small</t>
        </is>
      </c>
      <c r="S331" s="1" t="inlineStr">
        <is>
          <t>Business to Business, Business to Consumer</t>
        </is>
      </c>
      <c r="T331" s="1" t="inlineStr">
        <is>
          <t>Primary Education, Secondary Education, Higher Education</t>
        </is>
      </c>
      <c r="U331" s="1" t="inlineStr">
        <is>
          <t>Student interfacing, Teacher interfacing</t>
        </is>
      </c>
      <c r="V331" s="10" t="inlineStr">
        <is>
          <t>Lehrer-Online ("Teachers online")</t>
        </is>
      </c>
      <c r="W331" s="10" t="inlineStr">
        <is>
          <t>Lehrer-Online ("Teachers Online")
- is the leading independent educational portal for teachers in the German-speaking countries
- offers a wide range of teaching materials that can be used freely and in a legally secure manner by teachers in their classrooms 
- is the most important website for schools and teachers with pedagogically and editorially reviewed materials
- offers an ideal access to the world of digital education
- is the central starting point for searching high-quality materials and services for all educational settings
www.lehrer-online.de</t>
        </is>
      </c>
      <c r="X331" s="10" t="inlineStr">
        <is>
          <t>Europa - unsere Geschichte ("Europe - Our History")</t>
        </is>
      </c>
      <c r="Y331" t="inlineStr">
        <is>
          <t>"Europa – Unsere Geschichte" ("Europe - Our History") is a course book in four volumes for history classes at secondary schools in Germany and Poland. The course book was developed in close cooperation between Eduversum from Germany and a publisher from Poland. The fourth volume of "Europe - Our History" won the prestigious award "Schulbuch des Jahres" ("Text Book of the Year") in 2021.
www.lehrer-online.de/shop/lp-geschichtsunterrichtsmaterial</t>
        </is>
      </c>
      <c r="Z331" s="1" t="inlineStr">
        <is>
          <t>https://drive.google.com/uc?export=view&amp;id=1sxJCvbjVoBaZ4FLp21VNZWkmJys561Td</t>
        </is>
      </c>
      <c r="AA331" s="1" t="inlineStr">
        <is>
          <t>Unverified</t>
        </is>
      </c>
      <c r="AB331" s="1" t="n"/>
      <c r="AC331" s="1" t="n"/>
      <c r="AD331" s="10" t="n"/>
      <c r="AE331" s="1" t="n"/>
      <c r="AF331" t="inlineStr">
        <is>
          <t>Yes</t>
        </is>
      </c>
      <c r="AG331" t="inlineStr">
        <is>
          <t>https://www.instagram.com/lehrer_online/</t>
        </is>
      </c>
      <c r="AH331" t="inlineStr">
        <is>
          <t>https://twitter.com/lehrer_online/</t>
        </is>
      </c>
      <c r="AI331" t="inlineStr">
        <is>
          <t>https://www.linkedin.com/company/6994438/admin/</t>
        </is>
      </c>
    </row>
    <row r="332" ht="12.5" customHeight="1">
      <c r="A332" s="6" t="n">
        <v>45679</v>
      </c>
      <c r="B332" s="1" t="inlineStr">
        <is>
          <t>ORG_1770</t>
        </is>
      </c>
      <c r="C332" s="1" t="b">
        <v>1</v>
      </c>
      <c r="D332" s="1" t="inlineStr">
        <is>
          <t>Kide Science</t>
        </is>
      </c>
      <c r="E332" s="10" t="inlineStr">
        <is>
          <t>kidescience.com</t>
        </is>
      </c>
      <c r="F332" t="inlineStr">
        <is>
          <t>kidescience.com</t>
        </is>
      </c>
      <c r="G332" s="1" t="inlineStr">
        <is>
          <t>Making teaching for kids aged 3-8 engaging and easy through our story-based and playful content platform. Super fun lessons, each starting with a story where anything is possible. Learn to use a child's sense of wonder to explore scientific problems hands-on. Preschools, kindergartens, learning centers and homeschools, Get started with everyday objects and just a few minutes out of your day!</t>
        </is>
      </c>
      <c r="H332" s="1" t="inlineStr">
        <is>
          <t>EdTech Finland, xEdu</t>
        </is>
      </c>
      <c r="I332" s="1" t="n"/>
      <c r="J332" s="1" t="inlineStr">
        <is>
          <t>Helsinki</t>
        </is>
      </c>
      <c r="K332" t="inlineStr">
        <is>
          <t>Helsinki</t>
        </is>
      </c>
      <c r="L332" t="inlineStr">
        <is>
          <t>Helsinki, Finland</t>
        </is>
      </c>
      <c r="M332" t="n">
        <v>60.1666204</v>
      </c>
      <c r="N332" t="n">
        <v>24.9435408</v>
      </c>
      <c r="O332" s="1" t="inlineStr">
        <is>
          <t>Finland</t>
        </is>
      </c>
      <c r="P332" s="1" t="inlineStr">
        <is>
          <t>Estonia, Finland, Greece, Ireland, Italy, Kosovo, United Kingdom</t>
        </is>
      </c>
      <c r="Q332" s="1" t="inlineStr">
        <is>
          <t>11 to 50</t>
        </is>
      </c>
      <c r="R332" t="inlineStr">
        <is>
          <t>Small</t>
        </is>
      </c>
      <c r="S332" s="1" t="inlineStr">
        <is>
          <t>Business to Business, Business to Government</t>
        </is>
      </c>
      <c r="T332" s="1" t="inlineStr">
        <is>
          <t>Early childhood development (0-5 years)</t>
        </is>
      </c>
      <c r="U332" s="1" t="inlineStr">
        <is>
          <t>System/Administrative, Student interfacing, Teacher interfacing</t>
        </is>
      </c>
      <c r="V332" s="10" t="inlineStr">
        <is>
          <t>Kide Science Teacher Platform</t>
        </is>
      </c>
      <c r="W332" s="10" t="inlineStr">
        <is>
          <t>Platform for teachers as a treasure trove of story-based lesson plans and has tips to adjust for age or ability. Search lessons by keyword and start with quick ones or continue your professional development with research-backed training.</t>
        </is>
      </c>
      <c r="X332" s="10" t="inlineStr">
        <is>
          <t>https://drive.google.com/uc?export=view&amp;id=1ZT4h_fG_NW6YggQEdj8GsiNEAncp5ymh</t>
        </is>
      </c>
      <c r="Y332" t="inlineStr">
        <is>
          <t>https://drive.google.com/uc?export=view&amp;id=1ZT4h_fG_NW6YggQEdj8GsiNEAncp5ymh</t>
        </is>
      </c>
      <c r="Z332" s="1" t="inlineStr">
        <is>
          <t>https://drive.google.com/uc?export=view&amp;id=1ZT4h_fG_NW6YggQEdj8GsiNEAncp5ymh</t>
        </is>
      </c>
      <c r="AA332" s="1" t="inlineStr">
        <is>
          <t>Unverified</t>
        </is>
      </c>
      <c r="AB332" s="1" t="n"/>
      <c r="AC332" s="1" t="n"/>
      <c r="AD332" s="10" t="n"/>
      <c r="AE332" s="1" t="n"/>
      <c r="AF332" t="inlineStr">
        <is>
          <t>Yes</t>
        </is>
      </c>
      <c r="AG332" t="inlineStr">
        <is>
          <t>https://www.instagram.com/kidescience/</t>
        </is>
      </c>
      <c r="AH332" t="inlineStr">
        <is>
          <t>https://twitter.com/kidescience</t>
        </is>
      </c>
      <c r="AI332" t="inlineStr">
        <is>
          <t>https://www.linkedin.com/company/kidescience</t>
        </is>
      </c>
    </row>
    <row r="333" ht="12.5" customHeight="1">
      <c r="A333" s="6" t="n">
        <v>45679</v>
      </c>
      <c r="B333" s="1" t="inlineStr">
        <is>
          <t>ORG_1829</t>
        </is>
      </c>
      <c r="C333" s="1" t="b">
        <v>1</v>
      </c>
      <c r="D333" s="1" t="inlineStr">
        <is>
          <t>Learnesy</t>
        </is>
      </c>
      <c r="E333" s="10" t="inlineStr">
        <is>
          <t>learnesy.com</t>
        </is>
      </c>
      <c r="F333" t="inlineStr">
        <is>
          <t>learnesy.com</t>
        </is>
      </c>
      <c r="G333" s="1" t="inlineStr">
        <is>
          <t>Learnesy will make your organization master Excel, Power BI and data analysis with our effective online courses. Learn the important foundations of the most common programs for spreadsheets and data analytics. With Learnesy you will learn by video, completing practical assignments and quizzes. It won’t take long for you to develop the skills and confidence to complete complex tasks on your own.</t>
        </is>
      </c>
      <c r="H333" s="1" t="inlineStr">
        <is>
          <t>I'm not part of any EdTech association</t>
        </is>
      </c>
      <c r="I333" s="1" t="n"/>
      <c r="J333" s="1" t="inlineStr">
        <is>
          <t>Stockholm</t>
        </is>
      </c>
      <c r="K333" t="inlineStr">
        <is>
          <t>Stockholm</t>
        </is>
      </c>
      <c r="L333" t="inlineStr">
        <is>
          <t>Stockholm, Sweden</t>
        </is>
      </c>
      <c r="M333" t="n">
        <v>59.3251172</v>
      </c>
      <c r="N333" t="n">
        <v>18.0710935</v>
      </c>
      <c r="O333" s="1" t="inlineStr">
        <is>
          <t>Sweden</t>
        </is>
      </c>
      <c r="P333" s="1" t="inlineStr">
        <is>
          <t>Finland, Norway, Sweden</t>
        </is>
      </c>
      <c r="Q333" s="1" t="inlineStr">
        <is>
          <t>0 to 10</t>
        </is>
      </c>
      <c r="R333" t="inlineStr">
        <is>
          <t>Micro</t>
        </is>
      </c>
      <c r="S333" s="1" t="inlineStr">
        <is>
          <t>Business to Business, Business to Consumer, Business to Government, Business to Schools</t>
        </is>
      </c>
      <c r="T333" s="1" t="inlineStr">
        <is>
          <t>Higher Education, Corporate Training, Lifelong learning/Adult education</t>
        </is>
      </c>
      <c r="U333" s="1" t="inlineStr">
        <is>
          <t>Student interfacing, System/Administrative</t>
        </is>
      </c>
      <c r="V333" s="10" t="inlineStr">
        <is>
          <t>Excel for Educators</t>
        </is>
      </c>
      <c r="W333" s="1" t="inlineStr">
        <is>
          <t>Excel is already a desired skill in many industries, and the demand for data analysis is growing rapidly. Learnesy educates thousands of students yearly in the Nordics and prepare them for classes and internships where Excel is a desired skill. We have developed a work method that decreases the administrative work for you as a lecturer.
By constantly evaluating and updating our course content, we have developed an engaging educational experience.</t>
        </is>
      </c>
      <c r="X333" s="10" t="inlineStr">
        <is>
          <t>Excel Essentials</t>
        </is>
      </c>
      <c r="Y333" t="inlineStr">
        <is>
          <t>Get a better understanding of the Excel workflow.
Learn to feel more comfortable in Excel. This course will help quickly develop your knowledge in Excel. Excel Essentials is a course that both beginners and advanced users can find helpful. In addition to the basics, you’ll also learn more advanced aspects, such as PivotTables and Functions.</t>
        </is>
      </c>
      <c r="Z333" s="1" t="inlineStr">
        <is>
          <t>https://drive.google.com/uc?export=view&amp;id=1epfOEeCxm3mBwkuNDYkxL4zTbL3SNozR</t>
        </is>
      </c>
      <c r="AA333" s="1" t="inlineStr">
        <is>
          <t>Unverified</t>
        </is>
      </c>
      <c r="AB333" s="1" t="n"/>
      <c r="AC333" s="1" t="n"/>
      <c r="AD333" s="10" t="n"/>
      <c r="AE333" s="1" t="n"/>
      <c r="AF333" t="inlineStr">
        <is>
          <t>Yes</t>
        </is>
      </c>
      <c r="AG333" t="inlineStr">
        <is>
          <t>https://www.instagram.com/learnesycom/</t>
        </is>
      </c>
      <c r="AH333" t="inlineStr">
        <is>
          <t>https://www.linkedin.com/company/learnesy</t>
        </is>
      </c>
      <c r="AI333" t="inlineStr">
        <is>
          <t>https://www.linkedin.com/company/learnesy</t>
        </is>
      </c>
    </row>
    <row r="334" ht="12.5" customHeight="1">
      <c r="A334" s="6" t="n">
        <v>45679</v>
      </c>
      <c r="B334" s="1" t="inlineStr">
        <is>
          <t>ORG_1215</t>
        </is>
      </c>
      <c r="C334" s="1" t="b">
        <v>1</v>
      </c>
      <c r="D334" s="1" t="inlineStr">
        <is>
          <t>Canopy Education CIC</t>
        </is>
      </c>
      <c r="E334" s="10" t="inlineStr">
        <is>
          <t>https://www.canopy.education/</t>
        </is>
      </c>
      <c r="F334" t="inlineStr">
        <is>
          <t>canopy.education</t>
        </is>
      </c>
      <c r="G334" s="1" t="inlineStr">
        <is>
          <t>Canopy is passionate about using digital technology to enhance teaching and learning. We train students and teachers to make the most of Google Workspace for Education. We are Google for Education Professional Development Partner based in the United Kingdom, supporting schools across the globe.</t>
        </is>
      </c>
      <c r="H334" s="1" t="inlineStr">
        <is>
          <t>I'm not part of any EdTech association</t>
        </is>
      </c>
      <c r="I334" s="1" t="n"/>
      <c r="J334" s="1" t="inlineStr">
        <is>
          <t>London</t>
        </is>
      </c>
      <c r="K334" t="inlineStr">
        <is>
          <t>London</t>
        </is>
      </c>
      <c r="L334" t="inlineStr">
        <is>
          <t>London, United Kingdom</t>
        </is>
      </c>
      <c r="M334" t="n">
        <v>51.5074456</v>
      </c>
      <c r="N334" t="n">
        <v>-0.1277653</v>
      </c>
      <c r="O334" s="1" t="inlineStr">
        <is>
          <t>United Kingdom</t>
        </is>
      </c>
      <c r="P334" s="1" t="inlineStr">
        <is>
          <t>Denmark, Iceland, Ireland, Italy, Netherlands, Spain, Sweden, Switzerland, United Kingdom</t>
        </is>
      </c>
      <c r="Q334" s="1" t="inlineStr">
        <is>
          <t>6 to 10</t>
        </is>
      </c>
      <c r="R334" t="inlineStr">
        <is>
          <t>Micro</t>
        </is>
      </c>
      <c r="S334" s="1" t="inlineStr">
        <is>
          <t>Business to Business</t>
        </is>
      </c>
      <c r="T334" s="1" t="inlineStr">
        <is>
          <t>Primary Education, Secondary Education, Corporate Training</t>
        </is>
      </c>
      <c r="U334" s="1" t="inlineStr">
        <is>
          <t>Teacher interfacing</t>
        </is>
      </c>
      <c r="V334" s="10" t="inlineStr">
        <is>
          <t>Workspace Skills</t>
        </is>
      </c>
      <c r="W334" s="10" t="inlineStr">
        <is>
          <t>Workspace Skills is a series of interactive tutorials that help students and teachers make the most from Google Workspace for Education. Deployed via Google Classroom, this provides Self-paced Certification for Google Workspace.</t>
        </is>
      </c>
      <c r="X334" s="10" t="inlineStr">
        <is>
          <t>Training</t>
        </is>
      </c>
      <c r="Y334" t="inlineStr">
        <is>
          <t>As a Google for Education Partner, we can provide a variety of technology training for teachers in-person and online.</t>
        </is>
      </c>
      <c r="Z334" s="1" t="inlineStr">
        <is>
          <t>https://drive.google.com/uc?export=view&amp;id=1nClQ2zRx4ICHQCySSWjpCKI4dXBa3Nj4</t>
        </is>
      </c>
      <c r="AA334" s="1" t="inlineStr">
        <is>
          <t>Unverified</t>
        </is>
      </c>
      <c r="AB334" s="1" t="n"/>
      <c r="AC334" s="1" t="n"/>
      <c r="AD334" s="10" t="n"/>
      <c r="AE334" s="1" t="n"/>
      <c r="AF334" t="inlineStr">
        <is>
          <t>Yes</t>
        </is>
      </c>
      <c r="AG334" t="inlineStr">
        <is>
          <t>https://www.instagram.com/canopyCIC/</t>
        </is>
      </c>
      <c r="AH334" t="inlineStr">
        <is>
          <t>https://twitter.com/CanopyCIC</t>
        </is>
      </c>
      <c r="AI334" t="inlineStr">
        <is>
          <t>https://www.linkedin.com/company/canopy-cic/</t>
        </is>
      </c>
    </row>
    <row r="335" ht="12.5" customHeight="1">
      <c r="A335" s="6" t="n">
        <v>45679</v>
      </c>
      <c r="B335" s="1" t="inlineStr">
        <is>
          <t>ORG_1375</t>
        </is>
      </c>
      <c r="C335" s="1" t="b">
        <v>1</v>
      </c>
      <c r="D335" s="1" t="inlineStr">
        <is>
          <t>DoodleLearning</t>
        </is>
      </c>
      <c r="E335" s="10" t="inlineStr">
        <is>
          <t>www.doodlelearning.com</t>
        </is>
      </c>
      <c r="F335" t="inlineStr">
        <is>
          <t>doodlelearning.com</t>
        </is>
      </c>
      <c r="G335" s="1" t="inlineStr">
        <is>
          <t>Based in Bath, UK, and founded by two teachers in 2012, we create immersive, highly interactive, curriculum-aligned maths and English content for 4 to 14 year-olds. Content can set work for learners, or alternatively, our AI looks at learners' prior performance and creates the perfect learning pathway for each child.
We sell directly to families, and also to over 1000 schools in the UK, and have an increasing distributor network worldwide.</t>
        </is>
      </c>
      <c r="H335" s="1" t="inlineStr">
        <is>
          <t>I'm not part of any EdTech association</t>
        </is>
      </c>
      <c r="I335" s="1" t="n"/>
      <c r="J335" s="1" t="inlineStr">
        <is>
          <t>Bath</t>
        </is>
      </c>
      <c r="K335" t="inlineStr">
        <is>
          <t>Bath</t>
        </is>
      </c>
      <c r="L335" t="inlineStr">
        <is>
          <t>Bath, United Kingdom</t>
        </is>
      </c>
      <c r="M335" t="n">
        <v>51.3813864</v>
      </c>
      <c r="N335" t="n">
        <v>-2.3596963</v>
      </c>
      <c r="O335" s="1" t="inlineStr">
        <is>
          <t>United Kingdom</t>
        </is>
      </c>
      <c r="P335" s="1" t="inlineStr">
        <is>
          <t>Ireland, Spain, United Kingdom</t>
        </is>
      </c>
      <c r="Q335" s="1" t="inlineStr">
        <is>
          <t>11 to 50</t>
        </is>
      </c>
      <c r="R335" t="inlineStr">
        <is>
          <t>Small</t>
        </is>
      </c>
      <c r="S335" s="1" t="inlineStr">
        <is>
          <t>Business to Business, Business to Consumer</t>
        </is>
      </c>
      <c r="T335" s="1" t="inlineStr">
        <is>
          <t>Primary Education</t>
        </is>
      </c>
      <c r="U335" s="1" t="inlineStr">
        <is>
          <t>System/Administrative, Teacher interfacing</t>
        </is>
      </c>
      <c r="V335" s="10" t="inlineStr">
        <is>
          <t>DoodleMaths</t>
        </is>
      </c>
      <c r="W335" s="10" t="inlineStr">
        <is>
          <t>DoodleMaths delivers immersive, highly interactive, curriculum-aligned maths content for 4 to 14 year-olds.
In Assign mode, teachers and parents can set work for learners; in Adapt mode, our AI looks at prior performance and creates the perfect learning pathway for each child.</t>
        </is>
      </c>
      <c r="X335" s="10" t="inlineStr">
        <is>
          <t>DoodleEnglish</t>
        </is>
      </c>
      <c r="Y335" t="inlineStr">
        <is>
          <t>DoodleEnglish delivers immersive, highly interactive, curriculum-aligned English content for 6 to 11 year-olds.
In Assign mode, teachers and parents can set work for learners; in Adapt mode, our AI looks at prior performance and creates the perfect learning pathway for each child.</t>
        </is>
      </c>
      <c r="Z335" s="1" t="inlineStr">
        <is>
          <t>https://drive.google.com/uc?export=view&amp;id=1Xb-guwRv1ellecf5cssaz0sbwKizGtur</t>
        </is>
      </c>
      <c r="AA335" s="1" t="inlineStr">
        <is>
          <t>Unverified</t>
        </is>
      </c>
      <c r="AB335" s="1" t="n"/>
      <c r="AC335" s="1" t="n"/>
      <c r="AD335" s="10" t="n"/>
      <c r="AE335" s="1" t="n"/>
      <c r="AF335" s="1" t="inlineStr">
        <is>
          <t>Yes</t>
        </is>
      </c>
      <c r="AG335" s="1" t="inlineStr">
        <is>
          <t>https://www.instagram.com/doodlelearning_</t>
        </is>
      </c>
      <c r="AH335" s="1" t="inlineStr">
        <is>
          <t>https://twitter.com/doodlelearning</t>
        </is>
      </c>
      <c r="AI335" t="inlineStr">
        <is>
          <t>https://www.linkedin.com/company/ez-education</t>
        </is>
      </c>
    </row>
    <row r="336" ht="12.5" customHeight="1">
      <c r="A336" s="6" t="n">
        <v>45678</v>
      </c>
      <c r="B336" s="1" t="inlineStr">
        <is>
          <t>ORG_1782</t>
        </is>
      </c>
      <c r="C336" s="1" t="b">
        <v>1</v>
      </c>
      <c r="D336" s="1" t="inlineStr">
        <is>
          <t>Klett</t>
        </is>
      </c>
      <c r="E336" s="10" t="inlineStr">
        <is>
          <t>https://klett.bg/</t>
        </is>
      </c>
      <c r="F336" t="inlineStr">
        <is>
          <t>klett.bg</t>
        </is>
      </c>
      <c r="G336" s="1" t="inlineStr">
        <is>
          <t>"Education is our mission and vision. We create learning content that develops, inspires and supports students and teachers. We believe that quality education is a key factor in building successful and responsible individuals, a healthy and prosperous society.
Klett Bulgaria is part of the large international education group Klett Group and is a leading publisher of textbooks and educational resources under the Anubis, Bulvest 2000, Izkustva, Klett, iZZI, PONS and Langenscheidt brands. The company's broad portfolio encompasses both high-quality print media and advanced digital solutions, providing a complete experience for students and educators in the educational process from kindergarten through graduation.
Klett Bulgaria is a member of the Association of Cambridge Schools in Bulgaria, the Bulgarian-British Business Association, the German-Bulgarian Chamber of Industry and Commerce and the Bulgarian Book Association."</t>
        </is>
      </c>
      <c r="H336" s="1" t="inlineStr">
        <is>
          <t>EdTech Bulgaria</t>
        </is>
      </c>
      <c r="I336" s="1" t="inlineStr">
        <is>
          <t>Bulgaria, English, Croatian, German</t>
        </is>
      </c>
      <c r="J336" s="1" t="inlineStr">
        <is>
          <t>Sofia</t>
        </is>
      </c>
      <c r="K336" t="inlineStr">
        <is>
          <t>Sofia</t>
        </is>
      </c>
      <c r="L336" t="inlineStr">
        <is>
          <t>Sofia, Bulgaria</t>
        </is>
      </c>
      <c r="M336" t="n">
        <v>42.6977028</v>
      </c>
      <c r="N336" t="n">
        <v>23.3217359</v>
      </c>
      <c r="O336" s="1" t="inlineStr">
        <is>
          <t>Bulgaria</t>
        </is>
      </c>
      <c r="P336" s="1" t="inlineStr">
        <is>
          <t>Bulgaria, Croatia, Czechia, Germany, Greece, Hungary, Poland, Romania, Serbia, Slovenia</t>
        </is>
      </c>
      <c r="Q336" s="1" t="inlineStr">
        <is>
          <t>101 to 500</t>
        </is>
      </c>
      <c r="R336" t="inlineStr">
        <is>
          <t>Medium or Large (unspecified)</t>
        </is>
      </c>
      <c r="S336" s="1" t="inlineStr">
        <is>
          <t>Business to Schools, Business to Consumer</t>
        </is>
      </c>
      <c r="T336" s="1" t="inlineStr">
        <is>
          <t>Early childhood development (0-5 years), Primary Education, Secondary Education, Corporate Training, Lifelong learning/Adult education, Vocational Education and Training (VET), Higher Education</t>
        </is>
      </c>
      <c r="U336" s="1" t="inlineStr">
        <is>
          <t>System/Administrative, Student interfacing, Teacher interfacing</t>
        </is>
      </c>
      <c r="V336" s="1" t="inlineStr">
        <is>
          <t>Textbooks and all type of learning materials as well high level digital and interactive education content and resources</t>
        </is>
      </c>
      <c r="W336" s="1" t="inlineStr">
        <is>
          <t>We offer educational aids and books for all age groups in kindergarten, textbooks and learning materials for primary, lower secondary, and upper secondary levels, as well as textbooks for education abroad. Additionally, we provide e-readable textbooks for grades 1–12 and e-cognitive books for kindergarten. We ensure a modern and innovative educational environment through our digital platform iZZI, which contains a variety of interactive educational resources, such as exercises and tasks, games, simulations, video materials, 3D models, visualizations, interactive panoramas and maps, audio files, texts, images, and much more.</t>
        </is>
      </c>
      <c r="X336" s="10" t="inlineStr">
        <is>
          <t>Teacher’s trainings and seminars</t>
        </is>
      </c>
      <c r="Y336" t="inlineStr">
        <is>
          <t>We offer a wide range of services and materials for teachers, supporting both their daily work at school and their personal and professional development and well-being. Teacher’s guides for various subjects, webinars, reflective content, and valuable materials on the topic of "Safe Internet," credit-bearing training sessions, an e-academy (a program for personal growth and professional advancement) are just some of the solutions we continually improve and expand every day.</t>
        </is>
      </c>
      <c r="Z336" s="1" t="inlineStr">
        <is>
          <t>https://drive.google.com/uc?export=view&amp;id=1faisBA-XFRyH0gPYkLTwiZeaH4qaQSlB</t>
        </is>
      </c>
      <c r="AA336" s="1" t="inlineStr">
        <is>
          <t>Unverified</t>
        </is>
      </c>
      <c r="AB336" s="1" t="n"/>
      <c r="AC336" s="1" t="n"/>
      <c r="AD336" s="10" t="n"/>
      <c r="AE336" s="1" t="n"/>
      <c r="AF336" s="1" t="inlineStr">
        <is>
          <t>Yes</t>
        </is>
      </c>
      <c r="AG336" s="1" t="inlineStr">
        <is>
          <t>https://bg.linkedin.com/company/klett-bulgaria-ltd-</t>
        </is>
      </c>
      <c r="AH336" s="1" t="inlineStr">
        <is>
          <t>https://bg.linkedin.com/company/klett-bulgaria-ltd-</t>
        </is>
      </c>
      <c r="AI336" t="inlineStr">
        <is>
          <t>https://bg.linkedin.com/company/klett-bulgaria-ltd-</t>
        </is>
      </c>
    </row>
    <row r="337" ht="12.5" customHeight="1">
      <c r="A337" s="6" t="n">
        <v>45671</v>
      </c>
      <c r="B337" s="1" t="inlineStr">
        <is>
          <t>ORG_2508</t>
        </is>
      </c>
      <c r="C337" s="1" t="b">
        <v>1</v>
      </c>
      <c r="D337" s="1" t="inlineStr">
        <is>
          <t>Voovo</t>
        </is>
      </c>
      <c r="E337" s="10" t="inlineStr">
        <is>
          <t>https://www.voovostudy.com</t>
        </is>
      </c>
      <c r="F337" t="inlineStr">
        <is>
          <t>voovostudy.com</t>
        </is>
      </c>
      <c r="G337" s="1" t="inlineStr">
        <is>
          <t>Voovo is an AI-powered platform that seamlessly integrates the most effective learning methods - active recall and spaced repetition - into everyday education for students and institutions.
Our platform transforms content - texts, notes, images - into high-quality quizzes and flashcards, which are automatically adapted into a gamified learning experience tailored to each student’s memory.
This way, we help students learn better, provide teachers with performance insights, and enable institutions to reduce exam fail rates through consistent, year-round study</t>
        </is>
      </c>
      <c r="H337" s="1" t="inlineStr">
        <is>
          <t>SuperCharger Ventures, EduTech Hungary</t>
        </is>
      </c>
      <c r="I337" s="1" t="inlineStr">
        <is>
          <t>All</t>
        </is>
      </c>
      <c r="J337" s="1" t="inlineStr">
        <is>
          <t>Budapest</t>
        </is>
      </c>
      <c r="K337" t="inlineStr">
        <is>
          <t>Budapest</t>
        </is>
      </c>
      <c r="L337" t="inlineStr">
        <is>
          <t>Budapest, Hungary</t>
        </is>
      </c>
      <c r="M337" t="n">
        <v>47.481849</v>
      </c>
      <c r="N337" t="n">
        <v>19.1449053</v>
      </c>
      <c r="O337" s="1" t="inlineStr">
        <is>
          <t>Hungary</t>
        </is>
      </c>
      <c r="P33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337" s="1" t="inlineStr">
        <is>
          <t>6 to 10</t>
        </is>
      </c>
      <c r="R337" t="inlineStr">
        <is>
          <t>Micro</t>
        </is>
      </c>
      <c r="S337" s="1" t="inlineStr">
        <is>
          <t>Business to Business, Business to Schools, Business to Consumer, Business to Government</t>
        </is>
      </c>
      <c r="T337" s="1" t="inlineStr">
        <is>
          <t>Secondary Education, Vocational Education and Training (VET), Higher Education</t>
        </is>
      </c>
      <c r="U337" s="1" t="inlineStr">
        <is>
          <t>Student interfacing, Teacher interfacing</t>
        </is>
      </c>
      <c r="V337" s="10" t="inlineStr">
        <is>
          <t>Voovo Classroom</t>
        </is>
      </c>
      <c r="W337" s="1" t="inlineStr">
        <is>
          <t>Voovo helps educational institutions to implement the scientifically proven best learning methods - active recall, spaced repetition - in every day education seamlessly. Voovo allows teachers to turn content from texts, notes, images into quality quizzes and flashcards. Voovo automatically converts these quizzes and flashcards into a gamified learning experience that adapts to each students unique memory. 
With this approach, we allow students to study faster and more effectively, we help teachers to gain a deep understanding of the strengths and weaknesses of students through detailed analytics and we will help institutions to drastically decrease exam churn rates by allowing students to consume information throughout the year and not just cram at the last days of the exam period. As an analogy, Voovo turns any content into a Duolingo-like learning experience!</t>
        </is>
      </c>
      <c r="X337" s="10" t="inlineStr">
        <is>
          <t>https://drive.google.com/uc?export=view&amp;id=10dJftsvR6OavYjXB-_NvpyqUrDQH9BaL</t>
        </is>
      </c>
      <c r="Y337" t="inlineStr">
        <is>
          <t>https://drive.google.com/uc?export=view&amp;id=10dJftsvR6OavYjXB-_NvpyqUrDQH9BaL</t>
        </is>
      </c>
      <c r="Z337" s="1" t="inlineStr">
        <is>
          <t>https://drive.google.com/uc?export=view&amp;id=10dJftsvR6OavYjXB-_NvpyqUrDQH9BaL</t>
        </is>
      </c>
      <c r="AA337" s="1" t="inlineStr">
        <is>
          <t>Unverified</t>
        </is>
      </c>
      <c r="AB337" s="1" t="n"/>
      <c r="AC337" s="1" t="n"/>
      <c r="AD337" s="10" t="n"/>
      <c r="AE337" s="1" t="n"/>
      <c r="AF337" t="inlineStr">
        <is>
          <t>Yes</t>
        </is>
      </c>
      <c r="AG337" t="inlineStr">
        <is>
          <t>https://www.instagram.com/voovo.study/</t>
        </is>
      </c>
      <c r="AH337" t="inlineStr">
        <is>
          <t>https://www.linkedin.com/company/voovo/</t>
        </is>
      </c>
      <c r="AI337" t="inlineStr">
        <is>
          <t>https://www.linkedin.com/company/voovo/</t>
        </is>
      </c>
    </row>
    <row r="338" ht="12.5" customHeight="1">
      <c r="A338" s="6" t="n">
        <v>45669</v>
      </c>
      <c r="B338" s="1" t="inlineStr">
        <is>
          <t>ORG_1806</t>
        </is>
      </c>
      <c r="C338" s="1" t="b">
        <v>1</v>
      </c>
      <c r="D338" s="1" t="inlineStr">
        <is>
          <t>lablife</t>
        </is>
      </c>
      <c r="E338" s="10" t="inlineStr">
        <is>
          <t>https://lablife.video/</t>
        </is>
      </c>
      <c r="F338" t="inlineStr">
        <is>
          <t>lablife.video</t>
        </is>
      </c>
      <c r="G338" s="1" t="inlineStr">
        <is>
          <t>LABLIFE develops, produces and distributes high-quality video tutorials and training material according to the highest standards of Good Cell Culture Practice (GCCP) for practical work in cell culture laboratories (life science, pharmaceuticals, biotechnology). The video tutorials can be used by students, technicians, as well as higher level vocational schools, universities and research institutions.</t>
        </is>
      </c>
      <c r="H338" s="1" t="inlineStr">
        <is>
          <t>EdTech Austria</t>
        </is>
      </c>
      <c r="I338" s="1" t="inlineStr">
        <is>
          <t>English</t>
        </is>
      </c>
      <c r="J338" s="1" t="inlineStr">
        <is>
          <t>Vienna</t>
        </is>
      </c>
      <c r="K338" t="inlineStr">
        <is>
          <t>Vienna</t>
        </is>
      </c>
      <c r="L338" t="inlineStr">
        <is>
          <t>Vienna, Austria</t>
        </is>
      </c>
      <c r="M338" t="n">
        <v>48.2083537</v>
      </c>
      <c r="N338" t="n">
        <v>16.3725042</v>
      </c>
      <c r="O338" s="1" t="inlineStr">
        <is>
          <t>Austria</t>
        </is>
      </c>
      <c r="P338" s="1" t="inlineStr">
        <is>
          <t>Austria, France, Germany, Netherlands, Slovenia</t>
        </is>
      </c>
      <c r="Q338" s="1" t="inlineStr">
        <is>
          <t>0 to 2</t>
        </is>
      </c>
      <c r="R338" t="inlineStr">
        <is>
          <t>Solo entrepreneur</t>
        </is>
      </c>
      <c r="S338" s="1" t="inlineStr">
        <is>
          <t>Business to Business, Business to Schools, Business to Consumer, Business to Government</t>
        </is>
      </c>
      <c r="T338" s="1" t="inlineStr">
        <is>
          <t>Corporate Training, Lifelong learning/Adult education, Vocational Education and Training (VET), Higher Education</t>
        </is>
      </c>
      <c r="U338" s="1" t="inlineStr">
        <is>
          <t>Student interfacing, Teacher interfacing, System/Administrative</t>
        </is>
      </c>
      <c r="V338" s="10" t="inlineStr">
        <is>
          <t>Video tutorials</t>
        </is>
      </c>
      <c r="W338" s="1" t="inlineStr">
        <is>
          <t>Video tutorials with special focus on practical skills for the cell culture laboratory. Lablife videos and training material are best used as preparation before one-on-one trainings in person. This allows enormous time savings for in-person trainings. Furthermore, this program leads to standardized training outcomes and enhances reproducibility of biological studies.</t>
        </is>
      </c>
      <c r="X338" s="10" t="inlineStr">
        <is>
          <t>https://drive.google.com/uc?export=view&amp;id=1fWlurD-Fj05QYhJlZxtCEej2m8z4Z0w3</t>
        </is>
      </c>
      <c r="Y338" t="inlineStr">
        <is>
          <t>https://drive.google.com/uc?export=view&amp;id=1fWlurD-Fj05QYhJlZxtCEej2m8z4Z0w3</t>
        </is>
      </c>
      <c r="Z338" s="1" t="inlineStr">
        <is>
          <t>https://drive.google.com/uc?export=view&amp;id=1fWlurD-Fj05QYhJlZxtCEej2m8z4Z0w3</t>
        </is>
      </c>
      <c r="AA338" s="1" t="inlineStr">
        <is>
          <t>Unverified</t>
        </is>
      </c>
      <c r="AB338" s="1" t="n"/>
      <c r="AC338" s="1" t="n"/>
      <c r="AD338" s="10" t="n"/>
      <c r="AE338" s="1" t="n"/>
      <c r="AF338" t="inlineStr">
        <is>
          <t>Yes</t>
        </is>
      </c>
      <c r="AG338" t="inlineStr">
        <is>
          <t>https://www.instagram.com/lablife.video</t>
        </is>
      </c>
      <c r="AH338" t="inlineStr">
        <is>
          <t>https://www.linkedin.com/company/lablife-video</t>
        </is>
      </c>
      <c r="AI338" t="inlineStr">
        <is>
          <t>https://www.linkedin.com/company/lablife-video</t>
        </is>
      </c>
    </row>
    <row r="339" ht="12.5" customHeight="1">
      <c r="A339" s="6" t="n">
        <v>45646</v>
      </c>
      <c r="B339" s="1" t="inlineStr">
        <is>
          <t>ORG_2351</t>
        </is>
      </c>
      <c r="C339" s="1" t="b">
        <v>1</v>
      </c>
      <c r="D339" s="1" t="inlineStr">
        <is>
          <t>Supportsquare</t>
        </is>
      </c>
      <c r="E339" s="10" t="inlineStr">
        <is>
          <t>https://teach.supportsquare.io/</t>
        </is>
      </c>
      <c r="F339" t="inlineStr">
        <is>
          <t>teach.supportsquare.io</t>
        </is>
      </c>
      <c r="G339" s="1" t="inlineStr">
        <is>
          <t>Supportsquare transforms how industries train, assist, and collaborate remotely 
by leveraging immersive technologies for real-time, interactive and scalable solutions.
Passerelle XR Teach is our open SaaS solution to deploy and use XR content at scale in educational and corporate learning/training.</t>
        </is>
      </c>
      <c r="H339" s="1" t="inlineStr">
        <is>
          <t>edtechstation</t>
        </is>
      </c>
      <c r="I339" s="1" t="n"/>
      <c r="J339" s="1" t="inlineStr">
        <is>
          <t>Gent</t>
        </is>
      </c>
      <c r="K339" t="inlineStr">
        <is>
          <t>Gent</t>
        </is>
      </c>
      <c r="L339" t="inlineStr">
        <is>
          <t>Gent, Belgium</t>
        </is>
      </c>
      <c r="M339" t="n">
        <v>51.0538286</v>
      </c>
      <c r="N339" t="n">
        <v>3.7250121</v>
      </c>
      <c r="O339" s="1" t="inlineStr">
        <is>
          <t>Belgium</t>
        </is>
      </c>
      <c r="P339" s="1" t="inlineStr">
        <is>
          <t>Belgium, France, Germany, Netherlands, Spain, Switzerland, United Kingdom</t>
        </is>
      </c>
      <c r="Q339" s="1" t="inlineStr">
        <is>
          <t>11 to 50</t>
        </is>
      </c>
      <c r="R339" t="inlineStr">
        <is>
          <t>Small</t>
        </is>
      </c>
      <c r="S339" s="1" t="inlineStr">
        <is>
          <t>Business to Business, Business to Schools, Business to Government</t>
        </is>
      </c>
      <c r="T339" s="1" t="inlineStr">
        <is>
          <t>Secondary Education, Corporate Training, Lifelong learning/Adult education, Vocational Education and Training (VET)</t>
        </is>
      </c>
      <c r="U339" s="1" t="inlineStr">
        <is>
          <t>Student interfacing, Teacher interfacing, System/Administrative</t>
        </is>
      </c>
      <c r="V339" s="1" t="inlineStr">
        <is>
          <t>https://be.linkedin.com/company/supportsquare</t>
        </is>
      </c>
      <c r="W339" s="1" t="inlineStr">
        <is>
          <t>https://drive.google.com/uc?export=view&amp;id=16gVhWPopyINvEcWTYUIGmZhERhZtdpEt</t>
        </is>
      </c>
      <c r="X339" s="10" t="inlineStr">
        <is>
          <t>https://drive.google.com/uc?export=view&amp;id=16gVhWPopyINvEcWTYUIGmZhERhZtdpEt</t>
        </is>
      </c>
      <c r="Y339" t="inlineStr">
        <is>
          <t>https://drive.google.com/uc?export=view&amp;id=16gVhWPopyINvEcWTYUIGmZhERhZtdpEt</t>
        </is>
      </c>
      <c r="Z339" s="1" t="inlineStr">
        <is>
          <t>https://drive.google.com/uc?export=view&amp;id=16gVhWPopyINvEcWTYUIGmZhERhZtdpEt</t>
        </is>
      </c>
      <c r="AA339" s="1" t="inlineStr">
        <is>
          <t>Unverified</t>
        </is>
      </c>
      <c r="AB339" s="1" t="n"/>
      <c r="AC339" s="1" t="n"/>
      <c r="AD339" s="10" t="n"/>
      <c r="AE339" s="1" t="n"/>
      <c r="AF339" t="inlineStr">
        <is>
          <t>Yes</t>
        </is>
      </c>
      <c r="AG339" t="inlineStr">
        <is>
          <t>https://be.linkedin.com/company/supportsquare</t>
        </is>
      </c>
      <c r="AH339" t="inlineStr">
        <is>
          <t>https://be.linkedin.com/company/supportsquare</t>
        </is>
      </c>
      <c r="AI339" t="inlineStr">
        <is>
          <t>https://be.linkedin.com/company/supportsquare</t>
        </is>
      </c>
    </row>
    <row r="340" ht="12.5" customHeight="1">
      <c r="A340" s="6" t="n">
        <v>45644</v>
      </c>
      <c r="B340" s="1" t="inlineStr">
        <is>
          <t>ORG_1370</t>
        </is>
      </c>
      <c r="C340" s="1" t="b">
        <v>1</v>
      </c>
      <c r="D340" s="1" t="inlineStr">
        <is>
          <t>Docfield</t>
        </is>
      </c>
      <c r="E340" s="10" t="inlineStr">
        <is>
          <t>https://docfield.com</t>
        </is>
      </c>
      <c r="F340" t="inlineStr">
        <is>
          <t>docfield.com</t>
        </is>
      </c>
      <c r="G340" s="1" t="inlineStr">
        <is>
          <t>Docfield is a technology company specialised in developing end-to-end contract lifecycle management (CLM) solutions. 
Founded in 2019 and headquartered in Amsterdam (Netherlands) Docfield aims to streamline the creation, collaboration, and management of business documents across various sectors. Their contract management software simplifies the entire contract process, making it faster and easier for teams to stay organised and compliant. 
Creating documents is a breeze with self-service templates, data import tools, flexible workflows, and smart conditional logic. Real-time collaboration and approval mechanisms enable teams to leave comments, track revisions, and automate repetitive tasks to prevent bottlenecks. Updating thousands of documents is hassle-free with bulk template editing, ensuring consistency across the board. 
With Docfield, teams can focus on what matters most: creating impact and driving growth while the platform handles the complexities of contract management with ease, accuracy, and reliability.</t>
        </is>
      </c>
      <c r="H340" s="1" t="inlineStr">
        <is>
          <t>Dutch EdTech</t>
        </is>
      </c>
      <c r="I340" s="1" t="inlineStr">
        <is>
          <t>English, Dutch, German</t>
        </is>
      </c>
      <c r="J340" s="1" t="inlineStr">
        <is>
          <t>Singel 542</t>
        </is>
      </c>
      <c r="L340" t="inlineStr">
        <is>
          <t>Singel 542, The Netherlands</t>
        </is>
      </c>
      <c r="O340" s="1" t="inlineStr">
        <is>
          <t>The Netherlands</t>
        </is>
      </c>
      <c r="P340" s="1" t="inlineStr">
        <is>
          <t>Netherlands</t>
        </is>
      </c>
      <c r="Q340" s="1" t="inlineStr">
        <is>
          <t>11 to 50</t>
        </is>
      </c>
      <c r="R340" t="inlineStr">
        <is>
          <t>Small</t>
        </is>
      </c>
      <c r="S340" s="1" t="inlineStr">
        <is>
          <t>Business to Business, Business to Schools</t>
        </is>
      </c>
      <c r="T340" s="1" t="inlineStr">
        <is>
          <t>Vocational Education and Training (VET), Higher Education</t>
        </is>
      </c>
      <c r="U340" s="1" t="inlineStr">
        <is>
          <t>Teacher interfacing, System/Administrative, Student interfacing</t>
        </is>
      </c>
      <c r="V340" s="1" t="inlineStr">
        <is>
          <t>Docfield</t>
        </is>
      </c>
      <c r="W340" s="1" t="inlineStr">
        <is>
          <t>Docfield is a technology company specialised in developing end-to-end contract lifecycle management (CLM) solutions. 
Founded in 2019 and headquartered in Amsterdam (Netherlands) Docfield aims to streamline the creation, collaboration, and management of business documents across various sectors. Their contract management software simplifies the entire contract process, making it faster and easier for teams to stay organised and compliant. 
Creating documents is a breeze with self-service templates, data import tools, flexible workflows, and smart conditional logic. Real-time collaboration and approval mechanisms enable teams to leave comments, track revisions, and automate repetitive tasks to prevent bottlenecks. Updating thousands of documents is hassle-free with bulk template editing, ensuring consistency across the board. 
With Docfield, teams can focus on what matters most: creating impact and driving growth while the platform handles the complexities of contract management with ease, accuracy, and reliability.</t>
        </is>
      </c>
      <c r="X340" s="10" t="inlineStr">
        <is>
          <t>https://drive.google.com/uc?export=view&amp;id=1RtR1ImCPOfkWTq1DE653TvPdF88gNCu4</t>
        </is>
      </c>
      <c r="Y340" t="inlineStr">
        <is>
          <t>https://drive.google.com/uc?export=view&amp;id=1RtR1ImCPOfkWTq1DE653TvPdF88gNCu4</t>
        </is>
      </c>
      <c r="Z340" s="1" t="inlineStr">
        <is>
          <t>https://drive.google.com/uc?export=view&amp;id=1RtR1ImCPOfkWTq1DE653TvPdF88gNCu4</t>
        </is>
      </c>
      <c r="AA340" s="1" t="inlineStr">
        <is>
          <t>Unverified</t>
        </is>
      </c>
      <c r="AB340" s="1" t="n"/>
      <c r="AC340" s="1" t="n"/>
      <c r="AD340" s="10" t="n"/>
      <c r="AE340" s="1" t="n"/>
      <c r="AF340" t="inlineStr">
        <is>
          <t>Yes</t>
        </is>
      </c>
      <c r="AG340" t="inlineStr">
        <is>
          <t>https://www.linkedin.com/company/docfield/?viewAsMember=true</t>
        </is>
      </c>
      <c r="AH340" t="inlineStr">
        <is>
          <t>https://www.linkedin.com/company/docfield/?viewAsMember=true</t>
        </is>
      </c>
      <c r="AI340" t="inlineStr">
        <is>
          <t>https://www.linkedin.com/company/docfield/?viewAsMember=true</t>
        </is>
      </c>
    </row>
    <row r="341" ht="12.5" customHeight="1">
      <c r="A341" s="6" t="n">
        <v>45636</v>
      </c>
      <c r="B341" s="1" t="inlineStr">
        <is>
          <t>ORG_1483</t>
        </is>
      </c>
      <c r="C341" s="1" t="b">
        <v>1</v>
      </c>
      <c r="D341" s="1" t="inlineStr">
        <is>
          <t>Elevate</t>
        </is>
      </c>
      <c r="E341" s="10" t="inlineStr">
        <is>
          <t>https://elevatehealth.eu/</t>
        </is>
      </c>
      <c r="F341" t="inlineStr">
        <is>
          <t>elevatehealth.eu</t>
        </is>
      </c>
      <c r="G341" s="1" t="inlineStr">
        <is>
          <t>Elevate connects innovative medical knowledge with didactics. In co-creation with the best scientists and medical experts, we develop tailor-made learning solutions. They have the knowledge, we help to disseminate it. From hospitals, knowledge institutes to consortia.
We enable health professionals and researchers from all over the world to develop and deepen their knowledge. Over the years, thousands of learners have successfully completed one of our accredited online courses. We work with more than 200 experts and we partner with leading Academic Medical Centers, universities and professional associations in Europe.</t>
        </is>
      </c>
      <c r="H341" s="1" t="inlineStr">
        <is>
          <t>Dutch EdTech</t>
        </is>
      </c>
      <c r="I341" s="1" t="inlineStr">
        <is>
          <t>Dutch, English</t>
        </is>
      </c>
      <c r="J341" s="1" t="inlineStr">
        <is>
          <t>Utrecht</t>
        </is>
      </c>
      <c r="K341" t="inlineStr">
        <is>
          <t>Utrecht</t>
        </is>
      </c>
      <c r="L341" t="inlineStr">
        <is>
          <t>Utrecht, The Netherlands</t>
        </is>
      </c>
      <c r="M341" t="n">
        <v>52.0906195</v>
      </c>
      <c r="N341" t="n">
        <v>5.1119709</v>
      </c>
      <c r="O341" s="1" t="inlineStr">
        <is>
          <t>The Netherlands</t>
        </is>
      </c>
      <c r="P341" s="1" t="inlineStr">
        <is>
          <t>Netherlands</t>
        </is>
      </c>
      <c r="Q341" s="1" t="inlineStr">
        <is>
          <t>11 to 50</t>
        </is>
      </c>
      <c r="R341" t="inlineStr">
        <is>
          <t>Small</t>
        </is>
      </c>
      <c r="S341" s="1" t="inlineStr">
        <is>
          <t>Business to Business, Business to Consumer, Business to Government</t>
        </is>
      </c>
      <c r="T341" s="1" t="inlineStr">
        <is>
          <t>Corporate Training, Lifelong learning/Adult education</t>
        </is>
      </c>
      <c r="U341" s="1" t="inlineStr">
        <is>
          <t>Student interfacing, System/Administrative</t>
        </is>
      </c>
      <c r="V341" s="1" t="inlineStr">
        <is>
          <t>Learning Solutions</t>
        </is>
      </c>
      <c r="W341" s="1" t="inlineStr">
        <is>
          <t>As a full-service learning solutions company, we are passionate about delivering customized online and blended learning solutions, in co-creation with our partners in healthcare, education, and the public sector.</t>
        </is>
      </c>
      <c r="X341" s="10" t="inlineStr">
        <is>
          <t>Consultancy &amp; Instructional Design</t>
        </is>
      </c>
      <c r="Y341" t="inlineStr">
        <is>
          <t>Our job is to help you deliver great learning outcomes. Having a trusted partner to ask the right questions will help you achieve great results. Interested in what our consultants can do for you? Read more below and find out how our learning advisory services work or book a free consultation.
Our consultancy extends from training needs analysis, evaluation of your current learning structure to the design and development of entire online and blended learning programs.</t>
        </is>
      </c>
      <c r="Z341" s="1" t="inlineStr">
        <is>
          <t>https://drive.google.com/uc?export=view&amp;id=1xrsBXkj2Qt-smxYvgp_2rDo4sHz6PBC_</t>
        </is>
      </c>
      <c r="AA341" s="1" t="inlineStr">
        <is>
          <t>Unverified</t>
        </is>
      </c>
      <c r="AB341" s="1" t="n"/>
      <c r="AC341" s="1" t="n"/>
      <c r="AD341" s="10" t="n"/>
      <c r="AE341" s="1" t="n"/>
      <c r="AF341" t="inlineStr">
        <is>
          <t>Yes</t>
        </is>
      </c>
      <c r="AG341" t="inlineStr">
        <is>
          <t>https://www.linkedin.com/company/elevate-health</t>
        </is>
      </c>
      <c r="AH341" t="inlineStr">
        <is>
          <t>https://www.linkedin.com/company/elevate-health</t>
        </is>
      </c>
      <c r="AI341" t="inlineStr">
        <is>
          <t>https://www.linkedin.com/company/elevate-health</t>
        </is>
      </c>
    </row>
    <row r="342" ht="12.5" customHeight="1">
      <c r="A342" s="6" t="n">
        <v>45632</v>
      </c>
      <c r="B342" s="1" t="inlineStr">
        <is>
          <t>ORG_1638</t>
        </is>
      </c>
      <c r="C342" s="1" t="b">
        <v>1</v>
      </c>
      <c r="D342" s="1" t="inlineStr">
        <is>
          <t>GradeBuilder</t>
        </is>
      </c>
      <c r="E342" s="10" t="inlineStr">
        <is>
          <t>https://gradebuilder.tech/</t>
        </is>
      </c>
      <c r="F342" t="inlineStr">
        <is>
          <t>gradebuilder.tech</t>
        </is>
      </c>
      <c r="G342" s="1" t="inlineStr">
        <is>
          <t>Inclusive IT education platform for people with focus challenges and ADHD</t>
        </is>
      </c>
      <c r="H342" s="1" t="inlineStr">
        <is>
          <t>I'm not part of any EdTech association</t>
        </is>
      </c>
      <c r="I342" s="1" t="inlineStr">
        <is>
          <t>Spanish, English, russian</t>
        </is>
      </c>
      <c r="J342" s="1" t="inlineStr">
        <is>
          <t>Santiago De La Ribera, Murcia</t>
        </is>
      </c>
      <c r="K342" t="inlineStr">
        <is>
          <t>Santiago de la Ribera</t>
        </is>
      </c>
      <c r="L342" t="inlineStr">
        <is>
          <t>Santiago de la Ribera, Spain</t>
        </is>
      </c>
      <c r="M342" t="n">
        <v>37.7928886</v>
      </c>
      <c r="N342" t="n">
        <v>-0.8139478999999999</v>
      </c>
      <c r="O342" s="1" t="inlineStr">
        <is>
          <t>Spain</t>
        </is>
      </c>
      <c r="P342" s="1" t="inlineStr">
        <is>
          <t>Spain</t>
        </is>
      </c>
      <c r="Q342" s="1" t="inlineStr">
        <is>
          <t>3 to 5</t>
        </is>
      </c>
      <c r="R342" t="inlineStr">
        <is>
          <t>Micro</t>
        </is>
      </c>
      <c r="S342" s="1" t="inlineStr">
        <is>
          <t>Business to Business, Business to Consumer</t>
        </is>
      </c>
      <c r="T342" s="1" t="inlineStr">
        <is>
          <t>Corporate Training, Lifelong learning/Adult education, Vocational Education and Training (VET)</t>
        </is>
      </c>
      <c r="U342" s="1" t="inlineStr">
        <is>
          <t>Student interfacing, System/Administrative</t>
        </is>
      </c>
      <c r="V342" s="1" t="inlineStr">
        <is>
          <t>IT courses for neurodivergent students</t>
        </is>
      </c>
      <c r="W342" s="10" t="inlineStr">
        <is>
          <t>IT courses specifically designed for neurodivergent students, offering a supportive, personalized learning experience tailored to individuals with ADHD and focus challenges. Our courses aim to bridge the gap in tech education, providing adaptable resources for every learner to succeed in IT</t>
        </is>
      </c>
      <c r="X342" s="10" t="inlineStr">
        <is>
          <t>Corporate IT courses</t>
        </is>
      </c>
      <c r="Y342" t="inlineStr">
        <is>
          <t>Corporate IT courses designed to enhance employee skills, boost productivity, and streamline professional development. These courses offer tailored content to meet the needs of companies looking to upskill their workforce in the tech sector</t>
        </is>
      </c>
      <c r="Z342" s="1" t="inlineStr">
        <is>
          <t>https://drive.google.com/uc?export=view&amp;id=1Iw2roVLWgYa61t_7ewNalQqq-iJH6y2D</t>
        </is>
      </c>
      <c r="AA342" s="1" t="inlineStr">
        <is>
          <t>Unverified</t>
        </is>
      </c>
      <c r="AB342" s="1" t="n"/>
      <c r="AC342" s="1" t="n"/>
      <c r="AD342" s="10" t="n"/>
      <c r="AE342" s="1" t="n"/>
      <c r="AF342" t="inlineStr">
        <is>
          <t>Yes</t>
        </is>
      </c>
      <c r="AG342" t="inlineStr">
        <is>
          <t>https://x.com/gradebuildertec</t>
        </is>
      </c>
      <c r="AH342" t="inlineStr">
        <is>
          <t>https://x.com/gradebuildertec</t>
        </is>
      </c>
      <c r="AI342" t="inlineStr">
        <is>
          <t>https://www.linkedin.com/company/gradebuilder/</t>
        </is>
      </c>
    </row>
    <row r="343" ht="12.5" customHeight="1">
      <c r="A343" s="6" t="n">
        <v>45629</v>
      </c>
      <c r="B343" s="1" t="inlineStr">
        <is>
          <t>ORG_1397</t>
        </is>
      </c>
      <c r="C343" s="1" t="b">
        <v>1</v>
      </c>
      <c r="D343" s="1" t="inlineStr">
        <is>
          <t>Edavia</t>
        </is>
      </c>
      <c r="E343" s="10" t="inlineStr">
        <is>
          <t>edavia.se</t>
        </is>
      </c>
      <c r="F343" t="inlineStr">
        <is>
          <t>edavia.se</t>
        </is>
      </c>
      <c r="G343" s="1" t="inlineStr">
        <is>
          <t>Edavia provides software solutions for education. The company flagship product, pluggamatte.se, is used by teachers and students all over Sweden to improve mathematics learning using spaced repetition.</t>
        </is>
      </c>
      <c r="H343" s="1" t="inlineStr">
        <is>
          <t>Swedish EdTech Industry</t>
        </is>
      </c>
      <c r="I343" s="1" t="inlineStr">
        <is>
          <t>Swedish, English</t>
        </is>
      </c>
      <c r="J343" s="1" t="inlineStr">
        <is>
          <t>Uppsala</t>
        </is>
      </c>
      <c r="K343" t="inlineStr">
        <is>
          <t>Uppsala</t>
        </is>
      </c>
      <c r="L343" t="inlineStr">
        <is>
          <t>Uppsala, Sweden</t>
        </is>
      </c>
      <c r="M343" t="n">
        <v>59.8586126</v>
      </c>
      <c r="N343" t="n">
        <v>17.6387436</v>
      </c>
      <c r="O343" s="1" t="inlineStr">
        <is>
          <t>Sweden</t>
        </is>
      </c>
      <c r="P343" s="1" t="inlineStr">
        <is>
          <t>Sweden</t>
        </is>
      </c>
      <c r="Q343" s="1" t="inlineStr">
        <is>
          <t>3 to 5</t>
        </is>
      </c>
      <c r="R343" t="inlineStr">
        <is>
          <t>Micro</t>
        </is>
      </c>
      <c r="S343" s="1" t="inlineStr">
        <is>
          <t>Business to Schools, Business to Government</t>
        </is>
      </c>
      <c r="T343" s="1" t="inlineStr">
        <is>
          <t>Primary Education, Secondary Education</t>
        </is>
      </c>
      <c r="U343" s="1" t="inlineStr">
        <is>
          <t>Teacher interfacing</t>
        </is>
      </c>
      <c r="V343" s="1" t="inlineStr">
        <is>
          <t>pluggamatte.se</t>
        </is>
      </c>
      <c r="W343" s="1" t="inlineStr">
        <is>
          <t>PM (pluggamatte.se) has been designed so that every student optimally practices and consolidates their math knowledge, in order for everything learned so far to be retained and possible to recall at any time during the course. Very much in mathematics builds on what is previously learned, but far from everything comes back and is interwoven into the next phase. We want to combat the forgetting curve, resulting from not maintaining the already acquired knowledge. Using the PM method, we will retain what we have learned, all the way up to the course exam and also going forward.</t>
        </is>
      </c>
      <c r="X343" s="10" t="inlineStr">
        <is>
          <t>https://drive.google.com/uc?export=view&amp;id=1h_V6egrH56YualvffdRsgWlBIrAoOlrV</t>
        </is>
      </c>
      <c r="Y343" t="inlineStr">
        <is>
          <t>https://drive.google.com/uc?export=view&amp;id=1h_V6egrH56YualvffdRsgWlBIrAoOlrV</t>
        </is>
      </c>
      <c r="Z343" s="10" t="inlineStr">
        <is>
          <t>https://drive.google.com/uc?export=view&amp;id=1h_V6egrH56YualvffdRsgWlBIrAoOlrV</t>
        </is>
      </c>
      <c r="AA343" s="1" t="inlineStr">
        <is>
          <t>Unverified</t>
        </is>
      </c>
      <c r="AB343" s="1" t="n"/>
      <c r="AC343" s="1" t="n"/>
      <c r="AD343" s="10" t="n"/>
      <c r="AE343" s="1" t="n"/>
      <c r="AF343" t="inlineStr">
        <is>
          <t>Yes</t>
        </is>
      </c>
      <c r="AG343" t="inlineStr">
        <is>
          <t>https://www.linkedin.com/company/edavia</t>
        </is>
      </c>
      <c r="AH343" t="inlineStr">
        <is>
          <t>https://www.linkedin.com/company/edavia</t>
        </is>
      </c>
      <c r="AI343" t="inlineStr">
        <is>
          <t>https://www.linkedin.com/company/edavia</t>
        </is>
      </c>
    </row>
    <row r="344" ht="12.5" customHeight="1">
      <c r="A344" s="6" t="n">
        <v>45628</v>
      </c>
      <c r="B344" s="1" t="inlineStr">
        <is>
          <t>ORG_1070</t>
        </is>
      </c>
      <c r="C344" s="1" t="b">
        <v>1</v>
      </c>
      <c r="D344" s="1" t="inlineStr">
        <is>
          <t>Ampliro</t>
        </is>
      </c>
      <c r="E344" s="10" t="inlineStr">
        <is>
          <t>www.ampliro.com</t>
        </is>
      </c>
      <c r="F344" t="inlineStr">
        <is>
          <t>ampliro.com</t>
        </is>
      </c>
      <c r="G344" s="1" t="inlineStr">
        <is>
          <t>Ampliro is a management consultancy specializing in AI strategies and digital transformation. We help organizations align AI innovations with their strategic goals to improve efficiency, stay competitive, and adapt to change. With a strong focus on education technology and digital solutions, we support clients in enhancing learning environments and streamlining processes. By combining strategic management expertise with practical AI applications, Ampliro contributes to making technology more accessible and impactful in education and beyond.</t>
        </is>
      </c>
      <c r="H344" s="1" t="inlineStr">
        <is>
          <t>Swedish EdTech Industry</t>
        </is>
      </c>
      <c r="I344" s="1" t="inlineStr">
        <is>
          <t>English</t>
        </is>
      </c>
      <c r="J344" s="1" t="inlineStr">
        <is>
          <t>Stockholm</t>
        </is>
      </c>
      <c r="K344" t="inlineStr">
        <is>
          <t>Stockholm</t>
        </is>
      </c>
      <c r="L344" t="inlineStr">
        <is>
          <t>Stockholm, Sweden</t>
        </is>
      </c>
      <c r="M344" t="n">
        <v>59.3251172</v>
      </c>
      <c r="N344" t="n">
        <v>18.0710935</v>
      </c>
      <c r="O344" s="1" t="inlineStr">
        <is>
          <t>Sweden</t>
        </is>
      </c>
      <c r="P34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344" s="1" t="inlineStr">
        <is>
          <t>0 to 2</t>
        </is>
      </c>
      <c r="R344" t="inlineStr">
        <is>
          <t>Solo entrepreneur</t>
        </is>
      </c>
      <c r="S344" s="1" t="inlineStr">
        <is>
          <t>Business to Business, Business to Schools, Business to Consumer, Business to Government</t>
        </is>
      </c>
      <c r="T344" s="1" t="inlineStr">
        <is>
          <t>Primary Education, Secondary Education, Corporate Training, Lifelong learning/Adult education, Vocational Education and Training (VET), Higher Education</t>
        </is>
      </c>
      <c r="U344" s="1" t="inlineStr">
        <is>
          <t>System/Administrative, Student interfacing</t>
        </is>
      </c>
      <c r="V344" s="1" t="inlineStr">
        <is>
          <t>AI Strategy Consulting for Education</t>
        </is>
      </c>
      <c r="W344" s="10" t="inlineStr">
        <is>
          <t>Ampliro helps education organizations and edtech companies develop and implement AI strategies tailored to their goals. By focusing on opportunities within learning environments and administrative efficiency, we guide clients in integrating AI technologies to improve outcomes, enhance operational processes, and meet the challenges of modern education.</t>
        </is>
      </c>
      <c r="X344" s="10" t="inlineStr">
        <is>
          <t>Digital Transformation Advisory for Education</t>
        </is>
      </c>
      <c r="Y344" t="inlineStr">
        <is>
          <t>Ampliro provides strategic support to education-focused organizations and edtech companies navigating digital transformation. We help streamline processes, optimize the use of digital tools, and design solutions that foster innovation in education. Our services are ideal for those aiming to create impactful, future-ready learning environments.</t>
        </is>
      </c>
      <c r="Z344" s="1" t="inlineStr">
        <is>
          <t>https://drive.google.com/uc?export=view&amp;id=1PDemQsPeAvE6tGwxdS0ZWc1ROLWdpBn0</t>
        </is>
      </c>
      <c r="AA344" s="1" t="inlineStr">
        <is>
          <t>Unverified</t>
        </is>
      </c>
      <c r="AB344" s="1" t="n"/>
      <c r="AC344" s="1" t="n"/>
      <c r="AD344" s="10" t="n"/>
      <c r="AE344" s="1" t="n"/>
      <c r="AF344" t="inlineStr">
        <is>
          <t>Yes</t>
        </is>
      </c>
      <c r="AG344" t="inlineStr">
        <is>
          <t>http://x.com/ampliro</t>
        </is>
      </c>
      <c r="AH344" t="inlineStr">
        <is>
          <t>http://x.com/ampliro</t>
        </is>
      </c>
      <c r="AI344" t="inlineStr">
        <is>
          <t>http://linkedin.com/company/ampliro</t>
        </is>
      </c>
    </row>
    <row r="345" ht="12.5" customHeight="1">
      <c r="A345" s="6" t="n">
        <v>45615</v>
      </c>
      <c r="B345" s="1" t="inlineStr">
        <is>
          <t>ORG_1327</t>
        </is>
      </c>
      <c r="C345" s="1" t="b">
        <v>1</v>
      </c>
      <c r="D345" s="1" t="inlineStr">
        <is>
          <t>Daidream</t>
        </is>
      </c>
      <c r="E345" s="10" t="inlineStr">
        <is>
          <t>https://www.talesofmello.com/</t>
        </is>
      </c>
      <c r="F345" t="inlineStr">
        <is>
          <t>talesofmello.com</t>
        </is>
      </c>
      <c r="G345" s="1" t="inlineStr">
        <is>
          <t>Daidream’s Mello platform addresses the lack of healthy, educational digital content for children by providing an alternative to passive, overstimulating screentime. Through interactive, personalized storytelling focused on STEAM topics, Mello fosters creativity, mindfulness, and critical thinking. As an Impact Startup, Mello aligns with UN SDGs, collaborating with organizations like WWF to educate children on sustainability while promoting inclusive, quality edutainment that empowers young minds.</t>
        </is>
      </c>
      <c r="H345" s="1" t="inlineStr">
        <is>
          <t>I'm not part of any EdTech association</t>
        </is>
      </c>
      <c r="I345" s="1" t="inlineStr">
        <is>
          <t>German, English, Croatian, Bulgarian</t>
        </is>
      </c>
      <c r="J345" s="1" t="inlineStr">
        <is>
          <t>Vukovar</t>
        </is>
      </c>
      <c r="K345" t="inlineStr">
        <is>
          <t>Vukovar</t>
        </is>
      </c>
      <c r="L345" t="inlineStr">
        <is>
          <t>Vukovar, Croatia</t>
        </is>
      </c>
      <c r="M345" t="n">
        <v>45.3444094</v>
      </c>
      <c r="N345" t="n">
        <v>19.002376</v>
      </c>
      <c r="O345" s="1" t="inlineStr">
        <is>
          <t>Croatia</t>
        </is>
      </c>
      <c r="P345" s="1" t="inlineStr">
        <is>
          <t>Bulgaria, Croatia, Germany</t>
        </is>
      </c>
      <c r="Q345" s="1" t="inlineStr">
        <is>
          <t>6 to 10</t>
        </is>
      </c>
      <c r="R345" t="inlineStr">
        <is>
          <t>Micro</t>
        </is>
      </c>
      <c r="S345" s="1" t="inlineStr">
        <is>
          <t>Business to Business, Business to Government</t>
        </is>
      </c>
      <c r="T345" s="1" t="inlineStr">
        <is>
          <t>Early childhood development (0-5 years), Primary Education</t>
        </is>
      </c>
      <c r="U345" s="1" t="inlineStr">
        <is>
          <t>System/Administrative, Student interfacing</t>
        </is>
      </c>
      <c r="V345" s="10" t="inlineStr">
        <is>
          <t>Tales of Mello</t>
        </is>
      </c>
      <c r="W345" s="1" t="inlineStr">
        <is>
          <t>Daidream’s Mello platform addresses the lack of healthy, educational digital content for children by providing an alternative to passive, overstimulating screentime. Through interactive, personalized storytelling focused on STEAM topics, Mello fosters creativity, mindfulness, and critical thinking. As an Impact Startup, Mello aligns with UN SDGs, collaborating with organizations like WWF to educate children on sustainability while promoting inclusive, quality edutainment that empowers young minds.</t>
        </is>
      </c>
      <c r="X345" s="10" t="inlineStr">
        <is>
          <t>https://drive.google.com/uc?export=view&amp;id=1JOZaRIUNolSpDcQQ9ri9xZGFBbIRKJIf</t>
        </is>
      </c>
      <c r="Y345" t="inlineStr">
        <is>
          <t>https://drive.google.com/uc?export=view&amp;id=1JOZaRIUNolSpDcQQ9ri9xZGFBbIRKJIf</t>
        </is>
      </c>
      <c r="Z345" s="1" t="inlineStr">
        <is>
          <t>https://drive.google.com/uc?export=view&amp;id=1JOZaRIUNolSpDcQQ9ri9xZGFBbIRKJIf</t>
        </is>
      </c>
      <c r="AA345" s="1" t="inlineStr">
        <is>
          <t>Unverified</t>
        </is>
      </c>
      <c r="AB345" s="1" t="n"/>
      <c r="AC345" s="1" t="n"/>
      <c r="AD345" s="10" t="n"/>
      <c r="AE345" s="1" t="n"/>
      <c r="AF345" t="inlineStr">
        <is>
          <t>Yes</t>
        </is>
      </c>
      <c r="AG345" t="inlineStr">
        <is>
          <t>https://www.instagram.com/daidream.io/</t>
        </is>
      </c>
      <c r="AH345" t="inlineStr">
        <is>
          <t>https://www.linkedin.com/company/daidream-io</t>
        </is>
      </c>
      <c r="AI345" t="inlineStr">
        <is>
          <t>https://www.linkedin.com/company/daidream-io</t>
        </is>
      </c>
    </row>
    <row r="346" ht="12.5" customHeight="1">
      <c r="A346" s="6" t="n">
        <v>45615</v>
      </c>
      <c r="B346" s="1" t="inlineStr">
        <is>
          <t>ORG_1791</t>
        </is>
      </c>
      <c r="C346" s="1" t="b">
        <v>1</v>
      </c>
      <c r="D346" s="1" t="inlineStr">
        <is>
          <t>Kumo Cloud Solutions GmbH</t>
        </is>
      </c>
      <c r="E346" s="10" t="inlineStr">
        <is>
          <t>https://kumo-cloud.com</t>
        </is>
      </c>
      <c r="F346" t="inlineStr">
        <is>
          <t>kumo-cloud.com</t>
        </is>
      </c>
      <c r="G346" s="1" t="inlineStr">
        <is>
          <t>Kumo Cloud Solutions GmbH i.G. is an up-and-coming BizTech company that specializes in optimizing business processes in various industries. We strive to make processes more efficient and generate substantial added value for our customers through the targeted use of artificial intelligence (AI) and advanced algorithms.
BrainBridge - your intelligent tool for efficient employee onboarding and offboarding
In times of digital change and demographic upheaval, maintaining and sharing knowledge within companies is more important than ever. BrainBridge offers an AI-supported solution that intelligently supports the entire onboarding and offboarding process while securing valuable employee knowledge in the long term.
Documenting knowledge is often seen as a simple task, but in practice the opposite is often the case. Implicit knowledge remains in the minds of individual employees without being passed on in a structured manner. This makes knowledge sharing more difficult and leads to a loss of efficiency in the company. This is exactly where BrainBridge comes in.</t>
        </is>
      </c>
      <c r="H346" s="1" t="inlineStr">
        <is>
          <t>I'm not part of any EdTech association</t>
        </is>
      </c>
      <c r="I346" s="1" t="inlineStr">
        <is>
          <t>German, English</t>
        </is>
      </c>
      <c r="J346" s="1" t="inlineStr">
        <is>
          <t>Cologne</t>
        </is>
      </c>
      <c r="K346" t="inlineStr">
        <is>
          <t>Cologne</t>
        </is>
      </c>
      <c r="L346" t="inlineStr">
        <is>
          <t>Cologne, Germany</t>
        </is>
      </c>
      <c r="M346" t="n">
        <v>50.938361</v>
      </c>
      <c r="N346" t="n">
        <v>6.959974</v>
      </c>
      <c r="O346" s="1" t="inlineStr">
        <is>
          <t>Germany</t>
        </is>
      </c>
      <c r="P346" s="1" t="inlineStr">
        <is>
          <t>Germany</t>
        </is>
      </c>
      <c r="Q346" s="1" t="inlineStr">
        <is>
          <t>6 to 10</t>
        </is>
      </c>
      <c r="R346" t="inlineStr">
        <is>
          <t>Micro</t>
        </is>
      </c>
      <c r="S346" s="1" t="inlineStr">
        <is>
          <t>Business to Business, Business to Schools, Business to Consumer, Business to Government</t>
        </is>
      </c>
      <c r="T346" s="1" t="inlineStr">
        <is>
          <t>Corporate Training</t>
        </is>
      </c>
      <c r="U346" s="1" t="inlineStr">
        <is>
          <t>System/Administrative, Student interfacing</t>
        </is>
      </c>
      <c r="V346" s="1" t="inlineStr">
        <is>
          <t>Brainbridge</t>
        </is>
      </c>
      <c r="W346" s="1" t="inlineStr">
        <is>
          <t>BrainBridge - your intelligent tool for efficient employee onboarding and offboarding
In times of digital change and demographic upheaval, maintaining and sharing knowledge within companies is more important than ever. BrainBridge offers an AI-supported solution that intelligently supports the entire onboarding and offboarding process while securing valuable employee knowledge in the long term.
Documenting knowledge is often seen as a simple task, but in practice the opposite is often the case. Implicit knowledge remains in the minds of individual employees without being passed on in a structured manner. This makes knowledge sharing more difficult and leads to a loss of efficiency in the company. This is exactly where BrainBridge comes in.</t>
        </is>
      </c>
      <c r="X346" s="10" t="inlineStr">
        <is>
          <t>SayHy</t>
        </is>
      </c>
      <c r="Y346" t="inlineStr">
        <is>
          <t>A communication platform that optimizes customer service and sales via messenger services such as WhatsApp.
Our customer service solution transforms customer communication by providing self-service options and interactive templates, which increases efficiency and reduces the workload on employees. SayHy integrates various messenger services in one platform and even offers the option of developing simple apps in the messenger via the FlowEditor. This comprehensive, cross-channel solution increases customer satisfaction and enables up- and cross-selling in an intuitive way.</t>
        </is>
      </c>
      <c r="Z346" s="1" t="inlineStr">
        <is>
          <t>https://drive.google.com/uc?export=view&amp;id=1s3OGLRI-um-cVDJAKoMk4UcOJQLgsn1W</t>
        </is>
      </c>
      <c r="AA346" s="1" t="inlineStr">
        <is>
          <t>Unverified</t>
        </is>
      </c>
      <c r="AB346" s="1" t="n"/>
      <c r="AC346" s="1" t="n"/>
      <c r="AD346" s="10" t="n"/>
      <c r="AE346" s="1" t="n"/>
      <c r="AF346" t="inlineStr">
        <is>
          <t>Yes</t>
        </is>
      </c>
      <c r="AG346" t="inlineStr">
        <is>
          <t>https://www.linkedin.com/company/kumocloud/</t>
        </is>
      </c>
      <c r="AH346" t="inlineStr">
        <is>
          <t>https://www.linkedin.com/company/kumocloud/</t>
        </is>
      </c>
      <c r="AI346" t="inlineStr">
        <is>
          <t>https://www.linkedin.com/company/kumocloud/</t>
        </is>
      </c>
    </row>
    <row r="347" ht="12.5" customHeight="1">
      <c r="A347" s="6" t="n">
        <v>45610</v>
      </c>
      <c r="B347" s="1" t="inlineStr">
        <is>
          <t>ORG_1292</t>
        </is>
      </c>
      <c r="C347" s="1" t="b">
        <v>1</v>
      </c>
      <c r="D347" s="1" t="inlineStr">
        <is>
          <t>Contipso</t>
        </is>
      </c>
      <c r="E347" s="10" t="inlineStr">
        <is>
          <t>https://lms.contipso.com/</t>
        </is>
      </c>
      <c r="F347" t="inlineStr">
        <is>
          <t>lms.contipso.com</t>
        </is>
      </c>
      <c r="G347" s="1" t="inlineStr">
        <is>
          <t>Contipso is a company that offers software and methodical provision for knowledge management within organizations, covering their creation, storage, sharing, updating, and monitoring of activity and perception levels. Contipso Learning is a platform designed to save time for teams managing training processes within organizations, while simultaneously providing powerful tools for internally creating engaging interactive online courses, featuring an integrated virtual room, administering in-person training, and providing detailed real-time reports.</t>
        </is>
      </c>
      <c r="H347" s="1" t="inlineStr">
        <is>
          <t>EdTech Bulgaria</t>
        </is>
      </c>
      <c r="I347" s="1" t="inlineStr">
        <is>
          <t>English, Bulgarian, Greek, Romanian</t>
        </is>
      </c>
      <c r="J347" s="1" t="inlineStr">
        <is>
          <t>Sofia</t>
        </is>
      </c>
      <c r="K347" t="inlineStr">
        <is>
          <t>Sofia</t>
        </is>
      </c>
      <c r="L347" t="inlineStr">
        <is>
          <t>Sofia, Bulgaria</t>
        </is>
      </c>
      <c r="M347" t="n">
        <v>42.6977028</v>
      </c>
      <c r="N347" t="n">
        <v>23.3217359</v>
      </c>
      <c r="O347" s="1" t="inlineStr">
        <is>
          <t>Bulgaria</t>
        </is>
      </c>
      <c r="P347" s="1" t="inlineStr">
        <is>
          <t>Greece, North Macedonia, Poland, Romania</t>
        </is>
      </c>
      <c r="Q347" s="1" t="inlineStr">
        <is>
          <t>6 to 10</t>
        </is>
      </c>
      <c r="R347" t="inlineStr">
        <is>
          <t>Micro</t>
        </is>
      </c>
      <c r="S347" s="1" t="inlineStr">
        <is>
          <t>Business to Business</t>
        </is>
      </c>
      <c r="T347" s="1" t="inlineStr">
        <is>
          <t>Corporate Training, Lifelong learning/Adult education, Vocational Education and Training (VET), Higher Education</t>
        </is>
      </c>
      <c r="U347" s="1" t="inlineStr">
        <is>
          <t>System/Administrative, Student interfacing</t>
        </is>
      </c>
      <c r="V347" s="1" t="inlineStr">
        <is>
          <t>Contipso LMS</t>
        </is>
      </c>
      <c r="W347" s="1" t="inlineStr">
        <is>
          <t>Learning Management System, designed and developed to make the online training process as enjoyable and close to in-person training as possible. The system offers a wide range of intuitive tools for access management, communication, monitoring, and reporting on individual user performance.</t>
        </is>
      </c>
      <c r="X347" s="10" t="inlineStr">
        <is>
          <t>Contipso Author</t>
        </is>
      </c>
      <c r="Y347" t="inlineStr">
        <is>
          <t>A tool for creating interactive multimedia educational content, aimed at greatly facilitating authors and developers of online courses. With Contipso Author, you create interactive multimedia educational content that interacts with learners.</t>
        </is>
      </c>
      <c r="Z347" s="1" t="inlineStr">
        <is>
          <t>https://drive.google.com/uc?export=view&amp;id=1voPW9jbG7PNJmAnsFRHwoq4NZog2FX9Y</t>
        </is>
      </c>
      <c r="AA347" s="1" t="inlineStr">
        <is>
          <t>Unverified</t>
        </is>
      </c>
      <c r="AB347" s="1" t="n"/>
      <c r="AC347" s="1" t="n"/>
      <c r="AD347" s="10" t="n"/>
      <c r="AE347" s="1" t="n"/>
      <c r="AF347" t="inlineStr">
        <is>
          <t>Yes</t>
        </is>
      </c>
      <c r="AG347" t="inlineStr">
        <is>
          <t>https://bg.linkedin.com/company/contipso</t>
        </is>
      </c>
      <c r="AH347" t="inlineStr">
        <is>
          <t>https://bg.linkedin.com/company/contipso</t>
        </is>
      </c>
      <c r="AI347" t="inlineStr">
        <is>
          <t>https://bg.linkedin.com/company/contipso</t>
        </is>
      </c>
    </row>
    <row r="348" ht="12.5" customHeight="1">
      <c r="A348" s="6" t="n">
        <v>45610</v>
      </c>
      <c r="B348" s="1" t="inlineStr">
        <is>
          <t>ORG_2288</t>
        </is>
      </c>
      <c r="C348" s="1" t="b">
        <v>1</v>
      </c>
      <c r="D348" s="1" t="inlineStr">
        <is>
          <t>Sofia University St. Kliment Ohridski</t>
        </is>
      </c>
      <c r="E348" s="10" t="inlineStr">
        <is>
          <t>https://uni-sofia.bg/index.php/eng/the_university/faculties/faculty_of_education/faculty_clubs_museums_and_centres/centre_of_educational_technologies</t>
        </is>
      </c>
      <c r="F348" t="inlineStr">
        <is>
          <t>uni-sofia.bg/index.php/eng/the_university/faculties/faculty_of_education/faculty_clubs_museums_and_centres/centre_of_educational_technologies</t>
        </is>
      </c>
      <c r="G348" s="1" t="inlineStr">
        <is>
          <t>The Center for Educational Technologies (CET) is a research unit within the Faculty of Education at Sofia University "St. Kliment Ohridski." It develops innovative pedagogical models for integrating digital technologies in education. The team’s research is published in prestigious, peer-reviewed academic journals, indexed in international databases such as Web of Science, Scopus, and others.
CET participates in national and international research and applied projects in the field of educational digitalization. The team trains students from bachelor’s, master’s, and doctoral programs, teachers and educational management staff, as well as teachers from across the country and from Bulgarian schools abroad. The courses are conducted entirely online or in a blended format - combining traditional and digital learning.</t>
        </is>
      </c>
      <c r="H348" s="1" t="inlineStr">
        <is>
          <t>EdTech Bulgaria</t>
        </is>
      </c>
      <c r="I348" s="1" t="inlineStr">
        <is>
          <t>English, Bulgarian</t>
        </is>
      </c>
      <c r="J348" s="1" t="inlineStr">
        <is>
          <t>Sofia</t>
        </is>
      </c>
      <c r="K348" t="inlineStr">
        <is>
          <t>Sofia</t>
        </is>
      </c>
      <c r="L348" t="inlineStr">
        <is>
          <t>Sofia, Bulgaria</t>
        </is>
      </c>
      <c r="M348" t="n">
        <v>42.6977028</v>
      </c>
      <c r="N348" t="n">
        <v>23.3217359</v>
      </c>
      <c r="O348" s="1" t="inlineStr">
        <is>
          <t>Bulgaria</t>
        </is>
      </c>
      <c r="P348" s="1" t="inlineStr">
        <is>
          <t>Bulgaria</t>
        </is>
      </c>
      <c r="Q348" s="1" t="inlineStr">
        <is>
          <t>3 to 5</t>
        </is>
      </c>
      <c r="R348" t="inlineStr">
        <is>
          <t>Micro</t>
        </is>
      </c>
      <c r="S348" s="1" t="inlineStr">
        <is>
          <t>Business to Business, Business to Schools, Business to Consumer, Business to Government</t>
        </is>
      </c>
      <c r="T348" s="1" t="inlineStr">
        <is>
          <t>Lifelong learning/Adult education, Higher Education</t>
        </is>
      </c>
      <c r="U348" s="1" t="inlineStr">
        <is>
          <t>Student interfacing, Teacher interfacing</t>
        </is>
      </c>
      <c r="V348" s="1" t="inlineStr">
        <is>
          <t>Research in the field of Educational Technologies</t>
        </is>
      </c>
      <c r="W348" s="1" t="inlineStr">
        <is>
          <t>Research in the field of Educational Technologies at the Center for Educational Technologies, Sofia University, focuses on developing innovative digital solutions to enhance learning outcomes and educational experiences. The center conducts research and creates products and services that incorporate the latest advancements in technology, such as AI-driven learning platforms, interactive digital content, and tools for personalized education. These innovations are designed to support educators, improve student engagement, and adapt to diverse learning needs, making modern educational practices more effective and accessible.</t>
        </is>
      </c>
      <c r="X348" s="1" t="inlineStr">
        <is>
          <t>Professional development training in the field of Educational Technologies</t>
        </is>
      </c>
      <c r="Y348" t="inlineStr">
        <is>
          <t>Professional Development Training in the field of Educational Technologies, offered by the Center for Educational Technologies at Sofia University, equips educators and professionals with the skills needed to integrate modern technologies into teaching and learning processes effectively. These training programs focus on the practical use of digital tools, online learning platforms, AI in education, and interactive content creation, enabling participants to enhance their pedagogical techniques. The training also covers emerging trends and best practices in educational technology, supporting continuous improvement and innovation in educational settings.</t>
        </is>
      </c>
      <c r="Z348" s="1" t="inlineStr">
        <is>
          <t>https://drive.google.com/uc?export=view&amp;id=1ShSw-bOsMcLviGufDGf9zrLkkNnLtx-2</t>
        </is>
      </c>
      <c r="AA348" s="1" t="inlineStr">
        <is>
          <t>Unverified</t>
        </is>
      </c>
      <c r="AB348" s="1" t="n"/>
      <c r="AC348" s="1" t="n"/>
      <c r="AD348" s="10" t="n"/>
      <c r="AE348" s="1" t="n"/>
      <c r="AF348" t="inlineStr">
        <is>
          <t>No</t>
        </is>
      </c>
    </row>
    <row r="349" ht="12.5" customHeight="1">
      <c r="A349" s="6" t="n">
        <v>45610</v>
      </c>
      <c r="B349" s="1" t="inlineStr">
        <is>
          <t>ORG_2322</t>
        </is>
      </c>
      <c r="C349" s="1" t="b">
        <v>1</v>
      </c>
      <c r="D349" s="1" t="inlineStr">
        <is>
          <t>Steamy Kids</t>
        </is>
      </c>
      <c r="E349" s="10" t="inlineStr">
        <is>
          <t>https://www.stem-y.com/</t>
        </is>
      </c>
      <c r="F349" t="inlineStr">
        <is>
          <t>stem-y.com</t>
        </is>
      </c>
      <c r="G349" s="1" t="inlineStr">
        <is>
          <t>Stemy is dedicated to preparing children for the future by teaching STEM (Science, Technology, Engineering, and Mathematics) in a dynamic and engaging way. Our programs are designed to equip students with critical thinking, problem-solving, and innovation skills that are essential in a rapidly evolving world. We combine hands-on learning with cutting-edge technologies, helping kids understand complex concepts while fostering creativity and curiosity. Stemy's curriculum also emphasizes English proficiency, preparing students for global communication and collaboration in the tech-driven industries of tomorrow. Our mission is to inspire the next generation of innovators and leaders through STEM education.</t>
        </is>
      </c>
      <c r="H349" s="1" t="inlineStr">
        <is>
          <t>EdTech Bulgaria</t>
        </is>
      </c>
      <c r="I349" s="1" t="inlineStr">
        <is>
          <t>All</t>
        </is>
      </c>
      <c r="J349" s="1" t="inlineStr">
        <is>
          <t>Sofia</t>
        </is>
      </c>
      <c r="K349" t="inlineStr">
        <is>
          <t>Sofia</t>
        </is>
      </c>
      <c r="L349" t="inlineStr">
        <is>
          <t>Sofia, Bulgaria</t>
        </is>
      </c>
      <c r="M349" t="n">
        <v>42.6977028</v>
      </c>
      <c r="N349" t="n">
        <v>23.3217359</v>
      </c>
      <c r="O349" s="1" t="inlineStr">
        <is>
          <t>Bulgaria</t>
        </is>
      </c>
      <c r="P349" s="1" t="inlineStr">
        <is>
          <t>Bulgaria</t>
        </is>
      </c>
      <c r="Q349" s="1" t="inlineStr">
        <is>
          <t>3 to 5</t>
        </is>
      </c>
      <c r="R349" t="inlineStr">
        <is>
          <t>Micro</t>
        </is>
      </c>
      <c r="S349" s="1" t="inlineStr">
        <is>
          <t>Business to Business, Business to Schools, Business to Consumer, Business to Government</t>
        </is>
      </c>
      <c r="T349" s="1" t="inlineStr">
        <is>
          <t>Early childhood development (0-5 years)</t>
        </is>
      </c>
      <c r="U349" s="1" t="inlineStr">
        <is>
          <t>System/Administrative</t>
        </is>
      </c>
      <c r="V349" s="1" t="inlineStr">
        <is>
          <t>STEM courses</t>
        </is>
      </c>
      <c r="W349" s="1" t="inlineStr">
        <is>
          <t>STEMY’s courses are structured to help children understand core STEM concepts through age-appropriate lessons and interactive activities. From beginner to advanced levels, each course is tailored to build foundational skills while nurturing curiosity, critical thinking, and problem-solving.</t>
        </is>
      </c>
      <c r="X349" s="10" t="inlineStr">
        <is>
          <t>STEM workshops and camps</t>
        </is>
      </c>
      <c r="Y349" t="inlineStr">
        <is>
          <t>Workshops: These immersive workshops allow students to dive deeper into specific STEM topics and explore projects like robotics, coding, environmental science, and engineering. Workshops are crafted to encourage teamwork, creativity, and real-time problem-solving.
Camps: STEMY’s daycare offers a safe and stimulating environment that integrates STEM learning into daily routines. Kids engage in enriching activities, creative play, and guided exploration, making their time both educational and enjoyable.</t>
        </is>
      </c>
      <c r="Z349" s="1" t="inlineStr">
        <is>
          <t>https://drive.google.com/uc?export=view&amp;id=1sjECQtGKlO7qfiVnU3UapMeCsHOXuR30</t>
        </is>
      </c>
      <c r="AA349" s="1" t="inlineStr">
        <is>
          <t>Unverified</t>
        </is>
      </c>
      <c r="AB349" s="1" t="n"/>
      <c r="AC349" s="1" t="n"/>
      <c r="AD349" s="10" t="n"/>
      <c r="AE349" s="1" t="n"/>
      <c r="AF349" t="inlineStr">
        <is>
          <t>Yes</t>
        </is>
      </c>
      <c r="AG349" t="inlineStr">
        <is>
          <t>https://www.linkedin.com/in/stemy-kids-1724162b2/</t>
        </is>
      </c>
      <c r="AH349" t="inlineStr">
        <is>
          <t>https://www.linkedin.com/in/stemy-kids-1724162b2/</t>
        </is>
      </c>
      <c r="AI349" t="inlineStr">
        <is>
          <t>https://www.linkedin.com/in/stemy-kids-1724162b2/</t>
        </is>
      </c>
    </row>
    <row r="350" ht="12.5" customHeight="1">
      <c r="A350" s="6" t="n">
        <v>45596</v>
      </c>
      <c r="B350" s="1" t="inlineStr">
        <is>
          <t>ORG_2264</t>
        </is>
      </c>
      <c r="C350" s="1" t="b">
        <v>1</v>
      </c>
      <c r="D350" s="1" t="inlineStr">
        <is>
          <t>skip Institut</t>
        </is>
      </c>
      <c r="E350" s="10" t="inlineStr">
        <is>
          <t>www.skip-institut.de</t>
        </is>
      </c>
      <c r="F350" t="inlineStr">
        <is>
          <t>skip-institut.de</t>
        </is>
      </c>
      <c r="G350" s="1" t="inlineStr">
        <is>
          <t>Primarily focused on R&amp;D of educational and scientific applications, mainly in the field of visualization e.g. VR/AR and AI.
Highly qualified team of experts and professors in Berlin and Cologne (main office). Open to international cooperation.</t>
        </is>
      </c>
      <c r="H350" s="1" t="inlineStr">
        <is>
          <t>EDUvation</t>
        </is>
      </c>
      <c r="I350" s="1" t="inlineStr">
        <is>
          <t>German, English, French, Spanish, Polish, Italian, Arabic</t>
        </is>
      </c>
      <c r="J350" s="1" t="inlineStr">
        <is>
          <t>Cologne</t>
        </is>
      </c>
      <c r="K350" t="inlineStr">
        <is>
          <t>Cologne</t>
        </is>
      </c>
      <c r="L350" t="inlineStr">
        <is>
          <t>Cologne, Germany</t>
        </is>
      </c>
      <c r="M350" t="n">
        <v>50.938361</v>
      </c>
      <c r="N350" t="n">
        <v>6.959974</v>
      </c>
      <c r="O350" s="1" t="inlineStr">
        <is>
          <t>Germany</t>
        </is>
      </c>
      <c r="P350" s="1" t="inlineStr">
        <is>
          <t>Germany, United Kingdom</t>
        </is>
      </c>
      <c r="Q350" s="1" t="inlineStr">
        <is>
          <t>11 to 50</t>
        </is>
      </c>
      <c r="R350" t="inlineStr">
        <is>
          <t>Small</t>
        </is>
      </c>
      <c r="S350" s="1" t="inlineStr">
        <is>
          <t>Business to Business, Business to Schools, Business to Consumer, Business to Government</t>
        </is>
      </c>
      <c r="T350" s="1" t="inlineStr">
        <is>
          <t>Corporate Training, Lifelong learning/Adult education</t>
        </is>
      </c>
      <c r="U350" s="1" t="inlineStr">
        <is>
          <t>System/Administrative, Teacher interfacing, Student interfacing</t>
        </is>
      </c>
      <c r="V350" s="1" t="inlineStr">
        <is>
          <t>R&amp;D VR/AR/XR/AI</t>
        </is>
      </c>
      <c r="W350" s="1" t="inlineStr">
        <is>
          <t>Scientific R&amp;D - Prototyping</t>
        </is>
      </c>
      <c r="X350" s="1" t="inlineStr">
        <is>
          <t>https://drive.google.com/uc?export=view&amp;id=1e2uz5ktifjh8G1d3nHm5ldBqOIzLFP3C</t>
        </is>
      </c>
      <c r="Y350" t="inlineStr">
        <is>
          <t>https://drive.google.com/uc?export=view&amp;id=1e2uz5ktifjh8G1d3nHm5ldBqOIzLFP3C</t>
        </is>
      </c>
      <c r="Z350" s="1" t="inlineStr">
        <is>
          <t>https://drive.google.com/uc?export=view&amp;id=1e2uz5ktifjh8G1d3nHm5ldBqOIzLFP3C</t>
        </is>
      </c>
      <c r="AA350" s="1" t="inlineStr">
        <is>
          <t>Unverified</t>
        </is>
      </c>
      <c r="AB350" s="1" t="n"/>
      <c r="AC350" s="1" t="n"/>
      <c r="AD350" s="10" t="n"/>
      <c r="AE350" s="1" t="n"/>
      <c r="AF350" t="inlineStr">
        <is>
          <t>Yes</t>
        </is>
      </c>
      <c r="AI350" t="inlineStr">
        <is>
          <t>Skip institute</t>
        </is>
      </c>
    </row>
    <row r="351" ht="12.5" customHeight="1">
      <c r="A351" s="6" t="n">
        <v>45592</v>
      </c>
      <c r="B351" s="1" t="inlineStr">
        <is>
          <t>ORG_2383</t>
        </is>
      </c>
      <c r="C351" s="1" t="b">
        <v>1</v>
      </c>
      <c r="D351" s="1" t="inlineStr">
        <is>
          <t>Telelink Business Services</t>
        </is>
      </c>
      <c r="E351" s="10" t="inlineStr">
        <is>
          <t>www.tbs.tech</t>
        </is>
      </c>
      <c r="F351" t="inlineStr">
        <is>
          <t>tbs.tech</t>
        </is>
      </c>
      <c r="G351" s="1" t="inlineStr">
        <is>
          <t>TBS is at the forefront of transforming education in Bulgaria through innovative technology solutions. With a strong commitment to enhancing digital learning environments, TBS has played a pivotal role in developing the Digital Backpack platform, a comprehensive tool designed to facilitate effective online learning for students and educators alike. This initiative aligns with the Ministry of Education and Science's vision to modernize the educational landscape.
Through the Digital Backpack, TBS enables seamless access to educational resources, promoting an integrated approach to digital education. By implementing single sign-on capabilities and digitizing educational content, TBS fosters an inclusive learning experience that empowers both teachers and students. This commitment to innovation ensures that Bulgarian education is equipped to meet the demands of the 21st century, enhancing educational outcomes and preparing students for a dynamic future.
As a leader in this educational revolution, TBS is dedicated to building a brighter, digitally empowered future for Bulgaria’s youth, reinforcing the importance of technology in education and ensuring that every student has access to the tools they need to succeed.</t>
        </is>
      </c>
      <c r="H351" s="1" t="inlineStr">
        <is>
          <t>EdTech Bulgaria</t>
        </is>
      </c>
      <c r="I351" s="1" t="inlineStr">
        <is>
          <t>Bulgaria, English</t>
        </is>
      </c>
      <c r="J351" s="1" t="inlineStr">
        <is>
          <t>Sofia</t>
        </is>
      </c>
      <c r="K351" t="inlineStr">
        <is>
          <t>Sofia</t>
        </is>
      </c>
      <c r="L351" t="inlineStr">
        <is>
          <t>Sofia, Bulgaria</t>
        </is>
      </c>
      <c r="M351" t="n">
        <v>42.6977028</v>
      </c>
      <c r="N351" t="n">
        <v>23.3217359</v>
      </c>
      <c r="O351" s="1" t="inlineStr">
        <is>
          <t>Bulgaria</t>
        </is>
      </c>
      <c r="P351" s="1" t="inlineStr">
        <is>
          <t>Bulgaria</t>
        </is>
      </c>
      <c r="Q351" s="1" t="inlineStr">
        <is>
          <t>101 to 500</t>
        </is>
      </c>
      <c r="R351" t="inlineStr">
        <is>
          <t>Medium or Large (unspecified)</t>
        </is>
      </c>
      <c r="S351" s="1" t="inlineStr">
        <is>
          <t>Business to Business, Business to Schools, Business to Consumer, Business to Government</t>
        </is>
      </c>
      <c r="T351" s="1" t="inlineStr">
        <is>
          <t>Early childhood development (0-5 years), Primary Education, Secondary Education, Corporate Training, Lifelong learning/Adult education, Vocational Education and Training (VET), Higher Education</t>
        </is>
      </c>
      <c r="U351" s="1" t="inlineStr">
        <is>
          <t>System/Administrative, Student interfacing, Teacher interfacing</t>
        </is>
      </c>
      <c r="V351" s="1" t="inlineStr">
        <is>
          <t>Digitizinf Higher Education</t>
        </is>
      </c>
      <c r="W351" s="1" t="inlineStr">
        <is>
          <t>We employ a variety of campus management tools, integration systems, mobility and content delivery solutions to help colleges and universities deliver a safe, efficient, and results-oriented educational experience to their students with four facets:
- Digital Campus
- Research Excellence
- Student Excellence
- Accreditation &amp; Compliance</t>
        </is>
      </c>
      <c r="X351" s="10" t="inlineStr">
        <is>
          <t>Providing system-wide EdTech solutions for k-12 education</t>
        </is>
      </c>
      <c r="Y351" t="inlineStr">
        <is>
          <t>Support of distance, online, hybrid and blended learning models that empower teachers to strengthen their practice. Our solutions also help solve k-12 administrative needs and engage parents in the educational process.</t>
        </is>
      </c>
      <c r="Z351" s="1" t="inlineStr">
        <is>
          <t>https://drive.google.com/uc?export=view&amp;id=1aX4sGAG0rjlxjfZ9YIDtqJw2WWmGVILD</t>
        </is>
      </c>
      <c r="AA351" s="1" t="inlineStr">
        <is>
          <t>Unverified</t>
        </is>
      </c>
      <c r="AB351" s="1" t="n"/>
      <c r="AC351" s="1" t="n"/>
      <c r="AD351" s="10" t="n"/>
      <c r="AE351" s="1" t="n"/>
      <c r="AF351" s="1" t="inlineStr">
        <is>
          <t>Yes</t>
        </is>
      </c>
      <c r="AG351" s="1" t="inlineStr">
        <is>
          <t>https://www.linkedin.com/company/telelink-business-services/posts/?feedView=all</t>
        </is>
      </c>
      <c r="AH351" s="1" t="inlineStr">
        <is>
          <t>https://www.linkedin.com/company/telelink-business-services/posts/?feedView=all</t>
        </is>
      </c>
      <c r="AI351" t="inlineStr">
        <is>
          <t>https://www.linkedin.com/company/telelink-business-services/posts/?feedView=all</t>
        </is>
      </c>
    </row>
    <row r="352" ht="12.5" customHeight="1">
      <c r="A352" s="6" t="n">
        <v>45589</v>
      </c>
      <c r="B352" s="1" t="inlineStr">
        <is>
          <t>ORG_2232</t>
        </is>
      </c>
      <c r="C352" s="1" t="b">
        <v>1</v>
      </c>
      <c r="D352" s="1" t="inlineStr">
        <is>
          <t>SET University</t>
        </is>
      </c>
      <c r="E352" s="10" t="inlineStr">
        <is>
          <t>setuniversity.edu.ua</t>
        </is>
      </c>
      <c r="F352" t="inlineStr">
        <is>
          <t>setuniversity.edu.ua</t>
        </is>
      </c>
      <c r="G352" s="1" t="inlineStr">
        <is>
          <t>SET is a private nonprofit higher education institution and is among the top-providers of digital innovation and entrepreneurial education in Ukraine. SET is aimed at tech business including startups and deep tech working in two dimensions: talents development (skilling/upskilling/reskilling) and academic educational products (customer development approach). It operates in a blended format, closely cooperating with IT business companies and startups to bring up-to-date agile knowledge and practice to its learners. The strategic educational areas are cybersecurity, AI, blockchain, DeepTech, innovations, and startups. Another strategic focus of interest is bringing science closer to market. SET is licensed to award master’s degrees in “Security, Quality and Data Analysis” (Cyber Defense) and “Computer Science and Innovation Engineering” (Computer Science: Machine Learning &amp; Cloud Computing; Computer Science: Innovation Engineering) and also delivers the 4 MicroMasters programs and a number of short-term qualification advancement courses aimed at tech business. SET has launched a SET Accelerator for IT professionals and deep tech entrepreneurs and innovators, with a special focus on women-led businesses and startups, as well as the wider public. SET is dedicated to sensitive social impact and is supporting Ukraine in international projects related to digital transformation and cybersecurity education.</t>
        </is>
      </c>
      <c r="H352" s="1" t="inlineStr">
        <is>
          <t>I'm not part of any EdTech association</t>
        </is>
      </c>
      <c r="I352" s="1" t="inlineStr">
        <is>
          <t>Ukrainian</t>
        </is>
      </c>
      <c r="J352" s="1" t="inlineStr">
        <is>
          <t>Kyiv</t>
        </is>
      </c>
      <c r="K352" t="inlineStr">
        <is>
          <t>Kyiv</t>
        </is>
      </c>
      <c r="L352" t="inlineStr">
        <is>
          <t>Kyiv, Ukraine</t>
        </is>
      </c>
      <c r="M352" t="n">
        <v>50.4500336</v>
      </c>
      <c r="N352" t="n">
        <v>30.5241361</v>
      </c>
      <c r="O352" s="1" t="inlineStr">
        <is>
          <t>Ukraine</t>
        </is>
      </c>
      <c r="P352" s="1" t="inlineStr">
        <is>
          <t>Ukraine</t>
        </is>
      </c>
      <c r="Q352" s="1" t="inlineStr">
        <is>
          <t>6 to 10</t>
        </is>
      </c>
      <c r="R352" t="inlineStr">
        <is>
          <t>Micro</t>
        </is>
      </c>
      <c r="S352" s="1" t="inlineStr">
        <is>
          <t>Business to Business, Business to Schools, Business to Consumer, Business to Government</t>
        </is>
      </c>
      <c r="T352" s="1" t="inlineStr">
        <is>
          <t>Secondary Education, Corporate Training, Lifelong learning/Adult education, Vocational Education and Training (VET), Higher Education</t>
        </is>
      </c>
      <c r="U352" s="1" t="inlineStr">
        <is>
          <t>System/Administrative, Student interfacing, Teacher interfacing</t>
        </is>
      </c>
      <c r="V352" s="10" t="inlineStr">
        <is>
          <t>“Security, Quality and Data Analysis” and “Computer Science and Innovation Engineering”masters</t>
        </is>
      </c>
      <c r="W352" s="10" t="inlineStr">
        <is>
          <t>Comprehensive academic programs licensed by the Ministry of Education and Science of Ukraine. The programs in cyber defense and computer science and innovative engineering are designed to combine the in-depth study of theory with practical solutions to business problems. The graduates create a startup or an IT solution for a real business as a part of their Master’s thesis.
The duration of programs is 1.5 years.</t>
        </is>
      </c>
      <c r="X352" s="10" t="inlineStr">
        <is>
          <t>MicroMasters programs</t>
        </is>
      </c>
      <c r="Y352" t="inlineStr">
        <is>
          <t>Mid-term academic programs based on the principle of executive business schools. Flexibility, blended format and practical expertise allow you to tailor your experience to your specific career goals.
The average duration of the programs is 6-14 weeks.</t>
        </is>
      </c>
      <c r="Z352" s="1" t="inlineStr">
        <is>
          <t>https://drive.google.com/uc?export=view&amp;id=1JzN45ABSg914ydPxoeifRXovDQvFSnCV</t>
        </is>
      </c>
      <c r="AA352" s="1" t="inlineStr">
        <is>
          <t>Unverified</t>
        </is>
      </c>
      <c r="AB352" s="1" t="n"/>
      <c r="AC352" s="1" t="n"/>
      <c r="AD352" s="10" t="n"/>
      <c r="AE352" s="1" t="n"/>
      <c r="AF352" t="inlineStr">
        <is>
          <t>Yes</t>
        </is>
      </c>
      <c r="AG352" t="inlineStr">
        <is>
          <t>https://www.linkedin.com/company/set-university/</t>
        </is>
      </c>
      <c r="AH352" t="inlineStr">
        <is>
          <t>https://x.com/SetUniversity</t>
        </is>
      </c>
      <c r="AI352" t="inlineStr">
        <is>
          <t>https://www.linkedin.com/company/set-university/</t>
        </is>
      </c>
    </row>
    <row r="353" ht="12.5" customHeight="1">
      <c r="A353" s="6" t="n">
        <v>45588</v>
      </c>
      <c r="B353" s="1" t="inlineStr">
        <is>
          <t>ORG_2199</t>
        </is>
      </c>
      <c r="C353" s="1" t="b">
        <v>1</v>
      </c>
      <c r="D353" s="1" t="inlineStr">
        <is>
          <t>Rollama Education Ltd</t>
        </is>
      </c>
      <c r="E353" s="10" t="inlineStr">
        <is>
          <t>www.rollama.com</t>
        </is>
      </c>
      <c r="F353" t="inlineStr">
        <is>
          <t>rollama.com</t>
        </is>
      </c>
      <c r="G353" s="1" t="inlineStr">
        <is>
          <t>Rollama is website of activities to learn English spelling, punctuation and, grammar. 
Made for teachers, by teachers, with 18 years’ experience in Primary School classrooms, Rollama is fully aligned to the English National Curriculum.
We have gamified grammar to help students build fluent fundamentals.</t>
        </is>
      </c>
      <c r="H353" s="1" t="inlineStr">
        <is>
          <t>I'm not part of any EdTech association</t>
        </is>
      </c>
      <c r="I353" s="1" t="inlineStr">
        <is>
          <t>English</t>
        </is>
      </c>
      <c r="J353" s="1" t="inlineStr">
        <is>
          <t>Kimberley</t>
        </is>
      </c>
      <c r="K353" t="inlineStr">
        <is>
          <t>Kimberley</t>
        </is>
      </c>
      <c r="L353" t="inlineStr">
        <is>
          <t>Kimberley, United Kingdom</t>
        </is>
      </c>
      <c r="M353" t="n">
        <v>52.9980159</v>
      </c>
      <c r="N353" t="n">
        <v>-1.2595297</v>
      </c>
      <c r="O353" s="1" t="inlineStr">
        <is>
          <t>United Kingdom</t>
        </is>
      </c>
      <c r="P353" s="1" t="inlineStr">
        <is>
          <t>Armenia, Czechia, France, Germany, Ireland, Italy, Netherlands, Poland, Spain, United Kingdom</t>
        </is>
      </c>
      <c r="Q353" s="1" t="inlineStr">
        <is>
          <t>0 to 2</t>
        </is>
      </c>
      <c r="R353" t="inlineStr">
        <is>
          <t>Solo entrepreneur</t>
        </is>
      </c>
      <c r="S353" s="1" t="inlineStr">
        <is>
          <t>Business to Business, Business to Schools, Business to Consumer, Business to Government</t>
        </is>
      </c>
      <c r="T353" s="1" t="inlineStr">
        <is>
          <t>Primary Education</t>
        </is>
      </c>
      <c r="U353" s="1" t="inlineStr">
        <is>
          <t>System/Administrative, Student interfacing, Teacher interfacing</t>
        </is>
      </c>
      <c r="V353" s="10" t="inlineStr">
        <is>
          <t>Rollama</t>
        </is>
      </c>
      <c r="W353" s="10" t="inlineStr">
        <is>
          <t>Rollama is website of activities to learn English spelling, punctuation and, grammar. 
Made for teachers, by teachers, with 18 years’ experience in KS2 classrooms, Rollama is fully aligned to the English National Curriculum.
We have over 350 mini-games for students to build fluent fundamentals through individual practice.</t>
        </is>
      </c>
      <c r="X353" s="10" t="inlineStr">
        <is>
          <t>https://drive.google.com/uc?export=view&amp;id=1nh5JWNrnLpafBIWOPt5GQcErQFORchnt</t>
        </is>
      </c>
      <c r="Y353" t="inlineStr">
        <is>
          <t>https://drive.google.com/uc?export=view&amp;id=1nh5JWNrnLpafBIWOPt5GQcErQFORchnt</t>
        </is>
      </c>
      <c r="Z353" s="1" t="inlineStr">
        <is>
          <t>https://drive.google.com/uc?export=view&amp;id=1nh5JWNrnLpafBIWOPt5GQcErQFORchnt</t>
        </is>
      </c>
      <c r="AA353" s="1" t="inlineStr">
        <is>
          <t>Unverified</t>
        </is>
      </c>
      <c r="AB353" s="1" t="n"/>
      <c r="AC353" s="1" t="n"/>
      <c r="AD353" s="10" t="n"/>
      <c r="AE353" s="1" t="n"/>
      <c r="AF353" t="inlineStr">
        <is>
          <t>Yes</t>
        </is>
      </c>
      <c r="AG353" t="inlineStr">
        <is>
          <t>instagram.com/rollama_edu</t>
        </is>
      </c>
      <c r="AH353" t="inlineStr">
        <is>
          <t>http://www.twitter.com/RollamaEdu</t>
        </is>
      </c>
      <c r="AI353" t="inlineStr">
        <is>
          <t>https://www.linkedin.com/company/81532461</t>
        </is>
      </c>
    </row>
    <row r="354" ht="12.5" customHeight="1">
      <c r="A354" s="6" t="n">
        <v>45581</v>
      </c>
      <c r="B354" s="1" t="inlineStr">
        <is>
          <t>ORG_2395</t>
        </is>
      </c>
      <c r="C354" s="1" t="b">
        <v>1</v>
      </c>
      <c r="D354" s="1" t="inlineStr">
        <is>
          <t>The Coderz</t>
        </is>
      </c>
      <c r="E354" s="10" t="inlineStr">
        <is>
          <t>https://thecoderz.estate</t>
        </is>
      </c>
      <c r="F354" t="inlineStr">
        <is>
          <t>thecoderz.estate</t>
        </is>
      </c>
      <c r="G354" s="1" t="inlineStr">
        <is>
          <t>The Coderz is a forward-thinking company dedicated to providing accessible and affordable digital solutions for coaching professionals, educators, and academic institutions. With a focus on scalability, customization, and long-term ownership, The Coderz Edtech stack helps users build learning platforms that meet their evolving needs without the burden of ongoing subscription fees.</t>
        </is>
      </c>
      <c r="H354" s="1" t="inlineStr">
        <is>
          <t>I'm not part of any EdTech association</t>
        </is>
      </c>
      <c r="I354" s="1" t="inlineStr">
        <is>
          <t>English</t>
        </is>
      </c>
      <c r="J354" s="1" t="inlineStr">
        <is>
          <t>London</t>
        </is>
      </c>
      <c r="K354" t="inlineStr">
        <is>
          <t>London</t>
        </is>
      </c>
      <c r="L354" t="inlineStr">
        <is>
          <t>London, United Kingdom</t>
        </is>
      </c>
      <c r="M354" t="n">
        <v>51.5074456</v>
      </c>
      <c r="N354" t="n">
        <v>-0.1277653</v>
      </c>
      <c r="O354" s="1" t="inlineStr">
        <is>
          <t>United Kingdom</t>
        </is>
      </c>
      <c r="P354" s="1" t="inlineStr">
        <is>
          <t>United Kingdom</t>
        </is>
      </c>
      <c r="Q354" s="1" t="inlineStr">
        <is>
          <t>3 to 5</t>
        </is>
      </c>
      <c r="R354" t="inlineStr">
        <is>
          <t>Micro</t>
        </is>
      </c>
      <c r="S354" s="1" t="inlineStr">
        <is>
          <t>Business to Business, Business to Schools, Business to Consumer, Business to Government</t>
        </is>
      </c>
      <c r="T354" s="1" t="inlineStr">
        <is>
          <t>Corporate Training, Lifelong learning/Adult education, Vocational Education and Training (VET), Higher Education</t>
        </is>
      </c>
      <c r="U354" s="1" t="inlineStr">
        <is>
          <t>Teacher interfacing, System/Administrative, Student interfacing</t>
        </is>
      </c>
      <c r="V354" s="10" t="inlineStr">
        <is>
          <t>The Coderz tech stack</t>
        </is>
      </c>
      <c r="W354" s="1" t="inlineStr">
        <is>
          <t>The Coderz tech stack provides the tools necessary to create a branded, scalable platform for delivering high-quality coaching, training, or education—all while granting users complete ownership of the source code.
This game-changing solution offers:
Fully Customizable Source Code: Users have full control over the platform’s design and functionality, enabling them to tailor it to meet their exact business or educational needs.
Exclusive UI/UX Design: The tech stack includes professional Figma design assets to create an intuitive, attractive user experience that keeps students, trainees, or coaching clients engaged.
Perpetual License: With a one-time payment of $199, users gain lifetime access to the software, avoiding ongoing subscription fees or licensing hassles.
Easy Deployment: The tech stack can be quickly deployed on users' own servers, giving them full autonomy over the hosting and maintenance of their platform.</t>
        </is>
      </c>
      <c r="X354" s="10" t="inlineStr">
        <is>
          <t>Tarik Bouderhem</t>
        </is>
      </c>
      <c r="Y354" t="inlineStr">
        <is>
          <t>https://drive.google.com/uc?export=view&amp;id=1C7lE_PMViq9qCdUuukK7dc8rw7RxA0w4</t>
        </is>
      </c>
      <c r="Z354" s="1" t="inlineStr">
        <is>
          <t>https://drive.google.com/uc?export=view&amp;id=1C7lE_PMViq9qCdUuukK7dc8rw7RxA0w4</t>
        </is>
      </c>
      <c r="AA354" s="1" t="inlineStr">
        <is>
          <t>Unverified</t>
        </is>
      </c>
      <c r="AB354" s="1" t="n"/>
      <c r="AC354" s="1" t="n"/>
      <c r="AD354" s="10" t="n"/>
      <c r="AE354" s="1" t="n"/>
      <c r="AF354" t="inlineStr">
        <is>
          <t>Yes</t>
        </is>
      </c>
      <c r="AG354" t="inlineStr">
        <is>
          <t>https://www.instagram.com/thecoderz.estate/</t>
        </is>
      </c>
      <c r="AH354" t="inlineStr">
        <is>
          <t>https://www.linkedin.com/company/thecoderz</t>
        </is>
      </c>
      <c r="AI354" t="inlineStr">
        <is>
          <t>https://www.linkedin.com/company/thecoderz</t>
        </is>
      </c>
    </row>
    <row r="355" ht="12.5" customHeight="1">
      <c r="A355" s="6" t="n">
        <v>45578</v>
      </c>
      <c r="B355" s="1" t="inlineStr">
        <is>
          <t>ORG_1645</t>
        </is>
      </c>
      <c r="C355" s="1" t="b">
        <v>1</v>
      </c>
      <c r="D355" s="1" t="inlineStr">
        <is>
          <t>Greenscreenbox</t>
        </is>
      </c>
      <c r="E355" s="10" t="inlineStr">
        <is>
          <t>https://greenscreenbox.nl/</t>
        </is>
      </c>
      <c r="F355" t="inlineStr">
        <is>
          <t>greenscreenbox.nl</t>
        </is>
      </c>
      <c r="G355" s="1" t="inlineStr">
        <is>
          <t>We empower teachers to integrate storytelling, creativity, and digital skills into their lessons by combining physical materials with our user-friendly software and ready-made educational content.
The Greenscreenbox, an innovative tool that complements our approach, is a wooden tabletop film studio designed to facilitate the application of greenscreen technology. Our device-independent software is easy to use, making it accessible to educators and students from 4 years up to adults. 
At the core of our concept lies simplicity, believing it to be the key to widespread adoption among teachers. This compact yet versatile setup allows teachers and students to explore multimedia storytelling in an engaging and interactive way.</t>
        </is>
      </c>
      <c r="H355" s="1" t="inlineStr">
        <is>
          <t>Dutch EdTech</t>
        </is>
      </c>
      <c r="I355" s="1" t="inlineStr">
        <is>
          <t>Dutch, English, German, Italian, French, Spanish, Catalan</t>
        </is>
      </c>
      <c r="J355" s="1" t="inlineStr">
        <is>
          <t>Lieshout</t>
        </is>
      </c>
      <c r="K355" t="inlineStr">
        <is>
          <t>Lieshout</t>
        </is>
      </c>
      <c r="L355" t="inlineStr">
        <is>
          <t>Lieshout, The Netherlands</t>
        </is>
      </c>
      <c r="M355" t="n">
        <v>51.4378922</v>
      </c>
      <c r="N355" t="n">
        <v>5.4798502</v>
      </c>
      <c r="O355" s="1" t="inlineStr">
        <is>
          <t>The Netherlands</t>
        </is>
      </c>
      <c r="P355" s="1" t="inlineStr">
        <is>
          <t>Belgium, Denmark, France, Germany, Ireland, Italy, Netherlands, Spain, Switzerland, United Kingdom</t>
        </is>
      </c>
      <c r="Q355" s="1" t="inlineStr">
        <is>
          <t>3 to 5</t>
        </is>
      </c>
      <c r="R355" t="inlineStr">
        <is>
          <t>Micro</t>
        </is>
      </c>
      <c r="S355" s="1" t="inlineStr">
        <is>
          <t>Business to Business, Business to Consumer, Business to Schools</t>
        </is>
      </c>
      <c r="T355" s="1" t="inlineStr">
        <is>
          <t>Primary Education, Secondary Education</t>
        </is>
      </c>
      <c r="U355" s="1" t="inlineStr">
        <is>
          <t>Teacher interfacing</t>
        </is>
      </c>
      <c r="V355" s="10" t="inlineStr">
        <is>
          <t>Greenscreenbox</t>
        </is>
      </c>
      <c r="W355" s="1" t="inlineStr">
        <is>
          <t>The Greenscreenbox is a portable wooden tabletop film studio, allowing students in primary and secundary education to create greenscreen recordings of their learning material. This fosters creativity, storytelling and digital skills, aligning with their interest in digital media. It is applicable across various subjects. For example, let students reenact historical events, act out scenes from literature, develop language skills by role-playing scenarios, and much more.
Greenscreenbox: endless possibilities!</t>
        </is>
      </c>
      <c r="X355" s="10" t="inlineStr">
        <is>
          <t>Greenscreenbox App</t>
        </is>
      </c>
      <c r="Y355" t="inlineStr">
        <is>
          <t>With the Greenscreenbox App, you can effortlessly create greenscreen photos, stop motions, and videos. Users greatly value its simplicity. The app offers standard background images or allows users to upload their own. It is compatible with iOS and Android tablets, Chromebooks, and laptops, requiring only an internet browser and a back camera or separate USB webcam. The app is accessible at no cost with a code included upon Greenscreenbox purchase and is ad-free.
Additionally, there is a Pro version of our app, offering extra features such as voice-over for stop-motion projects and access to a library of 100+ royalty-free backgrounds. The Pro version is also available as a license-only option.</t>
        </is>
      </c>
      <c r="Z355" s="1" t="inlineStr">
        <is>
          <t>https://drive.google.com/uc?export=view&amp;id=15VHYoGIclV0qDYbhqVvkwPtb6PCSybbN</t>
        </is>
      </c>
      <c r="AA355" s="1" t="inlineStr">
        <is>
          <t>Unverified</t>
        </is>
      </c>
      <c r="AB355" s="1" t="n"/>
      <c r="AC355" s="1" t="n"/>
      <c r="AD355" s="10" t="n"/>
      <c r="AE355" s="1" t="n"/>
      <c r="AF355" t="inlineStr">
        <is>
          <t>Yes</t>
        </is>
      </c>
      <c r="AG355" t="inlineStr">
        <is>
          <t>https://www.instagram.com/greenscreenbox/</t>
        </is>
      </c>
      <c r="AH355" t="inlineStr">
        <is>
          <t>https://nl.linkedin.com/company/monop-greenscreenbox</t>
        </is>
      </c>
      <c r="AI355" t="inlineStr">
        <is>
          <t>https://nl.linkedin.com/company/monop-greenscreenbox</t>
        </is>
      </c>
    </row>
    <row r="356" ht="12.5" customHeight="1">
      <c r="A356" s="6" t="n">
        <v>45575</v>
      </c>
      <c r="B356" s="1" t="inlineStr">
        <is>
          <t>ORG_2258</t>
        </is>
      </c>
      <c r="C356" s="1" t="b">
        <v>1</v>
      </c>
      <c r="D356" s="1" t="inlineStr">
        <is>
          <t>SKILLS4IMPACT</t>
        </is>
      </c>
      <c r="E356" s="10" t="inlineStr">
        <is>
          <t>https://skills4impact.org/</t>
        </is>
      </c>
      <c r="F356" t="inlineStr">
        <is>
          <t>skills4impact.org</t>
        </is>
      </c>
      <c r="G356" s="1" t="inlineStr">
        <is>
          <t>Skills4Impact is the best-in-class academy that helps professionals and organizations to upgrade your skills and knowledge in sustainability and climate action. Setting us apart from traditional higher education and massive on-demand programs, our cohort-based courses and bootcamps provide a challenge-oriented, transformative learning experience led by industry experts and set within a collaborative community environment. We ensure a deeply impactful educational journey for all participants.</t>
        </is>
      </c>
      <c r="H356" s="1" t="inlineStr">
        <is>
          <t>I'm not part of any EdTech association</t>
        </is>
      </c>
      <c r="I356" s="1" t="inlineStr">
        <is>
          <t>Spanish, English</t>
        </is>
      </c>
      <c r="J356" s="1" t="inlineStr">
        <is>
          <t>Carrer Pallars, 147 - 3A Planta</t>
        </is>
      </c>
      <c r="L356" t="inlineStr">
        <is>
          <t>Carrer Pallars, 147 - 3A Planta, Spain</t>
        </is>
      </c>
      <c r="O356" s="1" t="inlineStr">
        <is>
          <t>Spain</t>
        </is>
      </c>
      <c r="P356" s="1" t="inlineStr">
        <is>
          <t>Andorra, Spain</t>
        </is>
      </c>
      <c r="Q356" s="1" t="inlineStr">
        <is>
          <t>3 to 5</t>
        </is>
      </c>
      <c r="R356" t="inlineStr">
        <is>
          <t>Micro</t>
        </is>
      </c>
      <c r="S356" s="1" t="inlineStr">
        <is>
          <t>Business to Business, Business to Consumer, Business to Government</t>
        </is>
      </c>
      <c r="T356" s="1" t="inlineStr">
        <is>
          <t>Corporate Training, Lifelong learning/Adult education</t>
        </is>
      </c>
      <c r="U356" s="1" t="inlineStr">
        <is>
          <t>System/Administrative, Student interfacing</t>
        </is>
      </c>
      <c r="V356" s="1" t="inlineStr">
        <is>
          <t>Advanced CSRD Certified Professional Course</t>
        </is>
      </c>
      <c r="W356" s="1" t="inlineStr">
        <is>
          <t>-Understand and master the CSRD and the step-by-step process of regulatory compliance management.
-Use a structured guideline to perform a Double Materiality analysis.
Identify qualitative and quantitative indicators to report according to ESRS and perform a gap analysis.
-Develop a roadmap with corrective actions based on the results of the analysis.
-Get familiar with the latest technology platforms for collecting, managing and presenting data for CSRD compliance.</t>
        </is>
      </c>
      <c r="X356" s="10" t="inlineStr">
        <is>
          <t>Impact &amp; Sustainability Marketing Program</t>
        </is>
      </c>
      <c r="Y356" t="inlineStr">
        <is>
          <t>-Understand why and how to evolve current marketing and communication models and the responsibility in generating impact.
-Build authentic brands with purpose based on reference frameworks such as the Brand Impact Model Framework.
-Establish communication strategies and narratives aligned with an active purpose.
Recognize and mitigate Greenwashing and Purpose-washing practices in different sectors.
-Acquire a new mindset in your professional development to drive positive impact.</t>
        </is>
      </c>
      <c r="Z356" s="1" t="inlineStr">
        <is>
          <t>https://drive.google.com/uc?export=view&amp;id=1G4xV9DzTPEqEGbHZUjiM32zuF9qT4JuB</t>
        </is>
      </c>
      <c r="AA356" s="1" t="inlineStr">
        <is>
          <t>Unverified</t>
        </is>
      </c>
      <c r="AB356" s="1" t="n"/>
      <c r="AC356" s="1" t="n"/>
      <c r="AD356" s="10" t="n"/>
      <c r="AE356" s="1" t="n"/>
      <c r="AF356" t="inlineStr">
        <is>
          <t>Yes</t>
        </is>
      </c>
      <c r="AG356" t="inlineStr">
        <is>
          <t>https://www.linkedin.com/company/101066262/</t>
        </is>
      </c>
      <c r="AH356" t="inlineStr">
        <is>
          <t>https://www.linkedin.com/company/101066262/</t>
        </is>
      </c>
      <c r="AI356" t="inlineStr">
        <is>
          <t>https://www.linkedin.com/company/101066262/</t>
        </is>
      </c>
    </row>
    <row r="357" ht="12.5" customHeight="1">
      <c r="A357" s="6" t="n">
        <v>45559</v>
      </c>
      <c r="B357" s="1" t="inlineStr">
        <is>
          <t>ORG_2449</t>
        </is>
      </c>
      <c r="C357" s="1" t="b">
        <v>1</v>
      </c>
      <c r="D357" s="1" t="inlineStr">
        <is>
          <t>ubbu - Code to Create</t>
        </is>
      </c>
      <c r="E357" s="10" t="inlineStr">
        <is>
          <t>www.ubbu.io</t>
        </is>
      </c>
      <c r="F357" t="inlineStr">
        <is>
          <t>ubbu.io</t>
        </is>
      </c>
      <c r="G357" s="1" t="inlineStr">
        <is>
          <t>ubbu is a user-friendly coding platform designed for students aged 6 to 12 and tailored for educators with no prior coding experience. It provides pre-made lesson plans, teacher training, and essential classroom tools, making it easy to introduce coding into the classroom. In addition to teaching coding, ubbu explores the history of technology, algorithms, and fundamental computer science concepts. Each lesson aligns with the UN’s 17 Sustainable Development Goals, inspiring students to use technology for positive global change. ubbu also integrates coding with STEAM subjects, helping students grasp math and science concepts more effectively. By fostering computational thinking, problem-solving, and creativity, ubbu encourages conscious citizenship and develops cognitive-motor skills. Trusted by over 6,000 educators worldwide, ubbu is proven to enhance the teaching and learning experience for both teachers and students, making it a powerful tool in education.</t>
        </is>
      </c>
      <c r="H357" s="1" t="inlineStr">
        <is>
          <t>I'm not part of any EdTech association</t>
        </is>
      </c>
      <c r="I357" s="1" t="inlineStr">
        <is>
          <t>Portuguese, English, Spanish</t>
        </is>
      </c>
      <c r="J357" s="1" t="inlineStr">
        <is>
          <t>Lisboa</t>
        </is>
      </c>
      <c r="K357" t="inlineStr">
        <is>
          <t>Lisboa</t>
        </is>
      </c>
      <c r="L357" t="inlineStr">
        <is>
          <t>Lisboa, Portugal</t>
        </is>
      </c>
      <c r="M357" t="n">
        <v>38.7077507</v>
      </c>
      <c r="N357" t="n">
        <v>-9.136591900000001</v>
      </c>
      <c r="O357" s="1" t="inlineStr">
        <is>
          <t>Portugal</t>
        </is>
      </c>
      <c r="P357" s="1" t="inlineStr">
        <is>
          <t>Portugal, Spain</t>
        </is>
      </c>
      <c r="Q357" s="1" t="inlineStr">
        <is>
          <t>11 to 50</t>
        </is>
      </c>
      <c r="R357" t="inlineStr">
        <is>
          <t>Small</t>
        </is>
      </c>
      <c r="S357" s="1" t="inlineStr">
        <is>
          <t>Business to Business, Business to Schools, Business to Consumer, Business to Government</t>
        </is>
      </c>
      <c r="T357" s="1" t="inlineStr">
        <is>
          <t>Primary Education</t>
        </is>
      </c>
      <c r="U357" s="1" t="inlineStr">
        <is>
          <t>System/Administrative, Student interfacing, Teacher interfacing</t>
        </is>
      </c>
      <c r="V357" s="1" t="inlineStr">
        <is>
          <t>ubbu - Code to Create</t>
        </is>
      </c>
      <c r="W357" s="1" t="inlineStr">
        <is>
          <t>ubbu is a coding platform for students aged 6 to 12, designed to help educators without coding experience teach computer science. It offers pre-made lesson plans, training, and classroom tools, simplifying the process for teachers. The curriculum integrates coding with STEAM subjects, while lessons align with the UN’s 17 Sustainable Development Goals. ubbu fosters skills like computational thinking, problem-solving, and creativity, making it a trusted platform used by over 6,000 educators worldwide.</t>
        </is>
      </c>
      <c r="X357" s="1" t="inlineStr">
        <is>
          <t>https://drive.google.com/uc?export=view&amp;id=1j29iI04XkhEf8bWBFEWn1ltr1PIdI5iB</t>
        </is>
      </c>
      <c r="Y357" t="inlineStr">
        <is>
          <t>https://drive.google.com/uc?export=view&amp;id=1j29iI04XkhEf8bWBFEWn1ltr1PIdI5iB</t>
        </is>
      </c>
      <c r="Z357" s="1" t="inlineStr">
        <is>
          <t>https://drive.google.com/uc?export=view&amp;id=1j29iI04XkhEf8bWBFEWn1ltr1PIdI5iB</t>
        </is>
      </c>
      <c r="AA357" s="1" t="inlineStr">
        <is>
          <t>Unverified</t>
        </is>
      </c>
      <c r="AB357" s="1" t="n"/>
      <c r="AC357" s="1" t="n"/>
      <c r="AD357" s="10" t="n"/>
      <c r="AE357" s="1" t="n"/>
      <c r="AF357" t="inlineStr">
        <is>
          <t>No</t>
        </is>
      </c>
    </row>
    <row r="358" ht="12.5" customHeight="1">
      <c r="A358" s="6" t="n">
        <v>45547</v>
      </c>
      <c r="B358" s="1" t="inlineStr">
        <is>
          <t>ORG_1708</t>
        </is>
      </c>
      <c r="C358" s="1" t="b">
        <v>1</v>
      </c>
      <c r="D358" s="10" t="inlineStr">
        <is>
          <t>Ikleeralles.nl</t>
        </is>
      </c>
      <c r="E358" s="10" t="inlineStr">
        <is>
          <t>https://ikleeralles.nl</t>
        </is>
      </c>
      <c r="F358" t="inlineStr">
        <is>
          <t>ikleeralles.nl</t>
        </is>
      </c>
      <c r="G358" s="1" t="inlineStr">
        <is>
          <t>Ikleeralles.nl is a platform that helps high-school students prepare for their upcoming exams/tests. Students can take pictures from learning material in their book and using the newest AI technology, they are questioned on any topic within seconds. This interactive way of learning gives students the confidence that they are well prepared.</t>
        </is>
      </c>
      <c r="H358" s="1" t="inlineStr">
        <is>
          <t>Dutch EdTech</t>
        </is>
      </c>
      <c r="I358" s="1" t="n"/>
      <c r="J358" s="1" t="inlineStr">
        <is>
          <t>Eindhoven</t>
        </is>
      </c>
      <c r="K358" t="inlineStr">
        <is>
          <t>Eindhoven</t>
        </is>
      </c>
      <c r="L358" t="inlineStr">
        <is>
          <t>Eindhoven, The Netherlands</t>
        </is>
      </c>
      <c r="M358" t="n">
        <v>51.4105222</v>
      </c>
      <c r="N358" t="n">
        <v>5.457494</v>
      </c>
      <c r="O358" s="1" t="inlineStr">
        <is>
          <t>The Netherlands</t>
        </is>
      </c>
      <c r="P358" s="1" t="inlineStr">
        <is>
          <t>Netherlands</t>
        </is>
      </c>
      <c r="Q358" s="1" t="inlineStr">
        <is>
          <t>0 to 2</t>
        </is>
      </c>
      <c r="R358" t="inlineStr">
        <is>
          <t>Solo entrepreneur</t>
        </is>
      </c>
      <c r="S358" s="1" t="inlineStr">
        <is>
          <t>Business to Schools, Business to Consumer</t>
        </is>
      </c>
      <c r="T358" s="1" t="inlineStr">
        <is>
          <t>Primary Education, Secondary Education</t>
        </is>
      </c>
      <c r="U358" s="1" t="inlineStr">
        <is>
          <t>System/Administrative, Student interfacing</t>
        </is>
      </c>
      <c r="V358" s="1" t="inlineStr">
        <is>
          <t>Ikleeralles.nl</t>
        </is>
      </c>
      <c r="W358" s="1" t="inlineStr">
        <is>
          <t>Ikleeralles.nl offers a personalized "Studybuddy", which guides the user through their learning process. The user inputs learning material that he wants to be questioned on, and Studybuddy takes care of the rest. The user is being asked open, multiple-choice and insight questions that test the user on multiple levels of understanding.</t>
        </is>
      </c>
      <c r="X358" s="10" t="inlineStr">
        <is>
          <t>https://drive.google.com/uc?export=view&amp;id=1TiqSZzyLpcbTsG_4q84WsD2qdweR6kqB</t>
        </is>
      </c>
      <c r="Y358" t="inlineStr">
        <is>
          <t>https://drive.google.com/uc?export=view&amp;id=1TiqSZzyLpcbTsG_4q84WsD2qdweR6kqB</t>
        </is>
      </c>
      <c r="Z358" s="10" t="inlineStr">
        <is>
          <t>https://drive.google.com/uc?export=view&amp;id=1TiqSZzyLpcbTsG_4q84WsD2qdweR6kqB</t>
        </is>
      </c>
      <c r="AA358" s="1" t="inlineStr">
        <is>
          <t>Unverified</t>
        </is>
      </c>
      <c r="AB358" s="1" t="n"/>
      <c r="AC358" s="1" t="n"/>
      <c r="AD358" s="10" t="n"/>
      <c r="AE358" s="1" t="n"/>
      <c r="AF358" t="inlineStr">
        <is>
          <t>Yes</t>
        </is>
      </c>
      <c r="AG358" t="inlineStr">
        <is>
          <t>https://www.linkedin.com/company/ikleerallesnl/</t>
        </is>
      </c>
      <c r="AH358" t="inlineStr">
        <is>
          <t>https://www.linkedin.com/company/ikleerallesnl/</t>
        </is>
      </c>
      <c r="AI358" t="inlineStr">
        <is>
          <t>https://www.linkedin.com/company/ikleerallesnl/</t>
        </is>
      </c>
    </row>
    <row r="359" ht="12.5" customHeight="1">
      <c r="A359" s="6" t="n">
        <v>45541</v>
      </c>
      <c r="B359" s="1" t="inlineStr">
        <is>
          <t>ORG_2389</t>
        </is>
      </c>
      <c r="C359" s="1" t="b">
        <v>1</v>
      </c>
      <c r="D359" s="1" t="inlineStr">
        <is>
          <t>test</t>
        </is>
      </c>
      <c r="E359" s="10" t="inlineStr">
        <is>
          <t>www.test.de</t>
        </is>
      </c>
      <c r="F359" t="inlineStr">
        <is>
          <t>test.de</t>
        </is>
      </c>
      <c r="G359" s="1" t="inlineStr">
        <is>
          <t>test</t>
        </is>
      </c>
      <c r="H359" s="1" t="inlineStr">
        <is>
          <t>I'm not part of any EdTech association</t>
        </is>
      </c>
      <c r="I359" s="1" t="n"/>
      <c r="J359" s="1" t="inlineStr">
        <is>
          <t>Rommerskirchen</t>
        </is>
      </c>
      <c r="K359" t="inlineStr">
        <is>
          <t>Rommerskirchen</t>
        </is>
      </c>
      <c r="L359" t="inlineStr">
        <is>
          <t>Rommerskirchen, Germany</t>
        </is>
      </c>
      <c r="M359" t="n">
        <v>51.0333007</v>
      </c>
      <c r="N359" t="n">
        <v>6.683337</v>
      </c>
      <c r="O359" s="1" t="inlineStr">
        <is>
          <t>Germany</t>
        </is>
      </c>
      <c r="P359" s="1" t="inlineStr">
        <is>
          <t>Italy</t>
        </is>
      </c>
      <c r="Q359" s="1" t="inlineStr">
        <is>
          <t>0 to 2</t>
        </is>
      </c>
      <c r="R359" t="inlineStr">
        <is>
          <t>Solo entrepreneur</t>
        </is>
      </c>
      <c r="S359" s="1" t="n"/>
      <c r="T359" s="1" t="inlineStr">
        <is>
          <t>Primary Education, Secondary Education</t>
        </is>
      </c>
      <c r="U359" s="1" t="inlineStr">
        <is>
          <t>Student interfacing</t>
        </is>
      </c>
      <c r="V359" s="1" t="n"/>
      <c r="W359" s="1" t="inlineStr">
        <is>
          <t>https://drive.google.com/uc?export=view&amp;id=1PmgMWazcSa1IhCndw7vA8M8Zubt54xxJ</t>
        </is>
      </c>
      <c r="X359" s="1" t="inlineStr">
        <is>
          <t>https://drive.google.com/uc?export=view&amp;id=1PmgMWazcSa1IhCndw7vA8M8Zubt54xxJ</t>
        </is>
      </c>
      <c r="Y359" t="inlineStr">
        <is>
          <t>https://drive.google.com/uc?export=view&amp;id=1PmgMWazcSa1IhCndw7vA8M8Zubt54xxJ</t>
        </is>
      </c>
      <c r="Z359" s="1" t="inlineStr">
        <is>
          <t>https://drive.google.com/uc?export=view&amp;id=1PmgMWazcSa1IhCndw7vA8M8Zubt54xxJ</t>
        </is>
      </c>
      <c r="AA359" s="1" t="inlineStr">
        <is>
          <t>Unverified</t>
        </is>
      </c>
      <c r="AB359" s="1" t="n"/>
      <c r="AC359" s="1" t="n"/>
      <c r="AD359" s="10" t="n"/>
      <c r="AE359" s="1" t="n"/>
      <c r="AF359" t="inlineStr">
        <is>
          <t>No</t>
        </is>
      </c>
    </row>
    <row r="360" ht="12.5" customHeight="1">
      <c r="A360" s="6" t="n">
        <v>45539</v>
      </c>
      <c r="B360" s="1" t="inlineStr">
        <is>
          <t>ORG_2349</t>
        </is>
      </c>
      <c r="C360" s="1" t="b">
        <v>1</v>
      </c>
      <c r="D360" s="1" t="inlineStr">
        <is>
          <t>SupeFlat Math</t>
        </is>
      </c>
      <c r="E360" s="10" t="inlineStr">
        <is>
          <t>www.matematcasuperpiatta.it/en</t>
        </is>
      </c>
      <c r="F360" t="inlineStr">
        <is>
          <t>matematcasuperpiatta.it/en</t>
        </is>
      </c>
      <c r="G360" s="1" t="inlineStr">
        <is>
          <t>Video game based methodology for teaching Math in primary and middle school (8-13)</t>
        </is>
      </c>
      <c r="H360" s="1" t="inlineStr">
        <is>
          <t>EdTech Italia</t>
        </is>
      </c>
      <c r="I360" s="1" t="inlineStr">
        <is>
          <t>Italian</t>
        </is>
      </c>
      <c r="J360" s="1" t="inlineStr">
        <is>
          <t>Roma</t>
        </is>
      </c>
      <c r="K360" t="inlineStr">
        <is>
          <t>Roma</t>
        </is>
      </c>
      <c r="L360" t="inlineStr">
        <is>
          <t>Roma, Italy</t>
        </is>
      </c>
      <c r="M360" t="n">
        <v>41.8933203</v>
      </c>
      <c r="N360" t="n">
        <v>12.4829321</v>
      </c>
      <c r="O360" s="1" t="inlineStr">
        <is>
          <t>Italy</t>
        </is>
      </c>
      <c r="P360" s="1" t="inlineStr">
        <is>
          <t>Italy, Switzerland</t>
        </is>
      </c>
      <c r="Q360" s="1" t="inlineStr">
        <is>
          <t>0 to 2</t>
        </is>
      </c>
      <c r="R360" t="inlineStr">
        <is>
          <t>Solo entrepreneur</t>
        </is>
      </c>
      <c r="S360" s="1" t="inlineStr">
        <is>
          <t>Business to Business, Business to Schools, Business to Government</t>
        </is>
      </c>
      <c r="T360" s="1" t="inlineStr">
        <is>
          <t>Primary Education, Secondary Education</t>
        </is>
      </c>
      <c r="U360" s="1" t="inlineStr">
        <is>
          <t>Student interfacing, Teacher interfacing</t>
        </is>
      </c>
      <c r="V360" s="10" t="inlineStr">
        <is>
          <t>Matematica Superpiatta</t>
        </is>
      </c>
      <c r="W360" s="1" t="inlineStr">
        <is>
          <t>A videogame with integrated methodology for teaching Math</t>
        </is>
      </c>
      <c r="X360" s="10" t="inlineStr">
        <is>
          <t>https://drive.google.com/uc?export=view&amp;id=1iQlptGSiUdAY0yMZ5XqAV8Y4WOUPuvaj</t>
        </is>
      </c>
      <c r="Y360" t="inlineStr">
        <is>
          <t>https://drive.google.com/uc?export=view&amp;id=1iQlptGSiUdAY0yMZ5XqAV8Y4WOUPuvaj</t>
        </is>
      </c>
      <c r="Z360" s="1" t="inlineStr">
        <is>
          <t>https://drive.google.com/uc?export=view&amp;id=1iQlptGSiUdAY0yMZ5XqAV8Y4WOUPuvaj</t>
        </is>
      </c>
      <c r="AA360" s="1" t="inlineStr">
        <is>
          <t>Unverified</t>
        </is>
      </c>
      <c r="AB360" s="1" t="n"/>
      <c r="AC360" s="1" t="n"/>
      <c r="AD360" s="10" t="n"/>
      <c r="AE360" s="1" t="n"/>
      <c r="AF360" t="inlineStr">
        <is>
          <t>Yes</t>
        </is>
      </c>
      <c r="AG360" t="inlineStr">
        <is>
          <t>https://www.instagram.com/matematica.superpiatta/</t>
        </is>
      </c>
      <c r="AH360" t="inlineStr">
        <is>
          <t>https://www.linkedin.com/company/90944851</t>
        </is>
      </c>
      <c r="AI360" t="inlineStr">
        <is>
          <t>https://www.linkedin.com/company/90944851</t>
        </is>
      </c>
    </row>
    <row r="361" ht="12.5" customHeight="1">
      <c r="A361" s="6" t="n">
        <v>45523</v>
      </c>
      <c r="B361" s="1" t="inlineStr">
        <is>
          <t>ORG_1105</t>
        </is>
      </c>
      <c r="C361" s="1" t="b">
        <v>1</v>
      </c>
      <c r="D361" s="1" t="inlineStr">
        <is>
          <t>Aryzon.World</t>
        </is>
      </c>
      <c r="E361" s="10" t="inlineStr">
        <is>
          <t>www.aryzon.world</t>
        </is>
      </c>
      <c r="F361" t="inlineStr">
        <is>
          <t>aryzon.world</t>
        </is>
      </c>
      <c r="G361" s="1" t="inlineStr">
        <is>
          <t>Aryzon.World, the XR creation platform where you can prototype your own training materials, without programming! We empower people to take an active role in their own education. Anyone can create VR content, with many XR companies doing so. But what sets us apart even more is our passion for fellow humans with unique ways of thinking. They carry labels such as ADHD, ADD, dyslexia, autism, being gifted and more.
The combination of our technology and approach gives our neurodiverse employees (each with their own background) the opportunity to develop and contribute to major societal issues with their special talents. Together we can create a future where boundaries fade and ideas come to life, where everyone can learn in their own way, label or not.
Our platform provides the opportunity to "Learning how to Learn, Live and Work" together with experienced experts from your own target audience, regardless of topic, location, or device.
Join our exciting journey. Step into the future. Join Aryzon.World, where together we can create a world of possibilities.</t>
        </is>
      </c>
      <c r="H361" s="1" t="inlineStr">
        <is>
          <t>Dutch EdTech</t>
        </is>
      </c>
      <c r="I361" s="1" t="inlineStr">
        <is>
          <t>English</t>
        </is>
      </c>
      <c r="J361" s="1" t="inlineStr">
        <is>
          <t>Ede</t>
        </is>
      </c>
      <c r="K361" t="inlineStr">
        <is>
          <t>Ede</t>
        </is>
      </c>
      <c r="L361" t="inlineStr">
        <is>
          <t>Ede, The Netherlands</t>
        </is>
      </c>
      <c r="M361" t="n">
        <v>52.0464521</v>
      </c>
      <c r="N361" t="n">
        <v>5.6711652</v>
      </c>
      <c r="O361" s="1" t="inlineStr">
        <is>
          <t>The Netherlands</t>
        </is>
      </c>
      <c r="P361" s="1" t="inlineStr">
        <is>
          <t>Belgium, Denmark, Finland, France, Germany, Ireland, Italy, Netherlands, Norway, Poland, Portugal, Spain, Sweden, Switzerland, Turkey, United Kingdom</t>
        </is>
      </c>
      <c r="Q361" s="1" t="inlineStr">
        <is>
          <t>3 to 5</t>
        </is>
      </c>
      <c r="R361" t="inlineStr">
        <is>
          <t>Micro</t>
        </is>
      </c>
      <c r="S361" s="1" t="inlineStr">
        <is>
          <t>Business to Business, Business to Schools, Business to Consumer, Business to Government</t>
        </is>
      </c>
      <c r="T361" s="1" t="inlineStr">
        <is>
          <t>Secondary Education, Corporate Training, Lifelong learning/Adult education, Vocational Education and Training (VET), Higher Education</t>
        </is>
      </c>
      <c r="U361" s="1" t="inlineStr">
        <is>
          <t>System/Administrative, Student interfacing, Teacher interfacing</t>
        </is>
      </c>
      <c r="V361" s="10" t="inlineStr">
        <is>
          <t>Aryzon.World</t>
        </is>
      </c>
      <c r="W361" s="1" t="inlineStr">
        <is>
          <t>The VR &amp; AR creation platform where you can prototype your own training materials, without programmers.</t>
        </is>
      </c>
      <c r="X361" s="10" t="inlineStr">
        <is>
          <t>https://drive.google.com/uc?export=view&amp;id=17gGzTxu8z7JDFZhDx6pTXyBkfZB6xsKj</t>
        </is>
      </c>
      <c r="Y361" t="inlineStr">
        <is>
          <t>https://drive.google.com/uc?export=view&amp;id=17gGzTxu8z7JDFZhDx6pTXyBkfZB6xsKj</t>
        </is>
      </c>
      <c r="Z361" s="1" t="inlineStr">
        <is>
          <t>https://drive.google.com/uc?export=view&amp;id=17gGzTxu8z7JDFZhDx6pTXyBkfZB6xsKj</t>
        </is>
      </c>
      <c r="AA361" s="1" t="inlineStr">
        <is>
          <t>Unverified</t>
        </is>
      </c>
      <c r="AB361" s="1" t="n"/>
      <c r="AC361" s="1" t="n"/>
      <c r="AD361" s="10" t="n"/>
      <c r="AE361" s="1" t="n"/>
      <c r="AF361" t="inlineStr">
        <is>
          <t>Yes</t>
        </is>
      </c>
      <c r="AG361" t="inlineStr">
        <is>
          <t>https://www.instagram.com/aryzon.world/</t>
        </is>
      </c>
      <c r="AH361" t="inlineStr">
        <is>
          <t>https://www.linkedin.com/company/aryzon-world/</t>
        </is>
      </c>
      <c r="AI361" t="inlineStr">
        <is>
          <t>https://www.linkedin.com/company/aryzon-world/</t>
        </is>
      </c>
    </row>
    <row r="362" ht="12.5" customHeight="1">
      <c r="A362" s="6" t="n">
        <v>45522</v>
      </c>
      <c r="B362" s="1" t="inlineStr">
        <is>
          <t>ORG_2228</t>
        </is>
      </c>
      <c r="C362" s="1" t="b">
        <v>1</v>
      </c>
      <c r="D362" s="1" t="inlineStr">
        <is>
          <t>Senior Lingua</t>
        </is>
      </c>
      <c r="E362" s="10" t="inlineStr">
        <is>
          <t>https://seniorlingua.com/en</t>
        </is>
      </c>
      <c r="F362" t="inlineStr">
        <is>
          <t>seniorlingua.com/en</t>
        </is>
      </c>
      <c r="G362" s="1" t="inlineStr">
        <is>
          <t>Senior Lingua is a platform that joins seniors with language students through random videocalls asisted by a conversational guide about a weekly topic, allowing chats with previously contacted users.</t>
        </is>
      </c>
      <c r="H362" s="1" t="inlineStr">
        <is>
          <t>I'm not part of any EdTech association</t>
        </is>
      </c>
      <c r="I362" s="1" t="inlineStr">
        <is>
          <t>Spanish, English</t>
        </is>
      </c>
      <c r="J362" s="1" t="inlineStr">
        <is>
          <t>A Coruña</t>
        </is>
      </c>
      <c r="K362" t="inlineStr">
        <is>
          <t>A Coruña</t>
        </is>
      </c>
      <c r="L362" t="inlineStr">
        <is>
          <t>A Coruña, Spain</t>
        </is>
      </c>
      <c r="M362" t="n">
        <v>43.3466447</v>
      </c>
      <c r="N362" t="n">
        <v>-8.412702899999999</v>
      </c>
      <c r="O362" s="1" t="inlineStr">
        <is>
          <t>Spain</t>
        </is>
      </c>
      <c r="P362" s="1" t="inlineStr">
        <is>
          <t>Spain</t>
        </is>
      </c>
      <c r="Q362" s="1" t="inlineStr">
        <is>
          <t>0 to 2</t>
        </is>
      </c>
      <c r="R362" t="inlineStr">
        <is>
          <t>Solo entrepreneur</t>
        </is>
      </c>
      <c r="S362" s="1" t="inlineStr">
        <is>
          <t>Business to Consumer</t>
        </is>
      </c>
      <c r="T362" s="1" t="inlineStr">
        <is>
          <t>Lifelong learning/Adult education</t>
        </is>
      </c>
      <c r="U362" s="1" t="inlineStr">
        <is>
          <t>Student interfacing</t>
        </is>
      </c>
      <c r="V362" s="10" t="inlineStr">
        <is>
          <t>Senior Lingua</t>
        </is>
      </c>
      <c r="W362" s="1" t="inlineStr">
        <is>
          <t>Senior Lingua is a platform that joins seniors with language students through random videocalls asisted by a conversational guide about a weekly topic, that allows chats between previously contacted useres.</t>
        </is>
      </c>
      <c r="X362" s="10" t="inlineStr">
        <is>
          <t>https://drive.google.com/uc?export=view&amp;id=1-i87-HBKuqKykDNFFC45hu1J7-D6F2ka</t>
        </is>
      </c>
      <c r="Y362" t="inlineStr">
        <is>
          <t>https://drive.google.com/uc?export=view&amp;id=1-i87-HBKuqKykDNFFC45hu1J7-D6F2ka</t>
        </is>
      </c>
      <c r="Z362" s="1" t="inlineStr">
        <is>
          <t>https://drive.google.com/uc?export=view&amp;id=1-i87-HBKuqKykDNFFC45hu1J7-D6F2ka</t>
        </is>
      </c>
      <c r="AA362" s="1" t="inlineStr">
        <is>
          <t>Unverified</t>
        </is>
      </c>
      <c r="AB362" s="1" t="n"/>
      <c r="AC362" s="1" t="n"/>
      <c r="AD362" s="10" t="n"/>
      <c r="AE362" s="1" t="n"/>
      <c r="AF362" t="inlineStr">
        <is>
          <t>Yes</t>
        </is>
      </c>
      <c r="AG362" t="inlineStr">
        <is>
          <t>https://www.instagram.com/seniorlingua/</t>
        </is>
      </c>
      <c r="AH362" t="inlineStr">
        <is>
          <t>@Senior_Lingua</t>
        </is>
      </c>
      <c r="AI362" t="inlineStr">
        <is>
          <t>https://www.linkedin.com/company/senior-lingua/</t>
        </is>
      </c>
    </row>
    <row r="363" ht="12.5" customHeight="1">
      <c r="A363" s="6" t="n">
        <v>45518</v>
      </c>
      <c r="B363" s="1" t="inlineStr">
        <is>
          <t>ORG_1269</t>
        </is>
      </c>
      <c r="C363" s="1" t="b">
        <v>1</v>
      </c>
      <c r="D363" s="10" t="inlineStr">
        <is>
          <t>CodeEasy.io</t>
        </is>
      </c>
      <c r="E363" s="10" t="inlineStr">
        <is>
          <t>https://codeeasy.io</t>
        </is>
      </c>
      <c r="F363" t="inlineStr">
        <is>
          <t>codeeasy.io</t>
        </is>
      </c>
      <c r="G363" s="1" t="inlineStr">
        <is>
          <t>AI-powered story-based educational platform designed for teaching programming at schools and colleges with rich practice base, providing detailed insights on students’ success journey.</t>
        </is>
      </c>
      <c r="H363" s="1" t="inlineStr">
        <is>
          <t>Swedish EdTech Industry</t>
        </is>
      </c>
      <c r="I363" s="1" t="inlineStr">
        <is>
          <t>English, Swedish</t>
        </is>
      </c>
      <c r="J363" s="1" t="inlineStr">
        <is>
          <t>Stockholm</t>
        </is>
      </c>
      <c r="K363" t="inlineStr">
        <is>
          <t>Stockholm</t>
        </is>
      </c>
      <c r="L363" t="inlineStr">
        <is>
          <t>Stockholm, Sweden</t>
        </is>
      </c>
      <c r="M363" t="n">
        <v>59.3251172</v>
      </c>
      <c r="N363" t="n">
        <v>18.0710935</v>
      </c>
      <c r="O363" s="1" t="inlineStr">
        <is>
          <t>Sweden</t>
        </is>
      </c>
      <c r="P363" s="1" t="inlineStr">
        <is>
          <t>Albania, Andorra, Armenia, Austria, Azerbaijan, Belgium, Bosnia and Herzegovina, Bulgaria, Croatia, Cyprus, Czechia, Denmark, Estonia, Finland, France, Georgia, Germany, Greece, Hungary, Iceland, Ireland, Italy, Kosovo, Latvia, Liechtenstein, Lithuania, Luxembourg, Malta, Moldova, Monaco, Montenegro, Netherlands, North Macedonia, Norway, Poland, Portugal, Romania, San Marino, Serbia, Slovakia, Slovenia, Spain, Sweden, Switzerland, Turkey, Ukraine, United Kingdom</t>
        </is>
      </c>
      <c r="Q363" s="1" t="inlineStr">
        <is>
          <t>3 to 5</t>
        </is>
      </c>
      <c r="R363" t="inlineStr">
        <is>
          <t>Micro</t>
        </is>
      </c>
      <c r="S363" s="1" t="inlineStr">
        <is>
          <t>Business to Business</t>
        </is>
      </c>
      <c r="T363" s="1" t="inlineStr">
        <is>
          <t>Secondary Education, Corporate Training, Lifelong learning/Adult education, Vocational Education and Training (VET), Higher Education</t>
        </is>
      </c>
      <c r="U363" s="1" t="inlineStr">
        <is>
          <t>System/Administrative, Student interfacing, Teacher interfacing</t>
        </is>
      </c>
      <c r="V363" s="10" t="inlineStr">
        <is>
          <t>CodeEasy story-based Python programming course for beginners</t>
        </is>
      </c>
      <c r="W363" s="1" t="inlineStr">
        <is>
          <t>CodeEasy is an AI-powered facilitation programming platform for schools and colleges focusing on Python coding lesson personalization and engagement through the story-based narrative.
The key highlights of the course:
- story-based futuristic course narrative
- teacher's and student's account
- functionality to track student's progress and automatically verify and grade the student's solution
- integrated web IDE on the course
- AI-powered smart hints to personalize assistance while solving tasks
- affordable prices for schools and colleges</t>
        </is>
      </c>
      <c r="X363" s="10" t="inlineStr">
        <is>
          <t>CodeEasy story-based C# programming course for beginners</t>
        </is>
      </c>
      <c r="Y363" t="inlineStr">
        <is>
          <t>CodeEasy is an AI-powered facilitation programming platform for schools and colleges focusing on C# coding lesson personalization and engagement through the story-based narrative.
The key highlights of the course:
- story-based futuristic course narrative
- teacher's and student's account
- functionality to track student's progress and automatically verify and grade the student's solution
- integrated web IDE on the course
- Visual Studio IDE extension (for C# course only)
- AI-powered smart hints to personalize assistance while solving tasks
- affordable prices for schools and colleges</t>
        </is>
      </c>
      <c r="Z363" s="1" t="inlineStr">
        <is>
          <t>https://drive.google.com/uc?export=view&amp;id=1737Gy13sr1wxQ-piMFje3qVHTzuLYuma</t>
        </is>
      </c>
      <c r="AA363" s="1" t="inlineStr">
        <is>
          <t>Unverified</t>
        </is>
      </c>
      <c r="AB363" s="1" t="n"/>
      <c r="AC363" s="1" t="n"/>
      <c r="AD363" s="10" t="n"/>
      <c r="AE363" s="1" t="n"/>
      <c r="AF363" s="1" t="inlineStr">
        <is>
          <t>Yes</t>
        </is>
      </c>
      <c r="AG363" s="1" t="inlineStr">
        <is>
          <t>https://www.instagram.com/codeeasy.io</t>
        </is>
      </c>
      <c r="AH363" s="1" t="inlineStr">
        <is>
          <t>https://www.linkedin.com/company/codeasy</t>
        </is>
      </c>
      <c r="AI363" s="1" t="inlineStr">
        <is>
          <t>https://www.linkedin.com/company/codeasy</t>
        </is>
      </c>
      <c r="AJ363" s="1" t="n"/>
    </row>
    <row r="364" ht="12.5" customHeight="1">
      <c r="A364" s="6" t="n">
        <v>45517</v>
      </c>
      <c r="B364" s="1" t="inlineStr">
        <is>
          <t>ORG_1596</t>
        </is>
      </c>
      <c r="C364" s="1" t="b">
        <v>1</v>
      </c>
      <c r="D364" s="1" t="inlineStr">
        <is>
          <t>Furhat Robotics</t>
        </is>
      </c>
      <c r="E364" s="10" t="inlineStr">
        <is>
          <t>www.furhatrobotics.com</t>
        </is>
      </c>
      <c r="F364" t="inlineStr">
        <is>
          <t>furhatrobotics.com</t>
        </is>
      </c>
      <c r="G364" s="1" t="inlineStr">
        <is>
          <t>Furhat Robotics are pioneering the Social Robotics and Conversational AI Industry by giving a human face to robots.</t>
        </is>
      </c>
      <c r="H364" s="1" t="n"/>
      <c r="I364" s="1" t="n"/>
      <c r="J364" s="1" t="inlineStr">
        <is>
          <t>Stockholm</t>
        </is>
      </c>
      <c r="K364" t="inlineStr">
        <is>
          <t>Stockholm</t>
        </is>
      </c>
      <c r="L364" t="inlineStr">
        <is>
          <t>Stockholm, Sweden</t>
        </is>
      </c>
      <c r="M364" t="n">
        <v>59.3251172</v>
      </c>
      <c r="N364" t="n">
        <v>18.0710935</v>
      </c>
      <c r="O364" s="1" t="inlineStr">
        <is>
          <t>Sweden</t>
        </is>
      </c>
      <c r="P364" s="1" t="inlineStr">
        <is>
          <t>Austria, Azerbaijan, Belgium, Czechia, Denmark, Estonia, Finland, France, Germany, Greece, Hungary, Ireland, Italy, Kazakhstan, Netherlands, Norway, Poland, Portugal, Slovakia, Slovenia, Spain, Sweden, Switzerland, United Kingdom</t>
        </is>
      </c>
      <c r="Q364" s="1" t="inlineStr">
        <is>
          <t>11 to 50</t>
        </is>
      </c>
      <c r="R364" t="inlineStr">
        <is>
          <t>Small</t>
        </is>
      </c>
      <c r="S364" s="1" t="inlineStr">
        <is>
          <t>Business to Business, Business to Government, Business to Schools</t>
        </is>
      </c>
      <c r="T364" s="1" t="inlineStr">
        <is>
          <t>Primary Education, Secondary Education, Higher Education, Corporate Training</t>
        </is>
      </c>
      <c r="U364" s="1" t="inlineStr">
        <is>
          <t>Student interfacing, Teacher interfacing, System/Administrative</t>
        </is>
      </c>
      <c r="V364" s="10" t="inlineStr">
        <is>
          <t>Furhat</t>
        </is>
      </c>
      <c r="W364" s="10" t="inlineStr">
        <is>
          <t>The Furhat robot is a powerful education and learning tool. With its advanced social and interactive skills, it can help students of all ages learn programming in a hands-on way. Already in use by schools around the world, Furhat is helpful beyond just programming courses. Furhat can also provide mentoring and support to students in any subject and language, ensuring classrooms become more inclusive.</t>
        </is>
      </c>
      <c r="X364" s="10" t="inlineStr">
        <is>
          <t>Misty</t>
        </is>
      </c>
      <c r="Y364" t="inlineStr">
        <is>
          <t>The Misty robot's friendly appearance and advanced social skills make her the perfect learning companion. Equipped with the visual programming language Blockly, Misty provides a great introduction to programming for younger students. Beyond programming courses, Misty has also proven to be a valuable asset in special education, helping students with ASD develop social and emotional skills.</t>
        </is>
      </c>
      <c r="Z364" s="1" t="inlineStr">
        <is>
          <t>https://drive.google.com/uc?export=view&amp;id=1J2gXlRTPiN96thhQdpX_p62OHT_DZICI</t>
        </is>
      </c>
      <c r="AA364" s="1" t="inlineStr">
        <is>
          <t>Unverified</t>
        </is>
      </c>
      <c r="AB364" s="1" t="n"/>
      <c r="AC364" s="1" t="n"/>
      <c r="AD364" s="10" t="n"/>
      <c r="AE364" s="1" t="n"/>
      <c r="AF364" t="inlineStr">
        <is>
          <t>Yes</t>
        </is>
      </c>
      <c r="AG364" t="inlineStr">
        <is>
          <t>https://www.instagram.com/furhatrobotics/</t>
        </is>
      </c>
      <c r="AH364" t="inlineStr">
        <is>
          <t>https://twitter.com/furhatrobotics</t>
        </is>
      </c>
      <c r="AI364" t="inlineStr">
        <is>
          <t>https://www.linkedin.com/company/furhat-robotics/</t>
        </is>
      </c>
    </row>
    <row r="365" ht="12.5" customHeight="1">
      <c r="A365" s="6" t="n">
        <v>45517</v>
      </c>
      <c r="B365" s="1" t="inlineStr">
        <is>
          <t>ORG_1976</t>
        </is>
      </c>
      <c r="C365" s="1" t="b">
        <v>1</v>
      </c>
      <c r="D365" s="1" t="inlineStr">
        <is>
          <t>Mobile Stories</t>
        </is>
      </c>
      <c r="E365" s="10" t="inlineStr">
        <is>
          <t>publiceringsverkyg.mobilestories.se</t>
        </is>
      </c>
      <c r="F365" t="inlineStr">
        <is>
          <t>publiceringsverkyg.mobilestories.se</t>
        </is>
      </c>
      <c r="G365" s="1" t="inlineStr">
        <is>
          <t>Mobile Stories offers a production and publishing tool that educates young people in media and information literacy, and improves their skills as producers in the digital media landscape.</t>
        </is>
      </c>
      <c r="H365" s="1" t="n"/>
      <c r="I365" s="1" t="inlineStr">
        <is>
          <t>Swedish, English</t>
        </is>
      </c>
      <c r="J365" s="1" t="inlineStr">
        <is>
          <t>Pollargatan 16</t>
        </is>
      </c>
      <c r="L365" t="inlineStr">
        <is>
          <t>Pollargatan 16, Sweden</t>
        </is>
      </c>
      <c r="O365" s="1" t="inlineStr">
        <is>
          <t>Sweden</t>
        </is>
      </c>
      <c r="P365" s="1" t="inlineStr">
        <is>
          <t>Finland, Ireland, Romania, Sweden</t>
        </is>
      </c>
      <c r="Q365" s="1" t="inlineStr">
        <is>
          <t>0 to 2</t>
        </is>
      </c>
      <c r="R365" t="inlineStr">
        <is>
          <t>Solo entrepreneur</t>
        </is>
      </c>
      <c r="S365" s="1" t="inlineStr">
        <is>
          <t>Business to Business, Business to Schools</t>
        </is>
      </c>
      <c r="T365" s="1" t="inlineStr">
        <is>
          <t>Primary Education, Secondary Education, Vocational Education and Training (VET)</t>
        </is>
      </c>
      <c r="U365" s="1" t="inlineStr">
        <is>
          <t>Student interfacing, Teacher interfacing</t>
        </is>
      </c>
      <c r="V365" s="1" t="inlineStr">
        <is>
          <t>Educational production and publishing tool</t>
        </is>
      </c>
      <c r="W365" s="1" t="inlineStr">
        <is>
          <t>Developed by journalists with a passion for education, Mobile Stories offers an innovative and proven solution to the MIL challenge. It empowers young people to become responsible and informed citizen journalists, while arming them with both a critical understanding of digital media and the power to influence peers and a wider audience. Harnessing young people’s creativity and desire to be heard, it supports the development of transferable journalistic skills while instilling a deep understanding of and commitment to journalistic ethics, truth-seeking and fact-checking. Through relationships with media outlets and other third-party platforms, it amplifies the voices of youth beyond the Mobile Stories space to a wider, potentially global audience. Suitable for both formal and non-formal settings, it offers educators a multi-disciplinary teaching tool that nurtures communication skills, critical thinking, media literacy and global citizenship. It brings the outside world into the classroom while taking the classroom to the outside world.</t>
        </is>
      </c>
      <c r="X365" s="10" t="inlineStr">
        <is>
          <t>Worshops/lectures</t>
        </is>
      </c>
      <c r="Y365" t="inlineStr">
        <is>
          <t>The founders of Mobile Stories, Lotta Bergseth and Jenny Sköld, are often hired for lectures or workshops, as experts on journalism, the digital media landscape and media and information literacy. Together with the teacher educator and Lead Teacher Charlotta Granath, they have written the book Digital kompetens och källkritik i praktiken (Digital Competence and source assessment in practice), for the publishing house Sanoma Utbildning. Mobile Stories also offers web courses for teachers and librarians on media and information literacy.</t>
        </is>
      </c>
      <c r="Z365" s="1" t="inlineStr">
        <is>
          <t>https://drive.google.com/uc?export=view&amp;id=1UwEw4Amf-Lz2GxT4TLkEQQnwi2jvZH_U</t>
        </is>
      </c>
      <c r="AA365" s="1" t="inlineStr">
        <is>
          <t>Unverified</t>
        </is>
      </c>
      <c r="AB365" s="1" t="n"/>
      <c r="AC365" s="1" t="n"/>
      <c r="AD365" s="10" t="n"/>
      <c r="AE365" s="1" t="n"/>
      <c r="AF365" t="inlineStr">
        <is>
          <t>Yes</t>
        </is>
      </c>
      <c r="AG365" t="inlineStr">
        <is>
          <t>mobilestories</t>
        </is>
      </c>
      <c r="AH365" t="inlineStr">
        <is>
          <t>https://www.linkedin.com/company/mobile-stories/https:/www.linkedin.com/company/mobile-stories/</t>
        </is>
      </c>
      <c r="AI365" t="inlineStr">
        <is>
          <t>https://www.linkedin.com/company/mobile-stories/https://www.linkedin.com/company/mobile-stories/</t>
        </is>
      </c>
    </row>
    <row r="366" ht="12.5" customHeight="1">
      <c r="A366" s="6" t="n">
        <v>45517</v>
      </c>
      <c r="B366" s="1" t="inlineStr">
        <is>
          <t>ORG_2051</t>
        </is>
      </c>
      <c r="C366" s="1" t="b">
        <v>1</v>
      </c>
      <c r="D366" s="1" t="inlineStr">
        <is>
          <t>NUITEQ</t>
        </is>
      </c>
      <c r="E366" s="10" t="inlineStr">
        <is>
          <t>https://www.nuiteq.com/</t>
        </is>
      </c>
      <c r="F366" t="inlineStr">
        <is>
          <t>nuiteq.com</t>
        </is>
      </c>
      <c r="G366" s="1" t="inlineStr">
        <is>
          <t>NUITEQ is a global software company from Sweden that enables teams, educational institutions, and businesses to add value through smarter human interaction. The software is used at schools and corporates on large interactive displays, laptops, tablets and phones.</t>
        </is>
      </c>
      <c r="H366" s="1" t="n"/>
      <c r="I366" s="1" t="n"/>
      <c r="J366" s="1" t="inlineStr">
        <is>
          <t>Skellefteå</t>
        </is>
      </c>
      <c r="K366" t="inlineStr">
        <is>
          <t>Skellefteå</t>
        </is>
      </c>
      <c r="L366" t="inlineStr">
        <is>
          <t>Skellefteå, Sweden</t>
        </is>
      </c>
      <c r="M366" t="n">
        <v>64.75201850000001</v>
      </c>
      <c r="N366" t="n">
        <v>20.959339</v>
      </c>
      <c r="O366" s="1" t="inlineStr">
        <is>
          <t>Sweden</t>
        </is>
      </c>
      <c r="P366" s="1" t="inlineStr">
        <is>
          <t>Germany, Netherlands, Russia, Spain, Sweden, Turkey, United Kingdom</t>
        </is>
      </c>
      <c r="Q366" s="1" t="inlineStr">
        <is>
          <t>11 to 50</t>
        </is>
      </c>
      <c r="R366" t="inlineStr">
        <is>
          <t>Small</t>
        </is>
      </c>
      <c r="S366" s="1" t="inlineStr">
        <is>
          <t>Business to Business, Business to Government, Business to Schools</t>
        </is>
      </c>
      <c r="T366" s="1" t="inlineStr">
        <is>
          <t>Primary Education, Secondary Education</t>
        </is>
      </c>
      <c r="U366" s="1" t="inlineStr">
        <is>
          <t>Student interfacing, Teacher interfacing</t>
        </is>
      </c>
      <c r="V366" s="1" t="inlineStr">
        <is>
          <t>NUITEQ Snowflake</t>
        </is>
      </c>
      <c r="W366" s="1" t="inlineStr">
        <is>
          <t>NUITEQ Snowflake is a Teaching &amp; Learning Platform that gives K12 teachers access to complete curriculum-aligned lessons for active and differentiated learning. Every lesson engages students in the classroom and remotely by having them create and interact with content and games in the lesson.</t>
        </is>
      </c>
      <c r="X366" s="10" t="inlineStr">
        <is>
          <t>https://drive.google.com/uc?export=view&amp;id=1L645_RcN44Qfw_NjO1NP77PGezF0L5S0</t>
        </is>
      </c>
      <c r="Y366" t="inlineStr">
        <is>
          <t>https://drive.google.com/uc?export=view&amp;id=1L645_RcN44Qfw_NjO1NP77PGezF0L5S0</t>
        </is>
      </c>
      <c r="Z366" s="1" t="inlineStr">
        <is>
          <t>https://drive.google.com/uc?export=view&amp;id=1L645_RcN44Qfw_NjO1NP77PGezF0L5S0</t>
        </is>
      </c>
      <c r="AA366" s="1" t="inlineStr">
        <is>
          <t>Unverified</t>
        </is>
      </c>
      <c r="AB366" s="1" t="n"/>
      <c r="AC366" s="1" t="n"/>
      <c r="AD366" s="10" t="n"/>
      <c r="AE366" s="1" t="n"/>
      <c r="AF366" t="inlineStr">
        <is>
          <t>Yes</t>
        </is>
      </c>
      <c r="AG366" t="inlineStr">
        <is>
          <t>https://www.linkedin.com/company/nuiteq/</t>
        </is>
      </c>
      <c r="AH366" t="inlineStr">
        <is>
          <t>https://www.linkedin.com/company/nuiteq/</t>
        </is>
      </c>
      <c r="AI366" t="inlineStr">
        <is>
          <t>https://www.linkedin.com/company/nuiteq/</t>
        </is>
      </c>
    </row>
    <row r="367" ht="12.5" customHeight="1">
      <c r="A367" s="6" t="n">
        <v>45517</v>
      </c>
      <c r="B367" s="1" t="inlineStr">
        <is>
          <t>ORG_2512</t>
        </is>
      </c>
      <c r="C367" s="1" t="b">
        <v>1</v>
      </c>
      <c r="D367" s="1" t="inlineStr">
        <is>
          <t>Wacano</t>
        </is>
      </c>
      <c r="E367" s="10" t="inlineStr">
        <is>
          <t>https://www.wacano.se/</t>
        </is>
      </c>
      <c r="F367" t="inlineStr">
        <is>
          <t>wacano.se</t>
        </is>
      </c>
      <c r="G367" s="1" t="inlineStr">
        <is>
          <t>Wacano has long experience in creating podcasts for use as an educational tool for the needs of different businesses. Using educational podcasts provides flexibility and effective dissemination of knowledge. Listening and learning via educational podcasts adds an additional dimension to learning. Suitable for many uses such as informing, competence development and as an in-depth study in school.</t>
        </is>
      </c>
      <c r="H367" s="1" t="n"/>
      <c r="I367" s="1" t="n"/>
      <c r="J367" s="1" t="inlineStr">
        <is>
          <t>Lidingö</t>
        </is>
      </c>
      <c r="K367" t="inlineStr">
        <is>
          <t>Lidingö</t>
        </is>
      </c>
      <c r="L367" t="inlineStr">
        <is>
          <t>Lidingö, Sweden</t>
        </is>
      </c>
      <c r="M367" t="n">
        <v>59.3643382</v>
      </c>
      <c r="N367" t="n">
        <v>18.1317263</v>
      </c>
      <c r="O367" s="1" t="inlineStr">
        <is>
          <t>Sweden</t>
        </is>
      </c>
      <c r="P367" s="1" t="inlineStr">
        <is>
          <t>Sweden</t>
        </is>
      </c>
      <c r="Q367" s="1" t="inlineStr">
        <is>
          <t>0 to 10</t>
        </is>
      </c>
      <c r="R367" t="inlineStr">
        <is>
          <t>Micro</t>
        </is>
      </c>
      <c r="S367" s="1" t="inlineStr">
        <is>
          <t>Business to Schools</t>
        </is>
      </c>
      <c r="T367" s="1" t="inlineStr">
        <is>
          <t>Higher Education, Corporate Training, Lifelong learning/Adult education</t>
        </is>
      </c>
      <c r="U367" s="1" t="inlineStr">
        <is>
          <t>Student interfacing, Teacher interfacing, System/Administrative</t>
        </is>
      </c>
      <c r="V367" s="1" t="inlineStr">
        <is>
          <t>Podcast for flexible learning</t>
        </is>
      </c>
      <c r="W367" s="10" t="inlineStr">
        <is>
          <t>The format we use is short podcasts in the form of an educational conversation. The podcasts have a clear structure with purpose and goals followed by test questions. The podcasts can be distributed and effectively reach the target group via text message, e-mail or via your own platform. The method is flexible, stimulating and requires minimal administration.</t>
        </is>
      </c>
      <c r="X367" s="1" t="n"/>
      <c r="Z367" s="1" t="n"/>
      <c r="AA367" s="1" t="inlineStr">
        <is>
          <t>Unverified</t>
        </is>
      </c>
      <c r="AB367" s="1" t="n"/>
      <c r="AC367" s="1" t="n"/>
      <c r="AD367" s="1" t="n"/>
      <c r="AE367" s="1" t="n"/>
      <c r="AF367" t="inlineStr">
        <is>
          <t>Yes</t>
        </is>
      </c>
      <c r="AG367" t="inlineStr">
        <is>
          <t>https://twitter.com/WacanoSE</t>
        </is>
      </c>
      <c r="AH367" t="inlineStr">
        <is>
          <t>https://twitter.com/WacanoSE</t>
        </is>
      </c>
    </row>
    <row r="368" ht="12.5" customHeight="1">
      <c r="A368" s="6" t="n">
        <v>45517</v>
      </c>
      <c r="B368" s="1" t="inlineStr">
        <is>
          <t>ORG_1186</t>
        </is>
      </c>
      <c r="C368" s="1" t="b">
        <v>1</v>
      </c>
      <c r="D368" s="1" t="inlineStr">
        <is>
          <t>Booksquare</t>
        </is>
      </c>
      <c r="E368" s="10" t="inlineStr">
        <is>
          <t>https://booksquare.se/</t>
        </is>
      </c>
      <c r="F368" t="inlineStr">
        <is>
          <t>booksquare.se</t>
        </is>
      </c>
      <c r="G368" s="1" t="inlineStr">
        <is>
          <t>Booksquare is an online subscription service for textbooks. Users get unlimited access to e-textbooks for a fixed, monthly cost.</t>
        </is>
      </c>
      <c r="H368" s="1" t="n"/>
      <c r="I368" s="1" t="n"/>
      <c r="J368" s="1" t="inlineStr">
        <is>
          <t>Borlänge</t>
        </is>
      </c>
      <c r="K368" t="inlineStr">
        <is>
          <t>Borlänge</t>
        </is>
      </c>
      <c r="L368" t="inlineStr">
        <is>
          <t>Borlänge, Sweden</t>
        </is>
      </c>
      <c r="M368" t="n">
        <v>60.4856426</v>
      </c>
      <c r="N368" t="n">
        <v>15.4234561</v>
      </c>
      <c r="O368" s="1" t="inlineStr">
        <is>
          <t>Sweden</t>
        </is>
      </c>
      <c r="P368" s="1" t="inlineStr">
        <is>
          <t>Sweden</t>
        </is>
      </c>
      <c r="Q368" s="1" t="inlineStr">
        <is>
          <t>0 to 10</t>
        </is>
      </c>
      <c r="R368" t="inlineStr">
        <is>
          <t>Micro</t>
        </is>
      </c>
      <c r="S368" s="1" t="inlineStr">
        <is>
          <t>Business to Business</t>
        </is>
      </c>
      <c r="T368" s="1" t="inlineStr">
        <is>
          <t>Higher Education, Lifelong learning/Adult education</t>
        </is>
      </c>
      <c r="U368" s="1" t="inlineStr">
        <is>
          <t>Student interfacing</t>
        </is>
      </c>
      <c r="V368" s="10" t="inlineStr">
        <is>
          <t>Booksquare</t>
        </is>
      </c>
      <c r="W368" s="10" t="inlineStr">
        <is>
          <t>Booksquare is an online subscription service for textbooks aimed towards college students. Users get unlimited access to e-textbooks for a fixed, monthly cost.</t>
        </is>
      </c>
      <c r="X368" s="10" t="inlineStr">
        <is>
          <t>https://drive.google.com/uc?export=view&amp;id=1zZsO_Rs9yi_YIDyxQS1AwOQzAaFw3Hw8</t>
        </is>
      </c>
      <c r="Y368" t="inlineStr">
        <is>
          <t>https://drive.google.com/uc?export=view&amp;id=1zZsO_Rs9yi_YIDyxQS1AwOQzAaFw3Hw8</t>
        </is>
      </c>
      <c r="Z368" s="1" t="inlineStr">
        <is>
          <t>https://drive.google.com/uc?export=view&amp;id=1zZsO_Rs9yi_YIDyxQS1AwOQzAaFw3Hw8</t>
        </is>
      </c>
      <c r="AA368" s="1" t="inlineStr">
        <is>
          <t>Unverified</t>
        </is>
      </c>
      <c r="AB368" s="1" t="n"/>
      <c r="AC368" s="1" t="n"/>
      <c r="AD368" s="10" t="n"/>
      <c r="AE368" s="1" t="n"/>
      <c r="AF368" s="1" t="inlineStr">
        <is>
          <t>Yes</t>
        </is>
      </c>
      <c r="AG368" s="1" t="inlineStr">
        <is>
          <t>https://www.instagram.com/booksquare.se/</t>
        </is>
      </c>
      <c r="AH368" s="1" t="inlineStr">
        <is>
          <t>https://twitter.com/booksquare_se</t>
        </is>
      </c>
      <c r="AI368" t="inlineStr">
        <is>
          <t>https://www.linkedin.com/company/booksquaresweden</t>
        </is>
      </c>
    </row>
    <row r="369" ht="12.5" customHeight="1">
      <c r="A369" s="6" t="n">
        <v>45517</v>
      </c>
      <c r="B369" s="1" t="inlineStr">
        <is>
          <t>ORG_1137</t>
        </is>
      </c>
      <c r="C369" s="1" t="b">
        <v>1</v>
      </c>
      <c r="D369" s="1" t="inlineStr">
        <is>
          <t>Baobabooks</t>
        </is>
      </c>
      <c r="E369" s="10" t="inlineStr">
        <is>
          <t>www.baobabooks.com</t>
        </is>
      </c>
      <c r="F369" t="inlineStr">
        <is>
          <t>baobabooks.com</t>
        </is>
      </c>
      <c r="G369" s="1" t="inlineStr">
        <is>
          <t>Baobabooks is a social impact company dedicated to supporting and fostering creativity. We do this by providing an interactive platform to encourage positive use of technology. We partner with educators and parents to engage young people in the creative process and transform writing, illustrating and publishing books into a fun and collaborative experience.</t>
        </is>
      </c>
      <c r="H369" s="1" t="inlineStr">
        <is>
          <t>EdTech Finland</t>
        </is>
      </c>
      <c r="I369" s="1" t="n"/>
      <c r="J369" s="1" t="inlineStr">
        <is>
          <t>Lausanne</t>
        </is>
      </c>
      <c r="K369" t="inlineStr">
        <is>
          <t>Lausanne</t>
        </is>
      </c>
      <c r="L369" t="inlineStr">
        <is>
          <t>Lausanne, Switzerland</t>
        </is>
      </c>
      <c r="M369" t="n">
        <v>46.5218269</v>
      </c>
      <c r="N369" t="n">
        <v>6.6327025</v>
      </c>
      <c r="O369" s="1" t="inlineStr">
        <is>
          <t>Switzerland</t>
        </is>
      </c>
      <c r="P369" s="1" t="inlineStr">
        <is>
          <t>Austria, Belgium, Cyprus, Denmark, Estonia, Finland, France, Germany, Greece, Iceland, Ireland, Italy, Netherlands, Norway, Slovakia, Spain, Sweden, Switzerland, United Kingdom</t>
        </is>
      </c>
      <c r="Q369" s="1" t="inlineStr">
        <is>
          <t>11 to 50</t>
        </is>
      </c>
      <c r="R369" t="inlineStr">
        <is>
          <t>Small</t>
        </is>
      </c>
      <c r="S369" s="1" t="inlineStr">
        <is>
          <t>Business to Business, Business to Consumer, Business to Government</t>
        </is>
      </c>
      <c r="T369" s="1" t="inlineStr">
        <is>
          <t>Early childhood development (0-5 years), Primary Education, Secondary Education</t>
        </is>
      </c>
      <c r="U369" s="1" t="inlineStr">
        <is>
          <t>System/Administrative, Student interfacing, Teacher interfacing</t>
        </is>
      </c>
      <c r="V369" s="10" t="inlineStr">
        <is>
          <t>Baobabooks.com</t>
        </is>
      </c>
      <c r="W369" s="10" t="inlineStr">
        <is>
          <t>A Creative and Intuitive Writing and Reading Portal for Students:
Creativity board for brainstorming ideas. Support to engage students from the early phases of writing with flexible mind-mapping tools and additional fiction story graphic.
Differentiated and inclusive learning opportunities:
Differentiated and independent learning as well as vocabulary and grammar support-tools. Integrated word banks and spell check features. Opportunities to provide interactive peer feedback.
Students as illustrators: 
Integrated gallery with 2.4 million indexed images and the opportunity for students to upload their own personal artwork.</t>
        </is>
      </c>
      <c r="X369" s="10" t="inlineStr">
        <is>
          <t>https://drive.google.com/uc?export=view&amp;id=1wUE_3FzSjcwmqUmfAXHJaH6PeErA0M_M</t>
        </is>
      </c>
      <c r="Y369" t="inlineStr">
        <is>
          <t>https://drive.google.com/uc?export=view&amp;id=1wUE_3FzSjcwmqUmfAXHJaH6PeErA0M_M</t>
        </is>
      </c>
      <c r="Z369" s="10" t="inlineStr">
        <is>
          <t>https://drive.google.com/uc?export=view&amp;id=1wUE_3FzSjcwmqUmfAXHJaH6PeErA0M_M</t>
        </is>
      </c>
      <c r="AA369" s="1" t="inlineStr">
        <is>
          <t>Unverified</t>
        </is>
      </c>
      <c r="AB369" s="1" t="n"/>
      <c r="AC369" s="1" t="n"/>
      <c r="AD369" s="10" t="n"/>
      <c r="AE369" s="1" t="n"/>
      <c r="AF369" s="1" t="inlineStr">
        <is>
          <t>Yes</t>
        </is>
      </c>
      <c r="AG369" s="1" t="inlineStr">
        <is>
          <t>https://www.instagram.com/baobabooks/</t>
        </is>
      </c>
      <c r="AH369" s="1" t="inlineStr">
        <is>
          <t>https://twitter.com/Baobabooks1</t>
        </is>
      </c>
      <c r="AI369" t="inlineStr">
        <is>
          <t>https://www.linkedin.com/company/baobabooks/mycompany/</t>
        </is>
      </c>
    </row>
    <row r="370" ht="12.5" customHeight="1">
      <c r="A370" s="6" t="n">
        <v>45512</v>
      </c>
      <c r="B370" s="1" t="inlineStr">
        <is>
          <t>ORG_1198</t>
        </is>
      </c>
      <c r="C370" s="1" t="b">
        <v>1</v>
      </c>
      <c r="D370" s="1" t="inlineStr">
        <is>
          <t>brainy</t>
        </is>
      </c>
      <c r="E370" s="10" t="inlineStr">
        <is>
          <t>https://brainy.gr/</t>
        </is>
      </c>
      <c r="F370" t="inlineStr">
        <is>
          <t>brainy.gr</t>
        </is>
      </c>
      <c r="G370" s="1" t="inlineStr">
        <is>
          <t>Brainy is a digital learning platform, a state-of-the-art study system designed by experienced teachers specifically for the Greek curriculum. It caters to students in the 5th and 6th grades of elementary school and junior high students. The curriculum is presented using modern graphics and videos. Lessons are developed to perfectly correspond to the structure of school books and are enriched with extra exercises and interactive tests to ensure maximum levels of comprehension and assimilation.</t>
        </is>
      </c>
      <c r="H370" s="1" t="inlineStr">
        <is>
          <t>I'm not part of any EdTech association</t>
        </is>
      </c>
      <c r="I370" s="1" t="inlineStr">
        <is>
          <t>Greek</t>
        </is>
      </c>
      <c r="J370" s="1" t="inlineStr">
        <is>
          <t>Athens</t>
        </is>
      </c>
      <c r="K370" t="inlineStr">
        <is>
          <t>Athens</t>
        </is>
      </c>
      <c r="L370" t="inlineStr">
        <is>
          <t>Athens, Greece</t>
        </is>
      </c>
      <c r="M370" t="n">
        <v>37.9755648</v>
      </c>
      <c r="N370" t="n">
        <v>23.7348324</v>
      </c>
      <c r="O370" s="1" t="inlineStr">
        <is>
          <t>Greece</t>
        </is>
      </c>
      <c r="P370" s="1" t="inlineStr">
        <is>
          <t>Greece</t>
        </is>
      </c>
      <c r="Q370" s="1" t="inlineStr">
        <is>
          <t>3 to 5</t>
        </is>
      </c>
      <c r="R370" t="inlineStr">
        <is>
          <t>Micro</t>
        </is>
      </c>
      <c r="S370" s="1" t="inlineStr">
        <is>
          <t>Business to Business, Business to Schools, Business to Consumer, Business to Government</t>
        </is>
      </c>
      <c r="T370" s="1" t="inlineStr">
        <is>
          <t>Early childhood development (0-5 years), Primary Education, Secondary Education</t>
        </is>
      </c>
      <c r="U370" s="1" t="inlineStr">
        <is>
          <t>System/Administrative, Student interfacing, Teacher interfacing</t>
        </is>
      </c>
      <c r="V370" s="10" t="inlineStr">
        <is>
          <t>brainy</t>
        </is>
      </c>
      <c r="W370" s="1" t="inlineStr">
        <is>
          <t>Brainy is a digital learning platform, a state-of-the-art study system designed by experienced teachers specifically for the Greek curriculum. It caters to students in the 5th and 6th grades of elementary school and junior high students. The curriculum is presented using modern graphics and videos. Lessons are developed to perfectly correspond to the structure of school books and are enriched with extra exercises and interactive tests to ensure maximum levels of comprehension and assimilation.</t>
        </is>
      </c>
      <c r="X370" s="10" t="inlineStr">
        <is>
          <t>https://drive.google.com/uc?export=view&amp;id=1AUtQaow05e4Omzorl2DvTpmPb82s_8-0</t>
        </is>
      </c>
      <c r="Y370" t="inlineStr">
        <is>
          <t>https://drive.google.com/uc?export=view&amp;id=1AUtQaow05e4Omzorl2DvTpmPb82s_8-0</t>
        </is>
      </c>
      <c r="Z370" s="1" t="inlineStr">
        <is>
          <t>https://drive.google.com/uc?export=view&amp;id=1AUtQaow05e4Omzorl2DvTpmPb82s_8-0</t>
        </is>
      </c>
      <c r="AA370" s="1" t="inlineStr">
        <is>
          <t>Unverified</t>
        </is>
      </c>
      <c r="AB370" s="1" t="n"/>
      <c r="AC370" s="1" t="n"/>
      <c r="AD370" s="10" t="n"/>
      <c r="AE370" s="1" t="n"/>
      <c r="AF370" t="inlineStr">
        <is>
          <t>Yes</t>
        </is>
      </c>
      <c r="AG370" t="inlineStr">
        <is>
          <t>https://www.instagram.com/brainy.gr/</t>
        </is>
      </c>
      <c r="AH370" t="inlineStr">
        <is>
          <t>https://www.linkedin.com/company/brainy-gr/</t>
        </is>
      </c>
      <c r="AI370" t="inlineStr">
        <is>
          <t>https://www.linkedin.com/company/brainy-gr/</t>
        </is>
      </c>
    </row>
    <row r="371" ht="12.5" customHeight="1">
      <c r="A371" s="6" t="n">
        <v>45509</v>
      </c>
      <c r="B371" s="1" t="inlineStr">
        <is>
          <t>ORG_1022</t>
        </is>
      </c>
      <c r="C371" s="1" t="b">
        <v>1</v>
      </c>
      <c r="D371" s="1" t="inlineStr">
        <is>
          <t>Abstract Technology GmbH</t>
        </is>
      </c>
      <c r="E371" s="10" t="inlineStr">
        <is>
          <t>https://abstract-technology.de/de</t>
        </is>
      </c>
      <c r="F371" t="inlineStr">
        <is>
          <t>abstract-technology.de/de</t>
        </is>
      </c>
      <c r="G371" s="1" t="inlineStr">
        <is>
          <t>Abstract Technology is a company that specializes in providing Open Source Learning Management Systems (LMS) for educational institutions. Our focus extends to universities, training providers, public institutions, academies, NGOs as well as industrial and enterprises. Based in Germany, we carefully select, design and customize innovative learning solutions for our customers. As a verified service partner of Open edX, we offer a modular and modern Learning Management System (LMS) that enhances the learning experience and appeals to both educators and learners.</t>
        </is>
      </c>
      <c r="H371" s="1" t="inlineStr">
        <is>
          <t>I'm not part of any EdTech association</t>
        </is>
      </c>
      <c r="I371" s="1" t="inlineStr">
        <is>
          <t>All</t>
        </is>
      </c>
      <c r="J371" s="1" t="inlineStr">
        <is>
          <t>Berlin</t>
        </is>
      </c>
      <c r="K371" t="inlineStr">
        <is>
          <t>Berlin</t>
        </is>
      </c>
      <c r="L371" t="inlineStr">
        <is>
          <t>Berlin, Germany</t>
        </is>
      </c>
      <c r="M371" t="n">
        <v>52.5173885</v>
      </c>
      <c r="N371" t="n">
        <v>13.3951309</v>
      </c>
      <c r="O371" s="1" t="inlineStr">
        <is>
          <t>Germany</t>
        </is>
      </c>
      <c r="P371" s="1" t="inlineStr">
        <is>
          <t>Austria, Finland, France, Germany, Greece, Italy, Netherlands, Poland, Portugal, Romania, Spain, Switzerland, United Kingdom</t>
        </is>
      </c>
      <c r="Q371" s="1" t="inlineStr">
        <is>
          <t>11 to 50</t>
        </is>
      </c>
      <c r="R371" t="inlineStr">
        <is>
          <t>Small</t>
        </is>
      </c>
      <c r="S371" s="1" t="inlineStr">
        <is>
          <t>Business to Business, Business to Government, Business to Schools</t>
        </is>
      </c>
      <c r="T371" s="1" t="inlineStr">
        <is>
          <t>Corporate Training, Lifelong learning/Adult education, Vocational Education and Training (VET), Higher Education</t>
        </is>
      </c>
      <c r="U371" s="1" t="inlineStr">
        <is>
          <t>Student interfacing, Teacher interfacing, System/Administrative</t>
        </is>
      </c>
      <c r="V371" s="1" t="inlineStr">
        <is>
          <t>Open edX LMS Developer Provider</t>
        </is>
      </c>
      <c r="W371" s="10" t="inlineStr">
        <is>
          <t>We're revolutionizing the future of learning by leveraging Open edX (LMS) as our engine and integrating it with cutting-edge technologies. Our holistic approach encompasses AI, mobile apps, VR/AR, gamification, and proctoring to create an immersive and engaging learning experience.
Experience the transformative power of our integrated online learning solution, fueled by Open edX (LMS). Abstract Technology empowers your educational projects with a comprehensive, tailored product designed around your unique needs. Our Open edX software engine blends flexibility and responsiveness, embracing advanced technologies to deliver a learner-centric and innovative training model. Built upon our robust digital knowledge infrastructure, our solution rests upon three pillars:
- Customized software that unlocks unique solutions
- Virtual classroom integration for immersive learning experiences
- Expert learning design to support authors and drive effective outcomes
Why the Open edX Platform?
1. Outstanding Learning Experience: The Open edX platform is designed to provide a superior learning experience with interactive content, assessments, and social learning features, ensuring an engaging and effective learning journey.
2. Deliver Courses on a Scale (MOOCs): One of the Open edX platform’s significant strengths is its ability to deliver massive open online courses (MOOCs). It is capable of handling thousands of learners simultaneously, making it ideal for large-scale education initiatives.
3. Platform, Not a Product: Unlike traditional software products, the Open edX software is a versatile platform that can be customized and extended. This allows organizations to tailor the LMS to their specific needs and integrate it with other systems.
4. Scalability &amp; Security: The Open edX platform is built to scale, supporting both small and large implementations. It offers robust security features to protect sensitive data, ensuring a secure learning environment for all users.
5. Democratic Community &amp; Control: As an open-source platform, the Open edX LMS benefits from a democratic community of developers and users who contribute to its continuous improvement. This collaborative approach ensures that the platform evolves to meet the changing needs of educators and learners.
6. Customization: The flexibility of the Open edX platform allows for extensive customization. Institutions can modify the platform’s look and feel, add new functionalities, and create custom workflows to better suit their educational goals.
7. Templating: The Open edX LMS supports the use of templates to streamline the creation of courses and content. This feature enables educators to maintain consistency across multiple courses and simplifies the course development process.
8. Adaptable in the Widest Range of Use Cases: The Open edX platform is highly adaptable and can be used in various educational settings, from K-12 and higher education to corporate training and professional development. Its flexibility makes it suitable for a wide range of use cases.
9. Flexibility &amp; Configurability: The platform’s architecture allows for significant flexibility and configurability. Administrators can configure courses, user roles, and permissions to align with their organizational requirements.
10. Multi-tenancy: The Open edX LMS supports multi-tenancy, enabling multiple organizations to operate their own branded instances of the platform within a single deployment. This is particularly useful for institutions or enterprises with diverse educational needs.
11. Vendors to Support Custom Solutions: A variety of vendors and service providers specialize in the Open edX platform, offering custom solutions, support, and services. This ecosystem ensures that organizations can find the expertise they need to implement and optimize their Open edX instances.
12. Open Source: As an open-source platform, the Open edX LMS offers transparency and flexibility. Organizations can inspect the source code, make modifications, and contribute to the community, fostering a collaborative and innovative environment.
13. Course Auditing: The Open edX LMS provides tools for course auditing, allowing educators to review and improve course content and delivery. This ensures that courses remain relevant and effective over time.
14. Free &amp; Open: The Open edX LMS is free to use, reducing the financial barrier to entry for institutions and educators. Its open nature promotes accessibility and inclusivity in education.
15. Student UI/UX &amp; Authoring UX: The platform offers a user-friendly interface for both students and course authors. The intuitive design ensures that users can easily navigate the platform and create high-quality courses without extensive technical knowledge.
16. Course Authoring Environment: The Open edX platform includes a powerful course authoring environment that allows educators to create and manage course content efficiently. The platform supports a wide range of content types, including videos, quizzes, and interactive exercises.
17. Outstanding Learning Experiences: The combination of interactive content, peer learning, and comprehensive assessments contributes t^o outstanding learning experiences. The Open edX LMS is designed to engage learners and promote deep understanding of the subject matter.
18. Transparency: The open-source nature of the Open edX LMS ensures transparency in its development and operation. Users can access the source code, understand how the platform works, and contribute to its ongoing improvement.
19. Resilient and Robust: Built with reliability in mind, the Open edX platform is a resilient and robust platform. It is designed to operate smoothly even under heavy usage, ensuring a consistent learning experience.
20. High Performance: The Open edX LMS delivers high performance, with fast load times and responsive interactions. This ensures that learners and educators can focus on the content without being hindered by technical issues.
For more information, visit:
https://abstract-technology.de/open-edx</t>
        </is>
      </c>
      <c r="X371" s="10" t="inlineStr">
        <is>
          <t>Plone</t>
        </is>
      </c>
      <c r="Y371" t="inlineStr">
        <is>
          <t>Plone is a free and open source content management system (CMS) built on top of the Zope application server. Plone is positioned as an enterprise CMS and is commonly used for intranets and as part of the web presence of large organizations. High-profile public sector users include the U.S. Federal Bureau of Investigation, Brazilian Government, United Nations, City of Bern (Switzerland), New South Wales Government (Australia), and European Environment Agency. Plone's proponents cite its security track record and its accessibility as reasons to choose Plone.</t>
        </is>
      </c>
      <c r="Z371" s="1" t="inlineStr">
        <is>
          <t>https://drive.google.com/uc?export=view&amp;id=1QkRC8kOa_-tyPVsRmP5ZgKp8pJ3Wby4h</t>
        </is>
      </c>
      <c r="AA371" s="1" t="inlineStr">
        <is>
          <t>Unverified</t>
        </is>
      </c>
      <c r="AB371" s="1" t="n"/>
      <c r="AC371" s="1" t="n"/>
      <c r="AD371" s="10" t="n"/>
      <c r="AE371" s="1" t="n"/>
      <c r="AF371" t="inlineStr">
        <is>
          <t>Yes</t>
        </is>
      </c>
      <c r="AG371" t="inlineStr">
        <is>
          <t>https://x.com/abstractGmbH</t>
        </is>
      </c>
      <c r="AH371" t="inlineStr">
        <is>
          <t>https://x.com/abstractGmbH</t>
        </is>
      </c>
      <c r="AI371" t="inlineStr">
        <is>
          <t>https://www.linkedin.com/company/abstract-technology-gmbh/</t>
        </is>
      </c>
    </row>
    <row r="372" ht="12.5" customHeight="1">
      <c r="A372" s="6" t="n">
        <v>45506</v>
      </c>
      <c r="B372" s="1" t="inlineStr">
        <is>
          <t>ORG_1996</t>
        </is>
      </c>
      <c r="C372" s="1" t="b">
        <v>1</v>
      </c>
      <c r="D372" s="1" t="inlineStr">
        <is>
          <t>Music Crab</t>
        </is>
      </c>
      <c r="E372" s="10" t="inlineStr">
        <is>
          <t>Music-Crab.com</t>
        </is>
      </c>
      <c r="F372" t="inlineStr">
        <is>
          <t>music-crab.com</t>
        </is>
      </c>
      <c r="G372" s="1" t="inlineStr">
        <is>
          <t>Music Crab app-how to learn to read music notes while's having fun- is downloaded 700 000 times in 200 countries ! Give the chance to all the children into the world to learn to read music through a music game.</t>
        </is>
      </c>
      <c r="H372" s="1" t="inlineStr">
        <is>
          <t>EdTech France</t>
        </is>
      </c>
      <c r="I372" s="1" t="inlineStr">
        <is>
          <t>All</t>
        </is>
      </c>
      <c r="J372" s="1" t="inlineStr">
        <is>
          <t>Paris</t>
        </is>
      </c>
      <c r="K372" t="inlineStr">
        <is>
          <t>Paris</t>
        </is>
      </c>
      <c r="L372" t="inlineStr">
        <is>
          <t>Paris, France</t>
        </is>
      </c>
      <c r="M372" t="n">
        <v>48.8534951</v>
      </c>
      <c r="N372" t="n">
        <v>2.3483915</v>
      </c>
      <c r="O372" s="1" t="inlineStr">
        <is>
          <t>France</t>
        </is>
      </c>
      <c r="P372" s="1" t="inlineStr">
        <is>
          <t>France</t>
        </is>
      </c>
      <c r="Q372" s="1" t="inlineStr">
        <is>
          <t>0 to 2</t>
        </is>
      </c>
      <c r="R372" t="inlineStr">
        <is>
          <t>Solo entrepreneur</t>
        </is>
      </c>
      <c r="S372" s="1" t="inlineStr">
        <is>
          <t>Business to Schools, Business to Consumer</t>
        </is>
      </c>
      <c r="T372" s="1" t="inlineStr">
        <is>
          <t>Early childhood development (0-5 years), Primary Education, Secondary Education, Vocational Education and Training (VET), Higher Education</t>
        </is>
      </c>
      <c r="U372" s="1" t="inlineStr">
        <is>
          <t>System/Administrative, Student interfacing, Teacher interfacing</t>
        </is>
      </c>
      <c r="V372" s="1" t="inlineStr">
        <is>
          <t>Music Crab app</t>
        </is>
      </c>
      <c r="W372" s="1" t="inlineStr">
        <is>
          <t>https://drive.google.com/uc?export=view&amp;id=1QmrwTrHQvRjELUHeOStYw9nzi28tEzMp</t>
        </is>
      </c>
      <c r="X372" s="1" t="inlineStr">
        <is>
          <t>https://drive.google.com/uc?export=view&amp;id=1QmrwTrHQvRjELUHeOStYw9nzi28tEzMp</t>
        </is>
      </c>
      <c r="Y372" t="inlineStr">
        <is>
          <t>https://drive.google.com/uc?export=view&amp;id=1QmrwTrHQvRjELUHeOStYw9nzi28tEzMp</t>
        </is>
      </c>
      <c r="Z372" s="1" t="inlineStr">
        <is>
          <t>https://drive.google.com/uc?export=view&amp;id=1QmrwTrHQvRjELUHeOStYw9nzi28tEzMp</t>
        </is>
      </c>
      <c r="AA372" s="1" t="inlineStr">
        <is>
          <t>Unverified</t>
        </is>
      </c>
      <c r="AB372" s="1" t="n"/>
      <c r="AC372" s="1" t="n"/>
      <c r="AD372" s="10" t="n"/>
      <c r="AE372" s="1" t="n"/>
      <c r="AF372" t="inlineStr">
        <is>
          <t>Yes</t>
        </is>
      </c>
      <c r="AG372" t="inlineStr">
        <is>
          <t>MusicCrab</t>
        </is>
      </c>
      <c r="AH372" t="inlineStr">
        <is>
          <t>MusicCrab</t>
        </is>
      </c>
      <c r="AI372" t="inlineStr">
        <is>
          <t>Eric Zorgniotti</t>
        </is>
      </c>
    </row>
    <row r="373" ht="12.5" customHeight="1">
      <c r="A373" s="6" t="n">
        <v>45506</v>
      </c>
      <c r="B373" s="1" t="inlineStr">
        <is>
          <t>ORG_2077</t>
        </is>
      </c>
      <c r="C373" s="1" t="b">
        <v>1</v>
      </c>
      <c r="D373" s="1" t="inlineStr">
        <is>
          <t>Orbit8</t>
        </is>
      </c>
      <c r="E373" s="10" t="inlineStr">
        <is>
          <t>https://orbit8.app</t>
        </is>
      </c>
      <c r="F373" t="inlineStr">
        <is>
          <t>orbit8.app</t>
        </is>
      </c>
      <c r="G373" s="1" t="inlineStr">
        <is>
          <t>Orbit8 is building an AI-powered career guidance platform for young people. Using proprietary Professional DNA algorithm, the tool offers personalized educational and career recommendations and detailed career roadmaps. Orbit8 provides personalized, AI-driven career guidance that adapts to the evolving job market, helping young people and their parents make informed decisions.</t>
        </is>
      </c>
      <c r="H373" s="1" t="inlineStr">
        <is>
          <t>I'm not part of any EdTech association</t>
        </is>
      </c>
      <c r="I373" s="1" t="inlineStr">
        <is>
          <t>English</t>
        </is>
      </c>
      <c r="J373" s="1" t="inlineStr">
        <is>
          <t>Riga</t>
        </is>
      </c>
      <c r="K373" t="inlineStr">
        <is>
          <t>Riga</t>
        </is>
      </c>
      <c r="L373" t="inlineStr">
        <is>
          <t>Riga, Latvia</t>
        </is>
      </c>
      <c r="M373" t="n">
        <v>56.9493977</v>
      </c>
      <c r="N373" t="n">
        <v>24.1051846</v>
      </c>
      <c r="O373" s="1" t="inlineStr">
        <is>
          <t>Latvia</t>
        </is>
      </c>
      <c r="P373" s="1" t="inlineStr">
        <is>
          <t>Latvia</t>
        </is>
      </c>
      <c r="Q373" s="1" t="inlineStr">
        <is>
          <t>3 to 5</t>
        </is>
      </c>
      <c r="R373" t="inlineStr">
        <is>
          <t>Micro</t>
        </is>
      </c>
      <c r="S373" s="1" t="inlineStr">
        <is>
          <t>Business to Business, Business to Schools, Business to Consumer, Business to Government</t>
        </is>
      </c>
      <c r="T373" s="1" t="inlineStr">
        <is>
          <t>Secondary Education, Corporate Training, Vocational Education and Training (VET), Higher Education</t>
        </is>
      </c>
      <c r="U373" s="1" t="inlineStr">
        <is>
          <t>System/Administrative, Student interfacing</t>
        </is>
      </c>
      <c r="V373" s="10" t="inlineStr">
        <is>
          <t>Orbit8 Digital Career Assistant</t>
        </is>
      </c>
      <c r="W373" s="1" t="inlineStr">
        <is>
          <t>Orbit8 is building an AI-powered career guidance platform for students aged 16-20. The platform uses our proprietary Professional DNA algorithm, which integrates multiple validated psychometric tools to assess personality, interests, and skills. The outputs are personalized educational and career recommendations and detailed career roadmaps. This approach helps students navigate their educational and career journeys with confidence, ensuring they are well-prepared for the future workforce. https://www.linkedin.com/company/orbit8Orbit8 aims to transform how students make career decisions, aligning their education with their unique strengths and market demands.</t>
        </is>
      </c>
      <c r="X373" s="10" t="inlineStr">
        <is>
          <t>https://drive.google.com/uc?export=view&amp;id=1S-o6oAGOyNyhT2_yR9VWFtHh96doI8Zm</t>
        </is>
      </c>
      <c r="Y373" t="inlineStr">
        <is>
          <t>https://drive.google.com/uc?export=view&amp;id=1S-o6oAGOyNyhT2_yR9VWFtHh96doI8Zm</t>
        </is>
      </c>
      <c r="Z373" s="1" t="inlineStr">
        <is>
          <t>https://drive.google.com/uc?export=view&amp;id=1S-o6oAGOyNyhT2_yR9VWFtHh96doI8Zm</t>
        </is>
      </c>
      <c r="AA373" s="1" t="inlineStr">
        <is>
          <t>Unverified</t>
        </is>
      </c>
      <c r="AB373" s="1" t="n"/>
      <c r="AC373" s="1" t="n"/>
      <c r="AD373" s="10" t="n"/>
      <c r="AE373" s="1" t="n"/>
      <c r="AF373" t="inlineStr">
        <is>
          <t>Yes</t>
        </is>
      </c>
      <c r="AG373" t="inlineStr">
        <is>
          <t>https://www.instagram.com/orbit8_app</t>
        </is>
      </c>
      <c r="AH373" t="inlineStr">
        <is>
          <t>https://www.linkedin.com/company/orbit8</t>
        </is>
      </c>
      <c r="AI373" t="inlineStr">
        <is>
          <t>https://www.linkedin.com/company/orbit8</t>
        </is>
      </c>
    </row>
    <row r="374" ht="12.5" customHeight="1">
      <c r="A374" s="6" t="n">
        <v>45505</v>
      </c>
      <c r="B374" s="1" t="inlineStr">
        <is>
          <t>ORG_1746</t>
        </is>
      </c>
      <c r="C374" s="1" t="b">
        <v>1</v>
      </c>
      <c r="D374" s="1" t="inlineStr">
        <is>
          <t>iteNlearning</t>
        </is>
      </c>
      <c r="E374" s="10" t="inlineStr">
        <is>
          <t>www.itenlearning.com</t>
        </is>
      </c>
      <c r="F374" t="inlineStr">
        <is>
          <t>itenlearning.com</t>
        </is>
      </c>
      <c r="G374" s="1" t="inlineStr">
        <is>
          <t>iteNlearning is an R&amp;D company with more than 25 years in the industry. Our purpose has been to develop adaptative technologies for education that allow each person to attain their Optimal Neurodevelopment (meaning their brain is developed at its maximum potencial) regardless of their socioeconomic environment. To do so, iteNlearning has developed a AI-based software resulting from the convergence of Scientific Evidences (models that tell us how the brain needs to be developed and help us understand the causes behind each person's learning process) and Technologies, such as Expert Systems and other tech components, that are at the service of these evidences.</t>
        </is>
      </c>
      <c r="H374" s="1" t="inlineStr">
        <is>
          <t>I'm not part of any EdTech association</t>
        </is>
      </c>
      <c r="I374" s="1" t="inlineStr">
        <is>
          <t>Spanish, Portuguese, French, English, Catalan</t>
        </is>
      </c>
      <c r="J374" s="1" t="inlineStr">
        <is>
          <t>Elche, Alicante</t>
        </is>
      </c>
      <c r="K374" t="inlineStr">
        <is>
          <t>Elche</t>
        </is>
      </c>
      <c r="L374" t="inlineStr">
        <is>
          <t>Elche, Spain</t>
        </is>
      </c>
      <c r="M374" t="n">
        <v>38.2653307</v>
      </c>
      <c r="N374" t="n">
        <v>-0.6988391</v>
      </c>
      <c r="O374" s="1" t="inlineStr">
        <is>
          <t>Spain</t>
        </is>
      </c>
      <c r="P374" s="1" t="inlineStr">
        <is>
          <t>Spain</t>
        </is>
      </c>
      <c r="Q374" s="1" t="inlineStr">
        <is>
          <t>6 to 10</t>
        </is>
      </c>
      <c r="R374" t="inlineStr">
        <is>
          <t>Micro</t>
        </is>
      </c>
      <c r="S374" s="1" t="inlineStr">
        <is>
          <t>Business to Business, Business to Schools, Business to Government</t>
        </is>
      </c>
      <c r="T374" s="1" t="inlineStr">
        <is>
          <t>Early childhood development (0-5 years), Primary Education, Secondary Education</t>
        </is>
      </c>
      <c r="U374" s="1" t="inlineStr">
        <is>
          <t>Teacher interfacing, System/Administrative</t>
        </is>
      </c>
      <c r="V374" s="10" t="inlineStr">
        <is>
          <t>MathLAB</t>
        </is>
      </c>
      <c r="W374" s="1" t="inlineStr">
        <is>
          <t>It's a software, result of Scientific-Technological convergence, whose objective is to allow each student neurodevelop their Mathematical Language as per their needs and characteristics. To do so, the software creates learning experiences adapted to each student's needs. Meaning, their memory and learning curves, their answers and interactions, their Neurodevelopment status in comparison to their age...</t>
        </is>
      </c>
      <c r="X374" s="10" t="inlineStr">
        <is>
          <t>DataLAB</t>
        </is>
      </c>
      <c r="Y374" t="inlineStr">
        <is>
          <t>It's a software, result of Scientific-Technological convergence, whose objective is to help educational organizations and decision-makers to make the best decisions, for each school or region or country. The purpose is to give access to tools that are not based on data fruit of correlations, but tools that offer information and knowledge that help understand the learning and Neurodevelopment status of the students. In order to ensure that our decisions are having not just positive results, but a positive impact.</t>
        </is>
      </c>
      <c r="Z374" s="1" t="inlineStr">
        <is>
          <t>https://drive.google.com/uc?export=view&amp;id=1nzx25kkpfwvU2Kg6a1ai5UBtOQRShJU9</t>
        </is>
      </c>
      <c r="AA374" s="1" t="inlineStr">
        <is>
          <t>Unverified</t>
        </is>
      </c>
      <c r="AB374" s="1" t="n"/>
      <c r="AC374" s="1" t="n"/>
      <c r="AD374" s="10" t="n"/>
      <c r="AE374" s="1" t="n"/>
      <c r="AF374" t="inlineStr">
        <is>
          <t>Yes</t>
        </is>
      </c>
      <c r="AG374" t="inlineStr">
        <is>
          <t>https://www.instagram.com/itenlearning_es/</t>
        </is>
      </c>
      <c r="AH374" t="inlineStr">
        <is>
          <t>n/a</t>
        </is>
      </c>
      <c r="AI374" t="inlineStr">
        <is>
          <t>https://www.linkedin.com/company/itenlearning/?viewAsMember=true</t>
        </is>
      </c>
    </row>
    <row r="375" ht="12.5" customHeight="1">
      <c r="A375" s="6" t="n">
        <v>45504</v>
      </c>
      <c r="B375" s="1" t="inlineStr">
        <is>
          <t>ORG_1248</t>
        </is>
      </c>
      <c r="C375" s="1" t="b">
        <v>1</v>
      </c>
      <c r="D375" s="1" t="inlineStr">
        <is>
          <t>ClassInTheBox</t>
        </is>
      </c>
      <c r="E375" s="10" t="inlineStr">
        <is>
          <t>www.classinthebox.com</t>
        </is>
      </c>
      <c r="F375" t="inlineStr">
        <is>
          <t>classinthebox.com</t>
        </is>
      </c>
      <c r="G375" s="1" t="inlineStr">
        <is>
          <t>ClassInTheBox revolutionizes educational content delivery with AI-driven enhancements for both video and text. Our solution seamlessly integrates multimedia elements, turning static lessons into dynamic, interactive experiences. Designed for K12 schools and universities, ClassInTheBox leverages advanced technology to provide visual aids, expanded information, and engaging multimedia support. This makes learning more accessible and enjoyable for students while easing the burden on teachers.
Our Boxie AI offers personalized feedback, self-assessment tools, and detailed reports, allowing educators to focus on deeper, value-driven teaching. By enhancing existing content rather than requiring new tech adoption, we cater to teachers who prefer traditional methods but want to offer modern, interactive learning experiences. With established partnerships, including agreements with major publishers and device manufacturers like Samsung, ClassInTheBox ensures widespread integration and impact, making it a vital tool for the future of education.</t>
        </is>
      </c>
      <c r="H375" s="1" t="inlineStr">
        <is>
          <t>I'm not part of any EdTech association, EdTech Estonia</t>
        </is>
      </c>
      <c r="I375" s="1" t="inlineStr">
        <is>
          <t>French, Portuguese, Italian, Spanish, English, Estonian</t>
        </is>
      </c>
      <c r="J375" s="1" t="inlineStr">
        <is>
          <t>Linnaosa</t>
        </is>
      </c>
      <c r="K375" t="inlineStr">
        <is>
          <t>Linnaosa</t>
        </is>
      </c>
      <c r="L375" t="inlineStr">
        <is>
          <t>Linnaosa, Estonia</t>
        </is>
      </c>
      <c r="M375" t="n">
        <v>59.3701798</v>
      </c>
      <c r="N375" t="n">
        <v>27.5665988</v>
      </c>
      <c r="O375" s="1" t="inlineStr">
        <is>
          <t>Estonia</t>
        </is>
      </c>
      <c r="P375" s="1" t="inlineStr">
        <is>
          <t>Bulgaria, Estonia, France, Italy, Spain, United Kingdom</t>
        </is>
      </c>
      <c r="Q375" s="1" t="inlineStr">
        <is>
          <t>6 to 10</t>
        </is>
      </c>
      <c r="R375" t="inlineStr">
        <is>
          <t>Micro</t>
        </is>
      </c>
      <c r="S375" s="1" t="inlineStr">
        <is>
          <t>Business to Business, Business to Schools, Business to Government</t>
        </is>
      </c>
      <c r="T375" s="1" t="inlineStr">
        <is>
          <t>Primary Education, Secondary Education, Corporate Training, Vocational Education and Training (VET), Higher Education</t>
        </is>
      </c>
      <c r="U375" s="1" t="inlineStr">
        <is>
          <t>Student interfacing, Teacher interfacing, System/Administrative</t>
        </is>
      </c>
      <c r="V375" s="1" t="inlineStr">
        <is>
          <t>Böxie by ClassInTheBox</t>
        </is>
      </c>
      <c r="W375" s="1" t="inlineStr">
        <is>
          <t>ClassInTheBox revolutionizes educational content delivery with AI-driven enhancements for both video and docs. Our solution seamlessly integrates multimedia elements, transforming static lessons into dynamic, interactive experiences. Targeting K12 schools and universities, ClassInTheBox uses advanced technology to provide visual aids, expanded information, and engaging multimedia support, making learning more accessible and enjoyable for students while easing the burden on teachers.
Our Boxie AI offers personalized feedback, self-assessment tools, and detailed reports, allowing educators to focus on deeper, value-driven teaching. We enhance existing content rather than requiring new tech adoption, catering to teachers who prefer traditional methods but want to offer modern, interactive learning experiences. With established partnerships, including agreements with major publishers and device manufacturers like Samsung, ClassInTheBox ensures widespread integration and impact, making it an essential tool for the future of education.</t>
        </is>
      </c>
      <c r="X375" s="1" t="inlineStr">
        <is>
          <t>https://drive.google.com/uc?export=view&amp;id=1mBKlYZ4EI0W4_wmMvDlMDsNmW7aLVUvH</t>
        </is>
      </c>
      <c r="Y375" t="inlineStr">
        <is>
          <t>https://drive.google.com/uc?export=view&amp;id=1mBKlYZ4EI0W4_wmMvDlMDsNmW7aLVUvH</t>
        </is>
      </c>
      <c r="Z375" s="1" t="inlineStr">
        <is>
          <t>https://drive.google.com/uc?export=view&amp;id=1mBKlYZ4EI0W4_wmMvDlMDsNmW7aLVUvH</t>
        </is>
      </c>
      <c r="AA375" s="1" t="inlineStr">
        <is>
          <t>Unverified</t>
        </is>
      </c>
      <c r="AB375" s="1" t="n"/>
      <c r="AC375" s="1" t="n"/>
      <c r="AD375" s="10" t="n"/>
      <c r="AE375" s="1" t="n"/>
      <c r="AF375" s="1" t="inlineStr">
        <is>
          <t>No</t>
        </is>
      </c>
      <c r="AG375" s="1" t="n"/>
      <c r="AH375" s="1" t="n"/>
    </row>
    <row r="376" ht="12.5" customHeight="1">
      <c r="A376" s="6" t="n">
        <v>45503</v>
      </c>
      <c r="B376" s="1" t="inlineStr">
        <is>
          <t>ORG_2311</t>
        </is>
      </c>
      <c r="C376" s="1" t="b">
        <v>1</v>
      </c>
      <c r="D376" s="1" t="inlineStr">
        <is>
          <t>Springlab</t>
        </is>
      </c>
      <c r="E376" s="10" t="inlineStr">
        <is>
          <t>www.springlab.nl</t>
        </is>
      </c>
      <c r="F376" t="inlineStr">
        <is>
          <t>springlab.nl</t>
        </is>
      </c>
      <c r="G376" s="1" t="inlineStr">
        <is>
          <t>Our mission is to get children to move more! We share our knowledge and expertise, provide advice and offer innovative digital solutions to get children in childcare and primary education moving again. Through our interactive floor, our move app for tablets and smartphones and our smartboard app we have added nearly 2 million active minutes to children's lives in 2023. Will you help to get all children moving?</t>
        </is>
      </c>
      <c r="H376" s="1" t="inlineStr">
        <is>
          <t>Dutch EdTech</t>
        </is>
      </c>
      <c r="I376" s="1" t="inlineStr">
        <is>
          <t>Dutch</t>
        </is>
      </c>
      <c r="J376" s="1" t="inlineStr">
        <is>
          <t>Utrecht</t>
        </is>
      </c>
      <c r="K376" t="inlineStr">
        <is>
          <t>Utrecht</t>
        </is>
      </c>
      <c r="L376" t="inlineStr">
        <is>
          <t>Utrecht, The Netherlands</t>
        </is>
      </c>
      <c r="M376" t="n">
        <v>52.0906195</v>
      </c>
      <c r="N376" t="n">
        <v>5.1119709</v>
      </c>
      <c r="O376" s="1" t="inlineStr">
        <is>
          <t>The Netherlands</t>
        </is>
      </c>
      <c r="P376" s="1" t="inlineStr">
        <is>
          <t>Belgium, Netherlands</t>
        </is>
      </c>
      <c r="Q376" s="1" t="inlineStr">
        <is>
          <t>11 to 50</t>
        </is>
      </c>
      <c r="R376" t="inlineStr">
        <is>
          <t>Small</t>
        </is>
      </c>
      <c r="S376" s="1" t="inlineStr">
        <is>
          <t>Business to Business, Business to Schools</t>
        </is>
      </c>
      <c r="T376" s="1" t="inlineStr">
        <is>
          <t>Early childhood development (0-5 years), Primary Education</t>
        </is>
      </c>
      <c r="U376" s="1" t="inlineStr">
        <is>
          <t>Teacher interfacing, System/Administrative</t>
        </is>
      </c>
      <c r="V376" s="10" t="inlineStr">
        <is>
          <t>Springlab Beweegvloer</t>
        </is>
      </c>
      <c r="W376" s="1" t="inlineStr">
        <is>
          <t>The Springlab interactive floor is an interactive experience in which children discover and learn with their whole bodies while playing and moving.</t>
        </is>
      </c>
      <c r="X376" s="10" t="inlineStr">
        <is>
          <t>Springloop - the move app</t>
        </is>
      </c>
      <c r="Y376" t="inlineStr">
        <is>
          <t>Springloop is the app that gets children moving with tablets! From sitting and swiping, to running and scanning! Each tablet is transformed into a fun, physically active game, where children have to complete assignments and find answers by finding special QR codes. In short: gaming and exercise in an educationally responsible way, a win-win!</t>
        </is>
      </c>
      <c r="Z376" s="1" t="inlineStr">
        <is>
          <t>https://drive.google.com/uc?export=view&amp;id=1KSkqvo-u2ciar63nVbxtjj-r4lX2kASh</t>
        </is>
      </c>
      <c r="AA376" s="1" t="inlineStr">
        <is>
          <t>Unverified</t>
        </is>
      </c>
      <c r="AB376" s="1" t="n"/>
      <c r="AC376" s="1" t="n"/>
      <c r="AD376" s="10" t="n"/>
      <c r="AE376" s="1" t="n"/>
      <c r="AF376" s="1" t="inlineStr">
        <is>
          <t>Yes</t>
        </is>
      </c>
      <c r="AG376" s="1" t="inlineStr">
        <is>
          <t>https://www.instagram.com/springlabnl/</t>
        </is>
      </c>
      <c r="AH376" s="1" t="inlineStr">
        <is>
          <t>https://www.linkedin.com/company/springlab-nl/</t>
        </is>
      </c>
      <c r="AI376" t="inlineStr">
        <is>
          <t>https://www.linkedin.com/company/springlab-nl/</t>
        </is>
      </c>
    </row>
    <row r="377" ht="12.5" customHeight="1">
      <c r="A377" s="6" t="n">
        <v>45502</v>
      </c>
      <c r="B377" s="1" t="inlineStr">
        <is>
          <t>ORG_2039</t>
        </is>
      </c>
      <c r="C377" s="1" t="b">
        <v>1</v>
      </c>
      <c r="D377" s="1" t="inlineStr">
        <is>
          <t>NINEFEB Technical Documentation</t>
        </is>
      </c>
      <c r="E377" s="10" t="inlineStr">
        <is>
          <t>www.ninefeb.com</t>
        </is>
      </c>
      <c r="F377" t="inlineStr">
        <is>
          <t>ninefeb.com</t>
        </is>
      </c>
      <c r="G377" s="1" t="inlineStr">
        <is>
          <t>MDR related Technical documentation, IfUs, risk management EN 14971, traceability management systems, EUDAMED data preparation, eLearning for MedTech products</t>
        </is>
      </c>
      <c r="H377" s="1" t="inlineStr">
        <is>
          <t>EdTech Austria</t>
        </is>
      </c>
      <c r="I377" s="1" t="inlineStr">
        <is>
          <t>English, German</t>
        </is>
      </c>
      <c r="J377" s="1" t="inlineStr">
        <is>
          <t>Vienna</t>
        </is>
      </c>
      <c r="K377" t="inlineStr">
        <is>
          <t>Vienna</t>
        </is>
      </c>
      <c r="L377" t="inlineStr">
        <is>
          <t>Vienna, Austria</t>
        </is>
      </c>
      <c r="M377" t="n">
        <v>48.2083537</v>
      </c>
      <c r="N377" t="n">
        <v>16.3725042</v>
      </c>
      <c r="O377" s="1" t="inlineStr">
        <is>
          <t>Austria</t>
        </is>
      </c>
      <c r="P377" s="1" t="inlineStr">
        <is>
          <t>Austria, Belgium, Germany, Netherlands, Sweden, Switzerland, United Kingdom</t>
        </is>
      </c>
      <c r="Q377" s="1" t="inlineStr">
        <is>
          <t>11 to 50</t>
        </is>
      </c>
      <c r="R377" t="inlineStr">
        <is>
          <t>Small</t>
        </is>
      </c>
      <c r="S377" s="1" t="inlineStr">
        <is>
          <t>Business to Business</t>
        </is>
      </c>
      <c r="T377" s="1" t="inlineStr">
        <is>
          <t>Corporate Training, Higher Education</t>
        </is>
      </c>
      <c r="U377" s="1" t="inlineStr">
        <is>
          <t>System/Administrative, Student interfacing</t>
        </is>
      </c>
      <c r="V377" s="1" t="inlineStr">
        <is>
          <t>eLearning development</t>
        </is>
      </c>
      <c r="W377" s="1" t="inlineStr">
        <is>
          <t>We are offering eLearning development, based on instructional considerations, dependent of the KSA split (Knowledge - Skills - Awareness/Attitude), demanding different approaches for each category;
we are developing eLearnings as courses as well as small eLearning modules for performance support and microtraining at the workplace.</t>
        </is>
      </c>
      <c r="X377" s="10" t="inlineStr">
        <is>
          <t>VR / AR development</t>
        </is>
      </c>
      <c r="Y377" t="inlineStr">
        <is>
          <t>We are drafting highly interactive VR and AR solutions for technical installations, where we are integrating xAPI, in order to track performance and be able to give feedback as well as personalise learning paths.
This is vital in an age of skills shortages to be able to upskill people efficiently.</t>
        </is>
      </c>
      <c r="Z377" s="1" t="inlineStr">
        <is>
          <t>https://drive.google.com/uc?export=view&amp;id=11R7b7YRJ28NDU3GzDmXVqunBFjZHY6RP</t>
        </is>
      </c>
      <c r="AA377" s="1" t="inlineStr">
        <is>
          <t>Unverified</t>
        </is>
      </c>
      <c r="AB377" s="1" t="n"/>
      <c r="AC377" s="1" t="n"/>
      <c r="AD377" s="10" t="n"/>
      <c r="AE377" s="1" t="n"/>
      <c r="AF377" s="1" t="inlineStr">
        <is>
          <t>Yes</t>
        </is>
      </c>
      <c r="AG377" s="1" t="inlineStr">
        <is>
          <t>https://www.linkedin.com/company/6522826/</t>
        </is>
      </c>
      <c r="AH377" s="1" t="inlineStr">
        <is>
          <t>https://www.linkedin.com/company/6522826/</t>
        </is>
      </c>
      <c r="AI377" t="inlineStr">
        <is>
          <t>https://www.linkedin.com/company/6522826/</t>
        </is>
      </c>
    </row>
    <row r="378" ht="12.5" customHeight="1">
      <c r="A378" s="6" t="n">
        <v>45496</v>
      </c>
      <c r="B378" s="1" t="inlineStr">
        <is>
          <t>ORG_1466</t>
        </is>
      </c>
      <c r="C378" s="1" t="b">
        <v>1</v>
      </c>
      <c r="D378" s="1" t="inlineStr">
        <is>
          <t>EduvolutionX</t>
        </is>
      </c>
      <c r="E378" s="10" t="inlineStr">
        <is>
          <t>https://www.eduvolutionx.com/</t>
        </is>
      </c>
      <c r="F378" t="inlineStr">
        <is>
          <t>eduvolutionx.com</t>
        </is>
      </c>
      <c r="G378" s="1" t="inlineStr">
        <is>
          <t>EduvolutionX is a EDtech startup focused on transforming the landscape of learning through interactive, adaptive learning. By providing interactive resources and tools, EduvolutionX empowers students to learn in their own way. Connected with AI, this approach makes learning fun and personal. We believe in the power of fun and interactive learning</t>
        </is>
      </c>
      <c r="H378" s="1" t="inlineStr">
        <is>
          <t>Dutch EdTech</t>
        </is>
      </c>
      <c r="I378" s="1" t="inlineStr">
        <is>
          <t>English, Dutch</t>
        </is>
      </c>
      <c r="J378" s="1" t="inlineStr">
        <is>
          <t>Den Haag</t>
        </is>
      </c>
      <c r="K378" t="inlineStr">
        <is>
          <t>Den Haag</t>
        </is>
      </c>
      <c r="L378" t="inlineStr">
        <is>
          <t>Den Haag, The Netherlands</t>
        </is>
      </c>
      <c r="M378" t="n">
        <v>52.0749456</v>
      </c>
      <c r="N378" t="n">
        <v>4.2696802</v>
      </c>
      <c r="O378" s="1" t="inlineStr">
        <is>
          <t>The Netherlands</t>
        </is>
      </c>
      <c r="P378" s="1" t="inlineStr">
        <is>
          <t>Netherlands</t>
        </is>
      </c>
      <c r="Q378" s="1" t="inlineStr">
        <is>
          <t>3 to 5</t>
        </is>
      </c>
      <c r="R378" t="inlineStr">
        <is>
          <t>Micro</t>
        </is>
      </c>
      <c r="S378" s="1" t="inlineStr">
        <is>
          <t>Business to Consumer</t>
        </is>
      </c>
      <c r="T378" s="1" t="inlineStr">
        <is>
          <t>Primary Education, Secondary Education</t>
        </is>
      </c>
      <c r="U378" s="1" t="inlineStr">
        <is>
          <t>System/Administrative, Student interfacing, Teacher interfacing</t>
        </is>
      </c>
      <c r="V378" s="1" t="inlineStr">
        <is>
          <t>Wised Platform</t>
        </is>
      </c>
      <c r="W378" s="1" t="inlineStr">
        <is>
          <t>Provides adaptive learning through interactive modules connected with AI</t>
        </is>
      </c>
      <c r="X378" s="10" t="inlineStr">
        <is>
          <t>Educational Gadgets</t>
        </is>
      </c>
      <c r="Y378" t="inlineStr">
        <is>
          <t>From Arduino to raspberry pi and DIY to VR applications. EduvolutionX is provides different educational STEAM modules to learn about interesting topics.</t>
        </is>
      </c>
      <c r="Z378" s="1" t="inlineStr">
        <is>
          <t>https://drive.google.com/uc?export=view&amp;id=1-uJgN80nDfAzGxhggOO9sQIJ8cVAERHc</t>
        </is>
      </c>
      <c r="AA378" s="1" t="inlineStr">
        <is>
          <t>Unverified</t>
        </is>
      </c>
      <c r="AB378" s="1" t="n"/>
      <c r="AC378" s="1" t="n"/>
      <c r="AD378" s="10" t="n"/>
      <c r="AE378" s="1" t="n"/>
      <c r="AF378" s="1" t="inlineStr">
        <is>
          <t>Yes</t>
        </is>
      </c>
      <c r="AG378" s="1" t="inlineStr">
        <is>
          <t>https://www.linkedin.com/company/eduvolutionx/</t>
        </is>
      </c>
      <c r="AH378" s="1" t="inlineStr">
        <is>
          <t>https://www.linkedin.com/company/eduvolutionx/</t>
        </is>
      </c>
      <c r="AI378" t="inlineStr">
        <is>
          <t>https://www.linkedin.com/company/eduvolutionx/</t>
        </is>
      </c>
    </row>
    <row r="379" ht="12.5" customHeight="1">
      <c r="A379" s="6" t="n">
        <v>45496</v>
      </c>
      <c r="B379" s="1" t="inlineStr">
        <is>
          <t>ORG_2544</t>
        </is>
      </c>
      <c r="C379" s="1" t="b">
        <v>1</v>
      </c>
      <c r="D379" s="1" t="inlineStr">
        <is>
          <t>Wizzie</t>
        </is>
      </c>
      <c r="E379" s="10" t="inlineStr">
        <is>
          <t>https://www.mywizzie.com/</t>
        </is>
      </c>
      <c r="F379" t="inlineStr">
        <is>
          <t>mywizzie.com</t>
        </is>
      </c>
      <c r="G379" s="1" t="inlineStr">
        <is>
          <t>At Datalake Creative, our mission is to create the ultimate language learning tool based on reading and to make it universally accessible to everyone.
The AI-powered Wizzie app provides a free, fun, and effective way to learn English through reading. Wizzie is designed to improve vocabulary, pronunciation, spelling, and comprehension.
Wizzie supports and engages learners in their reading adventures, transforming every new word into an opportunity for growth rather than a stumbling block.
Wizzie is for:
• English language learners
• Students preparing for English exams
• English as a second language (ESL) learners
• Learners with reading and learning differences</t>
        </is>
      </c>
      <c r="H379" s="1" t="inlineStr">
        <is>
          <t>I'm not part of any EdTech association</t>
        </is>
      </c>
      <c r="I379" s="1" t="inlineStr">
        <is>
          <t>English</t>
        </is>
      </c>
      <c r="J379" s="1" t="inlineStr">
        <is>
          <t>Stowmarket</t>
        </is>
      </c>
      <c r="K379" t="inlineStr">
        <is>
          <t>Stowmarket</t>
        </is>
      </c>
      <c r="L379" t="inlineStr">
        <is>
          <t>Stowmarket, United Kingdom</t>
        </is>
      </c>
      <c r="M379" t="n">
        <v>52.1878147</v>
      </c>
      <c r="N379" t="n">
        <v>0.9973428</v>
      </c>
      <c r="O379" s="1" t="inlineStr">
        <is>
          <t>United Kingdom</t>
        </is>
      </c>
      <c r="P379" s="1" t="inlineStr">
        <is>
          <t>United Kingdom</t>
        </is>
      </c>
      <c r="Q379" s="1" t="inlineStr">
        <is>
          <t>0 to 2</t>
        </is>
      </c>
      <c r="R379" t="inlineStr">
        <is>
          <t>Solo entrepreneur</t>
        </is>
      </c>
      <c r="S379" s="1" t="inlineStr">
        <is>
          <t>Business to Business, Business to Schools, Business to Consumer, Business to Government</t>
        </is>
      </c>
      <c r="T379" s="1" t="inlineStr">
        <is>
          <t>Primary Education, Secondary Education, Corporate Training, Lifelong learning/Adult education, Vocational Education and Training (VET)</t>
        </is>
      </c>
      <c r="U379" s="1" t="inlineStr">
        <is>
          <t>System/Administrative, Student interfacing</t>
        </is>
      </c>
      <c r="V379" s="10" t="inlineStr">
        <is>
          <t>Wizzie</t>
        </is>
      </c>
      <c r="W379" s="10" t="inlineStr">
        <is>
          <t>Designed to improve vocabulary, pronunciation, spelling, and comprehension, the AI powered Wizzie app provides a free, fun, and effective way to learn English through reading. 
Features:
• Instantly defines words and clarifies idioms while reading printed or handwritten text.
• Allows saving and categorizing words for easy access and review.
• Provides instant translations by setting the native language.
• Includes adaptive reading aids like color overlays, text-to-audio, and adjustable fonts.</t>
        </is>
      </c>
      <c r="X379" s="10" t="inlineStr">
        <is>
          <t>https://drive.google.com/uc?export=view&amp;id=1UJsFCFwMIKbVPwHMUYqvCOCvrzcoRYCY</t>
        </is>
      </c>
      <c r="Y379" t="inlineStr">
        <is>
          <t>https://drive.google.com/uc?export=view&amp;id=1UJsFCFwMIKbVPwHMUYqvCOCvrzcoRYCY</t>
        </is>
      </c>
      <c r="Z379" s="1" t="inlineStr">
        <is>
          <t>https://drive.google.com/uc?export=view&amp;id=1UJsFCFwMIKbVPwHMUYqvCOCvrzcoRYCY</t>
        </is>
      </c>
      <c r="AA379" s="1" t="inlineStr">
        <is>
          <t>Unverified</t>
        </is>
      </c>
      <c r="AB379" s="1" t="n"/>
      <c r="AC379" s="1" t="n"/>
      <c r="AD379" s="10" t="n"/>
      <c r="AE379" s="1" t="n"/>
      <c r="AF379" t="inlineStr">
        <is>
          <t>Yes</t>
        </is>
      </c>
      <c r="AG379" t="inlineStr">
        <is>
          <t>https://www.instagram.com/wizzieapp/</t>
        </is>
      </c>
      <c r="AH379" t="inlineStr">
        <is>
          <t>https://twitter.com/wizzieapp/</t>
        </is>
      </c>
      <c r="AI379" t="inlineStr">
        <is>
          <t>https://www.linkedin.com/company/wizzieapp/</t>
        </is>
      </c>
    </row>
    <row r="380" ht="12.5" customHeight="1">
      <c r="A380" s="6" t="n">
        <v>45495</v>
      </c>
      <c r="B380" s="1" t="inlineStr">
        <is>
          <t>ORG_2103</t>
        </is>
      </c>
      <c r="C380" s="1" t="b">
        <v>1</v>
      </c>
      <c r="D380" s="1" t="inlineStr">
        <is>
          <t>PioGroup</t>
        </is>
      </c>
      <c r="E380" s="10" t="inlineStr">
        <is>
          <t>https://piogroup.net/</t>
        </is>
      </c>
      <c r="F380" t="inlineStr">
        <is>
          <t>piogroup.net</t>
        </is>
      </c>
      <c r="G380" s="1" t="inlineStr">
        <is>
          <t>PioGroup Software is a company with a primary focus on EdTech solutions &amp; particularly building custom LMS, SCORM, pre-built solutions, custom modules, instructional design, 3rd party integrations, and mobile apps. We are on a mission to help organizations optimize educational opportunities through continuous integration of cutting-edge technologies in the learning process.
PioGroup Software is headquartered in the UK with office development hubs in Central and Eastern Europe. We provide a cross-functional global delivery model which reduces software development costs and increases speed to market.</t>
        </is>
      </c>
      <c r="H380" s="1" t="inlineStr">
        <is>
          <t>I'm not part of any EdTech association</t>
        </is>
      </c>
      <c r="I380" s="1" t="inlineStr">
        <is>
          <t>English</t>
        </is>
      </c>
      <c r="J380" s="1" t="inlineStr">
        <is>
          <t>London</t>
        </is>
      </c>
      <c r="K380" t="inlineStr">
        <is>
          <t>London</t>
        </is>
      </c>
      <c r="L380" t="inlineStr">
        <is>
          <t>London, United Kingdom</t>
        </is>
      </c>
      <c r="M380" t="n">
        <v>51.5074456</v>
      </c>
      <c r="N380" t="n">
        <v>-0.1277653</v>
      </c>
      <c r="O380" s="1" t="inlineStr">
        <is>
          <t>United Kingdom</t>
        </is>
      </c>
      <c r="P380" s="1" t="inlineStr">
        <is>
          <t>Austria, Belgium, Denmark, Finland, Germany, Netherlands, Ukraine, United Kingdom</t>
        </is>
      </c>
      <c r="Q380" s="1" t="inlineStr">
        <is>
          <t>11 to 50</t>
        </is>
      </c>
      <c r="R380" t="inlineStr">
        <is>
          <t>Small</t>
        </is>
      </c>
      <c r="S380" s="1" t="inlineStr">
        <is>
          <t>Business to Business, Business to Schools, Business to Consumer</t>
        </is>
      </c>
      <c r="T380" s="1" t="inlineStr">
        <is>
          <t>Corporate Training, Lifelong learning/Adult education, Vocational Education and Training (VET), Higher Education</t>
        </is>
      </c>
      <c r="U380" s="1" t="inlineStr">
        <is>
          <t>Teacher interfacing, System/Administrative, Student interfacing</t>
        </is>
      </c>
      <c r="V380" s="10" t="inlineStr">
        <is>
          <t>EdTech software development</t>
        </is>
      </c>
      <c r="W380" s="1" t="inlineStr">
        <is>
          <t>Our suite of technology solutions encompasses a range of cutting-edge developments aimed at improving various aspects of education, training, and workforce management. Specializing in Node.js, PHP, Python, Go, React.js / React Native, Angular, Vue.js, Swift, Symfony, Laravel, Magento, Wordpress, Docker, AWS, Java, Scala, Spring Boot, BI Development, Microsoft Azure, .NET Core, C#, ASP.NET MVC, etc.</t>
        </is>
      </c>
      <c r="X380" s="10" t="inlineStr">
        <is>
          <t>Pre-built LMS solution</t>
        </is>
      </c>
      <c r="Y380" t="inlineStr">
        <is>
          <t>We have our own product - DrivEd LMS. DrivEd LMS is a powerful learning platform with various configurations for educational businesses as well as employee training solutions. It’s a pre-built solution, which can save time and money rather than develop software from scratch.</t>
        </is>
      </c>
      <c r="Z380" s="1" t="inlineStr">
        <is>
          <t>https://drive.google.com/uc?export=view&amp;id=1yNu9dj0CWalapMprBk9pXWyfmWIeERzp</t>
        </is>
      </c>
      <c r="AA380" s="1" t="inlineStr">
        <is>
          <t>Unverified</t>
        </is>
      </c>
      <c r="AB380" s="1" t="n"/>
      <c r="AC380" s="1" t="n"/>
      <c r="AD380" s="10" t="n"/>
      <c r="AE380" s="1" t="n"/>
      <c r="AF380" s="1" t="inlineStr">
        <is>
          <t>Yes</t>
        </is>
      </c>
      <c r="AG380" s="1" t="inlineStr">
        <is>
          <t>https://www.instagram.com/piogroup_software/</t>
        </is>
      </c>
      <c r="AH380" s="1" t="inlineStr">
        <is>
          <t>https://www.linkedin.com/company/10346147</t>
        </is>
      </c>
      <c r="AI380" t="inlineStr">
        <is>
          <t>https://www.linkedin.com/company/10346147</t>
        </is>
      </c>
    </row>
    <row r="381" ht="12.5" customHeight="1">
      <c r="A381" s="6" t="n">
        <v>45493</v>
      </c>
      <c r="B381" s="1" t="inlineStr">
        <is>
          <t>ORG_1527</t>
        </is>
      </c>
      <c r="C381" s="1" t="b">
        <v>1</v>
      </c>
      <c r="D381" s="1" t="inlineStr">
        <is>
          <t>everyone codes</t>
        </is>
      </c>
      <c r="E381" s="10" t="inlineStr">
        <is>
          <t>https://everyonecodes.io/</t>
        </is>
      </c>
      <c r="F381" t="inlineStr">
        <is>
          <t>everyonecodes.io</t>
        </is>
      </c>
      <c r="G381" s="1" t="inlineStr">
        <is>
          <t>Our mission is to help people start a better professional future in the field of IT.</t>
        </is>
      </c>
      <c r="H381" s="1" t="inlineStr">
        <is>
          <t>EdTech Austria</t>
        </is>
      </c>
      <c r="I381" s="1" t="inlineStr">
        <is>
          <t>English</t>
        </is>
      </c>
      <c r="J381" s="1" t="inlineStr">
        <is>
          <t>Vienna</t>
        </is>
      </c>
      <c r="K381" t="inlineStr">
        <is>
          <t>Vienna</t>
        </is>
      </c>
      <c r="L381" t="inlineStr">
        <is>
          <t>Vienna, Austria</t>
        </is>
      </c>
      <c r="M381" t="n">
        <v>48.2083537</v>
      </c>
      <c r="N381" t="n">
        <v>16.3725042</v>
      </c>
      <c r="O381" s="1" t="inlineStr">
        <is>
          <t>Austria</t>
        </is>
      </c>
      <c r="P381" s="1" t="inlineStr">
        <is>
          <t>Austria</t>
        </is>
      </c>
      <c r="Q381" s="1" t="inlineStr">
        <is>
          <t>6 to 10</t>
        </is>
      </c>
      <c r="R381" t="inlineStr">
        <is>
          <t>Micro</t>
        </is>
      </c>
      <c r="S381" s="1" t="inlineStr">
        <is>
          <t>Business to Business</t>
        </is>
      </c>
      <c r="T381" s="1" t="inlineStr">
        <is>
          <t>Corporate Training, Lifelong learning/Adult education</t>
        </is>
      </c>
      <c r="U381" s="1" t="inlineStr">
        <is>
          <t>Student interfacing</t>
        </is>
      </c>
      <c r="V381" s="1" t="inlineStr">
        <is>
          <t>full-time programmes</t>
        </is>
      </c>
      <c r="W381" s="1" t="inlineStr">
        <is>
          <t>We offer different programmes to help people to start a better professional future.
All details see on the website: https://everyonecodes.io</t>
        </is>
      </c>
      <c r="X381" s="10" t="inlineStr">
        <is>
          <t>short-term workshops</t>
        </is>
      </c>
      <c r="Y381" t="inlineStr">
        <is>
          <t>We offer short-term programmes to aquire different skills and knowledge.
All details see on the website: https://everyonecodes.io</t>
        </is>
      </c>
      <c r="Z381" s="1" t="inlineStr">
        <is>
          <t>https://drive.google.com/uc?export=view&amp;id=192mk0iNtChldVg6kvO3cwrdf7HY1snVY</t>
        </is>
      </c>
      <c r="AA381" s="1" t="inlineStr">
        <is>
          <t>Unverified</t>
        </is>
      </c>
      <c r="AB381" s="1" t="n"/>
      <c r="AC381" s="1" t="n"/>
      <c r="AD381" s="10" t="n"/>
      <c r="AE381" s="1" t="n"/>
      <c r="AF381" s="1" t="inlineStr">
        <is>
          <t>Yes</t>
        </is>
      </c>
      <c r="AG381" s="1" t="inlineStr">
        <is>
          <t>https://www.linkedin.com/company/everyonecodes</t>
        </is>
      </c>
      <c r="AH381" s="1" t="inlineStr">
        <is>
          <t>https://www.linkedin.com/company/everyonecodes</t>
        </is>
      </c>
      <c r="AI381" t="inlineStr">
        <is>
          <t>https://www.linkedin.com/company/everyonecodes</t>
        </is>
      </c>
    </row>
    <row r="382" ht="12.5" customHeight="1">
      <c r="A382" s="6" t="n">
        <v>45491</v>
      </c>
      <c r="B382" s="1" t="inlineStr">
        <is>
          <t>ORG_1769</t>
        </is>
      </c>
      <c r="C382" s="1" t="b">
        <v>1</v>
      </c>
      <c r="D382" s="1" t="inlineStr">
        <is>
          <t>Kialo</t>
        </is>
      </c>
      <c r="E382" s="10" t="inlineStr">
        <is>
          <t>https://www.kialo-edu.com</t>
        </is>
      </c>
      <c r="F382" t="inlineStr">
        <is>
          <t>kialo-edu.com</t>
        </is>
      </c>
      <c r="G382" s="1" t="inlineStr">
        <is>
          <t>Kialo is a mission-driven company based in Berlin, Germany, founded to promote reasoned, inclusive discussions that students are genuinely interested in having. In this way, Kialo ultimately aims to make the world a more thoughtful place.</t>
        </is>
      </c>
      <c r="H382" s="1" t="inlineStr">
        <is>
          <t>I'm not part of any EdTech association</t>
        </is>
      </c>
      <c r="I382" s="1" t="inlineStr">
        <is>
          <t>English, German, Spanish, Portuguese, French</t>
        </is>
      </c>
      <c r="J382" s="1" t="inlineStr">
        <is>
          <t>Berlin</t>
        </is>
      </c>
      <c r="K382" t="inlineStr">
        <is>
          <t>Berlin</t>
        </is>
      </c>
      <c r="L382" t="inlineStr">
        <is>
          <t>Berlin, Germany</t>
        </is>
      </c>
      <c r="M382" t="n">
        <v>52.5173885</v>
      </c>
      <c r="N382" t="n">
        <v>13.3951309</v>
      </c>
      <c r="O382" s="1" t="inlineStr">
        <is>
          <t>Germany</t>
        </is>
      </c>
      <c r="P38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382" s="1" t="inlineStr">
        <is>
          <t>11 to 50</t>
        </is>
      </c>
      <c r="R382" t="inlineStr">
        <is>
          <t>Small</t>
        </is>
      </c>
      <c r="S382" s="1" t="inlineStr">
        <is>
          <t>Business to Schools, Business to Government</t>
        </is>
      </c>
      <c r="T382" s="1" t="inlineStr">
        <is>
          <t>Secondary Education, Lifelong learning/Adult education, Vocational Education and Training (VET), Higher Education</t>
        </is>
      </c>
      <c r="U382" s="1" t="inlineStr">
        <is>
          <t>Student interfacing, Teacher interfacing</t>
        </is>
      </c>
      <c r="V382" s="1" t="inlineStr">
        <is>
          <t>Kialo Edu</t>
        </is>
      </c>
      <c r="W382" s="10" t="inlineStr">
        <is>
          <t>Kialo Edu is the free tool for smarter, more productive class discussions. Starting from a central thesis, students add pros and cons, engaging with each other’s arguments to build an interactive map of the entire discussion.
Since its launch in 2019, Kialo Edu has been helping educators around the world to hold discussions that teach students to engage in critical thinking and civil discourse. Kialo Edu also increases participation and inclusivity, builds student confidence, and reduces teacher workload.</t>
        </is>
      </c>
      <c r="X382" s="10" t="inlineStr">
        <is>
          <t>https://drive.google.com/uc?export=view&amp;id=1qBZSNkvwyTDywYSbXUHzoTr8vKa3pDAZ</t>
        </is>
      </c>
      <c r="Y382" t="inlineStr">
        <is>
          <t>https://drive.google.com/uc?export=view&amp;id=1qBZSNkvwyTDywYSbXUHzoTr8vKa3pDAZ</t>
        </is>
      </c>
      <c r="Z382" s="1" t="inlineStr">
        <is>
          <t>https://drive.google.com/uc?export=view&amp;id=1qBZSNkvwyTDywYSbXUHzoTr8vKa3pDAZ</t>
        </is>
      </c>
      <c r="AA382" s="1" t="inlineStr">
        <is>
          <t>Unverified</t>
        </is>
      </c>
      <c r="AB382" s="1" t="n"/>
      <c r="AC382" s="1" t="n"/>
      <c r="AD382" s="10" t="n"/>
      <c r="AE382" s="1" t="n"/>
      <c r="AF382" t="inlineStr">
        <is>
          <t>Yes</t>
        </is>
      </c>
      <c r="AG382" t="inlineStr">
        <is>
          <t>https://x.com/kialoedu</t>
        </is>
      </c>
      <c r="AH382" t="inlineStr">
        <is>
          <t>https://x.com/kialoedu</t>
        </is>
      </c>
      <c r="AI382" t="inlineStr">
        <is>
          <t>https://www.linkedin.com/company/kialo</t>
        </is>
      </c>
    </row>
    <row r="383" ht="12.5" customHeight="1">
      <c r="A383" s="6" t="n">
        <v>45490</v>
      </c>
      <c r="B383" s="1" t="inlineStr">
        <is>
          <t>ORG_2060</t>
        </is>
      </c>
      <c r="C383" s="1" t="b">
        <v>1</v>
      </c>
      <c r="D383" s="1" t="inlineStr">
        <is>
          <t>Omnia - Smart Campus</t>
        </is>
      </c>
      <c r="E383" s="10" t="inlineStr">
        <is>
          <t>https://www.omniabuildings.nl/</t>
        </is>
      </c>
      <c r="F383" t="inlineStr">
        <is>
          <t>omniabuildings.nl</t>
        </is>
      </c>
      <c r="G383" s="1" t="inlineStr">
        <is>
          <t>Omnia develops PLEQ, smart campus software for higher education in the Netherlands. PLEQ uses sensors to measure air quality and the occupancy of study and lecture rooms, displaying real-time availability to improve the student experience. By optimizing space utilization, PLEQ ensures sufficient study and collaboration areas, enhancing educational quality, social cohesion, and student collaboration. This data helps campus management operate more efficiently and sustainably by saving energy in underutilized spaces.</t>
        </is>
      </c>
      <c r="H383" s="1" t="inlineStr">
        <is>
          <t>Dutch EdTech</t>
        </is>
      </c>
      <c r="I383" s="1" t="inlineStr">
        <is>
          <t>Dutch, English</t>
        </is>
      </c>
      <c r="J383" s="1" t="inlineStr">
        <is>
          <t>Amsterdam</t>
        </is>
      </c>
      <c r="K383" t="inlineStr">
        <is>
          <t>Amsterdam</t>
        </is>
      </c>
      <c r="L383" t="inlineStr">
        <is>
          <t>Amsterdam, The Netherlands</t>
        </is>
      </c>
      <c r="M383" t="n">
        <v>52.3701984</v>
      </c>
      <c r="N383" t="n">
        <v>4.892168</v>
      </c>
      <c r="O383" s="1" t="inlineStr">
        <is>
          <t>The Netherlands</t>
        </is>
      </c>
      <c r="P383" s="1" t="inlineStr">
        <is>
          <t>Netherlands</t>
        </is>
      </c>
      <c r="Q383" s="1" t="inlineStr">
        <is>
          <t>6 to 10</t>
        </is>
      </c>
      <c r="R383" t="inlineStr">
        <is>
          <t>Micro</t>
        </is>
      </c>
      <c r="S383" s="1" t="inlineStr">
        <is>
          <t>Business to Business, Business to Government, Business to Schools</t>
        </is>
      </c>
      <c r="T383" s="1" t="inlineStr">
        <is>
          <t>Vocational Education and Training (VET), Higher Education</t>
        </is>
      </c>
      <c r="U383" s="1" t="inlineStr">
        <is>
          <t>Student interfacing, Teacher interfacing, System/Administrative</t>
        </is>
      </c>
      <c r="V383" s="10" t="inlineStr">
        <is>
          <t>PLEQ</t>
        </is>
      </c>
      <c r="W383" s="1" t="inlineStr">
        <is>
          <t>Helps Students find collaboration or study spaces based on real time availability. Students can book and share locations to collaborate with other students. Students can rate rooms and give feedback based on their experience which get alerted to the right campus managers to solve, for example broken chairs. 
Facilitating students with a campus map that helps with enhancing campus experience for the higher education.</t>
        </is>
      </c>
      <c r="X383" s="10" t="inlineStr">
        <is>
          <t>Admin Panel + Sensors</t>
        </is>
      </c>
      <c r="Y383" t="inlineStr">
        <is>
          <t>The admin panel gives the university control over how PLEQ is presented to students, allowing for changes to the facilities in the app. The sensors gather historical data on campus real estate usage, enabling policymakers to make informed operational decisions.
Key questions answered by the admin panel include:
Which types of rooms are used more? Do we need more of these facilities?
Are the opening hours of our buildings optimal based on actual visitor data?
Are lecture halls being used efficiently to maximize educational use of existing space?</t>
        </is>
      </c>
      <c r="Z383" s="1" t="inlineStr">
        <is>
          <t>https://drive.google.com/uc?export=view&amp;id=1QNUskMomrN-D6pcAJZrEWNyB-PW1kFUk</t>
        </is>
      </c>
      <c r="AA383" s="1" t="inlineStr">
        <is>
          <t>Unverified</t>
        </is>
      </c>
      <c r="AB383" s="1" t="n"/>
      <c r="AC383" s="1" t="n"/>
      <c r="AD383" s="10" t="n"/>
      <c r="AE383" s="1" t="n"/>
      <c r="AF383" s="1" t="inlineStr">
        <is>
          <t>Yes</t>
        </is>
      </c>
      <c r="AG383" s="1" t="inlineStr">
        <is>
          <t>https://www.instagram.com/pleqcampus/</t>
        </is>
      </c>
      <c r="AH383" s="1" t="inlineStr">
        <is>
          <t>-</t>
        </is>
      </c>
      <c r="AI383" t="inlineStr">
        <is>
          <t>https://www.linkedin.com/company/omnia-smartcampus</t>
        </is>
      </c>
    </row>
    <row r="384" ht="12.5" customHeight="1">
      <c r="A384" s="6" t="n">
        <v>45489</v>
      </c>
      <c r="B384" s="1" t="inlineStr">
        <is>
          <t>ORG_1786</t>
        </is>
      </c>
      <c r="C384" s="1" t="b">
        <v>1</v>
      </c>
      <c r="D384" s="1" t="inlineStr">
        <is>
          <t>Kognity</t>
        </is>
      </c>
      <c r="E384" s="10" t="inlineStr">
        <is>
          <t>www.kognity.com</t>
        </is>
      </c>
      <c r="F384" t="inlineStr">
        <is>
          <t>kognity.com</t>
        </is>
      </c>
      <c r="G384" s="1" t="inlineStr">
        <is>
          <t>The single factor that has the highest impact on the prosperity and well-being of humankind is education. Still, technology has not yet delivered on any of its promises for better learning. At Kognity, we have set out to change this. Our vision is to radically improve learning for the world’s school students. 
By using Kognity, teachers get a variety of interactive resources, assessment support and professional development – all in one easy-to-use platform. Kognity saves teachers time, improves learning experiences and empowers students to become independent learners.
It all began with two students who wanted to create the dynamic and interactive learning resources they’d always wanted to experience in their own classrooms. Today, teachers and students in over 1000 schools and over 100 countries rely on Kognity.</t>
        </is>
      </c>
      <c r="H384" s="1" t="inlineStr">
        <is>
          <t>I'm not part of any EdTech association</t>
        </is>
      </c>
      <c r="I384" s="1" t="n"/>
      <c r="J384" s="1" t="inlineStr">
        <is>
          <t>Stockholm</t>
        </is>
      </c>
      <c r="K384" t="inlineStr">
        <is>
          <t>Stockholm</t>
        </is>
      </c>
      <c r="L384" t="inlineStr">
        <is>
          <t>Stockholm, Sweden</t>
        </is>
      </c>
      <c r="M384" t="n">
        <v>59.3251172</v>
      </c>
      <c r="N384" t="n">
        <v>18.0710935</v>
      </c>
      <c r="O384" s="1" t="inlineStr">
        <is>
          <t>Sweden</t>
        </is>
      </c>
      <c r="P38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384" s="1" t="inlineStr">
        <is>
          <t>100+</t>
        </is>
      </c>
      <c r="R384" t="inlineStr">
        <is>
          <t>Medium or Large (unspecified)</t>
        </is>
      </c>
      <c r="S384" s="1" t="inlineStr">
        <is>
          <t>Business to Business, Business to Consumer, Business to Government, Business to Schools</t>
        </is>
      </c>
      <c r="T384" s="1" t="inlineStr">
        <is>
          <t>Secondary Education</t>
        </is>
      </c>
      <c r="U384" s="1" t="inlineStr">
        <is>
          <t>Teacher interfacing</t>
        </is>
      </c>
      <c r="V384" s="1" t="n"/>
      <c r="W384" s="1" t="inlineStr">
        <is>
          <t>https://drive.google.com/uc?export=view&amp;id=167feE1eCXHjsG-MQX51cNOmfbB3CLdWU</t>
        </is>
      </c>
      <c r="X384" s="1" t="inlineStr">
        <is>
          <t>https://drive.google.com/uc?export=view&amp;id=167feE1eCXHjsG-MQX51cNOmfbB3CLdWU</t>
        </is>
      </c>
      <c r="Y384" t="inlineStr">
        <is>
          <t>https://drive.google.com/uc?export=view&amp;id=167feE1eCXHjsG-MQX51cNOmfbB3CLdWU</t>
        </is>
      </c>
      <c r="Z384" s="1" t="inlineStr">
        <is>
          <t>https://drive.google.com/uc?export=view&amp;id=167feE1eCXHjsG-MQX51cNOmfbB3CLdWU</t>
        </is>
      </c>
      <c r="AA384" s="1" t="inlineStr">
        <is>
          <t>Unverified</t>
        </is>
      </c>
      <c r="AB384" s="1" t="n"/>
      <c r="AC384" s="1" t="n"/>
      <c r="AD384" s="10" t="n"/>
      <c r="AE384" s="1" t="n"/>
      <c r="AF384" s="1" t="inlineStr">
        <is>
          <t>No</t>
        </is>
      </c>
      <c r="AG384" s="1" t="n"/>
      <c r="AH384" s="1" t="n"/>
    </row>
    <row r="385" ht="12.5" customHeight="1">
      <c r="A385" s="6" t="n">
        <v>45484</v>
      </c>
      <c r="B385" s="1" t="inlineStr">
        <is>
          <t>ORG_1153</t>
        </is>
      </c>
      <c r="C385" s="1" t="b">
        <v>1</v>
      </c>
      <c r="D385" s="1" t="inlineStr">
        <is>
          <t>BetaYeda</t>
        </is>
      </c>
      <c r="E385" s="10" t="inlineStr">
        <is>
          <t>www.beta.vision</t>
        </is>
      </c>
      <c r="F385" t="inlineStr">
        <is>
          <t>beta.vision</t>
        </is>
      </c>
      <c r="G385" s="1" t="inlineStr">
        <is>
          <t>Beta Entrepreneurship is an edtech startup focused on driving change in skill development for life success using cutting edge technology and 21st-century learning methods.
Founders are Yoav Guez and Manoel Menashe, with vast hitech experience in the global communication arena, that now dedicate their lives to driving positive change in the education world.</t>
        </is>
      </c>
      <c r="H385" s="1" t="inlineStr">
        <is>
          <t>I'm not part of any EdTech association</t>
        </is>
      </c>
      <c r="I385" s="1" t="inlineStr">
        <is>
          <t>All</t>
        </is>
      </c>
      <c r="J385" s="1" t="inlineStr">
        <is>
          <t>Hodhasharon</t>
        </is>
      </c>
      <c r="K385" t="inlineStr">
        <is>
          <t>Hodhasharon</t>
        </is>
      </c>
      <c r="L385" t="inlineStr">
        <is>
          <t>Hodhasharon, Israel</t>
        </is>
      </c>
      <c r="M385" t="n">
        <v>32.1561974</v>
      </c>
      <c r="N385" t="n">
        <v>34.8930354</v>
      </c>
      <c r="O385" s="1" t="inlineStr">
        <is>
          <t>Israel</t>
        </is>
      </c>
      <c r="P385" s="1" t="inlineStr">
        <is>
          <t>United Kingdom</t>
        </is>
      </c>
      <c r="Q385" s="1" t="inlineStr">
        <is>
          <t>0 to 2</t>
        </is>
      </c>
      <c r="R385" t="inlineStr">
        <is>
          <t>Solo entrepreneur</t>
        </is>
      </c>
      <c r="S385" s="1" t="inlineStr">
        <is>
          <t>Business to Business, Business to Schools, Business to Government</t>
        </is>
      </c>
      <c r="T385" s="1" t="inlineStr">
        <is>
          <t>Primary Education, Secondary Education, Corporate Training, Lifelong learning/Adult education, Vocational Education and Training (VET), Higher Education</t>
        </is>
      </c>
      <c r="U385" s="1" t="inlineStr">
        <is>
          <t>Teacher interfacing, System/Administrative, Student interfacing</t>
        </is>
      </c>
      <c r="V385" s="1" t="inlineStr">
        <is>
          <t>BetaYeda</t>
        </is>
      </c>
      <c r="W385" s="1" t="inlineStr">
        <is>
          <t>BetaYeda is our flagship product, an innovative SaaS platform designed to develop essential skills for success in life in the age of artificial intelligence. Our solution enables educators to create self-learning units quickly and easily, using a user-friendly interface and artificial intelligence to streamline content development and knowledge assessment processes. Our system provides users with a flexible, personalized, and effective learning experience, allowing schools,colleges and SMBs to address challenges such as a shortage of lecturers and crowded classrooms in a cost-effective and efficient manner. 
BetaYeda is specifically designed for educators and students, providing advanced technological solutions tailored to the needs of the 21st century.</t>
        </is>
      </c>
      <c r="X385" s="10" t="inlineStr">
        <is>
          <t>https://drive.google.com/uc?export=view&amp;id=1X61aJMZlBJT5HelyXP0H9KAMZ3FXbd5s</t>
        </is>
      </c>
      <c r="Y385" t="inlineStr">
        <is>
          <t>https://drive.google.com/uc?export=view&amp;id=1X61aJMZlBJT5HelyXP0H9KAMZ3FXbd5s</t>
        </is>
      </c>
      <c r="Z385" s="1" t="inlineStr">
        <is>
          <t>https://drive.google.com/uc?export=view&amp;id=1X61aJMZlBJT5HelyXP0H9KAMZ3FXbd5s</t>
        </is>
      </c>
      <c r="AA385" s="1" t="inlineStr">
        <is>
          <t>Unverified</t>
        </is>
      </c>
      <c r="AB385" s="1" t="n"/>
      <c r="AC385" s="1" t="n"/>
      <c r="AD385" s="10" t="n"/>
      <c r="AE385" s="1" t="n"/>
      <c r="AF385" t="inlineStr">
        <is>
          <t>Yes</t>
        </is>
      </c>
      <c r="AG385" t="inlineStr">
        <is>
          <t>https://www.linkedin.com/company/betabusinessinnovation/</t>
        </is>
      </c>
      <c r="AH385" t="inlineStr">
        <is>
          <t>https://www.linkedin.com/company/betabusinessinnovation/</t>
        </is>
      </c>
      <c r="AI385" t="inlineStr">
        <is>
          <t>https://www.linkedin.com/company/betabusinessinnovation/</t>
        </is>
      </c>
    </row>
    <row r="386" ht="12.5" customHeight="1">
      <c r="A386" s="6" t="n">
        <v>45484</v>
      </c>
      <c r="B386" s="1" t="inlineStr">
        <is>
          <t>ORG_1169</t>
        </is>
      </c>
      <c r="C386" s="1" t="b">
        <v>1</v>
      </c>
      <c r="D386" s="1" t="inlineStr">
        <is>
          <t>BitDegree</t>
        </is>
      </c>
      <c r="E386" s="10" t="inlineStr">
        <is>
          <t>https://www.bitdegree.org/</t>
        </is>
      </c>
      <c r="F386" t="inlineStr">
        <is>
          <t>bitdegree.org</t>
        </is>
      </c>
      <c r="G386" s="1" t="inlineStr">
        <is>
          <t>BitDegree is the leading Web3 education hub that has been at the forefront of digital education since 2017. Renowned for its innovative and user-friendly learning solutions, BitDegree has introduced over 45 million users to the Web3 space, empowering individuals worldwide with the knowledge and skills needed to excel in the evolving digital economy. Its newest adventure, Web3 Missions, helps users secure essential Web3 knowledge in an incentivized and gamified manner.</t>
        </is>
      </c>
      <c r="H386" s="1" t="inlineStr">
        <is>
          <t>EdTech Lithuania</t>
        </is>
      </c>
      <c r="I386" s="1" t="inlineStr">
        <is>
          <t>English, Portuguese, Spanish, Turkish, French, Russian, Chinese, Vietnamese, Indonesian</t>
        </is>
      </c>
      <c r="J386" s="1" t="inlineStr">
        <is>
          <t>Vilnius</t>
        </is>
      </c>
      <c r="K386" t="inlineStr">
        <is>
          <t>Vilnius</t>
        </is>
      </c>
      <c r="L386" t="inlineStr">
        <is>
          <t>Vilnius, Lithuania</t>
        </is>
      </c>
      <c r="M386" t="n">
        <v>54.6870458</v>
      </c>
      <c r="N386" t="n">
        <v>25.2829111</v>
      </c>
      <c r="O386" s="1" t="inlineStr">
        <is>
          <t>Lithuania</t>
        </is>
      </c>
      <c r="P38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386" s="1" t="inlineStr">
        <is>
          <t>11 to 50</t>
        </is>
      </c>
      <c r="R386" t="inlineStr">
        <is>
          <t>Small</t>
        </is>
      </c>
      <c r="S386" s="1" t="inlineStr">
        <is>
          <t>Business to Business, Business to Schools, Business to Consumer, Business to Government</t>
        </is>
      </c>
      <c r="T386" s="1" t="inlineStr">
        <is>
          <t>Lifelong learning/Adult education</t>
        </is>
      </c>
      <c r="U386" s="1" t="inlineStr">
        <is>
          <t>Student interfacing</t>
        </is>
      </c>
      <c r="V386" s="10" t="inlineStr">
        <is>
          <t>Educational Crypto Hub</t>
        </is>
      </c>
      <c r="W386" s="10" t="inlineStr">
        <is>
          <t>The BitDegree Educational Crypto Hub is an extensive resource for all things Web3. It houses tutorials, guides, reviews, comparisons, and other forms of informative crypto and Web3 content, all presented in English and localized into eight additional languages. The content on the Crypto Hub is thoroughly reviewed by the BitDegree Expert Analysts &amp; Contributors. The platform also features a Crypto Tracker that tracks over 21,000 cryptocurrencies, in addition to other exchange-, NFT-, and dApp-tracking tools.</t>
        </is>
      </c>
      <c r="X386" s="10" t="inlineStr">
        <is>
          <t>Web3 Missions</t>
        </is>
      </c>
      <c r="Y386" t="inlineStr">
        <is>
          <t>BitDegree's Web3 Missions are an innovative take on Web3 education. By participating in the Missions, users gain new Web3 knowledge through short, fun quiz-like tasks and social actions. The student Web3 Mission journey is rewarded with in-game points (called Bits) and a chance to win rewards like cryptocurrencies, merch, bonuses, among others.</t>
        </is>
      </c>
      <c r="Z386" s="1" t="inlineStr">
        <is>
          <t>https://drive.google.com/uc?export=view&amp;id=1P3zWqrukiddfcpqhqtBcqiqQsZSiD9jK</t>
        </is>
      </c>
      <c r="AA386" s="1" t="inlineStr">
        <is>
          <t>Unverified</t>
        </is>
      </c>
      <c r="AB386" s="1" t="n"/>
      <c r="AC386" s="1" t="n"/>
      <c r="AD386" s="10" t="n"/>
      <c r="AE386" s="1" t="n"/>
      <c r="AF386" t="inlineStr">
        <is>
          <t>Yes</t>
        </is>
      </c>
      <c r="AG386" t="inlineStr">
        <is>
          <t>https://www.instagram.com/bitdegree/</t>
        </is>
      </c>
      <c r="AH386" t="inlineStr">
        <is>
          <t>https://wwww.x.com/BitDegree</t>
        </is>
      </c>
      <c r="AI386" t="inlineStr">
        <is>
          <t>https://www.linkedin.com/company/bitdegree/</t>
        </is>
      </c>
    </row>
    <row r="387" ht="12.5" customHeight="1">
      <c r="A387" s="6" t="n">
        <v>45483</v>
      </c>
      <c r="B387" s="1" t="inlineStr">
        <is>
          <t>ORG_1418</t>
        </is>
      </c>
      <c r="C387" s="1" t="b">
        <v>1</v>
      </c>
      <c r="D387" s="1" t="inlineStr">
        <is>
          <t>edtake</t>
        </is>
      </c>
      <c r="E387" s="10" t="inlineStr">
        <is>
          <t>https://www.edtake.com/en</t>
        </is>
      </c>
      <c r="F387" t="inlineStr">
        <is>
          <t>edtake.com/en</t>
        </is>
      </c>
      <c r="G387" s="1" t="inlineStr">
        <is>
          <t>edtake is a IA platform that helps training manager to creating and producing learning content in few minutes.</t>
        </is>
      </c>
      <c r="H387" s="1" t="inlineStr">
        <is>
          <t>AFINEF, EdTech France</t>
        </is>
      </c>
      <c r="I387" s="1" t="inlineStr">
        <is>
          <t>French, English, German, Portuguese, Spanish, Italian</t>
        </is>
      </c>
      <c r="J387" s="1" t="inlineStr">
        <is>
          <t>Toulouse</t>
        </is>
      </c>
      <c r="K387" t="inlineStr">
        <is>
          <t>Toulouse</t>
        </is>
      </c>
      <c r="L387" t="inlineStr">
        <is>
          <t>Toulouse, France</t>
        </is>
      </c>
      <c r="M387" t="n">
        <v>43.6044638</v>
      </c>
      <c r="N387" t="n">
        <v>1.4442433</v>
      </c>
      <c r="O387" s="1" t="inlineStr">
        <is>
          <t>France</t>
        </is>
      </c>
      <c r="P387" s="1" t="inlineStr">
        <is>
          <t>Belgium, France, Germany, Portugal, Spain, Switzerland, United Kingdom</t>
        </is>
      </c>
      <c r="Q387" s="1" t="inlineStr">
        <is>
          <t>11 to 50</t>
        </is>
      </c>
      <c r="R387" t="inlineStr">
        <is>
          <t>Small</t>
        </is>
      </c>
      <c r="S387" s="1" t="inlineStr">
        <is>
          <t>Business to Schools, Business to Consumer</t>
        </is>
      </c>
      <c r="T387" s="1" t="inlineStr">
        <is>
          <t>Higher Education</t>
        </is>
      </c>
      <c r="U387" s="1" t="inlineStr">
        <is>
          <t>System/Administrative, Student interfacing</t>
        </is>
      </c>
      <c r="V387" s="1" t="inlineStr">
        <is>
          <t>edtake.ai</t>
        </is>
      </c>
      <c r="W387" s="1" t="inlineStr">
        <is>
          <t>edtake is the solution which enhances the productivity of training teams through a combination of AI and human expertise with an AI-assisted instructional design and production tool : 
1. Instructional design : Frame and instructional design the basis of your training. AI assists you in quickly creating your objectives, synopses, and sequences. 
2. Production : Generate learning content and activities. From your source documents (PDF, PPT, videos, URLs...), AI produces your content and transforms your media into activities such as multiple-choice questions, interactive videos, and so much more. 
3. Export : Easily export to your LMS and LXP All you have to do is export your modules. Exports: H5P, SCORM (xAPI), Word, HTML, Moodle and Rise360.</t>
        </is>
      </c>
      <c r="X387" s="10" t="inlineStr">
        <is>
          <t>EdTech freelance marketplace</t>
        </is>
      </c>
      <c r="Y387" t="inlineStr">
        <is>
          <t>edtake has also a Marketplace of 3000 freelancers with expertise in 80 skills within EdTECH sector.</t>
        </is>
      </c>
      <c r="Z387" s="10" t="inlineStr">
        <is>
          <t>https://drive.google.com/uc?export=view&amp;id=1W837jH_PBeQCejmQDYnqrlBsC2vgSvJC</t>
        </is>
      </c>
      <c r="AA387" s="1" t="inlineStr">
        <is>
          <t>Unverified</t>
        </is>
      </c>
      <c r="AB387" s="1" t="n"/>
      <c r="AC387" s="1" t="n"/>
      <c r="AD387" s="10" t="n"/>
      <c r="AE387" s="1" t="n"/>
      <c r="AF387" t="inlineStr">
        <is>
          <t>Yes</t>
        </is>
      </c>
      <c r="AG387" t="inlineStr">
        <is>
          <t>https://www.linkedin.com/company/edtake</t>
        </is>
      </c>
      <c r="AH387" t="inlineStr">
        <is>
          <t>https://www.linkedin.com/company/edtake</t>
        </is>
      </c>
      <c r="AI387" t="inlineStr">
        <is>
          <t>https://www.linkedin.com/company/edtake</t>
        </is>
      </c>
    </row>
    <row r="388" ht="12.5" customHeight="1">
      <c r="A388" s="6" t="n">
        <v>45483</v>
      </c>
      <c r="B388" s="1" t="inlineStr">
        <is>
          <t>ORG_1962</t>
        </is>
      </c>
      <c r="C388" s="1" t="b">
        <v>1</v>
      </c>
      <c r="D388" s="1" t="inlineStr">
        <is>
          <t>Micromate</t>
        </is>
      </c>
      <c r="E388" s="10" t="inlineStr">
        <is>
          <t>https://micromate.ai/</t>
        </is>
      </c>
      <c r="F388" t="inlineStr">
        <is>
          <t>micromate.ai</t>
        </is>
      </c>
      <c r="G388" s="1" t="inlineStr">
        <is>
          <t>Recognizing the need for easily accessible and quick learning options for employees, the founders of Micromate, Christoph Süess and Stefan Schöb, who initially established Paixon GmbH to develop chatbot projects, discovered a niche in e-learning. They saw the potential for chatbots in both external communication and internal applications. Since 2021, the team has been developing the software in-house. By 2023, Micromate became their main focus, involving almost all employees of Paixon GmbH. In 2023, Micromate was promoted and launched publicly via social media. By the end of 2024, the conversational assistant is expected to be further developed to enhance corporate learning with a digital assistant.
Fortunately, Micromate has a strong and diverse team of five individuals. Four team members have a computer science background, and one has a business administration background. Our team members have valuable software development, design, user perception, and computer linguistics knowledge, ensuring they possess all the necessary skills to develop chat-based learning software. The company was originally founded to develop individual software projects for chat and voice bots, providing existing knowledge on the complexity of conversational agents (CAs), such as chatbots, along with entrepreneurial experience.</t>
        </is>
      </c>
      <c r="H388" s="1" t="inlineStr">
        <is>
          <t>I'm not part of any EdTech association</t>
        </is>
      </c>
      <c r="I388" s="1" t="inlineStr">
        <is>
          <t>German, Italian, French, Dutch</t>
        </is>
      </c>
      <c r="J388" s="1" t="inlineStr">
        <is>
          <t>Zurich</t>
        </is>
      </c>
      <c r="K388" t="inlineStr">
        <is>
          <t>Zurich</t>
        </is>
      </c>
      <c r="L388" t="inlineStr">
        <is>
          <t>Zurich, Switzerland</t>
        </is>
      </c>
      <c r="M388" t="n">
        <v>47.3744489</v>
      </c>
      <c r="N388" t="n">
        <v>8.5410422</v>
      </c>
      <c r="O388" s="1" t="inlineStr">
        <is>
          <t>Switzerland</t>
        </is>
      </c>
      <c r="P388" s="1" t="inlineStr">
        <is>
          <t>Austria, Germany, Switzerland</t>
        </is>
      </c>
      <c r="Q388" s="1" t="inlineStr">
        <is>
          <t>3 to 5</t>
        </is>
      </c>
      <c r="R388" t="inlineStr">
        <is>
          <t>Micro</t>
        </is>
      </c>
      <c r="S388" s="1" t="inlineStr">
        <is>
          <t>Business to Business, Business to Schools, Business to Consumer</t>
        </is>
      </c>
      <c r="T388" s="1" t="inlineStr">
        <is>
          <t>Corporate Training, Lifelong learning/Adult education</t>
        </is>
      </c>
      <c r="U388" s="1" t="inlineStr">
        <is>
          <t>System/Administrative, Student interfacing</t>
        </is>
      </c>
      <c r="V388" s="10" t="inlineStr">
        <is>
          <t>Micromate</t>
        </is>
      </c>
      <c r="W388" s="10" t="inlineStr">
        <is>
          <t>Micromate is a conversational e-learning assistant that integrates seamlessly into existing learning environments. It deepens knowledge by conducting quizzes in microlearning sessions through natural-sounding chat conversations. Consequently, Micromate represents a minimal obstacle to employees' knowledge acquisition during brief interludes in their daily activities. It simultaneously offers the potential for employees to invest a mere five minutes in learning activities within their already demanding schedules, thanks to straightforward access and an intuitive design.</t>
        </is>
      </c>
      <c r="X388" s="10" t="inlineStr">
        <is>
          <t>https://drive.google.com/uc?export=view&amp;id=1SciFpk85YUHxS9T94o3c5k55XiyDA3vj</t>
        </is>
      </c>
      <c r="Y388" t="inlineStr">
        <is>
          <t>https://drive.google.com/uc?export=view&amp;id=1SciFpk85YUHxS9T94o3c5k55XiyDA3vj</t>
        </is>
      </c>
      <c r="Z388" s="1" t="inlineStr">
        <is>
          <t>https://drive.google.com/uc?export=view&amp;id=1SciFpk85YUHxS9T94o3c5k55XiyDA3vj</t>
        </is>
      </c>
      <c r="AA388" s="1" t="inlineStr">
        <is>
          <t>Unverified</t>
        </is>
      </c>
      <c r="AB388" s="1" t="n"/>
      <c r="AC388" s="1" t="n"/>
      <c r="AD388" s="10" t="n"/>
      <c r="AE388" s="1" t="n"/>
      <c r="AF388" s="1" t="inlineStr">
        <is>
          <t>Yes</t>
        </is>
      </c>
      <c r="AG388" s="1" t="inlineStr">
        <is>
          <t>https://www.instagram.com/micromate_learning/</t>
        </is>
      </c>
      <c r="AH388" s="1" t="inlineStr">
        <is>
          <t>https://x.com/Micromate_ai</t>
        </is>
      </c>
      <c r="AI388" t="inlineStr">
        <is>
          <t>https://www.linkedin.com/company/micromate-learning/</t>
        </is>
      </c>
    </row>
    <row r="389" ht="12.5" customHeight="1">
      <c r="A389" s="6" t="n">
        <v>45482</v>
      </c>
      <c r="B389" s="1" t="inlineStr">
        <is>
          <t>ORG_1445</t>
        </is>
      </c>
      <c r="C389" s="1" t="b">
        <v>1</v>
      </c>
      <c r="D389" s="1" t="inlineStr">
        <is>
          <t>Edulia</t>
        </is>
      </c>
      <c r="E389" s="10" t="inlineStr">
        <is>
          <t>https://edulia.it/company/</t>
        </is>
      </c>
      <c r="F389" t="inlineStr">
        <is>
          <t>edulia.it/company</t>
        </is>
      </c>
      <c r="G389" s="1" t="inlineStr">
        <is>
          <t>Edulia is born from Treccani's knowledge to accompany you on your journey towards the future. Whether you are studying or entering the job market, Edulia offers easy and intuitive tools and quality content to tackle the challenges of today and tomorrow.
As an ed-tech hub for formal and informal education, Edulia provides solutions for schools and their teachers, as well as for young people, disseminating knowledge, skills, and insights for the contemporary world.
With an original, cross-disciplinary, accessible, and certified educational offer, its goal is to actively contribute to the culture in our country and to promote the education and guidance of young people and young adults.</t>
        </is>
      </c>
      <c r="H389" s="1" t="inlineStr">
        <is>
          <t>EdTech Italia</t>
        </is>
      </c>
      <c r="I389" s="1" t="inlineStr">
        <is>
          <t>Italian</t>
        </is>
      </c>
      <c r="J389" s="1" t="inlineStr">
        <is>
          <t>Piazza Dell'Enciclopedia Italiana 4</t>
        </is>
      </c>
      <c r="K389" t="inlineStr">
        <is>
          <t>Rome</t>
        </is>
      </c>
      <c r="L389" t="inlineStr">
        <is>
          <t>Rome, Italy</t>
        </is>
      </c>
      <c r="M389" t="n">
        <v>41.8933203</v>
      </c>
      <c r="N389" t="n">
        <v>12.4829321</v>
      </c>
      <c r="O389" s="1" t="inlineStr">
        <is>
          <t>Italy</t>
        </is>
      </c>
      <c r="P389" s="1" t="inlineStr">
        <is>
          <t>Italy</t>
        </is>
      </c>
      <c r="Q389" s="1" t="inlineStr">
        <is>
          <t>11 to 50</t>
        </is>
      </c>
      <c r="R389" t="inlineStr">
        <is>
          <t>Small</t>
        </is>
      </c>
      <c r="S389" s="1" t="inlineStr">
        <is>
          <t>Business to Business, Business to Schools, Business to Consumer</t>
        </is>
      </c>
      <c r="T389" s="1" t="inlineStr">
        <is>
          <t>Secondary Education, Corporate Training, Lifelong learning/Adult education</t>
        </is>
      </c>
      <c r="U389" s="1" t="inlineStr">
        <is>
          <t>Student interfacing, Teacher interfacing, System/Administrative</t>
        </is>
      </c>
      <c r="V389" s="1" t="inlineStr">
        <is>
          <t>Edulia Masterclass</t>
        </is>
      </c>
      <c r="W389" s="1" t="inlineStr">
        <is>
          <t>Edulia Masterclass is the portal dedicated to those who always want to learn something new.
Our courses are designed for beginners, the curious, scholars, enthusiasts, and dreamers.
The topics range from A to Z: from business to writing, marketing to personal growth, including art, sports, music, and photography.
https://edulia.it/</t>
        </is>
      </c>
      <c r="X389" s="10" t="inlineStr">
        <is>
          <t>Edulia Treccani Scuola</t>
        </is>
      </c>
      <c r="Y389" t="inlineStr">
        <is>
          <t>Under the Edulia Treccani Scuola brand, Edulia operates in the education sector: an original, cross-disciplinary, accessible, and certified educational offer to actively contribute to building a new vision of culture in Italy, using digital tools and quality content to bring innovation in teaching and meet the needs of the entire educational community. Edulia Treccani Scuola offers tools for learning for teachers (InPratica) and students (InClasse).
https://scuola.edulia.it/</t>
        </is>
      </c>
      <c r="Z389" s="1" t="inlineStr">
        <is>
          <t>https://drive.google.com/uc?export=view&amp;id=1TZOr6Iw9uQt6xALwF3Fh--g9WCsMR5VR</t>
        </is>
      </c>
      <c r="AA389" s="1" t="inlineStr">
        <is>
          <t>Unverified</t>
        </is>
      </c>
      <c r="AB389" s="1" t="n"/>
      <c r="AC389" s="1" t="n"/>
      <c r="AD389" s="10" t="n"/>
      <c r="AE389" s="1" t="n"/>
      <c r="AF389" s="1" t="inlineStr">
        <is>
          <t>Yes</t>
        </is>
      </c>
      <c r="AG389" s="1" t="inlineStr">
        <is>
          <t>@Edulia_TreccaniScuola</t>
        </is>
      </c>
      <c r="AH389" s="1" t="inlineStr">
        <is>
          <t>https://www.linkedin.com/company/eduliatreccani</t>
        </is>
      </c>
      <c r="AI389" t="inlineStr">
        <is>
          <t>https://www.linkedin.com/company/eduliatreccani</t>
        </is>
      </c>
    </row>
    <row r="390" ht="12.5" customHeight="1">
      <c r="A390" s="6" t="n">
        <v>45481</v>
      </c>
      <c r="B390" s="1" t="inlineStr">
        <is>
          <t>ORG_1896</t>
        </is>
      </c>
      <c r="C390" s="1" t="b">
        <v>1</v>
      </c>
      <c r="D390" s="1" t="inlineStr">
        <is>
          <t>Luxembourg Media and Digital Design</t>
        </is>
      </c>
      <c r="E390" s="10" t="inlineStr">
        <is>
          <t>https://www.lmddc.lu</t>
        </is>
      </c>
      <c r="F390" t="inlineStr">
        <is>
          <t>lmddc.lu</t>
        </is>
      </c>
      <c r="G390" s="1" t="inlineStr">
        <is>
          <t>The Luxembourg Media and Digital Design Centre (LMDDC) is an Economic Interest Grouping gathering the Ministry of Education, Children and Youth (MENEJ), the Ministry of Higher Education and Research (MESR), and the Luxembourg Institute of Science and Technology (LIST).
We are the public EdTech one-stop-shop in Luxembourg, acting as non for profit digital innovation centre dedicated to training and learning. We design, implement and deploy innovative digital content for the local education, training and learning ecosystem. Additionally, we bring together EdTech providers, digital content and media creators, public institutions, educators, citizens and researchers.</t>
        </is>
      </c>
      <c r="H390" s="1" t="inlineStr">
        <is>
          <t>I'm not part of any EdTech association</t>
        </is>
      </c>
      <c r="I390" s="1" t="inlineStr">
        <is>
          <t>English, French, German, Luxembourgish</t>
        </is>
      </c>
      <c r="J390" s="1" t="inlineStr">
        <is>
          <t>Belval</t>
        </is>
      </c>
      <c r="K390" t="inlineStr">
        <is>
          <t>Belval</t>
        </is>
      </c>
      <c r="L390" t="inlineStr">
        <is>
          <t>Belval, Luxembourg</t>
        </is>
      </c>
      <c r="M390" t="n">
        <v>49.5036259</v>
      </c>
      <c r="N390" t="n">
        <v>5.9487155</v>
      </c>
      <c r="O390" s="1" t="inlineStr">
        <is>
          <t>Luxembourg</t>
        </is>
      </c>
      <c r="P390" s="1" t="inlineStr">
        <is>
          <t>Luxembourg</t>
        </is>
      </c>
      <c r="Q390" s="1" t="inlineStr">
        <is>
          <t>11 to 50</t>
        </is>
      </c>
      <c r="R390" t="inlineStr">
        <is>
          <t>Small</t>
        </is>
      </c>
      <c r="S390" s="1" t="inlineStr">
        <is>
          <t>Business to Business, Business to Schools, Business to Government</t>
        </is>
      </c>
      <c r="T390" s="1" t="inlineStr">
        <is>
          <t>Primary Education, Secondary Education, Corporate Training, Lifelong learning/Adult education, Vocational Education and Training (VET), Higher Education</t>
        </is>
      </c>
      <c r="U390" s="1" t="inlineStr">
        <is>
          <t>Teacher interfacing, System/Administrative, Student interfacing</t>
        </is>
      </c>
      <c r="V390" s="1" t="inlineStr">
        <is>
          <t>Platfoms, tools and technical assistance</t>
        </is>
      </c>
      <c r="W390" s="10" t="inlineStr">
        <is>
          <t>We develop hosting platforms for digital learning (e.g. to host a Moodle course) and tools (free, collaborative, open); we also provide technical advice and assistance (e.g. design and implementation of a digital training strategy, creation of technological and pedagogical content for e-learning purposes).</t>
        </is>
      </c>
      <c r="X390" s="10" t="inlineStr">
        <is>
          <t>Innovative digital education content</t>
        </is>
      </c>
      <c r="Y390" t="inlineStr">
        <is>
          <t>We create and implement innovative digital media for in situ and online digital learning (e.g. 2D/3D, AV/VR videos/animations, development of mobile games and video games, creation of a chatbot with generative AI); we organise of hands-on workshops to raise awareness of the use of these technologies in education; we also run a complementary blog: https://skilltech.cafe</t>
        </is>
      </c>
      <c r="Z390" s="1" t="inlineStr">
        <is>
          <t>https://drive.google.com/uc?export=view&amp;id=14yRcdY7sOmfImPt84e8ZpwdVqqPvulXK</t>
        </is>
      </c>
      <c r="AA390" s="1" t="inlineStr">
        <is>
          <t>Unverified</t>
        </is>
      </c>
      <c r="AB390" s="1" t="n"/>
      <c r="AC390" s="1" t="n"/>
      <c r="AD390" s="10" t="n"/>
      <c r="AE390" s="1" t="n"/>
      <c r="AF390" t="inlineStr">
        <is>
          <t>Yes</t>
        </is>
      </c>
      <c r="AG390" t="inlineStr">
        <is>
          <t>https://x.com/skilltech_LU</t>
        </is>
      </c>
      <c r="AH390" t="inlineStr">
        <is>
          <t>https://x.com/skilltech_LU</t>
        </is>
      </c>
      <c r="AI390" t="inlineStr">
        <is>
          <t>https://www.linkedin.com/company/81318169/admin/dashboard/</t>
        </is>
      </c>
    </row>
    <row r="391" ht="12.5" customHeight="1">
      <c r="A391" s="6" t="n">
        <v>45476</v>
      </c>
      <c r="B391" s="1" t="inlineStr">
        <is>
          <t>ORG_1112</t>
        </is>
      </c>
      <c r="C391" s="1" t="b">
        <v>1</v>
      </c>
      <c r="D391" s="1" t="inlineStr">
        <is>
          <t>Astra AI</t>
        </is>
      </c>
      <c r="E391" s="10" t="inlineStr">
        <is>
          <t>https://astra.si/en/astra-ai/</t>
        </is>
      </c>
      <c r="F391" t="inlineStr">
        <is>
          <t>astra.si/en/astra-ai</t>
        </is>
      </c>
      <c r="G391" s="1" t="inlineStr">
        <is>
          <t>ASTRA AI is the most advanced AI tutor that leverages the power of artificial intelligence and operates based on the most sophisticated language model, GPT-4o. It is available to anyone who would like to get help with learning mathematics and is much cheaper than traditional tutoring. We designed Astra AI so that the user experience is very similar to tutoring, with answers that adapt to your level of knowledge.</t>
        </is>
      </c>
      <c r="H391" s="1" t="inlineStr">
        <is>
          <t>I'm not part of any EdTech association</t>
        </is>
      </c>
      <c r="I391" s="1" t="inlineStr">
        <is>
          <t>English, Slovenian, Croatian</t>
        </is>
      </c>
      <c r="J391" s="1" t="inlineStr">
        <is>
          <t>Ljubljana</t>
        </is>
      </c>
      <c r="K391" t="inlineStr">
        <is>
          <t>Ljubljana</t>
        </is>
      </c>
      <c r="L391" t="inlineStr">
        <is>
          <t>Ljubljana, Slovenia</t>
        </is>
      </c>
      <c r="M391" t="n">
        <v>46.0500268</v>
      </c>
      <c r="N391" t="n">
        <v>14.5069289</v>
      </c>
      <c r="O391" s="1" t="inlineStr">
        <is>
          <t>Slovenia</t>
        </is>
      </c>
      <c r="P391" s="1" t="inlineStr">
        <is>
          <t>Croatia, Slovenia</t>
        </is>
      </c>
      <c r="Q391" s="1" t="inlineStr">
        <is>
          <t>0 to 2</t>
        </is>
      </c>
      <c r="R391" t="inlineStr">
        <is>
          <t>Solo entrepreneur</t>
        </is>
      </c>
      <c r="S391" s="1" t="inlineStr">
        <is>
          <t>Business to Consumer</t>
        </is>
      </c>
      <c r="T391" s="1" t="inlineStr">
        <is>
          <t>Primary Education, Secondary Education</t>
        </is>
      </c>
      <c r="U391" s="1" t="inlineStr">
        <is>
          <t>Student interfacing</t>
        </is>
      </c>
      <c r="V391" s="10" t="inlineStr">
        <is>
          <t>Astra AI</t>
        </is>
      </c>
      <c r="W391" s="1" t="inlineStr">
        <is>
          <t>ASTRA AI is the most advanced AI tutor that leverages the power of artificial intelligence and operates based on the most sophisticated language model, GPT-4. It is available to anyone who would like to get help with learning mathematics and is much cheaper than traditional tutoring. We designed Astra AI so that the user experience is very similar to tutoring, with answers that adapt to your level of knowledge.</t>
        </is>
      </c>
      <c r="X391" s="10" t="inlineStr">
        <is>
          <t>Matura AI</t>
        </is>
      </c>
      <c r="Y391" t="inlineStr">
        <is>
          <t>Matura AI is a digital instructor that uses the most advanced artificial intelligence model, trained with solutions and procedures from the final exams of the past 20 years, to provide you with the best possible preparation for the matura exam.</t>
        </is>
      </c>
      <c r="Z391" s="1" t="inlineStr">
        <is>
          <t>https://drive.google.com/uc?export=view&amp;id=1paK-hsfO4S6AEZyLP000Cdiio1c969Eo</t>
        </is>
      </c>
      <c r="AA391" s="1" t="inlineStr">
        <is>
          <t>Unverified</t>
        </is>
      </c>
      <c r="AB391" s="1" t="n"/>
      <c r="AC391" s="1" t="n"/>
      <c r="AD391" s="10" t="n"/>
      <c r="AE391" s="1" t="n"/>
      <c r="AF391" t="inlineStr">
        <is>
          <t>Yes</t>
        </is>
      </c>
      <c r="AG391" t="inlineStr">
        <is>
          <t>https://www.instagram.com/astra_ai_official/</t>
        </is>
      </c>
      <c r="AH391" t="inlineStr">
        <is>
          <t>https://www.linkedin.com/company/astra-si/</t>
        </is>
      </c>
      <c r="AI391" t="inlineStr">
        <is>
          <t>https://www.linkedin.com/company/astra-si/</t>
        </is>
      </c>
    </row>
    <row r="392" ht="12.5" customHeight="1">
      <c r="A392" s="6" t="n">
        <v>45475</v>
      </c>
      <c r="B392" s="1" t="inlineStr">
        <is>
          <t>ORG_2038</t>
        </is>
      </c>
      <c r="C392" s="1" t="b">
        <v>1</v>
      </c>
      <c r="D392" s="1" t="inlineStr">
        <is>
          <t>Night Zookeeper</t>
        </is>
      </c>
      <c r="E392" s="10" t="inlineStr">
        <is>
          <t>http://www.nightzookeeper.com</t>
        </is>
      </c>
      <c r="F392" t="inlineStr">
        <is>
          <t>nightzookeeper.com</t>
        </is>
      </c>
      <c r="G392" s="1" t="inlineStr">
        <is>
          <t>Night Zookeeper makes reading and writing fantastically fun for children, whilst improving their spelling, punctuation, grammar, vocabulary and creativity. 
On Night Zookeeper, children join the magical world of the Night Zoo, inventing their own characters to help Night Zookeeper Will, Sam the Spying Giraffe, and Riya defeat the evil Lord of Nulth from destroying creativity.
Alongside the BAFTA-nominated Night Zookeeper website and apps are a series of award-winning adventure books and an animated TV show, which aired on SKY TV in the UK, MangoTV in China and Siminn in Iceland.</t>
        </is>
      </c>
      <c r="H392" s="1" t="inlineStr">
        <is>
          <t>I'm not part of any EdTech association</t>
        </is>
      </c>
      <c r="I392" s="1" t="inlineStr">
        <is>
          <t>English</t>
        </is>
      </c>
      <c r="J392" s="1" t="inlineStr">
        <is>
          <t>Charecroft Road</t>
        </is>
      </c>
      <c r="K392" t="inlineStr">
        <is>
          <t>Charecroft Road</t>
        </is>
      </c>
      <c r="L392" t="inlineStr">
        <is>
          <t>Charecroft Road, United Kingdom</t>
        </is>
      </c>
      <c r="M392" t="n">
        <v>51.5028816</v>
      </c>
      <c r="N392" t="n">
        <v>-0.2188702</v>
      </c>
      <c r="O392" s="1" t="inlineStr">
        <is>
          <t>United Kingdom</t>
        </is>
      </c>
      <c r="P392" s="1" t="inlineStr">
        <is>
          <t>United Kingdom</t>
        </is>
      </c>
      <c r="Q392" s="1" t="inlineStr">
        <is>
          <t>11 to 50</t>
        </is>
      </c>
      <c r="R392" t="inlineStr">
        <is>
          <t>Small</t>
        </is>
      </c>
      <c r="S392" s="1" t="inlineStr">
        <is>
          <t>Business to Business, Business to Schools, Business to Consumer, Business to Government</t>
        </is>
      </c>
      <c r="T392" s="1" t="inlineStr">
        <is>
          <t>Primary Education</t>
        </is>
      </c>
      <c r="U392" s="1" t="inlineStr">
        <is>
          <t>System/Administrative, Student interfacing, Teacher interfacing</t>
        </is>
      </c>
      <c r="V392" s="10" t="inlineStr">
        <is>
          <t>Night Zookeeper</t>
        </is>
      </c>
      <c r="W392" s="10" t="inlineStr">
        <is>
          <t>By providing thousands of fun and engaging lessons, challenges, and games, Night Zookeeper helps children to learn new words, use them in sentences, and then create amazing pieces of writing that are shared with children from around the world. They receive feedback from our team of tutors as well as other children that highlight where they can improve. In-game awards and competitions keep them motivated to continue to learn and progress.
Children write about everything on Night Zookeeper, from stories about magical animals to instructions on how to make the perfect hot chocolate. All genres of writing are gradually introduced including newspaper articles, persuasive writing, reports, and poetry.
Night Zookeeper has been proven over and over to inspire even the most reluctant writers to develop a love of writing.</t>
        </is>
      </c>
      <c r="X392" s="10" t="inlineStr">
        <is>
          <t>https://drive.google.com/uc?export=view&amp;id=1cT2fOYtlYB09QjCpRET3Q5kNmicoP2eU</t>
        </is>
      </c>
      <c r="Y392" t="inlineStr">
        <is>
          <t>https://drive.google.com/uc?export=view&amp;id=1cT2fOYtlYB09QjCpRET3Q5kNmicoP2eU</t>
        </is>
      </c>
      <c r="Z392" s="1" t="inlineStr">
        <is>
          <t>https://drive.google.com/uc?export=view&amp;id=1cT2fOYtlYB09QjCpRET3Q5kNmicoP2eU</t>
        </is>
      </c>
      <c r="AA392" s="1" t="inlineStr">
        <is>
          <t>Unverified</t>
        </is>
      </c>
      <c r="AB392" s="1" t="n"/>
      <c r="AC392" s="1" t="n"/>
      <c r="AD392" s="10" t="n"/>
      <c r="AE392" s="1" t="n"/>
      <c r="AF392" t="inlineStr">
        <is>
          <t>Yes</t>
        </is>
      </c>
      <c r="AG392" t="inlineStr">
        <is>
          <t>https://www.instagram.com/nightzookeeper/?hl=en</t>
        </is>
      </c>
      <c r="AH392" t="inlineStr">
        <is>
          <t>https://x.com/nightzookeeper?lang=en&amp;mx=2</t>
        </is>
      </c>
      <c r="AI392" t="inlineStr">
        <is>
          <t>https://www.linkedin.com/company/night-zookeeper/?viewAsMember=true</t>
        </is>
      </c>
    </row>
    <row r="393" ht="12.5" customHeight="1">
      <c r="A393" s="6" t="n">
        <v>45471</v>
      </c>
      <c r="B393" s="1" t="inlineStr">
        <is>
          <t>ORG_1544</t>
        </is>
      </c>
      <c r="C393" s="1" t="b">
        <v>1</v>
      </c>
      <c r="D393" s="1" t="inlineStr">
        <is>
          <t>ExR - Free to Access - Virtual Reality Medical Education Platform</t>
        </is>
      </c>
      <c r="E393" s="10" t="inlineStr">
        <is>
          <t>https://exr.education</t>
        </is>
      </c>
      <c r="F393" t="inlineStr">
        <is>
          <t>exr.education</t>
        </is>
      </c>
      <c r="G393" s="1" t="inlineStr">
        <is>
          <t>ExR is a free to NHS and healthcare student, fully-immersive virtual reality medical education platform. The training content is co-developed by universities, NHS trusts, and healthcare charities and available on a single platform, working on any device. 
Training content exists in many specialties including ENT/otolaryngology, orthopaedic surgery, general medicine, radiology, emergency medicine and primary care.
All experiences have been awarded CPD points by the Royal College of Surgeons of Edinburgh. 
The experiences work on phones, tablets, computers, and virtual reality headsets including Google Cardboard, Oculus (Meta), HTC Vive, and PICO Neo.
Explore the platform now: 
https://app.exr.education/collections</t>
        </is>
      </c>
      <c r="H393" s="1" t="inlineStr">
        <is>
          <t>EdTech Austria</t>
        </is>
      </c>
      <c r="I393" s="1" t="inlineStr">
        <is>
          <t>English</t>
        </is>
      </c>
      <c r="J393" s="1" t="inlineStr">
        <is>
          <t>London</t>
        </is>
      </c>
      <c r="K393" t="inlineStr">
        <is>
          <t>London</t>
        </is>
      </c>
      <c r="L393" t="inlineStr">
        <is>
          <t>London, United Kingdom</t>
        </is>
      </c>
      <c r="M393" t="n">
        <v>51.5074456</v>
      </c>
      <c r="N393" t="n">
        <v>-0.1277653</v>
      </c>
      <c r="O393" s="1" t="inlineStr">
        <is>
          <t>United Kingdom</t>
        </is>
      </c>
      <c r="P393" s="1" t="inlineStr">
        <is>
          <t>United Kingdom</t>
        </is>
      </c>
      <c r="Q393" s="1" t="inlineStr">
        <is>
          <t>3 to 5</t>
        </is>
      </c>
      <c r="R393" t="inlineStr">
        <is>
          <t>Micro</t>
        </is>
      </c>
      <c r="S393" s="1" t="inlineStr">
        <is>
          <t>Business to Business, Business to Schools, Business to Government</t>
        </is>
      </c>
      <c r="T393" s="1" t="inlineStr">
        <is>
          <t>Secondary Education, Corporate Training, Lifelong learning/Adult education, Vocational Education and Training (VET), Higher Education</t>
        </is>
      </c>
      <c r="U393" s="1" t="inlineStr">
        <is>
          <t>Student interfacing, Teacher interfacing, System/Administrative</t>
        </is>
      </c>
      <c r="V393" s="1" t="inlineStr">
        <is>
          <t>ExR - VR Education Platform</t>
        </is>
      </c>
      <c r="W393" s="1" t="inlineStr">
        <is>
          <t>Free, device agnostic, virtual reality healthcare education platform. 
100 experiences co-developed in 15 NHS Trusts, Charities, and Universities.</t>
        </is>
      </c>
      <c r="X393" s="10" t="inlineStr">
        <is>
          <t>Bespoke VR Development</t>
        </is>
      </c>
      <c r="Y393" t="inlineStr">
        <is>
          <t>White label VR platform 
Bespoke simulation development
Immersive VR 360 film production and development</t>
        </is>
      </c>
      <c r="Z393" s="1" t="inlineStr">
        <is>
          <t>https://drive.google.com/uc?export=view&amp;id=1wv6ERHE1kOQM4b5DqeDX2f1eguka5LIZ</t>
        </is>
      </c>
      <c r="AA393" s="1" t="inlineStr">
        <is>
          <t>Unverified</t>
        </is>
      </c>
      <c r="AB393" s="1" t="n"/>
      <c r="AC393" s="1" t="n"/>
      <c r="AD393" s="10" t="n"/>
      <c r="AE393" s="1" t="n"/>
      <c r="AF393" t="inlineStr">
        <is>
          <t>Yes</t>
        </is>
      </c>
      <c r="AG393" t="inlineStr">
        <is>
          <t>https://www.linkedin.com/company/exrsolutions/</t>
        </is>
      </c>
      <c r="AH393" t="inlineStr">
        <is>
          <t>https://www.linkedin.com/company/exrsolutions/</t>
        </is>
      </c>
      <c r="AI393" t="inlineStr">
        <is>
          <t>https://www.linkedin.com/company/exrsolutions/</t>
        </is>
      </c>
    </row>
    <row r="394" ht="12.5" customHeight="1">
      <c r="A394" s="6" t="n">
        <v>45469</v>
      </c>
      <c r="B394" s="1" t="inlineStr">
        <is>
          <t>ORG_1045</t>
        </is>
      </c>
      <c r="C394" s="1" t="b">
        <v>1</v>
      </c>
      <c r="D394" s="1" t="inlineStr">
        <is>
          <t>Aktiedysten</t>
        </is>
      </c>
      <c r="E394" s="10" t="inlineStr">
        <is>
          <t>https://aktiedysten.dk/</t>
        </is>
      </c>
      <c r="F394" t="inlineStr">
        <is>
          <t>aktiedysten.dk</t>
        </is>
      </c>
      <c r="G394" s="1" t="inlineStr">
        <is>
          <t>Aktiedysten is a digital learning platform with two main components: a stock market simulation game using virtual currency and real stock prices, and an educational universe with tools and courses about economics through stock trading. Our goal is to create a motivating learning tool for all ages, developed in collaboration with educational institutions and financial experts. Aktiedysten is primarily used by teachers and students from 7th grade to university, but it is designed for anyone interested in learning about economics from the perspective of the stock market.</t>
        </is>
      </c>
      <c r="H394" s="1" t="inlineStr">
        <is>
          <t>EdTech Denmark</t>
        </is>
      </c>
      <c r="I394" s="1" t="inlineStr">
        <is>
          <t>Danish, Swedish, English, German</t>
        </is>
      </c>
      <c r="J394" s="1" t="inlineStr">
        <is>
          <t>Odense C</t>
        </is>
      </c>
      <c r="K394" t="inlineStr">
        <is>
          <t>Odense C</t>
        </is>
      </c>
      <c r="L394" t="inlineStr">
        <is>
          <t>Odense C, Denmark</t>
        </is>
      </c>
      <c r="M394" t="n">
        <v>55.3987262</v>
      </c>
      <c r="N394" t="n">
        <v>10.390772</v>
      </c>
      <c r="O394" s="1" t="inlineStr">
        <is>
          <t>Denmark</t>
        </is>
      </c>
      <c r="P394" s="1" t="inlineStr">
        <is>
          <t>Denmark, Germany, Sweden</t>
        </is>
      </c>
      <c r="Q394" s="1" t="inlineStr">
        <is>
          <t>0 to 2</t>
        </is>
      </c>
      <c r="R394" t="inlineStr">
        <is>
          <t>Solo entrepreneur</t>
        </is>
      </c>
      <c r="S394" s="1" t="inlineStr">
        <is>
          <t>Business to Business, Business to Schools, Business to Consumer, Business to Government</t>
        </is>
      </c>
      <c r="T394" s="1" t="inlineStr">
        <is>
          <t>Primary Education, Secondary Education, Corporate Training, Lifelong learning/Adult education, Vocational Education and Training (VET), Higher Education</t>
        </is>
      </c>
      <c r="U394" s="1" t="inlineStr">
        <is>
          <t>Student interfacing, Teacher interfacing</t>
        </is>
      </c>
      <c r="V394" s="10" t="inlineStr">
        <is>
          <t>Aktiedysten Premium Keys</t>
        </is>
      </c>
      <c r="W394" s="10" t="inlineStr">
        <is>
          <t>The premium model aims to offer tools that give teachers extra options to visualize risk for students and manage the game:
- Significantly higher diversification with ETFs, funds, indices, and bonds
- Rethinking balancing risk vs. return as the key to winning
- Setup for evaluating student performance and expectations</t>
        </is>
      </c>
      <c r="X394" s="10" t="inlineStr">
        <is>
          <t>Learning Competitions</t>
        </is>
      </c>
      <c r="Y394" t="inlineStr">
        <is>
          <t>Learning competitions that connect businesses and credible experts with users, providing a framework for economic education through the stock market's perspective in a fun and credible way. For example, the School Stock Market Challenge with 4,000 students participating annually.</t>
        </is>
      </c>
      <c r="Z394" s="1" t="inlineStr">
        <is>
          <t>https://drive.google.com/uc?export=view&amp;id=1V5iQ3jqJOhe-NJ0N59xMg0Q9dOz1CeTN</t>
        </is>
      </c>
      <c r="AA394" s="1" t="inlineStr">
        <is>
          <t>Unverified</t>
        </is>
      </c>
      <c r="AB394" s="1" t="n"/>
      <c r="AC394" s="1" t="n"/>
      <c r="AD394" s="10" t="n"/>
      <c r="AE394" s="1" t="n"/>
      <c r="AF394" t="inlineStr">
        <is>
          <t>Yes</t>
        </is>
      </c>
      <c r="AG394" t="inlineStr">
        <is>
          <t>https://www.instagram.com/aktiedysten</t>
        </is>
      </c>
      <c r="AH394" t="inlineStr">
        <is>
          <t>https://www.instagram.com/aktiedysten/</t>
        </is>
      </c>
      <c r="AI394" t="inlineStr">
        <is>
          <t>https://www.linkedin.com/company/12662458</t>
        </is>
      </c>
    </row>
    <row r="395" ht="12.5" customHeight="1">
      <c r="A395" s="6" t="n">
        <v>45469</v>
      </c>
      <c r="B395" s="1" t="inlineStr">
        <is>
          <t>ORG_2006</t>
        </is>
      </c>
      <c r="C395" s="1" t="b">
        <v>1</v>
      </c>
      <c r="D395" s="1" t="inlineStr">
        <is>
          <t>MYdys by FACIL'iti</t>
        </is>
      </c>
      <c r="E395" s="10" t="inlineStr">
        <is>
          <t>https://mydys.app/fr/</t>
        </is>
      </c>
      <c r="F395" t="inlineStr">
        <is>
          <t>mydys.app/fr</t>
        </is>
      </c>
      <c r="G395" s="1" t="inlineStr">
        <is>
          <t>FACIL'iti s’est développée à travers l’idée de proposer un large choix de paramétrages permettant d'adapter l’affichage d’un site internet, en fonction des besoins visuels, gestuels et cognitifs, dans une volonté de rendre l’accès au web égal à tous. Ainsi, chaque internaute rencontrant des difficultés sur internet, peut bénéficier d’une meilleure accessibilité aux sites en activant, selon ses besoins, un ou plusieurs paramétrages. Fort de notre expérience dans l'accessibilité numérique, nous avons souhaité aller plus loin pour accompagner toujours plus de personnes grâce à l'innovation. C'est ainsi qu'est née MYdys, notre application mobile d'aide à la lecture récompensée au CES de Las Vegas.</t>
        </is>
      </c>
      <c r="H395" s="1" t="inlineStr">
        <is>
          <t>EdTech France</t>
        </is>
      </c>
      <c r="I395" s="1" t="inlineStr">
        <is>
          <t>French, English</t>
        </is>
      </c>
      <c r="J395" s="1" t="inlineStr">
        <is>
          <t>Limoges</t>
        </is>
      </c>
      <c r="K395" t="inlineStr">
        <is>
          <t>Limoges</t>
        </is>
      </c>
      <c r="L395" t="inlineStr">
        <is>
          <t>Limoges, France</t>
        </is>
      </c>
      <c r="M395" t="n">
        <v>45.8354243</v>
      </c>
      <c r="N395" t="n">
        <v>1.2644847</v>
      </c>
      <c r="O395" s="1" t="inlineStr">
        <is>
          <t>France</t>
        </is>
      </c>
      <c r="P395" s="1" t="inlineStr">
        <is>
          <t>Belgium, Germany, Spain, Switzerland, United Kingdom</t>
        </is>
      </c>
      <c r="Q395" s="1" t="inlineStr">
        <is>
          <t>11 to 50</t>
        </is>
      </c>
      <c r="R395" t="inlineStr">
        <is>
          <t>Small</t>
        </is>
      </c>
      <c r="S395" s="1" t="inlineStr">
        <is>
          <t>Business to Business, Business to Schools, Business to Consumer, Business to Government</t>
        </is>
      </c>
      <c r="T395" s="1" t="inlineStr">
        <is>
          <t>Primary Education, Secondary Education, Corporate Training, Lifelong learning/Adult education, Vocational Education and Training (VET), Higher Education</t>
        </is>
      </c>
      <c r="U395" s="1" t="inlineStr">
        <is>
          <t>System/Administrative, Student interfacing, Teacher interfacing</t>
        </is>
      </c>
      <c r="V395" s="10" t="inlineStr">
        <is>
          <t>MYdys</t>
        </is>
      </c>
      <c r="W395" s="10" t="inlineStr">
        <is>
          <t>MYdys est une application conçue pour aider tout apprenant dyslexique, enfant ou adulte. Elle les accompagne dans leur vie quotidienne en facilitant la lecture et la compréhension de tous types de textes. 
Prenez un texte en photo (livre, magazine, signalétique, écran d'ordinateur, etc.), il s'adapte instantanément selon les réglages de l’utilisateur (choix de la taille de police, interlignage, espacement des caractères, identification des lettres et des chiffres confusants, lecteur d’écran…).
MYdys est disponible sur iOs et Android et compatible sur tablettes et smartphones.</t>
        </is>
      </c>
      <c r="X395" s="10" t="inlineStr">
        <is>
          <t>https://drive.google.com/uc?export=view&amp;id=1DwKrB6fjFGNMmxGxF89k6T46U5XDWwF8</t>
        </is>
      </c>
      <c r="Y395" t="inlineStr">
        <is>
          <t>https://drive.google.com/uc?export=view&amp;id=1DwKrB6fjFGNMmxGxF89k6T46U5XDWwF8</t>
        </is>
      </c>
      <c r="Z395" s="1" t="inlineStr">
        <is>
          <t>https://drive.google.com/uc?export=view&amp;id=1DwKrB6fjFGNMmxGxF89k6T46U5XDWwF8</t>
        </is>
      </c>
      <c r="AA395" s="1" t="inlineStr">
        <is>
          <t>Unverified</t>
        </is>
      </c>
      <c r="AB395" s="1" t="n"/>
      <c r="AC395" s="1" t="n"/>
      <c r="AD395" s="10" t="n"/>
      <c r="AE395" s="1" t="n"/>
      <c r="AF395" t="inlineStr">
        <is>
          <t>Yes</t>
        </is>
      </c>
      <c r="AG395" t="inlineStr">
        <is>
          <t>https://www.instagram.com/facil_iti/</t>
        </is>
      </c>
      <c r="AH395" t="inlineStr">
        <is>
          <t>https://twitter.com/facil_iti</t>
        </is>
      </c>
      <c r="AI395" t="inlineStr">
        <is>
          <t>https://www.linkedin.com/company/facil-iti-france/mycompany/</t>
        </is>
      </c>
    </row>
    <row r="396" ht="12.5" customHeight="1">
      <c r="A396" s="6" t="n">
        <v>45469</v>
      </c>
      <c r="B396" s="1" t="inlineStr">
        <is>
          <t>ORG_1028</t>
        </is>
      </c>
      <c r="C396" s="1" t="b">
        <v>1</v>
      </c>
      <c r="D396" s="1" t="inlineStr">
        <is>
          <t>Acco Learn for Business</t>
        </is>
      </c>
      <c r="E396" s="10" t="inlineStr">
        <is>
          <t>https://acco.be/en/learning-solutions-for-businesses/</t>
        </is>
      </c>
      <c r="F396" t="inlineStr">
        <is>
          <t>acco.be/en/learning-solutions-for-businesses</t>
        </is>
      </c>
      <c r="G396" s="1" t="n"/>
      <c r="H396" s="1" t="inlineStr">
        <is>
          <t>edtechstation</t>
        </is>
      </c>
      <c r="I396" s="1" t="n"/>
      <c r="J396" s="1" t="inlineStr">
        <is>
          <t>Leuven</t>
        </is>
      </c>
      <c r="K396" t="inlineStr">
        <is>
          <t>Leuven</t>
        </is>
      </c>
      <c r="L396" t="inlineStr">
        <is>
          <t>Leuven, Belgium</t>
        </is>
      </c>
      <c r="M396" t="n">
        <v>50.879202</v>
      </c>
      <c r="N396" t="n">
        <v>4.7011675</v>
      </c>
      <c r="O396" s="1" t="inlineStr">
        <is>
          <t>Belgium</t>
        </is>
      </c>
      <c r="P396" s="1" t="n"/>
      <c r="Q396" s="1" t="n"/>
      <c r="S396" s="1" t="inlineStr">
        <is>
          <t>Business to Business</t>
        </is>
      </c>
      <c r="T396" s="1" t="n"/>
      <c r="U396" s="1" t="n"/>
      <c r="V396" s="1" t="n"/>
      <c r="W396" s="1" t="n"/>
      <c r="X396" s="1" t="n"/>
      <c r="Z396" s="1" t="n"/>
      <c r="AA396" s="1" t="inlineStr">
        <is>
          <t>Unverified</t>
        </is>
      </c>
      <c r="AB396" s="1" t="n"/>
      <c r="AC396" s="1" t="n"/>
      <c r="AD396" s="1" t="n"/>
      <c r="AE396" s="1" t="n"/>
      <c r="AF396" t="inlineStr">
        <is>
          <t>No</t>
        </is>
      </c>
    </row>
    <row r="397" ht="12.5" customHeight="1">
      <c r="A397" s="6" t="n">
        <v>45469</v>
      </c>
      <c r="B397" s="1" t="inlineStr">
        <is>
          <t>ORG_1059</t>
        </is>
      </c>
      <c r="C397" s="1" t="b">
        <v>1</v>
      </c>
      <c r="D397" s="1" t="inlineStr">
        <is>
          <t>AlterEyes</t>
        </is>
      </c>
      <c r="E397" s="10" t="inlineStr">
        <is>
          <t>https://altereyes.com/</t>
        </is>
      </c>
      <c r="F397" t="inlineStr">
        <is>
          <t>altereyes.com</t>
        </is>
      </c>
      <c r="G397" s="1" t="n"/>
      <c r="H397" s="1" t="inlineStr">
        <is>
          <t>edtechstation</t>
        </is>
      </c>
      <c r="I397" s="1" t="n"/>
      <c r="J397" s="1" t="inlineStr">
        <is>
          <t>Hasselt</t>
        </is>
      </c>
      <c r="K397" t="inlineStr">
        <is>
          <t>Hasselt</t>
        </is>
      </c>
      <c r="L397" t="inlineStr">
        <is>
          <t>Hasselt, Belgium</t>
        </is>
      </c>
      <c r="M397" t="n">
        <v>50.9303735</v>
      </c>
      <c r="N397" t="n">
        <v>5.3378043</v>
      </c>
      <c r="O397" s="1" t="inlineStr">
        <is>
          <t>Belgium</t>
        </is>
      </c>
      <c r="P397" s="1" t="n"/>
      <c r="Q397" s="1" t="n"/>
      <c r="S397" s="1" t="inlineStr">
        <is>
          <t>Business to Business</t>
        </is>
      </c>
      <c r="T397" s="1" t="n"/>
      <c r="U397" s="1" t="n"/>
      <c r="V397" s="1" t="n"/>
      <c r="W397" s="1" t="n"/>
      <c r="X397" s="1" t="n"/>
      <c r="Z397" s="1" t="n"/>
      <c r="AA397" s="1" t="inlineStr">
        <is>
          <t>Unverified</t>
        </is>
      </c>
      <c r="AB397" s="1" t="n"/>
      <c r="AC397" s="1" t="n"/>
      <c r="AD397" s="1" t="n"/>
      <c r="AE397" s="1" t="n"/>
      <c r="AF397" t="inlineStr">
        <is>
          <t>No</t>
        </is>
      </c>
    </row>
    <row r="398" ht="12.5" customHeight="1">
      <c r="A398" s="6" t="n">
        <v>45469</v>
      </c>
      <c r="B398" s="1" t="inlineStr">
        <is>
          <t>ORG_1096</t>
        </is>
      </c>
      <c r="C398" s="1" t="b">
        <v>1</v>
      </c>
      <c r="D398" s="1" t="inlineStr">
        <is>
          <t>Arithmeticus</t>
        </is>
      </c>
      <c r="E398" s="1" t="n"/>
      <c r="G398" s="1" t="n"/>
      <c r="H398" s="1" t="inlineStr">
        <is>
          <t>edtechstation</t>
        </is>
      </c>
      <c r="I398" s="1" t="n"/>
      <c r="J398" s="1" t="inlineStr">
        <is>
          <t>Antwerpen</t>
        </is>
      </c>
      <c r="K398" t="inlineStr">
        <is>
          <t>Antwerpen</t>
        </is>
      </c>
      <c r="L398" t="inlineStr">
        <is>
          <t>Antwerpen, Belgium</t>
        </is>
      </c>
      <c r="M398" t="n">
        <v>51.2211097</v>
      </c>
      <c r="N398" t="n">
        <v>4.3997081</v>
      </c>
      <c r="O398" s="1" t="inlineStr">
        <is>
          <t>Belgium</t>
        </is>
      </c>
      <c r="P398" s="1" t="n"/>
      <c r="Q398" s="1" t="n"/>
      <c r="S398" s="1" t="inlineStr">
        <is>
          <t>Business to Business</t>
        </is>
      </c>
      <c r="T398" s="1" t="n"/>
      <c r="U398" s="1" t="n"/>
      <c r="V398" s="1" t="n"/>
      <c r="W398" s="1" t="n"/>
      <c r="X398" s="1" t="n"/>
      <c r="Z398" s="1" t="n"/>
      <c r="AA398" s="1" t="inlineStr">
        <is>
          <t>Unverified</t>
        </is>
      </c>
      <c r="AB398" s="1" t="n"/>
      <c r="AC398" s="1" t="n"/>
      <c r="AD398" s="1" t="n"/>
      <c r="AE398" s="1" t="n"/>
      <c r="AF398" t="inlineStr">
        <is>
          <t>No</t>
        </is>
      </c>
    </row>
    <row r="399" ht="12.5" customHeight="1">
      <c r="A399" s="6" t="n">
        <v>45469</v>
      </c>
      <c r="B399" s="1" t="inlineStr">
        <is>
          <t>ORG_1321</t>
        </is>
      </c>
      <c r="C399" s="1" t="b">
        <v>1</v>
      </c>
      <c r="D399" s="1" t="inlineStr">
        <is>
          <t>Cybernetic Walrus</t>
        </is>
      </c>
      <c r="E399" s="10" t="inlineStr">
        <is>
          <t>http://www.cyberneticwalrus.be/</t>
        </is>
      </c>
      <c r="F399" t="inlineStr">
        <is>
          <t>cyberneticwalrus.be</t>
        </is>
      </c>
      <c r="G399" s="1" t="n"/>
      <c r="H399" s="1" t="inlineStr">
        <is>
          <t>edtechstation</t>
        </is>
      </c>
      <c r="I399" s="1" t="n"/>
      <c r="J399" s="1" t="inlineStr">
        <is>
          <t>Antwerpen</t>
        </is>
      </c>
      <c r="K399" t="inlineStr">
        <is>
          <t>Antwerpen</t>
        </is>
      </c>
      <c r="L399" t="inlineStr">
        <is>
          <t>Antwerpen, Belgium</t>
        </is>
      </c>
      <c r="M399" t="n">
        <v>51.2211097</v>
      </c>
      <c r="N399" t="n">
        <v>4.3997081</v>
      </c>
      <c r="O399" s="1" t="inlineStr">
        <is>
          <t>Belgium</t>
        </is>
      </c>
      <c r="P399" s="1" t="n"/>
      <c r="Q399" s="1" t="n"/>
      <c r="S399" s="1" t="inlineStr">
        <is>
          <t>Business to Business, Business to Government, Business to Schools</t>
        </is>
      </c>
      <c r="T399" s="1" t="n"/>
      <c r="U399" s="1" t="n"/>
      <c r="V399" s="1" t="n"/>
      <c r="W399" s="1" t="n"/>
      <c r="X399" s="1" t="n"/>
      <c r="Z399" s="1" t="n"/>
      <c r="AA399" s="1" t="inlineStr">
        <is>
          <t>Unverified</t>
        </is>
      </c>
      <c r="AB399" s="1" t="n"/>
      <c r="AC399" s="1" t="n"/>
      <c r="AD399" s="1" t="n"/>
      <c r="AE399" s="1" t="n"/>
      <c r="AF399" t="inlineStr">
        <is>
          <t>No</t>
        </is>
      </c>
    </row>
    <row r="400" ht="12.5" customHeight="1">
      <c r="A400" s="6" t="n">
        <v>45469</v>
      </c>
      <c r="B400" s="1" t="inlineStr">
        <is>
          <t>ORG_1337</t>
        </is>
      </c>
      <c r="C400" s="1" t="b">
        <v>1</v>
      </c>
      <c r="D400" s="1" t="inlineStr">
        <is>
          <t>DENKie</t>
        </is>
      </c>
      <c r="E400" s="10" t="inlineStr">
        <is>
          <t>https://denkie.com/</t>
        </is>
      </c>
      <c r="F400" t="inlineStr">
        <is>
          <t>denkie.com</t>
        </is>
      </c>
      <c r="G400" s="1" t="n"/>
      <c r="H400" s="1" t="inlineStr">
        <is>
          <t>edtechstation</t>
        </is>
      </c>
      <c r="I400" s="1" t="n"/>
      <c r="J400" s="1" t="inlineStr">
        <is>
          <t>Oostende</t>
        </is>
      </c>
      <c r="K400" t="inlineStr">
        <is>
          <t>Oostende</t>
        </is>
      </c>
      <c r="L400" t="inlineStr">
        <is>
          <t>Oostende, Belgium</t>
        </is>
      </c>
      <c r="M400" t="n">
        <v>51.2258565</v>
      </c>
      <c r="N400" t="n">
        <v>2.919496</v>
      </c>
      <c r="O400" s="1" t="inlineStr">
        <is>
          <t>Belgium</t>
        </is>
      </c>
      <c r="P400" s="1" t="n"/>
      <c r="Q400" s="1" t="n"/>
      <c r="S400" s="1" t="inlineStr">
        <is>
          <t>Business to Business, Business to Government, Business to Schools</t>
        </is>
      </c>
      <c r="T400" s="1" t="n"/>
      <c r="U400" s="1" t="n"/>
      <c r="V400" s="1" t="n"/>
      <c r="W400" s="1" t="n"/>
      <c r="X400" s="1" t="n"/>
      <c r="Z400" s="1" t="n"/>
      <c r="AA400" s="1" t="inlineStr">
        <is>
          <t>Unverified</t>
        </is>
      </c>
      <c r="AB400" s="1" t="n"/>
      <c r="AC400" s="1" t="n"/>
      <c r="AD400" s="1" t="n"/>
      <c r="AE400" s="1" t="n"/>
      <c r="AF400" t="inlineStr">
        <is>
          <t>No</t>
        </is>
      </c>
    </row>
    <row r="401" ht="12.5" customHeight="1">
      <c r="A401" s="6" t="n">
        <v>45469</v>
      </c>
      <c r="B401" s="1" t="inlineStr">
        <is>
          <t>ORG_1349</t>
        </is>
      </c>
      <c r="C401" s="1" t="b">
        <v>1</v>
      </c>
      <c r="D401" s="1" t="inlineStr">
        <is>
          <t>Die Keure (KAI)</t>
        </is>
      </c>
      <c r="E401" s="10" t="inlineStr">
        <is>
          <t>https://www.diekeure.be/educatief/kabas/</t>
        </is>
      </c>
      <c r="F401" t="inlineStr">
        <is>
          <t>diekeure.be/educatief/kabas</t>
        </is>
      </c>
      <c r="G401" s="1" t="n"/>
      <c r="H401" s="1" t="inlineStr">
        <is>
          <t>edtechstation</t>
        </is>
      </c>
      <c r="I401" s="1" t="n"/>
      <c r="J401" s="1" t="inlineStr">
        <is>
          <t>Brugge</t>
        </is>
      </c>
      <c r="K401" t="inlineStr">
        <is>
          <t>Brugge</t>
        </is>
      </c>
      <c r="L401" t="inlineStr">
        <is>
          <t>Brugge, Belgium</t>
        </is>
      </c>
      <c r="M401" t="n">
        <v>51.2085526</v>
      </c>
      <c r="N401" t="n">
        <v>3.226772</v>
      </c>
      <c r="O401" s="1" t="inlineStr">
        <is>
          <t>Belgium</t>
        </is>
      </c>
      <c r="P401" s="1" t="n"/>
      <c r="Q401" s="1" t="n"/>
      <c r="S401" s="1" t="inlineStr">
        <is>
          <t>Business to Government, Business to Schools</t>
        </is>
      </c>
      <c r="T401" s="1" t="n"/>
      <c r="U401" s="1" t="n"/>
      <c r="V401" s="1" t="n"/>
      <c r="W401" s="1" t="n"/>
      <c r="X401" s="1" t="n"/>
      <c r="Z401" s="1" t="n"/>
      <c r="AA401" s="1" t="inlineStr">
        <is>
          <t>Unverified</t>
        </is>
      </c>
      <c r="AB401" s="1" t="n"/>
      <c r="AC401" s="1" t="n"/>
      <c r="AD401" s="1" t="n"/>
      <c r="AE401" s="1" t="n"/>
      <c r="AF401" t="inlineStr">
        <is>
          <t>No</t>
        </is>
      </c>
    </row>
    <row r="402" ht="12.5" customHeight="1">
      <c r="A402" s="6" t="n">
        <v>45469</v>
      </c>
      <c r="B402" s="1" t="inlineStr">
        <is>
          <t>ORG_1569</t>
        </is>
      </c>
      <c r="C402" s="1" t="b">
        <v>1</v>
      </c>
      <c r="D402" s="1" t="inlineStr">
        <is>
          <t>Flowsparks</t>
        </is>
      </c>
      <c r="E402" s="10" t="inlineStr">
        <is>
          <t>https://www.flowsparks.com/</t>
        </is>
      </c>
      <c r="F402" t="inlineStr">
        <is>
          <t>flowsparks.com</t>
        </is>
      </c>
      <c r="G402" s="1" t="n"/>
      <c r="H402" s="1" t="inlineStr">
        <is>
          <t>edtechstation</t>
        </is>
      </c>
      <c r="I402" s="1" t="n"/>
      <c r="J402" s="1" t="inlineStr">
        <is>
          <t>Gent</t>
        </is>
      </c>
      <c r="K402" t="inlineStr">
        <is>
          <t>Gent</t>
        </is>
      </c>
      <c r="L402" t="inlineStr">
        <is>
          <t>Gent, Belgium</t>
        </is>
      </c>
      <c r="M402" t="n">
        <v>51.0538286</v>
      </c>
      <c r="N402" t="n">
        <v>3.7250121</v>
      </c>
      <c r="O402" s="1" t="inlineStr">
        <is>
          <t>Belgium</t>
        </is>
      </c>
      <c r="P402" s="1" t="n"/>
      <c r="Q402" s="1" t="n"/>
      <c r="S402" s="1" t="inlineStr">
        <is>
          <t>Business to Schools, Business to Consumer</t>
        </is>
      </c>
      <c r="T402" s="1" t="n"/>
      <c r="U402" s="1" t="n"/>
      <c r="V402" s="1" t="n"/>
      <c r="W402" s="1" t="n"/>
      <c r="X402" s="1" t="n"/>
      <c r="Z402" s="1" t="n"/>
      <c r="AA402" s="1" t="inlineStr">
        <is>
          <t>Unverified</t>
        </is>
      </c>
      <c r="AB402" s="1" t="n"/>
      <c r="AC402" s="1" t="n"/>
      <c r="AD402" s="1" t="n"/>
      <c r="AE402" s="1" t="n"/>
      <c r="AF402" t="inlineStr">
        <is>
          <t>No</t>
        </is>
      </c>
    </row>
    <row r="403" ht="12.5" customHeight="1">
      <c r="A403" s="6" t="n">
        <v>45469</v>
      </c>
      <c r="B403" s="1" t="inlineStr">
        <is>
          <t>ORG_1654</t>
        </is>
      </c>
      <c r="C403" s="1" t="b">
        <v>1</v>
      </c>
      <c r="D403" s="1" t="inlineStr">
        <is>
          <t>Gynzy</t>
        </is>
      </c>
      <c r="E403" s="10" t="inlineStr">
        <is>
          <t>https://www.gynzy.com/nl-be</t>
        </is>
      </c>
      <c r="F403" t="inlineStr">
        <is>
          <t>gynzy.com/nl-be</t>
        </is>
      </c>
      <c r="G403" s="1" t="n"/>
      <c r="H403" s="1" t="inlineStr">
        <is>
          <t>edtechstation</t>
        </is>
      </c>
      <c r="I403" s="1" t="n"/>
      <c r="J403" s="1" t="inlineStr">
        <is>
          <t>Antwerpen</t>
        </is>
      </c>
      <c r="K403" t="inlineStr">
        <is>
          <t>Antwerpen</t>
        </is>
      </c>
      <c r="L403" t="inlineStr">
        <is>
          <t>Antwerpen, Belgium</t>
        </is>
      </c>
      <c r="M403" t="n">
        <v>51.2211097</v>
      </c>
      <c r="N403" t="n">
        <v>4.3997081</v>
      </c>
      <c r="O403" s="1" t="inlineStr">
        <is>
          <t>Belgium</t>
        </is>
      </c>
      <c r="P403" s="1" t="n"/>
      <c r="Q403" s="1" t="n"/>
      <c r="S403" s="1" t="inlineStr">
        <is>
          <t>Business to Business, Business to Schools, Business to Consumer, Business to Government</t>
        </is>
      </c>
      <c r="T403" s="1" t="n"/>
      <c r="U403" s="1" t="n"/>
      <c r="V403" s="1" t="n"/>
      <c r="W403" s="1" t="n"/>
      <c r="X403" s="1" t="n"/>
      <c r="Z403" s="1" t="n"/>
      <c r="AA403" s="1" t="inlineStr">
        <is>
          <t>Unverified</t>
        </is>
      </c>
      <c r="AB403" s="1" t="n"/>
      <c r="AC403" s="1" t="n"/>
      <c r="AD403" s="1" t="n"/>
      <c r="AE403" s="1" t="n"/>
      <c r="AF403" s="1" t="inlineStr">
        <is>
          <t>No</t>
        </is>
      </c>
      <c r="AG403" s="1" t="n"/>
      <c r="AH403" s="1" t="n"/>
    </row>
    <row r="404" ht="12.5" customHeight="1">
      <c r="A404" s="6" t="n">
        <v>45469</v>
      </c>
      <c r="B404" s="1" t="inlineStr">
        <is>
          <t>ORG_1816</t>
        </is>
      </c>
      <c r="C404" s="1" t="b">
        <v>1</v>
      </c>
      <c r="D404" s="1" t="inlineStr">
        <is>
          <t>Laurea</t>
        </is>
      </c>
      <c r="E404" s="10" t="inlineStr">
        <is>
          <t>https://www.laurea.be/</t>
        </is>
      </c>
      <c r="F404" t="inlineStr">
        <is>
          <t>laurea.be</t>
        </is>
      </c>
      <c r="G404" s="1" t="n"/>
      <c r="H404" s="1" t="inlineStr">
        <is>
          <t>edtechstation</t>
        </is>
      </c>
      <c r="I404" s="1" t="n"/>
      <c r="J404" s="1" t="inlineStr">
        <is>
          <t>Brussels</t>
        </is>
      </c>
      <c r="K404" t="inlineStr">
        <is>
          <t>Brussels</t>
        </is>
      </c>
      <c r="L404" t="inlineStr">
        <is>
          <t>Brussels, Belgium</t>
        </is>
      </c>
      <c r="M404" t="n">
        <v>50.8387951</v>
      </c>
      <c r="N404" t="n">
        <v>4.3753041</v>
      </c>
      <c r="O404" s="1" t="inlineStr">
        <is>
          <t>Belgium</t>
        </is>
      </c>
      <c r="P404" s="1" t="n"/>
      <c r="Q404" s="1" t="n"/>
      <c r="S404" s="1" t="inlineStr">
        <is>
          <t>Business to Business, Business to Schools, Business to Government</t>
        </is>
      </c>
      <c r="T404" s="1" t="n"/>
      <c r="U404" s="1" t="n"/>
      <c r="V404" s="1" t="n"/>
      <c r="W404" s="1" t="n"/>
      <c r="X404" s="1" t="n"/>
      <c r="Z404" s="1" t="n"/>
      <c r="AA404" s="1" t="inlineStr">
        <is>
          <t>Unverified</t>
        </is>
      </c>
      <c r="AB404" s="1" t="n"/>
      <c r="AC404" s="1" t="n"/>
      <c r="AD404" s="1" t="n"/>
      <c r="AE404" s="1" t="n"/>
      <c r="AF404" s="1" t="inlineStr">
        <is>
          <t>No</t>
        </is>
      </c>
      <c r="AG404" s="1" t="n"/>
      <c r="AH404" s="1" t="n"/>
      <c r="AI404" s="1" t="n"/>
      <c r="AJ404" s="1" t="n"/>
    </row>
    <row r="405" ht="12.5" customHeight="1">
      <c r="A405" s="6" t="n">
        <v>45469</v>
      </c>
      <c r="B405" s="1" t="inlineStr">
        <is>
          <t>ORG_1866</t>
        </is>
      </c>
      <c r="C405" s="1" t="b">
        <v>1</v>
      </c>
      <c r="D405" s="1" t="inlineStr">
        <is>
          <t>Lexima België</t>
        </is>
      </c>
      <c r="E405" s="10" t="inlineStr">
        <is>
          <t>https://lexima.be/</t>
        </is>
      </c>
      <c r="F405" t="inlineStr">
        <is>
          <t>lexima.be</t>
        </is>
      </c>
      <c r="G405" s="1" t="n"/>
      <c r="H405" s="1" t="inlineStr">
        <is>
          <t>edtechstation</t>
        </is>
      </c>
      <c r="I405" s="1" t="n"/>
      <c r="J405" s="1" t="inlineStr">
        <is>
          <t>Jabbeke</t>
        </is>
      </c>
      <c r="K405" t="inlineStr">
        <is>
          <t>Jabbeke</t>
        </is>
      </c>
      <c r="L405" t="inlineStr">
        <is>
          <t>Jabbeke, Belgium</t>
        </is>
      </c>
      <c r="M405" t="n">
        <v>51.1823049</v>
      </c>
      <c r="N405" t="n">
        <v>3.0934604</v>
      </c>
      <c r="O405" s="1" t="inlineStr">
        <is>
          <t>Belgium</t>
        </is>
      </c>
      <c r="P405" s="1" t="n"/>
      <c r="Q405" s="1" t="n"/>
      <c r="S405" s="1" t="inlineStr">
        <is>
          <t>Business to Business, Business to Government</t>
        </is>
      </c>
      <c r="T405" s="1" t="n"/>
      <c r="U405" s="1" t="n"/>
      <c r="V405" s="1" t="n"/>
      <c r="W405" s="1" t="n"/>
      <c r="X405" s="1" t="n"/>
      <c r="Z405" s="1" t="n"/>
      <c r="AA405" s="1" t="inlineStr">
        <is>
          <t>Unverified</t>
        </is>
      </c>
      <c r="AB405" s="1" t="n"/>
      <c r="AC405" s="1" t="n"/>
      <c r="AD405" s="1" t="n"/>
      <c r="AE405" s="1" t="n"/>
      <c r="AF405" s="1" t="inlineStr">
        <is>
          <t>No</t>
        </is>
      </c>
      <c r="AG405" s="1" t="n"/>
      <c r="AH405" s="1" t="n"/>
      <c r="AI405" s="1" t="n"/>
      <c r="AJ405" s="1" t="n"/>
    </row>
    <row r="406" ht="12.5" customHeight="1">
      <c r="A406" s="6" t="n">
        <v>45469</v>
      </c>
      <c r="B406" s="1" t="inlineStr">
        <is>
          <t>ORG_1867</t>
        </is>
      </c>
      <c r="C406" s="1" t="b">
        <v>1</v>
      </c>
      <c r="D406" s="1" t="inlineStr">
        <is>
          <t>Lexima Nederland</t>
        </is>
      </c>
      <c r="E406" s="10" t="inlineStr">
        <is>
          <t>https://lexima.nl/</t>
        </is>
      </c>
      <c r="F406" t="inlineStr">
        <is>
          <t>lexima.nl</t>
        </is>
      </c>
      <c r="G406" s="1" t="n"/>
      <c r="H406" s="1" t="inlineStr">
        <is>
          <t>edtechstation</t>
        </is>
      </c>
      <c r="I406" s="1" t="n"/>
      <c r="J406" s="1" t="inlineStr">
        <is>
          <t>Leusden</t>
        </is>
      </c>
      <c r="K406" t="inlineStr">
        <is>
          <t>Leusden</t>
        </is>
      </c>
      <c r="L406" t="inlineStr">
        <is>
          <t>Leusden, Belgium</t>
        </is>
      </c>
      <c r="M406" t="n">
        <v>51.2190927</v>
      </c>
      <c r="N406" t="n">
        <v>3.2343371</v>
      </c>
      <c r="O406" s="1" t="inlineStr">
        <is>
          <t>Belgium</t>
        </is>
      </c>
      <c r="P406" s="1" t="n"/>
      <c r="Q406" s="1" t="n"/>
      <c r="S406" s="1" t="n"/>
      <c r="T406" s="1" t="n"/>
      <c r="U406" s="1" t="n"/>
      <c r="V406" s="1" t="n"/>
      <c r="W406" s="1" t="n"/>
      <c r="X406" s="1" t="n"/>
      <c r="Z406" s="1" t="n"/>
      <c r="AA406" s="1" t="inlineStr">
        <is>
          <t>Unverified</t>
        </is>
      </c>
      <c r="AB406" s="1" t="n"/>
      <c r="AC406" s="1" t="n"/>
      <c r="AD406" s="1" t="n"/>
      <c r="AE406" s="1" t="n"/>
      <c r="AF406" t="inlineStr">
        <is>
          <t>No</t>
        </is>
      </c>
    </row>
    <row r="407" ht="12.5" customHeight="1">
      <c r="A407" s="6" t="n">
        <v>45469</v>
      </c>
      <c r="B407" s="1" t="inlineStr">
        <is>
          <t>ORG_2456</t>
        </is>
      </c>
      <c r="C407" s="1" t="b">
        <v>1</v>
      </c>
      <c r="D407" s="1" t="inlineStr">
        <is>
          <t>UlIA</t>
        </is>
      </c>
      <c r="E407" s="10" t="inlineStr">
        <is>
          <t>https://www.ulia.be/</t>
        </is>
      </c>
      <c r="F407" t="inlineStr">
        <is>
          <t>ulia.be</t>
        </is>
      </c>
      <c r="G407" s="1" t="n"/>
      <c r="H407" s="1" t="inlineStr">
        <is>
          <t>edtechstation</t>
        </is>
      </c>
      <c r="I407" s="1" t="n"/>
      <c r="J407" s="1" t="inlineStr">
        <is>
          <t>Gent</t>
        </is>
      </c>
      <c r="K407" t="inlineStr">
        <is>
          <t>Gent</t>
        </is>
      </c>
      <c r="L407" t="inlineStr">
        <is>
          <t>Gent, Belgium</t>
        </is>
      </c>
      <c r="M407" t="n">
        <v>51.0538286</v>
      </c>
      <c r="N407" t="n">
        <v>3.7250121</v>
      </c>
      <c r="O407" s="1" t="inlineStr">
        <is>
          <t>Belgium</t>
        </is>
      </c>
      <c r="P407" s="1" t="n"/>
      <c r="Q407" s="1" t="n"/>
      <c r="S407" s="1" t="n"/>
      <c r="T407" s="1" t="n"/>
      <c r="U407" s="1" t="n"/>
      <c r="V407" s="1" t="n"/>
      <c r="W407" s="1" t="n"/>
      <c r="X407" s="1" t="n"/>
      <c r="Z407" s="1" t="n"/>
      <c r="AA407" s="1" t="inlineStr">
        <is>
          <t>Unverified</t>
        </is>
      </c>
      <c r="AB407" s="1" t="n"/>
      <c r="AC407" s="1" t="n"/>
      <c r="AD407" s="1" t="n"/>
      <c r="AE407" s="1" t="n"/>
      <c r="AF407" t="inlineStr">
        <is>
          <t>No</t>
        </is>
      </c>
    </row>
    <row r="408" ht="12.5" customHeight="1">
      <c r="A408" s="6" t="n">
        <v>45469</v>
      </c>
      <c r="B408" s="1" t="inlineStr">
        <is>
          <t>ORG_2477</t>
        </is>
      </c>
      <c r="C408" s="1" t="b">
        <v>1</v>
      </c>
      <c r="D408" s="1" t="inlineStr">
        <is>
          <t>UQalify</t>
        </is>
      </c>
      <c r="E408" s="10" t="inlineStr">
        <is>
          <t>https://uqalify.com/</t>
        </is>
      </c>
      <c r="F408" t="inlineStr">
        <is>
          <t>uqalify.com</t>
        </is>
      </c>
      <c r="G408" s="1" t="n"/>
      <c r="H408" s="1" t="inlineStr">
        <is>
          <t>edtechstation</t>
        </is>
      </c>
      <c r="I408" s="1" t="n"/>
      <c r="J408" s="1" t="inlineStr">
        <is>
          <t>Antwerpen</t>
        </is>
      </c>
      <c r="K408" t="inlineStr">
        <is>
          <t>Antwerpen</t>
        </is>
      </c>
      <c r="L408" t="inlineStr">
        <is>
          <t>Antwerpen, Belgium</t>
        </is>
      </c>
      <c r="M408" t="n">
        <v>51.2211097</v>
      </c>
      <c r="N408" t="n">
        <v>4.3997081</v>
      </c>
      <c r="O408" s="1" t="inlineStr">
        <is>
          <t>Belgium</t>
        </is>
      </c>
      <c r="P408" s="1" t="n"/>
      <c r="Q408" s="1" t="n"/>
      <c r="S408" s="1" t="n"/>
      <c r="T408" s="1" t="n"/>
      <c r="U408" s="1" t="n"/>
      <c r="V408" s="1" t="n"/>
      <c r="W408" s="1" t="n"/>
      <c r="X408" s="1" t="n"/>
      <c r="Z408" s="1" t="n"/>
      <c r="AA408" s="1" t="inlineStr">
        <is>
          <t>Unverified</t>
        </is>
      </c>
      <c r="AB408" s="1" t="n"/>
      <c r="AC408" s="1" t="n"/>
      <c r="AD408" s="1" t="n"/>
      <c r="AE408" s="1" t="n"/>
      <c r="AF408" t="inlineStr">
        <is>
          <t>No</t>
        </is>
      </c>
    </row>
    <row r="409" ht="12.5" customHeight="1">
      <c r="A409" s="6" t="n">
        <v>45469</v>
      </c>
      <c r="B409" s="1" t="inlineStr">
        <is>
          <t>ORG_2561</t>
        </is>
      </c>
      <c r="C409" s="1" t="b">
        <v>1</v>
      </c>
      <c r="D409" s="1" t="inlineStr">
        <is>
          <t>Xylos Neo Learning</t>
        </is>
      </c>
      <c r="E409" s="10" t="inlineStr">
        <is>
          <t>https://neolearning.eu/</t>
        </is>
      </c>
      <c r="F409" t="inlineStr">
        <is>
          <t>neolearning.eu</t>
        </is>
      </c>
      <c r="G409" s="1" t="n"/>
      <c r="H409" s="1" t="inlineStr">
        <is>
          <t>edtechstation</t>
        </is>
      </c>
      <c r="I409" s="1" t="n"/>
      <c r="J409" s="1" t="inlineStr">
        <is>
          <t>Antwerpen</t>
        </is>
      </c>
      <c r="K409" t="inlineStr">
        <is>
          <t>Antwerpen</t>
        </is>
      </c>
      <c r="L409" t="inlineStr">
        <is>
          <t>Antwerpen, Belgium</t>
        </is>
      </c>
      <c r="M409" t="n">
        <v>51.2211097</v>
      </c>
      <c r="N409" t="n">
        <v>4.3997081</v>
      </c>
      <c r="O409" s="1" t="inlineStr">
        <is>
          <t>Belgium</t>
        </is>
      </c>
      <c r="P409" s="1" t="n"/>
      <c r="Q409" s="1" t="n"/>
      <c r="S409" s="1" t="n"/>
      <c r="T409" s="1" t="n"/>
      <c r="U409" s="1" t="n"/>
      <c r="V409" s="1" t="n"/>
      <c r="W409" s="1" t="n"/>
      <c r="X409" s="1" t="n"/>
      <c r="Z409" s="1" t="n"/>
      <c r="AA409" s="1" t="inlineStr">
        <is>
          <t>Unverified</t>
        </is>
      </c>
      <c r="AB409" s="1" t="n"/>
      <c r="AC409" s="1" t="n"/>
      <c r="AD409" s="1" t="n"/>
      <c r="AE409" s="1" t="n"/>
      <c r="AF409" s="1" t="inlineStr">
        <is>
          <t>No</t>
        </is>
      </c>
      <c r="AG409" s="1" t="n"/>
      <c r="AH409" s="1" t="n"/>
      <c r="AI409" s="1" t="n"/>
      <c r="AJ409" s="1" t="n"/>
    </row>
    <row r="410" ht="12.5" customHeight="1">
      <c r="A410" s="6" t="n">
        <v>45467</v>
      </c>
      <c r="B410" s="1" t="inlineStr">
        <is>
          <t>ORG_1535</t>
        </is>
      </c>
      <c r="C410" s="1" t="b">
        <v>1</v>
      </c>
      <c r="D410" s="1" t="inlineStr">
        <is>
          <t>eWorking</t>
        </is>
      </c>
      <c r="E410" s="10" t="inlineStr">
        <is>
          <t>eworking.it</t>
        </is>
      </c>
      <c r="F410" t="inlineStr">
        <is>
          <t>eworking.it</t>
        </is>
      </c>
      <c r="G410" s="1" t="inlineStr">
        <is>
          <t>Adaptive learning experience platform based on NeLP® (Neuroscientific Learning Pattern) that improve adult learning rate through brain-friendly designed content; powered by artificial intelligence for real time adaptivity and dynamic learning measurement and evaluation.</t>
        </is>
      </c>
      <c r="H410" s="1" t="inlineStr">
        <is>
          <t>EdTech Italia</t>
        </is>
      </c>
      <c r="I410" s="1" t="inlineStr">
        <is>
          <t>English, French, Polish, Indian</t>
        </is>
      </c>
      <c r="J410" s="1" t="inlineStr">
        <is>
          <t>Pescara</t>
        </is>
      </c>
      <c r="K410" t="inlineStr">
        <is>
          <t>Pescara</t>
        </is>
      </c>
      <c r="L410" t="inlineStr">
        <is>
          <t>Pescara, Italy</t>
        </is>
      </c>
      <c r="M410" t="n">
        <v>42.3097631</v>
      </c>
      <c r="N410" t="n">
        <v>13.9579989</v>
      </c>
      <c r="O410" s="1" t="inlineStr">
        <is>
          <t>Italy</t>
        </is>
      </c>
      <c r="P410" s="1" t="inlineStr">
        <is>
          <t>Italy</t>
        </is>
      </c>
      <c r="Q410" s="1" t="inlineStr">
        <is>
          <t>0 to 2</t>
        </is>
      </c>
      <c r="R410" t="inlineStr">
        <is>
          <t>Solo entrepreneur</t>
        </is>
      </c>
      <c r="S410" s="1" t="inlineStr">
        <is>
          <t>Business to Business, Business to Schools, Business to Consumer, Business to Government</t>
        </is>
      </c>
      <c r="T410" s="1" t="inlineStr">
        <is>
          <t>Corporate Training, Lifelong learning/Adult education</t>
        </is>
      </c>
      <c r="U410" s="1" t="inlineStr">
        <is>
          <t>System/Administrative, Student interfacing</t>
        </is>
      </c>
      <c r="V410" s="10" t="inlineStr">
        <is>
          <t>NeLP®</t>
        </is>
      </c>
      <c r="W410" s="1" t="inlineStr">
        <is>
          <t>NeLP® (Neuroscientifc Learning Pattern) is a learning design methodology that allows to create brain-friendly educational content.</t>
        </is>
      </c>
      <c r="X410" s="10" t="inlineStr">
        <is>
          <t>NeLPx</t>
        </is>
      </c>
      <c r="Y410" t="inlineStr">
        <is>
          <t>NeLPx is the LXP (Learning Experience Platform) based on NeLP®: it's a real time adaptive platform for each user, powered by A.I.</t>
        </is>
      </c>
      <c r="Z410" s="1" t="inlineStr">
        <is>
          <t>https://drive.google.com/uc?export=view&amp;id=13qNKJfXDG2UBpRQF-FV-xMKaVYU4KrOx</t>
        </is>
      </c>
      <c r="AA410" s="1" t="inlineStr">
        <is>
          <t>Unverified</t>
        </is>
      </c>
      <c r="AB410" s="1" t="n"/>
      <c r="AC410" s="1" t="n"/>
      <c r="AD410" s="10" t="n"/>
      <c r="AE410" s="1" t="n"/>
      <c r="AF410" s="1" t="inlineStr">
        <is>
          <t>Yes</t>
        </is>
      </c>
      <c r="AG410" s="1" t="inlineStr">
        <is>
          <t>https://www.instagram.com/eworking.it/</t>
        </is>
      </c>
      <c r="AH410" t="inlineStr">
        <is>
          <t>https://www.linkedin.com/company/eworking/</t>
        </is>
      </c>
      <c r="AI410" t="inlineStr">
        <is>
          <t>https://www.linkedin.com/company/eworking/</t>
        </is>
      </c>
    </row>
    <row r="411" ht="12.5" customHeight="1">
      <c r="A411" s="6" t="n">
        <v>45467</v>
      </c>
      <c r="B411" s="1" t="inlineStr">
        <is>
          <t>ORG_1598</t>
        </is>
      </c>
      <c r="C411" s="1" t="b">
        <v>1</v>
      </c>
      <c r="D411" s="1" t="inlineStr">
        <is>
          <t>Future Horizons Education</t>
        </is>
      </c>
      <c r="E411" s="10" t="inlineStr">
        <is>
          <t>https://www.futurehorizonseducation.com/</t>
        </is>
      </c>
      <c r="F411" t="inlineStr">
        <is>
          <t>futurehorizonseducation.com</t>
        </is>
      </c>
      <c r="G411" s="1" t="inlineStr">
        <is>
          <t>At Future Horizons Education, we are supporting education institutions by integrating AI and data analytics to provide tailored curriculum designs, data-driven insights and cutting-edge solutions for school, colleges and universities to support staff and prepare learners for the future.</t>
        </is>
      </c>
      <c r="H411" s="1" t="inlineStr">
        <is>
          <t>I'm not part of any EdTech association</t>
        </is>
      </c>
      <c r="I411" s="1" t="inlineStr">
        <is>
          <t>English, French</t>
        </is>
      </c>
      <c r="J411" s="1" t="inlineStr">
        <is>
          <t>Bridgend, Wales</t>
        </is>
      </c>
      <c r="K411" t="inlineStr">
        <is>
          <t>Bridgend</t>
        </is>
      </c>
      <c r="L411" t="inlineStr">
        <is>
          <t>Bridgend, United Kingdom</t>
        </is>
      </c>
      <c r="M411" t="n">
        <v>51.5049859</v>
      </c>
      <c r="N411" t="n">
        <v>-3.5756674</v>
      </c>
      <c r="O411" s="1" t="inlineStr">
        <is>
          <t>United Kingdom</t>
        </is>
      </c>
      <c r="P411" s="1" t="inlineStr">
        <is>
          <t>Switzerland, United Kingdom</t>
        </is>
      </c>
      <c r="Q411" s="1" t="inlineStr">
        <is>
          <t>3 to 5</t>
        </is>
      </c>
      <c r="R411" t="inlineStr">
        <is>
          <t>Micro</t>
        </is>
      </c>
      <c r="S411" s="1" t="inlineStr">
        <is>
          <t>Business to Business, Business to Schools, Business to Consumer, Business to Government</t>
        </is>
      </c>
      <c r="T411" s="1" t="inlineStr">
        <is>
          <t>Primary Education, Secondary Education, Corporate Training, Lifelong learning/Adult education, Vocational Education and Training (VET), Higher Education</t>
        </is>
      </c>
      <c r="U411" s="1" t="inlineStr">
        <is>
          <t>Student interfacing, Teacher interfacing, System/Administrative</t>
        </is>
      </c>
      <c r="V411" s="1" t="inlineStr">
        <is>
          <t>Curriculum AI</t>
        </is>
      </c>
      <c r="W411" s="10" t="inlineStr">
        <is>
          <t>Backed by state-of-the-art technology and data-driven insights Future Horizons Education’s Curriculum AI solution transforms educational processes with its cutting-edge AI-powered processes, enhancing curriculum design, streamlining curriculum reviews, providing educators and institutions with the most relevant and high-quality information and delivering relevant courses that will appeal to prospective students.</t>
        </is>
      </c>
      <c r="X411" s="10" t="inlineStr">
        <is>
          <t>https://drive.google.com/uc?export=view&amp;id=1bUPEk2zZot9Phg5yrvJ3mCyBwZOZoSEb</t>
        </is>
      </c>
      <c r="Y411" t="inlineStr">
        <is>
          <t>https://drive.google.com/uc?export=view&amp;id=1bUPEk2zZot9Phg5yrvJ3mCyBwZOZoSEb</t>
        </is>
      </c>
      <c r="Z411" s="1" t="inlineStr">
        <is>
          <t>https://drive.google.com/uc?export=view&amp;id=1bUPEk2zZot9Phg5yrvJ3mCyBwZOZoSEb</t>
        </is>
      </c>
      <c r="AA411" s="1" t="inlineStr">
        <is>
          <t>Unverified</t>
        </is>
      </c>
      <c r="AB411" s="1" t="n"/>
      <c r="AC411" s="1" t="n"/>
      <c r="AD411" s="10" t="n"/>
      <c r="AE411" s="1" t="n"/>
      <c r="AF411" s="1" t="inlineStr">
        <is>
          <t>Yes</t>
        </is>
      </c>
      <c r="AG411" s="1" t="inlineStr">
        <is>
          <t>https://x.com/FutureHori56378</t>
        </is>
      </c>
      <c r="AH411" s="1" t="inlineStr">
        <is>
          <t>https://x.com/FutureHori56378</t>
        </is>
      </c>
      <c r="AI411" s="1" t="inlineStr">
        <is>
          <t>https://www.linkedin.com/company/future-horizons-education/?viewAsMember=true</t>
        </is>
      </c>
      <c r="AJ411" s="1" t="n"/>
    </row>
    <row r="412" ht="12.5" customHeight="1">
      <c r="A412" s="6" t="n">
        <v>45467</v>
      </c>
      <c r="B412" s="1" t="inlineStr">
        <is>
          <t>ORG_2229</t>
        </is>
      </c>
      <c r="C412" s="1" t="b">
        <v>1</v>
      </c>
      <c r="D412" s="1" t="inlineStr">
        <is>
          <t>SentiraXR</t>
        </is>
      </c>
      <c r="E412" s="10" t="inlineStr">
        <is>
          <t>www.sentiraxr.com</t>
        </is>
      </c>
      <c r="F412" t="inlineStr">
        <is>
          <t>sentiraxr.com</t>
        </is>
      </c>
      <c r="G412" s="1" t="inlineStr">
        <is>
          <t>At Sentira XR, we create advanced extended-reality training simulations for the medical field. Our immersive environments, enhanced with natural language processing, enable medical students to interact with virtual AI patients, improving clinical reasoning and decision-making skills.
Our versatile, resource-efficient solutions can be used independently or alongside traditional healthcare training methods. We offer realistic VR experiences and desktop/mobile applications covering a range of medical scenarios. These detailed simulations foster a 'sense of presence,' helping students develop empathy and practical skills. Available 24/7, our scalable, on-demand training ensures continuous access to essential practice.
Our team’s extensive experience in medical training and VR/AI technology has allowed us to develop a groundbreaking portfolio for higher education and healthcare training. We are proud to have received funding from Innovate UK and to be part of the NHS London Procurement Partnership.</t>
        </is>
      </c>
      <c r="H412" s="1" t="inlineStr">
        <is>
          <t>I'm not part of any EdTech association</t>
        </is>
      </c>
      <c r="I412" s="1" t="inlineStr">
        <is>
          <t>English</t>
        </is>
      </c>
      <c r="J412" s="1" t="inlineStr">
        <is>
          <t>Manchester</t>
        </is>
      </c>
      <c r="K412" t="inlineStr">
        <is>
          <t>Manchester</t>
        </is>
      </c>
      <c r="L412" t="inlineStr">
        <is>
          <t>Manchester, United Kingdom</t>
        </is>
      </c>
      <c r="M412" t="n">
        <v>53.4794892</v>
      </c>
      <c r="N412" t="n">
        <v>-2.2451148</v>
      </c>
      <c r="O412" s="1" t="inlineStr">
        <is>
          <t>United Kingdom</t>
        </is>
      </c>
      <c r="P412" s="1" t="inlineStr">
        <is>
          <t>United Kingdom</t>
        </is>
      </c>
      <c r="Q412" s="1" t="inlineStr">
        <is>
          <t>3 to 5</t>
        </is>
      </c>
      <c r="R412" t="inlineStr">
        <is>
          <t>Micro</t>
        </is>
      </c>
      <c r="S412" s="1" t="inlineStr">
        <is>
          <t>Business to Business, Business to Government</t>
        </is>
      </c>
      <c r="T412" s="1" t="inlineStr">
        <is>
          <t>Lifelong learning/Adult education, Vocational Education and Training (VET), Higher Education</t>
        </is>
      </c>
      <c r="U412" s="1" t="inlineStr">
        <is>
          <t>Student interfacing, Teacher interfacing, System/Administrative</t>
        </is>
      </c>
      <c r="V412" s="1" t="inlineStr">
        <is>
          <t>SentiraXR</t>
        </is>
      </c>
      <c r="W412" s="10" t="inlineStr">
        <is>
          <t>Sentira XR offers advanced extended reality training simulations for medical and healthcare education. Our immersive environments, enhanced with natural language processing, allow students to interact with virtual AI patients, improving clinical reasoning and decision-making skills. These versatile, resource-efficient solutions can complement traditional training methods or be used independently. Available 24/7, our scalable, on-demand VR experiences cover a wide range of medical scenarios, fostering empathy and practical skills development.</t>
        </is>
      </c>
      <c r="X412" s="10" t="inlineStr">
        <is>
          <t>https://drive.google.com/uc?export=view&amp;id=1bVRbQFiresO2WZ4OysIzVcZFULkiTvrZ</t>
        </is>
      </c>
      <c r="Y412" t="inlineStr">
        <is>
          <t>https://drive.google.com/uc?export=view&amp;id=1bVRbQFiresO2WZ4OysIzVcZFULkiTvrZ</t>
        </is>
      </c>
      <c r="Z412" s="1" t="inlineStr">
        <is>
          <t>https://drive.google.com/uc?export=view&amp;id=1bVRbQFiresO2WZ4OysIzVcZFULkiTvrZ</t>
        </is>
      </c>
      <c r="AA412" s="1" t="inlineStr">
        <is>
          <t>Unverified</t>
        </is>
      </c>
      <c r="AB412" s="1" t="n"/>
      <c r="AC412" s="1" t="n"/>
      <c r="AD412" s="10" t="n"/>
      <c r="AE412" s="1" t="n"/>
      <c r="AF412" s="1" t="inlineStr">
        <is>
          <t>Yes</t>
        </is>
      </c>
      <c r="AG412" s="1" t="inlineStr">
        <is>
          <t>https://x.com/SentiraXR</t>
        </is>
      </c>
      <c r="AH412" s="1" t="inlineStr">
        <is>
          <t>https://x.com/SentiraXR</t>
        </is>
      </c>
      <c r="AI412" s="1" t="inlineStr">
        <is>
          <t>https://www.linkedin.com/company/sentira-xr/</t>
        </is>
      </c>
      <c r="AJ412" s="1" t="n"/>
    </row>
    <row r="413" ht="12.5" customHeight="1">
      <c r="A413" s="6" t="n">
        <v>45467</v>
      </c>
      <c r="B413" s="1" t="inlineStr">
        <is>
          <t>ORG_1193</t>
        </is>
      </c>
      <c r="C413" s="1" t="b">
        <v>1</v>
      </c>
      <c r="D413" s="1" t="inlineStr">
        <is>
          <t>BrainCore Solutions</t>
        </is>
      </c>
      <c r="E413" s="10" t="inlineStr">
        <is>
          <t>https://braincore.swiss/en/</t>
        </is>
      </c>
      <c r="F413" t="inlineStr">
        <is>
          <t>braincore.swiss/en</t>
        </is>
      </c>
      <c r="G413" s="1" t="inlineStr">
        <is>
          <t>BrainCore brings an innovative approach to the acts of learning and teaching. We are building individualised learning paths based on the learner's profile (from the age of 12) in order to enhance both his/her motivation and performances. 
Using artificial intelligence (AI), our solutions provide advice and guidance to optimize each learning experience. The outcomes of our method are to shorten the invested time and to extend the duration of long-term memories. 
Set your institution apart with the following benefits: 
1. Offer your learners a motivating course tailored to their profile. By increasing their motivation and enjoyment of learning, you reduce the drop-out rate. 
2. Offer your teachers and trainers effective tools to help them reduce the heterogeneity of levels and profiles in their classes. Thanks to our tools, they will know what teaching method to adopt with each student even before the start of the school year. 
3. Increase your employees' skills by facilitating lifelong learning, up-skilling and re-skilling. Your HR department can better anticipate the changes required, support new team leaders and retain talent.
Over 20 years of applied research in cognitive pedagogy, psychology and neuroscience are implemented in our algorithms. Our strength? We are both teachers and researchers. As such, we are confronted on a daily basis with the multifactorial challenges facing the world of education today. We are therefore developing a new learning model, based on the biological functioning of the human brain, while incorporating the performance of machine intelligence. We include a strong social and emotional learning component in our model, to promote the well-being of the learner.</t>
        </is>
      </c>
      <c r="H413" s="1" t="inlineStr">
        <is>
          <t>I'm not part of any EdTech association</t>
        </is>
      </c>
      <c r="I413" s="1" t="inlineStr">
        <is>
          <t>French, English, Polish</t>
        </is>
      </c>
      <c r="J413" s="1" t="inlineStr">
        <is>
          <t>Monthey</t>
        </is>
      </c>
      <c r="K413" t="inlineStr">
        <is>
          <t>Monthey</t>
        </is>
      </c>
      <c r="L413" t="inlineStr">
        <is>
          <t>Monthey, Switzerland</t>
        </is>
      </c>
      <c r="M413" t="n">
        <v>46.252844</v>
      </c>
      <c r="N413" t="n">
        <v>6.9478263</v>
      </c>
      <c r="O413" s="1" t="inlineStr">
        <is>
          <t>Switzerland</t>
        </is>
      </c>
      <c r="P413" s="1" t="inlineStr">
        <is>
          <t>France, Poland, Switzerland</t>
        </is>
      </c>
      <c r="Q413" s="1" t="inlineStr">
        <is>
          <t>3 to 5</t>
        </is>
      </c>
      <c r="R413" t="inlineStr">
        <is>
          <t>Micro</t>
        </is>
      </c>
      <c r="S413" s="1" t="inlineStr">
        <is>
          <t>Business to Business, Business to Schools</t>
        </is>
      </c>
      <c r="T413" s="1" t="inlineStr">
        <is>
          <t>Secondary Education, Corporate Training, Lifelong learning/Adult education, Vocational Education and Training (VET), Higher Education</t>
        </is>
      </c>
      <c r="U413" s="1" t="inlineStr">
        <is>
          <t>System/Administrative, Student interfacing, Teacher interfacing</t>
        </is>
      </c>
      <c r="V413" s="1" t="inlineStr">
        <is>
          <t>BrainCore Tests</t>
        </is>
      </c>
      <c r="W413" s="1" t="inlineStr">
        <is>
          <t>Our 2 assessment tests enlighten each learner about their capacity and their mechanism to acquire new knowledge. This helps to accelerate their learning capacity and to optimize cross-disciplinary skills.
We propose 2 different tests: 
•	BrainCore Edu : for students wishing to enhance their experience and to study more effectively (&gt; 12 years old)
•	BrainCore Me : For professionals wishing to improve their potential and to accelerate their career path</t>
        </is>
      </c>
      <c r="X413" s="10" t="inlineStr">
        <is>
          <t>BrainCore Learning Management System (LMS)</t>
        </is>
      </c>
      <c r="Y413" t="inlineStr">
        <is>
          <t>Two versions of our LMS are available:
- For educational institutions: 
Our online platform is offering a practical support for teachers and includes the latest cognitive teaching methods, pedagogical tools and AI proposed solutions. This LMS is particularly interesting for schools willing to apply a personalized teaching method (multi-level) in their classrooms and for institutions offering distance learning tuitions
- For companies: 
Our Sentinel platform is designed for HR departments of SMEs. It enables a novel "predictive" approach to recruitment and to professional development. HR have access to the advancement potential of each new employee. Guided by an AI, managers have the opportunity to drive the development of each employee in a personalized and in a more efficient manner.</t>
        </is>
      </c>
      <c r="Z413" s="1" t="inlineStr">
        <is>
          <t>https://drive.google.com/uc?export=view&amp;id=1NusC2PGeYj-w8E-YQ20NrDz0CNjBasyi</t>
        </is>
      </c>
      <c r="AA413" s="1" t="inlineStr">
        <is>
          <t>Unverified</t>
        </is>
      </c>
      <c r="AB413" s="1" t="n"/>
      <c r="AC413" s="1" t="n"/>
      <c r="AD413" s="10" t="n"/>
      <c r="AE413" s="1" t="n"/>
      <c r="AF413" s="1" t="inlineStr">
        <is>
          <t>Yes</t>
        </is>
      </c>
      <c r="AG413" s="1" t="inlineStr">
        <is>
          <t>https://www.linkedin.com/company/braincore</t>
        </is>
      </c>
      <c r="AH413" s="1" t="inlineStr">
        <is>
          <t>https://www.linkedin.com/company/braincore</t>
        </is>
      </c>
      <c r="AI413" s="1" t="inlineStr">
        <is>
          <t>https://www.linkedin.com/company/braincore</t>
        </is>
      </c>
      <c r="AJ413" s="1" t="n"/>
    </row>
    <row r="414" ht="12.5" customHeight="1">
      <c r="A414" s="6" t="n">
        <v>45463</v>
      </c>
      <c r="B414" s="1" t="inlineStr">
        <is>
          <t>ORG_2093</t>
        </is>
      </c>
      <c r="C414" s="1" t="b">
        <v>1</v>
      </c>
      <c r="D414" s="1" t="inlineStr">
        <is>
          <t>Peek</t>
        </is>
      </c>
      <c r="E414" s="10" t="inlineStr">
        <is>
          <t>www.peek.app</t>
        </is>
      </c>
      <c r="F414" t="inlineStr">
        <is>
          <t>peek.app</t>
        </is>
      </c>
      <c r="G414" s="1" t="inlineStr">
        <is>
          <t>Make an interactive excursion with the Peek app, and facilitate active dialogue about landscapes and surroundings.</t>
        </is>
      </c>
      <c r="H414" s="1" t="inlineStr">
        <is>
          <t>Dutch EdTech</t>
        </is>
      </c>
      <c r="I414" s="1" t="inlineStr">
        <is>
          <t>All</t>
        </is>
      </c>
      <c r="J414" s="1" t="inlineStr">
        <is>
          <t>Amersfoort</t>
        </is>
      </c>
      <c r="K414" t="inlineStr">
        <is>
          <t>Amersfoort</t>
        </is>
      </c>
      <c r="L414" t="inlineStr">
        <is>
          <t>Amersfoort, The Netherlands</t>
        </is>
      </c>
      <c r="M414" t="n">
        <v>52.1928326</v>
      </c>
      <c r="N414" t="n">
        <v>5.4212862</v>
      </c>
      <c r="O414" s="1" t="inlineStr">
        <is>
          <t>The Netherlands</t>
        </is>
      </c>
      <c r="P41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414" s="1" t="inlineStr">
        <is>
          <t>3 to 5</t>
        </is>
      </c>
      <c r="R414" t="inlineStr">
        <is>
          <t>Micro</t>
        </is>
      </c>
      <c r="S414" s="1" t="inlineStr">
        <is>
          <t>Business to Business, Business to Schools, Business to Consumer, Business to Government</t>
        </is>
      </c>
      <c r="T414" s="1" t="inlineStr">
        <is>
          <t>Secondary Education, Higher Education</t>
        </is>
      </c>
      <c r="U414" s="1" t="inlineStr">
        <is>
          <t>Student interfacing, Teacher interfacing</t>
        </is>
      </c>
      <c r="V414" s="1" t="inlineStr">
        <is>
          <t>Peek App</t>
        </is>
      </c>
      <c r="W414" s="1" t="inlineStr">
        <is>
          <t>App for students</t>
        </is>
      </c>
      <c r="X414" s="10" t="inlineStr">
        <is>
          <t>My Peek</t>
        </is>
      </c>
      <c r="Y414" t="inlineStr">
        <is>
          <t>Creating excursions for the app</t>
        </is>
      </c>
      <c r="Z414" s="1" t="inlineStr">
        <is>
          <t>https://drive.google.com/uc?export=view&amp;id=1y5UIFYXs4VpmnXEWjQpJLP-JYsoU_O43</t>
        </is>
      </c>
      <c r="AA414" s="1" t="inlineStr">
        <is>
          <t>Unverified</t>
        </is>
      </c>
      <c r="AB414" s="1" t="n"/>
      <c r="AC414" s="1" t="n"/>
      <c r="AD414" s="10" t="n"/>
      <c r="AE414" s="1" t="n"/>
      <c r="AF414" s="1" t="inlineStr">
        <is>
          <t>Yes</t>
        </is>
      </c>
      <c r="AG414" s="1" t="inlineStr">
        <is>
          <t>https://www.linkedin.com/company/67243846</t>
        </is>
      </c>
      <c r="AH414" s="1" t="inlineStr">
        <is>
          <t>https://www.linkedin.com/company/67243846</t>
        </is>
      </c>
      <c r="AI414" t="inlineStr">
        <is>
          <t>https://www.linkedin.com/company/67243846</t>
        </is>
      </c>
    </row>
    <row r="415" ht="12.5" customHeight="1">
      <c r="A415" s="6" t="n">
        <v>45460</v>
      </c>
      <c r="B415" s="1" t="inlineStr">
        <is>
          <t>ORG_1233</t>
        </is>
      </c>
      <c r="C415" s="1" t="b">
        <v>1</v>
      </c>
      <c r="D415" s="1" t="inlineStr">
        <is>
          <t>ChatTutor</t>
        </is>
      </c>
      <c r="E415" s="10" t="inlineStr">
        <is>
          <t>https://chattutor.io/</t>
        </is>
      </c>
      <c r="F415" t="inlineStr">
        <is>
          <t>chattutor.io</t>
        </is>
      </c>
      <c r="G415" s="1" t="inlineStr">
        <is>
          <t>Research based team involved in Generative Learning. Generative learning involves "making sense" of learning material by actively organizing and integrating it with existing knowledge. According to Fiorella "a generative learning activity (GLA) is something a learner does to try to make sense of what they are learning". There is evidence that learners do not spontaneously engage in sense-making when learning from text (e.g., Fiorella &amp; Mayer, 2017), visualizations (e.g., 
Makransky et al., 2021) or examples (Renkl, 1997). Prompting learners to engage in GLAs is therefore a potential remedy for achieving meaningful and durable learning outcomes. 
(Fiorella, 2023). Fiorella and Mayer (2015, 2016) identified eight generative learning 
strategies (GLS) including: summarizing, mapping, drawing, imagining, self-testing, self-
explaining, teaching, and enacting. Reviews and meta-analyses generally show that GLS 
support learning but each is susceptible to potential boundary conditions related to learner 
characteristics, learning materials, and support levels</t>
        </is>
      </c>
      <c r="H415" s="1" t="inlineStr">
        <is>
          <t>EdTech Denmark</t>
        </is>
      </c>
      <c r="I415" s="1" t="inlineStr">
        <is>
          <t>English</t>
        </is>
      </c>
      <c r="J415" s="1" t="inlineStr">
        <is>
          <t>Kgs Lyngby</t>
        </is>
      </c>
      <c r="K415" t="inlineStr">
        <is>
          <t>Kgs Lyngby</t>
        </is>
      </c>
      <c r="L415" t="inlineStr">
        <is>
          <t>Kgs Lyngby, Denmark</t>
        </is>
      </c>
      <c r="M415" t="n">
        <v>55.7718649</v>
      </c>
      <c r="N415" t="n">
        <v>12.5051413</v>
      </c>
      <c r="O415" s="1" t="inlineStr">
        <is>
          <t>Denmark</t>
        </is>
      </c>
      <c r="P415" s="1" t="inlineStr">
        <is>
          <t>Belgium, Bulgaria, Croatia, Cyprus, Czechia, Denmark, Estonia, Finland, France, Germany, Greece, Hungary, Iceland, Ireland, Italy, Kosovo, Latvia, Liechtenstein, Lithuania, Luxembourg, Malta, Moldova, Monaco, Montenegro, Netherlands, North Macedonia, Norway, Poland, Portugal, Romania, San Marino, Serbia, Slovakia, Slovenia, Spain, Sweden, Switzerland, Turkey, Ukraine, United Kingdom</t>
        </is>
      </c>
      <c r="Q415" s="1" t="inlineStr">
        <is>
          <t>0 to 2</t>
        </is>
      </c>
      <c r="R415" t="inlineStr">
        <is>
          <t>Solo entrepreneur</t>
        </is>
      </c>
      <c r="S415" s="1" t="inlineStr">
        <is>
          <t>Business to Business</t>
        </is>
      </c>
      <c r="T415" s="1" t="inlineStr">
        <is>
          <t>Corporate Training, Lifelong learning/Adult education, Vocational Education and Training (VET), Higher Education</t>
        </is>
      </c>
      <c r="U415" s="1" t="inlineStr">
        <is>
          <t>Teacher interfacing, System/Administrative, Student interfacing</t>
        </is>
      </c>
      <c r="V415" s="1" t="inlineStr">
        <is>
          <t>ChatTutor</t>
        </is>
      </c>
      <c r="W415" s="1" t="inlineStr">
        <is>
          <t>AI agnostic service to support teacher and student. Teacher is supported in instructrual design of Generative Learning. Student is supported in Generative learning by "making sense" of learning material by actively organizing and integrating it with existing knowledge</t>
        </is>
      </c>
      <c r="X415" s="1" t="inlineStr">
        <is>
          <t>https://drive.google.com/uc?export=view&amp;id=1xmTXbr2Jqt8Aeq-guApVl_WfW_6NtKyO</t>
        </is>
      </c>
      <c r="Y415" t="inlineStr">
        <is>
          <t>https://drive.google.com/uc?export=view&amp;id=1xmTXbr2Jqt8Aeq-guApVl_WfW_6NtKyO</t>
        </is>
      </c>
      <c r="Z415" s="1" t="inlineStr">
        <is>
          <t>https://drive.google.com/uc?export=view&amp;id=1xmTXbr2Jqt8Aeq-guApVl_WfW_6NtKyO</t>
        </is>
      </c>
      <c r="AA415" s="1" t="inlineStr">
        <is>
          <t>Unverified</t>
        </is>
      </c>
      <c r="AB415" s="1" t="n"/>
      <c r="AC415" s="1" t="n"/>
      <c r="AD415" s="10" t="n"/>
      <c r="AE415" s="1" t="n"/>
      <c r="AF415" t="inlineStr">
        <is>
          <t>No</t>
        </is>
      </c>
    </row>
    <row r="416" ht="12.5" customHeight="1">
      <c r="A416" s="6" t="n">
        <v>45441</v>
      </c>
      <c r="B416" s="1" t="inlineStr">
        <is>
          <t>ORG_1753</t>
        </is>
      </c>
      <c r="C416" s="1" t="b">
        <v>1</v>
      </c>
      <c r="D416" s="1" t="inlineStr">
        <is>
          <t>JetLearn</t>
        </is>
      </c>
      <c r="E416" s="10" t="inlineStr">
        <is>
          <t>www.jetlearn.com</t>
        </is>
      </c>
      <c r="F416" t="inlineStr">
        <is>
          <t>jetlearn.com</t>
        </is>
      </c>
      <c r="G416" s="1" t="inlineStr">
        <is>
          <t>JetLearn is the worlds best AI academy for kids and teens</t>
        </is>
      </c>
      <c r="H416" s="1" t="inlineStr">
        <is>
          <t>Dutch EdTech</t>
        </is>
      </c>
      <c r="I416" s="1" t="inlineStr">
        <is>
          <t>English, Dutch</t>
        </is>
      </c>
      <c r="J416" s="1" t="inlineStr">
        <is>
          <t>Amsterdam</t>
        </is>
      </c>
      <c r="K416" t="inlineStr">
        <is>
          <t>Amsterdam</t>
        </is>
      </c>
      <c r="L416" t="inlineStr">
        <is>
          <t>Amsterdam, The Netherlands</t>
        </is>
      </c>
      <c r="M416" t="n">
        <v>52.3701984</v>
      </c>
      <c r="N416" t="n">
        <v>4.892168</v>
      </c>
      <c r="O416" s="1" t="inlineStr">
        <is>
          <t>The Netherlands</t>
        </is>
      </c>
      <c r="P416" s="1" t="inlineStr">
        <is>
          <t>Belgium, Denmark, Finland, Germany, Greece, Ireland, Italy, Liechtenstein, Luxembourg, Malta, Monaco, Netherlands, Norway, Poland, Portugal, Romania, Spain, Switzerland, Turkey, Ukraine, United Kingdom</t>
        </is>
      </c>
      <c r="Q416" s="1" t="inlineStr">
        <is>
          <t>11 to 50</t>
        </is>
      </c>
      <c r="R416" t="inlineStr">
        <is>
          <t>Small</t>
        </is>
      </c>
      <c r="S416" s="1" t="inlineStr">
        <is>
          <t>Business to Business, Business to Schools, Business to Consumer</t>
        </is>
      </c>
      <c r="T416" s="1" t="inlineStr">
        <is>
          <t>Primary Education, Secondary Education</t>
        </is>
      </c>
      <c r="U416" s="1" t="inlineStr">
        <is>
          <t>System/Administrative, Student interfacing, Teacher interfacing</t>
        </is>
      </c>
      <c r="V416" s="1" t="inlineStr">
        <is>
          <t>Live online learning on AI and Robotics for Kids and Teens</t>
        </is>
      </c>
      <c r="W416" s="1" t="inlineStr">
        <is>
          <t>https://drive.google.com/uc?export=view&amp;id=1u--uHxIjbQgF02WtElFk3ViF4HuWMSIa</t>
        </is>
      </c>
      <c r="X416" s="10" t="inlineStr">
        <is>
          <t>https://drive.google.com/uc?export=view&amp;id=1u--uHxIjbQgF02WtElFk3ViF4HuWMSIa</t>
        </is>
      </c>
      <c r="Y416" t="inlineStr">
        <is>
          <t>https://drive.google.com/uc?export=view&amp;id=1u--uHxIjbQgF02WtElFk3ViF4HuWMSIa</t>
        </is>
      </c>
      <c r="Z416" s="1" t="inlineStr">
        <is>
          <t>https://drive.google.com/uc?export=view&amp;id=1u--uHxIjbQgF02WtElFk3ViF4HuWMSIa</t>
        </is>
      </c>
      <c r="AA416" s="1" t="inlineStr">
        <is>
          <t>Unverified</t>
        </is>
      </c>
      <c r="AB416" s="1" t="n"/>
      <c r="AC416" s="1" t="n"/>
      <c r="AD416" s="10" t="n"/>
      <c r="AE416" s="1" t="n"/>
      <c r="AF416" t="inlineStr">
        <is>
          <t>Yes</t>
        </is>
      </c>
      <c r="AG416" t="inlineStr">
        <is>
          <t>https://www.linkedin.com/company/jet-learn</t>
        </is>
      </c>
      <c r="AH416" t="inlineStr">
        <is>
          <t>https://www.linkedin.com/company/jet-learn</t>
        </is>
      </c>
      <c r="AI416" t="inlineStr">
        <is>
          <t>https://www.linkedin.com/company/jet-learn</t>
        </is>
      </c>
    </row>
    <row r="417" ht="12.5" customHeight="1">
      <c r="A417" s="6" t="n">
        <v>45430</v>
      </c>
      <c r="B417" s="1" t="inlineStr">
        <is>
          <t>ORG_1126</t>
        </is>
      </c>
      <c r="C417" s="1" t="b">
        <v>1</v>
      </c>
      <c r="D417" s="1" t="inlineStr">
        <is>
          <t>Automated Education</t>
        </is>
      </c>
      <c r="E417" s="10" t="inlineStr">
        <is>
          <t>https://automated.education</t>
        </is>
      </c>
      <c r="F417" t="inlineStr">
        <is>
          <t>automated.education</t>
        </is>
      </c>
      <c r="G417" s="1" t="inlineStr">
        <is>
          <t>In the rapidly evolving landscape of education, Automated Education stands as a beacon of innovation and efficiency. Our web-based platform is a comprehensive solution, meticulously engineered to transform the educational sphere by enhancing every facet of the teaching and learning process. Designed to meet the dynamic needs of modern education, our integrated suite of tools is poised to revolutionize how educators plan, teach, and assess.
Our platform's cornerstone is its ability to facilitate the creation of custom, curriculum-aligned schemes of work that seamlessly integrate educational standards and outcomes. This enables educators to craft personalized learning experiences that are both purposeful and impactful. With real-time updates to reflect the latest educational standards, our system ensures that educators are always at the forefront of educational compliance and excellence.
The versatility of Automated Education is evident in its diverse unit types and built-in assessment schemas, catering to various grade levels and teaching styles. The platform's cross-platform compatibility and export options further underscore its commitment to accessibility and ease of use, allowing educators to work flexibly and on-the-go.
Moreover, our platform's interconnected structure links assignments to units, units to schemes, and schemes to year groups and subjects, creating a cohesive and comprehensive educational process. This integrated approach not only streamlines planning and execution but also provides a holistic view of the educational journey.
Despite its integrated nature, Automated Education is built with the utmost flexibility. Educators can choose to generate standalone assignments or lesson plans, adapting the platform to their unique needs. This flexibility is a testament to our understanding that one size does not fit all in education</t>
        </is>
      </c>
      <c r="H417" s="1" t="inlineStr">
        <is>
          <t>I'm not part of any EdTech association</t>
        </is>
      </c>
      <c r="I417" s="1" t="inlineStr">
        <is>
          <t>All</t>
        </is>
      </c>
      <c r="J417" s="1" t="inlineStr">
        <is>
          <t>Hastveda</t>
        </is>
      </c>
      <c r="K417" t="inlineStr">
        <is>
          <t>Hastveda</t>
        </is>
      </c>
      <c r="L417" t="inlineStr">
        <is>
          <t>Hastveda, Sweden</t>
        </is>
      </c>
      <c r="M417" t="n">
        <v>56.2806143</v>
      </c>
      <c r="N417" t="n">
        <v>13.9490904</v>
      </c>
      <c r="O417" s="1" t="inlineStr">
        <is>
          <t>Sweden</t>
        </is>
      </c>
      <c r="P417"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417" s="1" t="inlineStr">
        <is>
          <t>0 to 2</t>
        </is>
      </c>
      <c r="R417" t="inlineStr">
        <is>
          <t>Solo entrepreneur</t>
        </is>
      </c>
      <c r="S417" s="1" t="inlineStr">
        <is>
          <t>Business to Business, Business to Schools, Business to Consumer, Business to Government</t>
        </is>
      </c>
      <c r="T417" s="1" t="inlineStr">
        <is>
          <t>Early childhood development (0-5 years), Primary Education, Secondary Education</t>
        </is>
      </c>
      <c r="U417" s="1" t="inlineStr">
        <is>
          <t>Teacher interfacing, System/Administrative, Student interfacing</t>
        </is>
      </c>
      <c r="V417" s="10" t="inlineStr">
        <is>
          <t>Automated Education</t>
        </is>
      </c>
      <c r="W417" s="1" t="inlineStr">
        <is>
          <t>Automated Education offers an innovative web-based platform for educators, streamlining curriculum design, assessment, and teaching. It integrates educational standards, provides customisable schemes of work, and ensures efficient lesson planning. With real-time updates and cross-platform compatibility, it empowers educators to focus on student engagement and personalised learning, revolutionising the educational process with technology-driven solutions.</t>
        </is>
      </c>
      <c r="X417" s="10" t="inlineStr">
        <is>
          <t>https://drive.google.com/uc?export=view&amp;id=1NDVO3PpnqAdmtHlJndyfeKhCzAZkLTG3</t>
        </is>
      </c>
      <c r="Y417" t="inlineStr">
        <is>
          <t>https://drive.google.com/uc?export=view&amp;id=1NDVO3PpnqAdmtHlJndyfeKhCzAZkLTG3</t>
        </is>
      </c>
      <c r="Z417" s="1" t="inlineStr">
        <is>
          <t>https://drive.google.com/uc?export=view&amp;id=1NDVO3PpnqAdmtHlJndyfeKhCzAZkLTG3</t>
        </is>
      </c>
      <c r="AA417" s="1" t="inlineStr">
        <is>
          <t>Unverified</t>
        </is>
      </c>
      <c r="AB417" s="1" t="n"/>
      <c r="AC417" s="1" t="n"/>
      <c r="AD417" s="10" t="n"/>
      <c r="AE417" s="1" t="n"/>
      <c r="AF417" t="inlineStr">
        <is>
          <t>Yes</t>
        </is>
      </c>
      <c r="AG417" t="inlineStr">
        <is>
          <t>https://www.instagram.com/automated.education/</t>
        </is>
      </c>
      <c r="AH417" t="inlineStr">
        <is>
          <t>https://www.linkedin.com/company/102511543/</t>
        </is>
      </c>
      <c r="AI417" t="inlineStr">
        <is>
          <t>https://www.linkedin.com/company/102511543/</t>
        </is>
      </c>
    </row>
    <row r="418" ht="12.5" customHeight="1">
      <c r="A418" s="6" t="n">
        <v>45428</v>
      </c>
      <c r="B418" s="1" t="inlineStr">
        <is>
          <t>ORG_1607</t>
        </is>
      </c>
      <c r="C418" s="1" t="b">
        <v>1</v>
      </c>
      <c r="D418" s="1" t="inlineStr">
        <is>
          <t>GAMS Platform</t>
        </is>
      </c>
      <c r="E418" s="10" t="inlineStr">
        <is>
          <t>https://gamsplatform.com</t>
        </is>
      </c>
      <c r="F418" t="inlineStr">
        <is>
          <t>gamsplatform.com</t>
        </is>
      </c>
      <c r="G418" s="1" t="inlineStr">
        <is>
          <t>GAMS Platform enables Challenge Based Learning &amp; Skill Assessment and
developed the Profile Scorecard, a dynamic certification accredited by the
European Union to validate digital skills during the trainings and be helpful for
recruiters to find the right talent</t>
        </is>
      </c>
      <c r="H418" s="1" t="inlineStr">
        <is>
          <t>EdTech Italia</t>
        </is>
      </c>
      <c r="I418" s="1" t="inlineStr">
        <is>
          <t>English, Italia</t>
        </is>
      </c>
      <c r="J418" s="1" t="inlineStr">
        <is>
          <t>Rome</t>
        </is>
      </c>
      <c r="K418" t="inlineStr">
        <is>
          <t>Rome</t>
        </is>
      </c>
      <c r="L418" t="inlineStr">
        <is>
          <t>Rome, Italy</t>
        </is>
      </c>
      <c r="M418" t="n">
        <v>41.8933203</v>
      </c>
      <c r="N418" t="n">
        <v>12.4829321</v>
      </c>
      <c r="O418" s="1" t="inlineStr">
        <is>
          <t>Italy</t>
        </is>
      </c>
      <c r="P418" s="1" t="inlineStr">
        <is>
          <t>Finland, France, Germany, Italy, Netherlands, Poland, Spain, Switzerland, United Kingdom</t>
        </is>
      </c>
      <c r="Q418" s="1" t="inlineStr">
        <is>
          <t>11 to 50</t>
        </is>
      </c>
      <c r="R418" t="inlineStr">
        <is>
          <t>Small</t>
        </is>
      </c>
      <c r="S418" s="1" t="inlineStr">
        <is>
          <t>Business to Business, Business to Schools, Business to Consumer</t>
        </is>
      </c>
      <c r="T418" s="1" t="inlineStr">
        <is>
          <t>Corporate Training, Lifelong learning/Adult education</t>
        </is>
      </c>
      <c r="U418" s="1" t="inlineStr">
        <is>
          <t>Student interfacing, Teacher interfacing, System/Administrative</t>
        </is>
      </c>
      <c r="V418" s="10" t="inlineStr">
        <is>
          <t>GAMS Training Licences and Services</t>
        </is>
      </c>
      <c r="W418" s="1" t="inlineStr">
        <is>
          <t>Complete training with hands-on practice using GAMS Platform. It caters to synchronous and asynchronous learning for various courses like digital marketing, Excel, analytics, project management, cybersecurity, and coding. Students receive a Profile Scorecard validating their skills after completing challenges and training.</t>
        </is>
      </c>
      <c r="X418" s="10" t="inlineStr">
        <is>
          <t>GAMS Excel for Everyone</t>
        </is>
      </c>
      <c r="Y418" t="inlineStr">
        <is>
          <t>Excel training with a unique method of learning via challenges direcly by using the platform.
Works for both synchronous and asynchronous training depending on the academy needs.</t>
        </is>
      </c>
      <c r="Z418" s="1" t="inlineStr">
        <is>
          <t>https://drive.google.com/uc?export=view&amp;id=1i1-mMnEgGLU3pXOkVVLruKtD8j2x6nxl</t>
        </is>
      </c>
      <c r="AA418" s="1" t="inlineStr">
        <is>
          <t>Unverified</t>
        </is>
      </c>
      <c r="AB418" s="1" t="n"/>
      <c r="AC418" s="1" t="n"/>
      <c r="AD418" s="10" t="n"/>
      <c r="AE418" s="1" t="n"/>
      <c r="AF418" t="inlineStr">
        <is>
          <t>Yes</t>
        </is>
      </c>
      <c r="AG418" t="inlineStr">
        <is>
          <t>https://www.instagram.com/gamsplatform</t>
        </is>
      </c>
      <c r="AH418" t="inlineStr">
        <is>
          <t>https://www.linkedin.com/company/gamsplatform/</t>
        </is>
      </c>
      <c r="AI418" t="inlineStr">
        <is>
          <t>https://www.linkedin.com/company/gamsplatform/</t>
        </is>
      </c>
    </row>
    <row r="419" ht="12.5" customHeight="1">
      <c r="A419" s="6" t="n">
        <v>45428</v>
      </c>
      <c r="B419" s="1" t="inlineStr">
        <is>
          <t>ORG_1677</t>
        </is>
      </c>
      <c r="C419" s="1" t="b">
        <v>1</v>
      </c>
      <c r="D419" s="1" t="inlineStr">
        <is>
          <t>hihaho interactive video</t>
        </is>
      </c>
      <c r="E419" s="10" t="inlineStr">
        <is>
          <t>https://hihaho.com/</t>
        </is>
      </c>
      <c r="F419" t="inlineStr">
        <is>
          <t>hihaho.com</t>
        </is>
      </c>
      <c r="G419" s="1" t="inlineStr">
        <is>
          <t>Hihaho stands for High Interactivity, High Attention values and High Outcomes. We are a leading SaaS layer technology platform for interactive video, the next generation internet content standard for e-learning/video learning, public information and e-marketing. The hihaho layer technology platform can be used either stand-alone or fully integrated within Online Video Platforms, Learning Management Systems and Content Authoring environments, Customer Relations Management systems, or any website or business application. Hihaho is ultra scalable and ultra integrable proven technology which is already used by renowned video en LMS platforms and brands.</t>
        </is>
      </c>
      <c r="H419" s="1" t="inlineStr">
        <is>
          <t>Dutch EdTech</t>
        </is>
      </c>
      <c r="I419" s="1" t="inlineStr">
        <is>
          <t>All</t>
        </is>
      </c>
      <c r="J419" s="1" t="inlineStr">
        <is>
          <t>Assen</t>
        </is>
      </c>
      <c r="K419" t="inlineStr">
        <is>
          <t>Assen</t>
        </is>
      </c>
      <c r="L419" t="inlineStr">
        <is>
          <t>Assen, The Netherlands</t>
        </is>
      </c>
      <c r="M419" t="n">
        <v>53.0176236</v>
      </c>
      <c r="N419" t="n">
        <v>6.5287051</v>
      </c>
      <c r="O419" s="1" t="inlineStr">
        <is>
          <t>The Netherlands</t>
        </is>
      </c>
      <c r="P41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419" s="1" t="inlineStr">
        <is>
          <t>11 to 50</t>
        </is>
      </c>
      <c r="R419" t="inlineStr">
        <is>
          <t>Small</t>
        </is>
      </c>
      <c r="S419" s="1" t="inlineStr">
        <is>
          <t>Business to Business, Business to Consumer</t>
        </is>
      </c>
      <c r="T419" s="1" t="inlineStr">
        <is>
          <t>Corporate Training, Lifelong learning/Adult education, Vocational Education and Training (VET), Higher Education</t>
        </is>
      </c>
      <c r="U419" s="1" t="inlineStr">
        <is>
          <t>Teacher interfacing, System/Administrative</t>
        </is>
      </c>
      <c r="V419" s="1" t="inlineStr">
        <is>
          <t>hihaho interactive video</t>
        </is>
      </c>
      <c r="W419" s="1" t="inlineStr">
        <is>
          <t>Interactive layer technology SaaS platform for interactive video. Can either be used stand alone or fully integrated in OVP, LMS, CRM and other business applications. See https://hihaho.com/integrations-and-partners/</t>
        </is>
      </c>
      <c r="X419" s="10" t="inlineStr">
        <is>
          <t>hihaho pay-per-use</t>
        </is>
      </c>
      <c r="Y419" t="inlineStr">
        <is>
          <t>Online pay-per-use solution for creative content agencies and small businesses that need an affordable solution without subscription. See: https://studio.hihaho.com/register</t>
        </is>
      </c>
      <c r="Z419" s="1" t="inlineStr">
        <is>
          <t>https://drive.google.com/uc?export=view&amp;id=1xZJOt-CBkTwrccfTksl4xvGr3-IUGkRq</t>
        </is>
      </c>
      <c r="AA419" s="1" t="inlineStr">
        <is>
          <t>Unverified</t>
        </is>
      </c>
      <c r="AB419" s="1" t="n"/>
      <c r="AC419" s="1" t="n"/>
      <c r="AD419" s="10" t="n"/>
      <c r="AE419" s="1" t="n"/>
      <c r="AF419" t="inlineStr">
        <is>
          <t>Yes</t>
        </is>
      </c>
      <c r="AG419" t="inlineStr">
        <is>
          <t>-</t>
        </is>
      </c>
      <c r="AH419" t="inlineStr">
        <is>
          <t>-</t>
        </is>
      </c>
      <c r="AI419" t="inlineStr">
        <is>
          <t>https://www.linkedin.com/company/hihaho/mycompany/</t>
        </is>
      </c>
    </row>
    <row r="420" ht="12.5" customHeight="1">
      <c r="A420" s="6" t="n">
        <v>45420</v>
      </c>
      <c r="B420" s="1" t="inlineStr">
        <is>
          <t>ORG_2260</t>
        </is>
      </c>
      <c r="C420" s="1" t="b">
        <v>1</v>
      </c>
      <c r="D420" s="1" t="inlineStr">
        <is>
          <t>SkillsPlay</t>
        </is>
      </c>
      <c r="E420" s="10" t="inlineStr">
        <is>
          <t>www.brightgame.com</t>
        </is>
      </c>
      <c r="F420" t="inlineStr">
        <is>
          <t>brightgame.com</t>
        </is>
      </c>
      <c r="G420" s="1" t="inlineStr">
        <is>
          <t>The SkillsPlay team are the creators of BrightGame - a novel platform enabling educators and trainers to create their own deep scenario based serious learning games.
We offer support for anyone thinking of using ‘Serious Learning Games’ with bespoke design services, BrightGame training and partner accreditation, research collaborations and much more.</t>
        </is>
      </c>
      <c r="H420" s="1" t="inlineStr">
        <is>
          <t>I'm not part of any EdTech association</t>
        </is>
      </c>
      <c r="I420" s="1" t="inlineStr">
        <is>
          <t>English</t>
        </is>
      </c>
      <c r="J420" s="1" t="inlineStr">
        <is>
          <t>Newcastle Upon Tyne</t>
        </is>
      </c>
      <c r="K420" t="inlineStr">
        <is>
          <t>Newcastle Upon Tyne</t>
        </is>
      </c>
      <c r="L420" t="inlineStr">
        <is>
          <t>Newcastle Upon Tyne, United Kingdom</t>
        </is>
      </c>
      <c r="M420" t="n">
        <v>54.9738474</v>
      </c>
      <c r="N420" t="n">
        <v>-1.6131572</v>
      </c>
      <c r="O420" s="1" t="inlineStr">
        <is>
          <t>United Kingdom</t>
        </is>
      </c>
      <c r="P420" s="1" t="inlineStr">
        <is>
          <t>United Kingdom</t>
        </is>
      </c>
      <c r="Q420" s="1" t="inlineStr">
        <is>
          <t>3 to 5</t>
        </is>
      </c>
      <c r="R420" t="inlineStr">
        <is>
          <t>Micro</t>
        </is>
      </c>
      <c r="S420" s="1" t="inlineStr">
        <is>
          <t>Business to Business, Business to Schools, Business to Government</t>
        </is>
      </c>
      <c r="T420" s="1" t="inlineStr">
        <is>
          <t>Secondary Education, Corporate Training, Lifelong learning/Adult education, Vocational Education and Training (VET), Higher Education</t>
        </is>
      </c>
      <c r="U420" s="1" t="inlineStr">
        <is>
          <t>Teacher interfacing, System/Administrative</t>
        </is>
      </c>
      <c r="V420" s="1" t="inlineStr">
        <is>
          <t>BrightGame</t>
        </is>
      </c>
      <c r="W420" s="1" t="inlineStr">
        <is>
          <t>BrightGame is a novel platform enabling educators and trainers to create their own deep scenario based serious learning games.
Unlike VR/ AR or bespoke games studio's, the system offers rapid creation of situational learning games for use in capturing tacit knowledge and sharing best practice, learner engagement, learning reinforcement and formative assessment. The system generates games with no need for expertise in game design, gamification or associated logics,, with personal and group performance metrics generated automatically by the platform.</t>
        </is>
      </c>
      <c r="X420" s="10" t="inlineStr">
        <is>
          <t>SkillsPlay studio</t>
        </is>
      </c>
      <c r="Y420" t="inlineStr">
        <is>
          <t>The Studio team offer support for anyone thinking of using ‘Serious Learning Games’ with bespoke design services, training and partner accreditation, research collaborations and much more.</t>
        </is>
      </c>
      <c r="Z420" s="1" t="inlineStr">
        <is>
          <t>https://drive.google.com/uc?export=view&amp;id=1_2paPPiy2gOHouf52PfmtDL5txb3SPJy</t>
        </is>
      </c>
      <c r="AA420" s="1" t="inlineStr">
        <is>
          <t>Unverified</t>
        </is>
      </c>
      <c r="AB420" s="1" t="n"/>
      <c r="AC420" s="1" t="n"/>
      <c r="AD420" s="10" t="n"/>
      <c r="AE420" s="1" t="n"/>
      <c r="AF420" s="1" t="inlineStr">
        <is>
          <t>Yes</t>
        </is>
      </c>
      <c r="AG420" s="1" t="inlineStr">
        <is>
          <t>https://www.linkedin.com/company/skillsplay-ltd/</t>
        </is>
      </c>
      <c r="AH420" s="1" t="inlineStr">
        <is>
          <t>@SkillsPlay_</t>
        </is>
      </c>
      <c r="AI420" t="inlineStr">
        <is>
          <t>https://www.linkedin.com/company/skillsplay-ltd/</t>
        </is>
      </c>
    </row>
    <row r="421" ht="12.5" customHeight="1">
      <c r="A421" s="6" t="n">
        <v>45420</v>
      </c>
      <c r="B421" s="1" t="inlineStr">
        <is>
          <t>ORG_1345</t>
        </is>
      </c>
      <c r="C421" s="1" t="b">
        <v>1</v>
      </c>
      <c r="D421" s="1" t="inlineStr">
        <is>
          <t>DIBS</t>
        </is>
      </c>
      <c r="E421" s="10" t="inlineStr">
        <is>
          <t>www.dibs-school.com</t>
        </is>
      </c>
      <c r="F421" t="inlineStr">
        <is>
          <t>dibs-school.com</t>
        </is>
      </c>
      <c r="G421" s="1" t="inlineStr">
        <is>
          <t>A new way to shape and improve the value of education (up to 18).DIBS is the first reality to propose a new educational model that si able to help students and companies to discover the best educational path and able to enhance their talens and skills. Our model is based on the collaboration with teachers and schools in order to create, share and adapt education contents to learners's needs thanks to our AI Platform. A tool to create, share, find and adapt educational's content and programs using the most modern technologies with and olistic view.</t>
        </is>
      </c>
      <c r="H421" s="1" t="inlineStr">
        <is>
          <t>EdTech Italia</t>
        </is>
      </c>
      <c r="I421" s="1" t="inlineStr">
        <is>
          <t>Italian</t>
        </is>
      </c>
      <c r="J421" s="1" t="inlineStr">
        <is>
          <t>Como</t>
        </is>
      </c>
      <c r="K421" t="inlineStr">
        <is>
          <t>Como</t>
        </is>
      </c>
      <c r="L421" t="inlineStr">
        <is>
          <t>Como, Italy</t>
        </is>
      </c>
      <c r="M421" t="n">
        <v>45.9395857</v>
      </c>
      <c r="N421" t="n">
        <v>9.1493609</v>
      </c>
      <c r="O421" s="1" t="inlineStr">
        <is>
          <t>Italy</t>
        </is>
      </c>
      <c r="P421" s="1" t="inlineStr">
        <is>
          <t>Italy</t>
        </is>
      </c>
      <c r="Q421" s="1" t="inlineStr">
        <is>
          <t>0 to 2</t>
        </is>
      </c>
      <c r="R421" t="inlineStr">
        <is>
          <t>Solo entrepreneur</t>
        </is>
      </c>
      <c r="S421" s="1" t="inlineStr">
        <is>
          <t>Business to Business, Business to Consumer, Business to Schools</t>
        </is>
      </c>
      <c r="T421" s="1" t="inlineStr">
        <is>
          <t>Corporate Training, Lifelong learning/Adult education</t>
        </is>
      </c>
      <c r="U421" s="1" t="inlineStr">
        <is>
          <t>Student interfacing, Teacher interfacing, System/Administrative</t>
        </is>
      </c>
      <c r="V421" s="1" t="inlineStr">
        <is>
          <t>DIBS AI platform</t>
        </is>
      </c>
      <c r="W421" s="1" t="inlineStr">
        <is>
          <t>DIBS platform offers personalized learning paths and an AI reccomandation engine to suggest relevant skills. DIBS partenered with teachers and schools to provide content and certifications.</t>
        </is>
      </c>
      <c r="X421" s="1" t="inlineStr">
        <is>
          <t>CDD</t>
        </is>
      </c>
      <c r="Y421" t="inlineStr">
        <is>
          <t>is a didattics CPQ</t>
        </is>
      </c>
      <c r="Z421" s="1" t="inlineStr">
        <is>
          <t>https://drive.google.com/uc?export=view&amp;id=1enyRbrKQ8mYyOnjJnl_hm6APAsdZEP_s</t>
        </is>
      </c>
      <c r="AA421" s="1" t="inlineStr">
        <is>
          <t>Unverified</t>
        </is>
      </c>
      <c r="AB421" s="1" t="n"/>
      <c r="AC421" s="1" t="n"/>
      <c r="AD421" s="10" t="n"/>
      <c r="AE421" s="1" t="n"/>
      <c r="AF421" s="1" t="inlineStr">
        <is>
          <t>No</t>
        </is>
      </c>
      <c r="AG421" s="1" t="n"/>
      <c r="AH421" s="1" t="n"/>
    </row>
    <row r="422" ht="12.5" customHeight="1">
      <c r="A422" s="6" t="n">
        <v>45415</v>
      </c>
      <c r="B422" s="1" t="inlineStr">
        <is>
          <t>ORG_1400</t>
        </is>
      </c>
      <c r="C422" s="1" t="b">
        <v>1</v>
      </c>
      <c r="D422" s="1" t="inlineStr">
        <is>
          <t>eddilake</t>
        </is>
      </c>
      <c r="E422" s="10" t="inlineStr">
        <is>
          <t>https://eddilake.de/</t>
        </is>
      </c>
      <c r="F422" t="inlineStr">
        <is>
          <t>eddilake.de</t>
        </is>
      </c>
      <c r="G422" s="1" t="inlineStr">
        <is>
          <t>We develop innovative learning software for media education in schools and at home.</t>
        </is>
      </c>
      <c r="H422" s="1" t="inlineStr">
        <is>
          <t>I'm not part of any EdTech association</t>
        </is>
      </c>
      <c r="I422" s="1" t="inlineStr">
        <is>
          <t>German</t>
        </is>
      </c>
      <c r="J422" s="1" t="inlineStr">
        <is>
          <t>Konstanz</t>
        </is>
      </c>
      <c r="K422" t="inlineStr">
        <is>
          <t>Konstanz</t>
        </is>
      </c>
      <c r="L422" t="inlineStr">
        <is>
          <t>Konstanz, Germany</t>
        </is>
      </c>
      <c r="M422" t="n">
        <v>47.659216</v>
      </c>
      <c r="N422" t="n">
        <v>9.1750718</v>
      </c>
      <c r="O422" s="1" t="inlineStr">
        <is>
          <t>Germany</t>
        </is>
      </c>
      <c r="P422" s="1" t="inlineStr">
        <is>
          <t>Austria, Germany, Switzerland</t>
        </is>
      </c>
      <c r="Q422" s="1" t="inlineStr">
        <is>
          <t>3 to 5</t>
        </is>
      </c>
      <c r="R422" t="inlineStr">
        <is>
          <t>Micro</t>
        </is>
      </c>
      <c r="S422" s="1" t="inlineStr">
        <is>
          <t>Business to Business, Business to Schools, Business to Consumer, Business to Government</t>
        </is>
      </c>
      <c r="T422" s="1" t="inlineStr">
        <is>
          <t>Primary Education, Secondary Education</t>
        </is>
      </c>
      <c r="U422" s="1" t="inlineStr">
        <is>
          <t>System/Administrative, Student interfacing, Teacher interfacing</t>
        </is>
      </c>
      <c r="V422" s="1" t="inlineStr">
        <is>
          <t>https://www.linkedin.com/company/eddilake</t>
        </is>
      </c>
      <c r="W422" s="1" t="inlineStr">
        <is>
          <t>https://drive.google.com/uc?export=view&amp;id=1VqLlUTJ3BACoceEolhBv7YdBOm9zNDiq</t>
        </is>
      </c>
      <c r="X422" s="10" t="inlineStr">
        <is>
          <t>https://drive.google.com/uc?export=view&amp;id=1VqLlUTJ3BACoceEolhBv7YdBOm9zNDiq</t>
        </is>
      </c>
      <c r="Y422" t="inlineStr">
        <is>
          <t>https://drive.google.com/uc?export=view&amp;id=1VqLlUTJ3BACoceEolhBv7YdBOm9zNDiq</t>
        </is>
      </c>
      <c r="Z422" s="1" t="inlineStr">
        <is>
          <t>https://drive.google.com/uc?export=view&amp;id=1VqLlUTJ3BACoceEolhBv7YdBOm9zNDiq</t>
        </is>
      </c>
      <c r="AA422" s="1" t="inlineStr">
        <is>
          <t>Unverified</t>
        </is>
      </c>
      <c r="AB422" s="1" t="n"/>
      <c r="AC422" s="1" t="n"/>
      <c r="AD422" s="10" t="n"/>
      <c r="AE422" s="1" t="n"/>
      <c r="AF422" t="inlineStr">
        <is>
          <t>Yes</t>
        </is>
      </c>
      <c r="AG422" t="inlineStr">
        <is>
          <t>https://www.linkedin.com/company/eddilake</t>
        </is>
      </c>
      <c r="AH422" t="inlineStr">
        <is>
          <t>https://www.linkedin.com/company/eddilake</t>
        </is>
      </c>
      <c r="AI422" t="inlineStr">
        <is>
          <t>https://www.linkedin.com/company/eddilake</t>
        </is>
      </c>
    </row>
    <row r="423" ht="12.5" customHeight="1">
      <c r="A423" s="6" t="n">
        <v>45412</v>
      </c>
      <c r="B423" s="1" t="inlineStr">
        <is>
          <t>ORG_1192</t>
        </is>
      </c>
      <c r="C423" s="1" t="b">
        <v>1</v>
      </c>
      <c r="D423" s="10" t="inlineStr">
        <is>
          <t>BrainBite.ai</t>
        </is>
      </c>
      <c r="E423" s="10" t="inlineStr">
        <is>
          <t>www.brainbite.ai</t>
        </is>
      </c>
      <c r="F423" t="inlineStr">
        <is>
          <t>brainbite.ai</t>
        </is>
      </c>
      <c r="G423" s="1" t="inlineStr">
        <is>
          <t>BrainBite is an advanced educational technology platform that enhances the learning experience by providing personalized, AI-driven educational content for children aged 8 and above. It aims to transform traditional education methods by making learning more engaging, inclusive, and effective through a variety of innovative features. These include personalized learning paths, AI-driven adaptability, inclusive learning solutions, engagement through storytelling, and a global tutor network. BrainBite also offers extensive insights for parents and tutors to help them support the learners effectively​​.</t>
        </is>
      </c>
      <c r="H423" s="1" t="inlineStr">
        <is>
          <t>Dutch EdTech</t>
        </is>
      </c>
      <c r="I423" s="1" t="inlineStr">
        <is>
          <t>English, Dutch</t>
        </is>
      </c>
      <c r="J423" s="1" t="inlineStr">
        <is>
          <t>Veen</t>
        </is>
      </c>
      <c r="K423" t="inlineStr">
        <is>
          <t>Veen</t>
        </is>
      </c>
      <c r="L423" t="inlineStr">
        <is>
          <t>Veen, The Netherlands</t>
        </is>
      </c>
      <c r="M423" t="n">
        <v>52.0699296</v>
      </c>
      <c r="N423" t="n">
        <v>4.2921942</v>
      </c>
      <c r="O423" s="1" t="inlineStr">
        <is>
          <t>The Netherlands</t>
        </is>
      </c>
      <c r="P423" s="1" t="inlineStr">
        <is>
          <t>Belgium, Malta, United Kingdom</t>
        </is>
      </c>
      <c r="Q423" s="1" t="inlineStr">
        <is>
          <t>11 to 50</t>
        </is>
      </c>
      <c r="R423" t="inlineStr">
        <is>
          <t>Small</t>
        </is>
      </c>
      <c r="S423" s="1" t="inlineStr">
        <is>
          <t>Business to Business, Business to Schools, Business to Consumer, Business to Government</t>
        </is>
      </c>
      <c r="T423" s="1" t="inlineStr">
        <is>
          <t>Primary Education, Secondary Education</t>
        </is>
      </c>
      <c r="U423" s="1" t="inlineStr">
        <is>
          <t>System/Administrative, Student interfacing, Teacher interfacing</t>
        </is>
      </c>
      <c r="V423" s="10" t="inlineStr">
        <is>
          <t>BrainBite.ai</t>
        </is>
      </c>
      <c r="W423" s="1" t="inlineStr">
        <is>
          <t>BrainBite is an advanced educational technology platform that enhances the learning experience by providing personalized, AI-driven educational content for children aged 8 and above. It aims to transform traditional education methods by making learning more engaging, inclusive, and effective through a variety of innovative features. These include personalized learning paths, AI-driven adaptability, inclusive learning solutions, engagement through storytelling, and a global tutor network. BrainBite also offers extensive insights for parents and tutors to help them support the learners effectively​​.</t>
        </is>
      </c>
      <c r="X423" s="10" t="inlineStr">
        <is>
          <t>https://drive.google.com/uc?export=view&amp;id=18mp-kr9smhowzLVPVFN12YfYsfzs5ux6</t>
        </is>
      </c>
      <c r="Y423" t="inlineStr">
        <is>
          <t>https://drive.google.com/uc?export=view&amp;id=18mp-kr9smhowzLVPVFN12YfYsfzs5ux6</t>
        </is>
      </c>
      <c r="Z423" s="10" t="inlineStr">
        <is>
          <t>https://drive.google.com/uc?export=view&amp;id=18mp-kr9smhowzLVPVFN12YfYsfzs5ux6</t>
        </is>
      </c>
      <c r="AA423" s="1" t="inlineStr">
        <is>
          <t>Unverified</t>
        </is>
      </c>
      <c r="AB423" s="1" t="n"/>
      <c r="AC423" s="1" t="n"/>
      <c r="AD423" s="10" t="n"/>
      <c r="AE423" s="1" t="n"/>
      <c r="AF423" s="1" t="inlineStr">
        <is>
          <t>Yes</t>
        </is>
      </c>
      <c r="AG423" s="1" t="inlineStr">
        <is>
          <t>https://www.instagram.com/brainbiteai/</t>
        </is>
      </c>
      <c r="AH423" s="1" t="inlineStr">
        <is>
          <t>https://www.linkedin.com/company/brainbite/about/</t>
        </is>
      </c>
      <c r="AI423" t="inlineStr">
        <is>
          <t>https://www.linkedin.com/company/brainbite/about/</t>
        </is>
      </c>
    </row>
    <row r="424" ht="12.5" customHeight="1">
      <c r="A424" s="6" t="n">
        <v>45412</v>
      </c>
      <c r="B424" s="1" t="inlineStr">
        <is>
          <t>ORG_2291</t>
        </is>
      </c>
      <c r="C424" s="1" t="b">
        <v>1</v>
      </c>
      <c r="D424" s="1" t="inlineStr">
        <is>
          <t>Solion</t>
        </is>
      </c>
      <c r="E424" s="10" t="inlineStr">
        <is>
          <t>www.solion.it</t>
        </is>
      </c>
      <c r="F424" t="inlineStr">
        <is>
          <t>solion.it</t>
        </is>
      </c>
      <c r="G424" s="1" t="inlineStr">
        <is>
          <t>Solion is the first portal in Italy that is modernizing the way students and families choose the best schools and universities and the way institutions build their future classrooms. We believe that it shouldn't be difficult to find the best institution and course of study, so our mission is to make it easy, transparent and free. Solion is the trusted partner of colleges and universities, helping them streamline operations, increase brand awareness and achieve their enrollment goals. Solion fosters informed decision-making and continues to be dedicated to improving and simplifying the educational pathway for all through new technologies.</t>
        </is>
      </c>
      <c r="H424" s="1" t="inlineStr">
        <is>
          <t>EdTech Italia</t>
        </is>
      </c>
      <c r="I424" s="1" t="inlineStr">
        <is>
          <t>Italian</t>
        </is>
      </c>
      <c r="J424" s="1" t="inlineStr">
        <is>
          <t>Napoli</t>
        </is>
      </c>
      <c r="K424" t="inlineStr">
        <is>
          <t>Napoli</t>
        </is>
      </c>
      <c r="L424" t="inlineStr">
        <is>
          <t>Napoli, Italy</t>
        </is>
      </c>
      <c r="M424" t="n">
        <v>40.8358846</v>
      </c>
      <c r="N424" t="n">
        <v>14.2487679</v>
      </c>
      <c r="O424" s="1" t="inlineStr">
        <is>
          <t>Italy</t>
        </is>
      </c>
      <c r="P424" s="1" t="inlineStr">
        <is>
          <t>Italy</t>
        </is>
      </c>
      <c r="Q424" s="1" t="inlineStr">
        <is>
          <t>3 to 5</t>
        </is>
      </c>
      <c r="R424" t="inlineStr">
        <is>
          <t>Micro</t>
        </is>
      </c>
      <c r="S424" s="1" t="inlineStr">
        <is>
          <t>Business to Business, Business to Consumer, Business to Government</t>
        </is>
      </c>
      <c r="T424" s="1" t="inlineStr">
        <is>
          <t>Early childhood development (0-5 years), Primary Education, Secondary Education, Lifelong learning/Adult education, Vocational Education and Training (VET), Higher Education</t>
        </is>
      </c>
      <c r="U424" s="1" t="inlineStr">
        <is>
          <t>System/Administrative, Student interfacing, Teacher interfacing</t>
        </is>
      </c>
      <c r="V424" s="10" t="inlineStr">
        <is>
          <t>https://www.linkedin.com/company/solion/?viewAsMember=true</t>
        </is>
      </c>
      <c r="W424" s="1" t="inlineStr">
        <is>
          <t>https://drive.google.com/uc?export=view&amp;id=1tAWEyGEvnqjBEa0joButTPJgr3EYYg6d</t>
        </is>
      </c>
      <c r="X424" s="10" t="inlineStr">
        <is>
          <t>https://drive.google.com/uc?export=view&amp;id=1tAWEyGEvnqjBEa0joButTPJgr3EYYg6d</t>
        </is>
      </c>
      <c r="Y424" t="inlineStr">
        <is>
          <t>https://drive.google.com/uc?export=view&amp;id=1tAWEyGEvnqjBEa0joButTPJgr3EYYg6d</t>
        </is>
      </c>
      <c r="Z424" s="1" t="inlineStr">
        <is>
          <t>https://drive.google.com/uc?export=view&amp;id=1tAWEyGEvnqjBEa0joButTPJgr3EYYg6d</t>
        </is>
      </c>
      <c r="AA424" s="1" t="inlineStr">
        <is>
          <t>Unverified</t>
        </is>
      </c>
      <c r="AB424" s="1" t="n"/>
      <c r="AC424" s="1" t="n"/>
      <c r="AD424" s="10" t="n"/>
      <c r="AE424" s="1" t="n"/>
      <c r="AF424" s="1" t="inlineStr">
        <is>
          <t>Yes</t>
        </is>
      </c>
      <c r="AG424" s="1" t="inlineStr">
        <is>
          <t>https://www.instagram.com/solion.it/</t>
        </is>
      </c>
      <c r="AH424" s="1" t="inlineStr">
        <is>
          <t>https://www.linkedin.com/company/solion/?viewAsMember=true</t>
        </is>
      </c>
      <c r="AI424" t="inlineStr">
        <is>
          <t>https://www.linkedin.com/company/solion/?viewAsMember=true</t>
        </is>
      </c>
    </row>
    <row r="425" ht="12.5" customHeight="1">
      <c r="A425" s="6" t="n">
        <v>45411</v>
      </c>
      <c r="B425" s="1" t="inlineStr">
        <is>
          <t>ORG_1245</t>
        </is>
      </c>
      <c r="C425" s="1" t="b">
        <v>1</v>
      </c>
      <c r="D425" s="1" t="inlineStr">
        <is>
          <t>Class of Wonders</t>
        </is>
      </c>
      <c r="E425" s="10" t="inlineStr">
        <is>
          <t>classofwonders.com</t>
        </is>
      </c>
      <c r="F425" t="inlineStr">
        <is>
          <t>classofwonders.com</t>
        </is>
      </c>
      <c r="G425" s="1" t="inlineStr">
        <is>
          <t>We are an EdTech for Impact, on a mission to transform k-12 classrooms worldwide into spaces where no child leaves without learning.</t>
        </is>
      </c>
      <c r="H425" s="1" t="inlineStr">
        <is>
          <t>I'm not part of any EdTech association</t>
        </is>
      </c>
      <c r="I425" s="1" t="n"/>
      <c r="J425" s="1" t="inlineStr">
        <is>
          <t>Lisboa</t>
        </is>
      </c>
      <c r="K425" t="inlineStr">
        <is>
          <t>Lisboa</t>
        </is>
      </c>
      <c r="L425" t="inlineStr">
        <is>
          <t>Lisboa, Portugal</t>
        </is>
      </c>
      <c r="M425" t="n">
        <v>38.7077507</v>
      </c>
      <c r="N425" t="n">
        <v>-9.136591900000001</v>
      </c>
      <c r="O425" s="1" t="inlineStr">
        <is>
          <t>Portugal</t>
        </is>
      </c>
      <c r="P425" s="1" t="inlineStr">
        <is>
          <t>Portugal, Spain</t>
        </is>
      </c>
      <c r="Q425" s="1" t="inlineStr">
        <is>
          <t>3 to 5</t>
        </is>
      </c>
      <c r="R425" t="inlineStr">
        <is>
          <t>Micro</t>
        </is>
      </c>
      <c r="S425" s="1" t="inlineStr">
        <is>
          <t>Business to Business, Business to Schools, Business to Consumer, Business to Government</t>
        </is>
      </c>
      <c r="T425" s="1" t="inlineStr">
        <is>
          <t>Primary Education</t>
        </is>
      </c>
      <c r="U425" s="1" t="inlineStr">
        <is>
          <t>Student interfacing, Teacher interfacing</t>
        </is>
      </c>
      <c r="V425" s="1" t="inlineStr">
        <is>
          <t>https://www.linkedin.com/company/class-of-wonders/</t>
        </is>
      </c>
      <c r="W425" s="1" t="inlineStr">
        <is>
          <t>https://drive.google.com/uc?export=view&amp;id=1VeNfrgrFYc7vecE8BTymFzLiDZH3nAal</t>
        </is>
      </c>
      <c r="X425" s="10" t="inlineStr">
        <is>
          <t>https://drive.google.com/uc?export=view&amp;id=1VeNfrgrFYc7vecE8BTymFzLiDZH3nAal</t>
        </is>
      </c>
      <c r="Y425" t="inlineStr">
        <is>
          <t>https://drive.google.com/uc?export=view&amp;id=1VeNfrgrFYc7vecE8BTymFzLiDZH3nAal</t>
        </is>
      </c>
      <c r="Z425" s="1" t="inlineStr">
        <is>
          <t>https://drive.google.com/uc?export=view&amp;id=1VeNfrgrFYc7vecE8BTymFzLiDZH3nAal</t>
        </is>
      </c>
      <c r="AA425" s="1" t="inlineStr">
        <is>
          <t>Unverified</t>
        </is>
      </c>
      <c r="AB425" s="1" t="n"/>
      <c r="AC425" s="1" t="n"/>
      <c r="AD425" s="10" t="n"/>
      <c r="AE425" s="1" t="n"/>
      <c r="AF425" t="inlineStr">
        <is>
          <t>Yes</t>
        </is>
      </c>
      <c r="AG425" t="inlineStr">
        <is>
          <t>https://www.linkedin.com/company/class-of-wonders/</t>
        </is>
      </c>
      <c r="AH425" t="inlineStr">
        <is>
          <t>https://www.linkedin.com/company/class-of-wonders/</t>
        </is>
      </c>
      <c r="AI425" t="inlineStr">
        <is>
          <t>https://www.linkedin.com/company/class-of-wonders/</t>
        </is>
      </c>
    </row>
    <row r="426" ht="12.5" customHeight="1">
      <c r="A426" s="6" t="n">
        <v>45401</v>
      </c>
      <c r="B426" s="1" t="inlineStr">
        <is>
          <t>ORG_1840</t>
        </is>
      </c>
      <c r="C426" s="1" t="b">
        <v>1</v>
      </c>
      <c r="D426" s="1" t="inlineStr">
        <is>
          <t>Learnosity</t>
        </is>
      </c>
      <c r="E426" s="10" t="inlineStr">
        <is>
          <t>https://learnosity.com/</t>
        </is>
      </c>
      <c r="F426" t="inlineStr">
        <is>
          <t>learnosity.com</t>
        </is>
      </c>
      <c r="G426" s="1" t="inlineStr">
        <is>
          <t>Learnosity is the global leader in AI-powered assessment solutions. Serving over 750 customers and more than 40 million learners, our mission is to advance education and learning worldwide with best-in-class technology. 
Our API-backed, AI-enriched assessment engine makes it easy for modern learning platforms to quickly launch fully featured products, scale on demand, and always meet fast-evolving market needs.
Questionmark, our end-to-end enterprise-grade assessment platform, works with corporations and governments to unlock their potential by delivering assessments which are valid, reliable, fair and defensible.</t>
        </is>
      </c>
      <c r="H426" s="1" t="inlineStr">
        <is>
          <t>I'm not part of any EdTech association</t>
        </is>
      </c>
      <c r="I426" s="1" t="n"/>
      <c r="J426" s="1" t="inlineStr">
        <is>
          <t>Dublin</t>
        </is>
      </c>
      <c r="K426" t="inlineStr">
        <is>
          <t>Dublin</t>
        </is>
      </c>
      <c r="L426" t="inlineStr">
        <is>
          <t>Dublin, Ireland</t>
        </is>
      </c>
      <c r="M426" t="n">
        <v>53.3493795</v>
      </c>
      <c r="N426" t="n">
        <v>-6.2605593</v>
      </c>
      <c r="O426" s="1" t="inlineStr">
        <is>
          <t>Ireland</t>
        </is>
      </c>
      <c r="P426" s="1" t="inlineStr">
        <is>
          <t>Belgium, Bosnia and Herzegovina, Croatia, Cyprus, Czechia, Denmark, Estonia, Finland, France, Georgia, Germany, Greece, Hungary, Ireland, Italy, Kazakhstan, Kosovo, Latvia, Lithuania, Luxembourg, Moldova, Netherlands, North Macedonia, Russia, Slovakia, Spain, Sweden, Ukraine, United Kingdom</t>
        </is>
      </c>
      <c r="Q426" s="1" t="inlineStr">
        <is>
          <t>101 to 500</t>
        </is>
      </c>
      <c r="R426" t="inlineStr">
        <is>
          <t>Medium or Large (unspecified)</t>
        </is>
      </c>
      <c r="S426" s="1" t="inlineStr">
        <is>
          <t>Business to Business, Business to Consumer, Business to Schools</t>
        </is>
      </c>
      <c r="T426" s="1" t="inlineStr">
        <is>
          <t>Early childhood development (0-5 years), Primary Education, Secondary Education, Corporate Training, Lifelong learning/Adult education, Vocational Education and Training (VET), Higher Education</t>
        </is>
      </c>
      <c r="U426" s="1" t="inlineStr">
        <is>
          <t>System/Administrative</t>
        </is>
      </c>
      <c r="V426" s="1" t="inlineStr">
        <is>
          <t>Learnosity APIs</t>
        </is>
      </c>
      <c r="W426" s="10" t="inlineStr">
        <is>
          <t>Our API-backed, AI-enriched assessment engine makes it easy for modern learning platforms to quickly launch fully featured products, scale on demand, and always meet fast-evolving market needs.</t>
        </is>
      </c>
      <c r="X426" s="10" t="inlineStr">
        <is>
          <t>Questionmark</t>
        </is>
      </c>
      <c r="Y426" t="inlineStr">
        <is>
          <t>Questionmark provides a secure enterprise-grade assessment platform and professional services to leading organizations around the world, delivered with care and unequalled expertise. Its full-service online assessment tool and professional services help customers to improve their performance and meet their compliance requirements. Questionmark enables organizations to unlock their potential by delivering assessments which are valid, reliable, fair and defensible.</t>
        </is>
      </c>
      <c r="Z426" s="1" t="inlineStr">
        <is>
          <t>https://drive.google.com/uc?export=view&amp;id=1mYockqmBTtzVjrtxlrfRnwHCO7QEV1P1</t>
        </is>
      </c>
      <c r="AA426" s="1" t="inlineStr">
        <is>
          <t>Unverified</t>
        </is>
      </c>
      <c r="AB426" s="1" t="n"/>
      <c r="AC426" s="1" t="n"/>
      <c r="AD426" s="10" t="n"/>
      <c r="AE426" s="1" t="n"/>
      <c r="AF426" s="1" t="inlineStr">
        <is>
          <t>Yes</t>
        </is>
      </c>
      <c r="AG426" s="1" t="inlineStr">
        <is>
          <t>https://twitter.com/learnosity?ref_src=twsrc%5Egoogle%7Ctwcamp%5Eserp%7Ctwgr%5Eauthor</t>
        </is>
      </c>
      <c r="AH426" s="1" t="inlineStr">
        <is>
          <t>https://twitter.com/learnosity?ref_src=twsrc%5Egoogle%7Ctwcamp%5Eserp%7Ctwgr%5Eauthor</t>
        </is>
      </c>
      <c r="AI426" t="inlineStr">
        <is>
          <t>https://ie.linkedin.com/company/learnosity</t>
        </is>
      </c>
    </row>
    <row r="427" ht="12.5" customHeight="1">
      <c r="A427" s="6" t="n">
        <v>45391</v>
      </c>
      <c r="B427" s="1" t="inlineStr">
        <is>
          <t>ORG_2253</t>
        </is>
      </c>
      <c r="C427" s="1" t="b">
        <v>1</v>
      </c>
      <c r="D427" s="1" t="inlineStr">
        <is>
          <t>SkillFull B.V.</t>
        </is>
      </c>
      <c r="E427" s="10" t="inlineStr">
        <is>
          <t>www.skill-full.com</t>
        </is>
      </c>
      <c r="F427" t="inlineStr">
        <is>
          <t>skill-full.com</t>
        </is>
      </c>
      <c r="G427" s="1" t="inlineStr">
        <is>
          <t>At SkillFull our fundamental believe is that every person is full of unique skills! With our digital innovations, employees playfully gain insight into their behaviour and improve their performance. We use a flexible and creative approach to bring out the best in every employee. As an entrepreneurial company, we are proud to build the bridge between science and practice. With our game-based tools, we provide holistic solutions to diverse customer segments.</t>
        </is>
      </c>
      <c r="H427" s="1" t="inlineStr">
        <is>
          <t>Dutch EdTech</t>
        </is>
      </c>
      <c r="I427" s="1" t="inlineStr">
        <is>
          <t>German, French, Dutch, English</t>
        </is>
      </c>
      <c r="J427" s="1" t="inlineStr">
        <is>
          <t>Rotterdam</t>
        </is>
      </c>
      <c r="K427" t="inlineStr">
        <is>
          <t>Rotterdam</t>
        </is>
      </c>
      <c r="L427" t="inlineStr">
        <is>
          <t>Rotterdam, The Netherlands</t>
        </is>
      </c>
      <c r="M427" t="n">
        <v>51.9563359</v>
      </c>
      <c r="N427" t="n">
        <v>4.4397319</v>
      </c>
      <c r="O427" s="1" t="inlineStr">
        <is>
          <t>The Netherlands</t>
        </is>
      </c>
      <c r="P427" s="1" t="inlineStr">
        <is>
          <t>Austria, Belgium, Denmark, Finland, France, Germany, Ireland, Luxembourg, Netherlands, Norway, Sweden, United Kingdom</t>
        </is>
      </c>
      <c r="Q427" s="1" t="inlineStr">
        <is>
          <t>3 to 5</t>
        </is>
      </c>
      <c r="R427" t="inlineStr">
        <is>
          <t>Micro</t>
        </is>
      </c>
      <c r="S427" s="1" t="inlineStr">
        <is>
          <t>Business to Business, Business to Schools, Business to Consumer, Business to Government</t>
        </is>
      </c>
      <c r="T427" s="1" t="inlineStr">
        <is>
          <t>Secondary Education, Corporate Training, Lifelong learning/Adult education, Vocational Education and Training (VET), Higher Education</t>
        </is>
      </c>
      <c r="U427" s="1" t="inlineStr">
        <is>
          <t>Student interfacing, Teacher interfacing, System/Administrative</t>
        </is>
      </c>
      <c r="V427" s="1" t="inlineStr">
        <is>
          <t>Leadership Challenge</t>
        </is>
      </c>
      <c r="W427" s="1" t="inlineStr">
        <is>
          <t>An attractive, award winning, off-the-shelf combination of insight and development. In this online program, leaders gain insight into their personal leadership style and effectively increase their versatility. 100% online, scalable, language independent and fully responsive. The program focuses on learning, recognising and applying four different leadership styles. Together with an experienced coach, the participant discusses how these insights can effectively be applied, with short-term and long-term goals.</t>
        </is>
      </c>
      <c r="X427" s="10" t="inlineStr">
        <is>
          <t>Conversational AI</t>
        </is>
      </c>
      <c r="Y427" t="inlineStr">
        <is>
          <t>Chatting successfully: the transformative power of conversational AI. How do you practice new behaviour? TalkTonic is a unique tool that harnesses the power of Artificial Intelligence to create natural conversations. It understands not only words, but also context, intentions and nuances, allowing you to create engaging and personalised situations. This offers a completely new opportunity for training conversational skills focused on leadership or customer communication. Participants can practice endlessly with their personal training actor, expanding their behavioural repertoire and increasing their agility.
Translated with DeepL.com (free version)</t>
        </is>
      </c>
      <c r="Z427" s="1" t="inlineStr">
        <is>
          <t>https://drive.google.com/uc?export=view&amp;id=1El6Sa0FxfPnluinRA8dH8A56fpEL6rPE</t>
        </is>
      </c>
      <c r="AA427" s="1" t="inlineStr">
        <is>
          <t>Unverified</t>
        </is>
      </c>
      <c r="AB427" s="1" t="n"/>
      <c r="AC427" s="1" t="n"/>
      <c r="AD427" s="10" t="n"/>
      <c r="AE427" s="1" t="n"/>
      <c r="AF427" s="1" t="inlineStr">
        <is>
          <t>Yes</t>
        </is>
      </c>
      <c r="AG427" s="1" t="inlineStr">
        <is>
          <t>https://www.linkedin.com/company/skillfull-serious-games</t>
        </is>
      </c>
      <c r="AH427" s="1" t="inlineStr">
        <is>
          <t>https://www.linkedin.com/company/skillfull-serious-games</t>
        </is>
      </c>
      <c r="AI427" t="inlineStr">
        <is>
          <t>https://www.linkedin.com/company/skillfull-serious-games</t>
        </is>
      </c>
    </row>
    <row r="428" ht="12.5" customHeight="1">
      <c r="A428" s="6" t="n">
        <v>45387</v>
      </c>
      <c r="B428" s="1" t="inlineStr">
        <is>
          <t>ORG_1221</t>
        </is>
      </c>
      <c r="C428" s="1" t="b">
        <v>1</v>
      </c>
      <c r="D428" s="1" t="inlineStr">
        <is>
          <t>CareerFit</t>
        </is>
      </c>
      <c r="E428" s="10" t="inlineStr">
        <is>
          <t>https://careerfit.com</t>
        </is>
      </c>
      <c r="F428" t="inlineStr">
        <is>
          <t>careerfit.com</t>
        </is>
      </c>
      <c r="G428" s="1" t="inlineStr">
        <is>
          <t>Feeling lost and unsure about your career path? Unsure what path to choose? CareerFit is here to take the guesswork out of career exploration!
CareerFit is a scientifically-validated career assessment that gives you a personalised report with 16 careers to help you find the right career for you and spend your days doing what you love.</t>
        </is>
      </c>
      <c r="H428" s="1" t="inlineStr">
        <is>
          <t>EdTech Ireland</t>
        </is>
      </c>
      <c r="I428" s="1" t="inlineStr">
        <is>
          <t>All</t>
        </is>
      </c>
      <c r="J428" s="1" t="inlineStr">
        <is>
          <t>Dublin</t>
        </is>
      </c>
      <c r="K428" t="inlineStr">
        <is>
          <t>Dublin</t>
        </is>
      </c>
      <c r="L428" t="inlineStr">
        <is>
          <t>Dublin, Ireland</t>
        </is>
      </c>
      <c r="M428" t="n">
        <v>53.3493795</v>
      </c>
      <c r="N428" t="n">
        <v>-6.2605593</v>
      </c>
      <c r="O428" s="1" t="inlineStr">
        <is>
          <t>Ireland</t>
        </is>
      </c>
      <c r="P428" s="1" t="inlineStr">
        <is>
          <t>Ireland, United Kingdom</t>
        </is>
      </c>
      <c r="Q428" s="1" t="inlineStr">
        <is>
          <t>6 to 10</t>
        </is>
      </c>
      <c r="R428" t="inlineStr">
        <is>
          <t>Micro</t>
        </is>
      </c>
      <c r="S428" s="1" t="inlineStr">
        <is>
          <t>Business to Business, Business to Schools, Business to Consumer, Business to Government</t>
        </is>
      </c>
      <c r="T428" s="1" t="inlineStr">
        <is>
          <t>Secondary Education, Corporate Training, Lifelong learning/Adult education, Vocational Education and Training (VET), Higher Education</t>
        </is>
      </c>
      <c r="U428" s="1" t="inlineStr">
        <is>
          <t>System/Administrative, Student interfacing, Teacher interfacing</t>
        </is>
      </c>
      <c r="V428" s="10" t="inlineStr">
        <is>
          <t>CareerFit</t>
        </is>
      </c>
      <c r="W428" s="1" t="inlineStr">
        <is>
          <t>Feeling lost and unsure about your career path? Unsure what path to choose? CareerFit is here to take the guesswork out of career exploration!
CareerFit is a scientifically-validated career assessment that gives you a personalised report with 16 careers to help you find the right career for you and spend your days doing what you love.</t>
        </is>
      </c>
      <c r="X428" s="10" t="inlineStr">
        <is>
          <t>https://drive.google.com/uc?export=view&amp;id=1Um1Wg56X6JSN2xa0swgBcQolyG9SpW6K</t>
        </is>
      </c>
      <c r="Y428" t="inlineStr">
        <is>
          <t>https://drive.google.com/uc?export=view&amp;id=1Um1Wg56X6JSN2xa0swgBcQolyG9SpW6K</t>
        </is>
      </c>
      <c r="Z428" s="1" t="inlineStr">
        <is>
          <t>https://drive.google.com/uc?export=view&amp;id=1Um1Wg56X6JSN2xa0swgBcQolyG9SpW6K</t>
        </is>
      </c>
      <c r="AA428" s="1" t="inlineStr">
        <is>
          <t>Unverified</t>
        </is>
      </c>
      <c r="AB428" s="1" t="n"/>
      <c r="AC428" s="1" t="n"/>
      <c r="AD428" s="10" t="n"/>
      <c r="AE428" s="1" t="n"/>
      <c r="AF428" t="inlineStr">
        <is>
          <t>Yes</t>
        </is>
      </c>
      <c r="AG428" t="inlineStr">
        <is>
          <t>https://instagram.com/careerfitcom</t>
        </is>
      </c>
      <c r="AH428" t="inlineStr">
        <is>
          <t>https://www.linkedin.com/company/careerfitcom</t>
        </is>
      </c>
      <c r="AI428" t="inlineStr">
        <is>
          <t>https://www.linkedin.com/company/careerfitcom</t>
        </is>
      </c>
    </row>
    <row r="429" ht="12.5" customHeight="1">
      <c r="A429" s="6" t="n">
        <v>45387</v>
      </c>
      <c r="B429" s="1" t="inlineStr">
        <is>
          <t>ORG_1602</t>
        </is>
      </c>
      <c r="C429" s="1" t="b">
        <v>1</v>
      </c>
      <c r="D429" s="1" t="inlineStr">
        <is>
          <t>Galvia AI</t>
        </is>
      </c>
      <c r="E429" s="10" t="inlineStr">
        <is>
          <t>www.galvia.ai</t>
        </is>
      </c>
      <c r="F429" t="inlineStr">
        <is>
          <t>galvia.ai</t>
        </is>
      </c>
      <c r="G429" s="1" t="inlineStr">
        <is>
          <t>Galvia is an AI-powered platform for higher-level institutions, enabling faster, more meaningful student engagement at scale. Featuring an AI-driven virtual assistant, an intuitive analytics dashboard, and a state-of-the-art CMS, Galvia automates routine tasks, providing personalised support 24/7. Seamlessly integrating with existing university apps and websites, it empowers teams to focus on what matters most - student success. With our digital transformation service, Galvia ensures universities can navigate the complexities of modernisation effortlessly, optimising data provisioning, providing strategic advisory services, and generating actionable insights. For more information, visit www.galvia.ai.</t>
        </is>
      </c>
      <c r="H429" s="1" t="inlineStr">
        <is>
          <t>EdTech Ireland</t>
        </is>
      </c>
      <c r="I429" s="1" t="inlineStr">
        <is>
          <t>All</t>
        </is>
      </c>
      <c r="J429" s="1" t="inlineStr">
        <is>
          <t>Platform94, Mervue Business Park, H91 D932, Galway, Ireland</t>
        </is>
      </c>
      <c r="K429" t="inlineStr">
        <is>
          <t>Galway</t>
        </is>
      </c>
      <c r="L429" t="inlineStr">
        <is>
          <t>Galway, Ireland</t>
        </is>
      </c>
      <c r="M429" t="n">
        <v>53.2744122</v>
      </c>
      <c r="N429" t="n">
        <v>-9.0490601</v>
      </c>
      <c r="O429" s="1" t="inlineStr">
        <is>
          <t>Ireland</t>
        </is>
      </c>
      <c r="P429" s="1" t="inlineStr">
        <is>
          <t>Ireland, Netherlands, United Kingdom</t>
        </is>
      </c>
      <c r="Q429" s="1" t="inlineStr">
        <is>
          <t>6 to 10</t>
        </is>
      </c>
      <c r="R429" t="inlineStr">
        <is>
          <t>Micro</t>
        </is>
      </c>
      <c r="S429" s="1" t="inlineStr">
        <is>
          <t>Business to Business, Business to Schools, Business to Consumer</t>
        </is>
      </c>
      <c r="T429" s="1" t="inlineStr">
        <is>
          <t>Higher Education</t>
        </is>
      </c>
      <c r="U429" s="1" t="inlineStr">
        <is>
          <t>Student interfacing, System/Administrative</t>
        </is>
      </c>
      <c r="V429" s="1" t="inlineStr">
        <is>
          <t>AI-Powered Student Engagement Platform</t>
        </is>
      </c>
      <c r="W429" s="10" t="inlineStr">
        <is>
          <t>In navigating the complex terrain of digital transformation, Galvia stands as a beacon, offering tailored solutions to universities seeking seamless journeys toward digitalisation. With a steadfast focus on data provisioning, advisory services, and insights generation, Galvia emerges as the partner of choice for institutions embarking on this transformative voyage.</t>
        </is>
      </c>
      <c r="X429" s="10" t="inlineStr">
        <is>
          <t>Digital Transformation Partner</t>
        </is>
      </c>
      <c r="Y429" t="inlineStr">
        <is>
          <t>In navigating the complex terrain of digital transformation, Galvia stands as a beacon, offering tailored solutions to universities seeking seamless journeys toward digitalization. With a steadfast focus on data provisioning, advisory services, and insights generation, Galvia emerges as the partner of choice for institutions embarking on this transformative voyage.</t>
        </is>
      </c>
      <c r="Z429" s="1" t="inlineStr">
        <is>
          <t>https://drive.google.com/uc?export=view&amp;id=1CU6lOzb65kBDTxNZkpgJsa_ES6MqPFhi</t>
        </is>
      </c>
      <c r="AA429" s="1" t="inlineStr">
        <is>
          <t>Unverified</t>
        </is>
      </c>
      <c r="AB429" s="1" t="n"/>
      <c r="AC429" s="1" t="n"/>
      <c r="AD429" s="10" t="n"/>
      <c r="AE429" s="1" t="n"/>
      <c r="AF429" t="inlineStr">
        <is>
          <t>Yes</t>
        </is>
      </c>
      <c r="AG429" t="inlineStr">
        <is>
          <t>https://twitter.com/GalviaAI</t>
        </is>
      </c>
      <c r="AH429" t="inlineStr">
        <is>
          <t>https://twitter.com/GalviaAI</t>
        </is>
      </c>
      <c r="AI429" t="inlineStr">
        <is>
          <t>https://www.linkedin.com/company/galviaai/?viewAsMember=true</t>
        </is>
      </c>
    </row>
    <row r="430" ht="12.5" customHeight="1">
      <c r="A430" s="6" t="n">
        <v>45379</v>
      </c>
      <c r="B430" s="1" t="inlineStr">
        <is>
          <t>ORG_1637</t>
        </is>
      </c>
      <c r="C430" s="1" t="b">
        <v>1</v>
      </c>
      <c r="D430" s="1" t="inlineStr">
        <is>
          <t>Graasp</t>
        </is>
      </c>
      <c r="E430" s="10" t="inlineStr">
        <is>
          <t>https://graasp.org/</t>
        </is>
      </c>
      <c r="F430" t="inlineStr">
        <is>
          <t>graasp.org</t>
        </is>
      </c>
      <c r="G430" s="1" t="inlineStr">
        <is>
          <t>Graasp is a non-profit organization promoting innovation in digital education. We develop software, train educators, support research, and work closely with government agencies to improve access to technology-enhanced learning solutions.</t>
        </is>
      </c>
      <c r="H430" s="1" t="inlineStr">
        <is>
          <t>Swiss EdTech Collider</t>
        </is>
      </c>
      <c r="I430" s="1" t="inlineStr">
        <is>
          <t>English, French, German, Italian, Spanish, Arabic</t>
        </is>
      </c>
      <c r="J430" s="1" t="inlineStr">
        <is>
          <t>Salvan</t>
        </is>
      </c>
      <c r="K430" t="inlineStr">
        <is>
          <t>Salvan</t>
        </is>
      </c>
      <c r="L430" t="inlineStr">
        <is>
          <t>Salvan, Switzerland</t>
        </is>
      </c>
      <c r="M430" t="n">
        <v>46.1219825</v>
      </c>
      <c r="N430" t="n">
        <v>7.0208326</v>
      </c>
      <c r="O430" s="1" t="inlineStr">
        <is>
          <t>Switzerland</t>
        </is>
      </c>
      <c r="P430" s="1" t="inlineStr">
        <is>
          <t>Estonia, France, Netherlands, Portugal, Romania, Spain, Switzerland</t>
        </is>
      </c>
      <c r="Q430" s="1" t="inlineStr">
        <is>
          <t>0 to 2</t>
        </is>
      </c>
      <c r="R430" t="inlineStr">
        <is>
          <t>Solo entrepreneur</t>
        </is>
      </c>
      <c r="S430" s="1" t="inlineStr">
        <is>
          <t>Business to Business, Business to Schools, Business to Consumer, Business to Government</t>
        </is>
      </c>
      <c r="T430" s="1" t="inlineStr">
        <is>
          <t>Early childhood development (0-5 years), Primary Education, Secondary Education, Lifelong learning/Adult education, Vocational Education and Training (VET), Higher Education</t>
        </is>
      </c>
      <c r="U430" s="1" t="inlineStr">
        <is>
          <t>Student interfacing, Teacher interfacing, System/Administrative</t>
        </is>
      </c>
      <c r="V430" s="1" t="inlineStr">
        <is>
          <t>Graasp</t>
        </is>
      </c>
      <c r="W430" s="10" t="inlineStr">
        <is>
          <t>The Graasp platform helps institutions and educators create interactive and open resources for online and blended learning. Graasp can be used in any discipline and pedagogical scenario for building learning experiences that have a real impact on learners.</t>
        </is>
      </c>
      <c r="X430" s="10" t="inlineStr">
        <is>
          <t>https://drive.google.com/uc?export=view&amp;id=1LI1SxQPy-ypu3ewip_D7N0MozzZGR-DB</t>
        </is>
      </c>
      <c r="Y430" t="inlineStr">
        <is>
          <t>https://drive.google.com/uc?export=view&amp;id=1LI1SxQPy-ypu3ewip_D7N0MozzZGR-DB</t>
        </is>
      </c>
      <c r="Z430" s="1" t="inlineStr">
        <is>
          <t>https://drive.google.com/uc?export=view&amp;id=1LI1SxQPy-ypu3ewip_D7N0MozzZGR-DB</t>
        </is>
      </c>
      <c r="AA430" s="1" t="inlineStr">
        <is>
          <t>Unverified</t>
        </is>
      </c>
      <c r="AB430" s="1" t="n"/>
      <c r="AC430" s="1" t="n"/>
      <c r="AD430" s="10" t="n"/>
      <c r="AE430" s="1" t="n"/>
      <c r="AF430" s="1" t="inlineStr">
        <is>
          <t>Yes</t>
        </is>
      </c>
      <c r="AG430" s="1" t="inlineStr">
        <is>
          <t>https://twitter.com/graasp</t>
        </is>
      </c>
      <c r="AH430" s="1" t="inlineStr">
        <is>
          <t>https://twitter.com/graasp</t>
        </is>
      </c>
      <c r="AI430" t="inlineStr">
        <is>
          <t>https://www.linkedin.com/company/graasp/</t>
        </is>
      </c>
    </row>
    <row r="431" ht="12.5" customHeight="1">
      <c r="A431" s="6" t="n">
        <v>45372</v>
      </c>
      <c r="B431" s="1" t="inlineStr">
        <is>
          <t>ORG_1154</t>
        </is>
      </c>
      <c r="C431" s="1" t="b">
        <v>1</v>
      </c>
      <c r="D431" s="1" t="inlineStr">
        <is>
          <t>BetterExaminations</t>
        </is>
      </c>
      <c r="E431" s="10" t="inlineStr">
        <is>
          <t>https://www.betterexaminations.com/</t>
        </is>
      </c>
      <c r="F431" t="inlineStr">
        <is>
          <t>betterexaminations.com</t>
        </is>
      </c>
      <c r="G431" s="1" t="inlineStr">
        <is>
          <t>BetterExaminations is a modern end-to-end exam management and eAssessment platform built for Universities and Colleges. Through an extremely easy to use cloud-based platform, candidates can sit exams from anywhere in the world, with optional online proctoring/invigilation.
With over 50 question types, a comprehensive range of subjects can be examined using a wide range of devices. For the institution, the platform provides comprehensive exam management and reporting features including support for exam workflow, external examiner support, feedback / marking and features to help you manage traditional paper based exams.
The BetterExaminations team comprises over 70 people based in Ireland, the UK, Poland, Australia and the US. As part of the Terminalfour Group we work with over 250 Universities, Colleges, School Boards and Awarding Bodies worldwide.</t>
        </is>
      </c>
      <c r="H431" s="1" t="inlineStr">
        <is>
          <t>EdTech Ireland</t>
        </is>
      </c>
      <c r="I431" s="1" t="inlineStr">
        <is>
          <t>All</t>
        </is>
      </c>
      <c r="J431" s="1" t="inlineStr">
        <is>
          <t>Dublin</t>
        </is>
      </c>
      <c r="K431" t="inlineStr">
        <is>
          <t>Dublin</t>
        </is>
      </c>
      <c r="L431" t="inlineStr">
        <is>
          <t>Dublin, Ireland</t>
        </is>
      </c>
      <c r="M431" t="n">
        <v>53.3493795</v>
      </c>
      <c r="N431" t="n">
        <v>-6.2605593</v>
      </c>
      <c r="O431" s="1" t="inlineStr">
        <is>
          <t>Ireland</t>
        </is>
      </c>
      <c r="P431" s="1" t="inlineStr">
        <is>
          <t>Denmark, France, Germany, Greece, Ireland, Italy, Portugal, Spain, Sweden, United Kingdom</t>
        </is>
      </c>
      <c r="Q431" s="1" t="inlineStr">
        <is>
          <t>101 to 500</t>
        </is>
      </c>
      <c r="R431" t="inlineStr">
        <is>
          <t>Medium or Large (unspecified)</t>
        </is>
      </c>
      <c r="S431" s="1" t="inlineStr">
        <is>
          <t>Business to Business, Business to Schools, Business to Government</t>
        </is>
      </c>
      <c r="T431" s="1" t="inlineStr">
        <is>
          <t>Corporate Training, Lifelong learning/Adult education, Vocational Education and Training (VET), Higher Education</t>
        </is>
      </c>
      <c r="U431" s="1" t="inlineStr">
        <is>
          <t>System/Administrative, Student interfacing</t>
        </is>
      </c>
      <c r="V431" s="1" t="inlineStr">
        <is>
          <t>BetterExaminations Exam Management &amp; eAssessment Platform</t>
        </is>
      </c>
      <c r="W431" s="1" t="inlineStr">
        <is>
          <t>BetterExaminations is a modern end-to-end exam management and eAssessment platform that supports educators and learners. Through an extremely easy to use cloud-based platform, candidates can sit exams from anywhere in the world, with optional online proctoring/invigilation.
With over 50 question types, a comprehensive range of subjects can be examined using a wide range of devices. For the institution, the platform provides comprehensive exam management and reporting features including support for exam workflow, external examiner support, feedback / marking and features to help you manage traditional paper based exams.
The BetterExaminations team comprises over 70 people based in Ireland, the UK, Poland, Australia and the US. As part of the Terminalfour Group we work with over 250 Universities, Colleges, School Boards and Awarding Bodies worldwide.</t>
        </is>
      </c>
      <c r="X431" s="10" t="inlineStr">
        <is>
          <t>https://drive.google.com/uc?export=view&amp;id=1bI7kDflBEy6QOZrE7cyHsVTRc9jTFU1r</t>
        </is>
      </c>
      <c r="Y431" t="inlineStr">
        <is>
          <t>https://drive.google.com/uc?export=view&amp;id=1bI7kDflBEy6QOZrE7cyHsVTRc9jTFU1r</t>
        </is>
      </c>
      <c r="Z431" s="1" t="inlineStr">
        <is>
          <t>https://drive.google.com/uc?export=view&amp;id=1bI7kDflBEy6QOZrE7cyHsVTRc9jTFU1r</t>
        </is>
      </c>
      <c r="AA431" s="1" t="inlineStr">
        <is>
          <t>Unverified</t>
        </is>
      </c>
      <c r="AB431" s="1" t="n"/>
      <c r="AC431" s="1" t="n"/>
      <c r="AD431" s="10" t="n"/>
      <c r="AE431" s="1" t="n"/>
      <c r="AF431" s="1" t="inlineStr">
        <is>
          <t>Yes</t>
        </is>
      </c>
      <c r="AG431" s="1" t="inlineStr">
        <is>
          <t>https://www.linkedin.com/company/betterexaminations/</t>
        </is>
      </c>
      <c r="AH431" s="1" t="inlineStr">
        <is>
          <t>https://www.linkedin.com/company/betterexaminations/</t>
        </is>
      </c>
      <c r="AI431" t="inlineStr">
        <is>
          <t>https://www.linkedin.com/company/betterexaminations/</t>
        </is>
      </c>
    </row>
    <row r="432" ht="12.5" customHeight="1">
      <c r="A432" s="6" t="n">
        <v>45371</v>
      </c>
      <c r="B432" s="1" t="inlineStr">
        <is>
          <t>ORG_1179</t>
        </is>
      </c>
      <c r="C432" s="1" t="b">
        <v>1</v>
      </c>
      <c r="D432" s="1" t="inlineStr">
        <is>
          <t>BlueTea</t>
        </is>
      </c>
      <c r="E432" s="10" t="inlineStr">
        <is>
          <t>https://www.bluetea.eu/</t>
        </is>
      </c>
      <c r="F432" t="inlineStr">
        <is>
          <t>bluetea.eu</t>
        </is>
      </c>
      <c r="G432" s="1" t="inlineStr">
        <is>
          <t>BlueTea BV specializes in creating game-based training solutions designed to offer engaging and immersive learning experiences. Leveraging the principles of gamification and interactive storytelling, BlueTea crafts educational scenarios that not only enhance knowledge retention but also improve skill acquisition in various professional fields. Their approach integrates realistic simulations and challenges into a virtual environment, allowing learners to practice and apply concepts in safe, controlled settings. This innovative method of training bridges the gap between theoretical knowledge and practical application, making learning more accessible, effective, and enjoyable for participants. By focusing on game-based training, BlueTea BV aims to revolutionize traditional education and training methodologies, catering to a wide range of industries and educational institutions.</t>
        </is>
      </c>
      <c r="H432" s="1" t="inlineStr">
        <is>
          <t>Dutch EdTech</t>
        </is>
      </c>
      <c r="I432" s="1" t="inlineStr">
        <is>
          <t>All</t>
        </is>
      </c>
      <c r="J432" s="1" t="inlineStr">
        <is>
          <t>Roermond</t>
        </is>
      </c>
      <c r="K432" t="inlineStr">
        <is>
          <t>Roermond</t>
        </is>
      </c>
      <c r="L432" t="inlineStr">
        <is>
          <t>Roermond, The Netherlands</t>
        </is>
      </c>
      <c r="M432" t="n">
        <v>51.1836851</v>
      </c>
      <c r="N432" t="n">
        <v>5.9959778</v>
      </c>
      <c r="O432" s="1" t="inlineStr">
        <is>
          <t>The Netherlands</t>
        </is>
      </c>
      <c r="P43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432" s="1" t="inlineStr">
        <is>
          <t>11 to 50</t>
        </is>
      </c>
      <c r="R432" t="inlineStr">
        <is>
          <t>Small</t>
        </is>
      </c>
      <c r="S432" s="1" t="inlineStr">
        <is>
          <t>Business to Business</t>
        </is>
      </c>
      <c r="T432" s="1" t="inlineStr">
        <is>
          <t>Primary Education, Secondary Education, Corporate Training, Lifelong learning/Adult education, Vocational Education and Training (VET), Higher Education</t>
        </is>
      </c>
      <c r="U432" s="1" t="inlineStr">
        <is>
          <t>Student interfacing, Teacher interfacing, System/Administrative</t>
        </is>
      </c>
      <c r="V432" s="1" t="inlineStr">
        <is>
          <t>https://www.linkedin.com/company/bluetea</t>
        </is>
      </c>
      <c r="W432" s="1" t="inlineStr">
        <is>
          <t>https://drive.google.com/uc?export=view&amp;id=1rdp8qIMwEmiSJPy8eYMerHQbtg6nXs2u</t>
        </is>
      </c>
      <c r="X432" s="10" t="inlineStr">
        <is>
          <t>https://drive.google.com/uc?export=view&amp;id=1rdp8qIMwEmiSJPy8eYMerHQbtg6nXs2u</t>
        </is>
      </c>
      <c r="Y432" t="inlineStr">
        <is>
          <t>https://drive.google.com/uc?export=view&amp;id=1rdp8qIMwEmiSJPy8eYMerHQbtg6nXs2u</t>
        </is>
      </c>
      <c r="Z432" s="1" t="inlineStr">
        <is>
          <t>https://drive.google.com/uc?export=view&amp;id=1rdp8qIMwEmiSJPy8eYMerHQbtg6nXs2u</t>
        </is>
      </c>
      <c r="AA432" s="1" t="inlineStr">
        <is>
          <t>Unverified</t>
        </is>
      </c>
      <c r="AB432" s="1" t="n"/>
      <c r="AC432" s="1" t="n"/>
      <c r="AD432" s="10" t="n"/>
      <c r="AE432" s="1" t="n"/>
      <c r="AF432" t="inlineStr">
        <is>
          <t>Yes</t>
        </is>
      </c>
      <c r="AG432" t="inlineStr">
        <is>
          <t>https://www.linkedin.com/company/bluetea</t>
        </is>
      </c>
      <c r="AH432" t="inlineStr">
        <is>
          <t>https://www.linkedin.com/company/bluetea</t>
        </is>
      </c>
      <c r="AI432" t="inlineStr">
        <is>
          <t>https://www.linkedin.com/company/bluetea</t>
        </is>
      </c>
    </row>
    <row r="433" ht="12.5" customHeight="1">
      <c r="A433" s="6" t="n">
        <v>45370</v>
      </c>
      <c r="B433" s="1" t="inlineStr">
        <is>
          <t>ORG_1079</t>
        </is>
      </c>
      <c r="C433" s="1" t="b">
        <v>1</v>
      </c>
      <c r="D433" s="1" t="inlineStr">
        <is>
          <t>Anywyse</t>
        </is>
      </c>
      <c r="E433" s="10" t="inlineStr">
        <is>
          <t>https://www.anywyse.nl</t>
        </is>
      </c>
      <c r="F433" t="inlineStr">
        <is>
          <t>anywyse.nl</t>
        </is>
      </c>
      <c r="G433" s="1" t="n"/>
      <c r="H433" s="1" t="n"/>
      <c r="I433" s="1" t="n"/>
      <c r="J433" s="1" t="n"/>
      <c r="O433" s="1" t="inlineStr">
        <is>
          <t>The Netherlands</t>
        </is>
      </c>
      <c r="P433" s="1" t="n"/>
      <c r="Q433" s="1" t="n"/>
      <c r="S433" s="1" t="inlineStr">
        <is>
          <t>Business to Business</t>
        </is>
      </c>
      <c r="T433" s="1" t="n"/>
      <c r="U433" s="1" t="n"/>
      <c r="V433" s="1" t="n"/>
      <c r="W433" s="1" t="n"/>
      <c r="X433" s="1" t="n"/>
      <c r="Z433" s="1" t="n"/>
      <c r="AA433" s="1" t="inlineStr">
        <is>
          <t>Unverified</t>
        </is>
      </c>
      <c r="AB433" s="1" t="n"/>
      <c r="AC433" s="1" t="n"/>
      <c r="AD433" s="1" t="n"/>
      <c r="AE433" s="1" t="n"/>
      <c r="AF433" t="inlineStr">
        <is>
          <t>No</t>
        </is>
      </c>
    </row>
    <row r="434" ht="12.5" customHeight="1">
      <c r="A434" s="6" t="n">
        <v>45370</v>
      </c>
      <c r="B434" s="1" t="inlineStr">
        <is>
          <t>ORG_1180</t>
        </is>
      </c>
      <c r="C434" s="1" t="b">
        <v>1</v>
      </c>
      <c r="D434" s="1" t="inlineStr">
        <is>
          <t>Body Scratch</t>
        </is>
      </c>
      <c r="E434" s="10" t="inlineStr">
        <is>
          <t>https://www.bodyscratch.academy/index.html</t>
        </is>
      </c>
      <c r="F434" t="inlineStr">
        <is>
          <t>bodyscratch.academy/index.html</t>
        </is>
      </c>
      <c r="G434" s="1" t="n"/>
      <c r="H434" s="1" t="n"/>
      <c r="I434" s="1" t="n"/>
      <c r="J434" s="1" t="n"/>
      <c r="O434" s="1" t="inlineStr">
        <is>
          <t>The Netherlands</t>
        </is>
      </c>
      <c r="P434" s="1" t="n"/>
      <c r="Q434" s="1" t="n"/>
      <c r="S434" s="1" t="inlineStr">
        <is>
          <t>Business to Business</t>
        </is>
      </c>
      <c r="T434" s="1" t="n"/>
      <c r="U434" s="1" t="n"/>
      <c r="V434" s="1" t="n"/>
      <c r="W434" s="1" t="n"/>
      <c r="X434" s="1" t="n"/>
      <c r="Z434" s="1" t="n"/>
      <c r="AA434" s="1" t="inlineStr">
        <is>
          <t>Unverified</t>
        </is>
      </c>
      <c r="AB434" s="1" t="n"/>
      <c r="AC434" s="1" t="n"/>
      <c r="AD434" s="1" t="n"/>
      <c r="AE434" s="1" t="n"/>
      <c r="AF434" t="inlineStr">
        <is>
          <t>No</t>
        </is>
      </c>
    </row>
    <row r="435" ht="12.5" customHeight="1">
      <c r="A435" s="6" t="n">
        <v>45370</v>
      </c>
      <c r="B435" s="1" t="inlineStr">
        <is>
          <t>ORG_1189</t>
        </is>
      </c>
      <c r="C435" s="1" t="b">
        <v>1</v>
      </c>
      <c r="D435" s="1" t="inlineStr">
        <is>
          <t>Booqio</t>
        </is>
      </c>
      <c r="E435" s="10" t="inlineStr">
        <is>
          <t>https://www.booqio.com/</t>
        </is>
      </c>
      <c r="F435" t="inlineStr">
        <is>
          <t>booqio.com</t>
        </is>
      </c>
      <c r="G435" s="1" t="n"/>
      <c r="H435" s="1" t="n"/>
      <c r="I435" s="1" t="n"/>
      <c r="J435" s="1" t="n"/>
      <c r="O435" s="1" t="inlineStr">
        <is>
          <t>The Netherlands</t>
        </is>
      </c>
      <c r="P435" s="1" t="n"/>
      <c r="Q435" s="1" t="n"/>
      <c r="S435" s="1" t="inlineStr">
        <is>
          <t>Business to Business</t>
        </is>
      </c>
      <c r="T435" s="1" t="n"/>
      <c r="U435" s="1" t="n"/>
      <c r="V435" s="1" t="n"/>
      <c r="W435" s="1" t="n"/>
      <c r="X435" s="1" t="n"/>
      <c r="Z435" s="1" t="n"/>
      <c r="AA435" s="1" t="inlineStr">
        <is>
          <t>Unverified</t>
        </is>
      </c>
      <c r="AB435" s="1" t="n"/>
      <c r="AC435" s="1" t="n"/>
      <c r="AD435" s="1" t="n"/>
      <c r="AE435" s="1" t="n"/>
      <c r="AF435" t="inlineStr">
        <is>
          <t>No</t>
        </is>
      </c>
    </row>
    <row r="436" ht="12.5" customHeight="1">
      <c r="A436" s="6" t="n">
        <v>45370</v>
      </c>
      <c r="B436" s="1" t="inlineStr">
        <is>
          <t>ORG_1264</t>
        </is>
      </c>
      <c r="C436" s="1" t="b">
        <v>1</v>
      </c>
      <c r="D436" s="1" t="inlineStr">
        <is>
          <t>CMA Science</t>
        </is>
      </c>
      <c r="E436" s="10" t="inlineStr">
        <is>
          <t>https://cma-science.nl/home-2</t>
        </is>
      </c>
      <c r="F436" t="inlineStr">
        <is>
          <t>cma-science.nl/home-2</t>
        </is>
      </c>
      <c r="G436" s="1" t="n"/>
      <c r="H436" s="1" t="n"/>
      <c r="I436" s="1" t="n"/>
      <c r="J436" s="1" t="inlineStr">
        <is>
          <t>Amsterdam</t>
        </is>
      </c>
      <c r="K436" t="inlineStr">
        <is>
          <t>Amsterdam</t>
        </is>
      </c>
      <c r="L436" t="inlineStr">
        <is>
          <t>Amsterdam, The Netherlands</t>
        </is>
      </c>
      <c r="M436" t="n">
        <v>52.3701984</v>
      </c>
      <c r="N436" t="n">
        <v>4.892168</v>
      </c>
      <c r="O436" s="1" t="inlineStr">
        <is>
          <t>The Netherlands</t>
        </is>
      </c>
      <c r="P436" s="1" t="n"/>
      <c r="Q436" s="1" t="n"/>
      <c r="S436" s="1" t="inlineStr">
        <is>
          <t>Business to Business</t>
        </is>
      </c>
      <c r="T436" s="1" t="n"/>
      <c r="U436" s="1" t="n"/>
      <c r="V436" s="1" t="n"/>
      <c r="W436" s="1" t="n"/>
      <c r="X436" s="1" t="n"/>
      <c r="Z436" s="1" t="n"/>
      <c r="AA436" s="1" t="inlineStr">
        <is>
          <t>Unverified</t>
        </is>
      </c>
      <c r="AB436" s="1" t="n"/>
      <c r="AC436" s="1" t="n"/>
      <c r="AD436" s="1" t="n"/>
      <c r="AE436" s="1" t="n"/>
      <c r="AF436" s="1" t="inlineStr">
        <is>
          <t>No</t>
        </is>
      </c>
      <c r="AG436" s="1" t="n"/>
      <c r="AH436" s="1" t="n"/>
    </row>
    <row r="437" ht="12.5" customHeight="1">
      <c r="A437" s="6" t="n">
        <v>45370</v>
      </c>
      <c r="B437" s="1" t="inlineStr">
        <is>
          <t>ORG_1464</t>
        </is>
      </c>
      <c r="C437" s="1" t="b">
        <v>1</v>
      </c>
      <c r="D437" s="1" t="inlineStr">
        <is>
          <t>Edutrainers</t>
        </is>
      </c>
      <c r="E437" s="10" t="inlineStr">
        <is>
          <t>https://edutrainers.com</t>
        </is>
      </c>
      <c r="F437" t="inlineStr">
        <is>
          <t>edutrainers.com</t>
        </is>
      </c>
      <c r="G437" s="1" t="inlineStr">
        <is>
          <t>Every child deserves good digital education, that's what Edutrainers stands for. Edutrainers offers advice and guidance on the digitalization of education, ICT policy and ICT competences. We link this to a unique professionalization offer with E-learning and workshops for everyone within an educational organization (teachers and non-teaching staff). From educational goals and competencies to teaching methods and learning activities with technological applications. From strategic policy to sustainable professionalization on digital literacy. Out of passion for education, from educational goals to sustainable professionalization, we support schools in all sectors with the integration of technology as a means, not as a goal. The aim is to ensure that we prepare children well with the right digital skills. Equal opportunities for every child through good digital education! It is expected that 1.2 billion employees worldwide will be impacted by the adaptation of automation technologies and AI in the next 10 years. It is urgent we facilitate adults involved in educating our children in educational institutions with the needed digital skills.</t>
        </is>
      </c>
      <c r="H437" s="1" t="inlineStr">
        <is>
          <t>Dutch EdTech</t>
        </is>
      </c>
      <c r="I437" s="1" t="inlineStr">
        <is>
          <t>Dutch, English, Spanish, French</t>
        </is>
      </c>
      <c r="J437" s="1" t="inlineStr">
        <is>
          <t>Hoofddorp</t>
        </is>
      </c>
      <c r="K437" t="inlineStr">
        <is>
          <t>Hoofddorp</t>
        </is>
      </c>
      <c r="L437" t="inlineStr">
        <is>
          <t>Hoofddorp, The Netherlands</t>
        </is>
      </c>
      <c r="M437" t="n">
        <v>52.2909045</v>
      </c>
      <c r="N437" t="n">
        <v>4.6592809</v>
      </c>
      <c r="O437" s="1" t="inlineStr">
        <is>
          <t>The Netherlands</t>
        </is>
      </c>
      <c r="P437" s="1" t="inlineStr">
        <is>
          <t>Belgium, Netherlands</t>
        </is>
      </c>
      <c r="Q437" s="1" t="inlineStr">
        <is>
          <t>6 to 10</t>
        </is>
      </c>
      <c r="R437" t="inlineStr">
        <is>
          <t>Micro</t>
        </is>
      </c>
      <c r="S437" s="1" t="inlineStr">
        <is>
          <t>Business to Business, Business to Consumer, Business to Schools</t>
        </is>
      </c>
      <c r="T437" s="1" t="inlineStr">
        <is>
          <t>Primary Education, Secondary Education, Lifelong learning/Adult education</t>
        </is>
      </c>
      <c r="U437" s="1" t="inlineStr">
        <is>
          <t>Teacher interfacing, System/Administrative, Student interfacing</t>
        </is>
      </c>
      <c r="V437" s="10" t="inlineStr">
        <is>
          <t>E-Leaning based on DigComp and DigcompEdu</t>
        </is>
      </c>
      <c r="W437" s="10" t="inlineStr">
        <is>
          <t>Upskilling has proven to be one of the most effective interventions when it comes to improving the quality of education. This is no exception when talking about the rapid developments of digitization of education. The link between good HR policy and the development of an administrative vision on life long learning and ICT competence is of great importance. What do you want as an organization to upskill your people? What competencies do employees need to prepare their students to learn, live and work in an increasingly digital society? In recent years, a lot of attention has been paid to the professionalization of employees. Schools, school groups and boards organize professionalization activities for their own employees with internal academies, expertise, knowledge or training centres, among other things for further professionalisation of ICT competence. Setting up an in-house academy is one of the ways to integrate the professionalisation of ICT competence into the HR policy and to give it a permanent shape and continuity. Determining competencies that fit the organization and the wishes for future-oriented education are an essential part of this. 
Digital (Didactic) Proficient program – Digi-skilled - sustainable and future-oriented professionalization.
Edutrainers has developed a program for education that is aimed at the target groups and key figures within the organization. In this digital age, education professionals need different skills to facilitate and ensure continuity of teaching and learning. Our program offers practical tools to develop these digital and digital didactical skills.
Digital Skills Scans:
 What about your digital literacy? Are your digital skills still up-to-date? Do you know what's possible with Microsoft 365, Google Workspace and other digital tools? To measure is to know! The scans provide insight into the level of digital skills of the participants and determine the objectives and personal learning paths. The scans are derived from the self-assessment tools of the European reference frameworks DigComp and DigCompEdu. These reference frameworks have been drawn up by a team of scientists from the European Commission and are seen by many educational institutions and companies as leading when it comes to identifying and measuring digital skills.
E-learning Edutrainers Academy:
The learning blocks in the Edutrainers Academy are built from the digital competences of the European reference frameworks (DigComp, Edu and DigComp) to the technology (Microsoft or Google and other apss) used at school. Short, practical and directly applicable. Work on increasing and improving digital literacy within 30 minutes. As a participant, you get access to a wide range of learning blocks in the Edutrainers Academy. Start with the scan and then get started with your personal learning path or are you looking for an answer to a concrete learning question? This is all possible. Discover your learning path!</t>
        </is>
      </c>
      <c r="X437" s="10" t="inlineStr">
        <is>
          <t>Consultancy on digitalization of Education</t>
        </is>
      </c>
      <c r="Y437" t="inlineStr">
        <is>
          <t>Edutrainers believes that changing the ICT landscape from isolated to integrated requires a different view of the ICT vision and policy, in other words a full integration into the strategic policy plan, with references that matter. The focus is on pedagogical-didactic action (with the help of ICT), seamless integration with vision and goals and adequate professionalization. Within every educational institution, there are different views on education and organization. This often makes digitization of education and development of ICT skills of education professionals complex. Nevertheless, it is possible to create a plan of action based on vision in which cooperation remains of great importance for support and involvement around the joint results. Working together on strategic policy:
The experts at Edutrainers are happy to think along with you. Based on the mission, vision and existing policy documents, we are happy to enrich strategic policy plans with inspiration, guidelines and examples to integrate well-thought-out digitization issues. Working together on integrated ICT policy
Edutrainers offers the opportunity to think along, advise and co-write the ICT policy plan. Together, based on vision, we endorse choices and priorities. With a view to the Four in Balance and good digital education, we support the people within the organization who are responsible for drawing up the ICT policy.</t>
        </is>
      </c>
      <c r="Z437" s="1" t="inlineStr">
        <is>
          <t>https://drive.google.com/uc?export=view&amp;id=1e8jVCYWfoIxgUMSb6NsmNqwTpnMvWc32</t>
        </is>
      </c>
      <c r="AA437" s="1" t="inlineStr">
        <is>
          <t>Unverified</t>
        </is>
      </c>
      <c r="AB437" s="1" t="n"/>
      <c r="AC437" s="1" t="n"/>
      <c r="AD437" s="10" t="n"/>
      <c r="AE437" s="1" t="n"/>
      <c r="AF437" s="1" t="inlineStr">
        <is>
          <t>Yes</t>
        </is>
      </c>
      <c r="AG437" s="1" t="inlineStr">
        <is>
          <t>http://instagram.com/edutrainersbv/</t>
        </is>
      </c>
      <c r="AH437" s="1" t="inlineStr">
        <is>
          <t>https://twitter.com/EdutrainersNL</t>
        </is>
      </c>
      <c r="AI437" t="inlineStr">
        <is>
          <t>https://www.linkedin.com/company/edutrainers/</t>
        </is>
      </c>
    </row>
    <row r="438" ht="12.5" customHeight="1">
      <c r="A438" s="6" t="n">
        <v>45370</v>
      </c>
      <c r="B438" s="1" t="inlineStr">
        <is>
          <t>ORG_1678</t>
        </is>
      </c>
      <c r="C438" s="1" t="b">
        <v>1</v>
      </c>
      <c r="D438" s="1" t="inlineStr">
        <is>
          <t>Holofil</t>
        </is>
      </c>
      <c r="E438" s="10" t="inlineStr">
        <is>
          <t>https://www.holofil.com/</t>
        </is>
      </c>
      <c r="F438" t="inlineStr">
        <is>
          <t>holofil.com</t>
        </is>
      </c>
      <c r="G438" s="1" t="inlineStr">
        <is>
          <t>HOLOFIL offers a 3D ecosystem platform that includes hardware tabletop displays and software content ecosystem for inspiring young students to enter 3D design ecosystem learning using available tools for content creation such as 3d models, animations, games. It also offers existing ecosystem of apps, games that can be used with the hardware displays.</t>
        </is>
      </c>
      <c r="H438" s="1" t="inlineStr">
        <is>
          <t>Dutch EdTech</t>
        </is>
      </c>
      <c r="I438" s="1" t="inlineStr">
        <is>
          <t>English</t>
        </is>
      </c>
      <c r="J438" s="1" t="inlineStr">
        <is>
          <t>Maarssen</t>
        </is>
      </c>
      <c r="K438" t="inlineStr">
        <is>
          <t>Maarssen</t>
        </is>
      </c>
      <c r="L438" t="inlineStr">
        <is>
          <t>Maarssen, The Netherlands</t>
        </is>
      </c>
      <c r="M438" t="n">
        <v>52.1354545</v>
      </c>
      <c r="N438" t="n">
        <v>5.0305535</v>
      </c>
      <c r="O438" s="1" t="inlineStr">
        <is>
          <t>The Netherlands</t>
        </is>
      </c>
      <c r="P438" s="1" t="inlineStr">
        <is>
          <t>Netherlands</t>
        </is>
      </c>
      <c r="Q438" s="1" t="inlineStr">
        <is>
          <t>0 to 2</t>
        </is>
      </c>
      <c r="R438" t="inlineStr">
        <is>
          <t>Solo entrepreneur</t>
        </is>
      </c>
      <c r="S438" s="1" t="inlineStr">
        <is>
          <t>Business to Business, Business to Government, Business to Schools</t>
        </is>
      </c>
      <c r="T438" s="1" t="inlineStr">
        <is>
          <t>Early childhood development (0-5 years), Primary Education, Secondary Education</t>
        </is>
      </c>
      <c r="U438" s="1" t="inlineStr">
        <is>
          <t>System/Administrative, Student interfacing, Teacher interfacing</t>
        </is>
      </c>
      <c r="V438" s="10" t="inlineStr">
        <is>
          <t>HOLOFIL displays</t>
        </is>
      </c>
      <c r="W438" s="10" t="inlineStr">
        <is>
          <t>Displays that offer visualization framework to visualize 3D assets created by students for a uniform learning experience in the 3D design ecosystem.</t>
        </is>
      </c>
      <c r="X438" s="10" t="inlineStr">
        <is>
          <t>Apps / games</t>
        </is>
      </c>
      <c r="Y438" t="inlineStr">
        <is>
          <t>3D apps / games that can be used as a content with the hardware displays.</t>
        </is>
      </c>
      <c r="Z438" s="1" t="inlineStr">
        <is>
          <t>https://drive.google.com/uc?export=view&amp;id=15sjM993yT_E9xKLYxRUi-1GWoqj-Ovx1</t>
        </is>
      </c>
      <c r="AA438" s="1" t="inlineStr">
        <is>
          <t>Unverified</t>
        </is>
      </c>
      <c r="AB438" s="1" t="n"/>
      <c r="AC438" s="1" t="n"/>
      <c r="AD438" s="10" t="n"/>
      <c r="AE438" s="1" t="n"/>
      <c r="AF438" s="1" t="inlineStr">
        <is>
          <t>Yes</t>
        </is>
      </c>
      <c r="AG438" s="1" t="inlineStr">
        <is>
          <t>http://www.instagram.com/holofil3d</t>
        </is>
      </c>
      <c r="AH438" s="1" t="inlineStr">
        <is>
          <t>http://www.twitter.com/holofil3D</t>
        </is>
      </c>
      <c r="AI438" s="1" t="inlineStr">
        <is>
          <t>https://www.linkedin.com/company/holofil/about/</t>
        </is>
      </c>
      <c r="AJ438" s="1" t="n"/>
    </row>
    <row r="439" ht="12.5" customHeight="1">
      <c r="A439" s="6" t="n">
        <v>45370</v>
      </c>
      <c r="B439" s="1" t="inlineStr">
        <is>
          <t>ORG_1788</t>
        </is>
      </c>
      <c r="C439" s="1" t="b">
        <v>1</v>
      </c>
      <c r="D439" s="1" t="inlineStr">
        <is>
          <t>Komensky</t>
        </is>
      </c>
      <c r="E439" s="10" t="inlineStr">
        <is>
          <t>https://www.komensky.nl</t>
        </is>
      </c>
      <c r="F439" t="inlineStr">
        <is>
          <t>komensky.nl</t>
        </is>
      </c>
      <c r="G439" s="1" t="inlineStr">
        <is>
          <t>Komensky delivers personalised skill based learning, skill validation and skill mobility through a smooth learning experience wrapped in a smart platform. 
Skill based learning? Skills are at the core of what we do. We aim to effectively close skill gaps to empower your people and transform your business. 
Smooth learning experience? We know the needs of your learners. Our intuitive hybrid LXP guides learners to their goals effectively and recommends the next step in their skill development. 
Smart platform? We integrate existing learning technology systems through a unified frontend experience, while seamlessly integrating backend components. Our complete SaaS-setup is flexible, scalable, and integrates with all of your (legacy) systems.</t>
        </is>
      </c>
      <c r="H439" s="1" t="inlineStr">
        <is>
          <t>Dutch EdTech</t>
        </is>
      </c>
      <c r="I439" s="1" t="inlineStr">
        <is>
          <t>Dutch, French, English, German, Portuguese</t>
        </is>
      </c>
      <c r="J439" s="1" t="inlineStr">
        <is>
          <t>Utrecht</t>
        </is>
      </c>
      <c r="K439" t="inlineStr">
        <is>
          <t>Utrecht</t>
        </is>
      </c>
      <c r="L439" t="inlineStr">
        <is>
          <t>Utrecht, The Netherlands</t>
        </is>
      </c>
      <c r="M439" t="n">
        <v>52.0906195</v>
      </c>
      <c r="N439" t="n">
        <v>5.1119709</v>
      </c>
      <c r="O439" s="1" t="inlineStr">
        <is>
          <t>The Netherlands</t>
        </is>
      </c>
      <c r="P439" s="1" t="inlineStr">
        <is>
          <t>Belgium, Netherlands, United Kingdom</t>
        </is>
      </c>
      <c r="Q439" s="1" t="inlineStr">
        <is>
          <t>11 to 50</t>
        </is>
      </c>
      <c r="R439" t="inlineStr">
        <is>
          <t>Small</t>
        </is>
      </c>
      <c r="S439" s="1" t="inlineStr">
        <is>
          <t>Business to Business, Business to Schools</t>
        </is>
      </c>
      <c r="T439" s="1" t="inlineStr">
        <is>
          <t>Corporate Training, Lifelong learning/Adult education</t>
        </is>
      </c>
      <c r="U439" s="1" t="inlineStr">
        <is>
          <t>Student interfacing, System/Administrative</t>
        </is>
      </c>
      <c r="V439" s="1" t="inlineStr">
        <is>
          <t>Skill platform</t>
        </is>
      </c>
      <c r="W439" s="1" t="inlineStr">
        <is>
          <t>Komensky delivers personalised skill based learning, skill validation and skill mobility through a smooth learning experience wrapped in a smart platform. 
Skill based learning? Skills are at the core of what we do. We aim to effectively close skill gaps to empower your people and transform your business. 
Smooth learning experience? We know the needs of your learners. Our intuitive hybrid LXP guides learners to their goals effectively and recommends the next step in their skill development. 
Smart platform? We integrate existing learning technology systems through a unified frontend experience, while seamlessly integrating backend components. Our complete SaaS-setup is flexible, scalable, and integrates with all of your (legacy) systems.</t>
        </is>
      </c>
      <c r="X439" s="10" t="inlineStr">
        <is>
          <t>https://drive.google.com/uc?export=view&amp;id=1AhM_ClYPoOOB0uvkGFUfvE9k6xMxyS1M</t>
        </is>
      </c>
      <c r="Y439" t="inlineStr">
        <is>
          <t>https://drive.google.com/uc?export=view&amp;id=1AhM_ClYPoOOB0uvkGFUfvE9k6xMxyS1M</t>
        </is>
      </c>
      <c r="Z439" s="1" t="inlineStr">
        <is>
          <t>https://drive.google.com/uc?export=view&amp;id=1AhM_ClYPoOOB0uvkGFUfvE9k6xMxyS1M</t>
        </is>
      </c>
      <c r="AA439" s="1" t="inlineStr">
        <is>
          <t>Unverified</t>
        </is>
      </c>
      <c r="AB439" s="1" t="n"/>
      <c r="AC439" s="1" t="n"/>
      <c r="AD439" s="10" t="n"/>
      <c r="AE439" s="1" t="n"/>
      <c r="AF439" s="1" t="inlineStr">
        <is>
          <t>Yes</t>
        </is>
      </c>
      <c r="AG439" s="1" t="inlineStr">
        <is>
          <t>https://www.linkedin.com/company/komensky/</t>
        </is>
      </c>
      <c r="AH439" s="1" t="inlineStr">
        <is>
          <t>https://www.linkedin.com/company/komensky/</t>
        </is>
      </c>
      <c r="AI439" s="1" t="inlineStr">
        <is>
          <t>https://www.linkedin.com/company/komensky/</t>
        </is>
      </c>
      <c r="AJ439" s="1" t="n"/>
    </row>
    <row r="440" ht="12.5" customHeight="1">
      <c r="A440" s="6" t="n">
        <v>45370</v>
      </c>
      <c r="B440" s="1" t="inlineStr">
        <is>
          <t>ORG_1889</t>
        </is>
      </c>
      <c r="C440" s="1" t="b">
        <v>1</v>
      </c>
      <c r="D440" s="1" t="inlineStr">
        <is>
          <t>Livery Video</t>
        </is>
      </c>
      <c r="E440" s="10" t="inlineStr">
        <is>
          <t>https://www.liveryvideo.com/</t>
        </is>
      </c>
      <c r="F440" t="inlineStr">
        <is>
          <t>liveryvideo.com</t>
        </is>
      </c>
      <c r="G440" s="1" t="n"/>
      <c r="H440" s="1" t="n"/>
      <c r="I440" s="1" t="n"/>
      <c r="J440" s="1" t="n"/>
      <c r="O440" s="1" t="inlineStr">
        <is>
          <t>The Netherlands</t>
        </is>
      </c>
      <c r="P440" s="1" t="n"/>
      <c r="Q440" s="1" t="n"/>
      <c r="S440" s="1" t="inlineStr">
        <is>
          <t>Business to Government, Business to Schools</t>
        </is>
      </c>
      <c r="T440" s="1" t="n"/>
      <c r="U440" s="1" t="n"/>
      <c r="V440" s="1" t="n"/>
      <c r="W440" s="1" t="n"/>
      <c r="X440" s="1" t="n"/>
      <c r="Z440" s="1" t="n"/>
      <c r="AA440" s="1" t="inlineStr">
        <is>
          <t>Unverified</t>
        </is>
      </c>
      <c r="AB440" s="1" t="n"/>
      <c r="AC440" s="1" t="n"/>
      <c r="AD440" s="1" t="n"/>
      <c r="AE440" s="1" t="n"/>
      <c r="AF440" s="1" t="inlineStr">
        <is>
          <t>No</t>
        </is>
      </c>
      <c r="AG440" s="1" t="n"/>
      <c r="AH440" s="1" t="n"/>
    </row>
    <row r="441" ht="12.5" customHeight="1">
      <c r="A441" s="6" t="n">
        <v>45370</v>
      </c>
      <c r="B441" s="1" t="inlineStr">
        <is>
          <t>ORG_2007</t>
        </is>
      </c>
      <c r="C441" s="1" t="b">
        <v>1</v>
      </c>
      <c r="D441" s="1" t="inlineStr">
        <is>
          <t>Myndr</t>
        </is>
      </c>
      <c r="E441" s="10" t="inlineStr">
        <is>
          <t>https://www.myndr.nl</t>
        </is>
      </c>
      <c r="F441" t="inlineStr">
        <is>
          <t>myndr.nl</t>
        </is>
      </c>
      <c r="G441" s="1" t="n"/>
      <c r="H441" s="1" t="n"/>
      <c r="I441" s="1" t="n"/>
      <c r="J441" s="1" t="inlineStr">
        <is>
          <t>Zutphen</t>
        </is>
      </c>
      <c r="K441" t="inlineStr">
        <is>
          <t>Zutphen</t>
        </is>
      </c>
      <c r="L441" t="inlineStr">
        <is>
          <t>Zutphen, The Netherlands</t>
        </is>
      </c>
      <c r="M441" t="n">
        <v>52.1394555</v>
      </c>
      <c r="N441" t="n">
        <v>6.1977325</v>
      </c>
      <c r="O441" s="1" t="inlineStr">
        <is>
          <t>The Netherlands</t>
        </is>
      </c>
      <c r="P441" s="1" t="n"/>
      <c r="Q441" s="1" t="n"/>
      <c r="S441" s="1" t="n"/>
      <c r="T441" s="1" t="n"/>
      <c r="U441" s="1" t="n"/>
      <c r="V441" s="1" t="n"/>
      <c r="W441" s="1" t="n"/>
      <c r="X441" s="1" t="n"/>
      <c r="Z441" s="1" t="n"/>
      <c r="AA441" s="1" t="inlineStr">
        <is>
          <t>Unverified</t>
        </is>
      </c>
      <c r="AB441" s="1" t="n"/>
      <c r="AC441" s="1" t="n"/>
      <c r="AD441" s="1" t="n"/>
      <c r="AE441" s="1" t="n"/>
      <c r="AF441" t="inlineStr">
        <is>
          <t>No</t>
        </is>
      </c>
    </row>
    <row r="442" ht="12.5" customHeight="1">
      <c r="A442" s="6" t="n">
        <v>45370</v>
      </c>
      <c r="B442" s="1" t="inlineStr">
        <is>
          <t>ORG_2112</t>
        </is>
      </c>
      <c r="C442" s="1" t="b">
        <v>1</v>
      </c>
      <c r="D442" s="1" t="inlineStr">
        <is>
          <t>Pluvo</t>
        </is>
      </c>
      <c r="E442" s="10" t="inlineStr">
        <is>
          <t>https://pluvo.co</t>
        </is>
      </c>
      <c r="F442" t="inlineStr">
        <is>
          <t>pluvo.co</t>
        </is>
      </c>
      <c r="G442" s="1" t="inlineStr">
        <is>
          <t>Unlock the potential of knowledge with Pluvo! Bid farewell to scattered learning and welcome a centralized hub where expertise seamlessly flows. Trusted by over 100,000 users across 600 organizations, Pluvo transforms learning into impactful e-learning effortlessly, saving time and eradicating repetition. Consolidate all learning activities into one space, from e-learning modules to live training sessions, ensuring unparalleled efficiency. Coordinate meetings, events, and webinars effortlessly with our user-friendly interface. Engage in discussions, ask questions, and embark on collective learning journeys to foster continuous growth. Monitor progress and performance in real-time, empowering managers and trainers to optimize learning. Seamlessly integrate Pluvo with existing systems for a unified learning experience. Enjoy top-notch customer service, rated 5 stars, with an average response time of just 3.8 minutes. Ready to revolutionize your organization's learning journey? Get started with Pluvo today!</t>
        </is>
      </c>
      <c r="H442" s="1" t="inlineStr">
        <is>
          <t>Dutch EdTech</t>
        </is>
      </c>
      <c r="I442" s="1" t="n"/>
      <c r="J442" s="1" t="inlineStr">
        <is>
          <t>Amsterdam</t>
        </is>
      </c>
      <c r="K442" t="inlineStr">
        <is>
          <t>Amsterdam</t>
        </is>
      </c>
      <c r="L442" t="inlineStr">
        <is>
          <t>Amsterdam, The Netherlands</t>
        </is>
      </c>
      <c r="M442" t="n">
        <v>52.3701984</v>
      </c>
      <c r="N442" t="n">
        <v>4.892168</v>
      </c>
      <c r="O442" s="1" t="inlineStr">
        <is>
          <t>The Netherlands</t>
        </is>
      </c>
      <c r="P442" s="1" t="inlineStr">
        <is>
          <t>Belgium, Cyprus, Denmark, France, Germany, Ireland, Italy, Luxembourg, Netherlands, Poland, Spain, Sweden, Switzerland</t>
        </is>
      </c>
      <c r="Q442" s="1" t="inlineStr">
        <is>
          <t>11 to 50</t>
        </is>
      </c>
      <c r="R442" t="inlineStr">
        <is>
          <t>Small</t>
        </is>
      </c>
      <c r="S442" s="1" t="inlineStr">
        <is>
          <t>Business to Government, Business to Business</t>
        </is>
      </c>
      <c r="T442" s="1" t="inlineStr">
        <is>
          <t>Lifelong learning/Adult education, Vocational Education and Training (VET)</t>
        </is>
      </c>
      <c r="U442" s="1" t="inlineStr">
        <is>
          <t>System/Administrative, Student interfacing</t>
        </is>
      </c>
      <c r="V442" s="10" t="inlineStr">
        <is>
          <t>Pluvo</t>
        </is>
      </c>
      <c r="W442" s="1" t="inlineStr">
        <is>
          <t>Unlock the potential of knowledge with Pluvo! Bid farewell to scattered learning and welcome a centralized hub where expertise seamlessly flows. Trusted by over 100,000 users across 600 organizations, Pluvo transforms learning into impactful e-learning effortlessly, saving time and eradicating repetition. Consolidate all learning activities into one space, from e-learning modules to live training sessions, ensuring unparalleled efficiency. Coordinate meetings, events, and webinars effortlessly with our user-friendly interface. Engage in discussions, ask questions, and embark on collective learning journeys to foster continuous growth. Monitor progress and performance in real-time, empowering managers and trainers to optimize learning. Seamlessly integrate Pluvo with existing systems for a unified learning experience. Enjoy top-notch customer service, rated 5 stars, with an average response time of just 3.8 minutes. Ready to revolutionize your organization's learning journey? Get started with Pluvo today!</t>
        </is>
      </c>
      <c r="X442" s="10" t="inlineStr">
        <is>
          <t>https://drive.google.com/uc?export=view&amp;id=1UwTw09s7ZTNN09abWtWDyeiUx6KR_sOl</t>
        </is>
      </c>
      <c r="Y442" t="inlineStr">
        <is>
          <t>https://drive.google.com/uc?export=view&amp;id=1UwTw09s7ZTNN09abWtWDyeiUx6KR_sOl</t>
        </is>
      </c>
      <c r="Z442" s="1" t="inlineStr">
        <is>
          <t>https://drive.google.com/uc?export=view&amp;id=1UwTw09s7ZTNN09abWtWDyeiUx6KR_sOl</t>
        </is>
      </c>
      <c r="AA442" s="1" t="inlineStr">
        <is>
          <t>Unverified</t>
        </is>
      </c>
      <c r="AB442" s="1" t="n"/>
      <c r="AC442" s="1" t="n"/>
      <c r="AD442" s="10" t="n"/>
      <c r="AE442" s="1" t="n"/>
      <c r="AF442" t="inlineStr">
        <is>
          <t>Yes</t>
        </is>
      </c>
      <c r="AG442" t="inlineStr">
        <is>
          <t>https://www.instagram.com/pluvo.nl/</t>
        </is>
      </c>
      <c r="AH442" t="inlineStr">
        <is>
          <t>https://www.linkedin.com/company/pluvo</t>
        </is>
      </c>
      <c r="AI442" t="inlineStr">
        <is>
          <t>https://www.linkedin.com/company/pluvo</t>
        </is>
      </c>
    </row>
    <row r="443" ht="12.5" customHeight="1">
      <c r="A443" s="6" t="n">
        <v>45370</v>
      </c>
      <c r="B443" s="1" t="inlineStr">
        <is>
          <t>ORG_2156</t>
        </is>
      </c>
      <c r="C443" s="1" t="b">
        <v>1</v>
      </c>
      <c r="D443" s="1" t="inlineStr">
        <is>
          <t>Rakoo</t>
        </is>
      </c>
      <c r="E443" s="10" t="inlineStr">
        <is>
          <t>https://rakoo.com/</t>
        </is>
      </c>
      <c r="F443" t="inlineStr">
        <is>
          <t>rakoo.com</t>
        </is>
      </c>
      <c r="G443" s="1" t="inlineStr">
        <is>
          <t>We are Rakoo. Your online academy for learning and performance. Driven by AI.
Every organization wants to achieve goals, every team wants to grow, and every employee wants to improve in some way. That's why we focus on growth, both personally and professionally. Together, we set goals and work towards achieving them. We provide insights into the return on investment of online learning, leveraging intelligent technology. We are your partner in growth.
We believe that organizations grow when people grow. We make learning and knowledge sharing accessible, interactive, and effective. In doing so, we help organizations achieve their goals. We create a smart online academy that connects people and makes learning accessible. We achieve this through a wide range of learning formats, a user-friendly tool for developing learning activities, on-the-go learning, smart algorithms, and real-time insights into team growth. All of this is accomplished through our smart online academy for growth.</t>
        </is>
      </c>
      <c r="H443" s="1" t="inlineStr">
        <is>
          <t>Dutch EdTech</t>
        </is>
      </c>
      <c r="I443" s="1" t="inlineStr">
        <is>
          <t>Dutch, English, Spanish, German, French</t>
        </is>
      </c>
      <c r="J443" s="1" t="inlineStr">
        <is>
          <t>Nijmegen</t>
        </is>
      </c>
      <c r="K443" t="inlineStr">
        <is>
          <t>Nijmegen</t>
        </is>
      </c>
      <c r="L443" t="inlineStr">
        <is>
          <t>Nijmegen, The Netherlands</t>
        </is>
      </c>
      <c r="M443" t="n">
        <v>51.8460684</v>
      </c>
      <c r="N443" t="n">
        <v>5.8706981</v>
      </c>
      <c r="O443" s="1" t="inlineStr">
        <is>
          <t>The Netherlands</t>
        </is>
      </c>
      <c r="P443" s="1" t="inlineStr">
        <is>
          <t>Netherlands</t>
        </is>
      </c>
      <c r="Q443" s="1" t="inlineStr">
        <is>
          <t>11 to 50</t>
        </is>
      </c>
      <c r="R443" t="inlineStr">
        <is>
          <t>Small</t>
        </is>
      </c>
      <c r="S443" s="1" t="inlineStr">
        <is>
          <t>Business to Government, Business to Business</t>
        </is>
      </c>
      <c r="T443" s="1" t="inlineStr">
        <is>
          <t>Corporate Training</t>
        </is>
      </c>
      <c r="U443" s="1" t="inlineStr">
        <is>
          <t>System/Administrative</t>
        </is>
      </c>
      <c r="V443" s="10" t="inlineStr">
        <is>
          <t>Learning</t>
        </is>
      </c>
      <c r="W443" s="10" t="inlineStr">
        <is>
          <t>Develop trainings, gain insights into growth, store all knowledge of your organization and organize learning in one central place: all in Rakoo. We are the leading online academy for learning and performance, driven by AI. We help you grow, both personally and professionally.
With an LMS (Learning Management System), you can organize and manage everything related to learning within your organization. From óne smart and central platform in Rakoo, you enable employees to learn and develop. This not only helps your employees grow but also drives the overall growth of your organization.
With an LXP, the focus is on the learning experience: a smart and personalized learning journey. This ensures that everyone learns in a way that suits them best. We make learning enjoyable and interactive with AI and gamification.
Knowledge retention in your organization is important, we understand that. That's why in Rakoo, you can easily create learning activities yourself using our authoring tool or Smart Assistant. In this way, you can transform organizational knowledge into professional learning activities or you can create learning activities with the help of AI. User-friendliness is a priority, and that's why we keep the authoring tool simple. This allows everyone to easily create professional learning activities on their own.</t>
        </is>
      </c>
      <c r="X443" s="10" t="inlineStr">
        <is>
          <t>Performance</t>
        </is>
      </c>
      <c r="Y443" t="inlineStr">
        <is>
          <t>With Rakoo, we empower you to grow and to become great. We achieve this through an online academy for learning and performance management, driven by AI. Rakoo provides you with insights into the return on learning. Together, we will accomplish professional and personal goals.
With Rakoo, you enable your teams to grow. In the online academy they engage in learning activities, and you are able to track their progress directly. We provide you with real-time insights and show you the value that learning brings to your organization.
Do you want to empower your teams to grow? Then you need insights into skills, the (desired) abilities of your employees. In Rakoo, we measure the baseline level of these skills and set goals to enhance their proficiency. We enable you to make learning activities smarter, align them with your goals and ensure a smart approach to growth.</t>
        </is>
      </c>
      <c r="Z443" s="1" t="inlineStr">
        <is>
          <t>https://drive.google.com/uc?export=view&amp;id=1_swJ2f7Of4znvxpsxNXnAK5eTaCGtt7j</t>
        </is>
      </c>
      <c r="AA443" s="1" t="inlineStr">
        <is>
          <t>Unverified</t>
        </is>
      </c>
      <c r="AB443" s="1" t="n"/>
      <c r="AC443" s="1" t="n"/>
      <c r="AD443" s="10" t="n"/>
      <c r="AE443" s="1" t="n"/>
      <c r="AF443" t="inlineStr">
        <is>
          <t>Yes</t>
        </is>
      </c>
      <c r="AG443" t="inlineStr">
        <is>
          <t>https://www.instagram.com/workingatrakoo/</t>
        </is>
      </c>
      <c r="AH443" t="inlineStr">
        <is>
          <t>https://twitter.com/rakoocom</t>
        </is>
      </c>
      <c r="AI443" t="inlineStr">
        <is>
          <t>https://www.linkedin.com/company/rakoo</t>
        </is>
      </c>
    </row>
    <row r="444" ht="12.5" customHeight="1">
      <c r="A444" s="6" t="n">
        <v>45370</v>
      </c>
      <c r="B444" s="1" t="inlineStr">
        <is>
          <t>ORG_2181</t>
        </is>
      </c>
      <c r="C444" s="1" t="b">
        <v>1</v>
      </c>
      <c r="D444" s="1" t="inlineStr">
        <is>
          <t>Revisely</t>
        </is>
      </c>
      <c r="E444" s="10" t="inlineStr">
        <is>
          <t>http://revise.ly</t>
        </is>
      </c>
      <c r="F444" t="inlineStr">
        <is>
          <t>revise.ly</t>
        </is>
      </c>
      <c r="G444" s="1" t="inlineStr">
        <is>
          <t>Revisely has been around since 2014 and was founded by Cambridge alum Jeroen Fransen and former Minister of Education of the Netherlands, Jo Ritzen. We have over 200,000 users in schools, colleges and universities. 
At Revisely we believe happy teachers make happier students. Many teachers are not so happy due to the workload around grading, marking and giving feedback on students’ work, so we came up with some solutions. 
Member of Dutch Edtech, alumnus of UtrechtInc and xEdu, fellow of Hatch Colab</t>
        </is>
      </c>
      <c r="H444" s="1" t="inlineStr">
        <is>
          <t>Dutch EdTech, xEdu</t>
        </is>
      </c>
      <c r="I444" s="1" t="inlineStr">
        <is>
          <t>Dutch, English, Spanish, German, French, Italian</t>
        </is>
      </c>
      <c r="J444" s="1" t="inlineStr">
        <is>
          <t>Breda</t>
        </is>
      </c>
      <c r="K444" t="inlineStr">
        <is>
          <t>Breda</t>
        </is>
      </c>
      <c r="L444" t="inlineStr">
        <is>
          <t>Breda, The Netherlands</t>
        </is>
      </c>
      <c r="M444" t="n">
        <v>51.58936</v>
      </c>
      <c r="N444" t="n">
        <v>4.7729399</v>
      </c>
      <c r="O444" s="1" t="inlineStr">
        <is>
          <t>The Netherlands</t>
        </is>
      </c>
      <c r="P444" s="1" t="inlineStr">
        <is>
          <t>Belgium, Denmark, Finland, France, Germany, Netherlands, Norway, Spain, Sweden, Ukraine, United Kingdom</t>
        </is>
      </c>
      <c r="Q444" s="1" t="inlineStr">
        <is>
          <t>6 to 10</t>
        </is>
      </c>
      <c r="R444" t="inlineStr">
        <is>
          <t>Micro</t>
        </is>
      </c>
      <c r="S444" s="1" t="inlineStr">
        <is>
          <t>Business to Government, Business to Schools, Business to Business</t>
        </is>
      </c>
      <c r="T444" s="1" t="inlineStr">
        <is>
          <t>Secondary Education, Vocational Education and Training (VET), Higher Education</t>
        </is>
      </c>
      <c r="U444" s="1" t="inlineStr">
        <is>
          <t>Student interfacing, Teacher interfacing, System/Administrative</t>
        </is>
      </c>
      <c r="V444" s="1" t="inlineStr">
        <is>
          <t>Revisely Grading Tool</t>
        </is>
      </c>
      <c r="W444" s="1" t="inlineStr">
        <is>
          <t>Revisely offers a grading tool that teachers use to correct students’ work, saving teachers time with standardised feedback and optimised workflows. It also gives more actionable feedback to students so they can improve learning outcomes. The unique extendible comment banks, integrated in Revisely’s web application, include tips on how to improve writing skills but can also include teachers’ own feedback, increasing students’ engagement and learning effects. In addition, Revisely offers various other features such as plagiarism checking to promote original writing, Team Hand-ins to stimulate collaborating in groups and Peer Grading &amp; Feedback to help students learn from each other. Revisely’s tool can be integrated through LTI 1.1 and 1.3 as well as through its own API, so we welcome partnerships with publishers and LMS providers!</t>
        </is>
      </c>
      <c r="X444" s="10" t="inlineStr">
        <is>
          <t>TheyCorrect</t>
        </is>
      </c>
      <c r="Y444" t="inlineStr">
        <is>
          <t>TheyCorrect works with schools to reduce teachers' workload and decrease teacher shortages. 
To make this happen, we allow teachers to delegate the grading and marking of and giving feedback on papers, essays, letters, essays, etc. to external professionals. By delegating the grading task (15% of teachers' time), teachers then have more time to concentrate on actual teaching, schools achieve better results and students learn more.
We are an #edtech and #hrtech company with headquarters in the Netherlands.</t>
        </is>
      </c>
      <c r="Z444" s="1" t="inlineStr">
        <is>
          <t>https://drive.google.com/uc?export=view&amp;id=1qVeM1C7spVg_DT4zpEGi5L8FlVsageFu</t>
        </is>
      </c>
      <c r="AA444" s="1" t="inlineStr">
        <is>
          <t>Unverified</t>
        </is>
      </c>
      <c r="AB444" s="1" t="n"/>
      <c r="AC444" s="1" t="n"/>
      <c r="AD444" s="10" t="n"/>
      <c r="AE444" s="1" t="n"/>
      <c r="AF444" t="inlineStr">
        <is>
          <t>Yes</t>
        </is>
      </c>
      <c r="AG444" t="inlineStr">
        <is>
          <t>https://www.linkedin.com/company/revisely</t>
        </is>
      </c>
      <c r="AH444" t="inlineStr">
        <is>
          <t>https://www.linkedin.com/company/revisely</t>
        </is>
      </c>
      <c r="AI444" t="inlineStr">
        <is>
          <t>https://www.linkedin.com/company/revisely</t>
        </is>
      </c>
    </row>
    <row r="445" ht="12.5" customHeight="1">
      <c r="A445" s="6" t="n">
        <v>45370</v>
      </c>
      <c r="B445" s="1" t="inlineStr">
        <is>
          <t>ORG_2342</t>
        </is>
      </c>
      <c r="C445" s="1" t="b">
        <v>1</v>
      </c>
      <c r="D445" s="1" t="inlineStr">
        <is>
          <t>StudyGo</t>
        </is>
      </c>
      <c r="E445" s="10" t="inlineStr">
        <is>
          <t>https://wrts.nl/homepage</t>
        </is>
      </c>
      <c r="F445" t="inlineStr">
        <is>
          <t>wrts.nl/homepage</t>
        </is>
      </c>
      <c r="G445" s="1" t="n"/>
      <c r="H445" s="1" t="n"/>
      <c r="I445" s="1" t="n"/>
      <c r="J445" s="1" t="n"/>
      <c r="O445" s="1" t="inlineStr">
        <is>
          <t>The Netherlands</t>
        </is>
      </c>
      <c r="P445" s="1" t="n"/>
      <c r="Q445" s="1" t="n"/>
      <c r="S445" s="1" t="n"/>
      <c r="T445" s="1" t="n"/>
      <c r="U445" s="1" t="n"/>
      <c r="V445" s="1" t="n"/>
      <c r="W445" s="1" t="n"/>
      <c r="X445" s="1" t="n"/>
      <c r="Z445" s="1" t="n"/>
      <c r="AA445" s="1" t="inlineStr">
        <is>
          <t>Unverified</t>
        </is>
      </c>
      <c r="AB445" s="1" t="n"/>
      <c r="AC445" s="1" t="n"/>
      <c r="AD445" s="1" t="n"/>
      <c r="AE445" s="1" t="n"/>
      <c r="AF445" t="inlineStr">
        <is>
          <t>No</t>
        </is>
      </c>
    </row>
    <row r="446" ht="12.5" customHeight="1">
      <c r="A446" s="6" t="n">
        <v>45370</v>
      </c>
      <c r="B446" s="1" t="inlineStr">
        <is>
          <t>ORG_2507</t>
        </is>
      </c>
      <c r="C446" s="1" t="b">
        <v>1</v>
      </c>
      <c r="D446" s="1" t="inlineStr">
        <is>
          <t>Voor de klas</t>
        </is>
      </c>
      <c r="E446" s="10" t="inlineStr">
        <is>
          <t>http://voordeklas.com</t>
        </is>
      </c>
      <c r="F446" t="inlineStr">
        <is>
          <t>voordeklas.com</t>
        </is>
      </c>
      <c r="G446" s="1" t="inlineStr">
        <is>
          <t>Bring society into the classroom and the classroom into society.
Voor de klas (translation for/in front of the classroom) is a platform for teachers to find the best guest lectures, field trips and lesson materials from third party providers linked to:
• Learning outcomes
• Duration
• Ages
• Price
• Available subsidies</t>
        </is>
      </c>
      <c r="H446" s="1" t="inlineStr">
        <is>
          <t>Dutch EdTech</t>
        </is>
      </c>
      <c r="I446" s="1" t="inlineStr">
        <is>
          <t>Dutch</t>
        </is>
      </c>
      <c r="J446" s="1" t="inlineStr">
        <is>
          <t>Amsterdam</t>
        </is>
      </c>
      <c r="K446" t="inlineStr">
        <is>
          <t>Amsterdam</t>
        </is>
      </c>
      <c r="L446" t="inlineStr">
        <is>
          <t>Amsterdam, The Netherlands</t>
        </is>
      </c>
      <c r="M446" t="n">
        <v>52.3701984</v>
      </c>
      <c r="N446" t="n">
        <v>4.892168</v>
      </c>
      <c r="O446" s="1" t="inlineStr">
        <is>
          <t>The Netherlands</t>
        </is>
      </c>
      <c r="P446" s="1" t="inlineStr">
        <is>
          <t>Netherlands</t>
        </is>
      </c>
      <c r="Q446" s="1" t="inlineStr">
        <is>
          <t>0 to 2</t>
        </is>
      </c>
      <c r="R446" t="inlineStr">
        <is>
          <t>Solo entrepreneur</t>
        </is>
      </c>
      <c r="S446" s="1" t="inlineStr">
        <is>
          <t>Business to Schools, Business to Business, Business to Business</t>
        </is>
      </c>
      <c r="T446" s="1" t="inlineStr">
        <is>
          <t>Primary Education, Secondary Education, Corporate Training, Lifelong learning/Adult education, Vocational Education and Training (VET), Higher Education</t>
        </is>
      </c>
      <c r="U446" s="1" t="inlineStr">
        <is>
          <t>Teacher interfacing, System/Administrative, Student interfacing</t>
        </is>
      </c>
      <c r="V446" s="10" t="inlineStr">
        <is>
          <t>Voor de klas</t>
        </is>
      </c>
      <c r="W446" s="1" t="inlineStr">
        <is>
          <t>Voor de Klas (translation for/in front of the classroom) is a platform for teachers to find the best guest lectures, field trips, and lesson materials from third-party providers linked to:
• Learning outcomes
• Duration
• Ages
• Price
• Available subsidies</t>
        </is>
      </c>
      <c r="X446" s="1" t="inlineStr">
        <is>
          <t>Suzanne Lustenhouwer</t>
        </is>
      </c>
      <c r="Y446" t="inlineStr">
        <is>
          <t>https://drive.google.com/uc?export=view&amp;id=1AaEX-1idixIzvDbxGQPjUqQjkwM0IykB</t>
        </is>
      </c>
      <c r="Z446" s="1" t="inlineStr">
        <is>
          <t>https://drive.google.com/uc?export=view&amp;id=1AaEX-1idixIzvDbxGQPjUqQjkwM0IykB</t>
        </is>
      </c>
      <c r="AA446" s="1" t="inlineStr">
        <is>
          <t>Unverified</t>
        </is>
      </c>
      <c r="AB446" s="1" t="n"/>
      <c r="AC446" s="1" t="n"/>
      <c r="AD446" s="10" t="n"/>
      <c r="AE446" s="1" t="n"/>
      <c r="AF446" t="inlineStr">
        <is>
          <t>Yes</t>
        </is>
      </c>
      <c r="AG446" t="inlineStr">
        <is>
          <t>https://instagram.com/voordeklas</t>
        </is>
      </c>
    </row>
    <row r="447" ht="12.5" customHeight="1">
      <c r="A447" s="6" t="n">
        <v>45370</v>
      </c>
      <c r="B447" s="1" t="inlineStr">
        <is>
          <t>ORG_2510</t>
        </is>
      </c>
      <c r="C447" s="1" t="b">
        <v>1</v>
      </c>
      <c r="D447" s="1" t="inlineStr">
        <is>
          <t>VR Nederland</t>
        </is>
      </c>
      <c r="E447" s="10" t="inlineStr">
        <is>
          <t>https://vrnederland.nl/</t>
        </is>
      </c>
      <c r="F447" t="inlineStr">
        <is>
          <t>vrnederland.nl</t>
        </is>
      </c>
      <c r="G447" s="1" t="n"/>
      <c r="H447" s="1" t="n"/>
      <c r="I447" s="1" t="n"/>
      <c r="J447" s="1" t="n"/>
      <c r="O447" s="1" t="inlineStr">
        <is>
          <t>The Netherlands</t>
        </is>
      </c>
      <c r="P447" s="1" t="n"/>
      <c r="Q447" s="1" t="n"/>
      <c r="S447" s="1" t="n"/>
      <c r="T447" s="1" t="n"/>
      <c r="U447" s="1" t="n"/>
      <c r="V447" s="1" t="n"/>
      <c r="W447" s="1" t="n"/>
      <c r="X447" s="1" t="n"/>
      <c r="Z447" s="1" t="n"/>
      <c r="AA447" s="1" t="inlineStr">
        <is>
          <t>Unverified</t>
        </is>
      </c>
      <c r="AB447" s="1" t="n"/>
      <c r="AC447" s="1" t="n"/>
      <c r="AD447" s="1" t="n"/>
      <c r="AE447" s="1" t="n"/>
      <c r="AF447" s="1" t="inlineStr">
        <is>
          <t>No</t>
        </is>
      </c>
      <c r="AG447" s="1" t="n"/>
      <c r="AH447" s="1" t="n"/>
    </row>
    <row r="448" ht="12.5" customHeight="1">
      <c r="A448" s="6" t="n">
        <v>45370</v>
      </c>
      <c r="B448" s="1" t="inlineStr">
        <is>
          <t>ORG_2563</t>
        </is>
      </c>
      <c r="C448" s="1" t="b">
        <v>1</v>
      </c>
      <c r="D448" s="1" t="inlineStr">
        <is>
          <t>Young Coders</t>
        </is>
      </c>
      <c r="E448" s="10" t="inlineStr">
        <is>
          <t>https://youngcoders.nl/</t>
        </is>
      </c>
      <c r="F448" t="inlineStr">
        <is>
          <t>youngcoders.nl</t>
        </is>
      </c>
      <c r="G448" s="1" t="inlineStr">
        <is>
          <t>We find exceptional IT talent and provide them with the right environment to flourish. We work with a “character fit” between talent and client. Sustainable relationships arise in a work environment where you are at your best. We teach them the right skillset.
With our unique perspective on talent, we challenge the status quo. We are the knowledge partner for finding, training and guiding exceptional IT talent.Young_Coders Upskill is the IT training partner for upskilling and retraining your workforce. We train your employees to the next skills level. With our core capabilities assessments, customized training and our personalized e-learning platform, we ensure that every employee brings out the best in themselves.</t>
        </is>
      </c>
      <c r="H448" s="1" t="inlineStr">
        <is>
          <t>Dutch EdTech</t>
        </is>
      </c>
      <c r="I448" s="1" t="inlineStr">
        <is>
          <t>Dutch, English</t>
        </is>
      </c>
      <c r="J448" s="1" t="inlineStr">
        <is>
          <t>Amersfoort</t>
        </is>
      </c>
      <c r="K448" t="inlineStr">
        <is>
          <t>Amersfoort</t>
        </is>
      </c>
      <c r="L448" t="inlineStr">
        <is>
          <t>Amersfoort, The Netherlands</t>
        </is>
      </c>
      <c r="M448" t="n">
        <v>52.1928326</v>
      </c>
      <c r="N448" t="n">
        <v>5.4212862</v>
      </c>
      <c r="O448" s="1" t="inlineStr">
        <is>
          <t>The Netherlands</t>
        </is>
      </c>
      <c r="P448" s="1" t="inlineStr">
        <is>
          <t>Netherlands</t>
        </is>
      </c>
      <c r="Q448" s="1" t="inlineStr">
        <is>
          <t>11 to 50</t>
        </is>
      </c>
      <c r="R448" t="inlineStr">
        <is>
          <t>Small</t>
        </is>
      </c>
      <c r="S448" s="1" t="inlineStr">
        <is>
          <t>Business to Business</t>
        </is>
      </c>
      <c r="T448" s="1" t="inlineStr">
        <is>
          <t>Corporate Training, Lifelong learning/Adult education</t>
        </is>
      </c>
      <c r="U448" s="1" t="inlineStr">
        <is>
          <t>System/Administrative</t>
        </is>
      </c>
      <c r="V448" s="1" t="inlineStr">
        <is>
          <t>Young Coders UpSkill Academy</t>
        </is>
      </c>
      <c r="W448" s="1" t="inlineStr">
        <is>
          <t>Young_Coders Upskill is the IT training partner for upskilling and retraining your workforce.
We train your employees to the next skills level. With our core capabilities assessments, customized training and our personalized e-learning platform, we ensure that every employee brings out the best in themselves.</t>
        </is>
      </c>
      <c r="X448" s="10" t="inlineStr">
        <is>
          <t>Collow</t>
        </is>
      </c>
      <c r="Y448" t="inlineStr">
        <is>
          <t>Collow is a modern and flexible IT e-learning platform, with which you can translate all your training, onboarding and PowerPoints into interactive e-learning. With coding challenges, quizzes and exams, you test knowledge, make your learning progress transparent and, above all, make learning more fun. Collow offers you a platform with unique options for technical training. Our code editor supports more than 100 programming languages ​​and coding assignments are automatically checked by the system. Collow supports as many workouts as you want and works on any device. No time to develop your own training courses? Our extensive network of freelance tech specialists is ready to develop your training courses. Our specialists have been selected based on technical competence and didactic skills.</t>
        </is>
      </c>
      <c r="Z448" s="1" t="inlineStr">
        <is>
          <t>https://drive.google.com/uc?export=view&amp;id=19Te_Ug2MjPmWAFGQfKj9uADqhSxc0zp4</t>
        </is>
      </c>
      <c r="AA448" s="1" t="inlineStr">
        <is>
          <t>Unverified</t>
        </is>
      </c>
      <c r="AB448" s="1" t="n"/>
      <c r="AC448" s="1" t="n"/>
      <c r="AD448" s="10" t="n"/>
      <c r="AE448" s="1" t="n"/>
      <c r="AF448" t="inlineStr">
        <is>
          <t>Yes</t>
        </is>
      </c>
      <c r="AG448" t="inlineStr">
        <is>
          <t>youngcodersnl</t>
        </is>
      </c>
      <c r="AH448" t="inlineStr">
        <is>
          <t>https://www.linkedin.com/company/youngcoders</t>
        </is>
      </c>
      <c r="AI448" t="inlineStr">
        <is>
          <t>https://www.linkedin.com/company/youngcoders</t>
        </is>
      </c>
    </row>
    <row r="449" ht="12.5" customHeight="1">
      <c r="A449" s="6" t="n">
        <v>45370</v>
      </c>
      <c r="B449" s="1" t="inlineStr">
        <is>
          <t>ORG_1510</t>
        </is>
      </c>
      <c r="C449" s="1" t="b">
        <v>1</v>
      </c>
      <c r="D449" s="1" t="inlineStr">
        <is>
          <t>Escritorio de Einstein</t>
        </is>
      </c>
      <c r="E449" s="10" t="inlineStr">
        <is>
          <t>https://escritoriodeeinstein.com/</t>
        </is>
      </c>
      <c r="F449" t="inlineStr">
        <is>
          <t>escritoriodeeinstein.com</t>
        </is>
      </c>
      <c r="G449" s="1" t="inlineStr">
        <is>
          <t>Escritorio de Einstein is an EdTech company that applies personalized methodologies to guide career decisions. Our services are aimed at young people and families in 18 Spanish-speaking countries across Hispanoamerica. Our platform incorporates scientific solutions in psychometrics, artificial intelligence, and Big Data, providing independent support to the global career guidance ecosystem.</t>
        </is>
      </c>
      <c r="H449" s="1" t="inlineStr">
        <is>
          <t>I'm not part of any EdTech association</t>
        </is>
      </c>
      <c r="I449" s="1" t="inlineStr">
        <is>
          <t>Spanish</t>
        </is>
      </c>
      <c r="J449" s="1" t="inlineStr">
        <is>
          <t>Eivissa</t>
        </is>
      </c>
      <c r="K449" t="inlineStr">
        <is>
          <t>Eivissa</t>
        </is>
      </c>
      <c r="L449" t="inlineStr">
        <is>
          <t>Eivissa, Spain</t>
        </is>
      </c>
      <c r="M449" t="n">
        <v>38.9743901</v>
      </c>
      <c r="N449" t="n">
        <v>1.4197463</v>
      </c>
      <c r="O449" s="1" t="inlineStr">
        <is>
          <t>Spain</t>
        </is>
      </c>
      <c r="P449" s="1" t="inlineStr">
        <is>
          <t>Spain</t>
        </is>
      </c>
      <c r="Q449" s="1" t="inlineStr">
        <is>
          <t>3 to 5</t>
        </is>
      </c>
      <c r="R449" t="inlineStr">
        <is>
          <t>Micro</t>
        </is>
      </c>
      <c r="S449" s="1" t="inlineStr">
        <is>
          <t>Business to Business, Business to Schools, Business to Consumer, Business to Government</t>
        </is>
      </c>
      <c r="T449" s="1" t="inlineStr">
        <is>
          <t>Secondary Education, Vocational Education and Training (VET)</t>
        </is>
      </c>
      <c r="U449" s="1" t="inlineStr">
        <is>
          <t>System/Administrative, Student interfacing</t>
        </is>
      </c>
      <c r="V449" s="10" t="inlineStr">
        <is>
          <t>Plan Career</t>
        </is>
      </c>
      <c r="W449" s="1" t="inlineStr">
        <is>
          <t>Personalized guidance for identifying career options includes assessments, study options, and an individualized plan.</t>
        </is>
      </c>
      <c r="X449" s="10" t="inlineStr">
        <is>
          <t>Plan University</t>
        </is>
      </c>
      <c r="Y449" t="inlineStr">
        <is>
          <t>Personalized guidance for university admission at a global level, including the process, document preparation, and connection with the institution to secure admission.</t>
        </is>
      </c>
      <c r="Z449" s="1" t="inlineStr">
        <is>
          <t>https://drive.google.com/uc?export=view&amp;id=1JZPvT7sKx3iJanbBRUE4Bgan0SqcaWsp</t>
        </is>
      </c>
      <c r="AA449" s="1" t="inlineStr">
        <is>
          <t>Unverified</t>
        </is>
      </c>
      <c r="AB449" s="1" t="n"/>
      <c r="AC449" s="1" t="n"/>
      <c r="AD449" s="10" t="n"/>
      <c r="AE449" s="1" t="n"/>
      <c r="AF449" s="1" t="inlineStr">
        <is>
          <t>Yes</t>
        </is>
      </c>
      <c r="AG449" s="1" t="inlineStr">
        <is>
          <t>https://www.instagram.com/escritoriodeeinstein/</t>
        </is>
      </c>
      <c r="AH449" s="1" t="inlineStr">
        <is>
          <t>https://www.linkedin.com/company/elescritoriodeeinstein</t>
        </is>
      </c>
      <c r="AI449" t="inlineStr">
        <is>
          <t>https://www.linkedin.com/company/elescritoriodeeinstein</t>
        </is>
      </c>
    </row>
    <row r="450" ht="12.5" customHeight="1">
      <c r="A450" s="6" t="n">
        <v>45370</v>
      </c>
      <c r="B450" s="1" t="inlineStr">
        <is>
          <t>ORG_1512</t>
        </is>
      </c>
      <c r="C450" s="1" t="b">
        <v>1</v>
      </c>
      <c r="D450" s="1" t="inlineStr">
        <is>
          <t>Escuelas Visuales</t>
        </is>
      </c>
      <c r="E450" s="10" t="inlineStr">
        <is>
          <t>www.escuelasvisuales.com</t>
        </is>
      </c>
      <c r="F450" t="inlineStr">
        <is>
          <t>escuelasvisuales.com</t>
        </is>
      </c>
      <c r="G450" s="1" t="inlineStr">
        <is>
          <t>Escuelas Visuales is a program for K12 schools aiming to advance in catering to the diversity of their students and achieve inclusive education within their institution. This is done by integrating visual tools into everyday classroom activities for all children. Already, over 3,200 teachers have successfully implemented it!
The program advocates for the incorporation of 7 tools in all classrooms of the school, along with training a coordinator. Personalized guidance is provided throughout the process. The goal is to have visual schedules, sequences, social stories, stories with pictograms, visual thinking, visual maps, and signage fully integrated by the end of the program.
The program encompasses training in the aforementioned tools, access to a platform with materials and resources, as well as personalized guidance. For more information, you can visit the website www.escuelasvisuales.com.</t>
        </is>
      </c>
      <c r="H450" s="1" t="inlineStr">
        <is>
          <t>I'm not part of any EdTech association</t>
        </is>
      </c>
      <c r="I450" s="1" t="inlineStr">
        <is>
          <t>Spanish</t>
        </is>
      </c>
      <c r="J450" s="1" t="inlineStr">
        <is>
          <t>Barcelona</t>
        </is>
      </c>
      <c r="K450" t="inlineStr">
        <is>
          <t>Barcelona</t>
        </is>
      </c>
      <c r="L450" t="inlineStr">
        <is>
          <t>Barcelona, Spain</t>
        </is>
      </c>
      <c r="M450" t="n">
        <v>41.3825802</v>
      </c>
      <c r="N450" t="n">
        <v>2.177073</v>
      </c>
      <c r="O450" s="1" t="inlineStr">
        <is>
          <t>Spain</t>
        </is>
      </c>
      <c r="P450" s="1" t="inlineStr">
        <is>
          <t>Spain</t>
        </is>
      </c>
      <c r="Q450" s="1" t="inlineStr">
        <is>
          <t>0 to 2</t>
        </is>
      </c>
      <c r="R450" t="inlineStr">
        <is>
          <t>Solo entrepreneur</t>
        </is>
      </c>
      <c r="S450" s="1" t="inlineStr">
        <is>
          <t>Business to Business, Business to Schools, Business to Consumer, Business to Government</t>
        </is>
      </c>
      <c r="T450" s="1" t="inlineStr">
        <is>
          <t>Early childhood development (0-5 years), Primary Education</t>
        </is>
      </c>
      <c r="U450" s="1" t="inlineStr">
        <is>
          <t>Teacher interfacing</t>
        </is>
      </c>
      <c r="V450" s="1" t="inlineStr">
        <is>
          <t>Escuelas Visuales</t>
        </is>
      </c>
      <c r="W450" s="1" t="inlineStr">
        <is>
          <t>The program Escuelas Visuales advocates for the incorporation of 7 tools in all classrooms of the school. Personalized guidance is provided throughout the process, as each school may have a different starting point. The goal is to have visual schedules, sequences, social stories, stories with pictograms, visual thinking, visual maps, and signage fully integrated by the end of the program, and included in the Center's Plan.</t>
        </is>
      </c>
      <c r="X450" s="1" t="inlineStr">
        <is>
          <t>https://drive.google.com/uc?export=view&amp;id=1HDwuXEvEurOey4O4ddUewnLkluViiI8V</t>
        </is>
      </c>
      <c r="Y450" t="inlineStr">
        <is>
          <t>https://drive.google.com/uc?export=view&amp;id=1HDwuXEvEurOey4O4ddUewnLkluViiI8V</t>
        </is>
      </c>
      <c r="Z450" s="1" t="inlineStr">
        <is>
          <t>https://drive.google.com/uc?export=view&amp;id=1HDwuXEvEurOey4O4ddUewnLkluViiI8V</t>
        </is>
      </c>
      <c r="AA450" s="1" t="inlineStr">
        <is>
          <t>Unverified</t>
        </is>
      </c>
      <c r="AB450" s="1" t="n"/>
      <c r="AC450" s="1" t="n"/>
      <c r="AD450" s="10" t="n"/>
      <c r="AE450" s="1" t="n"/>
      <c r="AF450" t="inlineStr">
        <is>
          <t>No</t>
        </is>
      </c>
    </row>
    <row r="451" ht="12.5" customHeight="1">
      <c r="A451" s="6" t="n">
        <v>45370</v>
      </c>
      <c r="B451" s="1" t="inlineStr">
        <is>
          <t>ORG_1582</t>
        </is>
      </c>
      <c r="C451" s="1" t="b">
        <v>1</v>
      </c>
      <c r="D451" s="1" t="inlineStr">
        <is>
          <t>Foxize</t>
        </is>
      </c>
      <c r="E451" s="10" t="inlineStr">
        <is>
          <t>https://www.foxize.com/en/</t>
        </is>
      </c>
      <c r="F451" t="inlineStr">
        <is>
          <t>foxize.com/en</t>
        </is>
      </c>
      <c r="G451" s="1" t="inlineStr">
        <is>
          <t>Foxize is an EdTech with its own framework that helps to create and develop customized training projects:
- Our own SaaS LMS, Foxize Cloud.
- Data with the largest benchmark for organizational diagnostics.
- Our own catalog of online courses (mainly soft skills).
- Learning Analytics to measure and improve corporate training.
- And working methodology to design, develop and implement training projects.</t>
        </is>
      </c>
      <c r="H451" s="1" t="inlineStr">
        <is>
          <t>I'm not part of any EdTech association</t>
        </is>
      </c>
      <c r="I451" s="1" t="inlineStr">
        <is>
          <t>Spanish, English</t>
        </is>
      </c>
      <c r="J451" s="1" t="inlineStr">
        <is>
          <t>Barcelona</t>
        </is>
      </c>
      <c r="K451" t="inlineStr">
        <is>
          <t>Barcelona</t>
        </is>
      </c>
      <c r="L451" t="inlineStr">
        <is>
          <t>Barcelona, Spain</t>
        </is>
      </c>
      <c r="M451" t="n">
        <v>41.3825802</v>
      </c>
      <c r="N451" t="n">
        <v>2.177073</v>
      </c>
      <c r="O451" s="1" t="inlineStr">
        <is>
          <t>Spain</t>
        </is>
      </c>
      <c r="P45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451" s="1" t="inlineStr">
        <is>
          <t>11 to 50</t>
        </is>
      </c>
      <c r="R451" t="inlineStr">
        <is>
          <t>Small</t>
        </is>
      </c>
      <c r="S451" s="1" t="inlineStr">
        <is>
          <t>Business to Business, Business to Schools, Business to Government</t>
        </is>
      </c>
      <c r="T451" s="1" t="inlineStr">
        <is>
          <t>Corporate Training</t>
        </is>
      </c>
      <c r="U451" s="1" t="inlineStr">
        <is>
          <t>System/Administrative, Student interfacing</t>
        </is>
      </c>
      <c r="V451" s="1" t="inlineStr">
        <is>
          <t>Foxize Cloud LMS</t>
        </is>
      </c>
      <c r="W451" s="10" t="inlineStr">
        <is>
          <t>Learning Tech for corporate training. 
An LMS A platform that allows you to create and manage training quickly and without the need for technical knowledge.
- For companies that have their own management team and are looking for a tool to get started instantly.
- For companies that want to carry out large customized projects and require our help for development and management.</t>
        </is>
      </c>
      <c r="X451" s="10" t="inlineStr">
        <is>
          <t>Foxize Learning Analytics</t>
        </is>
      </c>
      <c r="Y451" t="inlineStr">
        <is>
          <t>Data is the best ally for your training projects.
With learning analytics, you can analyze the behavior of your participants, measure the learning evolution and optimize the training offer at the level of the learner and the group.</t>
        </is>
      </c>
      <c r="Z451" s="1" t="inlineStr">
        <is>
          <t>https://drive.google.com/uc?export=view&amp;id=1xBbeclGTrARFLeDzyPo2Cxmjn9THMK68</t>
        </is>
      </c>
      <c r="AA451" s="1" t="inlineStr">
        <is>
          <t>Unverified</t>
        </is>
      </c>
      <c r="AB451" s="1" t="n"/>
      <c r="AC451" s="1" t="n"/>
      <c r="AD451" s="10" t="n"/>
      <c r="AE451" s="1" t="n"/>
      <c r="AF451" t="inlineStr">
        <is>
          <t>Yes</t>
        </is>
      </c>
      <c r="AG451" t="inlineStr">
        <is>
          <t>https://twitter.com/foxize</t>
        </is>
      </c>
      <c r="AH451" t="inlineStr">
        <is>
          <t>https://twitter.com/foxize</t>
        </is>
      </c>
      <c r="AI451" t="inlineStr">
        <is>
          <t>https://www.linkedin.com/company/foxize-school</t>
        </is>
      </c>
    </row>
    <row r="452" ht="12.5" customHeight="1">
      <c r="A452" s="6" t="n">
        <v>45370</v>
      </c>
      <c r="B452" s="1" t="inlineStr">
        <is>
          <t>ORG_1644</t>
        </is>
      </c>
      <c r="C452" s="1" t="b">
        <v>1</v>
      </c>
      <c r="D452" s="1" t="inlineStr">
        <is>
          <t>Great Little People</t>
        </is>
      </c>
      <c r="E452" s="10" t="inlineStr">
        <is>
          <t>https://greatlittlepeople.com/</t>
        </is>
      </c>
      <c r="F452" t="inlineStr">
        <is>
          <t>greatlittlepeople.com</t>
        </is>
      </c>
      <c r="G452" s="1" t="inlineStr">
        <is>
          <t>Great Little People is an English methodology specialised in early years from 1 to 8 years old. We are committed to innovation in early childhood education, the most important age for learning a language. We have a blended model that combines real classroom experiences with digital and interactive ones, also connected at home. We are present in Spain and Latin America.</t>
        </is>
      </c>
      <c r="H452" s="1" t="inlineStr">
        <is>
          <t>SEK Lab</t>
        </is>
      </c>
      <c r="I452" s="1" t="inlineStr">
        <is>
          <t>Spanish, English</t>
        </is>
      </c>
      <c r="J452" s="1" t="inlineStr">
        <is>
          <t>Madrid</t>
        </is>
      </c>
      <c r="K452" t="inlineStr">
        <is>
          <t>Madrid</t>
        </is>
      </c>
      <c r="L452" t="inlineStr">
        <is>
          <t>Madrid, Spain</t>
        </is>
      </c>
      <c r="M452" t="n">
        <v>40.416782</v>
      </c>
      <c r="N452" t="n">
        <v>-3.703507</v>
      </c>
      <c r="O452" s="1" t="inlineStr">
        <is>
          <t>Spain</t>
        </is>
      </c>
      <c r="P452" s="1" t="inlineStr">
        <is>
          <t>Spain</t>
        </is>
      </c>
      <c r="Q452" s="1" t="inlineStr">
        <is>
          <t>6 to 10</t>
        </is>
      </c>
      <c r="R452" t="inlineStr">
        <is>
          <t>Micro</t>
        </is>
      </c>
      <c r="S452" s="1" t="inlineStr">
        <is>
          <t>Business to Business, Business to Consumer, Business to Government</t>
        </is>
      </c>
      <c r="T452" s="1" t="inlineStr">
        <is>
          <t>Early childhood development (0-5 years)</t>
        </is>
      </c>
      <c r="U452" s="1" t="inlineStr">
        <is>
          <t>Student interfacing, Teacher interfacing</t>
        </is>
      </c>
      <c r="V452" s="10" t="inlineStr">
        <is>
          <t>Great Little People</t>
        </is>
      </c>
      <c r="W452" s="1" t="inlineStr">
        <is>
          <t>English method with:
- Educational Resources KIT: Attractive materials for children and teachers to develop an active and manipulative methodology. 
- Digital Books: +1,000 interactive resources adapted by age and unit for use on digital boards and tablets.
- APP Great Little World: Educational APP for children's autonomous learning at home connected in objectives and contents.
- Teachers platform: Training campus, lesson plan, educational guides, practical videos, support &amp; new materials.</t>
        </is>
      </c>
      <c r="X452" s="10" t="inlineStr">
        <is>
          <t>https://drive.google.com/uc?export=view&amp;id=1oD5JNu59mqjNTbM4Sz7KQpnao1m9UQzI</t>
        </is>
      </c>
      <c r="Y452" t="inlineStr">
        <is>
          <t>https://drive.google.com/uc?export=view&amp;id=1oD5JNu59mqjNTbM4Sz7KQpnao1m9UQzI</t>
        </is>
      </c>
      <c r="Z452" s="1" t="inlineStr">
        <is>
          <t>https://drive.google.com/uc?export=view&amp;id=1oD5JNu59mqjNTbM4Sz7KQpnao1m9UQzI</t>
        </is>
      </c>
      <c r="AA452" s="1" t="inlineStr">
        <is>
          <t>Unverified</t>
        </is>
      </c>
      <c r="AB452" s="1" t="n"/>
      <c r="AC452" s="1" t="n"/>
      <c r="AD452" s="10" t="n"/>
      <c r="AE452" s="1" t="n"/>
      <c r="AF452" t="inlineStr">
        <is>
          <t>Yes</t>
        </is>
      </c>
      <c r="AG452" t="inlineStr">
        <is>
          <t>https://www.instagram.com/great_little_people/?hl=es</t>
        </is>
      </c>
      <c r="AH452" t="inlineStr">
        <is>
          <t>https://www.linkedin.com/company/14058095/admin/feed/posts/</t>
        </is>
      </c>
      <c r="AI452" t="inlineStr">
        <is>
          <t>https://www.linkedin.com/company/14058095/admin/feed/posts/</t>
        </is>
      </c>
    </row>
    <row r="453" ht="12.5" customHeight="1">
      <c r="A453" s="6" t="n">
        <v>45370</v>
      </c>
      <c r="B453" s="1" t="inlineStr">
        <is>
          <t>ORG_1710</t>
        </is>
      </c>
      <c r="C453" s="1" t="b">
        <v>1</v>
      </c>
      <c r="D453" s="1" t="inlineStr">
        <is>
          <t>ILIKE.EDUCATION</t>
        </is>
      </c>
      <c r="E453" s="10" t="inlineStr">
        <is>
          <t>http://ilike.education</t>
        </is>
      </c>
      <c r="F453" t="inlineStr">
        <is>
          <t>ilike.education</t>
        </is>
      </c>
      <c r="G453" s="1" t="inlineStr">
        <is>
          <t>We serve EdTech companies to improve the customer experience by creating new products, optimizing services, getting new customers and increasing loyalty.</t>
        </is>
      </c>
      <c r="H453" s="1" t="inlineStr">
        <is>
          <t>EduTech Cluster Spain</t>
        </is>
      </c>
      <c r="I453" s="1" t="inlineStr">
        <is>
          <t>Spanish, English</t>
        </is>
      </c>
      <c r="J453" s="1" t="inlineStr">
        <is>
          <t>Madrid</t>
        </is>
      </c>
      <c r="K453" t="inlineStr">
        <is>
          <t>Madrid</t>
        </is>
      </c>
      <c r="L453" t="inlineStr">
        <is>
          <t>Madrid, Spain</t>
        </is>
      </c>
      <c r="M453" t="n">
        <v>40.416782</v>
      </c>
      <c r="N453" t="n">
        <v>-3.703507</v>
      </c>
      <c r="O453" s="1" t="inlineStr">
        <is>
          <t>Spain</t>
        </is>
      </c>
      <c r="P453" s="1" t="inlineStr">
        <is>
          <t>Andorra, Spain</t>
        </is>
      </c>
      <c r="Q453" s="1" t="inlineStr">
        <is>
          <t>3 to 5</t>
        </is>
      </c>
      <c r="R453" t="inlineStr">
        <is>
          <t>Micro</t>
        </is>
      </c>
      <c r="S453" s="1" t="inlineStr">
        <is>
          <t>Business to Business, Business to Schools, Business to Government</t>
        </is>
      </c>
      <c r="T453" s="1" t="inlineStr">
        <is>
          <t>Corporate Training, Lifelong learning/Adult education, Vocational Education and Training (VET), Higher Education</t>
        </is>
      </c>
      <c r="U453" s="1" t="inlineStr">
        <is>
          <t>System/Administrative, Student interfacing</t>
        </is>
      </c>
      <c r="V453" s="1" t="inlineStr">
        <is>
          <t>EdTech innovation service</t>
        </is>
      </c>
      <c r="W453" s="1" t="inlineStr">
        <is>
          <t>We are the innovation team of our clients. We work with your teachers to improve the quality of your learning content and proceses.</t>
        </is>
      </c>
      <c r="X453" s="10" t="inlineStr">
        <is>
          <t>Marketing and sales team</t>
        </is>
      </c>
      <c r="Y453" t="inlineStr">
        <is>
          <t>We are our client's marketing and sales team. We know the Spanish and Latam market. We distribute your product in our countries.</t>
        </is>
      </c>
      <c r="Z453" s="1" t="inlineStr">
        <is>
          <t>https://drive.google.com/uc?export=view&amp;id=1mjgpr3RTHqf6DFg96VqeXUO9XXJrdE3F</t>
        </is>
      </c>
      <c r="AA453" s="1" t="inlineStr">
        <is>
          <t>Unverified</t>
        </is>
      </c>
      <c r="AB453" s="1" t="n"/>
      <c r="AC453" s="1" t="n"/>
      <c r="AD453" s="10" t="n"/>
      <c r="AE453" s="1" t="n"/>
      <c r="AF453" t="inlineStr">
        <is>
          <t>Yes</t>
        </is>
      </c>
      <c r="AG453" t="inlineStr">
        <is>
          <t>https://www.linkedin.com/company/67935195</t>
        </is>
      </c>
      <c r="AH453" t="inlineStr">
        <is>
          <t>https://www.linkedin.com/company/67935195</t>
        </is>
      </c>
      <c r="AI453" t="inlineStr">
        <is>
          <t>https://www.linkedin.com/company/67935195</t>
        </is>
      </c>
    </row>
    <row r="454" ht="12.5" customHeight="1">
      <c r="A454" s="6" t="n">
        <v>45370</v>
      </c>
      <c r="B454" s="1" t="inlineStr">
        <is>
          <t>ORG_2136</t>
        </is>
      </c>
      <c r="C454" s="1" t="b">
        <v>1</v>
      </c>
      <c r="D454" s="1" t="inlineStr">
        <is>
          <t>PUPIL</t>
        </is>
      </c>
      <c r="E454" s="10" t="inlineStr">
        <is>
          <t>www.pupil.ch</t>
        </is>
      </c>
      <c r="F454" t="inlineStr">
        <is>
          <t>pupil.ch</t>
        </is>
      </c>
      <c r="G454" s="1" t="inlineStr">
        <is>
          <t>Pupil AG is a leading provider of school management software with the claim to use the opportunities of digitalisation to simplify everyday life at schools.
With PUPIL, all the requirements of everyday school life can be solved from a single source. PUPIL is THE all-in-one solution for school administration, assessment and communication.
PUPIL emerged from the needs of teachers in 2013. As a result of rapid growth, the business activities were transferred to the current public limited company in 2019. PUPIL is headquartered in St. Gallen/Switzerland and currently employs around 45 people, many of them with an educational backpack. PUPIL has been part of the Sdui Group since 2022.</t>
        </is>
      </c>
      <c r="H454" s="1" t="inlineStr">
        <is>
          <t>I'm not part of any EdTech association</t>
        </is>
      </c>
      <c r="I454" s="1" t="inlineStr">
        <is>
          <t>German</t>
        </is>
      </c>
      <c r="J454" s="1" t="inlineStr">
        <is>
          <t>Lerchenfeldstrasse 3</t>
        </is>
      </c>
      <c r="L454" t="inlineStr">
        <is>
          <t>Lerchenfeldstrasse 3, Switzerland</t>
        </is>
      </c>
      <c r="O454" s="1" t="inlineStr">
        <is>
          <t>Switzerland</t>
        </is>
      </c>
      <c r="P454" s="1" t="inlineStr">
        <is>
          <t>Germany, Switzerland</t>
        </is>
      </c>
      <c r="Q454" s="1" t="inlineStr">
        <is>
          <t>11 to 50</t>
        </is>
      </c>
      <c r="R454" t="inlineStr">
        <is>
          <t>Small</t>
        </is>
      </c>
      <c r="S454" s="1" t="inlineStr">
        <is>
          <t>Business to Business, Business to Government</t>
        </is>
      </c>
      <c r="T454" s="1" t="inlineStr">
        <is>
          <t>Primary Education, Secondary Education</t>
        </is>
      </c>
      <c r="U454" s="1" t="inlineStr">
        <is>
          <t>System/Administrative, Student interfacing, Teacher interfacing</t>
        </is>
      </c>
      <c r="V454" s="1" t="inlineStr">
        <is>
          <t>https://www.linkedin.com/company/pupil-ag</t>
        </is>
      </c>
      <c r="W454" s="1" t="inlineStr">
        <is>
          <t>https://drive.google.com/uc?export=view&amp;id=1IFrfUvM7vAdtoZSg7mL-aqelyVeVyDd4</t>
        </is>
      </c>
      <c r="X454" s="10" t="inlineStr">
        <is>
          <t>https://drive.google.com/uc?export=view&amp;id=1IFrfUvM7vAdtoZSg7mL-aqelyVeVyDd4</t>
        </is>
      </c>
      <c r="Y454" t="inlineStr">
        <is>
          <t>https://drive.google.com/uc?export=view&amp;id=1IFrfUvM7vAdtoZSg7mL-aqelyVeVyDd4</t>
        </is>
      </c>
      <c r="Z454" s="1" t="inlineStr">
        <is>
          <t>https://drive.google.com/uc?export=view&amp;id=1IFrfUvM7vAdtoZSg7mL-aqelyVeVyDd4</t>
        </is>
      </c>
      <c r="AA454" s="1" t="inlineStr">
        <is>
          <t>Unverified</t>
        </is>
      </c>
      <c r="AB454" s="1" t="n"/>
      <c r="AC454" s="1" t="n"/>
      <c r="AD454" s="10" t="n"/>
      <c r="AE454" s="1" t="n"/>
      <c r="AF454" t="inlineStr">
        <is>
          <t>Yes</t>
        </is>
      </c>
      <c r="AG454" t="inlineStr">
        <is>
          <t>https://www.linkedin.com/company/pupil-ag</t>
        </is>
      </c>
      <c r="AH454" t="inlineStr">
        <is>
          <t>https://www.linkedin.com/company/pupil-ag</t>
        </is>
      </c>
      <c r="AI454" t="inlineStr">
        <is>
          <t>https://www.linkedin.com/company/pupil-ag</t>
        </is>
      </c>
    </row>
    <row r="455" ht="12.5" customHeight="1">
      <c r="A455" s="6" t="n">
        <v>45370</v>
      </c>
      <c r="B455" s="1" t="inlineStr">
        <is>
          <t>ORG_2435</t>
        </is>
      </c>
      <c r="C455" s="1" t="b">
        <v>1</v>
      </c>
      <c r="D455" s="1" t="inlineStr">
        <is>
          <t>Turisteach</t>
        </is>
      </c>
      <c r="E455" s="10" t="inlineStr">
        <is>
          <t>https://escuelaturisteach.com/</t>
        </is>
      </c>
      <c r="F455" t="inlineStr">
        <is>
          <t>escuelaturisteach.com</t>
        </is>
      </c>
      <c r="G455" s="1" t="inlineStr">
        <is>
          <t>The Online School of the Tourism Sector
The community, where teachers and students grow together.
Learn everything about the tourism sector, at your pace, with the best professionals.</t>
        </is>
      </c>
      <c r="H455" s="1" t="inlineStr">
        <is>
          <t>I'm not part of any EdTech association</t>
        </is>
      </c>
      <c r="I455" s="1" t="inlineStr">
        <is>
          <t>Spanish</t>
        </is>
      </c>
      <c r="J455" s="1" t="inlineStr">
        <is>
          <t>Santa Cruz De Tenerife</t>
        </is>
      </c>
      <c r="K455" t="inlineStr">
        <is>
          <t>Santa Cruz De Tenerife</t>
        </is>
      </c>
      <c r="L455" t="inlineStr">
        <is>
          <t>Santa Cruz De Tenerife, Spain</t>
        </is>
      </c>
      <c r="M455" t="n">
        <v>28.467178</v>
      </c>
      <c r="N455" t="n">
        <v>-16.2507843</v>
      </c>
      <c r="O455" s="1" t="inlineStr">
        <is>
          <t>Spain</t>
        </is>
      </c>
      <c r="P45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455" s="1" t="inlineStr">
        <is>
          <t>0 to 2</t>
        </is>
      </c>
      <c r="R455" t="inlineStr">
        <is>
          <t>Solo entrepreneur</t>
        </is>
      </c>
      <c r="S455" s="1" t="inlineStr">
        <is>
          <t>Business to Business, Business to Schools, Business to Consumer, Business to Government</t>
        </is>
      </c>
      <c r="T455" s="1" t="inlineStr">
        <is>
          <t>Corporate Training</t>
        </is>
      </c>
      <c r="U455" s="1" t="inlineStr">
        <is>
          <t>Student interfacing, System/Administrative</t>
        </is>
      </c>
      <c r="V455" s="10" t="inlineStr">
        <is>
          <t>Subscription</t>
        </is>
      </c>
      <c r="W455" s="1" t="inlineStr">
        <is>
          <t>Choose the plan that best suits your pace</t>
        </is>
      </c>
      <c r="X455" s="10" t="inlineStr">
        <is>
          <t>Turisteach Courses - One Shot</t>
        </is>
      </c>
      <c r="Y455" t="inlineStr">
        <is>
          <t>Independent courses. Choose your favorite.</t>
        </is>
      </c>
      <c r="Z455" s="1" t="inlineStr">
        <is>
          <t>https://drive.google.com/uc?export=view&amp;id=1xa19r25apnM60W3YqUo7D5lppSAJr52K</t>
        </is>
      </c>
      <c r="AA455" s="1" t="inlineStr">
        <is>
          <t>Unverified</t>
        </is>
      </c>
      <c r="AB455" s="1" t="n"/>
      <c r="AC455" s="1" t="n"/>
      <c r="AD455" s="10" t="n"/>
      <c r="AE455" s="1" t="n"/>
      <c r="AF455" t="inlineStr">
        <is>
          <t>Yes</t>
        </is>
      </c>
      <c r="AG455" t="inlineStr">
        <is>
          <t>https://www.instagram.com/turisteach/?hl=es</t>
        </is>
      </c>
      <c r="AH455" t="inlineStr">
        <is>
          <t>https://www.linkedin.com/company/89635760</t>
        </is>
      </c>
      <c r="AI455" t="inlineStr">
        <is>
          <t>https://www.linkedin.com/company/89635760</t>
        </is>
      </c>
    </row>
    <row r="456" ht="12.5" customHeight="1">
      <c r="A456" s="6" t="n">
        <v>45370</v>
      </c>
      <c r="B456" s="1" t="inlineStr">
        <is>
          <t>ORG_1013</t>
        </is>
      </c>
      <c r="C456" s="1" t="b">
        <v>1</v>
      </c>
      <c r="D456" s="1" t="inlineStr">
        <is>
          <t>4Geeks Academy Europe</t>
        </is>
      </c>
      <c r="E456" s="10" t="inlineStr">
        <is>
          <t>https://4geeksacademy.com/</t>
        </is>
      </c>
      <c r="F456" t="inlineStr">
        <is>
          <t>4geeksacademy.com</t>
        </is>
      </c>
      <c r="G456" s="1" t="inlineStr">
        <is>
          <t>4Geeks Academy Europa is an intensive coding bootcamp that originated in the United States in 2015 and expanded to Latin America. In 2020, Marco and Victor Gomez founded and expanded the school in Europe, changing the entire business model to a 100% remote school. The school was launched in Spain on March 11, 2020, just three days before the lockdown, and had to quickly restructure its training to a remote format. To support the #stayathome initiative in Spain, 4Geeks Academy Europa offered free training to 100 people. The school has since offered scholarships worth over €1,000,000 in Europe, Africa, and America. In 2023, 4Geeks Academy Europa became a subsidiary of 4Geeks LLC (Headquarters) after experiencing a 600% growth between 2020 and 2022, with a positive EBITDA and contributing 30% of the revenue of all 4Geeks establishments in America.
The value proposition of 4Geeks Academy: 
- Lifetime and unlimited mentorship
- Lifetime and unlimited careersupport
- Lifetime and unlimited continuous education
- Social impact scholarships.</t>
        </is>
      </c>
      <c r="H456" s="1" t="inlineStr">
        <is>
          <t>I'm not part of any EdTech association</t>
        </is>
      </c>
      <c r="I456" s="1" t="inlineStr">
        <is>
          <t>English, Spanish</t>
        </is>
      </c>
      <c r="J456" s="1" t="inlineStr">
        <is>
          <t>Madrid</t>
        </is>
      </c>
      <c r="K456" t="inlineStr">
        <is>
          <t>Madrid</t>
        </is>
      </c>
      <c r="L456" t="inlineStr">
        <is>
          <t>Madrid, Spain</t>
        </is>
      </c>
      <c r="M456" t="n">
        <v>40.416782</v>
      </c>
      <c r="N456" t="n">
        <v>-3.703507</v>
      </c>
      <c r="O456" s="1" t="inlineStr">
        <is>
          <t>Spain</t>
        </is>
      </c>
      <c r="P456" s="1" t="inlineStr">
        <is>
          <t>Germany, Portugal, Spain</t>
        </is>
      </c>
      <c r="Q456" s="1" t="inlineStr">
        <is>
          <t>6 to 10</t>
        </is>
      </c>
      <c r="R456" t="inlineStr">
        <is>
          <t>Micro</t>
        </is>
      </c>
      <c r="S456" s="1" t="inlineStr">
        <is>
          <t>Business to Business</t>
        </is>
      </c>
      <c r="T456" s="1" t="inlineStr">
        <is>
          <t>Lifelong learning/Adult education, Vocational Education and Training (VET), Higher Education</t>
        </is>
      </c>
      <c r="U456" s="1" t="inlineStr">
        <is>
          <t>Student interfacing</t>
        </is>
      </c>
      <c r="V456" s="10" t="inlineStr">
        <is>
          <t>Full-Stack Software Development Program</t>
        </is>
      </c>
      <c r="W456" s="10" t="inlineStr">
        <is>
          <t>Learn the most sought-after and highest-paid technologies and become a pro at building websites. Python and JavaScript developers are consistently in demand, making them the top programming languages to master in 2023.
Code in a web development language, learn algorithm scripting and build awesome apps using front-end libraries. Utilize APIs to consume data and enhance your app's functionality.
Finalize the program by developing and presenting your own project, gaining game-changing hands-on experience.
Reshape your mindset and embrace the programming, logic, and research skills to succeed in the tech industry.</t>
        </is>
      </c>
      <c r="X456" s="10" t="inlineStr">
        <is>
          <t>Data Science and Machine Learning Program</t>
        </is>
      </c>
      <c r="Y456" t="inlineStr">
        <is>
          <t>Learn Python, SQL, Looker (Google Data Studio), Streamlit, and Statistics and become a professional Data Analyst, ready to contribute to any data-driven team at any company.
Create predictive models using Python, Pandas, Numpy, and other powerful libraries. Explore algorithms like Close Neighbors, Decision Trees, and more. Work with supervised and unsupervised learning models.
Practice solving real-life cases, and learn to tackle the type of challenges you’ll encounter in your career. Master the use of industry-standard tools.
Strategize and develop your own A.I. projects, following the complete lifecycle from development to deployment and maintenance, ensuring privacy and security.</t>
        </is>
      </c>
      <c r="Z456" s="1" t="inlineStr">
        <is>
          <t>https://drive.google.com/uc?export=view&amp;id=1hGryxjgZt9uqi7LuGcqPN-pZ1p2HryvD</t>
        </is>
      </c>
      <c r="AA456" s="1" t="inlineStr">
        <is>
          <t>Unverified</t>
        </is>
      </c>
      <c r="AB456" s="1" t="n"/>
      <c r="AC456" s="1" t="n"/>
      <c r="AD456" s="10" t="n"/>
      <c r="AE456" s="1" t="n"/>
      <c r="AF456" t="inlineStr">
        <is>
          <t>Yes</t>
        </is>
      </c>
      <c r="AG456" t="inlineStr">
        <is>
          <t>https://instagram.com/4geeksacademyes</t>
        </is>
      </c>
      <c r="AH456" t="inlineStr">
        <is>
          <t>https://twitter.com/4geeksacademyes</t>
        </is>
      </c>
      <c r="AI456" t="inlineStr">
        <is>
          <t>https://www.linkedin.com/school/4geeksacademyes/</t>
        </is>
      </c>
    </row>
    <row r="457" ht="12.5" customHeight="1">
      <c r="A457" s="6" t="n">
        <v>45370</v>
      </c>
      <c r="B457" s="1" t="inlineStr">
        <is>
          <t>ORG_1133</t>
        </is>
      </c>
      <c r="C457" s="1" t="b">
        <v>1</v>
      </c>
      <c r="D457" s="1" t="inlineStr">
        <is>
          <t>b-resol</t>
        </is>
      </c>
      <c r="E457" s="10" t="inlineStr">
        <is>
          <t>https://b-resol.com</t>
        </is>
      </c>
      <c r="F457" t="inlineStr">
        <is>
          <t>b-resol.com</t>
        </is>
      </c>
      <c r="G457" s="1" t="inlineStr">
        <is>
          <t>b-resol is a whistleblowing management system just designed for Schools.
b-resol allows Schools' Compliance.
b-resol allows children to speak-up.
Using mobile technology as an innovative element, so that they can alert the situation, both victims and observers, immediately, safely and from any place and time. b-resol is a project that unites social conscience with technological innovation. 
b-resol is a solution to combat bullying, cyberbullying, harassment, eating disorders and any type of conflict among adolescents.
#stopbullying #childsafeguarding #compliance</t>
        </is>
      </c>
      <c r="H457" s="1" t="inlineStr">
        <is>
          <t>EduTech Cluster Spain, SEK Lab</t>
        </is>
      </c>
      <c r="I457" s="1" t="inlineStr">
        <is>
          <t>English, French, Spanish, Catalan, Basque</t>
        </is>
      </c>
      <c r="J457" s="1" t="inlineStr">
        <is>
          <t>Barcelona</t>
        </is>
      </c>
      <c r="K457" t="inlineStr">
        <is>
          <t>Barcelona</t>
        </is>
      </c>
      <c r="L457" t="inlineStr">
        <is>
          <t>Barcelona, Spain</t>
        </is>
      </c>
      <c r="M457" t="n">
        <v>41.3825802</v>
      </c>
      <c r="N457" t="n">
        <v>2.177073</v>
      </c>
      <c r="O457" s="1" t="inlineStr">
        <is>
          <t>Spain</t>
        </is>
      </c>
      <c r="P457" s="1" t="inlineStr">
        <is>
          <t>Andorra, France, Italy, Portugal, Spain</t>
        </is>
      </c>
      <c r="Q457" s="1" t="inlineStr">
        <is>
          <t>3 to 5</t>
        </is>
      </c>
      <c r="R457" t="inlineStr">
        <is>
          <t>Micro</t>
        </is>
      </c>
      <c r="S457" s="1" t="inlineStr">
        <is>
          <t>Business to Business</t>
        </is>
      </c>
      <c r="T457" s="1" t="inlineStr">
        <is>
          <t>Secondary Education, Higher Education</t>
        </is>
      </c>
      <c r="U457" s="1" t="inlineStr">
        <is>
          <t>System/Administrative</t>
        </is>
      </c>
      <c r="V457" s="10" t="inlineStr">
        <is>
          <t>b-resol</t>
        </is>
      </c>
      <c r="W457" s="10" t="inlineStr">
        <is>
          <t>b-resol is a whistleblowing management system just designed for Schools.
b-resol allows Schools' Compliance.
b-resol allows children to speak-up.
Using mobile technology as an innovative element, so that they can alert the situation, both victims and observers, immediately, safely and from any place and time. b-resol is a project that unites social conscience with technological innovation. 
b-resol is a solution to combat bullying, cyberbullying, harassment, eating disorders and any type of conflict among adolescents.</t>
        </is>
      </c>
      <c r="X457" s="10" t="inlineStr">
        <is>
          <t>co-resol</t>
        </is>
      </c>
      <c r="Y457" t="inlineStr">
        <is>
          <t>co-resol is a whistleblowing management system for any kind of organizations, including Schools and Universities
co-resol allows Organizations' Compliance.
co-resol allows employees, students, customers, … to speak-up.
Using mobile technology as an innovative element, so that they can alert the situation, immediately, safely and from any place and time.</t>
        </is>
      </c>
      <c r="Z457" s="1" t="inlineStr">
        <is>
          <t>https://drive.google.com/uc?export=view&amp;id=1Y61TtKbIPV4GDR23GBqRwFWTJX0GyqvT</t>
        </is>
      </c>
      <c r="AA457" s="1" t="inlineStr">
        <is>
          <t>Unverified</t>
        </is>
      </c>
      <c r="AB457" s="1" t="n"/>
      <c r="AC457" s="1" t="n"/>
      <c r="AD457" s="10" t="n"/>
      <c r="AE457" s="1" t="n"/>
      <c r="AF457" t="inlineStr">
        <is>
          <t>Yes</t>
        </is>
      </c>
      <c r="AG457" t="inlineStr">
        <is>
          <t>https://www.instagram.com/bresolapp/</t>
        </is>
      </c>
      <c r="AH457" t="inlineStr">
        <is>
          <t>https://twitter.com/b_resol</t>
        </is>
      </c>
      <c r="AI457" t="inlineStr">
        <is>
          <t>https://es.linkedin.com/company/bcnresol</t>
        </is>
      </c>
    </row>
    <row r="458" ht="12.5" customHeight="1">
      <c r="A458" s="6" t="n">
        <v>45370</v>
      </c>
      <c r="B458" s="1" t="inlineStr">
        <is>
          <t>ORG_1384</t>
        </is>
      </c>
      <c r="C458" s="1" t="b">
        <v>1</v>
      </c>
      <c r="D458" s="1" t="inlineStr">
        <is>
          <t>Drumap</t>
        </is>
      </c>
      <c r="E458" s="10" t="inlineStr">
        <is>
          <t>drumap.com</t>
        </is>
      </c>
      <c r="F458" t="inlineStr">
        <is>
          <t>drumap.com</t>
        </is>
      </c>
      <c r="G458" s="1" t="inlineStr">
        <is>
          <t>DRUMAP is a music education platform designed for drummers and percussionists. Our mission is to empower percussionists worldwide, providing intuitive digital tools customized to fit individual cultures and goals. We envision a world where everyone can enjoy playing an instrument and be inspired by it.
The problem we address includes boring practice routines, overwhelming online learning experiences, and slow innovation in teaching methods. About 50% of new music students abandon their journey in less than a year.
Our solution offers a fun learning process with interactive features, personalized experiences, and community-teacher interaction, following the 2 Sigma Problem research and Vygotsky's ZPD theory. Drumap's value proposition is to facilitate joyful music learning, and our competitive advantages lie in a niched strategy, community focus, unique technology, and valuable data insights</t>
        </is>
      </c>
      <c r="H458" s="1" t="inlineStr">
        <is>
          <t>I'm not part of any EdTech association</t>
        </is>
      </c>
      <c r="I458" s="1" t="inlineStr">
        <is>
          <t>English, Portuguese, Spanish</t>
        </is>
      </c>
      <c r="J458" s="1" t="inlineStr">
        <is>
          <t>Valencia</t>
        </is>
      </c>
      <c r="K458" t="inlineStr">
        <is>
          <t>Valencia</t>
        </is>
      </c>
      <c r="L458" t="inlineStr">
        <is>
          <t>Valencia, Spain</t>
        </is>
      </c>
      <c r="M458" t="n">
        <v>39.6819591</v>
      </c>
      <c r="N458" t="n">
        <v>-0.7654406</v>
      </c>
      <c r="O458" s="1" t="inlineStr">
        <is>
          <t>Spain</t>
        </is>
      </c>
      <c r="P458"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458" s="1" t="inlineStr">
        <is>
          <t>3 to 5</t>
        </is>
      </c>
      <c r="R458" t="inlineStr">
        <is>
          <t>Micro</t>
        </is>
      </c>
      <c r="S458" s="1" t="inlineStr">
        <is>
          <t>Business to Business</t>
        </is>
      </c>
      <c r="T458" s="1" t="inlineStr">
        <is>
          <t>Lifelong learning/Adult education</t>
        </is>
      </c>
      <c r="U458" s="1" t="inlineStr">
        <is>
          <t>Student interfacing, System/Administrative</t>
        </is>
      </c>
      <c r="V458" s="10" t="inlineStr">
        <is>
          <t>Drumap App</t>
        </is>
      </c>
      <c r="W458" s="1" t="inlineStr">
        <is>
          <t>Learn and create drum beats.
⭐Grammy Academy awarded app to support music preservation.
⭐More than 150 thousand drum samples and percussive rhythms
Drumap is a simple intuitive app where drummers create, share, and learn drum beats and rhythms. It’s a great music tool for both beginners and experienced musicians. Drumap’s intuitive music score creator composes music, mainly percussive music like Samba groups, Marching Bands Drumlines, Drums grooves, and many others.</t>
        </is>
      </c>
      <c r="X458" s="10" t="inlineStr">
        <is>
          <t>Drum Coach App</t>
        </is>
      </c>
      <c r="Y458" t="inlineStr">
        <is>
          <t>⭐ Partnership with Prof. Steimberg, a drum professor at Berklee College of Music
⭐ Disruptive audio recognition technology
Drum Coach is a modern drum practice app that offers daily interactive exercises with video, score, and audio guidance. The app is designed to make practicing fun and easy to follow, and to help users improve their drumming skills.</t>
        </is>
      </c>
      <c r="Z458" s="1" t="inlineStr">
        <is>
          <t>https://drive.google.com/uc?export=view&amp;id=1PjXf55T1qC6TOgPwumYrMwTYH7I35YlX</t>
        </is>
      </c>
      <c r="AA458" s="1" t="inlineStr">
        <is>
          <t>Unverified</t>
        </is>
      </c>
      <c r="AB458" s="1" t="n"/>
      <c r="AC458" s="1" t="n"/>
      <c r="AD458" s="10" t="n"/>
      <c r="AE458" s="1" t="n"/>
      <c r="AF458" t="inlineStr">
        <is>
          <t>Yes</t>
        </is>
      </c>
      <c r="AG458" t="inlineStr">
        <is>
          <t>https://www.instagram.com/drumap.studio/</t>
        </is>
      </c>
      <c r="AH458" t="inlineStr">
        <is>
          <t>https://www.linkedin.com/company/drumap</t>
        </is>
      </c>
      <c r="AI458" t="inlineStr">
        <is>
          <t>https://www.linkedin.com/company/drumap</t>
        </is>
      </c>
    </row>
    <row r="459" ht="12.5" customHeight="1">
      <c r="A459" s="6" t="n">
        <v>45370</v>
      </c>
      <c r="B459" s="1" t="inlineStr">
        <is>
          <t>ORG_1486</t>
        </is>
      </c>
      <c r="C459" s="1" t="b">
        <v>1</v>
      </c>
      <c r="D459" s="1" t="inlineStr">
        <is>
          <t>ELINGUA</t>
        </is>
      </c>
      <c r="E459" s="10" t="inlineStr">
        <is>
          <t>www.elingua.es</t>
        </is>
      </c>
      <c r="F459" t="inlineStr">
        <is>
          <t>elingua.es</t>
        </is>
      </c>
      <c r="G459" s="1" t="inlineStr">
        <is>
          <t>Elingua is the first company that has educational content in SCORM format and that includes artificial intelligence and access to its own platform in the METAVERSO.
More than 20 years of experience of the founders guarantee the most promising future for this company with innovative DNA.</t>
        </is>
      </c>
      <c r="H459" s="1" t="inlineStr">
        <is>
          <t>I'm not part of any EdTech association</t>
        </is>
      </c>
      <c r="I459" s="1" t="inlineStr">
        <is>
          <t>English, Spanish</t>
        </is>
      </c>
      <c r="J459" s="1" t="inlineStr">
        <is>
          <t>Julian Camarillo Nº 47 3ª Planta</t>
        </is>
      </c>
      <c r="L459" t="inlineStr">
        <is>
          <t>Julian Camarillo Nº 47 3ª Planta, Germany</t>
        </is>
      </c>
      <c r="O459" s="1" t="inlineStr">
        <is>
          <t>Germany</t>
        </is>
      </c>
      <c r="P459" s="1" t="inlineStr">
        <is>
          <t>Spain</t>
        </is>
      </c>
      <c r="Q459" s="1" t="inlineStr">
        <is>
          <t>6 to 10</t>
        </is>
      </c>
      <c r="R459" t="inlineStr">
        <is>
          <t>Micro</t>
        </is>
      </c>
      <c r="S459" s="1" t="inlineStr">
        <is>
          <t>Business to Business, Business to Government</t>
        </is>
      </c>
      <c r="T459" s="1" t="inlineStr">
        <is>
          <t>Corporate Training, Lifelong learning/Adult education</t>
        </is>
      </c>
      <c r="U459" s="1" t="inlineStr">
        <is>
          <t>System/Administrative, Student interfacing</t>
        </is>
      </c>
      <c r="V459" s="10" t="inlineStr">
        <is>
          <t>English Course</t>
        </is>
      </c>
      <c r="W459" s="10" t="inlineStr">
        <is>
          <t>Our English course is the only one that has an Intelligent Virtual Assistant. 24/7/365 so that students can ask you their questions. You can self-train your Speaking with an immediate evaluation of your knowledge.</t>
        </is>
      </c>
      <c r="X459" s="10" t="inlineStr">
        <is>
          <t>Self-training on our own metaverse platform and corporate University in the Metaverse.</t>
        </is>
      </c>
      <c r="Y459" t="inlineStr">
        <is>
          <t>We have our own technological development to reproduce a customized corporate university for each client. Group and individual classes, team work rooms and an auditorium for interventions by gurus or the CEO of the organization.</t>
        </is>
      </c>
      <c r="Z459" s="1" t="inlineStr">
        <is>
          <t>https://drive.google.com/uc?export=view&amp;id=1TG56jM5jxE3P0HfbcQD5i80U1wHukWkU</t>
        </is>
      </c>
      <c r="AA459" s="1" t="inlineStr">
        <is>
          <t>Unverified</t>
        </is>
      </c>
      <c r="AB459" s="1" t="n"/>
      <c r="AC459" s="1" t="n"/>
      <c r="AD459" s="10" t="n"/>
      <c r="AE459" s="1" t="n"/>
      <c r="AF459" t="inlineStr">
        <is>
          <t>Yes</t>
        </is>
      </c>
      <c r="AG459" t="inlineStr">
        <is>
          <t>https://www.instagram.com/elingua.es/</t>
        </is>
      </c>
      <c r="AH459" t="inlineStr">
        <is>
          <t>https://twitter.com/Elingua_app</t>
        </is>
      </c>
      <c r="AI459" t="inlineStr">
        <is>
          <t>https://www.linkedin.com/company/elingua-s.l./</t>
        </is>
      </c>
    </row>
    <row r="460" ht="12.5" customHeight="1">
      <c r="A460" s="6" t="n">
        <v>45370</v>
      </c>
      <c r="B460" s="1" t="inlineStr">
        <is>
          <t>ORG_1613</t>
        </is>
      </c>
      <c r="C460" s="1" t="b">
        <v>1</v>
      </c>
      <c r="D460" s="1" t="inlineStr">
        <is>
          <t>GeeksHubs Academy</t>
        </is>
      </c>
      <c r="E460" s="10" t="inlineStr">
        <is>
          <t>https://geekshubsacademy.com/</t>
        </is>
      </c>
      <c r="F460" t="inlineStr">
        <is>
          <t>geekshubsacademy.com</t>
        </is>
      </c>
      <c r="G460" s="1" t="inlineStr">
        <is>
          <t>GeeksHubs is transforming education and recruitment tech. We manage the entire IT talent lifecycle and believe in the power of technology to make a positive impact on society. We help companies manage tech talent globally through recruitment, training and retention. And we train tech professionals to create or evolve their careers (Full Stack Developer, DevOps, Cibersecurity...).</t>
        </is>
      </c>
      <c r="H460" s="1" t="inlineStr">
        <is>
          <t>I'm not part of any EdTech association</t>
        </is>
      </c>
      <c r="I460" s="1" t="inlineStr">
        <is>
          <t>Spanish</t>
        </is>
      </c>
      <c r="J460" s="1" t="inlineStr">
        <is>
          <t>Calle De Juan De Mariana 15</t>
        </is>
      </c>
      <c r="L460" t="inlineStr">
        <is>
          <t>Calle De Juan De Mariana 15, Spain</t>
        </is>
      </c>
      <c r="O460" s="1" t="inlineStr">
        <is>
          <t>Spain</t>
        </is>
      </c>
      <c r="P460" s="1" t="inlineStr">
        <is>
          <t>Spain</t>
        </is>
      </c>
      <c r="Q460" s="1" t="inlineStr">
        <is>
          <t>11 to 50</t>
        </is>
      </c>
      <c r="R460" t="inlineStr">
        <is>
          <t>Small</t>
        </is>
      </c>
      <c r="S460" s="1" t="inlineStr">
        <is>
          <t>Business to Consumer, Business to Schools</t>
        </is>
      </c>
      <c r="T460" s="1" t="inlineStr">
        <is>
          <t>Secondary Education, Corporate Training, Lifelong learning/Adult education, Vocational Education and Training (VET), Higher Education</t>
        </is>
      </c>
      <c r="U460" s="1" t="inlineStr">
        <is>
          <t>Student interfacing, System/Administrative</t>
        </is>
      </c>
      <c r="V460" s="10" t="inlineStr">
        <is>
          <t>Bootcamp Full Stack Developer</t>
        </is>
      </c>
      <c r="W460" s="10" t="inlineStr">
        <is>
          <t>We train people who do not know how to program (JavaScript, ReactJS, Redux, NodeJs and Express, PHP, Laravel...) to be Full Stack Developers in 12 weeks (intensive).
We offer scholarships for study and employment opportunities.</t>
        </is>
      </c>
      <c r="X460" s="10" t="inlineStr">
        <is>
          <t>Bootcamps tech</t>
        </is>
      </c>
      <c r="Y460" t="inlineStr">
        <is>
          <t>We train developers to be better tech professionals and specialize (DevOps, Cybersecurity, Tech Management, Artificial Intelligence...).
We offer employment opportunities.</t>
        </is>
      </c>
      <c r="Z460" s="1" t="inlineStr">
        <is>
          <t>https://drive.google.com/uc?export=view&amp;id=18OdKsEPLZ2VYqP8-Vz9TD0gVWv0QbZoH</t>
        </is>
      </c>
      <c r="AA460" s="1" t="inlineStr">
        <is>
          <t>Unverified</t>
        </is>
      </c>
      <c r="AB460" s="1" t="n"/>
      <c r="AC460" s="1" t="n"/>
      <c r="AD460" s="10" t="n"/>
      <c r="AE460" s="1" t="n"/>
      <c r="AF460" t="inlineStr">
        <is>
          <t>Yes</t>
        </is>
      </c>
      <c r="AG460" t="inlineStr">
        <is>
          <t>https://www.instagram.com/geekshubs/</t>
        </is>
      </c>
      <c r="AH460" t="inlineStr">
        <is>
          <t>https://twitter.com/geeks_academy</t>
        </is>
      </c>
      <c r="AI460" t="inlineStr">
        <is>
          <t>https://www.linkedin.com/school/35548299/admin/feed/posts/</t>
        </is>
      </c>
    </row>
    <row r="461" ht="12.5" customHeight="1">
      <c r="A461" s="6" t="n">
        <v>45370</v>
      </c>
      <c r="B461" s="1" t="inlineStr">
        <is>
          <t>ORG_1705</t>
        </is>
      </c>
      <c r="C461" s="1" t="b">
        <v>1</v>
      </c>
      <c r="D461" s="1" t="inlineStr">
        <is>
          <t>iDIENA</t>
        </is>
      </c>
      <c r="E461" s="10" t="inlineStr">
        <is>
          <t>www.idiena.com</t>
        </is>
      </c>
      <c r="F461" t="inlineStr">
        <is>
          <t>idiena.com</t>
        </is>
      </c>
      <c r="G461" s="1" t="inlineStr">
        <is>
          <t>We have developed a training system to implement and develop emotional skills in organizations (businesses, schools) and individuals, based on microlearning, micro habits, and interactive simulations. We have 12 emotional skills (empathy, resilience, self-control, communication, persuasion, self-esteem, etc.) and we personalize the skills depending on the problem.
We have implemented our solutions to more than 400 clients in the last 5 years, in all areas (sales, management, coaches, professors, leaders, etc.)</t>
        </is>
      </c>
      <c r="H461" s="1" t="inlineStr">
        <is>
          <t>I'm not part of any EdTech association</t>
        </is>
      </c>
      <c r="I461" s="1" t="inlineStr">
        <is>
          <t>Spanish, English</t>
        </is>
      </c>
      <c r="J461" s="1" t="inlineStr">
        <is>
          <t>Madrid</t>
        </is>
      </c>
      <c r="K461" t="inlineStr">
        <is>
          <t>Madrid</t>
        </is>
      </c>
      <c r="L461" t="inlineStr">
        <is>
          <t>Madrid, Spain</t>
        </is>
      </c>
      <c r="M461" t="n">
        <v>40.416782</v>
      </c>
      <c r="N461" t="n">
        <v>-3.703507</v>
      </c>
      <c r="O461" s="1" t="inlineStr">
        <is>
          <t>Spain</t>
        </is>
      </c>
      <c r="P461" s="1" t="inlineStr">
        <is>
          <t>Spain</t>
        </is>
      </c>
      <c r="Q461" s="1" t="inlineStr">
        <is>
          <t>3 to 5</t>
        </is>
      </c>
      <c r="R461" t="inlineStr">
        <is>
          <t>Micro</t>
        </is>
      </c>
      <c r="S461" s="1" t="inlineStr">
        <is>
          <t>Business to Business, Business to Consumer</t>
        </is>
      </c>
      <c r="T461" s="1" t="inlineStr">
        <is>
          <t>Secondary Education, Corporate Training, Lifelong learning/Adult education, Vocational Education and Training (VET), Higher Education</t>
        </is>
      </c>
      <c r="U461" s="1" t="inlineStr">
        <is>
          <t>System/Administrative, Student interfacing, Teacher interfacing</t>
        </is>
      </c>
      <c r="V461" s="1" t="inlineStr">
        <is>
          <t>Master in applied amotional intelligence</t>
        </is>
      </c>
      <c r="W461" s="1" t="inlineStr">
        <is>
          <t>A master's degree from La Salle University, it can be done completely online with monthly sessions with a coach. It is practical for business people and school and university teachers.</t>
        </is>
      </c>
      <c r="X461" s="10" t="inlineStr">
        <is>
          <t>Emotional skills for sales executives</t>
        </is>
      </c>
      <c r="Y461" t="inlineStr">
        <is>
          <t>Develops for salespeople during 3 months the emotional skills of empathy, persuasion and communication.</t>
        </is>
      </c>
      <c r="Z461" s="1" t="inlineStr">
        <is>
          <t>https://drive.google.com/uc?export=view&amp;id=1BXffqO8j52qEsqy_o80C1hvqex1Y7Q2q</t>
        </is>
      </c>
      <c r="AA461" s="1" t="inlineStr">
        <is>
          <t>Unverified</t>
        </is>
      </c>
      <c r="AB461" s="1" t="n"/>
      <c r="AC461" s="1" t="n"/>
      <c r="AD461" s="10" t="n"/>
      <c r="AE461" s="1" t="n"/>
      <c r="AF461" t="inlineStr">
        <is>
          <t>Yes</t>
        </is>
      </c>
      <c r="AG461" t="inlineStr">
        <is>
          <t>https://www.linkedin.com/company/56442841/admin/feed/posts/</t>
        </is>
      </c>
      <c r="AH461" t="inlineStr">
        <is>
          <t>https://www.linkedin.com/company/56442841/admin/feed/posts/</t>
        </is>
      </c>
      <c r="AI461" t="inlineStr">
        <is>
          <t>https://www.linkedin.com/company/56442841/admin/feed/posts/</t>
        </is>
      </c>
    </row>
    <row r="462" ht="12.5" customHeight="1">
      <c r="A462" s="6" t="n">
        <v>45370</v>
      </c>
      <c r="B462" s="1" t="inlineStr">
        <is>
          <t>ORG_1810</t>
        </is>
      </c>
      <c r="C462" s="1" t="b">
        <v>1</v>
      </c>
      <c r="D462" s="1" t="inlineStr">
        <is>
          <t>Langoo</t>
        </is>
      </c>
      <c r="E462" s="10" t="inlineStr">
        <is>
          <t>https://www.langoo.io/</t>
        </is>
      </c>
      <c r="F462" t="inlineStr">
        <is>
          <t>langoo.io</t>
        </is>
      </c>
      <c r="G462" s="1" t="inlineStr">
        <is>
          <t>Langoo is a dynamic B2B SaaS powerhouse that wields an ingenious blend of our exclusive methodology and cutting-edge technology. Our secret weapon? The boundless capabilities of Artificial Intelligence and Natural Language Processing, harmoniously orchestrated to orchestrate a revolution in exam grading.
Langoo isn't just a platform; it's a symphony of innovation, rewriting the rules of traditional assessment. Seamlessly automated, our technology sweeps through the daunting task of correcting both written and oral language exams. The result? Swift, accurate, and transformative assessment that empowers educational institutions and corporations like never before.</t>
        </is>
      </c>
      <c r="H462" s="1" t="inlineStr">
        <is>
          <t>SEK Lab</t>
        </is>
      </c>
      <c r="I462" s="1" t="inlineStr">
        <is>
          <t>English, Spanish</t>
        </is>
      </c>
      <c r="J462" s="1" t="inlineStr">
        <is>
          <t>Madrid</t>
        </is>
      </c>
      <c r="K462" t="inlineStr">
        <is>
          <t>Madrid</t>
        </is>
      </c>
      <c r="L462" t="inlineStr">
        <is>
          <t>Madrid, Spain</t>
        </is>
      </c>
      <c r="M462" t="n">
        <v>40.416782</v>
      </c>
      <c r="N462" t="n">
        <v>-3.703507</v>
      </c>
      <c r="O462" s="1" t="inlineStr">
        <is>
          <t>Spain</t>
        </is>
      </c>
      <c r="P462" s="1" t="inlineStr">
        <is>
          <t>Spain</t>
        </is>
      </c>
      <c r="Q462" s="1" t="inlineStr">
        <is>
          <t>3 to 5</t>
        </is>
      </c>
      <c r="R462" t="inlineStr">
        <is>
          <t>Micro</t>
        </is>
      </c>
      <c r="S462" s="1" t="inlineStr">
        <is>
          <t>Business to Business, Business to Schools, Business to Consumer</t>
        </is>
      </c>
      <c r="T462" s="1" t="inlineStr">
        <is>
          <t>Corporate Training, Lifelong learning/Adult education, Vocational Education and Training (VET), Higher Education</t>
        </is>
      </c>
      <c r="U462" s="1" t="inlineStr">
        <is>
          <t>Student interfacing, System/Administrative</t>
        </is>
      </c>
      <c r="V462" s="10" t="inlineStr">
        <is>
          <t>E-Learning platform</t>
        </is>
      </c>
      <c r="W462" s="10" t="inlineStr">
        <is>
          <t>Our official language exam preparation platform is a cutting-edge tool designed to help students achieve their language proficiency goals efficiently and effectively. Leveraging advanced technology, we offer a personalized learning experience that caters to the unique needs of each individual learner for all language skills, including speaking, listening, reading, and writing.
One of the standout features of our platform is its automatic correction capability for both text and audio-based open-ended questions. This means that students can practice with real exam-style questions, and our system provides instant, accurate feedback on their responses. By focusing exclusively on the mistakes made by each student, we ensure that their progress is accelerated and their learning is targeted and efficient.</t>
        </is>
      </c>
      <c r="X462" s="10" t="inlineStr">
        <is>
          <t>Digital Admissions Assessment and Grading Tool</t>
        </is>
      </c>
      <c r="Y462" t="inlineStr">
        <is>
          <t>Our cutting-edge tool streamlines the admission process for both businesses and educational institutions. By assessing candidates across the four key language competencies (speaking, listening, reading, and writing), we significantly reduce the time required to finalize student enrollments. 
We digitize all applicant data, enabling data-driven decision-making, standardizing the process, and making it scalable, even for international candidates.</t>
        </is>
      </c>
      <c r="Z462" s="1" t="inlineStr">
        <is>
          <t>https://drive.google.com/uc?export=view&amp;id=10q8XPSHmU3p6i7Ku7aiY60Y7YfbULt7N</t>
        </is>
      </c>
      <c r="AA462" s="1" t="inlineStr">
        <is>
          <t>Unverified</t>
        </is>
      </c>
      <c r="AB462" s="1" t="n"/>
      <c r="AC462" s="1" t="n"/>
      <c r="AD462" s="10" t="n"/>
      <c r="AE462" s="1" t="n"/>
      <c r="AF462" t="inlineStr">
        <is>
          <t>Yes</t>
        </is>
      </c>
      <c r="AG462" t="inlineStr">
        <is>
          <t>https://www.instagram.com/langoo.io/</t>
        </is>
      </c>
      <c r="AH462" t="inlineStr">
        <is>
          <t>https://twitter.com/LANGOO_IO</t>
        </is>
      </c>
      <c r="AI462" t="inlineStr">
        <is>
          <t>https://www.linkedin.com/company/langoo-io/</t>
        </is>
      </c>
    </row>
    <row r="463" ht="12.5" customHeight="1">
      <c r="A463" s="6" t="n">
        <v>45370</v>
      </c>
      <c r="B463" s="1" t="inlineStr">
        <is>
          <t>ORG_1908</t>
        </is>
      </c>
      <c r="C463" s="1" t="b">
        <v>1</v>
      </c>
      <c r="D463" s="1" t="inlineStr">
        <is>
          <t>Make&amp;Learn</t>
        </is>
      </c>
      <c r="E463" s="10" t="inlineStr">
        <is>
          <t>https://makeandlearn.cat/</t>
        </is>
      </c>
      <c r="F463" t="inlineStr">
        <is>
          <t>makeandlearn.cat</t>
        </is>
      </c>
      <c r="G463" s="1" t="inlineStr">
        <is>
          <t>Make&amp;Learn offers to educational centers and their teachers all the equipment, training, resources and teaching materials necessary to enjoy STEAM disciplines in their classroom and provide students with meaningful and competency-based learning. With M&amp;L's SHERPA educational program, classes become authentic experiences that promote active, cooperative and inclusive learning. The modular curriculum allows teachers to combine theory and practice through hands-on activities and real-world challenges that develop students' digital competencies, creativity, teamwork and problem-solving skills. SHERPA is adaptable to each school's specific curriculum and educational needs.</t>
        </is>
      </c>
      <c r="H463" s="1" t="inlineStr">
        <is>
          <t>EduTech Cluster Spain</t>
        </is>
      </c>
      <c r="I463" s="1" t="inlineStr">
        <is>
          <t>Catalan, Spanish, English</t>
        </is>
      </c>
      <c r="J463" s="1" t="inlineStr">
        <is>
          <t>Rubí</t>
        </is>
      </c>
      <c r="K463" t="inlineStr">
        <is>
          <t>Rubí</t>
        </is>
      </c>
      <c r="L463" t="inlineStr">
        <is>
          <t>Rubí, Spain</t>
        </is>
      </c>
      <c r="M463" t="n">
        <v>41.4936194</v>
      </c>
      <c r="N463" t="n">
        <v>2.0319476</v>
      </c>
      <c r="O463" s="1" t="inlineStr">
        <is>
          <t>Spain</t>
        </is>
      </c>
      <c r="P463" s="1" t="inlineStr">
        <is>
          <t>Spain</t>
        </is>
      </c>
      <c r="Q463" s="1" t="inlineStr">
        <is>
          <t>6 to 10</t>
        </is>
      </c>
      <c r="R463" t="inlineStr">
        <is>
          <t>Micro</t>
        </is>
      </c>
      <c r="S463" s="1" t="inlineStr">
        <is>
          <t>Business to Business, Business to Schools</t>
        </is>
      </c>
      <c r="T463" s="1" t="inlineStr">
        <is>
          <t>Primary Education, Secondary Education</t>
        </is>
      </c>
      <c r="U463" s="1" t="inlineStr">
        <is>
          <t>Teacher interfacing, System/Administrative</t>
        </is>
      </c>
      <c r="V463" s="10" t="inlineStr">
        <is>
          <t>Programa educativo SHERPA</t>
        </is>
      </c>
      <c r="W463" s="10" t="inlineStr">
        <is>
          <t>SHERPA is an educational program by Make&amp;Learn that provides pedagogical resources and modular pathways to integrate STEAM in the classroom. Through lesson plans, digital experiences, and projects, it promotes active, meaningful, competency-based learning of technology, coding, and robotics. SHERPA adapts to each school's curriculum by combining theory and hands-on activities, challenges that build creativity, teamwork, and problem-solving.</t>
        </is>
      </c>
      <c r="X463" s="10" t="inlineStr">
        <is>
          <t>https://drive.google.com/uc?export=view&amp;id=1U2HDTqjuHfAaGm5ID2OpIxYPoaZZwH69</t>
        </is>
      </c>
      <c r="Y463" t="inlineStr">
        <is>
          <t>https://drive.google.com/uc?export=view&amp;id=1U2HDTqjuHfAaGm5ID2OpIxYPoaZZwH69</t>
        </is>
      </c>
      <c r="Z463" s="1" t="inlineStr">
        <is>
          <t>https://drive.google.com/uc?export=view&amp;id=1U2HDTqjuHfAaGm5ID2OpIxYPoaZZwH69</t>
        </is>
      </c>
      <c r="AA463" s="1" t="inlineStr">
        <is>
          <t>Unverified</t>
        </is>
      </c>
      <c r="AB463" s="1" t="n"/>
      <c r="AC463" s="1" t="n"/>
      <c r="AD463" s="10" t="n"/>
      <c r="AE463" s="1" t="n"/>
      <c r="AF463" s="1" t="inlineStr">
        <is>
          <t>Yes</t>
        </is>
      </c>
      <c r="AG463" s="1" t="inlineStr">
        <is>
          <t>instagram.com/make_and_learn/</t>
        </is>
      </c>
      <c r="AH463" s="1" t="inlineStr">
        <is>
          <t>twitter.com/Make_and_Learn</t>
        </is>
      </c>
      <c r="AI463" t="inlineStr">
        <is>
          <t>linkedin.com/company/make-and-learn</t>
        </is>
      </c>
    </row>
    <row r="464" ht="12.5" customHeight="1">
      <c r="A464" s="6" t="n">
        <v>45370</v>
      </c>
      <c r="B464" s="1" t="inlineStr">
        <is>
          <t>ORG_1995</t>
        </is>
      </c>
      <c r="C464" s="1" t="b">
        <v>1</v>
      </c>
      <c r="D464" s="1" t="inlineStr">
        <is>
          <t>Muse Scene Lab</t>
        </is>
      </c>
      <c r="E464" s="10" t="inlineStr">
        <is>
          <t>www.musescenelab.com</t>
        </is>
      </c>
      <c r="F464" t="inlineStr">
        <is>
          <t>musescenelab.com</t>
        </is>
      </c>
      <c r="G464" s="1" t="inlineStr">
        <is>
          <t>Muse Scene Lab is immersive learning platform that allows musicians and music
students to practice and interact with virtual orchestras or bands. Music student
lack enough time practicing with orchestras. This prevents them from having the necessary preparation they need to be able to enter the labor market or make a proper presentation. Muse Scene Lab seeks to solve this problem by creating an immersive reality application that allows interaction with the audio emitted by the digital representation of other musicians (avatars) and, in turn, give performers and students the opportunity to live an experience without the need to depend on other people. This tool helps to practice in real-life situations and study in environments that were not possible before.</t>
        </is>
      </c>
      <c r="H464" s="1" t="inlineStr">
        <is>
          <t>SEK Lab</t>
        </is>
      </c>
      <c r="I464" s="1" t="inlineStr">
        <is>
          <t>English, Spanish</t>
        </is>
      </c>
      <c r="J464" s="1" t="inlineStr">
        <is>
          <t>Barcelona</t>
        </is>
      </c>
      <c r="K464" t="inlineStr">
        <is>
          <t>Barcelona</t>
        </is>
      </c>
      <c r="L464" t="inlineStr">
        <is>
          <t>Barcelona, Spain</t>
        </is>
      </c>
      <c r="M464" t="n">
        <v>41.3825802</v>
      </c>
      <c r="N464" t="n">
        <v>2.177073</v>
      </c>
      <c r="O464" s="1" t="inlineStr">
        <is>
          <t>Spain</t>
        </is>
      </c>
      <c r="P464" s="1" t="inlineStr">
        <is>
          <t>Spain</t>
        </is>
      </c>
      <c r="Q464" s="1" t="inlineStr">
        <is>
          <t>3 to 5</t>
        </is>
      </c>
      <c r="R464" t="inlineStr">
        <is>
          <t>Micro</t>
        </is>
      </c>
      <c r="S464" s="1" t="inlineStr">
        <is>
          <t>Business to Business, Business to Consumer, Business to Government</t>
        </is>
      </c>
      <c r="T464" s="1" t="inlineStr">
        <is>
          <t>Vocational Education and Training (VET), Higher Education</t>
        </is>
      </c>
      <c r="U464" s="1" t="inlineStr">
        <is>
          <t>Student interfacing, Teacher interfacing</t>
        </is>
      </c>
      <c r="V464" s="10" t="inlineStr">
        <is>
          <t>MuseLab_conducting</t>
        </is>
      </c>
      <c r="W464" s="10" t="inlineStr">
        <is>
          <t>MuseLab_Conductor allows conductors to interact with a virtual orchestra using
gesture recognition.</t>
        </is>
      </c>
      <c r="X464" s="10" t="inlineStr">
        <is>
          <t>MuseLab_Singers</t>
        </is>
      </c>
      <c r="Y464" t="inlineStr">
        <is>
          <t>MuseLab_Singers detects voice intonation, pitch, rhythm, and expressions to practice with an avatar orchestra or band</t>
        </is>
      </c>
      <c r="Z464" s="1" t="inlineStr">
        <is>
          <t>https://drive.google.com/uc?export=view&amp;id=1qRgejgwovd5_q2cG3YEAZtDv45usPU7n</t>
        </is>
      </c>
      <c r="AA464" s="1" t="inlineStr">
        <is>
          <t>Unverified</t>
        </is>
      </c>
      <c r="AB464" s="1" t="n"/>
      <c r="AC464" s="1" t="n"/>
      <c r="AD464" s="10" t="n"/>
      <c r="AE464" s="1" t="n"/>
      <c r="AF464" t="inlineStr">
        <is>
          <t>Yes</t>
        </is>
      </c>
      <c r="AG464" t="inlineStr">
        <is>
          <t>https://www.instagram.com/musescenelab/</t>
        </is>
      </c>
      <c r="AH464" t="inlineStr">
        <is>
          <t>https://twitter.com/musescenelab</t>
        </is>
      </c>
      <c r="AI464" t="inlineStr">
        <is>
          <t>https://www.linkedin.com/company/81293308/admin/feed/posts/</t>
        </is>
      </c>
    </row>
    <row r="465" ht="12.5" customHeight="1">
      <c r="A465" s="6" t="n">
        <v>45370</v>
      </c>
      <c r="B465" s="1" t="inlineStr">
        <is>
          <t>ORG_2336</t>
        </is>
      </c>
      <c r="C465" s="1" t="b">
        <v>1</v>
      </c>
      <c r="D465" s="1" t="inlineStr">
        <is>
          <t>Studi</t>
        </is>
      </c>
      <c r="E465" s="10" t="inlineStr">
        <is>
          <t>https://www.studi.com/fr</t>
        </is>
      </c>
      <c r="F465" t="inlineStr">
        <is>
          <t>studi.com/fr</t>
        </is>
      </c>
      <c r="G465" s="1" t="inlineStr">
        <is>
          <t>Studi, French EdTech subsidiary of Galileo Global Education, stands as the sole go-to platform for online digital education with 70,000 students and over 20 years of expertise. Home to more than 1,200 advisors, trainers, and coaches facilitating 250 programs across 15 fields from CAP to Bac+5, Studi offers accredited courses available for long life learning and apprenticeship. The mission is clear: empower individuals aspiring to enhance their skills, boost employability, or reinvent their career paths, to succeed in any endeavor they undertake. Experiencing strong growth and a work community of 1,000 members, Studi actively seeks new talents to nurture and elevate its continued expansion.</t>
        </is>
      </c>
      <c r="H465" s="1" t="inlineStr">
        <is>
          <t>EdTech France</t>
        </is>
      </c>
      <c r="I465" s="1" t="inlineStr">
        <is>
          <t>French</t>
        </is>
      </c>
      <c r="J465" s="1" t="inlineStr">
        <is>
          <t>Pérols</t>
        </is>
      </c>
      <c r="K465" t="inlineStr">
        <is>
          <t>Pérols</t>
        </is>
      </c>
      <c r="L465" t="inlineStr">
        <is>
          <t>Pérols, France</t>
        </is>
      </c>
      <c r="M465" t="n">
        <v>43.5586003</v>
      </c>
      <c r="N465" t="n">
        <v>3.9502006</v>
      </c>
      <c r="O465" s="1" t="inlineStr">
        <is>
          <t>France</t>
        </is>
      </c>
      <c r="P465" s="1" t="inlineStr">
        <is>
          <t>France</t>
        </is>
      </c>
      <c r="Q465" s="1" t="inlineStr">
        <is>
          <t>500+</t>
        </is>
      </c>
      <c r="R465" t="inlineStr">
        <is>
          <t>Large</t>
        </is>
      </c>
      <c r="S465" s="1" t="inlineStr">
        <is>
          <t>Business to Consumer</t>
        </is>
      </c>
      <c r="T465" s="1" t="inlineStr">
        <is>
          <t>Lifelong learning/Adult education</t>
        </is>
      </c>
      <c r="U465" s="1" t="inlineStr">
        <is>
          <t>System/Administrative, Student interfacing</t>
        </is>
      </c>
      <c r="V465" s="10" t="inlineStr">
        <is>
          <t>https://www.linkedin.com/school/studi-digital-education/</t>
        </is>
      </c>
      <c r="W465" s="10" t="inlineStr">
        <is>
          <t>https://drive.google.com/uc?export=view&amp;id=1NCla_8DERnRsgd7_FAaJLTZhPFEH9Eu1</t>
        </is>
      </c>
      <c r="X465" s="10" t="inlineStr">
        <is>
          <t>https://drive.google.com/uc?export=view&amp;id=1NCla_8DERnRsgd7_FAaJLTZhPFEH9Eu1</t>
        </is>
      </c>
      <c r="Y465" t="inlineStr">
        <is>
          <t>https://drive.google.com/uc?export=view&amp;id=1NCla_8DERnRsgd7_FAaJLTZhPFEH9Eu1</t>
        </is>
      </c>
      <c r="Z465" s="1" t="inlineStr">
        <is>
          <t>https://drive.google.com/uc?export=view&amp;id=1NCla_8DERnRsgd7_FAaJLTZhPFEH9Eu1</t>
        </is>
      </c>
      <c r="AA465" s="1" t="inlineStr">
        <is>
          <t>Unverified</t>
        </is>
      </c>
      <c r="AB465" s="1" t="n"/>
      <c r="AC465" s="1" t="n"/>
      <c r="AD465" s="10" t="n"/>
      <c r="AE465" s="1" t="n"/>
      <c r="AF465" s="1" t="inlineStr">
        <is>
          <t>Yes</t>
        </is>
      </c>
      <c r="AG465" s="1" t="inlineStr">
        <is>
          <t>https://www.instagram.com/ecole_studi</t>
        </is>
      </c>
      <c r="AH465" s="1" t="inlineStr">
        <is>
          <t>https://twitter.com/ecolestudi</t>
        </is>
      </c>
      <c r="AI465" t="inlineStr">
        <is>
          <t>https://www.linkedin.com/school/studi-digital-education/</t>
        </is>
      </c>
    </row>
    <row r="466" ht="12.5" customHeight="1">
      <c r="A466" s="6" t="n">
        <v>45370</v>
      </c>
      <c r="B466" s="1" t="inlineStr">
        <is>
          <t>ORG_1747</t>
        </is>
      </c>
      <c r="C466" s="1" t="b">
        <v>1</v>
      </c>
      <c r="D466" s="1" t="inlineStr">
        <is>
          <t>ITN Education</t>
        </is>
      </c>
      <c r="E466" s="10" t="inlineStr">
        <is>
          <t>www.itn.co.uk/education</t>
        </is>
      </c>
      <c r="F466" t="inlineStr">
        <is>
          <t>itn.co.uk/education</t>
        </is>
      </c>
      <c r="G466" s="1" t="inlineStr">
        <is>
          <t>We specialize in crafting engaging and inspiring short videos for learners of all ages, offering a wide range of authentic and relevant educational resources. Our mission is to transform seemingly "dry" subjects into enjoyable and relatable experiences, bridging the gap between classroom and real-world learning.
Our dedicated team of in-house researchers, scriptwriters, and producers combine compelling archive footage with fresh content, incorporating presenters, voiceovers, graphics, and customized animations. This blend allows us to create tailor-made resources that align with specific learning levels and outcomes. We complement each video with comprehensive activities, teacher notes, and transcripts, providing a comprehensive educational solution.
Our production capacity is impressive, with multiple crews and over 60 editing suites churning out hundreds of videos annually. This scalability ensures we can adapt to your needs, producing the ideal learning assets for your educational programs.</t>
        </is>
      </c>
      <c r="H466" s="1" t="inlineStr">
        <is>
          <t>I'm not part of any EdTech association</t>
        </is>
      </c>
      <c r="I466" s="1" t="inlineStr">
        <is>
          <t>English</t>
        </is>
      </c>
      <c r="J466" s="1" t="inlineStr">
        <is>
          <t>London</t>
        </is>
      </c>
      <c r="K466" t="inlineStr">
        <is>
          <t>London</t>
        </is>
      </c>
      <c r="L466" t="inlineStr">
        <is>
          <t>London, United Kingdom</t>
        </is>
      </c>
      <c r="M466" t="n">
        <v>51.5074456</v>
      </c>
      <c r="N466" t="n">
        <v>-0.1277653</v>
      </c>
      <c r="O466" s="1" t="inlineStr">
        <is>
          <t>United Kingdom</t>
        </is>
      </c>
      <c r="P466" s="1" t="inlineStr">
        <is>
          <t>Belgium, Denmark, Finland, France, Germany, Greece, Ireland, Italy, Norway, Poland, Spain, Sweden, Turkey, United Kingdom</t>
        </is>
      </c>
      <c r="Q466" s="1" t="inlineStr">
        <is>
          <t>500+</t>
        </is>
      </c>
      <c r="R466" t="inlineStr">
        <is>
          <t>Large</t>
        </is>
      </c>
      <c r="S466" s="1" t="inlineStr">
        <is>
          <t>Business to Business</t>
        </is>
      </c>
      <c r="T466" s="1" t="inlineStr">
        <is>
          <t>Early childhood development (0-5 years), Primary Education, Secondary Education, Corporate Training, Lifelong learning/Adult education, Vocational Education and Training (VET), Higher Education</t>
        </is>
      </c>
      <c r="U466" s="1" t="inlineStr">
        <is>
          <t>Student interfacing, Teacher interfacing, System/Administrative</t>
        </is>
      </c>
      <c r="V466" s="1" t="inlineStr">
        <is>
          <t>Video Production</t>
        </is>
      </c>
      <c r="W466" s="1" t="inlineStr">
        <is>
          <t>We specialise in creating transformative learning content, collaborating with educators, publishers, and experts to produce impactful short videos. Our videos use authentic, high-quality footage relevant to students, and are tailored to curriculum levels. Each resource includes guidelines, activities, and worksheets, enhancing educational outcomes for both publishers and teachers. We have established successful partnerships with renowned publishers such as Discovery Education, Pearson, Cambridge University Press, BBC, National Geographic Learning, and Oxford University Press, producing hundreds of videos annually to support effective learning.</t>
        </is>
      </c>
      <c r="X466" s="10" t="inlineStr">
        <is>
          <t>https://drive.google.com/uc?export=view&amp;id=1bhzZ7kBM3jdzageqvjK9r2b3hl23E8S8</t>
        </is>
      </c>
      <c r="Y466" t="inlineStr">
        <is>
          <t>https://drive.google.com/uc?export=view&amp;id=1bhzZ7kBM3jdzageqvjK9r2b3hl23E8S8</t>
        </is>
      </c>
      <c r="Z466" s="1" t="inlineStr">
        <is>
          <t>https://drive.google.com/uc?export=view&amp;id=1bhzZ7kBM3jdzageqvjK9r2b3hl23E8S8</t>
        </is>
      </c>
      <c r="AA466" s="1" t="inlineStr">
        <is>
          <t>Unverified</t>
        </is>
      </c>
      <c r="AB466" s="1" t="n"/>
      <c r="AC466" s="1" t="n"/>
      <c r="AD466" s="10" t="n"/>
      <c r="AE466" s="1" t="n"/>
      <c r="AF466" s="1" t="inlineStr">
        <is>
          <t>Yes</t>
        </is>
      </c>
      <c r="AG466" s="1" t="inlineStr">
        <is>
          <t>https://www.linkedin.com/showcase/itnedu/?viewAsMember=true</t>
        </is>
      </c>
      <c r="AH466" s="1" t="inlineStr">
        <is>
          <t>https://www.linkedin.com/showcase/itnedu/?viewAsMember=true</t>
        </is>
      </c>
      <c r="AI466" t="inlineStr">
        <is>
          <t>https://www.linkedin.com/showcase/itnedu/?viewAsMember=true</t>
        </is>
      </c>
    </row>
    <row r="467" ht="12.5" customHeight="1">
      <c r="A467" s="6" t="n">
        <v>45370</v>
      </c>
      <c r="B467" s="1" t="inlineStr">
        <is>
          <t>ORG_1800</t>
        </is>
      </c>
      <c r="C467" s="1" t="b">
        <v>1</v>
      </c>
      <c r="D467" s="1" t="inlineStr">
        <is>
          <t>La Casita de Inglés</t>
        </is>
      </c>
      <c r="E467" s="10" t="inlineStr">
        <is>
          <t>www.lacasitadeingles.com</t>
        </is>
      </c>
      <c r="F467" t="inlineStr">
        <is>
          <t>lacasitadeingles.com</t>
        </is>
      </c>
      <c r="G467" s="1" t="inlineStr">
        <is>
          <t>Welcome to La Casita de Inglés, the innovative English learning center designed to provide children with a unique and enriching educational experience through play-based learning. Our pedagogical approach combines playful methods with cutting-edge technology, allowing youngsters to explore the language in a fun and effective way. With a wide range of educational resources, interactive activities, and highly qualified professionals, we transform the learning process into an exciting linguistic adventure. Furthermore, La Casita de Inglés goes beyond physical classrooms, offering a truly innovative online teaching. 
Discover our groundbreaking online platform in the field of English distance education. At La Casita de Inglés, we not only strive to provide virtual lessons, but to create an interactive and engaging experience that captures children's attention and stimulates their learning. Our online classes offers a wide variety of digital resources, interactive games, and activities designed to encourage autonomous language practice. Additionally, we have a team of highly qualified teachers who guide students throughout their online learning journey, providing individualized support and constant feedback. With La Casita de Inglés, learning becomes a dynamic and accessible experience from anywhere, giving children the opportunity to master English in a fun and effective manner.</t>
        </is>
      </c>
      <c r="H467" s="1" t="inlineStr">
        <is>
          <t>I'm not part of any EdTech association</t>
        </is>
      </c>
      <c r="I467" s="1" t="inlineStr">
        <is>
          <t>Spanish</t>
        </is>
      </c>
      <c r="J467" s="1" t="inlineStr">
        <is>
          <t>Madrid</t>
        </is>
      </c>
      <c r="K467" t="inlineStr">
        <is>
          <t>Madrid</t>
        </is>
      </c>
      <c r="L467" t="inlineStr">
        <is>
          <t>Madrid, Spain</t>
        </is>
      </c>
      <c r="M467" t="n">
        <v>40.416782</v>
      </c>
      <c r="N467" t="n">
        <v>-3.703507</v>
      </c>
      <c r="O467" s="1" t="inlineStr">
        <is>
          <t>Spain</t>
        </is>
      </c>
      <c r="P467" s="1" t="inlineStr">
        <is>
          <t>Spain</t>
        </is>
      </c>
      <c r="Q467" s="1" t="inlineStr">
        <is>
          <t>101 to 500</t>
        </is>
      </c>
      <c r="R467" t="inlineStr">
        <is>
          <t>Medium or Large (unspecified)</t>
        </is>
      </c>
      <c r="S467" s="1" t="inlineStr">
        <is>
          <t>Business to Business, Business to Schools, Business to Consumer, Business to Government</t>
        </is>
      </c>
      <c r="T467" s="1" t="inlineStr">
        <is>
          <t>Early childhood development (0-5 years), Primary Education, Secondary Education</t>
        </is>
      </c>
      <c r="U467" s="1" t="inlineStr">
        <is>
          <t>System/Administrative, Student interfacing</t>
        </is>
      </c>
      <c r="V467" s="10" t="inlineStr">
        <is>
          <t>Online Casita de Inglés</t>
        </is>
      </c>
      <c r="W467" s="1" t="inlineStr">
        <is>
          <t>Online live one to one english as a second language classes</t>
        </is>
      </c>
      <c r="X467" s="10" t="inlineStr">
        <is>
          <t>https://drive.google.com/uc?export=view&amp;id=1uM67PzqGbql6IebwWRpSPblYmTJT0P0i</t>
        </is>
      </c>
      <c r="Y467" t="inlineStr">
        <is>
          <t>https://drive.google.com/uc?export=view&amp;id=1uM67PzqGbql6IebwWRpSPblYmTJT0P0i</t>
        </is>
      </c>
      <c r="Z467" s="1" t="inlineStr">
        <is>
          <t>https://drive.google.com/uc?export=view&amp;id=1uM67PzqGbql6IebwWRpSPblYmTJT0P0i</t>
        </is>
      </c>
      <c r="AA467" s="1" t="inlineStr">
        <is>
          <t>Unverified</t>
        </is>
      </c>
      <c r="AB467" s="1" t="n"/>
      <c r="AC467" s="1" t="n"/>
      <c r="AD467" s="10" t="n"/>
      <c r="AE467" s="1" t="n"/>
      <c r="AF467" s="1" t="inlineStr">
        <is>
          <t>Yes</t>
        </is>
      </c>
      <c r="AG467" s="1" t="inlineStr">
        <is>
          <t>https://instagram.com/casitadeingles</t>
        </is>
      </c>
      <c r="AH467" s="1" t="inlineStr">
        <is>
          <t>https://www.linkedin.com/company/casitadeingles/</t>
        </is>
      </c>
      <c r="AI467" t="inlineStr">
        <is>
          <t>https://www.linkedin.com/company/casitadeingles/</t>
        </is>
      </c>
    </row>
    <row r="468" ht="12.5" customHeight="1">
      <c r="A468" s="6" t="n">
        <v>45370</v>
      </c>
      <c r="B468" s="1" t="inlineStr">
        <is>
          <t>ORG_1913</t>
        </is>
      </c>
      <c r="C468" s="1" t="b">
        <v>1</v>
      </c>
      <c r="D468" s="1" t="inlineStr">
        <is>
          <t>Mandatory Trainings</t>
        </is>
      </c>
      <c r="E468" s="10" t="inlineStr">
        <is>
          <t>www.mandatorytrainings.com</t>
        </is>
      </c>
      <c r="F468" t="inlineStr">
        <is>
          <t>mandatorytrainings.com</t>
        </is>
      </c>
      <c r="G468" s="1" t="inlineStr">
        <is>
          <t>Digital learning platform for Aviation and Maritime Compliance Training..</t>
        </is>
      </c>
      <c r="H468" s="1" t="inlineStr">
        <is>
          <t>EdTech Finland</t>
        </is>
      </c>
      <c r="I468" s="1" t="inlineStr">
        <is>
          <t>All</t>
        </is>
      </c>
      <c r="J468" s="1" t="inlineStr">
        <is>
          <t>Helsinki</t>
        </is>
      </c>
      <c r="K468" t="inlineStr">
        <is>
          <t>Helsinki</t>
        </is>
      </c>
      <c r="L468" t="inlineStr">
        <is>
          <t>Helsinki, Finland</t>
        </is>
      </c>
      <c r="M468" t="n">
        <v>60.1666204</v>
      </c>
      <c r="N468" t="n">
        <v>24.9435408</v>
      </c>
      <c r="O468" s="1" t="inlineStr">
        <is>
          <t>Finland</t>
        </is>
      </c>
      <c r="P468" s="1" t="inlineStr">
        <is>
          <t>Finland</t>
        </is>
      </c>
      <c r="Q468" s="1" t="inlineStr">
        <is>
          <t>3 to 5</t>
        </is>
      </c>
      <c r="R468" t="inlineStr">
        <is>
          <t>Micro</t>
        </is>
      </c>
      <c r="S468" s="1" t="inlineStr">
        <is>
          <t>Business to Business, Business to Schools, Business to Consumer, Business to Government</t>
        </is>
      </c>
      <c r="T468" s="1" t="inlineStr">
        <is>
          <t>Corporate Training, Vocational Education and Training (VET)</t>
        </is>
      </c>
      <c r="U468" s="1" t="inlineStr">
        <is>
          <t>System/Administrative, Student interfacing</t>
        </is>
      </c>
      <c r="V468" s="1" t="inlineStr">
        <is>
          <t>Compliance Training Certification for Aviation Industry</t>
        </is>
      </c>
      <c r="W468" s="1" t="inlineStr">
        <is>
          <t>Compliance Training Certification for Aviation Industry</t>
        </is>
      </c>
      <c r="X468" s="10" t="inlineStr">
        <is>
          <t>Compliance Training Certification for Maritime Industry</t>
        </is>
      </c>
      <c r="Y468" t="inlineStr">
        <is>
          <t>Compliance Training Certification for Maritime Industry</t>
        </is>
      </c>
      <c r="Z468" s="1" t="inlineStr">
        <is>
          <t>https://drive.google.com/uc?export=view&amp;id=1kfn4Hd9j12lC1iLcsjAhGeVkf_ZVcGf5</t>
        </is>
      </c>
      <c r="AA468" s="1" t="inlineStr">
        <is>
          <t>Unverified</t>
        </is>
      </c>
      <c r="AB468" s="1" t="n"/>
      <c r="AC468" s="1" t="n"/>
      <c r="AD468" s="10" t="n"/>
      <c r="AE468" s="1" t="n"/>
      <c r="AF468" s="1" t="inlineStr">
        <is>
          <t>Yes</t>
        </is>
      </c>
      <c r="AG468" s="1" t="inlineStr">
        <is>
          <t>https://www.linkedin.com/in/parneetsb</t>
        </is>
      </c>
      <c r="AH468" s="1" t="inlineStr">
        <is>
          <t>Mandatorytrain</t>
        </is>
      </c>
      <c r="AI468" t="inlineStr">
        <is>
          <t>https://www.linkedin.com/in/parneetsb</t>
        </is>
      </c>
    </row>
    <row r="469" ht="12.5" customHeight="1">
      <c r="A469" s="6" t="n">
        <v>45370</v>
      </c>
      <c r="B469" s="1" t="inlineStr">
        <is>
          <t>ORG_1115</t>
        </is>
      </c>
      <c r="C469" s="1" t="b">
        <v>1</v>
      </c>
      <c r="D469" s="1" t="inlineStr">
        <is>
          <t>ATERMON</t>
        </is>
      </c>
      <c r="E469" s="10" t="inlineStr">
        <is>
          <t>https://www.atermon.nl</t>
        </is>
      </c>
      <c r="F469" t="inlineStr">
        <is>
          <t>atermon.nl</t>
        </is>
      </c>
      <c r="G469" s="1" t="inlineStr">
        <is>
          <t>We are an educational gaming company. We use gaming to enhance learning and create awareness. From gamified learning to “learnified” gaming.
In today's digital landscape, businesses and education providers are seeking innovative ways to engage their audience and leave a lasting impact. Knowledge games can serve this well.
We use the power of games with creative thinking and digital innovation to help our customers communicate better with their audiences.
Our mission is to provide the most engaging means of capturing the attention of target audiences through interactive experiences combining entertainment and learning. We use games to fulfil our mission as they proven to be highly effective in:
- Enhancing knowledge retention
- Nurturing critical thinking
- Producing learning from joy</t>
        </is>
      </c>
      <c r="H469" s="1" t="inlineStr">
        <is>
          <t>Dutch EdTech</t>
        </is>
      </c>
      <c r="I469" s="1" t="inlineStr">
        <is>
          <t>English</t>
        </is>
      </c>
      <c r="J469" s="1" t="inlineStr">
        <is>
          <t>Rotterdam</t>
        </is>
      </c>
      <c r="K469" t="inlineStr">
        <is>
          <t>Rotterdam</t>
        </is>
      </c>
      <c r="L469" t="inlineStr">
        <is>
          <t>Rotterdam, The Netherlands</t>
        </is>
      </c>
      <c r="M469" t="n">
        <v>51.9563359</v>
      </c>
      <c r="N469" t="n">
        <v>4.4397319</v>
      </c>
      <c r="O469" s="1" t="inlineStr">
        <is>
          <t>The Netherlands</t>
        </is>
      </c>
      <c r="P469" s="1" t="inlineStr">
        <is>
          <t>Cyprus, France, Germany, Greece, Netherlands, Poland, Spain, United Kingdom</t>
        </is>
      </c>
      <c r="Q469" s="1" t="inlineStr">
        <is>
          <t>11 to 50</t>
        </is>
      </c>
      <c r="R469" t="inlineStr">
        <is>
          <t>Small</t>
        </is>
      </c>
      <c r="S469" s="1" t="inlineStr">
        <is>
          <t>Business to Business, Business to Consumer, Business to Government, Business to Schools</t>
        </is>
      </c>
      <c r="T469" s="1" t="inlineStr">
        <is>
          <t>Primary Education, Secondary Education, Vocational Education and Training (VET), Higher Education</t>
        </is>
      </c>
      <c r="U469" s="1" t="inlineStr">
        <is>
          <t>System/Administrative, Student interfacing, Teacher interfacing</t>
        </is>
      </c>
      <c r="V469" s="1" t="inlineStr">
        <is>
          <t>Minecraft Escape Rooms</t>
        </is>
      </c>
      <c r="W469" s="1" t="inlineStr">
        <is>
          <t>Our Escape Rooms offering covers:
- Creation of custom Escape Rooms for any knowledge subject.
- Customisation of existing Escape Room templates based on customer needs.
- Provision of Escape Room templates and resources for creating your own Escape Room series.</t>
        </is>
      </c>
      <c r="X469" s="10" t="inlineStr">
        <is>
          <t>https://drive.google.com/uc?export=view&amp;id=19Vb79HH-Z5obvWMmo3neHJhmjZikg9ME</t>
        </is>
      </c>
      <c r="Y469" t="inlineStr">
        <is>
          <t>https://drive.google.com/uc?export=view&amp;id=19Vb79HH-Z5obvWMmo3neHJhmjZikg9ME</t>
        </is>
      </c>
      <c r="Z469" s="1" t="inlineStr">
        <is>
          <t>https://drive.google.com/uc?export=view&amp;id=19Vb79HH-Z5obvWMmo3neHJhmjZikg9ME</t>
        </is>
      </c>
      <c r="AA469" s="1" t="inlineStr">
        <is>
          <t>Unverified</t>
        </is>
      </c>
      <c r="AB469" s="1" t="n"/>
      <c r="AC469" s="1" t="n"/>
      <c r="AD469" s="10" t="n"/>
      <c r="AE469" s="1" t="n"/>
      <c r="AF469" s="1" t="inlineStr">
        <is>
          <t>Yes</t>
        </is>
      </c>
      <c r="AG469" s="1" t="inlineStr">
        <is>
          <t>@atermonnl</t>
        </is>
      </c>
      <c r="AH469" s="1" t="inlineStr">
        <is>
          <t>https://www.linkedin.com/company/atermon-rotterdam</t>
        </is>
      </c>
      <c r="AI469" t="inlineStr">
        <is>
          <t>https://www.linkedin.com/company/atermon-rotterdam</t>
        </is>
      </c>
    </row>
    <row r="470" ht="12.5" customHeight="1">
      <c r="A470" s="6" t="n">
        <v>45370</v>
      </c>
      <c r="B470" s="1" t="inlineStr">
        <is>
          <t>ORG_1926</t>
        </is>
      </c>
      <c r="C470" s="1" t="b">
        <v>1</v>
      </c>
      <c r="D470" s="1" t="inlineStr">
        <is>
          <t>Math-Center</t>
        </is>
      </c>
      <c r="E470" s="10" t="inlineStr">
        <is>
          <t>https://math-center.org/</t>
        </is>
      </c>
      <c r="F470" t="inlineStr">
        <is>
          <t>math-center.org</t>
        </is>
      </c>
      <c r="G470" s="1" t="inlineStr">
        <is>
          <t>Math-Center set its mission to provide attainable education for everyone. 
Math-Center's robust educational platform is focused on enabling students learn and improve math skills through interactive and printable exercises over any device.</t>
        </is>
      </c>
      <c r="H470" s="1" t="inlineStr">
        <is>
          <t>I'm not part of any EdTech association</t>
        </is>
      </c>
      <c r="I470" s="1" t="inlineStr">
        <is>
          <t>German, French, Spanish, Portuguese, Russian, Arabic, Hebrew, English</t>
        </is>
      </c>
      <c r="J470" s="1" t="inlineStr">
        <is>
          <t>Bney Brak</t>
        </is>
      </c>
      <c r="K470" t="inlineStr">
        <is>
          <t>Bney Brak</t>
        </is>
      </c>
      <c r="L470" t="inlineStr">
        <is>
          <t>Bney Brak, Israel</t>
        </is>
      </c>
      <c r="M470" t="n">
        <v>32.1034956</v>
      </c>
      <c r="N470" t="n">
        <v>34.836116</v>
      </c>
      <c r="O470" s="1" t="inlineStr">
        <is>
          <t>Israel</t>
        </is>
      </c>
      <c r="P470" s="1" t="inlineStr">
        <is>
          <t>Austria, Azerbaijan, Belarus, Belgium, France, Germany, Ireland, Kazakhstan, Latvia, Luxembourg, Monaco, Portugal, Spain, Switzerland, Ukraine, United Kingdom</t>
        </is>
      </c>
      <c r="Q470" s="1" t="inlineStr">
        <is>
          <t>6 to 10</t>
        </is>
      </c>
      <c r="R470" t="inlineStr">
        <is>
          <t>Micro</t>
        </is>
      </c>
      <c r="S470" s="1" t="inlineStr">
        <is>
          <t>Business to Business, Business to Schools, Business to Consumer</t>
        </is>
      </c>
      <c r="T470" s="1" t="inlineStr">
        <is>
          <t>Primary Education</t>
        </is>
      </c>
      <c r="U470" s="1" t="inlineStr">
        <is>
          <t>System/Administrative, Teacher interfacing</t>
        </is>
      </c>
      <c r="V470" s="1" t="inlineStr">
        <is>
          <t>Math-Center</t>
        </is>
      </c>
      <c r="W470" s="1" t="inlineStr">
        <is>
          <t>Math-Center's robust educational platform is focused on enabling students learn and improve math skills through interactive and printable exercises over any device. Math Center platform is localized for over 50 countries curriculums with content in 8 languages, serving families and teachers everywhere. The platform has both a family subscription and a teacher subscription. Math-Center is simple, effective and inexpensive. So far we reached millions of users around the world spread over 50+ countries, and we continue to grow fast.</t>
        </is>
      </c>
      <c r="X470" s="10" t="inlineStr">
        <is>
          <t>https://drive.google.com/uc?export=view&amp;id=19n47qN8_HvnR6RUzscpDoLtAmlWMP-_a</t>
        </is>
      </c>
      <c r="Y470" t="inlineStr">
        <is>
          <t>https://drive.google.com/uc?export=view&amp;id=19n47qN8_HvnR6RUzscpDoLtAmlWMP-_a</t>
        </is>
      </c>
      <c r="Z470" s="1" t="inlineStr">
        <is>
          <t>https://drive.google.com/uc?export=view&amp;id=19n47qN8_HvnR6RUzscpDoLtAmlWMP-_a</t>
        </is>
      </c>
      <c r="AA470" s="1" t="inlineStr">
        <is>
          <t>Unverified</t>
        </is>
      </c>
      <c r="AB470" s="1" t="n"/>
      <c r="AC470" s="1" t="n"/>
      <c r="AD470" s="10" t="n"/>
      <c r="AE470" s="1" t="n"/>
      <c r="AF470" t="inlineStr">
        <is>
          <t>Yes</t>
        </is>
      </c>
      <c r="AG470" t="inlineStr">
        <is>
          <t>https://www.linkedin.com/company/mathcenter/</t>
        </is>
      </c>
      <c r="AH470" t="inlineStr">
        <is>
          <t>https://www.linkedin.com/company/mathcenter/</t>
        </is>
      </c>
      <c r="AI470" t="inlineStr">
        <is>
          <t>https://www.linkedin.com/company/mathcenter/</t>
        </is>
      </c>
    </row>
    <row r="471" ht="12.5" customHeight="1">
      <c r="A471" s="6" t="n">
        <v>45370</v>
      </c>
      <c r="B471" s="1" t="inlineStr">
        <is>
          <t>ORG_2018</t>
        </is>
      </c>
      <c r="C471" s="1" t="b">
        <v>1</v>
      </c>
      <c r="D471" s="1" t="inlineStr">
        <is>
          <t>NANOGA</t>
        </is>
      </c>
      <c r="E471" s="10" t="inlineStr">
        <is>
          <t>www.nanoga.com</t>
        </is>
      </c>
      <c r="F471" t="inlineStr">
        <is>
          <t>nanoga.com</t>
        </is>
      </c>
      <c r="G471" s="1" t="inlineStr">
        <is>
          <t>It is in our common interest that every school and SME get access to the collaborative and digital learning regardless to their size and budget. To enable the collaborative learning, we need performant large interactive displays (55~85 in size). However, existing offers are often prohibitively expensive, resulting in a low penetration (especially in south hemisphere countries).
For this reason, we developed a Smart Glass solution, respectful to the environment and able to convert ANY commercial TV screen into a Digital Whiteboard at very affordable cost. 
This represents a unique opportunity for schools &amp; SMEs to access the collaborative and digital learning within the limit of their budgets (very often small). As well, it will create new market segments and open it to new players willing to invest it.</t>
        </is>
      </c>
      <c r="H471" s="1" t="inlineStr">
        <is>
          <t>I'm not part of any EdTech association</t>
        </is>
      </c>
      <c r="I471" s="1" t="n"/>
      <c r="J471" s="1" t="inlineStr">
        <is>
          <t>Lausanne</t>
        </is>
      </c>
      <c r="K471" t="inlineStr">
        <is>
          <t>Lausanne</t>
        </is>
      </c>
      <c r="L471" t="inlineStr">
        <is>
          <t>Lausanne, Switzerland</t>
        </is>
      </c>
      <c r="M471" t="n">
        <v>46.5218269</v>
      </c>
      <c r="N471" t="n">
        <v>6.6327025</v>
      </c>
      <c r="O471" s="1" t="inlineStr">
        <is>
          <t>Switzerland</t>
        </is>
      </c>
      <c r="P471" s="1" t="inlineStr">
        <is>
          <t>Switzerland</t>
        </is>
      </c>
      <c r="Q471" s="1" t="inlineStr">
        <is>
          <t>0 to 2</t>
        </is>
      </c>
      <c r="R471" t="inlineStr">
        <is>
          <t>Solo entrepreneur</t>
        </is>
      </c>
      <c r="S471" s="1" t="inlineStr">
        <is>
          <t>Business to Business, Business to Schools, Business to Government</t>
        </is>
      </c>
      <c r="T471" s="1" t="inlineStr">
        <is>
          <t>Primary Education, Secondary Education, Corporate Training, Vocational Education and Training (VET), Higher Education</t>
        </is>
      </c>
      <c r="U471" s="1" t="inlineStr">
        <is>
          <t>Teacher interfacing, System/Administrative</t>
        </is>
      </c>
      <c r="V471" s="1" t="inlineStr">
        <is>
          <t>NANODINK</t>
        </is>
      </c>
      <c r="W471" s="1" t="inlineStr">
        <is>
          <t>We offer to TV display screen manufacturers a new Pen Interactive technology and which can be integrated within the display front cover glass. With the use of a dedicated optical pen, it is possible to write and draw on the screen at natural hand-speed and interact with any educational digital content. 
The technology is cost-effective and easy to integrate in any display panel manufacture.</t>
        </is>
      </c>
      <c r="X471" s="10" t="n"/>
      <c r="Z471" s="1" t="n"/>
      <c r="AA471" s="1" t="inlineStr">
        <is>
          <t>Unverified</t>
        </is>
      </c>
      <c r="AB471" s="1" t="n"/>
      <c r="AC471" s="1" t="n"/>
      <c r="AD471" s="1" t="n"/>
      <c r="AE471" s="1" t="n"/>
      <c r="AF471" s="1" t="inlineStr">
        <is>
          <t>Yes</t>
        </is>
      </c>
      <c r="AG471" s="1" t="inlineStr">
        <is>
          <t>https://www.linkedin.com/company/nanoga/?viewAsMember=true</t>
        </is>
      </c>
      <c r="AH471" s="1" t="inlineStr">
        <is>
          <t>https://www.linkedin.com/company/nanoga/?viewAsMember=true</t>
        </is>
      </c>
      <c r="AI471" s="1" t="inlineStr">
        <is>
          <t>https://www.linkedin.com/company/nanoga/?viewAsMember=true</t>
        </is>
      </c>
      <c r="AJ471" s="1" t="n"/>
    </row>
    <row r="472" ht="12.5" customHeight="1">
      <c r="A472" s="6" t="n">
        <v>45370</v>
      </c>
      <c r="B472" s="1" t="inlineStr">
        <is>
          <t>ORG_2573</t>
        </is>
      </c>
      <c r="C472" s="1" t="b">
        <v>1</v>
      </c>
      <c r="D472" s="1" t="inlineStr">
        <is>
          <t>Zoe Immersive</t>
        </is>
      </c>
      <c r="E472" s="10" t="inlineStr">
        <is>
          <t>https://zoeimmersive.com</t>
        </is>
      </c>
      <c r="F472" t="inlineStr">
        <is>
          <t>zoeimmersive.com</t>
        </is>
      </c>
      <c r="G472" s="1" t="inlineStr">
        <is>
          <t>Zoe Immersive is a Los Angeles and Geneva based software company democratising content creation &amp; education technology using 3D/AR/VR. We develop Zoe, a platform that empowers individuals, educational institutions and businesses to create, share and monetise their knowledge and work through interactive 3D content, accessible on various devices, from mobile to VR headsets.</t>
        </is>
      </c>
      <c r="H472" s="1" t="inlineStr">
        <is>
          <t>Swiss EdTech Collider</t>
        </is>
      </c>
      <c r="I472" s="1" t="inlineStr">
        <is>
          <t>English</t>
        </is>
      </c>
      <c r="J472" s="1" t="inlineStr">
        <is>
          <t>Geneva</t>
        </is>
      </c>
      <c r="K472" t="inlineStr">
        <is>
          <t>Geneva</t>
        </is>
      </c>
      <c r="L472" t="inlineStr">
        <is>
          <t>Geneva, Switzerland</t>
        </is>
      </c>
      <c r="M472" t="n">
        <v>46.2017559</v>
      </c>
      <c r="N472" t="n">
        <v>6.1466014</v>
      </c>
      <c r="O472" s="1" t="inlineStr">
        <is>
          <t>Switzerland</t>
        </is>
      </c>
      <c r="P472" s="1" t="inlineStr">
        <is>
          <t>Switzerland</t>
        </is>
      </c>
      <c r="Q472" s="1" t="inlineStr">
        <is>
          <t>3 to 5</t>
        </is>
      </c>
      <c r="R472" t="inlineStr">
        <is>
          <t>Micro</t>
        </is>
      </c>
      <c r="S472" s="1" t="inlineStr">
        <is>
          <t>Business to Business</t>
        </is>
      </c>
      <c r="T472" s="1" t="inlineStr">
        <is>
          <t>Secondary Education, Corporate Training, Lifelong learning/Adult education, Higher Education</t>
        </is>
      </c>
      <c r="U472" s="1" t="inlineStr">
        <is>
          <t>Student interfacing, Teacher interfacing, System/Administrative</t>
        </is>
      </c>
      <c r="V472" s="10" t="inlineStr">
        <is>
          <t>Zoe Immersive App</t>
        </is>
      </c>
      <c r="W472" s="1" t="inlineStr">
        <is>
          <t>Standalone application available on mobile and VR headsets allowing anyone to create fully interactive experiences in a fun and easy way, as well as host activities with other users in real-time!</t>
        </is>
      </c>
      <c r="X472" s="10" t="inlineStr">
        <is>
          <t>Zoe for Unity</t>
        </is>
      </c>
      <c r="Y472" t="inlineStr">
        <is>
          <t>Zoe for Unity transforms your favorite game engine (Unity 3D) into a no-code creation tool, giving you the power to customize everything and create interactive content faster than ever without having to re-invent the wheel every time!</t>
        </is>
      </c>
      <c r="Z472" s="1" t="inlineStr">
        <is>
          <t>https://drive.google.com/uc?export=view&amp;id=1QqnTeGTA-or17kmLEMPNMskgH65uj9Vm</t>
        </is>
      </c>
      <c r="AA472" s="1" t="inlineStr">
        <is>
          <t>Unverified</t>
        </is>
      </c>
      <c r="AB472" s="1" t="n"/>
      <c r="AC472" s="1" t="n"/>
      <c r="AD472" s="10" t="n"/>
      <c r="AE472" s="1" t="n"/>
      <c r="AF472" s="1" t="inlineStr">
        <is>
          <t>Yes</t>
        </is>
      </c>
      <c r="AG472" s="1" t="inlineStr">
        <is>
          <t>https://www.instagram.com/zoeimmersive/?hl=en</t>
        </is>
      </c>
      <c r="AH472" s="1" t="inlineStr">
        <is>
          <t>https://ch.linkedin.com/company/zoe-immersive</t>
        </is>
      </c>
      <c r="AI472" t="inlineStr">
        <is>
          <t>https://ch.linkedin.com/company/zoe-immersive</t>
        </is>
      </c>
    </row>
    <row r="473" ht="12.5" customHeight="1">
      <c r="A473" s="6" t="n">
        <v>45370</v>
      </c>
      <c r="B473" s="1" t="inlineStr">
        <is>
          <t>ORG_1141</t>
        </is>
      </c>
      <c r="C473" s="1" t="b">
        <v>1</v>
      </c>
      <c r="D473" s="1" t="inlineStr">
        <is>
          <t>Bealink</t>
        </is>
      </c>
      <c r="E473" s="10" t="inlineStr">
        <is>
          <t>https://bealink.io/en/</t>
        </is>
      </c>
      <c r="F473" t="inlineStr">
        <is>
          <t>bealink.io/en</t>
        </is>
      </c>
      <c r="G473" s="1" t="inlineStr">
        <is>
          <t>Bealink is a corporate learning platform editor. 
With it's second to none integration capabilities, Bealink helps organisations build a true learning ecosystem around their content, tools and people. Streamline Upskilling™ provides an end-to-end workflow for skills development by cleverly linking jobs, skills, development goals, evaluation and certification, performance interviews, training requests and development plans... together to make it as easy as possible for your people to grow and significantly reduce "time to skill" on both the learner and the administrative side. The experience within the platform is completely personalized according to the learners context, interest, skills and goals and it's easy for them to plan and track their learning from the platform's dahsboard. The platform also supports the widest variety of "learning moments" and makes it easy to build amazing learning experiences. Finally, people and the interactions between them also play a important part in your learning ecosystem and Bealink provides the tools your people need to share knowledge at scale directly in the platform's front-office.</t>
        </is>
      </c>
      <c r="H473" s="1" t="inlineStr">
        <is>
          <t>EdTech France</t>
        </is>
      </c>
      <c r="I473" s="1" t="inlineStr">
        <is>
          <t>French, English, Spanish</t>
        </is>
      </c>
      <c r="J473" s="1" t="inlineStr">
        <is>
          <t>Suresnes</t>
        </is>
      </c>
      <c r="K473" t="inlineStr">
        <is>
          <t>Suresnes</t>
        </is>
      </c>
      <c r="L473" t="inlineStr">
        <is>
          <t>Suresnes, France</t>
        </is>
      </c>
      <c r="M473" t="n">
        <v>48.8709053</v>
      </c>
      <c r="N473" t="n">
        <v>2.2255727</v>
      </c>
      <c r="O473" s="1" t="inlineStr">
        <is>
          <t>France</t>
        </is>
      </c>
      <c r="P473"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473" s="1" t="inlineStr">
        <is>
          <t>11 to 50</t>
        </is>
      </c>
      <c r="R473" t="inlineStr">
        <is>
          <t>Small</t>
        </is>
      </c>
      <c r="S473" s="1" t="inlineStr">
        <is>
          <t>Business to Business, Business to Schools, Business to Government</t>
        </is>
      </c>
      <c r="T473" s="1" t="inlineStr">
        <is>
          <t>Corporate Training, Lifelong learning/Adult education</t>
        </is>
      </c>
      <c r="U473" s="1" t="inlineStr">
        <is>
          <t>System/Administrative</t>
        </is>
      </c>
      <c r="V473" s="1" t="inlineStr">
        <is>
          <t>Bealink LXP</t>
        </is>
      </c>
      <c r="W473" s="1" t="inlineStr">
        <is>
          <t>With it's second to none integration capabilities, Bealink LXP helps organisations build a true learning ecosystem around their content, tools and people. Streamline Upskilling™ provides an end-to-end workflow for skills development by cleverly linking jobs, skills, development goals, evaluation and certification, performance interviews, training requests and development plans...</t>
        </is>
      </c>
      <c r="X473" s="10" t="inlineStr">
        <is>
          <t>Bealink LRS</t>
        </is>
      </c>
      <c r="Y473" t="inlineStr">
        <is>
          <t>Bealink LRS is a fully scalable Learning Data solution for companies wanting to put in place a standardisez data architecture for their learning ecosystem.</t>
        </is>
      </c>
      <c r="Z473" s="1" t="n"/>
      <c r="AA473" s="1" t="inlineStr">
        <is>
          <t>Unverified</t>
        </is>
      </c>
      <c r="AB473" s="1" t="n"/>
      <c r="AC473" s="1" t="n"/>
      <c r="AD473" s="1" t="n"/>
      <c r="AE473" s="1" t="n"/>
      <c r="AF473" s="1" t="inlineStr">
        <is>
          <t>Yes</t>
        </is>
      </c>
      <c r="AG473" s="1" t="inlineStr">
        <is>
          <t>https://www.linkedin.com/company/bealink/</t>
        </is>
      </c>
      <c r="AH473" s="1" t="inlineStr">
        <is>
          <t>https://www.linkedin.com/company/bealink/</t>
        </is>
      </c>
      <c r="AI473" t="inlineStr">
        <is>
          <t>https://www.linkedin.com/company/bealink/</t>
        </is>
      </c>
    </row>
    <row r="474" ht="12.5" customHeight="1">
      <c r="A474" s="6" t="n">
        <v>45370</v>
      </c>
      <c r="B474" s="1" t="inlineStr">
        <is>
          <t>ORG_2274</t>
        </is>
      </c>
      <c r="C474" s="1" t="b">
        <v>1</v>
      </c>
      <c r="D474" s="1" t="inlineStr">
        <is>
          <t>SmaLeTax</t>
        </is>
      </c>
      <c r="E474" s="10" t="inlineStr">
        <is>
          <t>https://stbv-bremen.de/services/smaletax/</t>
        </is>
      </c>
      <c r="F474" t="inlineStr">
        <is>
          <t>stbv-bremen.de/services/smaletax</t>
        </is>
      </c>
      <c r="G474" s="1" t="inlineStr">
        <is>
          <t>The SmaLeTax project – short for “Smart Learning Taxes” – wants to actively shape the future of learning and knowledge transfer in the tax industry. For this purpose, the Tax Consultants Association in the State of Bremen e.V. is launching an experimental project for the development and use of artificial intelligence (AI) in continuing professional development with this research project.
The aim of the project is to set up and test a digital learning environment for trainees and employees of tax consulting firms and auditing firms, which enables individual knowledge transfer tailored to the needs of the participants.
The project is funded by the Federal Ministry of Labor and Social Affairs (BMAS) through the New Quality of Work Initiative (INQA) and is part of the federal government's “Artificial Intelligence (AI) Strategy”.</t>
        </is>
      </c>
      <c r="H474" s="1" t="inlineStr">
        <is>
          <t>I'm not part of any EdTech association</t>
        </is>
      </c>
      <c r="I474" s="1" t="inlineStr">
        <is>
          <t>German</t>
        </is>
      </c>
      <c r="J474" s="1" t="inlineStr">
        <is>
          <t>Bremen</t>
        </is>
      </c>
      <c r="K474" t="inlineStr">
        <is>
          <t>Bremen</t>
        </is>
      </c>
      <c r="L474" t="inlineStr">
        <is>
          <t>Bremen, Germany</t>
        </is>
      </c>
      <c r="M474" t="n">
        <v>53.0758196</v>
      </c>
      <c r="N474" t="n">
        <v>8.8071646</v>
      </c>
      <c r="O474" s="1" t="inlineStr">
        <is>
          <t>Germany</t>
        </is>
      </c>
      <c r="P474" s="1" t="inlineStr">
        <is>
          <t>Germany</t>
        </is>
      </c>
      <c r="Q474" s="1" t="inlineStr">
        <is>
          <t>6 to 10</t>
        </is>
      </c>
      <c r="R474" t="inlineStr">
        <is>
          <t>Micro</t>
        </is>
      </c>
      <c r="S474" s="1" t="inlineStr">
        <is>
          <t>Business to Business, Business to Schools, Business to Consumer, Business to Government</t>
        </is>
      </c>
      <c r="T474" s="1" t="inlineStr">
        <is>
          <t>Secondary Education, Corporate Training, Lifelong learning/Adult education, Vocational Education and Training (VET), Higher Education</t>
        </is>
      </c>
      <c r="U474" s="1" t="inlineStr">
        <is>
          <t>Teacher interfacing, System/Administrative, Student interfacing</t>
        </is>
      </c>
      <c r="V474" s="1" t="inlineStr">
        <is>
          <t>SmaLeTax - Adaptive Learning</t>
        </is>
      </c>
      <c r="W474" s="1" t="inlineStr">
        <is>
          <t>The SmaLeTax project – short for “Smart Learning Taxes” – wants to actively shape the future of learning and knowledge transfer in the tax industry. For this purpose, the Tax Consultants Association in the State of Bremen e.V. is launching an experimental project for the development and use of artificial intelligence (AI) in continuing professional development with this research project.
The aim of the project is to set up and test a digital learning environment for trainees and employees of tax consulting firms and auditing firms, which enables individual knowledge transfer tailored to the needs of the participants.
The project is funded by the Federal Ministry of Labor and Social Affairs (BMAS) through the New Quality of Work Initiative (INQA) and is part of the federal government's “Artificial Intelligence (AI) Strategy”.</t>
        </is>
      </c>
      <c r="X474" s="10" t="inlineStr">
        <is>
          <t>https://drive.google.com/uc?export=view&amp;id=1kIXOrzx5eUvGDB0Mhe0pl1dt9xpAWEzs</t>
        </is>
      </c>
      <c r="Y474" t="inlineStr">
        <is>
          <t>https://drive.google.com/uc?export=view&amp;id=1kIXOrzx5eUvGDB0Mhe0pl1dt9xpAWEzs</t>
        </is>
      </c>
      <c r="Z474" s="1" t="inlineStr">
        <is>
          <t>https://drive.google.com/uc?export=view&amp;id=1kIXOrzx5eUvGDB0Mhe0pl1dt9xpAWEzs</t>
        </is>
      </c>
      <c r="AA474" s="1" t="inlineStr">
        <is>
          <t>Unverified</t>
        </is>
      </c>
      <c r="AB474" s="1" t="n"/>
      <c r="AC474" s="1" t="n"/>
      <c r="AD474" s="10" t="n"/>
      <c r="AE474" s="1" t="n"/>
      <c r="AF474" s="1" t="inlineStr">
        <is>
          <t>Yes</t>
        </is>
      </c>
      <c r="AG474" s="1" t="inlineStr">
        <is>
          <t>https://www.linkedin.com/company/smaletax/</t>
        </is>
      </c>
      <c r="AH474" s="1" t="inlineStr">
        <is>
          <t>https://www.linkedin.com/company/smaletax/</t>
        </is>
      </c>
      <c r="AI474" s="1" t="inlineStr">
        <is>
          <t>https://www.linkedin.com/company/smaletax/</t>
        </is>
      </c>
      <c r="AJ474" s="1" t="n"/>
    </row>
    <row r="475" ht="12.5" customHeight="1">
      <c r="A475" s="6" t="n">
        <v>45370</v>
      </c>
      <c r="B475" s="1" t="inlineStr">
        <is>
          <t>ORG_2565</t>
        </is>
      </c>
      <c r="C475" s="1" t="b">
        <v>1</v>
      </c>
      <c r="D475" s="1" t="inlineStr">
        <is>
          <t>youniversapp</t>
        </is>
      </c>
      <c r="E475" s="10" t="inlineStr">
        <is>
          <t>www.youniversapp.com</t>
        </is>
      </c>
      <c r="F475" t="inlineStr">
        <is>
          <t>youniversapp.com</t>
        </is>
      </c>
      <c r="G475" s="1" t="inlineStr">
        <is>
          <t>younivers App: an interactive and evidence-based digital mental wellbeing companion
Designed by experts to empower both teens and parents.</t>
        </is>
      </c>
      <c r="H475" s="1" t="inlineStr">
        <is>
          <t>I'm not part of any EdTech association</t>
        </is>
      </c>
      <c r="I475" s="1" t="n"/>
      <c r="J475" s="1" t="inlineStr">
        <is>
          <t>C/O Factory Berlin Görlitzer Park Lohmühlenstraße 65</t>
        </is>
      </c>
      <c r="K475" t="inlineStr">
        <is>
          <t>Berlin</t>
        </is>
      </c>
      <c r="L475" t="inlineStr">
        <is>
          <t>Berlin, Germany</t>
        </is>
      </c>
      <c r="M475" t="n">
        <v>52.5173885</v>
      </c>
      <c r="N475" t="n">
        <v>13.3951309</v>
      </c>
      <c r="O475" s="1" t="inlineStr">
        <is>
          <t>Germany</t>
        </is>
      </c>
      <c r="P475" s="1" t="inlineStr">
        <is>
          <t>Germany</t>
        </is>
      </c>
      <c r="Q475" s="1" t="inlineStr">
        <is>
          <t>0 to 2</t>
        </is>
      </c>
      <c r="R475" t="inlineStr">
        <is>
          <t>Solo entrepreneur</t>
        </is>
      </c>
      <c r="S475" s="1" t="inlineStr">
        <is>
          <t>Business to Business, Business to Government</t>
        </is>
      </c>
      <c r="T475" s="1" t="inlineStr">
        <is>
          <t>Secondary Education</t>
        </is>
      </c>
      <c r="U475" s="1" t="inlineStr">
        <is>
          <t>System/Administrative, Student interfacing, Teacher interfacing</t>
        </is>
      </c>
      <c r="V475" s="1" t="inlineStr">
        <is>
          <t>https://www.linkedin.com/company/youniversapp/</t>
        </is>
      </c>
      <c r="W475" s="1" t="inlineStr">
        <is>
          <t>https://drive.google.com/uc?export=view&amp;id=1sMSwCJn0D06nj710y3LSPJIrNKbL8Uc-</t>
        </is>
      </c>
      <c r="X475" s="10" t="inlineStr">
        <is>
          <t>https://drive.google.com/uc?export=view&amp;id=1sMSwCJn0D06nj710y3LSPJIrNKbL8Uc-</t>
        </is>
      </c>
      <c r="Y475" t="inlineStr">
        <is>
          <t>https://drive.google.com/uc?export=view&amp;id=1sMSwCJn0D06nj710y3LSPJIrNKbL8Uc-</t>
        </is>
      </c>
      <c r="Z475" s="1" t="inlineStr">
        <is>
          <t>https://drive.google.com/uc?export=view&amp;id=1sMSwCJn0D06nj710y3LSPJIrNKbL8Uc-</t>
        </is>
      </c>
      <c r="AA475" s="1" t="inlineStr">
        <is>
          <t>Unverified</t>
        </is>
      </c>
      <c r="AB475" s="1" t="n"/>
      <c r="AC475" s="1" t="n"/>
      <c r="AD475" s="10" t="n"/>
      <c r="AE475" s="1" t="n"/>
      <c r="AF475" t="inlineStr">
        <is>
          <t>Yes</t>
        </is>
      </c>
      <c r="AG475" t="inlineStr">
        <is>
          <t>https://www.linkedin.com/company/youniversapp/</t>
        </is>
      </c>
      <c r="AH475" t="inlineStr">
        <is>
          <t>https://www.linkedin.com/company/youniversapp/</t>
        </is>
      </c>
      <c r="AI475" t="inlineStr">
        <is>
          <t>https://www.linkedin.com/company/youniversapp/</t>
        </is>
      </c>
    </row>
    <row r="476" ht="12.5" customHeight="1">
      <c r="A476" s="6" t="n">
        <v>45370</v>
      </c>
      <c r="B476" s="1" t="inlineStr">
        <is>
          <t>ORG_1936</t>
        </is>
      </c>
      <c r="C476" s="1" t="b">
        <v>1</v>
      </c>
      <c r="D476" s="1" t="inlineStr">
        <is>
          <t>MBA Kids</t>
        </is>
      </c>
      <c r="E476" s="10" t="inlineStr">
        <is>
          <t>www.thembakids.com</t>
        </is>
      </c>
      <c r="F476" t="inlineStr">
        <is>
          <t>thembakids.com</t>
        </is>
      </c>
      <c r="G476" s="1" t="inlineStr">
        <is>
          <t>MBA Kids is the first business school for children. Through highly disruptive workshops based on values ​​and skills from the business world, we aim to change the professional future of our sons and daughters.</t>
        </is>
      </c>
      <c r="H476" s="1" t="inlineStr">
        <is>
          <t>I'm not part of any EdTech association</t>
        </is>
      </c>
      <c r="I476" s="1" t="inlineStr">
        <is>
          <t>Spanish, English</t>
        </is>
      </c>
      <c r="J476" s="1" t="inlineStr">
        <is>
          <t>Granada</t>
        </is>
      </c>
      <c r="K476" t="inlineStr">
        <is>
          <t>Granada</t>
        </is>
      </c>
      <c r="L476" t="inlineStr">
        <is>
          <t>Granada, Spain</t>
        </is>
      </c>
      <c r="M476" t="n">
        <v>37.1734995</v>
      </c>
      <c r="N476" t="n">
        <v>-3.5995337</v>
      </c>
      <c r="O476" s="1" t="inlineStr">
        <is>
          <t>Spain</t>
        </is>
      </c>
      <c r="P476" s="1" t="inlineStr">
        <is>
          <t>Spain</t>
        </is>
      </c>
      <c r="Q476" s="1" t="inlineStr">
        <is>
          <t>3 to 5</t>
        </is>
      </c>
      <c r="R476" t="inlineStr">
        <is>
          <t>Micro</t>
        </is>
      </c>
      <c r="S476" s="1" t="inlineStr">
        <is>
          <t>Business to Schools, Business to Business</t>
        </is>
      </c>
      <c r="T476" s="1" t="inlineStr">
        <is>
          <t>Primary Education, Secondary Education</t>
        </is>
      </c>
      <c r="U476" s="1" t="inlineStr">
        <is>
          <t>System/Administrative, Student interfacing</t>
        </is>
      </c>
      <c r="V476" s="10" t="inlineStr">
        <is>
          <t>https://www.linkedin.com/company/mba-kids/</t>
        </is>
      </c>
      <c r="W476" s="1" t="inlineStr">
        <is>
          <t>https://drive.google.com/uc?export=view&amp;id=1-LDu6bFvUKENDicvH7oKbW7jer1MhYSf</t>
        </is>
      </c>
      <c r="X476" s="10" t="inlineStr">
        <is>
          <t>https://drive.google.com/uc?export=view&amp;id=1-LDu6bFvUKENDicvH7oKbW7jer1MhYSf</t>
        </is>
      </c>
      <c r="Y476" t="inlineStr">
        <is>
          <t>https://drive.google.com/uc?export=view&amp;id=1-LDu6bFvUKENDicvH7oKbW7jer1MhYSf</t>
        </is>
      </c>
      <c r="Z476" s="1" t="inlineStr">
        <is>
          <t>https://drive.google.com/uc?export=view&amp;id=1-LDu6bFvUKENDicvH7oKbW7jer1MhYSf</t>
        </is>
      </c>
      <c r="AA476" s="1" t="inlineStr">
        <is>
          <t>Unverified</t>
        </is>
      </c>
      <c r="AB476" s="1" t="n"/>
      <c r="AC476" s="1" t="n"/>
      <c r="AD476" s="10" t="n"/>
      <c r="AE476" s="1" t="n"/>
      <c r="AF476" t="inlineStr">
        <is>
          <t>Yes</t>
        </is>
      </c>
      <c r="AG476" t="inlineStr">
        <is>
          <t>https://instagram.com/mba_kids</t>
        </is>
      </c>
      <c r="AH476" t="inlineStr">
        <is>
          <t>https://www.linkedin.com/company/mba-kids/</t>
        </is>
      </c>
      <c r="AI476" t="inlineStr">
        <is>
          <t>https://www.linkedin.com/company/mba-kids/</t>
        </is>
      </c>
    </row>
    <row r="477" ht="12.5" customHeight="1">
      <c r="A477" s="6" t="n">
        <v>45370</v>
      </c>
      <c r="B477" s="1" t="inlineStr">
        <is>
          <t>ORG_2332</t>
        </is>
      </c>
      <c r="C477" s="1" t="b">
        <v>1</v>
      </c>
      <c r="D477" s="1" t="inlineStr">
        <is>
          <t>StudentGator</t>
        </is>
      </c>
      <c r="E477" s="10" t="inlineStr">
        <is>
          <t>https://www.studentgator.com/#/landing/home</t>
        </is>
      </c>
      <c r="F477" t="inlineStr">
        <is>
          <t>studentgator.com/#/landing/home</t>
        </is>
      </c>
      <c r="G477" s="1" t="inlineStr">
        <is>
          <t>Launched in 2019, StudentGator is an EdTech startup based in Paris, that uses technology to facilitate university applications for international students.
Since its creation, StudentGator has:
=&gt; Successfully aided over 1500 students in their academic journey.
=&gt; Fostered more than 100 collaborations with educational institutions in France.
=&gt; Achieved a striking 95% success rate in securing students' admission to their preferred university.</t>
        </is>
      </c>
      <c r="H477" s="1" t="inlineStr">
        <is>
          <t>I'm not part of any EdTech association</t>
        </is>
      </c>
      <c r="I477" s="1" t="inlineStr">
        <is>
          <t>English, French</t>
        </is>
      </c>
      <c r="J477" s="1" t="inlineStr">
        <is>
          <t>Paris</t>
        </is>
      </c>
      <c r="K477" t="inlineStr">
        <is>
          <t>Paris</t>
        </is>
      </c>
      <c r="L477" t="inlineStr">
        <is>
          <t>Paris, France</t>
        </is>
      </c>
      <c r="M477" t="n">
        <v>48.8534951</v>
      </c>
      <c r="N477" t="n">
        <v>2.3483915</v>
      </c>
      <c r="O477" s="1" t="inlineStr">
        <is>
          <t>France</t>
        </is>
      </c>
      <c r="P477" s="1" t="inlineStr">
        <is>
          <t>France</t>
        </is>
      </c>
      <c r="Q477" s="1" t="inlineStr">
        <is>
          <t>6 to 10</t>
        </is>
      </c>
      <c r="R477" t="inlineStr">
        <is>
          <t>Micro</t>
        </is>
      </c>
      <c r="S477" s="1" t="inlineStr">
        <is>
          <t>Business to Schools, Business to Business</t>
        </is>
      </c>
      <c r="T477" s="1" t="inlineStr">
        <is>
          <t>Higher Education</t>
        </is>
      </c>
      <c r="U477" s="1" t="inlineStr">
        <is>
          <t>Student interfacing</t>
        </is>
      </c>
      <c r="V477" s="10" t="inlineStr">
        <is>
          <t>Student Admissions</t>
        </is>
      </c>
      <c r="W477" s="1" t="inlineStr">
        <is>
          <t>"Student Admissions" service helps students identify suitable universities in France. We assist from the start, covering application processes, visa procedures, and preparations for arrival in France. We aim to provide students with consistent and quality support throughout their journey by sharing our experience of studying in France.</t>
        </is>
      </c>
      <c r="X477" s="10" t="inlineStr">
        <is>
          <t>https://drive.google.com/uc?export=view&amp;id=1C8XbdzilFmzpteNDid7gINeTIzk0sgBv</t>
        </is>
      </c>
      <c r="Y477" t="inlineStr">
        <is>
          <t>https://drive.google.com/uc?export=view&amp;id=1C8XbdzilFmzpteNDid7gINeTIzk0sgBv</t>
        </is>
      </c>
      <c r="Z477" s="1" t="inlineStr">
        <is>
          <t>https://drive.google.com/uc?export=view&amp;id=1C8XbdzilFmzpteNDid7gINeTIzk0sgBv</t>
        </is>
      </c>
      <c r="AA477" s="1" t="inlineStr">
        <is>
          <t>Unverified</t>
        </is>
      </c>
      <c r="AB477" s="1" t="n"/>
      <c r="AC477" s="1" t="n"/>
      <c r="AD477" s="10" t="n"/>
      <c r="AE477" s="1" t="n"/>
      <c r="AF477" s="1" t="inlineStr">
        <is>
          <t>Yes</t>
        </is>
      </c>
      <c r="AG477" s="1" t="inlineStr">
        <is>
          <t>https://www.instagram.com/studentgator/</t>
        </is>
      </c>
      <c r="AH477" s="1" t="inlineStr">
        <is>
          <t>https://fr.linkedin.com/company/studentgator</t>
        </is>
      </c>
      <c r="AI477" t="inlineStr">
        <is>
          <t>https://fr.linkedin.com/company/studentgator</t>
        </is>
      </c>
    </row>
    <row r="478" ht="12.5" customHeight="1">
      <c r="A478" s="6" t="n">
        <v>45370</v>
      </c>
      <c r="B478" s="1" t="inlineStr">
        <is>
          <t>ORG_1075</t>
        </is>
      </c>
      <c r="C478" s="1" t="b">
        <v>1</v>
      </c>
      <c r="D478" s="1" t="inlineStr">
        <is>
          <t>Ans</t>
        </is>
      </c>
      <c r="E478" s="10" t="inlineStr">
        <is>
          <t>https://ans.app/landing</t>
        </is>
      </c>
      <c r="F478" t="inlineStr">
        <is>
          <t>ans.app/landing</t>
        </is>
      </c>
      <c r="G478" s="1" t="inlineStr">
        <is>
          <t>Ans is a modern web-based assessment tool for students and educators. It saves you time grading, so you can get back to teaching as soon as possible. Whether you assess students on paper or digitally, you can design, grade and publish results online. Collaborate with colleagues and gain valuable insights that help improve your education. 
Assignments can be taken on-campus and remotely, for formative or summative purposes. Choose between assignment types such as handwritten assignments, digital tests, hand-in assignments, and more. Use question banks to collaborate on exercises with colleagues. Easily divide grading work per student or per question. Use analytics to improve the quality of your questions and assignments. Try out Ans to lower your workload and upgrade your assessments now.</t>
        </is>
      </c>
      <c r="H478" s="1" t="inlineStr">
        <is>
          <t>I'm not part of any EdTech association</t>
        </is>
      </c>
      <c r="I478" s="1" t="inlineStr">
        <is>
          <t>English, Dutch, French, German</t>
        </is>
      </c>
      <c r="J478" s="1" t="inlineStr">
        <is>
          <t>Delft</t>
        </is>
      </c>
      <c r="K478" t="inlineStr">
        <is>
          <t>Delft</t>
        </is>
      </c>
      <c r="L478" t="inlineStr">
        <is>
          <t>Delft, The Netherlands</t>
        </is>
      </c>
      <c r="M478" t="n">
        <v>52.0016196</v>
      </c>
      <c r="N478" t="n">
        <v>4.3680178</v>
      </c>
      <c r="O478" s="1" t="inlineStr">
        <is>
          <t>The Netherlands</t>
        </is>
      </c>
      <c r="P478" s="1" t="inlineStr">
        <is>
          <t>Belgium, Germany, Italy, Luxembourg, Netherlands, Spain, Switzerland, United Kingdom</t>
        </is>
      </c>
      <c r="Q478" s="1" t="inlineStr">
        <is>
          <t>11 to 50</t>
        </is>
      </c>
      <c r="R478" t="inlineStr">
        <is>
          <t>Small</t>
        </is>
      </c>
      <c r="S478" s="1" t="inlineStr">
        <is>
          <t>Business to Business</t>
        </is>
      </c>
      <c r="T478" s="1" t="inlineStr">
        <is>
          <t>Vocational Education and Training (VET), Higher Education</t>
        </is>
      </c>
      <c r="U478" s="1" t="inlineStr">
        <is>
          <t>Student interfacing, Teacher interfacing, System/Administrative</t>
        </is>
      </c>
      <c r="V478" s="1" t="inlineStr">
        <is>
          <t>Ans</t>
        </is>
      </c>
      <c r="W478" s="1" t="inlineStr">
        <is>
          <t>Ans is a modern web-based assessment tool for students and educators. It saves you time grading, so you can get back to teaching as soon as possible. Whether you assess students on paper or digitally, you can design, grade and publish results online. Collaborate with colleagues and gain valuable insights that help improve your education.</t>
        </is>
      </c>
      <c r="X478" s="10" t="inlineStr">
        <is>
          <t>https://drive.google.com/uc?export=view&amp;id=1jYxeDcgQ59nUKCu4OWNzvlOmUo_XpIKN</t>
        </is>
      </c>
      <c r="Y478" t="inlineStr">
        <is>
          <t>https://drive.google.com/uc?export=view&amp;id=1jYxeDcgQ59nUKCu4OWNzvlOmUo_XpIKN</t>
        </is>
      </c>
      <c r="Z478" s="1" t="inlineStr">
        <is>
          <t>https://drive.google.com/uc?export=view&amp;id=1jYxeDcgQ59nUKCu4OWNzvlOmUo_XpIKN</t>
        </is>
      </c>
      <c r="AA478" s="1" t="inlineStr">
        <is>
          <t>Unverified</t>
        </is>
      </c>
      <c r="AB478" s="1" t="n"/>
      <c r="AC478" s="1" t="n"/>
      <c r="AD478" s="10" t="n"/>
      <c r="AE478" s="1" t="n"/>
      <c r="AF478" t="inlineStr">
        <is>
          <t>Yes</t>
        </is>
      </c>
      <c r="AG478" t="inlineStr">
        <is>
          <t>https://www.linkedin.com/company/ans-exam</t>
        </is>
      </c>
      <c r="AH478" t="inlineStr">
        <is>
          <t>https://www.linkedin.com/company/ans-exam</t>
        </is>
      </c>
      <c r="AI478" t="inlineStr">
        <is>
          <t>https://www.linkedin.com/company/ans-exam</t>
        </is>
      </c>
    </row>
    <row r="479" ht="12.5" customHeight="1">
      <c r="A479" s="6" t="n">
        <v>45370</v>
      </c>
      <c r="B479" s="1" t="inlineStr">
        <is>
          <t>ORG_1243</t>
        </is>
      </c>
      <c r="C479" s="1" t="b">
        <v>1</v>
      </c>
      <c r="D479" s="1" t="inlineStr">
        <is>
          <t>Claned</t>
        </is>
      </c>
      <c r="E479" s="10" t="inlineStr">
        <is>
          <t>https://claned.com</t>
        </is>
      </c>
      <c r="F479" t="inlineStr">
        <is>
          <t>claned.com</t>
        </is>
      </c>
      <c r="G479" s="1" t="inlineStr">
        <is>
          <t>The most comprehensive digital learning solution in the market consisting of three pillars: automated learning design, highly engaging learning experience platform and unique learning analytics measuring the impact of learning on individual and organizational level this linking learning to business operations and their KPI's.</t>
        </is>
      </c>
      <c r="H479" s="1" t="inlineStr">
        <is>
          <t>EdTech Finland, SEK Lab, xEdu</t>
        </is>
      </c>
      <c r="I479" s="1" t="n"/>
      <c r="J479" s="1" t="inlineStr">
        <is>
          <t>Helsinki</t>
        </is>
      </c>
      <c r="K479" t="inlineStr">
        <is>
          <t>Helsinki</t>
        </is>
      </c>
      <c r="L479" t="inlineStr">
        <is>
          <t>Helsinki, Finland</t>
        </is>
      </c>
      <c r="M479" t="n">
        <v>60.1666204</v>
      </c>
      <c r="N479" t="n">
        <v>24.9435408</v>
      </c>
      <c r="O479" s="1" t="inlineStr">
        <is>
          <t>Finland</t>
        </is>
      </c>
      <c r="P479" s="1" t="inlineStr">
        <is>
          <t>Austria, Belgium, Bosnia and Herzegovina, Bulgaria, Croatia, Czechia, Denmark, Estonia, Finland, France, Georgia, Germany, Greece, Hungary, Iceland, Ireland, Italy, Kazakhstan, Latvia, Liechtenstein, Lithuania, Luxembourg, Malta, Netherlands, Norway, Poland, Portugal, Romania, Slovakia, Slovenia, Spain, Sweden, Switzerland, Turkey, Ukraine, United Kingdom</t>
        </is>
      </c>
      <c r="Q479" s="1" t="inlineStr">
        <is>
          <t>11 to 50</t>
        </is>
      </c>
      <c r="R479" t="inlineStr">
        <is>
          <t>Small</t>
        </is>
      </c>
      <c r="S479" s="1" t="inlineStr">
        <is>
          <t>Business to Business</t>
        </is>
      </c>
      <c r="T479" s="1" t="inlineStr">
        <is>
          <t>Primary Education, Secondary Education, Corporate Training, Lifelong learning/Adult education, Vocational Education and Training (VET), Higher Education</t>
        </is>
      </c>
      <c r="U479" s="1" t="inlineStr">
        <is>
          <t>Student interfacing, Teacher interfacing, System/Administrative</t>
        </is>
      </c>
      <c r="V479" s="1" t="inlineStr">
        <is>
          <t>Claned Learning Design</t>
        </is>
      </c>
      <c r="W479" s="1" t="inlineStr">
        <is>
          <t>Automated learning design to ensure your online learning experience is engaging and effective. Also available as professional service</t>
        </is>
      </c>
      <c r="X479" s="10" t="inlineStr">
        <is>
          <t>Claned Learning Platform</t>
        </is>
      </c>
      <c r="Y479" t="inlineStr">
        <is>
          <t>Modern LXP offering unmatched user engagement, versatile use of any content formats, apps and tools, compatibility with any other software stack and vast social learning and collaboration functionalities. Everything ready to rock in minutes.</t>
        </is>
      </c>
      <c r="Z479" s="1" t="inlineStr">
        <is>
          <t>https://drive.google.com/uc?export=view&amp;id=1pnlI5WeAgXQF1rw00C-bYZQalLXG5VsK</t>
        </is>
      </c>
      <c r="AA479" s="1" t="inlineStr">
        <is>
          <t>Unverified</t>
        </is>
      </c>
      <c r="AB479" s="1" t="n"/>
      <c r="AC479" s="1" t="n"/>
      <c r="AD479" s="10" t="n"/>
      <c r="AE479" s="1" t="n"/>
      <c r="AF479" s="1" t="inlineStr">
        <is>
          <t>Yes</t>
        </is>
      </c>
      <c r="AG479" s="1" t="inlineStr">
        <is>
          <t>@clanedworld</t>
        </is>
      </c>
      <c r="AH479" s="1" t="inlineStr">
        <is>
          <t>@Claned_</t>
        </is>
      </c>
      <c r="AI479" t="inlineStr">
        <is>
          <t>https://www.linkedin.com/company/claned-group</t>
        </is>
      </c>
    </row>
    <row r="480" ht="12.5" customHeight="1">
      <c r="A480" s="6" t="n">
        <v>45366</v>
      </c>
      <c r="B480" s="1" t="inlineStr">
        <is>
          <t>ORG_1303</t>
        </is>
      </c>
      <c r="C480" s="1" t="b">
        <v>1</v>
      </c>
      <c r="D480" s="1" t="inlineStr">
        <is>
          <t>Coursensu</t>
        </is>
      </c>
      <c r="E480" s="10" t="inlineStr">
        <is>
          <t>https://coursensu.com</t>
        </is>
      </c>
      <c r="F480" t="inlineStr">
        <is>
          <t>coursensu.com</t>
        </is>
      </c>
      <c r="G480" s="1" t="inlineStr">
        <is>
          <t>Your learning design platform - let's design the future of learning togther!</t>
        </is>
      </c>
      <c r="H480" s="1" t="inlineStr">
        <is>
          <t>I'm not part of any EdTech association</t>
        </is>
      </c>
      <c r="I480" s="1" t="inlineStr">
        <is>
          <t>English</t>
        </is>
      </c>
      <c r="J480" s="1" t="inlineStr">
        <is>
          <t>Edinburgh</t>
        </is>
      </c>
      <c r="K480" t="inlineStr">
        <is>
          <t>Edinburgh</t>
        </is>
      </c>
      <c r="L480" t="inlineStr">
        <is>
          <t>Edinburgh, United Kingdom</t>
        </is>
      </c>
      <c r="M480" t="n">
        <v>55.9533456</v>
      </c>
      <c r="N480" t="n">
        <v>-3.1883749</v>
      </c>
      <c r="O480" s="1" t="inlineStr">
        <is>
          <t>United Kingdom</t>
        </is>
      </c>
      <c r="P480"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480" s="1" t="inlineStr">
        <is>
          <t>0 to 2</t>
        </is>
      </c>
      <c r="R480" t="inlineStr">
        <is>
          <t>Solo entrepreneur</t>
        </is>
      </c>
      <c r="S480" s="1" t="inlineStr">
        <is>
          <t>Business to Business</t>
        </is>
      </c>
      <c r="T480" s="1" t="inlineStr">
        <is>
          <t>Corporate Training, Lifelong learning/Adult education, Vocational Education and Training (VET), Higher Education</t>
        </is>
      </c>
      <c r="U480" s="1" t="inlineStr">
        <is>
          <t>Teacher interfacing, System/Administrative, Student interfacing</t>
        </is>
      </c>
      <c r="V480" s="1" t="inlineStr">
        <is>
          <t>Coursensu - the learning design platform</t>
        </is>
      </c>
      <c r="W480" s="10" t="inlineStr">
        <is>
          <t>A collaborative learning design platform packed with pedagogy, AI and productive workflows to help you design active learning experiences. Includes a unique 'learning dictionary' of over 1,200 active learning terms directly integrated into the design tools.</t>
        </is>
      </c>
      <c r="X480" s="10" t="inlineStr">
        <is>
          <t>https://drive.google.com/uc?export=view&amp;id=1_tZy5H578Ie0VRin5L_dFLPUqjzqYP7S</t>
        </is>
      </c>
      <c r="Y480" t="inlineStr">
        <is>
          <t>https://drive.google.com/uc?export=view&amp;id=1_tZy5H578Ie0VRin5L_dFLPUqjzqYP7S</t>
        </is>
      </c>
      <c r="Z480" s="1" t="inlineStr">
        <is>
          <t>https://drive.google.com/uc?export=view&amp;id=1_tZy5H578Ie0VRin5L_dFLPUqjzqYP7S</t>
        </is>
      </c>
      <c r="AA480" s="1" t="inlineStr">
        <is>
          <t>Unverified</t>
        </is>
      </c>
      <c r="AB480" s="1" t="n"/>
      <c r="AC480" s="1" t="n"/>
      <c r="AD480" s="10" t="n"/>
      <c r="AE480" s="1" t="n"/>
      <c r="AF480" t="inlineStr">
        <is>
          <t>Yes</t>
        </is>
      </c>
      <c r="AG480" t="inlineStr">
        <is>
          <t>https://twitter.com/coursensu</t>
        </is>
      </c>
      <c r="AH480" t="inlineStr">
        <is>
          <t>https://twitter.com/coursensu</t>
        </is>
      </c>
      <c r="AI480" t="inlineStr">
        <is>
          <t>https://linkedin.com/company/coursensu</t>
        </is>
      </c>
    </row>
    <row r="481" ht="12.5" customHeight="1">
      <c r="A481" s="6" t="n">
        <v>45362</v>
      </c>
      <c r="B481" s="1" t="inlineStr">
        <is>
          <t>ORG_1887</t>
        </is>
      </c>
      <c r="C481" s="1" t="b">
        <v>1</v>
      </c>
      <c r="D481" s="1" t="inlineStr">
        <is>
          <t>Linguverse</t>
        </is>
      </c>
      <c r="E481" s="10" t="inlineStr">
        <is>
          <t>https://linguverse.com</t>
        </is>
      </c>
      <c r="F481" t="inlineStr">
        <is>
          <t>linguverse.com</t>
        </is>
      </c>
      <c r="G481" s="1" t="inlineStr">
        <is>
          <t>LinguVerse is a dynamic digital language learning platform tailored for K-12 students. It offers a rich array of interactive resources, including activities and projects that align with international standards and foster 21st-century skills like creativity and social responsibility. The platform provides both a comprehensive, ready-made version and customizable options to fit specific educational needs, integrating seamlessly into schools' existing digital environments. With its Learning Management System, educators can easily track students' progress, focusing on essential learning outcomes.
For more detailed information, visit https://linguverse.com</t>
        </is>
      </c>
      <c r="H481" s="1" t="inlineStr">
        <is>
          <t>Dutch EdTech</t>
        </is>
      </c>
      <c r="I481" s="1" t="inlineStr">
        <is>
          <t>English, German</t>
        </is>
      </c>
      <c r="J481" s="1" t="inlineStr">
        <is>
          <t>Haarlem</t>
        </is>
      </c>
      <c r="K481" t="inlineStr">
        <is>
          <t>Haarlem</t>
        </is>
      </c>
      <c r="L481" t="inlineStr">
        <is>
          <t>Haarlem, The Netherlands</t>
        </is>
      </c>
      <c r="M481" t="n">
        <v>52.3849077</v>
      </c>
      <c r="N481" t="n">
        <v>4.6654359</v>
      </c>
      <c r="O481" s="1" t="inlineStr">
        <is>
          <t>The Netherlands</t>
        </is>
      </c>
      <c r="P481" s="1" t="inlineStr">
        <is>
          <t>Austria, Georgia, Netherlands, Slovenia, Turkey</t>
        </is>
      </c>
      <c r="Q481" s="1" t="inlineStr">
        <is>
          <t>6 to 10</t>
        </is>
      </c>
      <c r="R481" t="inlineStr">
        <is>
          <t>Micro</t>
        </is>
      </c>
      <c r="S481" s="1" t="inlineStr">
        <is>
          <t>Business to Business, Business to Schools, Business to Government</t>
        </is>
      </c>
      <c r="T481" s="1" t="inlineStr">
        <is>
          <t>Early childhood development (0-5 years), Primary Education, Secondary Education, Higher Education</t>
        </is>
      </c>
      <c r="U481" s="1" t="inlineStr">
        <is>
          <t>Student interfacing</t>
        </is>
      </c>
      <c r="V481" s="10" t="inlineStr">
        <is>
          <t>Linguverse</t>
        </is>
      </c>
      <c r="W481" s="1" t="inlineStr">
        <is>
          <t>LinguVerse, is an innovative, customizable digital language learning system for K-12 and university students, designed to meet diverse educational needs. With a focus on 21st-century skills, it offers a rich mix of interactive resources, aligned with national and international curriculums, across various devices. The platform enables easy progress tracking with an LMS and supports social responsibility projects, offering a comprehensive solution for academic improvement and beyond.</t>
        </is>
      </c>
      <c r="X481" s="10" t="inlineStr">
        <is>
          <t>https://drive.google.com/uc?export=view&amp;id=1nSoDNznA0GLdKwtsnEgt2NEwFe3x2zkI</t>
        </is>
      </c>
      <c r="Y481" t="inlineStr">
        <is>
          <t>https://drive.google.com/uc?export=view&amp;id=1nSoDNznA0GLdKwtsnEgt2NEwFe3x2zkI</t>
        </is>
      </c>
      <c r="Z481" s="1" t="inlineStr">
        <is>
          <t>https://drive.google.com/uc?export=view&amp;id=1nSoDNznA0GLdKwtsnEgt2NEwFe3x2zkI</t>
        </is>
      </c>
      <c r="AA481" s="1" t="inlineStr">
        <is>
          <t>Unverified</t>
        </is>
      </c>
      <c r="AB481" s="1" t="n"/>
      <c r="AC481" s="1" t="n"/>
      <c r="AD481" s="10" t="n"/>
      <c r="AE481" s="1" t="n"/>
      <c r="AF481" t="inlineStr">
        <is>
          <t>Yes</t>
        </is>
      </c>
      <c r="AG481" t="inlineStr">
        <is>
          <t>https://www.instagram.com/mangododigital/</t>
        </is>
      </c>
      <c r="AH481" t="inlineStr">
        <is>
          <t>https://www.linkedin.com/company/mangodo-digital/</t>
        </is>
      </c>
      <c r="AI481" t="inlineStr">
        <is>
          <t>https://www.linkedin.com/company/mangodo-digital/</t>
        </is>
      </c>
    </row>
    <row r="482" ht="12.5" customHeight="1">
      <c r="A482" s="6" t="n">
        <v>45362</v>
      </c>
      <c r="B482" s="1" t="inlineStr">
        <is>
          <t>ORG_2094</t>
        </is>
      </c>
      <c r="C482" s="1" t="b">
        <v>1</v>
      </c>
      <c r="D482" s="1" t="inlineStr">
        <is>
          <t>Pelephant GmbH</t>
        </is>
      </c>
      <c r="E482" s="10" t="inlineStr">
        <is>
          <t>pelephant.com/mo</t>
        </is>
      </c>
      <c r="F482" t="inlineStr">
        <is>
          <t>pelephant.com/mo</t>
        </is>
      </c>
      <c r="G482" s="1" t="inlineStr">
        <is>
          <t>At Pelephant, we want to sustainably improve the future of learning.
Our first project is ModusOperandi, an app which verifies your individual handwritten math solutions through the simple click on a button.
ModusOperandi works with three simple steps: Solve I Scan I Learn
Solve: Solve your exercises and tasks as you did before, e.g with pen &amp; paper or on a tablet. Scan: Scan your solution paths with M.O. or upload a picture from your gallery.
​ Learn: Get instant feedback on whether your solution is right or wrong.
Find out what exactly you calculated wrong and get hints on how to solve it correctly. If you need a quick revision, you even have the possibility to watch short explanatory videos.
We are your #teacherinpocket - we can help you 24/7.</t>
        </is>
      </c>
      <c r="H482" s="1" t="inlineStr">
        <is>
          <t>I'm not part of any EdTech association</t>
        </is>
      </c>
      <c r="I482" s="1" t="inlineStr">
        <is>
          <t>English, German, French, Croatian, Ukrainian, Russian</t>
        </is>
      </c>
      <c r="J482" s="1" t="inlineStr">
        <is>
          <t>Zurich</t>
        </is>
      </c>
      <c r="K482" t="inlineStr">
        <is>
          <t>Zurich</t>
        </is>
      </c>
      <c r="L482" t="inlineStr">
        <is>
          <t>Zurich, Switzerland</t>
        </is>
      </c>
      <c r="M482" t="n">
        <v>47.3744489</v>
      </c>
      <c r="N482" t="n">
        <v>8.5410422</v>
      </c>
      <c r="O482" s="1" t="inlineStr">
        <is>
          <t>Switzerland</t>
        </is>
      </c>
      <c r="P48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482" s="1" t="inlineStr">
        <is>
          <t>0 to 2</t>
        </is>
      </c>
      <c r="R482" t="inlineStr">
        <is>
          <t>Solo entrepreneur</t>
        </is>
      </c>
      <c r="S482" s="1" t="inlineStr">
        <is>
          <t>Business to Business, Business to Consumer, Business to Schools</t>
        </is>
      </c>
      <c r="T482" s="1" t="inlineStr">
        <is>
          <t>Secondary Education, Lifelong learning/Adult education</t>
        </is>
      </c>
      <c r="U482" s="1" t="inlineStr">
        <is>
          <t>System/Administrative, Student interfacing, Teacher interfacing</t>
        </is>
      </c>
      <c r="V482" s="1" t="inlineStr">
        <is>
          <t>ModusOperandi App</t>
        </is>
      </c>
      <c r="W482" s="1" t="inlineStr">
        <is>
          <t>ModusOperandi verifies handwritten math solution paths via the simple click on a button. Besides the line-by-line analysis of the pupil's solution, ModusOperandi shows where the error happened, how to get to the correct solution and also videos which shortly repeat the topic. Additionally, similar tasks are provided which can be used for further practice on the topic.
Unlike other math apps, we will never just show the correct solutions, because we want pupils to improve their math skills.</t>
        </is>
      </c>
      <c r="X482" s="10" t="inlineStr">
        <is>
          <t>https://drive.google.com/uc?export=view&amp;id=1OCQDKvmEYzOXeSV8t_0B8LlFA_B9pz0b</t>
        </is>
      </c>
      <c r="Y482" t="inlineStr">
        <is>
          <t>https://drive.google.com/uc?export=view&amp;id=1OCQDKvmEYzOXeSV8t_0B8LlFA_B9pz0b</t>
        </is>
      </c>
      <c r="Z482" s="1" t="inlineStr">
        <is>
          <t>https://drive.google.com/uc?export=view&amp;id=1OCQDKvmEYzOXeSV8t_0B8LlFA_B9pz0b</t>
        </is>
      </c>
      <c r="AA482" s="1" t="inlineStr">
        <is>
          <t>Unverified</t>
        </is>
      </c>
      <c r="AB482" s="1" t="n"/>
      <c r="AC482" s="1" t="n"/>
      <c r="AD482" s="10" t="n"/>
      <c r="AE482" s="1" t="n"/>
      <c r="AF482" s="1" t="inlineStr">
        <is>
          <t>Yes</t>
        </is>
      </c>
      <c r="AG482" s="1" t="inlineStr">
        <is>
          <t>https://www.linkedin.com/company/pelephant/</t>
        </is>
      </c>
      <c r="AH482" s="1" t="inlineStr">
        <is>
          <t>https://www.linkedin.com/company/pelephant/</t>
        </is>
      </c>
      <c r="AI482" t="inlineStr">
        <is>
          <t>https://www.linkedin.com/company/pelephant/</t>
        </is>
      </c>
    </row>
    <row r="483" ht="12.5" customHeight="1">
      <c r="A483" s="6" t="n">
        <v>45358</v>
      </c>
      <c r="B483" s="1" t="inlineStr">
        <is>
          <t>ORG_1231</t>
        </is>
      </c>
      <c r="C483" s="1" t="b">
        <v>1</v>
      </c>
      <c r="D483" s="1" t="inlineStr">
        <is>
          <t>ChatLicense</t>
        </is>
      </c>
      <c r="E483" s="10" t="inlineStr">
        <is>
          <t>www.chatlicense.com</t>
        </is>
      </c>
      <c r="F483" t="inlineStr">
        <is>
          <t>chatlicense.com</t>
        </is>
      </c>
      <c r="G483" s="1" t="inlineStr">
        <is>
          <t>ChatLicense is your guide in online life. We help navigate kids and their parents in one family app. Together you will discover the online world that comes along with the first smartphone of your child. Are you ready to outsmart your phone? 
We are setting the new standard for productive and educational conversations from the moment children start using their first smartphone, we aim to make a lasting impact on the lives of families worldwide.</t>
        </is>
      </c>
      <c r="H483" s="1" t="inlineStr">
        <is>
          <t>Dutch EdTech</t>
        </is>
      </c>
      <c r="I483" s="1" t="inlineStr">
        <is>
          <t>Dutch, English</t>
        </is>
      </c>
      <c r="J483" s="1" t="inlineStr">
        <is>
          <t>Rotterdam</t>
        </is>
      </c>
      <c r="K483" t="inlineStr">
        <is>
          <t>Rotterdam</t>
        </is>
      </c>
      <c r="L483" t="inlineStr">
        <is>
          <t>Rotterdam, The Netherlands</t>
        </is>
      </c>
      <c r="M483" t="n">
        <v>51.9563359</v>
      </c>
      <c r="N483" t="n">
        <v>4.4397319</v>
      </c>
      <c r="O483" s="1" t="inlineStr">
        <is>
          <t>The Netherlands</t>
        </is>
      </c>
      <c r="P483" s="1" t="inlineStr">
        <is>
          <t>Austria, Belgium, Croatia, Cyprus, Denmark, Finland, France, Germany, Greece, Ireland, Italy, Luxembourg, Netherlands, Portugal, Slovakia, Slovenia, Spain, Sweden, Switzerland, United Kingdom</t>
        </is>
      </c>
      <c r="Q483" s="1" t="inlineStr">
        <is>
          <t>3 to 5</t>
        </is>
      </c>
      <c r="R483" t="inlineStr">
        <is>
          <t>Micro</t>
        </is>
      </c>
      <c r="S483" s="1" t="inlineStr">
        <is>
          <t>Business to Business, Business to Schools, Business to Consumer, Business to Government</t>
        </is>
      </c>
      <c r="T483" s="1" t="inlineStr">
        <is>
          <t>Primary Education, Secondary Education</t>
        </is>
      </c>
      <c r="U483" s="1" t="inlineStr">
        <is>
          <t>System/Administrative, Student interfacing</t>
        </is>
      </c>
      <c r="V483" s="10" t="inlineStr">
        <is>
          <t>ChatLicense</t>
        </is>
      </c>
      <c r="W483" s="1" t="inlineStr">
        <is>
          <t>ChatLicense is an online guide for kids &amp; parents. It's the new standarrd start whenever a child gets their first phone. It acts as an exam app for kids where they learn how to behave online with the experience game through education, training &amp; modeling. For parents it includes in one platform all the information they need to know about the online world of their kids. An extensive App Guide, the latest news and conversation starters to connect.</t>
        </is>
      </c>
      <c r="X483" s="10" t="inlineStr">
        <is>
          <t>https://drive.google.com/uc?export=view&amp;id=19HMKy6oLFZxKEdC7uEXkiS3-7CQp7vmm</t>
        </is>
      </c>
      <c r="Y483" t="inlineStr">
        <is>
          <t>https://drive.google.com/uc?export=view&amp;id=19HMKy6oLFZxKEdC7uEXkiS3-7CQp7vmm</t>
        </is>
      </c>
      <c r="Z483" s="1" t="inlineStr">
        <is>
          <t>https://drive.google.com/uc?export=view&amp;id=19HMKy6oLFZxKEdC7uEXkiS3-7CQp7vmm</t>
        </is>
      </c>
      <c r="AA483" s="1" t="inlineStr">
        <is>
          <t>Unverified</t>
        </is>
      </c>
      <c r="AB483" s="1" t="n"/>
      <c r="AC483" s="1" t="n"/>
      <c r="AD483" s="10" t="n"/>
      <c r="AE483" s="1" t="n"/>
      <c r="AF483" t="inlineStr">
        <is>
          <t>Yes</t>
        </is>
      </c>
      <c r="AG483" t="inlineStr">
        <is>
          <t>https://www.instagram.com/chatlicense</t>
        </is>
      </c>
      <c r="AH483" t="inlineStr">
        <is>
          <t>https://www.linkedin.com/company/chatlicense/</t>
        </is>
      </c>
      <c r="AI483" t="inlineStr">
        <is>
          <t>https://www.linkedin.com/company/chatlicense/</t>
        </is>
      </c>
    </row>
    <row r="484" ht="12.5" customHeight="1">
      <c r="A484" s="6" t="n">
        <v>45355</v>
      </c>
      <c r="B484" s="1" t="inlineStr">
        <is>
          <t>ORG_2303</t>
        </is>
      </c>
      <c r="C484" s="1" t="b">
        <v>1</v>
      </c>
      <c r="D484" s="1" t="inlineStr">
        <is>
          <t>SparkOn</t>
        </is>
      </c>
      <c r="E484" s="10" t="inlineStr">
        <is>
          <t>https://sparkon.org</t>
        </is>
      </c>
      <c r="F484" t="inlineStr">
        <is>
          <t>sparkon.org</t>
        </is>
      </c>
      <c r="G484" s="1" t="inlineStr">
        <is>
          <t>SparkOn is an intergenerational community for sharing knowledge, practical experiences and life skills, LIVE, online or in-person. 
Our platform is an inclusive space that empowers people to share their knowledge, engages them through meaningful connections and enriches them through live, interactive learning.
Everyone – no matter how old they are, where they come from or what their experiences – can contribute something meaningful and have a positive impact on others. SparkOn plays an active role in helping people find their purpose and empowering them through workshops to (re)discover their talents.</t>
        </is>
      </c>
      <c r="H484" s="1" t="inlineStr">
        <is>
          <t>Dutch EdTech</t>
        </is>
      </c>
      <c r="I484" s="1" t="inlineStr">
        <is>
          <t>English, Dutch</t>
        </is>
      </c>
      <c r="J484" s="1" t="inlineStr">
        <is>
          <t>Amsterdam</t>
        </is>
      </c>
      <c r="K484" t="inlineStr">
        <is>
          <t>Amsterdam</t>
        </is>
      </c>
      <c r="L484" t="inlineStr">
        <is>
          <t>Amsterdam, The Netherlands</t>
        </is>
      </c>
      <c r="M484" t="n">
        <v>52.3701984</v>
      </c>
      <c r="N484" t="n">
        <v>4.892168</v>
      </c>
      <c r="O484" s="1" t="inlineStr">
        <is>
          <t>The Netherlands</t>
        </is>
      </c>
      <c r="P484" s="1" t="inlineStr">
        <is>
          <t>Netherlands</t>
        </is>
      </c>
      <c r="Q484" s="1" t="inlineStr">
        <is>
          <t>0 to 2</t>
        </is>
      </c>
      <c r="R484" t="inlineStr">
        <is>
          <t>Solo entrepreneur</t>
        </is>
      </c>
      <c r="S484" s="1" t="inlineStr">
        <is>
          <t>Business to Business, Business to Schools, Business to Consumer, Business to Government</t>
        </is>
      </c>
      <c r="T484" s="1" t="inlineStr">
        <is>
          <t>Lifelong learning/Adult education</t>
        </is>
      </c>
      <c r="U484" s="1" t="inlineStr">
        <is>
          <t>Student interfacing</t>
        </is>
      </c>
      <c r="V484" s="10" t="inlineStr">
        <is>
          <t>https://www.linkedin.com/company/spark-on</t>
        </is>
      </c>
      <c r="W484" s="10" t="inlineStr">
        <is>
          <t>https://drive.google.com/uc?export=view&amp;id=1fanAQlpkGrvrX-axIxK4WUj9hkYG47ST</t>
        </is>
      </c>
      <c r="X484" s="10" t="inlineStr">
        <is>
          <t>https://drive.google.com/uc?export=view&amp;id=1fanAQlpkGrvrX-axIxK4WUj9hkYG47ST</t>
        </is>
      </c>
      <c r="Y484" t="inlineStr">
        <is>
          <t>https://drive.google.com/uc?export=view&amp;id=1fanAQlpkGrvrX-axIxK4WUj9hkYG47ST</t>
        </is>
      </c>
      <c r="Z484" s="1" t="inlineStr">
        <is>
          <t>https://drive.google.com/uc?export=view&amp;id=1fanAQlpkGrvrX-axIxK4WUj9hkYG47ST</t>
        </is>
      </c>
      <c r="AA484" s="1" t="inlineStr">
        <is>
          <t>Unverified</t>
        </is>
      </c>
      <c r="AB484" s="1" t="n"/>
      <c r="AC484" s="1" t="n"/>
      <c r="AD484" s="10" t="n"/>
      <c r="AE484" s="1" t="n"/>
      <c r="AF484" t="inlineStr">
        <is>
          <t>Yes</t>
        </is>
      </c>
      <c r="AG484" t="inlineStr">
        <is>
          <t>https://www.instagram.com/sparkon_org/</t>
        </is>
      </c>
      <c r="AH484" t="inlineStr">
        <is>
          <t>https://twitter.com/SparkOn_org</t>
        </is>
      </c>
      <c r="AI484" t="inlineStr">
        <is>
          <t>https://www.linkedin.com/company/spark-on</t>
        </is>
      </c>
    </row>
    <row r="485" ht="12.5" customHeight="1">
      <c r="A485" s="6" t="n">
        <v>45351</v>
      </c>
      <c r="B485" s="1" t="inlineStr">
        <is>
          <t>ORG_2374</t>
        </is>
      </c>
      <c r="C485" s="1" t="b">
        <v>1</v>
      </c>
      <c r="D485" s="1" t="inlineStr">
        <is>
          <t>TeachersPRO</t>
        </is>
      </c>
      <c r="E485" s="10" t="inlineStr">
        <is>
          <t>https://teacherspro.com/contacto/</t>
        </is>
      </c>
      <c r="F485" t="inlineStr">
        <is>
          <t>teacherspro.com/contacto</t>
        </is>
      </c>
      <c r="G485" s="1" t="inlineStr">
        <is>
          <t>Best teachers are made, not born! TeachersPRO is a community-driven platform based on a unique post-course instructional design in 3 circles of support (peer-to-peer, learning analytics for institutional support, and AI Mentoring) that ensures transfer to professional practice through Learning Challenges within a framework of 16 critical competencies and more than 100 skills based on the best of Finnish pedagogy for teacher professional development in a lifelong learning approach.</t>
        </is>
      </c>
      <c r="H485" s="1" t="inlineStr">
        <is>
          <t>EdTech Finland</t>
        </is>
      </c>
      <c r="I485" s="1" t="inlineStr">
        <is>
          <t>Spanish, English, Finnish, Swedish, Portuguese</t>
        </is>
      </c>
      <c r="J485" s="1" t="inlineStr">
        <is>
          <t>Turku</t>
        </is>
      </c>
      <c r="K485" t="inlineStr">
        <is>
          <t>Turku</t>
        </is>
      </c>
      <c r="L485" t="inlineStr">
        <is>
          <t>Turku, Finland</t>
        </is>
      </c>
      <c r="M485" t="n">
        <v>60.4515932</v>
      </c>
      <c r="N485" t="n">
        <v>22.2669991</v>
      </c>
      <c r="O485" s="1" t="inlineStr">
        <is>
          <t>Finland</t>
        </is>
      </c>
      <c r="P485" s="1" t="inlineStr">
        <is>
          <t>Finland, Spain</t>
        </is>
      </c>
      <c r="Q485" s="1" t="inlineStr">
        <is>
          <t>3 to 5</t>
        </is>
      </c>
      <c r="R485" t="inlineStr">
        <is>
          <t>Micro</t>
        </is>
      </c>
      <c r="S485" s="1" t="inlineStr">
        <is>
          <t>Business to Business, Business to Schools, Business to Consumer, Business to Government</t>
        </is>
      </c>
      <c r="T485" s="1" t="inlineStr">
        <is>
          <t>Early childhood development (0-5 years), Primary Education, Secondary Education, Corporate Training, Lifelong learning/Adult education, Vocational Education and Training (VET), Higher Education</t>
        </is>
      </c>
      <c r="U485" s="1" t="inlineStr">
        <is>
          <t>Teacher interfacing, System/Administrative</t>
        </is>
      </c>
      <c r="V485" s="1" t="inlineStr">
        <is>
          <t>https://www.linkedin.com/company/teacherspro/</t>
        </is>
      </c>
      <c r="W485" s="10" t="inlineStr">
        <is>
          <t>https://drive.google.com/uc?export=view&amp;id=1zwCK6yKmNUsOgujDgjy_gqmMsAwz8sCt</t>
        </is>
      </c>
      <c r="X485" s="10" t="inlineStr">
        <is>
          <t>https://drive.google.com/uc?export=view&amp;id=1zwCK6yKmNUsOgujDgjy_gqmMsAwz8sCt</t>
        </is>
      </c>
      <c r="Y485" t="inlineStr">
        <is>
          <t>https://drive.google.com/uc?export=view&amp;id=1zwCK6yKmNUsOgujDgjy_gqmMsAwz8sCt</t>
        </is>
      </c>
      <c r="Z485" s="1" t="inlineStr">
        <is>
          <t>https://drive.google.com/uc?export=view&amp;id=1zwCK6yKmNUsOgujDgjy_gqmMsAwz8sCt</t>
        </is>
      </c>
      <c r="AA485" s="1" t="inlineStr">
        <is>
          <t>Unverified</t>
        </is>
      </c>
      <c r="AB485" s="1" t="n"/>
      <c r="AC485" s="1" t="n"/>
      <c r="AD485" s="10" t="n"/>
      <c r="AE485" s="1" t="n"/>
      <c r="AF485" t="inlineStr">
        <is>
          <t>Yes</t>
        </is>
      </c>
      <c r="AG485" t="inlineStr">
        <is>
          <t>https://twitter.com/TeachersPro_Es</t>
        </is>
      </c>
      <c r="AH485" t="inlineStr">
        <is>
          <t>https://twitter.com/TeachersPro_Es</t>
        </is>
      </c>
      <c r="AI485" t="inlineStr">
        <is>
          <t>https://www.linkedin.com/company/teacherspro/</t>
        </is>
      </c>
    </row>
    <row r="486" ht="12.5" customHeight="1">
      <c r="A486" s="6" t="n">
        <v>45343</v>
      </c>
      <c r="B486" s="1" t="inlineStr">
        <is>
          <t>ORG_2321</t>
        </is>
      </c>
      <c r="C486" s="1" t="b">
        <v>1</v>
      </c>
      <c r="D486" s="10" t="inlineStr">
        <is>
          <t>steamprogramedu.com</t>
        </is>
      </c>
      <c r="E486" s="10" t="inlineStr">
        <is>
          <t>https://steamprogramedu.com</t>
        </is>
      </c>
      <c r="F486" t="inlineStr">
        <is>
          <t>steamprogramedu.com</t>
        </is>
      </c>
      <c r="G486" s="1" t="inlineStr">
        <is>
          <t>Artificial intelligence theory and simple programming practice from 10 years old. Using and programming drones in the classroom.</t>
        </is>
      </c>
      <c r="H486" s="1" t="inlineStr">
        <is>
          <t>EduTech Hungary</t>
        </is>
      </c>
      <c r="I486" s="1" t="inlineStr">
        <is>
          <t>Hungarian</t>
        </is>
      </c>
      <c r="J486" s="1" t="inlineStr">
        <is>
          <t>Budapest</t>
        </is>
      </c>
      <c r="K486" t="inlineStr">
        <is>
          <t>Budapest</t>
        </is>
      </c>
      <c r="L486" t="inlineStr">
        <is>
          <t>Budapest, Hungary</t>
        </is>
      </c>
      <c r="M486" t="n">
        <v>47.481849</v>
      </c>
      <c r="N486" t="n">
        <v>19.1449053</v>
      </c>
      <c r="O486" s="1" t="inlineStr">
        <is>
          <t>Hungary</t>
        </is>
      </c>
      <c r="P486" s="1" t="inlineStr">
        <is>
          <t>Hungary</t>
        </is>
      </c>
      <c r="Q486" s="1" t="inlineStr">
        <is>
          <t>0 to 2</t>
        </is>
      </c>
      <c r="R486" t="inlineStr">
        <is>
          <t>Solo entrepreneur</t>
        </is>
      </c>
      <c r="S486" s="1" t="inlineStr">
        <is>
          <t>Business to Schools</t>
        </is>
      </c>
      <c r="T486" s="1" t="inlineStr">
        <is>
          <t>Primary Education, Secondary Education, Corporate Training, Lifelong learning/Adult education, Vocational Education and Training (VET), Higher Education</t>
        </is>
      </c>
      <c r="U486" s="1" t="inlineStr">
        <is>
          <t>Student interfacing, Teacher interfacing</t>
        </is>
      </c>
      <c r="V486" s="1" t="inlineStr">
        <is>
          <t>AI and robotics education</t>
        </is>
      </c>
      <c r="W486" s="1" t="inlineStr">
        <is>
          <t>Artificial intelligence theory and simple programming practice from 10 years old. Using and programming drones in the classroom</t>
        </is>
      </c>
      <c r="X486" s="1" t="inlineStr">
        <is>
          <t>https://drive.google.com/uc?export=view&amp;id=1DXDkljr6ULI_DAQMXq4E39Bmu4zCw-Gi</t>
        </is>
      </c>
      <c r="Y486" t="inlineStr">
        <is>
          <t>https://drive.google.com/uc?export=view&amp;id=1DXDkljr6ULI_DAQMXq4E39Bmu4zCw-Gi</t>
        </is>
      </c>
      <c r="Z486" s="1" t="inlineStr">
        <is>
          <t>https://drive.google.com/uc?export=view&amp;id=1DXDkljr6ULI_DAQMXq4E39Bmu4zCw-Gi</t>
        </is>
      </c>
      <c r="AA486" s="1" t="inlineStr">
        <is>
          <t>Unverified</t>
        </is>
      </c>
      <c r="AB486" s="1" t="n"/>
      <c r="AC486" s="1" t="n"/>
      <c r="AD486" s="10" t="n"/>
      <c r="AE486" s="1" t="n"/>
      <c r="AF486" t="inlineStr">
        <is>
          <t>No</t>
        </is>
      </c>
    </row>
    <row r="487" ht="12.5" customHeight="1">
      <c r="A487" s="6" t="n">
        <v>45336</v>
      </c>
      <c r="B487" s="1" t="inlineStr">
        <is>
          <t>ORG_1411</t>
        </is>
      </c>
      <c r="C487" s="1" t="b">
        <v>1</v>
      </c>
      <c r="D487" s="1" t="inlineStr">
        <is>
          <t>EditAI</t>
        </is>
      </c>
      <c r="E487" s="10" t="inlineStr">
        <is>
          <t>https://editai.co</t>
        </is>
      </c>
      <c r="F487" t="inlineStr">
        <is>
          <t>editai.co</t>
        </is>
      </c>
      <c r="G487" s="1" t="inlineStr">
        <is>
          <t>EditAI assists teachers in organizing multidisciplinary education for students in grades 1-12, combining different topics and everyday life with the help of AI. The tool saves teachers' time, helps them find new ideas to improve the educational process, and actualizes the learning content for today's students.</t>
        </is>
      </c>
      <c r="H487" s="1" t="inlineStr">
        <is>
          <t>I'm not part of any EdTech association</t>
        </is>
      </c>
      <c r="I487" s="1" t="n"/>
      <c r="J487" s="1" t="inlineStr">
        <is>
          <t>Vilnius</t>
        </is>
      </c>
      <c r="K487" t="inlineStr">
        <is>
          <t>Vilnius</t>
        </is>
      </c>
      <c r="L487" t="inlineStr">
        <is>
          <t>Vilnius, Lithuania</t>
        </is>
      </c>
      <c r="M487" t="n">
        <v>54.6870458</v>
      </c>
      <c r="N487" t="n">
        <v>25.2829111</v>
      </c>
      <c r="O487" s="1" t="inlineStr">
        <is>
          <t>Lithuania</t>
        </is>
      </c>
      <c r="P487" s="1" t="inlineStr">
        <is>
          <t>Lithuania</t>
        </is>
      </c>
      <c r="Q487" s="1" t="inlineStr">
        <is>
          <t>6 to 10</t>
        </is>
      </c>
      <c r="R487" t="inlineStr">
        <is>
          <t>Micro</t>
        </is>
      </c>
      <c r="S487" s="1" t="inlineStr">
        <is>
          <t>Business to Business, Business to Schools, Business to Government</t>
        </is>
      </c>
      <c r="T487" s="1" t="inlineStr">
        <is>
          <t>Primary Education, Secondary Education, Higher Education</t>
        </is>
      </c>
      <c r="U487" s="1" t="inlineStr">
        <is>
          <t>Teacher interfacing</t>
        </is>
      </c>
      <c r="V487" s="1" t="inlineStr">
        <is>
          <t>EditAI - multidisciplinary content generation platform</t>
        </is>
      </c>
      <c r="W487" s="1" t="inlineStr">
        <is>
          <t>EditAI is built using AI technology to personalize the learning experience and tailor content to students' needs and interests. Teachers select grade, subjects, topics and input contextual information and EditAI instantly generates inter-disciplinary project brief which teachers can later edit themselves. Projects are created according to the formal education programs. 
EditAI improves the quality of lessons with a low time investment and provides all the materials for project implementation.
EditAI does not interrupt traditional lessons, but helps to facilitate collaboration among the teachers by providing a school-wide calendar view. It encourages the development of individual talents and abilities, increases the involvement of students in the teaching process.</t>
        </is>
      </c>
      <c r="X487" s="10" t="inlineStr">
        <is>
          <t>https://drive.google.com/uc?export=view&amp;id=16R8qaQOaegMszn2Nr1smiXRj1kNf9mas</t>
        </is>
      </c>
      <c r="Y487" t="inlineStr">
        <is>
          <t>https://drive.google.com/uc?export=view&amp;id=16R8qaQOaegMszn2Nr1smiXRj1kNf9mas</t>
        </is>
      </c>
      <c r="Z487" s="1" t="inlineStr">
        <is>
          <t>https://drive.google.com/uc?export=view&amp;id=16R8qaQOaegMszn2Nr1smiXRj1kNf9mas</t>
        </is>
      </c>
      <c r="AA487" s="1" t="inlineStr">
        <is>
          <t>Unverified</t>
        </is>
      </c>
      <c r="AB487" s="1" t="n"/>
      <c r="AC487" s="1" t="n"/>
      <c r="AD487" s="10" t="n"/>
      <c r="AE487" s="1" t="n"/>
      <c r="AF487" t="inlineStr">
        <is>
          <t>Yes</t>
        </is>
      </c>
      <c r="AG487" t="inlineStr">
        <is>
          <t>https://www.linkedin.com/company/editai/</t>
        </is>
      </c>
      <c r="AH487" t="inlineStr">
        <is>
          <t>https://www.linkedin.com/company/editai/</t>
        </is>
      </c>
      <c r="AI487" t="inlineStr">
        <is>
          <t>https://www.linkedin.com/company/editai/</t>
        </is>
      </c>
    </row>
    <row r="488" ht="12.5" customHeight="1">
      <c r="A488" s="6" t="n">
        <v>45328</v>
      </c>
      <c r="B488" s="1" t="inlineStr">
        <is>
          <t>ORG_1239</t>
        </is>
      </c>
      <c r="C488" s="1" t="b">
        <v>1</v>
      </c>
      <c r="D488" s="1" t="inlineStr">
        <is>
          <t>CIRKEL</t>
        </is>
      </c>
      <c r="E488" s="10" t="inlineStr">
        <is>
          <t>www.joinacirkel.com</t>
        </is>
      </c>
      <c r="F488" t="inlineStr">
        <is>
          <t>joinacirkel.com</t>
        </is>
      </c>
      <c r="G488" s="1" t="inlineStr">
        <is>
          <t>The Solution: AI-Driven True Peer Group Formation and Management
CIRKEL is redefining the landscape of Learning &amp; Development by creating a world where every individual has access to a supportive and trusted peer group. Through our AI-enabled platform, we are pioneering a Socio-Technical innovation for building meaningful and trusted peer connections within organizations and universities, thereby enhancing learning outcomes and fostering innovation.</t>
        </is>
      </c>
      <c r="H488" s="1" t="inlineStr">
        <is>
          <t>I'm not part of any EdTech association</t>
        </is>
      </c>
      <c r="I488" s="1" t="inlineStr">
        <is>
          <t>English</t>
        </is>
      </c>
      <c r="J488" s="1" t="inlineStr">
        <is>
          <t>Berlin</t>
        </is>
      </c>
      <c r="K488" t="inlineStr">
        <is>
          <t>Berlin</t>
        </is>
      </c>
      <c r="L488" t="inlineStr">
        <is>
          <t>Berlin, Germany</t>
        </is>
      </c>
      <c r="M488" t="n">
        <v>52.5173885</v>
      </c>
      <c r="N488" t="n">
        <v>13.3951309</v>
      </c>
      <c r="O488" s="1" t="inlineStr">
        <is>
          <t>Germany</t>
        </is>
      </c>
      <c r="P488" s="1" t="inlineStr">
        <is>
          <t>Germany</t>
        </is>
      </c>
      <c r="Q488" s="1" t="inlineStr">
        <is>
          <t>3 to 5</t>
        </is>
      </c>
      <c r="R488" t="inlineStr">
        <is>
          <t>Micro</t>
        </is>
      </c>
      <c r="S488" s="1" t="inlineStr">
        <is>
          <t>Business to Business, Business to Schools, Business to Government</t>
        </is>
      </c>
      <c r="T488" s="1" t="inlineStr">
        <is>
          <t>Corporate Training, Lifelong learning/Adult education, Vocational Education and Training (VET), Higher Education</t>
        </is>
      </c>
      <c r="U488" s="1" t="inlineStr">
        <is>
          <t>Student interfacing, Teacher interfacing, System/Administrative</t>
        </is>
      </c>
      <c r="V488" s="1" t="inlineStr">
        <is>
          <t>CIRKEL Web App</t>
        </is>
      </c>
      <c r="W488" s="1" t="inlineStr">
        <is>
          <t>CIRKEL's innovative SaaS platform:
1. **Intelligent Peer Matching:** Utilizing AI to form peer groups based on shared goals and values
2. **Dynamic Group Facilitation:** AI-driven facilitation and Individualized, private feedback based on social and neuroscience ensures optimal group dynamics and learning outcomes. 
3. **Adaptable Support Tools:** Offering resources to address interpersonal dynamics and enhance group cohesion
4. **Progress Tracking:** Advanced assessments to monitor and foster individual and collective development
5. **Long-Term Engagement:** Enabling continued engagement in peer groups post-program to have CIRKELs for life</t>
        </is>
      </c>
      <c r="X488" s="1" t="inlineStr">
        <is>
          <t>https://drive.google.com/uc?export=view&amp;id=1-hxqjNVZznLRMfLGvxjDwpVr661TWlK6</t>
        </is>
      </c>
      <c r="Y488" t="inlineStr">
        <is>
          <t>https://drive.google.com/uc?export=view&amp;id=1-hxqjNVZznLRMfLGvxjDwpVr661TWlK6</t>
        </is>
      </c>
      <c r="Z488" s="1" t="inlineStr">
        <is>
          <t>https://drive.google.com/uc?export=view&amp;id=1-hxqjNVZznLRMfLGvxjDwpVr661TWlK6</t>
        </is>
      </c>
      <c r="AA488" s="1" t="inlineStr">
        <is>
          <t>Unverified</t>
        </is>
      </c>
      <c r="AB488" s="1" t="n"/>
      <c r="AC488" s="1" t="n"/>
      <c r="AD488" s="10" t="n"/>
      <c r="AE488" s="1" t="n"/>
      <c r="AF488" t="inlineStr">
        <is>
          <t>No</t>
        </is>
      </c>
    </row>
    <row r="489" ht="12.5" customHeight="1">
      <c r="A489" s="6" t="n">
        <v>45323</v>
      </c>
      <c r="B489" s="1" t="inlineStr">
        <is>
          <t>ORG_1489</t>
        </is>
      </c>
      <c r="C489" s="1" t="b">
        <v>1</v>
      </c>
      <c r="D489" s="1" t="inlineStr">
        <is>
          <t>Emeraude Escape</t>
        </is>
      </c>
      <c r="E489" s="10" t="inlineStr">
        <is>
          <t>www.emeraude-escape.com/en</t>
        </is>
      </c>
      <c r="F489" t="inlineStr">
        <is>
          <t>emeraude-escape.com/en</t>
        </is>
      </c>
      <c r="G489" s="1" t="inlineStr">
        <is>
          <t>Emeraude is a Paris-based creative agency operating worldwide, specialised in creating interactive and immersive digital experiences enriched with game mechanics, for serious game, internal corporate communications, organisational digital transformation, retail education and training for CAC40 and Fortune 500 companies.
Our savoir-faire of 3D/2D and interactive experiments using Three.js/WebGL allows us to create the experiences that can be seamlessly adaptable to various formats: web-based metaverse, escape room, simulation game, hybrid/classroom, microlearning, mobile learning, and Artificial Intelligence/AI-based game.</t>
        </is>
      </c>
      <c r="H489" s="1" t="inlineStr">
        <is>
          <t>EdTech France</t>
        </is>
      </c>
      <c r="I489" s="1" t="inlineStr">
        <is>
          <t>English</t>
        </is>
      </c>
      <c r="J489" s="1" t="inlineStr">
        <is>
          <t>Paris</t>
        </is>
      </c>
      <c r="K489" t="inlineStr">
        <is>
          <t>Paris</t>
        </is>
      </c>
      <c r="L489" t="inlineStr">
        <is>
          <t>Paris, France</t>
        </is>
      </c>
      <c r="M489" t="n">
        <v>48.8534951</v>
      </c>
      <c r="N489" t="n">
        <v>2.3483915</v>
      </c>
      <c r="O489" s="1" t="inlineStr">
        <is>
          <t>France</t>
        </is>
      </c>
      <c r="P489" s="1" t="inlineStr">
        <is>
          <t>Belgium, France, Germany, Italy, Spain, Switzerland, Turkey, United Kingdom</t>
        </is>
      </c>
      <c r="Q489" s="1" t="inlineStr">
        <is>
          <t>11 to 50</t>
        </is>
      </c>
      <c r="R489" t="inlineStr">
        <is>
          <t>Small</t>
        </is>
      </c>
      <c r="S489" s="1" t="inlineStr">
        <is>
          <t>Business to Business</t>
        </is>
      </c>
      <c r="T489" s="1" t="inlineStr">
        <is>
          <t>Corporate Training</t>
        </is>
      </c>
      <c r="U489" s="1" t="inlineStr">
        <is>
          <t>System/Administrative</t>
        </is>
      </c>
      <c r="V489" s="1" t="inlineStr">
        <is>
          <t>Bespoke serious game for companies</t>
        </is>
      </c>
      <c r="W489" s="10" t="inlineStr">
        <is>
          <t>- 100% tailor-made / premium
- web-based
- playable on any devices and any browsers
- easily accessible and lightweight - developed on Three.js and Pixi
- available in multiple languages
- can be updated and enriched regularly
- developed in less than 2 months</t>
        </is>
      </c>
      <c r="X489" s="10" t="inlineStr">
        <is>
          <t>Immersive digital experience</t>
        </is>
      </c>
      <c r="Y489" t="inlineStr">
        <is>
          <t>- brand activation
- interactive web
- product launch
- marketing campaign
- advertising campaign</t>
        </is>
      </c>
      <c r="Z489" s="1" t="inlineStr">
        <is>
          <t>https://drive.google.com/uc?export=view&amp;id=1GIfCjZj49Kfbby7Cj7lbjfyVbC52HUPI</t>
        </is>
      </c>
      <c r="AA489" s="1" t="inlineStr">
        <is>
          <t>Unverified</t>
        </is>
      </c>
      <c r="AB489" s="1" t="n"/>
      <c r="AC489" s="1" t="n"/>
      <c r="AD489" s="10" t="n"/>
      <c r="AE489" s="1" t="n"/>
      <c r="AF489" s="1" t="inlineStr">
        <is>
          <t>Yes</t>
        </is>
      </c>
      <c r="AG489" s="1" t="inlineStr">
        <is>
          <t>https://twitter.com/EmeraudeEscape</t>
        </is>
      </c>
      <c r="AH489" s="1" t="inlineStr">
        <is>
          <t>https://twitter.com/EmeraudeEscape</t>
        </is>
      </c>
      <c r="AI489" s="1" t="inlineStr">
        <is>
          <t>https://www.linkedin.com/company/emeraude-escape-game</t>
        </is>
      </c>
      <c r="AJ489" s="1" t="n"/>
    </row>
    <row r="490" ht="12.5" customHeight="1">
      <c r="A490" s="6" t="n">
        <v>45322</v>
      </c>
      <c r="B490" s="1" t="inlineStr">
        <is>
          <t>ORG_2526</t>
        </is>
      </c>
      <c r="C490" s="1" t="b">
        <v>1</v>
      </c>
      <c r="D490" s="1" t="inlineStr">
        <is>
          <t>Whippy</t>
        </is>
      </c>
      <c r="E490" s="10" t="inlineStr">
        <is>
          <t>www.whippy.se</t>
        </is>
      </c>
      <c r="F490" t="inlineStr">
        <is>
          <t>whippy.se</t>
        </is>
      </c>
      <c r="G490" s="1" t="inlineStr">
        <is>
          <t>Whippy is specialized in digital on- and offboarding. Our unique tech and content strengthens leadership, learning and development - from signing employment contract up until one year in the role.
We continuously measure and evaluate on- and offboarding journeys based on metrics linked to first impression of workplace, expectation management, leadership support, professional development, loyalty and productivity.</t>
        </is>
      </c>
      <c r="H490" s="1" t="inlineStr">
        <is>
          <t>Swedish EdTech Industry</t>
        </is>
      </c>
      <c r="I490" s="1" t="inlineStr">
        <is>
          <t>Swedish, English, Spanish, German, Dutch</t>
        </is>
      </c>
      <c r="J490" s="1" t="inlineStr">
        <is>
          <t>Torsgatan 11</t>
        </is>
      </c>
      <c r="L490" t="inlineStr">
        <is>
          <t>Torsgatan 11, Sweden</t>
        </is>
      </c>
      <c r="O490" s="1" t="inlineStr">
        <is>
          <t>Sweden</t>
        </is>
      </c>
      <c r="P490" s="1" t="inlineStr">
        <is>
          <t>Finland, Germany, Netherlands, Norway, Poland, Spain, Sweden, United Kingdom</t>
        </is>
      </c>
      <c r="Q490" s="1" t="inlineStr">
        <is>
          <t>0 to 2</t>
        </is>
      </c>
      <c r="R490" t="inlineStr">
        <is>
          <t>Solo entrepreneur</t>
        </is>
      </c>
      <c r="S490" s="1" t="inlineStr">
        <is>
          <t>Business to Business, Business to Schools, Business to Government</t>
        </is>
      </c>
      <c r="T490" s="1" t="inlineStr">
        <is>
          <t>Corporate Training</t>
        </is>
      </c>
      <c r="U490" s="1" t="inlineStr">
        <is>
          <t>System/Administrative</t>
        </is>
      </c>
      <c r="V490" s="1" t="inlineStr">
        <is>
          <t>On- and offboarding</t>
        </is>
      </c>
      <c r="W490" s="1" t="inlineStr">
        <is>
          <t>Digital on- and offboarding services for new employees and hiring Managers.</t>
        </is>
      </c>
      <c r="X490" s="10" t="inlineStr">
        <is>
          <t>https://drive.google.com/uc?export=view&amp;id=1VVvCKLhxQEjbwgeQT3rjCkKwV_1clZGX</t>
        </is>
      </c>
      <c r="Y490" t="inlineStr">
        <is>
          <t>https://drive.google.com/uc?export=view&amp;id=1VVvCKLhxQEjbwgeQT3rjCkKwV_1clZGX</t>
        </is>
      </c>
      <c r="Z490" s="1" t="inlineStr">
        <is>
          <t>https://drive.google.com/uc?export=view&amp;id=1VVvCKLhxQEjbwgeQT3rjCkKwV_1clZGX</t>
        </is>
      </c>
      <c r="AA490" s="1" t="inlineStr">
        <is>
          <t>Unverified</t>
        </is>
      </c>
      <c r="AB490" s="1" t="n"/>
      <c r="AC490" s="1" t="n"/>
      <c r="AD490" s="10" t="n"/>
      <c r="AE490" s="1" t="n"/>
      <c r="AF490" s="1" t="inlineStr">
        <is>
          <t>Yes</t>
        </is>
      </c>
      <c r="AG490" s="1" t="inlineStr">
        <is>
          <t>http://www.whippy.se/company/whippyonboarding</t>
        </is>
      </c>
      <c r="AH490" s="1" t="inlineStr">
        <is>
          <t>http://www.whippy.se/company/whippyonboarding</t>
        </is>
      </c>
      <c r="AI490" s="1" t="inlineStr">
        <is>
          <t>www.whippy.se/company/whippyonboarding</t>
        </is>
      </c>
      <c r="AJ490" s="1" t="n"/>
    </row>
    <row r="491" ht="12.5" customHeight="1">
      <c r="A491" s="6" t="n">
        <v>45314</v>
      </c>
      <c r="B491" s="1" t="inlineStr">
        <is>
          <t>ORG_1795</t>
        </is>
      </c>
      <c r="C491" s="1" t="b">
        <v>1</v>
      </c>
      <c r="D491" s="1" t="inlineStr">
        <is>
          <t>Kurve</t>
        </is>
      </c>
      <c r="E491" s="10" t="inlineStr">
        <is>
          <t>www.kurve.nl</t>
        </is>
      </c>
      <c r="F491" t="inlineStr">
        <is>
          <t>kurve.nl</t>
        </is>
      </c>
      <c r="G491" s="1" t="inlineStr">
        <is>
          <t>We are Kurve, innovative creators of online learning platforms. With our intelligent programs, every student grows at their own level and pace in math and languages. Everyone follows their own learning curve!</t>
        </is>
      </c>
      <c r="H491" s="1" t="inlineStr">
        <is>
          <t>Dutch EdTech</t>
        </is>
      </c>
      <c r="I491" s="1" t="inlineStr">
        <is>
          <t>Dutch</t>
        </is>
      </c>
      <c r="J491" s="1" t="inlineStr">
        <is>
          <t>Uithoorn</t>
        </is>
      </c>
      <c r="K491" t="inlineStr">
        <is>
          <t>Uithoorn</t>
        </is>
      </c>
      <c r="L491" t="inlineStr">
        <is>
          <t>Uithoorn, The Netherlands</t>
        </is>
      </c>
      <c r="M491" t="n">
        <v>52.2411412</v>
      </c>
      <c r="N491" t="n">
        <v>4.8251096</v>
      </c>
      <c r="O491" s="1" t="inlineStr">
        <is>
          <t>The Netherlands</t>
        </is>
      </c>
      <c r="P491" s="1" t="inlineStr">
        <is>
          <t>Belgium, Netherlands</t>
        </is>
      </c>
      <c r="Q491" s="1" t="inlineStr">
        <is>
          <t>11 to 50</t>
        </is>
      </c>
      <c r="R491" t="inlineStr">
        <is>
          <t>Small</t>
        </is>
      </c>
      <c r="S491" s="1" t="inlineStr">
        <is>
          <t>Business to Business, Business to Government</t>
        </is>
      </c>
      <c r="T491" s="1" t="inlineStr">
        <is>
          <t>Primary Education, Secondary Education</t>
        </is>
      </c>
      <c r="U491" s="1" t="inlineStr">
        <is>
          <t>Teacher interfacing, System/Administrative</t>
        </is>
      </c>
      <c r="V491" s="10" t="inlineStr">
        <is>
          <t>Numo</t>
        </is>
      </c>
      <c r="W491" s="1" t="inlineStr">
        <is>
          <t>Numo is an online learning tool that allows students to practice the basic skills of Dutch, mathematics, English, and German adaptively until they have reached the intended level.
Adaptive means that the program automatically adjusts to the practice behavior of students. If a student is proficient in a skill, they progress rapidly. For parts they find challenging, the program slows down, providing the student with extra exercises and more feedback. Numo can draw on practice material up to the 4th grade of primary school. A student excelling in a skill can continue practicing up to level 3F or even 4F (high school level). That is the great strength of adaptive software!
By mastering the basic skills with Numo, you as a teacher have more time for other enjoyable activities, such as individual guidance, theme assignments, interactive forms of work, practicing writing skills, projects related to mathematics, debating, and literature.</t>
        </is>
      </c>
      <c r="X491" s="10" t="inlineStr">
        <is>
          <t>https://drive.google.com/uc?export=view&amp;id=1-rkRNoTzCFTRmkSCR2zqG84E1Sos-fYy</t>
        </is>
      </c>
      <c r="Y491" t="inlineStr">
        <is>
          <t>https://drive.google.com/uc?export=view&amp;id=1-rkRNoTzCFTRmkSCR2zqG84E1Sos-fYy</t>
        </is>
      </c>
      <c r="Z491" s="1" t="inlineStr">
        <is>
          <t>https://drive.google.com/uc?export=view&amp;id=1-rkRNoTzCFTRmkSCR2zqG84E1Sos-fYy</t>
        </is>
      </c>
      <c r="AA491" s="1" t="inlineStr">
        <is>
          <t>Unverified</t>
        </is>
      </c>
      <c r="AB491" s="1" t="n"/>
      <c r="AC491" s="1" t="n"/>
      <c r="AD491" s="10" t="n"/>
      <c r="AE491" s="1" t="n"/>
      <c r="AF491" t="inlineStr">
        <is>
          <t>Yes</t>
        </is>
      </c>
      <c r="AG491" t="inlineStr">
        <is>
          <t>https://www.instagram.com/kurve.nl/</t>
        </is>
      </c>
      <c r="AH491" t="inlineStr">
        <is>
          <t>https://www.linkedin.com/search/results/all/?fetchDeterministicClustersOnly=true&amp;heroEntityKey=urn%3Ali%3Aorganization%3A3090886&amp;keywords=kurve&amp;origin=RICH_QUERY_TYPEAHEAD_HISTORY&amp;position=0&amp;searchId=4f2d41e7-f5e2-453c-bcb3-c6e12091e03a&amp;sid=iZd&amp;spellCorrectionEnabled=true</t>
        </is>
      </c>
      <c r="AI491" t="inlineStr">
        <is>
          <t>https://www.linkedin.com/search/results/all/?fetchDeterministicClustersOnly=true&amp;heroEntityKey=urn%3Ali%3Aorganization%3A3090886&amp;keywords=kurve&amp;origin=RICH_QUERY_TYPEAHEAD_HISTORY&amp;position=0&amp;searchId=4f2d41e7-f5e2-453c-bcb3-c6e12091e03a&amp;sid=iZd&amp;spellCorrectionEnabled=true</t>
        </is>
      </c>
    </row>
    <row r="492" ht="12.5" customHeight="1">
      <c r="A492" s="6" t="n">
        <v>45313</v>
      </c>
      <c r="B492" s="1" t="inlineStr">
        <is>
          <t>ORG_2134</t>
        </is>
      </c>
      <c r="C492" s="1" t="b">
        <v>1</v>
      </c>
      <c r="D492" s="1" t="inlineStr">
        <is>
          <t>PSITIC Research Group</t>
        </is>
      </c>
      <c r="E492" s="10" t="inlineStr">
        <is>
          <t>http://grpsitic-blanquerna.cat/?page_id=2293</t>
        </is>
      </c>
      <c r="F492" t="inlineStr">
        <is>
          <t>grpsitic-blanquerna.cat/?page_id=2293</t>
        </is>
      </c>
      <c r="G492" s="1" t="inlineStr">
        <is>
          <t>The research group in Pedagogy, Society and Innovation with the support of the Information and Communication Technologies – PSITIC, consolidated, recognized and funded (SGR) by the Generalitat of Catalonia; it is part of the Institute for Research in Educational Innovation and Leadership of the Faculty of Psychology, Sciences of Education and Sport Blanquerna of the Ramon Llull University (URL).
PSITIC develop their activity in the field of the new socio-educational community, inclusive and networked paradigms, and particularly in the area of quality and sustainability of educational transformation and innovation processes, with support of ICT. It does so through a perspective of cross-disciplinary analysis and to a narrative-socio-constructionist and systemic understanding of educational change.</t>
        </is>
      </c>
      <c r="H492" s="1" t="inlineStr">
        <is>
          <t>EduTech Cluster Spain</t>
        </is>
      </c>
      <c r="I492" s="1" t="n"/>
      <c r="J492" s="1" t="inlineStr">
        <is>
          <t>Barcelona</t>
        </is>
      </c>
      <c r="K492" t="inlineStr">
        <is>
          <t>Barcelona</t>
        </is>
      </c>
      <c r="L492" t="inlineStr">
        <is>
          <t>Barcelona, Spain</t>
        </is>
      </c>
      <c r="M492" t="n">
        <v>41.3825802</v>
      </c>
      <c r="N492" t="n">
        <v>2.177073</v>
      </c>
      <c r="O492" s="1" t="inlineStr">
        <is>
          <t>Spain</t>
        </is>
      </c>
      <c r="P492" s="1" t="inlineStr">
        <is>
          <t>Spain</t>
        </is>
      </c>
      <c r="Q492" s="1" t="inlineStr">
        <is>
          <t>51 to 100</t>
        </is>
      </c>
      <c r="R492" t="inlineStr">
        <is>
          <t>Medium</t>
        </is>
      </c>
      <c r="S492" s="1" t="inlineStr">
        <is>
          <t>Business to Consumer, Business to Government, Business to Schools</t>
        </is>
      </c>
      <c r="T492" s="1" t="inlineStr">
        <is>
          <t>Early childhood development (0-5 years), Primary Education, Secondary Education, Corporate Training, Lifelong learning/Adult education, Vocational Education and Training (VET), Higher Education</t>
        </is>
      </c>
      <c r="U492" s="1" t="inlineStr">
        <is>
          <t>System/Administrative, Student interfacing, Teacher interfacing</t>
        </is>
      </c>
      <c r="V492" s="1" t="n"/>
      <c r="W492" s="1" t="inlineStr">
        <is>
          <t>https://drive.google.com/uc?export=view&amp;id=1Q0AajItqjoqjXcbqPx6Ncsp_hphjR1ch</t>
        </is>
      </c>
      <c r="X492" s="1" t="inlineStr">
        <is>
          <t>https://drive.google.com/uc?export=view&amp;id=1Q0AajItqjoqjXcbqPx6Ncsp_hphjR1ch</t>
        </is>
      </c>
      <c r="Y492" t="inlineStr">
        <is>
          <t>https://drive.google.com/uc?export=view&amp;id=1Q0AajItqjoqjXcbqPx6Ncsp_hphjR1ch</t>
        </is>
      </c>
      <c r="Z492" s="1" t="inlineStr">
        <is>
          <t>https://drive.google.com/uc?export=view&amp;id=1Q0AajItqjoqjXcbqPx6Ncsp_hphjR1ch</t>
        </is>
      </c>
      <c r="AA492" s="1" t="inlineStr">
        <is>
          <t>Unverified</t>
        </is>
      </c>
      <c r="AB492" s="1" t="n"/>
      <c r="AC492" s="1" t="n"/>
      <c r="AD492" s="10" t="n"/>
      <c r="AE492" s="1" t="n"/>
      <c r="AF492" t="inlineStr">
        <is>
          <t>No</t>
        </is>
      </c>
    </row>
    <row r="493" ht="12.5" customHeight="1">
      <c r="A493" s="6" t="n">
        <v>45312</v>
      </c>
      <c r="B493" s="1" t="inlineStr">
        <is>
          <t>ORG_1815</t>
        </is>
      </c>
      <c r="C493" s="1" t="b">
        <v>1</v>
      </c>
      <c r="D493" s="1" t="inlineStr">
        <is>
          <t>Lascò</t>
        </is>
      </c>
      <c r="E493" s="10" t="inlineStr">
        <is>
          <t>www.lasco.io</t>
        </is>
      </c>
      <c r="F493" t="inlineStr">
        <is>
          <t>lasco.io</t>
        </is>
      </c>
      <c r="G493" s="1" t="inlineStr">
        <is>
          <t>Lascò is a knowledge innovation studio, founded in 2013. 
We are an innovative pmi. We accompany companies, people and organizations on paths of innovation and digital transformation. We firmly believe in the power of the knowledge triangle: in every project we integrate Research, Innovation and Capacity building to generate new knowledge and solutions.</t>
        </is>
      </c>
      <c r="H493" s="1" t="inlineStr">
        <is>
          <t>I'm not part of any EdTech association</t>
        </is>
      </c>
      <c r="I493" s="1" t="inlineStr">
        <is>
          <t>English</t>
        </is>
      </c>
      <c r="J493" s="1" t="inlineStr">
        <is>
          <t>Caserta</t>
        </is>
      </c>
      <c r="K493" t="inlineStr">
        <is>
          <t>Caserta</t>
        </is>
      </c>
      <c r="L493" t="inlineStr">
        <is>
          <t>Caserta, Italy</t>
        </is>
      </c>
      <c r="M493" t="n">
        <v>41.2035193</v>
      </c>
      <c r="N493" t="n">
        <v>14.1168624</v>
      </c>
      <c r="O493" s="1" t="inlineStr">
        <is>
          <t>Italy</t>
        </is>
      </c>
      <c r="P493" s="1" t="inlineStr">
        <is>
          <t>Italy</t>
        </is>
      </c>
      <c r="Q493" s="1" t="inlineStr">
        <is>
          <t>6 to 10</t>
        </is>
      </c>
      <c r="R493" t="inlineStr">
        <is>
          <t>Micro</t>
        </is>
      </c>
      <c r="S493" s="1" t="inlineStr">
        <is>
          <t>Business to Business, Business to Schools</t>
        </is>
      </c>
      <c r="T493" s="1" t="inlineStr">
        <is>
          <t>Corporate Training, Lifelong learning/Adult education, Vocational Education and Training (VET)</t>
        </is>
      </c>
      <c r="U493" s="1" t="inlineStr">
        <is>
          <t>Student interfacing, Teacher interfacing, System/Administrative</t>
        </is>
      </c>
      <c r="V493" s="1" t="inlineStr">
        <is>
          <t>GOT IT</t>
        </is>
      </c>
      <c r="W493" s="1" t="inlineStr">
        <is>
          <t>An Ai based platform to enhance your skills in project and innovation management, soft skills, life skills, entrepreneurship, green skills and digital skills in an engaging and effective way.</t>
        </is>
      </c>
      <c r="X493" s="10" t="inlineStr">
        <is>
          <t>https://drive.google.com/uc?export=view&amp;id=1G2gqzAuU_dScdYSSFvsyDeCBtDu7n2L7</t>
        </is>
      </c>
      <c r="Y493" t="inlineStr">
        <is>
          <t>https://drive.google.com/uc?export=view&amp;id=1G2gqzAuU_dScdYSSFvsyDeCBtDu7n2L7</t>
        </is>
      </c>
      <c r="Z493" s="1" t="inlineStr">
        <is>
          <t>https://drive.google.com/uc?export=view&amp;id=1G2gqzAuU_dScdYSSFvsyDeCBtDu7n2L7</t>
        </is>
      </c>
      <c r="AA493" s="1" t="inlineStr">
        <is>
          <t>Unverified</t>
        </is>
      </c>
      <c r="AB493" s="1" t="n"/>
      <c r="AC493" s="1" t="n"/>
      <c r="AD493" s="10" t="n"/>
      <c r="AE493" s="1" t="n"/>
      <c r="AF493" s="1" t="inlineStr">
        <is>
          <t>Yes</t>
        </is>
      </c>
      <c r="AG493" s="1" t="inlineStr">
        <is>
          <t>https://www.linkedin.com/company/lascosrl/</t>
        </is>
      </c>
      <c r="AH493" s="1" t="inlineStr">
        <is>
          <t>https://www.linkedin.com/company/lascosrl/</t>
        </is>
      </c>
      <c r="AI493" t="inlineStr">
        <is>
          <t>https://www.linkedin.com/company/lascosrl/</t>
        </is>
      </c>
    </row>
    <row r="494" ht="12.5" customHeight="1">
      <c r="A494" s="6" t="n">
        <v>45309</v>
      </c>
      <c r="B494" s="1" t="inlineStr">
        <is>
          <t>ORG_1898</t>
        </is>
      </c>
      <c r="C494" s="1" t="b">
        <v>1</v>
      </c>
      <c r="D494" s="1" t="inlineStr">
        <is>
          <t>Macademia</t>
        </is>
      </c>
      <c r="E494" s="10" t="inlineStr">
        <is>
          <t>https://www.macademia.com/</t>
        </is>
      </c>
      <c r="F494" t="inlineStr">
        <is>
          <t>macademia.com</t>
        </is>
      </c>
      <c r="G494" s="1" t="inlineStr">
        <is>
          <t>Macademia is a streaming platform and Edtech group providing educational programming and interactive learning experiences to 250m families globally. Brands include Da Vinci - on streaming apps and TV channels; and Azoomee - learning apps for under 6s.</t>
        </is>
      </c>
      <c r="H494" s="1" t="inlineStr">
        <is>
          <t>SuperCharger Ventures</t>
        </is>
      </c>
      <c r="I494" s="1" t="inlineStr">
        <is>
          <t>English, Polish, Hungarian, Romanian, Greek, Turkish</t>
        </is>
      </c>
      <c r="J494" s="1" t="inlineStr">
        <is>
          <t>London</t>
        </is>
      </c>
      <c r="K494" t="inlineStr">
        <is>
          <t>London</t>
        </is>
      </c>
      <c r="L494" t="inlineStr">
        <is>
          <t>London, United Kingdom</t>
        </is>
      </c>
      <c r="M494" t="n">
        <v>51.5074456</v>
      </c>
      <c r="N494" t="n">
        <v>-0.1277653</v>
      </c>
      <c r="O494" s="1" t="inlineStr">
        <is>
          <t>United Kingdom</t>
        </is>
      </c>
      <c r="P494" s="1" t="inlineStr">
        <is>
          <t>Albania, Austria, Bosnia and Herzegovina, Bulgaria, Croatia, Czechia, Germany, Greece, Hungary, Ireland, Malta, Moldova, Montenegro, Poland, Romania, Russia, Serbia, Slovakia, Slovenia, Turkey, Ukraine, United Kingdom</t>
        </is>
      </c>
      <c r="Q494" s="1" t="inlineStr">
        <is>
          <t>51 to 100</t>
        </is>
      </c>
      <c r="R494" t="inlineStr">
        <is>
          <t>Medium</t>
        </is>
      </c>
      <c r="S494" s="1" t="inlineStr">
        <is>
          <t>Business to Business, Business to Government, Business to Schools</t>
        </is>
      </c>
      <c r="T494" s="1" t="inlineStr">
        <is>
          <t>Early childhood development (0-5 years), Primary Education</t>
        </is>
      </c>
      <c r="U494" s="1" t="inlineStr">
        <is>
          <t>System/Administrative, Student interfacing, Teacher interfacing</t>
        </is>
      </c>
      <c r="V494" s="10" t="inlineStr">
        <is>
          <t>Da Vinci</t>
        </is>
      </c>
      <c r="W494" s="1" t="inlineStr">
        <is>
          <t>Da Vinci is a global streaming platform and educational app servicing 250 million kids &amp; families with video content, learning resources and interactive learning experiences, localised in 22 languages.</t>
        </is>
      </c>
      <c r="X494" s="10" t="inlineStr">
        <is>
          <t>Azoomee</t>
        </is>
      </c>
      <c r="Y494" t="inlineStr">
        <is>
          <t>Azoomee is a streaming and educational app for kids under 6.</t>
        </is>
      </c>
      <c r="Z494" s="1" t="inlineStr">
        <is>
          <t>https://drive.google.com/uc?export=view&amp;id=1xRhz6QsQpmva_P0hTp6sEvfMMK2PhF2m</t>
        </is>
      </c>
      <c r="AA494" s="1" t="inlineStr">
        <is>
          <t>Unverified</t>
        </is>
      </c>
      <c r="AB494" s="1" t="n"/>
      <c r="AC494" s="1" t="n"/>
      <c r="AD494" s="10" t="n"/>
      <c r="AE494" s="1" t="n"/>
      <c r="AF494" t="inlineStr">
        <is>
          <t>Yes</t>
        </is>
      </c>
      <c r="AG494" t="inlineStr">
        <is>
          <t>https://www.instagram.com/davincikids_/</t>
        </is>
      </c>
      <c r="AH494" t="inlineStr">
        <is>
          <t>https://www.linkedin.com/company/da-vinci-kids/global/mycompany/</t>
        </is>
      </c>
      <c r="AI494" t="inlineStr">
        <is>
          <t>https://www.linkedin.com/company/da-vinci-kids/global/mycompany/</t>
        </is>
      </c>
    </row>
    <row r="495" ht="12.5" customHeight="1">
      <c r="A495" s="6" t="n">
        <v>45307</v>
      </c>
      <c r="B495" s="1" t="inlineStr">
        <is>
          <t>ORG_1614</t>
        </is>
      </c>
      <c r="C495" s="1" t="b">
        <v>1</v>
      </c>
      <c r="D495" s="1" t="inlineStr">
        <is>
          <t>Geevoo</t>
        </is>
      </c>
      <c r="E495" s="10" t="inlineStr">
        <is>
          <t>https://geevoo.de</t>
        </is>
      </c>
      <c r="F495" t="inlineStr">
        <is>
          <t>geevoo.de</t>
        </is>
      </c>
      <c r="G495" s="1" t="inlineStr">
        <is>
          <t>Geevoo ist ein in Bochum ansässiges Unternehmen, das sich auf digitale Schülerausweis-Lösungen spezialisiert hat. Unser Ziel ist es, Schulen und Bildungseinrichtungen dabei zu unterstützen, Verwaltungsaufwand zu minimieren und Schülern moderne, praktische Lösungen für den Schulalltag zu bieten.
Mit ausgewählten Schulen als Referenzkunden erschließen wir den Markt für digitale Schülerausweise in Deutschland. Unser Ziel ist es, den digitalen Schülerausweis als praktisches Lifestyle-Produkt zu etablieren und die Verwaltung weiter zu optimieren. Geevoo ist Ihr vertrauenswürdiger Partner für digitale Schülerausweise mit Fokus auf Innovation, Datenschutz und Sicherheit – für einen verbesserten Schulalltag.</t>
        </is>
      </c>
      <c r="H495" s="1" t="inlineStr">
        <is>
          <t>I'm not part of any EdTech association</t>
        </is>
      </c>
      <c r="I495" s="1" t="inlineStr">
        <is>
          <t>German</t>
        </is>
      </c>
      <c r="J495" s="1" t="inlineStr">
        <is>
          <t>Bochum</t>
        </is>
      </c>
      <c r="K495" t="inlineStr">
        <is>
          <t>Bochum</t>
        </is>
      </c>
      <c r="L495" t="inlineStr">
        <is>
          <t>Bochum, Germany</t>
        </is>
      </c>
      <c r="M495" t="n">
        <v>51.4818111</v>
      </c>
      <c r="N495" t="n">
        <v>7.2196635</v>
      </c>
      <c r="O495" s="1" t="inlineStr">
        <is>
          <t>Germany</t>
        </is>
      </c>
      <c r="P495" s="1" t="inlineStr">
        <is>
          <t>Austria, Germany</t>
        </is>
      </c>
      <c r="Q495" s="1" t="inlineStr">
        <is>
          <t>3 to 5</t>
        </is>
      </c>
      <c r="R495" t="inlineStr">
        <is>
          <t>Micro</t>
        </is>
      </c>
      <c r="S495" s="1" t="inlineStr">
        <is>
          <t>Business to Schools, Business to Consumer, Business to Government</t>
        </is>
      </c>
      <c r="T495" s="1" t="inlineStr">
        <is>
          <t>Primary Education, Secondary Education, Vocational Education and Training (VET), Higher Education</t>
        </is>
      </c>
      <c r="U495" s="1" t="inlineStr">
        <is>
          <t>Teacher interfacing, System/Administrative, Student interfacing</t>
        </is>
      </c>
      <c r="V495" s="10" t="inlineStr">
        <is>
          <t>Digitale Schülerausweis als Smartphone-App</t>
        </is>
      </c>
      <c r="W495" s="10" t="inlineStr">
        <is>
          <t>Die Geevoo-App ermöglicht es Schülern, ihren Ausweis sicher auf dem Smartphone zu speichern, dank innovativer Technologien wie QR-Codes und kryptografischer Sicherheitsmerkmale. Kein lästiges Mitführen von physischen Ausweisen mehr – Schüler können ihren digitalen Ausweis bequem und sicher jederzeit vorzeigen.
Unsere App bietet nicht nur persönliche Schülerdaten, sondern erlaubt auch das Hinterlegen von individuellen Karten wie Mensa-Karten oder Bibliotheksausweisen. So haben Schüler Zugang zu verschiedenen schulischen Ressourcen und profitieren von Schülerrabatten.</t>
        </is>
      </c>
      <c r="X495" s="10" t="inlineStr">
        <is>
          <t>Webbasiertes Ausweisverwaltungssystem</t>
        </is>
      </c>
      <c r="Y495" t="inlineStr">
        <is>
          <t>Die webbasierte Verwaltungsoberfläche ermöglicht Schulen die effiziente Verwaltung digitaler Schülerausweise. Hier können Schülerdaten einfach verwaltet und Ausweise generiert sowie an die Bedürfnisse der Schule angepasst werden. Datenschutz und Sicherheit stehen dabei im Fokus – die erfassten Daten werden gemäß den Datenschutzbestimmungen geschützt und verschlüsselt.
Um die Einführung unserer Lösungen zu unterstützen, bietet Geevoo umfangreichen Support und Kundendienst. Wir bieten Schulungen für das Personal an und stellen technischen Support bei Fragen und Problemen zur Verfügung.</t>
        </is>
      </c>
      <c r="Z495" s="1" t="inlineStr">
        <is>
          <t>https://drive.google.com/uc?export=view&amp;id=1YTOOiazMLn-8rnXIqFWyyKwzUdKTaer0</t>
        </is>
      </c>
      <c r="AA495" s="1" t="inlineStr">
        <is>
          <t>Unverified</t>
        </is>
      </c>
      <c r="AB495" s="1" t="n"/>
      <c r="AC495" s="1" t="n"/>
      <c r="AD495" s="10" t="n"/>
      <c r="AE495" s="1" t="n"/>
      <c r="AF495" t="inlineStr">
        <is>
          <t>Yes</t>
        </is>
      </c>
      <c r="AG495" t="inlineStr">
        <is>
          <t>https://www.instagram.com/geevoo.de/</t>
        </is>
      </c>
      <c r="AH495" t="inlineStr">
        <is>
          <t>https://twitter.com/Geevoo_de</t>
        </is>
      </c>
      <c r="AI495" t="inlineStr">
        <is>
          <t>https://www.linkedin.com/company/geevoo/</t>
        </is>
      </c>
    </row>
    <row r="496" ht="12.5" customHeight="1">
      <c r="A496" s="6" t="n">
        <v>45306</v>
      </c>
      <c r="B496" s="1" t="inlineStr">
        <is>
          <t>ORG_2562</t>
        </is>
      </c>
      <c r="C496" s="1" t="b">
        <v>1</v>
      </c>
      <c r="D496" s="1" t="inlineStr">
        <is>
          <t>Yellow Toad Agency</t>
        </is>
      </c>
      <c r="E496" s="10" t="inlineStr">
        <is>
          <t>https://www.yellowtoad.agency/</t>
        </is>
      </c>
      <c r="F496" t="inlineStr">
        <is>
          <t>yellowtoad.agency</t>
        </is>
      </c>
      <c r="G496" s="1" t="inlineStr">
        <is>
          <t>Yellow Toad - Your Software Engineering Agency dedicated to transforming educational institutions and enhancing their services for a better future. 
Empowering Education for a Brighter Future.</t>
        </is>
      </c>
      <c r="H496" s="1" t="inlineStr">
        <is>
          <t>I'm not part of any EdTech association</t>
        </is>
      </c>
      <c r="I496" s="1" t="inlineStr">
        <is>
          <t>English, Ukrainian</t>
        </is>
      </c>
      <c r="J496" s="1" t="inlineStr">
        <is>
          <t>Dnipro</t>
        </is>
      </c>
      <c r="K496" t="inlineStr">
        <is>
          <t>Dnipro</t>
        </is>
      </c>
      <c r="L496" t="inlineStr">
        <is>
          <t>Dnipro, Ukraine</t>
        </is>
      </c>
      <c r="M496" t="n">
        <v>48.4680221</v>
      </c>
      <c r="N496" t="n">
        <v>35.0417711</v>
      </c>
      <c r="O496" s="1" t="inlineStr">
        <is>
          <t>Ukraine</t>
        </is>
      </c>
      <c r="P496" s="1" t="inlineStr">
        <is>
          <t>Austria, Germany, Iceland, Ireland, Lithuania, Netherlands, Switzerland, Ukraine, United Kingdom</t>
        </is>
      </c>
      <c r="Q496" s="1" t="inlineStr">
        <is>
          <t>6 to 10</t>
        </is>
      </c>
      <c r="R496" t="inlineStr">
        <is>
          <t>Micro</t>
        </is>
      </c>
      <c r="S496" s="1" t="inlineStr">
        <is>
          <t>Business to Business, Business to Schools</t>
        </is>
      </c>
      <c r="T496" s="1" t="inlineStr">
        <is>
          <t>Early childhood development (0-5 years)</t>
        </is>
      </c>
      <c r="U496" s="1" t="inlineStr">
        <is>
          <t>System/Administrative</t>
        </is>
      </c>
      <c r="V496" s="1" t="inlineStr">
        <is>
          <t>Custom Software Development</t>
        </is>
      </c>
      <c r="W496" s="1" t="inlineStr">
        <is>
          <t>The service of Custom Software Development helps educational institutions create school management systems and improve daily operations.</t>
        </is>
      </c>
      <c r="X496" s="10" t="inlineStr">
        <is>
          <t>Software Delivery Consulting</t>
        </is>
      </c>
      <c r="Y496" t="inlineStr">
        <is>
          <t>The service helps companies with internal teams establish all the processes related to software development, including improvements in technical excellence, project management, and employee growth management, etc.</t>
        </is>
      </c>
      <c r="Z496" s="1" t="inlineStr">
        <is>
          <t>https://drive.google.com/uc?export=view&amp;id=1oZKLrzOj_ejMf89SxKtUcqJt0TThRdNf</t>
        </is>
      </c>
      <c r="AA496" s="1" t="inlineStr">
        <is>
          <t>Unverified</t>
        </is>
      </c>
      <c r="AB496" s="1" t="n"/>
      <c r="AC496" s="1" t="n"/>
      <c r="AD496" s="10" t="n"/>
      <c r="AE496" s="1" t="n"/>
      <c r="AF496" t="inlineStr">
        <is>
          <t>Yes</t>
        </is>
      </c>
      <c r="AG496" t="inlineStr">
        <is>
          <t>https://www.linkedin.com/company/98131770/admin/feed/posts/</t>
        </is>
      </c>
      <c r="AH496" t="inlineStr">
        <is>
          <t>https://www.linkedin.com/company/98131770/admin/feed/posts/</t>
        </is>
      </c>
      <c r="AI496" t="inlineStr">
        <is>
          <t>https://www.linkedin.com/company/98131770/admin/feed/posts/</t>
        </is>
      </c>
    </row>
    <row r="497" ht="12.5" customHeight="1">
      <c r="A497" s="6" t="n">
        <v>45301</v>
      </c>
      <c r="B497" s="1" t="inlineStr">
        <is>
          <t>ORG_2475</t>
        </is>
      </c>
      <c r="C497" s="1" t="b">
        <v>1</v>
      </c>
      <c r="D497" s="1" t="inlineStr">
        <is>
          <t>Upstrive GmbH</t>
        </is>
      </c>
      <c r="E497" s="10" t="inlineStr">
        <is>
          <t>https://upstrivesystem.com/</t>
        </is>
      </c>
      <c r="F497" t="inlineStr">
        <is>
          <t>upstrivesystem.com</t>
        </is>
      </c>
      <c r="G497" s="1" t="inlineStr">
        <is>
          <t>Upstrive is the ultimate solution for measuring and enhancing student and staff wellbeing and engagement. Our comprehensive platform is thoughtfully designed to cater to all your needs, ensuring that you can effectively manage interventions precisely when and where they are required. With Upstrive, you can expect impactful outcomes for students, staff, and the entire educational institution. Say goodbye to the complexity of wellbeing management and embrace the power of our transformative results.</t>
        </is>
      </c>
      <c r="H497" s="1" t="inlineStr">
        <is>
          <t>EdTech Austria</t>
        </is>
      </c>
      <c r="I497" s="1" t="inlineStr">
        <is>
          <t>German, English</t>
        </is>
      </c>
      <c r="J497" s="1" t="inlineStr">
        <is>
          <t>Salzburg</t>
        </is>
      </c>
      <c r="K497" t="inlineStr">
        <is>
          <t>Salzburg</t>
        </is>
      </c>
      <c r="L497" t="inlineStr">
        <is>
          <t>Salzburg, Austria</t>
        </is>
      </c>
      <c r="M497" t="n">
        <v>47.7981346</v>
      </c>
      <c r="N497" t="n">
        <v>13.0464806</v>
      </c>
      <c r="O497" s="1" t="inlineStr">
        <is>
          <t>Austria</t>
        </is>
      </c>
      <c r="P497" s="1" t="inlineStr">
        <is>
          <t>Austria, Germany, Ireland, United Kingdom</t>
        </is>
      </c>
      <c r="Q497" s="1" t="inlineStr">
        <is>
          <t>6 to 10</t>
        </is>
      </c>
      <c r="R497" t="inlineStr">
        <is>
          <t>Micro</t>
        </is>
      </c>
      <c r="S497" s="1" t="inlineStr">
        <is>
          <t>Business to Business, Business to Consumer, Business to Government, Business to Schools</t>
        </is>
      </c>
      <c r="T497" s="1" t="inlineStr">
        <is>
          <t>Primary Education, Secondary Education</t>
        </is>
      </c>
      <c r="U497" s="1" t="inlineStr">
        <is>
          <t>System/Administrative, Student interfacing, Teacher interfacing</t>
        </is>
      </c>
      <c r="V497" s="1" t="inlineStr">
        <is>
          <t>Upstrive Education</t>
        </is>
      </c>
      <c r="W497" s="1" t="inlineStr">
        <is>
          <t>Upstrive a web and mobile application that allows Schools to support, monitor and measure the wellbeing of their staff and students, quickly and effectively. Our application allows for fast, effective, and targeted wellbeing interventions and provides content so it can be applied with minimal resources.</t>
        </is>
      </c>
      <c r="X497" s="10" t="inlineStr">
        <is>
          <t>https://drive.google.com/uc?export=view&amp;id=1W6T8lVwr8EwmuWUZIqR9zmoFMDEpocza</t>
        </is>
      </c>
      <c r="Y497" t="inlineStr">
        <is>
          <t>https://drive.google.com/uc?export=view&amp;id=1W6T8lVwr8EwmuWUZIqR9zmoFMDEpocza</t>
        </is>
      </c>
      <c r="Z497" s="1" t="inlineStr">
        <is>
          <t>https://drive.google.com/uc?export=view&amp;id=1W6T8lVwr8EwmuWUZIqR9zmoFMDEpocza</t>
        </is>
      </c>
      <c r="AA497" s="1" t="inlineStr">
        <is>
          <t>Unverified</t>
        </is>
      </c>
      <c r="AB497" s="1" t="n"/>
      <c r="AC497" s="1" t="n"/>
      <c r="AD497" s="10" t="n"/>
      <c r="AE497" s="1" t="n"/>
      <c r="AF497" t="inlineStr">
        <is>
          <t>Yes</t>
        </is>
      </c>
      <c r="AG497" t="inlineStr">
        <is>
          <t>https://www.linkedin.com/company/upstrive-well-being</t>
        </is>
      </c>
      <c r="AH497" t="inlineStr">
        <is>
          <t>https://www.linkedin.com/company/upstrive-well-being</t>
        </is>
      </c>
      <c r="AI497" t="inlineStr">
        <is>
          <t>https://www.linkedin.com/company/upstrive-well-being</t>
        </is>
      </c>
    </row>
    <row r="498" ht="12.5" customHeight="1">
      <c r="A498" s="6" t="n">
        <v>45300</v>
      </c>
      <c r="B498" s="1" t="inlineStr">
        <is>
          <t>ORG_1326</t>
        </is>
      </c>
      <c r="C498" s="1" t="b">
        <v>1</v>
      </c>
      <c r="D498" s="1" t="inlineStr">
        <is>
          <t>Da Vinci</t>
        </is>
      </c>
      <c r="E498" s="10" t="inlineStr">
        <is>
          <t>https://www.davinci.tv/</t>
        </is>
      </c>
      <c r="F498" t="inlineStr">
        <is>
          <t>davinci.tv</t>
        </is>
      </c>
      <c r="G498" s="1" t="inlineStr">
        <is>
          <t>Da Vinci is a global EdTech brand with one purpose: to offer award-winning video content, original programming, and interactive activities on 21st-century learning. Modern families want screen time that actively engages with important matters in a stimulating way. That’s what we do; we curate premium content to create a smarter and kinder world.
Accessible worldwide through mobile and tablet apps, connected TVs, dedicated TV channels, and an exclusive web app designed for educators, Da Vinci boasts an extensive library of over 66,000 episodes of video content in 22 languages, complemented by courses, interactive lessons, and quizzes crafted by educators to enhance learning.
Da Vinci seamlessly aligns with global curricula, ensuring relevance and depth in educational material. Loved by 250M households and learners worldwide, the brand prides itself on providing highly engaging formats, encompassing both long-form and short-form content, as well as an immersive "learning journey" to captivate and inspire young minds.
Learn to change the world. Challenge accepted!</t>
        </is>
      </c>
      <c r="H498" s="1" t="inlineStr">
        <is>
          <t>I'm not part of any EdTech association</t>
        </is>
      </c>
      <c r="I498" s="1" t="n"/>
      <c r="J498" s="1" t="inlineStr">
        <is>
          <t>London</t>
        </is>
      </c>
      <c r="K498" t="inlineStr">
        <is>
          <t>London</t>
        </is>
      </c>
      <c r="L498" t="inlineStr">
        <is>
          <t>London, United Kingdom</t>
        </is>
      </c>
      <c r="M498" t="n">
        <v>51.5074456</v>
      </c>
      <c r="N498" t="n">
        <v>-0.1277653</v>
      </c>
      <c r="O498" s="1" t="inlineStr">
        <is>
          <t>United Kingdom</t>
        </is>
      </c>
      <c r="P498" s="1" t="inlineStr">
        <is>
          <t>Austria, Bosnia and Herzegovina, Bulgaria, Croatia, Czechia, Denmark, Estonia, Finland, Germany, Greece, Hungary, Ireland, Italy, Kosovo, Latvia, Lithuania, Malta, Moldova, Netherlands, North Macedonia, Norway, Poland, Romania, Serbia, Slovakia, Slovenia, Spain, Sweden, Turkey, Ukraine, United Kingdom</t>
        </is>
      </c>
      <c r="Q498" s="1" t="inlineStr">
        <is>
          <t>11 to 50</t>
        </is>
      </c>
      <c r="R498" t="inlineStr">
        <is>
          <t>Small</t>
        </is>
      </c>
      <c r="S498" s="1" t="inlineStr">
        <is>
          <t>Business to Business</t>
        </is>
      </c>
      <c r="T498" s="1" t="inlineStr">
        <is>
          <t>Primary Education, Secondary Education</t>
        </is>
      </c>
      <c r="U498" s="1" t="inlineStr">
        <is>
          <t>System/Administrative, Student interfacing, Teacher interfacing</t>
        </is>
      </c>
      <c r="V498" s="1" t="n"/>
      <c r="W498" s="1" t="n"/>
      <c r="X498" s="1" t="n"/>
      <c r="Z498" s="1" t="n"/>
      <c r="AA498" s="1" t="inlineStr">
        <is>
          <t>Unverified</t>
        </is>
      </c>
      <c r="AB498" s="1" t="n"/>
      <c r="AC498" s="1" t="n"/>
      <c r="AD498" s="1" t="n"/>
      <c r="AE498" s="1" t="n"/>
      <c r="AF498" t="inlineStr">
        <is>
          <t>No</t>
        </is>
      </c>
    </row>
    <row r="499" ht="12.5" customHeight="1">
      <c r="A499" s="6" t="n">
        <v>45300</v>
      </c>
      <c r="B499" s="1" t="inlineStr">
        <is>
          <t>ORG_1845</t>
        </is>
      </c>
      <c r="C499" s="1" t="b">
        <v>1</v>
      </c>
      <c r="D499" s="1" t="inlineStr">
        <is>
          <t>Leato</t>
        </is>
      </c>
      <c r="E499" s="10" t="inlineStr">
        <is>
          <t>https://leato.io/</t>
        </is>
      </c>
      <c r="F499" t="inlineStr">
        <is>
          <t>leato.io</t>
        </is>
      </c>
      <c r="G499" s="1" t="inlineStr">
        <is>
          <t>Enabling modern companies to create personalized, measurable and scalable L&amp;D for the entire workforce.</t>
        </is>
      </c>
      <c r="H499" s="1" t="inlineStr">
        <is>
          <t>I'm not part of any EdTech association</t>
        </is>
      </c>
      <c r="I499" s="1" t="n"/>
      <c r="J499" s="1" t="inlineStr">
        <is>
          <t>Berlin</t>
        </is>
      </c>
      <c r="K499" t="inlineStr">
        <is>
          <t>Berlin</t>
        </is>
      </c>
      <c r="L499" t="inlineStr">
        <is>
          <t>Berlin, Germany</t>
        </is>
      </c>
      <c r="M499" t="n">
        <v>52.5173885</v>
      </c>
      <c r="N499" t="n">
        <v>13.3951309</v>
      </c>
      <c r="O499" s="1" t="inlineStr">
        <is>
          <t>Germany</t>
        </is>
      </c>
      <c r="P499" s="1" t="inlineStr">
        <is>
          <t>Germany, United Kingdom</t>
        </is>
      </c>
      <c r="Q499" s="1" t="inlineStr">
        <is>
          <t>0 to 10</t>
        </is>
      </c>
      <c r="R499" t="inlineStr">
        <is>
          <t>Micro</t>
        </is>
      </c>
      <c r="S499" s="1" t="inlineStr">
        <is>
          <t>Business to Business, Business to Consumer, Business to Schools</t>
        </is>
      </c>
      <c r="T499" s="1" t="inlineStr">
        <is>
          <t>Corporate Training</t>
        </is>
      </c>
      <c r="U499" s="1" t="inlineStr">
        <is>
          <t>System/Administrative</t>
        </is>
      </c>
      <c r="V499" s="1" t="n"/>
      <c r="W499" s="1" t="inlineStr">
        <is>
          <t>https://drive.google.com/uc?export=view&amp;id=1TnzliLUQtG4QgpgshTHilbw-h_hNK_4L</t>
        </is>
      </c>
      <c r="X499" s="1" t="inlineStr">
        <is>
          <t>https://drive.google.com/uc?export=view&amp;id=1TnzliLUQtG4QgpgshTHilbw-h_hNK_4L</t>
        </is>
      </c>
      <c r="Y499" t="inlineStr">
        <is>
          <t>https://drive.google.com/uc?export=view&amp;id=1TnzliLUQtG4QgpgshTHilbw-h_hNK_4L</t>
        </is>
      </c>
      <c r="Z499" s="1" t="inlineStr">
        <is>
          <t>https://drive.google.com/uc?export=view&amp;id=1TnzliLUQtG4QgpgshTHilbw-h_hNK_4L</t>
        </is>
      </c>
      <c r="AA499" s="1" t="inlineStr">
        <is>
          <t>Unverified</t>
        </is>
      </c>
      <c r="AB499" s="1" t="n"/>
      <c r="AC499" s="1" t="n"/>
      <c r="AD499" s="10" t="n"/>
      <c r="AE499" s="1" t="n"/>
      <c r="AF499" s="1" t="inlineStr">
        <is>
          <t>No</t>
        </is>
      </c>
      <c r="AG499" s="1" t="n"/>
      <c r="AH499" s="1" t="n"/>
    </row>
    <row r="500" ht="12.5" customHeight="1">
      <c r="A500" s="6" t="n">
        <v>45300</v>
      </c>
      <c r="B500" s="1" t="inlineStr">
        <is>
          <t>ORG_2348</t>
        </is>
      </c>
      <c r="C500" s="1" t="b">
        <v>1</v>
      </c>
      <c r="D500" s="1" t="inlineStr">
        <is>
          <t>SubSchool</t>
        </is>
      </c>
      <c r="E500" s="10" t="inlineStr">
        <is>
          <t>https://subschool.us</t>
        </is>
      </c>
      <c r="F500" t="inlineStr">
        <is>
          <t>subschool.us</t>
        </is>
      </c>
      <c r="G500" s="1" t="inlineStr">
        <is>
          <t>SubSchool, is platform aiming to revolutionize education by enabling teachers to create automated courses and offering students personalized learning experiences. Leveraging AI and automation, SubSchool not only reduces the cost of quality education but also customizes assignments to enhance student performance. With a transparent rating system and unique course creation features, it cultivates an environment of trust and superior learning.
We have now released a beta version of the most basic features - creating a school (automatically upon registration), courses, lessons and homework.</t>
        </is>
      </c>
      <c r="H500" s="1" t="inlineStr">
        <is>
          <t>I'm not part of any EdTech association</t>
        </is>
      </c>
      <c r="I500" s="1" t="n"/>
      <c r="J500" s="1" t="inlineStr">
        <is>
          <t>London</t>
        </is>
      </c>
      <c r="K500" t="inlineStr">
        <is>
          <t>London</t>
        </is>
      </c>
      <c r="L500" t="inlineStr">
        <is>
          <t>London, United Kingdom</t>
        </is>
      </c>
      <c r="M500" t="n">
        <v>51.5074456</v>
      </c>
      <c r="N500" t="n">
        <v>-0.1277653</v>
      </c>
      <c r="O500" s="1" t="inlineStr">
        <is>
          <t>United Kingdom</t>
        </is>
      </c>
      <c r="P500" s="1" t="inlineStr">
        <is>
          <t>United Kingdom</t>
        </is>
      </c>
      <c r="Q500" s="1" t="inlineStr">
        <is>
          <t>0 to 10</t>
        </is>
      </c>
      <c r="R500" t="inlineStr">
        <is>
          <t>Micro</t>
        </is>
      </c>
      <c r="S500" s="1" t="inlineStr">
        <is>
          <t>Business to Consumer, Business to Schools</t>
        </is>
      </c>
      <c r="T500" s="1" t="inlineStr">
        <is>
          <t>Primary Education, Secondary Education</t>
        </is>
      </c>
      <c r="U500" s="1" t="inlineStr">
        <is>
          <t>Student interfacing, Teacher interfacing</t>
        </is>
      </c>
      <c r="V500" s="1" t="n"/>
      <c r="W500" s="1" t="inlineStr">
        <is>
          <t>https://drive.google.com/uc?export=view&amp;id=11YVu7SYOCDeNKgFkXjxiTyd_xLBPofiC</t>
        </is>
      </c>
      <c r="X500" s="1" t="inlineStr">
        <is>
          <t>https://drive.google.com/uc?export=view&amp;id=11YVu7SYOCDeNKgFkXjxiTyd_xLBPofiC</t>
        </is>
      </c>
      <c r="Y500" t="inlineStr">
        <is>
          <t>https://drive.google.com/uc?export=view&amp;id=11YVu7SYOCDeNKgFkXjxiTyd_xLBPofiC</t>
        </is>
      </c>
      <c r="Z500" s="1" t="inlineStr">
        <is>
          <t>https://drive.google.com/uc?export=view&amp;id=11YVu7SYOCDeNKgFkXjxiTyd_xLBPofiC</t>
        </is>
      </c>
      <c r="AA500" s="1" t="inlineStr">
        <is>
          <t>Unverified</t>
        </is>
      </c>
      <c r="AB500" s="1" t="n"/>
      <c r="AC500" s="1" t="n"/>
      <c r="AD500" s="10" t="n"/>
      <c r="AE500" s="1" t="n"/>
      <c r="AF500" s="1" t="inlineStr">
        <is>
          <t>No</t>
        </is>
      </c>
      <c r="AG500" s="1" t="n"/>
      <c r="AH500" s="1" t="n"/>
    </row>
    <row r="501" ht="12.5" customHeight="1">
      <c r="A501" s="6" t="n">
        <v>45300</v>
      </c>
      <c r="B501" s="1" t="inlineStr">
        <is>
          <t>ORG_2339</t>
        </is>
      </c>
      <c r="C501" s="1" t="b">
        <v>1</v>
      </c>
      <c r="D501" s="1" t="inlineStr">
        <is>
          <t>Study Hall AI</t>
        </is>
      </c>
      <c r="E501" s="10" t="inlineStr">
        <is>
          <t>Www.Studyhall.ai</t>
        </is>
      </c>
      <c r="F501" t="inlineStr">
        <is>
          <t>studyhall.ai</t>
        </is>
      </c>
      <c r="G501" s="1" t="inlineStr">
        <is>
          <t>Study Hall is an advanced AI personalised learning and assessment platform K-12. 
It is the first company to provide a truly personalised learning experience by personalising both the learning path and the content. 
Study Hall leverages cutting-edge generative AI, ML, and NLP technologies to prioritise engagement and deep learning. By continuously analysing students' performance, knowledge gaps and interests, the platform adapts the learning path in real-time. 
Whether you're into football, fashion, technology or wildlife, Study Hall’s proprietary AI models serve questions precisely aligned to student interests and their target curriculum. 
Demo videos:
Teacher Video
https://youtu.be/DOsuxVMhoqY
Student Test Prep
https://youtu.be/HSNLcvjB024
Deep Reader
https://studyhall.ai/deepReader</t>
        </is>
      </c>
      <c r="H501" s="1" t="inlineStr">
        <is>
          <t>I'm not part of any EdTech association</t>
        </is>
      </c>
      <c r="I501" s="1" t="n"/>
      <c r="J501" s="1" t="inlineStr">
        <is>
          <t>London</t>
        </is>
      </c>
      <c r="K501" t="inlineStr">
        <is>
          <t>London</t>
        </is>
      </c>
      <c r="L501" t="inlineStr">
        <is>
          <t>London, United Kingdom</t>
        </is>
      </c>
      <c r="M501" t="n">
        <v>51.5074456</v>
      </c>
      <c r="N501" t="n">
        <v>-0.1277653</v>
      </c>
      <c r="O501" s="1" t="inlineStr">
        <is>
          <t>United Kingdom</t>
        </is>
      </c>
      <c r="P501" s="1" t="inlineStr">
        <is>
          <t>United Kingdom</t>
        </is>
      </c>
      <c r="Q501" s="1" t="inlineStr">
        <is>
          <t>11 to 50</t>
        </is>
      </c>
      <c r="R501" t="inlineStr">
        <is>
          <t>Small</t>
        </is>
      </c>
      <c r="S501" s="1" t="inlineStr">
        <is>
          <t>Business to Consumer, Business to Schools</t>
        </is>
      </c>
      <c r="T501" s="1" t="inlineStr">
        <is>
          <t>Primary Education, Secondary Education</t>
        </is>
      </c>
      <c r="U501" s="1" t="inlineStr">
        <is>
          <t>System/Administrative, Student interfacing, Teacher interfacing</t>
        </is>
      </c>
      <c r="V501" s="1" t="n"/>
      <c r="W501" s="1" t="inlineStr">
        <is>
          <t>https://drive.google.com/uc?export=view&amp;id=1WYrsrSVqPQOKD4P6im9zYwaNrirwHUml</t>
        </is>
      </c>
      <c r="X501" s="1" t="inlineStr">
        <is>
          <t>https://drive.google.com/uc?export=view&amp;id=1WYrsrSVqPQOKD4P6im9zYwaNrirwHUml</t>
        </is>
      </c>
      <c r="Y501" t="inlineStr">
        <is>
          <t>https://drive.google.com/uc?export=view&amp;id=1WYrsrSVqPQOKD4P6im9zYwaNrirwHUml</t>
        </is>
      </c>
      <c r="Z501" s="1" t="inlineStr">
        <is>
          <t>https://drive.google.com/uc?export=view&amp;id=1WYrsrSVqPQOKD4P6im9zYwaNrirwHUml</t>
        </is>
      </c>
      <c r="AA501" s="1" t="inlineStr">
        <is>
          <t>Unverified</t>
        </is>
      </c>
      <c r="AB501" s="1" t="n"/>
      <c r="AC501" s="1" t="n"/>
      <c r="AD501" s="10" t="n"/>
      <c r="AE501" s="1" t="n"/>
      <c r="AF501" t="inlineStr">
        <is>
          <t>No</t>
        </is>
      </c>
    </row>
    <row r="502" ht="12.5" customHeight="1">
      <c r="A502" s="6" t="n">
        <v>45300</v>
      </c>
      <c r="B502" s="1" t="inlineStr">
        <is>
          <t>ORG_1448</t>
        </is>
      </c>
      <c r="C502" s="1" t="b">
        <v>1</v>
      </c>
      <c r="D502" s="1" t="inlineStr">
        <is>
          <t>Edulyzer</t>
        </is>
      </c>
      <c r="E502" s="10" t="inlineStr">
        <is>
          <t>www.edulyzer.com/en</t>
        </is>
      </c>
      <c r="F502" t="inlineStr">
        <is>
          <t>edulyzer.com/en</t>
        </is>
      </c>
      <c r="G502" s="1" t="inlineStr">
        <is>
          <t>Edulyzer collects and analyses data about school activities that can be used to develop learning, school satisfaction, well-being and collective activities. We want to be involved in building school communities where everyone’s potential is seen and valued.
Data is gathered with Edulyzer-application from students, teachers, principals and guardians. Data reports and analyses are shown via Dashboard. Questions for data gathering are made by scientists and they are based on known theories.</t>
        </is>
      </c>
      <c r="H502" s="1" t="inlineStr">
        <is>
          <t>I'm not part of any EdTech association</t>
        </is>
      </c>
      <c r="I502" s="1" t="n"/>
      <c r="J502" s="1" t="inlineStr">
        <is>
          <t>Helsinki</t>
        </is>
      </c>
      <c r="K502" t="inlineStr">
        <is>
          <t>Helsinki</t>
        </is>
      </c>
      <c r="L502" t="inlineStr">
        <is>
          <t>Helsinki, Finland</t>
        </is>
      </c>
      <c r="M502" t="n">
        <v>60.1666204</v>
      </c>
      <c r="N502" t="n">
        <v>24.9435408</v>
      </c>
      <c r="O502" s="1" t="inlineStr">
        <is>
          <t>Finland</t>
        </is>
      </c>
      <c r="P502" s="1" t="inlineStr">
        <is>
          <t>Estonia, Finland, Germany, Spain, Sweden</t>
        </is>
      </c>
      <c r="Q502" s="1" t="inlineStr">
        <is>
          <t>0 to 10</t>
        </is>
      </c>
      <c r="R502" t="inlineStr">
        <is>
          <t>Micro</t>
        </is>
      </c>
      <c r="S502" s="1" t="inlineStr">
        <is>
          <t>Business to Business, Business to Consumer, Business to Government, Business to Schools</t>
        </is>
      </c>
      <c r="T502" s="1" t="inlineStr">
        <is>
          <t>Primary Education, Secondary Education, Lifelong learning/Adult education</t>
        </is>
      </c>
      <c r="U502" s="1" t="inlineStr">
        <is>
          <t>System/Administrative, Student interfacing, Teacher interfacing</t>
        </is>
      </c>
      <c r="V502" s="1" t="n"/>
      <c r="W502" s="1" t="inlineStr">
        <is>
          <t>https://drive.google.com/uc?export=view&amp;id=1TODQbxVXmpxGxsC0AhlXsXYyn8pSBB8E</t>
        </is>
      </c>
      <c r="X502" s="1" t="inlineStr">
        <is>
          <t>https://drive.google.com/uc?export=view&amp;id=1TODQbxVXmpxGxsC0AhlXsXYyn8pSBB8E</t>
        </is>
      </c>
      <c r="Y502" t="inlineStr">
        <is>
          <t>https://drive.google.com/uc?export=view&amp;id=1TODQbxVXmpxGxsC0AhlXsXYyn8pSBB8E</t>
        </is>
      </c>
      <c r="Z502" s="1" t="inlineStr">
        <is>
          <t>https://drive.google.com/uc?export=view&amp;id=1TODQbxVXmpxGxsC0AhlXsXYyn8pSBB8E</t>
        </is>
      </c>
      <c r="AA502" s="1" t="inlineStr">
        <is>
          <t>Unverified</t>
        </is>
      </c>
      <c r="AB502" s="1" t="n"/>
      <c r="AC502" s="1" t="n"/>
      <c r="AD502" s="10" t="n"/>
      <c r="AE502" s="1" t="n"/>
      <c r="AF502" s="1" t="inlineStr">
        <is>
          <t>No</t>
        </is>
      </c>
      <c r="AG502" s="1" t="n"/>
      <c r="AH502" s="1" t="n"/>
    </row>
    <row r="503" ht="12.5" customHeight="1">
      <c r="A503" s="6" t="n">
        <v>45300</v>
      </c>
      <c r="B503" s="1" t="inlineStr">
        <is>
          <t>ORG_1979</t>
        </is>
      </c>
      <c r="C503" s="1" t="b">
        <v>1</v>
      </c>
      <c r="D503" s="1" t="inlineStr">
        <is>
          <t>modulu. Unlocking the magic of Learning with AI.</t>
        </is>
      </c>
      <c r="E503" s="10" t="inlineStr">
        <is>
          <t>http://www.modulu.io</t>
        </is>
      </c>
      <c r="F503" t="inlineStr">
        <is>
          <t>modulu.io</t>
        </is>
      </c>
      <c r="G503" s="1" t="inlineStr">
        <is>
          <t>At modulu, we understand the challenges of education, such as the scarcity of qualified teachers, the pressure that lies on the shoulders of the remaining teachers, the struggles faced by working parents to support their children in their academic journeys, and the unique needs of neurodiverse students within the classroom. We firmly believe that every learner deserves an exceptional education, regardless of their circumstances.
Therefore, we are seeking to unlock the magic of learning for each learner through the vast possibilities of artificial intelligence. modulu combines cutting edge AI Technology with worldclass engaging learning content within brain-friendly learning environments to enable students to learn easier, to develop future skills and to enjoy their learning success in international and interactive modulu challenges. Our innovative solutions are designed to make education accessible, engaging, and transformative. Unlocking the magic of learning, we will set free students' brainpower and creativity to succeed in school and life.
Are you ready to join us at modulu as we revolutionize education and pave the way for a brighter future? Visit our website at www.modulu.io to learn more about how modulu is making a difference in education or reach out to us directly, if you want to collaborate with us on this journey. Together, we can create a brighter future for education, one learner at a time. Let’s join together to combat the obstacles that hinder learning, open doors of opportunity for students, and empower educators and parents alike.</t>
        </is>
      </c>
      <c r="H503" s="1" t="inlineStr">
        <is>
          <t>I'm not part of any EdTech association</t>
        </is>
      </c>
      <c r="I503" s="1" t="n"/>
      <c r="J503" s="1" t="inlineStr">
        <is>
          <t>Münster</t>
        </is>
      </c>
      <c r="K503" t="inlineStr">
        <is>
          <t>Münster</t>
        </is>
      </c>
      <c r="L503" t="inlineStr">
        <is>
          <t>Münster, Germany</t>
        </is>
      </c>
      <c r="M503" t="n">
        <v>51.9625101</v>
      </c>
      <c r="N503" t="n">
        <v>7.6251879</v>
      </c>
      <c r="O503" s="1" t="inlineStr">
        <is>
          <t>Germany</t>
        </is>
      </c>
      <c r="P503" s="1" t="inlineStr">
        <is>
          <t>Germany</t>
        </is>
      </c>
      <c r="Q503" s="1" t="inlineStr">
        <is>
          <t>0 to 10</t>
        </is>
      </c>
      <c r="R503" t="inlineStr">
        <is>
          <t>Micro</t>
        </is>
      </c>
      <c r="S503" s="1" t="inlineStr">
        <is>
          <t>Business to Business</t>
        </is>
      </c>
      <c r="T503" s="1" t="inlineStr">
        <is>
          <t>Secondary Education, Higher Education</t>
        </is>
      </c>
      <c r="U503" s="1" t="inlineStr">
        <is>
          <t>System/Administrative, Student interfacing, Teacher interfacing</t>
        </is>
      </c>
      <c r="V503" s="1" t="n"/>
      <c r="W503" s="1" t="inlineStr">
        <is>
          <t>https://drive.google.com/uc?export=view&amp;id=1bl0xvooRC2MeJc_6d5bEhLEsopEVrhEN</t>
        </is>
      </c>
      <c r="X503" s="1" t="inlineStr">
        <is>
          <t>https://drive.google.com/uc?export=view&amp;id=1bl0xvooRC2MeJc_6d5bEhLEsopEVrhEN</t>
        </is>
      </c>
      <c r="Y503" t="inlineStr">
        <is>
          <t>https://drive.google.com/uc?export=view&amp;id=1bl0xvooRC2MeJc_6d5bEhLEsopEVrhEN</t>
        </is>
      </c>
      <c r="Z503" s="1" t="inlineStr">
        <is>
          <t>https://drive.google.com/uc?export=view&amp;id=1bl0xvooRC2MeJc_6d5bEhLEsopEVrhEN</t>
        </is>
      </c>
      <c r="AA503" s="1" t="inlineStr">
        <is>
          <t>Unverified</t>
        </is>
      </c>
      <c r="AB503" s="1" t="n"/>
      <c r="AC503" s="1" t="n"/>
      <c r="AD503" s="10" t="n"/>
      <c r="AE503" s="1" t="n"/>
      <c r="AF503" t="inlineStr">
        <is>
          <t>No</t>
        </is>
      </c>
    </row>
    <row r="504" ht="12.5" customHeight="1">
      <c r="A504" s="6" t="n">
        <v>45300</v>
      </c>
      <c r="B504" s="1" t="inlineStr">
        <is>
          <t>ORG_1020</t>
        </is>
      </c>
      <c r="C504" s="1" t="b">
        <v>1</v>
      </c>
      <c r="D504" s="1" t="inlineStr">
        <is>
          <t>abodoo</t>
        </is>
      </c>
      <c r="E504" s="10" t="inlineStr">
        <is>
          <t>https://abodoo.com/</t>
        </is>
      </c>
      <c r="F504" t="inlineStr">
        <is>
          <t>abodoo.com</t>
        </is>
      </c>
      <c r="G504" s="1" t="inlineStr">
        <is>
          <t>abodoo is an AI Skills Platform that powers our educational partners to provide greater inclusive access to learning pathways, opportunities and new revenue streams. The cornerstone of our platform is the Skills Passport with built in recommended learning, inclusive skills first matching and for stakeholders geo skills mapping understanding skills gaps for future learning needs and skills planning. 
Our mission is to bridge the skills gap between industry and education through our partners and ensure no one is left behind. 
abodoo's customers include the European Commission, universities, national and local government, organisations and NGOs
We work with our clients in two ways and power their educational vision as an innovative skills technology partner. 
If you would like to see a demonstration of our Skills Platform and how it can deliver for you, simply get in touch.</t>
        </is>
      </c>
      <c r="H504" s="1" t="inlineStr">
        <is>
          <t>I'm not part of any EdTech association</t>
        </is>
      </c>
      <c r="I504" s="1" t="inlineStr">
        <is>
          <t>English</t>
        </is>
      </c>
      <c r="J504" s="1" t="inlineStr">
        <is>
          <t>Dublin</t>
        </is>
      </c>
      <c r="K504" t="inlineStr">
        <is>
          <t>Dublin</t>
        </is>
      </c>
      <c r="L504" t="inlineStr">
        <is>
          <t>Dublin, Ireland</t>
        </is>
      </c>
      <c r="M504" t="n">
        <v>53.3493795</v>
      </c>
      <c r="N504" t="n">
        <v>-6.2605593</v>
      </c>
      <c r="O504" s="1" t="inlineStr">
        <is>
          <t>Ireland</t>
        </is>
      </c>
      <c r="P50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504" s="1" t="inlineStr">
        <is>
          <t>6 to 10</t>
        </is>
      </c>
      <c r="R504" t="inlineStr">
        <is>
          <t>Micro</t>
        </is>
      </c>
      <c r="S504" s="1" t="inlineStr">
        <is>
          <t>Business to Business, Business to Government, Business to Schools</t>
        </is>
      </c>
      <c r="T504" s="1" t="inlineStr">
        <is>
          <t>Corporate Training, Lifelong learning/Adult education, Vocational Education and Training (VET), Higher Education</t>
        </is>
      </c>
      <c r="U504" s="1" t="inlineStr">
        <is>
          <t>Teacher interfacing, System/Administrative, Student interfacing</t>
        </is>
      </c>
      <c r="V504" s="1" t="inlineStr">
        <is>
          <t>Skills Passport with recommended learning</t>
        </is>
      </c>
      <c r="W504" s="10" t="inlineStr">
        <is>
          <t>The Skills Passport providers a personalised L&amp;D journey for every learner that supports their career destination and current skills gaps. Further the Skills 1st Matching element can be activated to support skills discovery, support transferrable skills as well as create new revenue opportunities for our educational partners.</t>
        </is>
      </c>
      <c r="X504" s="10" t="inlineStr">
        <is>
          <t>Skills Mapping for gap analysis and forecasting</t>
        </is>
      </c>
      <c r="Y504" t="inlineStr">
        <is>
          <t>The Skills Mapping marries and visualised three sets of skills data to enable anyone to see the skills gap and impact of learning to decide on future educational investment and curriculum needs. It includes merging Macro "Public" Skills Data with Micro "Captured" Skills Data along with Real Time Skills Data "Passport" to give a wholistic view of skills.</t>
        </is>
      </c>
      <c r="Z504" s="1" t="inlineStr">
        <is>
          <t>https://drive.google.com/uc?export=view&amp;id=19cU-xdFsCsZ6-hY3nr4J_QyaAfsMkYwA</t>
        </is>
      </c>
      <c r="AA504" s="1" t="inlineStr">
        <is>
          <t>Unverified</t>
        </is>
      </c>
      <c r="AB504" s="1" t="n"/>
      <c r="AC504" s="1" t="n"/>
      <c r="AD504" s="10" t="n"/>
      <c r="AE504" s="1" t="n"/>
      <c r="AF504" t="inlineStr">
        <is>
          <t>Yes</t>
        </is>
      </c>
      <c r="AG504" t="inlineStr">
        <is>
          <t>https://twitter.com/AbodooLtd</t>
        </is>
      </c>
      <c r="AH504" t="inlineStr">
        <is>
          <t>https://twitter.com/AbodooLtd</t>
        </is>
      </c>
      <c r="AI504" t="inlineStr">
        <is>
          <t>https://www.linkedin.com/company/abodoo</t>
        </is>
      </c>
    </row>
    <row r="505" ht="12.5" customHeight="1">
      <c r="A505" s="6" t="n">
        <v>45300</v>
      </c>
      <c r="B505" s="1" t="inlineStr">
        <is>
          <t>ORG_1200</t>
        </is>
      </c>
      <c r="C505" s="1" t="b">
        <v>1</v>
      </c>
      <c r="D505" s="1" t="inlineStr">
        <is>
          <t>Bravori</t>
        </is>
      </c>
      <c r="E505" s="10" t="inlineStr">
        <is>
          <t>https://bravorimusic.com/</t>
        </is>
      </c>
      <c r="F505" t="inlineStr">
        <is>
          <t>bravorimusic.com</t>
        </is>
      </c>
      <c r="G505" s="1" t="inlineStr">
        <is>
          <t>Bravori is a groundbreaking and innovative educational solution that revolutionizes the way music instruments are practiced and how teachers and students communicate in music lessons. Our research based solution is designed to optimize interactive feedback, visualise learning progress, improve student engagement and empower personalised learning with AI enhanced feedback solutions.</t>
        </is>
      </c>
      <c r="H505" s="1" t="inlineStr">
        <is>
          <t>I'm not part of any EdTech association</t>
        </is>
      </c>
      <c r="I505" s="1" t="n"/>
      <c r="J505" s="1" t="inlineStr">
        <is>
          <t>Helsinki</t>
        </is>
      </c>
      <c r="K505" t="inlineStr">
        <is>
          <t>Helsinki</t>
        </is>
      </c>
      <c r="L505" t="inlineStr">
        <is>
          <t>Helsinki, Finland</t>
        </is>
      </c>
      <c r="M505" t="n">
        <v>60.1666204</v>
      </c>
      <c r="N505" t="n">
        <v>24.9435408</v>
      </c>
      <c r="O505" s="1" t="inlineStr">
        <is>
          <t>Finland</t>
        </is>
      </c>
      <c r="P505" s="1" t="inlineStr">
        <is>
          <t>Finland</t>
        </is>
      </c>
      <c r="Q505" s="1" t="inlineStr">
        <is>
          <t>0 to 10</t>
        </is>
      </c>
      <c r="R505" t="inlineStr">
        <is>
          <t>Micro</t>
        </is>
      </c>
      <c r="S505" s="1" t="inlineStr">
        <is>
          <t>Business to Business, Business to Consumer, Business to Schools</t>
        </is>
      </c>
      <c r="T505" s="1" t="inlineStr">
        <is>
          <t>Primary Education, Secondary Education</t>
        </is>
      </c>
      <c r="U505" s="1" t="inlineStr">
        <is>
          <t>System/Administrative, Student interfacing, Teacher interfacing</t>
        </is>
      </c>
      <c r="V505" s="1" t="n"/>
      <c r="W505" s="1" t="inlineStr">
        <is>
          <t>https://drive.google.com/uc?export=view&amp;id=1VMpThMhzwnxeTJHeqVjuRi-d7I6v-WHA</t>
        </is>
      </c>
      <c r="X505" s="1" t="inlineStr">
        <is>
          <t>https://drive.google.com/uc?export=view&amp;id=1VMpThMhzwnxeTJHeqVjuRi-d7I6v-WHA</t>
        </is>
      </c>
      <c r="Y505" t="inlineStr">
        <is>
          <t>https://drive.google.com/uc?export=view&amp;id=1VMpThMhzwnxeTJHeqVjuRi-d7I6v-WHA</t>
        </is>
      </c>
      <c r="Z505" s="1" t="inlineStr">
        <is>
          <t>https://drive.google.com/uc?export=view&amp;id=1VMpThMhzwnxeTJHeqVjuRi-d7I6v-WHA</t>
        </is>
      </c>
      <c r="AA505" s="1" t="inlineStr">
        <is>
          <t>Unverified</t>
        </is>
      </c>
      <c r="AB505" s="1" t="n"/>
      <c r="AC505" s="1" t="n"/>
      <c r="AD505" s="10" t="n"/>
      <c r="AE505" s="1" t="n"/>
      <c r="AF505" t="inlineStr">
        <is>
          <t>No</t>
        </is>
      </c>
    </row>
    <row r="506" ht="12.5" customHeight="1">
      <c r="A506" s="6" t="n">
        <v>45300</v>
      </c>
      <c r="B506" s="1" t="inlineStr">
        <is>
          <t>ORG_1220</t>
        </is>
      </c>
      <c r="C506" s="1" t="b">
        <v>1</v>
      </c>
      <c r="D506" s="1" t="inlineStr">
        <is>
          <t>Career Smarter</t>
        </is>
      </c>
      <c r="E506" s="10" t="inlineStr">
        <is>
          <t>https://www.careersmarter.com/</t>
        </is>
      </c>
      <c r="F506" t="inlineStr">
        <is>
          <t>careersmarter.com</t>
        </is>
      </c>
      <c r="G506" s="1" t="inlineStr">
        <is>
          <t>We are a leading online training provider, we partner with learners to achieve career success through our certified online learning courses and career smarter advice.</t>
        </is>
      </c>
      <c r="H506" s="1" t="inlineStr">
        <is>
          <t>I'm not part of any EdTech association</t>
        </is>
      </c>
      <c r="I506" s="1" t="n"/>
      <c r="J506" s="1" t="inlineStr">
        <is>
          <t>London</t>
        </is>
      </c>
      <c r="K506" t="inlineStr">
        <is>
          <t>London</t>
        </is>
      </c>
      <c r="L506" t="inlineStr">
        <is>
          <t>London, United Kingdom</t>
        </is>
      </c>
      <c r="M506" t="n">
        <v>51.5074456</v>
      </c>
      <c r="N506" t="n">
        <v>-0.1277653</v>
      </c>
      <c r="O506" s="1" t="inlineStr">
        <is>
          <t>United Kingdom</t>
        </is>
      </c>
      <c r="P506" s="1" t="inlineStr">
        <is>
          <t>United Kingdom</t>
        </is>
      </c>
      <c r="Q506" s="1" t="inlineStr">
        <is>
          <t>0 to 10</t>
        </is>
      </c>
      <c r="R506" t="inlineStr">
        <is>
          <t>Micro</t>
        </is>
      </c>
      <c r="S506" s="1" t="inlineStr">
        <is>
          <t>Business to Business</t>
        </is>
      </c>
      <c r="T506" s="1" t="inlineStr">
        <is>
          <t>Higher Education, Corporate Training</t>
        </is>
      </c>
      <c r="U506" s="1" t="inlineStr">
        <is>
          <t>System/Administrative, Student interfacing</t>
        </is>
      </c>
      <c r="V506" s="1" t="n"/>
      <c r="W506" s="1" t="inlineStr">
        <is>
          <t>https://drive.google.com/uc?export=view&amp;id=1AySUL-CPKuo8zTAXo-tX-n7QO43r-anA</t>
        </is>
      </c>
      <c r="X506" s="1" t="inlineStr">
        <is>
          <t>https://drive.google.com/uc?export=view&amp;id=1AySUL-CPKuo8zTAXo-tX-n7QO43r-anA</t>
        </is>
      </c>
      <c r="Y506" t="inlineStr">
        <is>
          <t>https://drive.google.com/uc?export=view&amp;id=1AySUL-CPKuo8zTAXo-tX-n7QO43r-anA</t>
        </is>
      </c>
      <c r="Z506" s="1" t="inlineStr">
        <is>
          <t>https://drive.google.com/uc?export=view&amp;id=1AySUL-CPKuo8zTAXo-tX-n7QO43r-anA</t>
        </is>
      </c>
      <c r="AA506" s="1" t="inlineStr">
        <is>
          <t>Unverified</t>
        </is>
      </c>
      <c r="AB506" s="1" t="n"/>
      <c r="AC506" s="1" t="n"/>
      <c r="AD506" s="10" t="n"/>
      <c r="AE506" s="1" t="n"/>
      <c r="AF506" t="inlineStr">
        <is>
          <t>No</t>
        </is>
      </c>
    </row>
    <row r="507" ht="12.5" customHeight="1">
      <c r="A507" s="6" t="n">
        <v>45300</v>
      </c>
      <c r="B507" s="1" t="inlineStr">
        <is>
          <t>ORG_1246</t>
        </is>
      </c>
      <c r="C507" s="1" t="b">
        <v>1</v>
      </c>
      <c r="D507" s="1" t="inlineStr">
        <is>
          <t>Classid</t>
        </is>
      </c>
      <c r="E507" s="10" t="inlineStr">
        <is>
          <t>classid.be</t>
        </is>
      </c>
      <c r="F507" t="inlineStr">
        <is>
          <t>classid.be</t>
        </is>
      </c>
      <c r="G507" s="1" t="inlineStr">
        <is>
          <t>At Classid, we are passionate about using technology to improve education. Our learning management system is designed to be user-friendly, powerful, and flexible, offering a range of modules that can be customized to fit the needs of any school or teacher. With over 50,000 users already benefiting from our software, we are committed to helping teachers and students alike succeed in the classroom.</t>
        </is>
      </c>
      <c r="H507" s="1" t="inlineStr">
        <is>
          <t>edtechstation</t>
        </is>
      </c>
      <c r="I507" s="1" t="n"/>
      <c r="J507" s="1" t="inlineStr">
        <is>
          <t>Lommel</t>
        </is>
      </c>
      <c r="K507" t="inlineStr">
        <is>
          <t>Lommel</t>
        </is>
      </c>
      <c r="L507" t="inlineStr">
        <is>
          <t>Lommel, Belgium</t>
        </is>
      </c>
      <c r="M507" t="n">
        <v>51.2305657</v>
      </c>
      <c r="N507" t="n">
        <v>5.3076895</v>
      </c>
      <c r="O507" s="1" t="inlineStr">
        <is>
          <t>Belgium</t>
        </is>
      </c>
      <c r="P507" s="1" t="inlineStr">
        <is>
          <t>Belgium, Netherlands</t>
        </is>
      </c>
      <c r="Q507" s="1" t="inlineStr">
        <is>
          <t>0 to 10</t>
        </is>
      </c>
      <c r="R507" t="inlineStr">
        <is>
          <t>Micro</t>
        </is>
      </c>
      <c r="S507" s="1" t="inlineStr">
        <is>
          <t>Business to Business, Business to Consumer</t>
        </is>
      </c>
      <c r="T507" s="1" t="inlineStr">
        <is>
          <t>Primary Education, Secondary Education, Higher Education, Corporate Training</t>
        </is>
      </c>
      <c r="U507" s="1" t="inlineStr">
        <is>
          <t>System/Administrative, Student interfacing, Teacher interfacing</t>
        </is>
      </c>
      <c r="V507" s="10" t="inlineStr">
        <is>
          <t>Classid</t>
        </is>
      </c>
      <c r="W507" s="10" t="inlineStr">
        <is>
          <t>The Classid learning management system is designed to be user-friendly, powerful, and flexible, offering a range of modules that can be customized to fit the needs of any school or teacher. With over 30,000 users already benefiting from our software, we are committed to helping teachers and students alike succeed in the classroom.</t>
        </is>
      </c>
      <c r="X507" s="10" t="inlineStr">
        <is>
          <t>https://drive.google.com/uc?export=view&amp;id=1tLnjp0RlXOypc_KyUNP7Eq_AOGD2GAUB</t>
        </is>
      </c>
      <c r="Y507" t="inlineStr">
        <is>
          <t>https://drive.google.com/uc?export=view&amp;id=1tLnjp0RlXOypc_KyUNP7Eq_AOGD2GAUB</t>
        </is>
      </c>
      <c r="Z507" s="1" t="inlineStr">
        <is>
          <t>https://drive.google.com/uc?export=view&amp;id=1tLnjp0RlXOypc_KyUNP7Eq_AOGD2GAUB</t>
        </is>
      </c>
      <c r="AA507" s="1" t="inlineStr">
        <is>
          <t>Unverified</t>
        </is>
      </c>
      <c r="AB507" s="1" t="n"/>
      <c r="AC507" s="1" t="n"/>
      <c r="AD507" s="10" t="n"/>
      <c r="AE507" s="1" t="n"/>
      <c r="AF507" t="inlineStr">
        <is>
          <t>Yes</t>
        </is>
      </c>
      <c r="AG507" t="inlineStr">
        <is>
          <t>https://www.instagram.com/classid_io/</t>
        </is>
      </c>
      <c r="AH507" t="inlineStr">
        <is>
          <t>https://twitter.com/classid_io</t>
        </is>
      </c>
      <c r="AI507" t="inlineStr">
        <is>
          <t>https://www.linkedin.com/company/classid/</t>
        </is>
      </c>
    </row>
    <row r="508" ht="12.5" customHeight="1">
      <c r="A508" s="6" t="n">
        <v>45300</v>
      </c>
      <c r="B508" s="1" t="inlineStr">
        <is>
          <t>ORG_2528</t>
        </is>
      </c>
      <c r="C508" s="1" t="b">
        <v>1</v>
      </c>
      <c r="D508" s="1" t="inlineStr">
        <is>
          <t>Whizzkids</t>
        </is>
      </c>
      <c r="E508" s="10" t="inlineStr">
        <is>
          <t>www.whizzkids.online</t>
        </is>
      </c>
      <c r="F508" t="inlineStr">
        <is>
          <t>whizzkids.online</t>
        </is>
      </c>
      <c r="G508" s="1" t="inlineStr">
        <is>
          <t>Whizzkids takes digital skills to your classroom/school and creates a powerful learning environment to integrate ICT for each pupil. Whizzkids organizes ICT-challenges, within the different learning areas and compliant with the ICT targets, for primary school and for teacher education. Made by teachers for students and (future) teachers.</t>
        </is>
      </c>
      <c r="H508" s="1" t="inlineStr">
        <is>
          <t>edtechstation</t>
        </is>
      </c>
      <c r="I508" s="1" t="n"/>
      <c r="J508" s="1" t="inlineStr">
        <is>
          <t>Olsene</t>
        </is>
      </c>
      <c r="K508" t="inlineStr">
        <is>
          <t>Olsene</t>
        </is>
      </c>
      <c r="L508" t="inlineStr">
        <is>
          <t>Olsene, Belgium</t>
        </is>
      </c>
      <c r="M508" t="n">
        <v>50.9357958</v>
      </c>
      <c r="N508" t="n">
        <v>3.4651619</v>
      </c>
      <c r="O508" s="1" t="inlineStr">
        <is>
          <t>Belgium</t>
        </is>
      </c>
      <c r="P508" s="1" t="inlineStr">
        <is>
          <t>Belgium</t>
        </is>
      </c>
      <c r="Q508" s="1" t="inlineStr">
        <is>
          <t>0 to 10</t>
        </is>
      </c>
      <c r="R508" t="inlineStr">
        <is>
          <t>Micro</t>
        </is>
      </c>
      <c r="S508" s="1" t="inlineStr">
        <is>
          <t>Business to Schools</t>
        </is>
      </c>
      <c r="T508" s="1" t="inlineStr">
        <is>
          <t>Primary Education, Higher Education, Lifelong learning/Adult education</t>
        </is>
      </c>
      <c r="U508" s="1" t="inlineStr">
        <is>
          <t>Student interfacing, Teacher interfacing</t>
        </is>
      </c>
      <c r="V508" s="10" t="inlineStr">
        <is>
          <t>Whizzkids contest</t>
        </is>
      </c>
      <c r="W508" s="1" t="inlineStr">
        <is>
          <t>Schools from Flanders and The Netherlands can participate in a class-contest. In this contest, children work on digital skills in a class context.</t>
        </is>
      </c>
      <c r="X508" s="10" t="inlineStr">
        <is>
          <t>https://drive.google.com/uc?export=view&amp;id=1LxN6KZwVT6AxGlIwhbimJKE9sYGmpzuK</t>
        </is>
      </c>
      <c r="Y508" t="inlineStr">
        <is>
          <t>https://drive.google.com/uc?export=view&amp;id=1LxN6KZwVT6AxGlIwhbimJKE9sYGmpzuK</t>
        </is>
      </c>
      <c r="Z508" s="1" t="inlineStr">
        <is>
          <t>https://drive.google.com/uc?export=view&amp;id=1LxN6KZwVT6AxGlIwhbimJKE9sYGmpzuK</t>
        </is>
      </c>
      <c r="AA508" s="1" t="inlineStr">
        <is>
          <t>Unverified</t>
        </is>
      </c>
      <c r="AB508" s="1" t="n"/>
      <c r="AC508" s="1" t="n"/>
      <c r="AD508" s="10" t="n"/>
      <c r="AE508" s="1" t="n"/>
      <c r="AF508" t="inlineStr">
        <is>
          <t>Yes</t>
        </is>
      </c>
      <c r="AG508" t="inlineStr">
        <is>
          <t>https://www.instagram.com/whizzkidswedstrijd/</t>
        </is>
      </c>
      <c r="AH508" t="inlineStr">
        <is>
          <t>https://www.linkedin.com/company/vzw-whizzkids/</t>
        </is>
      </c>
      <c r="AI508" t="inlineStr">
        <is>
          <t>https://www.linkedin.com/company/vzw-whizzkids/</t>
        </is>
      </c>
    </row>
    <row r="509" ht="12.5" customHeight="1">
      <c r="A509" s="6" t="n">
        <v>45300</v>
      </c>
      <c r="B509" s="1" t="inlineStr">
        <is>
          <t>ORG_1306</t>
        </is>
      </c>
      <c r="C509" s="1" t="b">
        <v>1</v>
      </c>
      <c r="D509" s="1" t="inlineStr">
        <is>
          <t>Coyotiv</t>
        </is>
      </c>
      <c r="E509" s="10" t="inlineStr">
        <is>
          <t>coyotiv.com</t>
        </is>
      </c>
      <c r="F509" t="inlineStr">
        <is>
          <t>coyotiv.com</t>
        </is>
      </c>
      <c r="G509" s="1" t="inlineStr">
        <is>
          <t>Coyotiv is a modern software engineering ecosystem of teaching, mentorship, and co-creation. Our Coyotiv School of Software Engineering is the next generation, remote software engineering education designed to raise first-class software engineers from scratch. Numerous students changed their lives at the end of an intense 13-week program and graduated as confident software engineers regardless of their background or prior experience.
With mentorship from experienced professionals, our students gain invaluable insights and guidance throughout their learning journey.
Furthermore, Coyotiv is committed to fostering diversity and inclusivity in the tech industry. To that end, we provide Diversity Scholarships to representatives from marginalized groups, offering them opportunities to break barriers and thrive in the field.</t>
        </is>
      </c>
      <c r="H509" s="1" t="inlineStr">
        <is>
          <t>I'm not part of any EdTech association</t>
        </is>
      </c>
      <c r="I509" s="1" t="inlineStr">
        <is>
          <t>English</t>
        </is>
      </c>
      <c r="J509" s="1" t="inlineStr">
        <is>
          <t>Berlin</t>
        </is>
      </c>
      <c r="K509" t="inlineStr">
        <is>
          <t>Berlin</t>
        </is>
      </c>
      <c r="L509" t="inlineStr">
        <is>
          <t>Berlin, Germany</t>
        </is>
      </c>
      <c r="M509" t="n">
        <v>52.5173885</v>
      </c>
      <c r="N509" t="n">
        <v>13.3951309</v>
      </c>
      <c r="O509" s="1" t="inlineStr">
        <is>
          <t>Germany</t>
        </is>
      </c>
      <c r="P509" s="1" t="inlineStr">
        <is>
          <t>Albania, Andorra, Austria, Belgium, Bosnia and Herzegovina, Bulgaria, Croatia, Cyprus, Czechia, Denmark, Estonia, Finland, France, Germany, Greece, Hungary, Ireland, Italy, Kosovo, Latvia, Liechtenstein, Lithuania, Luxembourg, Malta, Moldova, Monaco, Montenegro, Netherlands, North Macedonia, Norway, Poland, Portugal, Romania, San Marino, Serbia, Slovakia, Slovenia, Spain, Sweden, Switzerland, Turkey, Ukraine, United Kingdom</t>
        </is>
      </c>
      <c r="Q509" s="1" t="inlineStr">
        <is>
          <t>3 to 5</t>
        </is>
      </c>
      <c r="R509" t="inlineStr">
        <is>
          <t>Micro</t>
        </is>
      </c>
      <c r="S509" s="1" t="inlineStr">
        <is>
          <t>Business to Consumer</t>
        </is>
      </c>
      <c r="T509" s="1" t="inlineStr">
        <is>
          <t>Corporate Training, Lifelong learning/Adult education</t>
        </is>
      </c>
      <c r="U509" s="1" t="inlineStr">
        <is>
          <t>System/Administrative, Student interfacing</t>
        </is>
      </c>
      <c r="V509" s="10" t="inlineStr">
        <is>
          <t>https://www.linkedin.com/school/coyotiv/</t>
        </is>
      </c>
      <c r="W509" s="1" t="inlineStr">
        <is>
          <t>https://drive.google.com/uc?export=view&amp;id=1N6TyLJrYNGy1Ih8OL12qvoXwYz2W-Yru</t>
        </is>
      </c>
      <c r="X509" s="10" t="inlineStr">
        <is>
          <t>https://drive.google.com/uc?export=view&amp;id=1N6TyLJrYNGy1Ih8OL12qvoXwYz2W-Yru</t>
        </is>
      </c>
      <c r="Y509" t="inlineStr">
        <is>
          <t>https://drive.google.com/uc?export=view&amp;id=1N6TyLJrYNGy1Ih8OL12qvoXwYz2W-Yru</t>
        </is>
      </c>
      <c r="Z509" s="1" t="inlineStr">
        <is>
          <t>https://drive.google.com/uc?export=view&amp;id=1N6TyLJrYNGy1Ih8OL12qvoXwYz2W-Yru</t>
        </is>
      </c>
      <c r="AA509" s="1" t="inlineStr">
        <is>
          <t>Unverified</t>
        </is>
      </c>
      <c r="AB509" s="1" t="n"/>
      <c r="AC509" s="1" t="n"/>
      <c r="AD509" s="10" t="n"/>
      <c r="AE509" s="1" t="n"/>
      <c r="AF509" s="1" t="inlineStr">
        <is>
          <t>Yes</t>
        </is>
      </c>
      <c r="AG509" s="1" t="inlineStr">
        <is>
          <t>https://www.instagram.com/coyotiv/</t>
        </is>
      </c>
      <c r="AH509" s="1" t="inlineStr">
        <is>
          <t>https://www.linkedin.com/school/coyotiv/</t>
        </is>
      </c>
      <c r="AI509" t="inlineStr">
        <is>
          <t>https://www.linkedin.com/school/coyotiv/</t>
        </is>
      </c>
    </row>
    <row r="510" ht="12.5" customHeight="1">
      <c r="A510" s="6" t="n">
        <v>45300</v>
      </c>
      <c r="B510" s="1" t="inlineStr">
        <is>
          <t>ORG_2052</t>
        </is>
      </c>
      <c r="C510" s="1" t="b">
        <v>1</v>
      </c>
      <c r="D510" s="1" t="inlineStr">
        <is>
          <t>NXT Learning</t>
        </is>
      </c>
      <c r="E510" s="10" t="inlineStr">
        <is>
          <t>www.nxtlearning.com</t>
        </is>
      </c>
      <c r="F510" t="inlineStr">
        <is>
          <t>nxtlearning.com</t>
        </is>
      </c>
      <c r="G510" s="1" t="inlineStr">
        <is>
          <t>You get a ready-made solution. We take care of everything from needs to completed training.
In the digital world, this means a range of activities, from structuring course content to production and distribution via your own LMS system. Or you get access to one of us as part of the delivery.
Your own education portal.</t>
        </is>
      </c>
      <c r="H510" s="1" t="inlineStr">
        <is>
          <t>I'm not part of any EdTech association</t>
        </is>
      </c>
      <c r="I510" s="1" t="n"/>
      <c r="J510" s="1" t="inlineStr">
        <is>
          <t>Linköping</t>
        </is>
      </c>
      <c r="K510" t="inlineStr">
        <is>
          <t>Linköping</t>
        </is>
      </c>
      <c r="L510" t="inlineStr">
        <is>
          <t>Linköping, Sweden</t>
        </is>
      </c>
      <c r="M510" t="n">
        <v>58.4098135</v>
      </c>
      <c r="N510" t="n">
        <v>15.6245252</v>
      </c>
      <c r="O510" s="1" t="inlineStr">
        <is>
          <t>Sweden</t>
        </is>
      </c>
      <c r="P510" s="1" t="inlineStr">
        <is>
          <t>Austria, Azerbaijan, Belgium, Czechia, Denmark, Finland, France, Germany, Greece, Iceland, Ireland, Italy, Latvia, Lithuania, Luxembourg, Malta, Netherlands, Norway, Poland, Portugal, Romania, Serbia, Spain, Sweden, Switzerland, Turkey, Ukraine, United Kingdom</t>
        </is>
      </c>
      <c r="Q510" s="1" t="inlineStr">
        <is>
          <t>0 to 10</t>
        </is>
      </c>
      <c r="R510" t="inlineStr">
        <is>
          <t>Micro</t>
        </is>
      </c>
      <c r="S510" s="1" t="inlineStr">
        <is>
          <t>Business to Government, Business to Schools</t>
        </is>
      </c>
      <c r="T510" s="1" t="inlineStr">
        <is>
          <t>Higher Education, Corporate Training, Lifelong learning/Adult education</t>
        </is>
      </c>
      <c r="U510" s="1" t="inlineStr">
        <is>
          <t>Teacher interfacing, System/Administrative</t>
        </is>
      </c>
      <c r="V510" s="1" t="n"/>
      <c r="W510" s="1" t="inlineStr">
        <is>
          <t>https://drive.google.com/uc?export=view&amp;id=1tMttNEffoM4diplDozFJMAb0QSLuIDcN</t>
        </is>
      </c>
      <c r="X510" s="1" t="inlineStr">
        <is>
          <t>https://drive.google.com/uc?export=view&amp;id=1tMttNEffoM4diplDozFJMAb0QSLuIDcN</t>
        </is>
      </c>
      <c r="Y510" t="inlineStr">
        <is>
          <t>https://drive.google.com/uc?export=view&amp;id=1tMttNEffoM4diplDozFJMAb0QSLuIDcN</t>
        </is>
      </c>
      <c r="Z510" s="1" t="inlineStr">
        <is>
          <t>https://drive.google.com/uc?export=view&amp;id=1tMttNEffoM4diplDozFJMAb0QSLuIDcN</t>
        </is>
      </c>
      <c r="AA510" s="1" t="inlineStr">
        <is>
          <t>Unverified</t>
        </is>
      </c>
      <c r="AB510" s="1" t="n"/>
      <c r="AC510" s="1" t="n"/>
      <c r="AD510" s="10" t="n"/>
      <c r="AE510" s="1" t="n"/>
      <c r="AF510" t="inlineStr">
        <is>
          <t>No</t>
        </is>
      </c>
    </row>
    <row r="511" ht="12.5" customHeight="1">
      <c r="A511" s="6" t="n">
        <v>45300</v>
      </c>
      <c r="B511" s="1" t="inlineStr">
        <is>
          <t>ORG_2072</t>
        </is>
      </c>
      <c r="C511" s="1" t="b">
        <v>1</v>
      </c>
      <c r="D511" s="1" t="inlineStr">
        <is>
          <t>Open Study College</t>
        </is>
      </c>
      <c r="E511" s="10" t="inlineStr">
        <is>
          <t>https://www.openstudycollege.com/</t>
        </is>
      </c>
      <c r="F511" t="inlineStr">
        <is>
          <t>openstudycollege.com</t>
        </is>
      </c>
      <c r="G511" s="1" t="inlineStr">
        <is>
          <t>We are a family run provider of online learning courses for people who are looking to develop new skills and achieve their career goals.</t>
        </is>
      </c>
      <c r="H511" s="1" t="inlineStr">
        <is>
          <t>I'm not part of any EdTech association</t>
        </is>
      </c>
      <c r="I511" s="1" t="n"/>
      <c r="J511" s="1" t="inlineStr">
        <is>
          <t>Birmingham</t>
        </is>
      </c>
      <c r="K511" t="inlineStr">
        <is>
          <t>Birmingham</t>
        </is>
      </c>
      <c r="L511" t="inlineStr">
        <is>
          <t>Birmingham, United Kingdom</t>
        </is>
      </c>
      <c r="M511" t="n">
        <v>52.4948994</v>
      </c>
      <c r="N511" t="n">
        <v>-1.8518439</v>
      </c>
      <c r="O511" s="1" t="inlineStr">
        <is>
          <t>United Kingdom</t>
        </is>
      </c>
      <c r="P511" s="1" t="inlineStr">
        <is>
          <t>United Kingdom</t>
        </is>
      </c>
      <c r="Q511" s="1" t="inlineStr">
        <is>
          <t>100+</t>
        </is>
      </c>
      <c r="R511" t="inlineStr">
        <is>
          <t>Medium or Large (unspecified)</t>
        </is>
      </c>
      <c r="S511" s="1" t="inlineStr">
        <is>
          <t>Business to Business, Business to Consumer</t>
        </is>
      </c>
      <c r="T511" s="1" t="inlineStr">
        <is>
          <t>Higher Education, Corporate Training, Lifelong learning/Adult education</t>
        </is>
      </c>
      <c r="U511" s="1" t="inlineStr">
        <is>
          <t>Student interfacing, System/Administrative</t>
        </is>
      </c>
      <c r="V511" s="1" t="n"/>
      <c r="W511" s="1" t="inlineStr">
        <is>
          <t>https://drive.google.com/uc?export=view&amp;id=1JoHhQme8Q5g-4CS6rzPDK-5yHFmBT_O5</t>
        </is>
      </c>
      <c r="X511" s="1" t="inlineStr">
        <is>
          <t>https://drive.google.com/uc?export=view&amp;id=1JoHhQme8Q5g-4CS6rzPDK-5yHFmBT_O5</t>
        </is>
      </c>
      <c r="Y511" t="inlineStr">
        <is>
          <t>https://drive.google.com/uc?export=view&amp;id=1JoHhQme8Q5g-4CS6rzPDK-5yHFmBT_O5</t>
        </is>
      </c>
      <c r="Z511" s="1" t="inlineStr">
        <is>
          <t>https://drive.google.com/uc?export=view&amp;id=1JoHhQme8Q5g-4CS6rzPDK-5yHFmBT_O5</t>
        </is>
      </c>
      <c r="AA511" s="1" t="inlineStr">
        <is>
          <t>Unverified</t>
        </is>
      </c>
      <c r="AB511" s="1" t="n"/>
      <c r="AC511" s="1" t="n"/>
      <c r="AD511" s="10" t="n"/>
      <c r="AE511" s="1" t="n"/>
      <c r="AF511" s="1" t="inlineStr">
        <is>
          <t>No</t>
        </is>
      </c>
      <c r="AG511" s="1" t="n"/>
      <c r="AH511" s="1" t="n"/>
    </row>
    <row r="512" ht="12.5" customHeight="1">
      <c r="A512" s="6" t="n">
        <v>45300</v>
      </c>
      <c r="B512" s="1" t="inlineStr">
        <is>
          <t>ORG_1799</t>
        </is>
      </c>
      <c r="C512" s="1" t="b">
        <v>1</v>
      </c>
      <c r="D512" s="1" t="inlineStr">
        <is>
          <t>L'explorateur de métiers</t>
        </is>
      </c>
      <c r="E512" s="10" t="inlineStr">
        <is>
          <t>explorateurdemetiers.tv</t>
        </is>
      </c>
      <c r="F512" t="inlineStr">
        <is>
          <t>explorateurdemetiers.tv</t>
        </is>
      </c>
      <c r="G512" s="1" t="inlineStr">
        <is>
          <t>L'explorateur de métiers (explorer job) is an independent online news media, without advertising or subsidies and which lives only on subscriptions from its customers and which publishes video reports on careers (addition and regular update). Exploration modules (4), unique job quizzes, immersive experiences and information sheets available to help with the orientation and professional integration of young people aged 14-25.</t>
        </is>
      </c>
      <c r="H512" s="1" t="inlineStr">
        <is>
          <t>EdTech France</t>
        </is>
      </c>
      <c r="I512" s="1" t="n"/>
      <c r="J512" s="1" t="inlineStr">
        <is>
          <t>Nogent Sur Marne</t>
        </is>
      </c>
      <c r="K512" t="inlineStr">
        <is>
          <t>Nogent Sur Marne</t>
        </is>
      </c>
      <c r="L512" t="inlineStr">
        <is>
          <t>Nogent Sur Marne, France</t>
        </is>
      </c>
      <c r="M512" t="n">
        <v>48.8387639</v>
      </c>
      <c r="N512" t="n">
        <v>2.4916592</v>
      </c>
      <c r="O512" s="1" t="inlineStr">
        <is>
          <t>France</t>
        </is>
      </c>
      <c r="P512" s="1" t="inlineStr">
        <is>
          <t>France</t>
        </is>
      </c>
      <c r="Q512" s="1" t="inlineStr">
        <is>
          <t>0 to 10</t>
        </is>
      </c>
      <c r="R512" t="inlineStr">
        <is>
          <t>Micro</t>
        </is>
      </c>
      <c r="S512" s="1" t="inlineStr">
        <is>
          <t>Business to Business, Business to Consumer, Business to Schools</t>
        </is>
      </c>
      <c r="T512" s="1" t="inlineStr">
        <is>
          <t>Secondary Education, Higher Education, Corporate Training</t>
        </is>
      </c>
      <c r="U512" s="1" t="inlineStr">
        <is>
          <t>System/Administrative, Student interfacing, Teacher interfacing</t>
        </is>
      </c>
      <c r="V512" s="1" t="inlineStr">
        <is>
          <t>school subscription</t>
        </is>
      </c>
      <c r="W512" s="1" t="inlineStr">
        <is>
          <t>Subscription for 1 year without commitment in the form of a renewable annual license, unlimited use, unlimited user
250€ including tax</t>
        </is>
      </c>
      <c r="X512" s="10" t="inlineStr">
        <is>
          <t>student subscription</t>
        </is>
      </c>
      <c r="Y512" t="inlineStr">
        <is>
          <t>Subscription for 1 year without commitment in the form of a renewable annual license, unlimited use, 
24€ including tax</t>
        </is>
      </c>
      <c r="Z512" s="1" t="inlineStr">
        <is>
          <t>https://drive.google.com/uc?export=view&amp;id=1OQtPL8KyG-bQldMHpJUZEnvcRDONKMWg</t>
        </is>
      </c>
      <c r="AA512" s="1" t="inlineStr">
        <is>
          <t>Unverified</t>
        </is>
      </c>
      <c r="AB512" s="1" t="n"/>
      <c r="AC512" s="1" t="n"/>
      <c r="AD512" s="10" t="n"/>
      <c r="AE512" s="1" t="n"/>
      <c r="AF512" s="1" t="inlineStr">
        <is>
          <t>Yes</t>
        </is>
      </c>
      <c r="AG512" s="1" t="inlineStr">
        <is>
          <t>https://www.linkedin.com/company/explorateurdemetiers</t>
        </is>
      </c>
      <c r="AH512" s="1" t="inlineStr">
        <is>
          <t>explometierstv</t>
        </is>
      </c>
      <c r="AI512" t="inlineStr">
        <is>
          <t>https://www.linkedin.com/company/explorateurdemetiers</t>
        </is>
      </c>
    </row>
    <row r="513" ht="12.5" customHeight="1">
      <c r="A513" s="6" t="n">
        <v>45300</v>
      </c>
      <c r="B513" s="1" t="inlineStr">
        <is>
          <t>ORG_1474</t>
        </is>
      </c>
      <c r="C513" s="1" t="b">
        <v>1</v>
      </c>
      <c r="D513" s="1" t="inlineStr">
        <is>
          <t>EGOS! the education company</t>
        </is>
      </c>
      <c r="E513" s="10" t="inlineStr">
        <is>
          <t>https://www.egos.co.at/</t>
        </is>
      </c>
      <c r="F513" t="inlineStr">
        <is>
          <t>egos.co.at</t>
        </is>
      </c>
      <c r="G513" s="1" t="inlineStr">
        <is>
          <t>EGOS! unterstützt seit über 30 Jahren Unternehmen um ihre MitarbeiterInnen bei der persönlichen und fachlichen Weiterentwicklung in den Bereichen Digitalisierung, Informationstechnologie sowie Personal und Organisationsentwicklung zu unterstützen. Unsere Passion ist Technologien für Menschen optimal nutzbar zu machen und damit die Effizienz Ihrer Arbeit zu steigern. Wir bieten dafür Beratung, Dienstleistungen sowie analoge und digitale Bildungslösungen an. Das Angebot umfasst Seminare, Webinare, Workshops, Lehrgänge, Coaching, Consulting, Zertifizierungen, E-Learning-Kurse, Lern-Management-Systeme und die Individualentwicklung von E-Learning Lösungen. Wir decken dabei ein Spektrum von der Ausbildung einzelner TeilnehmerInnen bis hin zu internationalen Qualifizierungsprojekten in vielen Sprachen und Ländern der Welt ab.</t>
        </is>
      </c>
      <c r="H513" s="1" t="inlineStr">
        <is>
          <t>EdTech Austria</t>
        </is>
      </c>
      <c r="I513" s="1" t="n"/>
      <c r="J513" s="1" t="inlineStr">
        <is>
          <t>Innsbruck</t>
        </is>
      </c>
      <c r="K513" t="inlineStr">
        <is>
          <t>Innsbruck</t>
        </is>
      </c>
      <c r="L513" t="inlineStr">
        <is>
          <t>Innsbruck, Austria</t>
        </is>
      </c>
      <c r="M513" t="n">
        <v>47.2654296</v>
      </c>
      <c r="N513" t="n">
        <v>11.3927685</v>
      </c>
      <c r="O513" s="1" t="inlineStr">
        <is>
          <t>Austria</t>
        </is>
      </c>
      <c r="P513" s="1" t="inlineStr">
        <is>
          <t>Austria, France, Germany, Italy, Liechtenstein, Switzerland, United Kingdom</t>
        </is>
      </c>
      <c r="Q513" s="1" t="inlineStr">
        <is>
          <t>11 to 50</t>
        </is>
      </c>
      <c r="R513" t="inlineStr">
        <is>
          <t>Small</t>
        </is>
      </c>
      <c r="S513" s="1" t="inlineStr">
        <is>
          <t>Business to Business</t>
        </is>
      </c>
      <c r="T513" s="1" t="inlineStr">
        <is>
          <t>Corporate Training, Lifelong learning/Adult education</t>
        </is>
      </c>
      <c r="U513" s="1" t="inlineStr">
        <is>
          <t>Teacher interfacing, Student interfacing, System/Administrative</t>
        </is>
      </c>
      <c r="V513" s="1" t="inlineStr">
        <is>
          <t>IT-Seminare</t>
        </is>
      </c>
      <c r="W513" s="1" t="inlineStr">
        <is>
          <t>https://www.egos.co.at/seminare/alle/alle</t>
        </is>
      </c>
      <c r="X513" s="1" t="inlineStr">
        <is>
          <t>Lernsoftware</t>
        </is>
      </c>
      <c r="Y513" t="inlineStr">
        <is>
          <t>https://www.egos.co.at/elearning/lernsoftware</t>
        </is>
      </c>
      <c r="Z513" s="1" t="inlineStr">
        <is>
          <t>https://drive.google.com/uc?export=view&amp;id=1xblqNMVF63cD4JMua2QFSHZXLWMngBj3</t>
        </is>
      </c>
      <c r="AA513" s="10" t="inlineStr">
        <is>
          <t>Unverified</t>
        </is>
      </c>
      <c r="AB513" s="1" t="n"/>
      <c r="AC513" s="10" t="n"/>
      <c r="AD513" s="10" t="n"/>
      <c r="AE513" s="1" t="n"/>
      <c r="AF513" s="1" t="inlineStr">
        <is>
          <t>Yes</t>
        </is>
      </c>
      <c r="AG513" s="1" t="inlineStr">
        <is>
          <t>egos.education</t>
        </is>
      </c>
      <c r="AH513" s="1" t="inlineStr">
        <is>
          <t>EGOS GmbH</t>
        </is>
      </c>
      <c r="AI513" t="inlineStr">
        <is>
          <t>egos-the-education-company</t>
        </is>
      </c>
    </row>
    <row r="514" ht="12.5" customHeight="1">
      <c r="A514" s="6" t="n">
        <v>45300</v>
      </c>
      <c r="B514" s="1" t="inlineStr">
        <is>
          <t>ORG_1620</t>
        </is>
      </c>
      <c r="C514" s="1" t="b">
        <v>1</v>
      </c>
      <c r="D514" s="1" t="inlineStr">
        <is>
          <t>GetJobsDone</t>
        </is>
      </c>
      <c r="E514" s="10" t="inlineStr">
        <is>
          <t>https://getjobsdone.nl/</t>
        </is>
      </c>
      <c r="F514" t="inlineStr">
        <is>
          <t>getjobsdone.nl</t>
        </is>
      </c>
      <c r="G514" s="1" t="inlineStr">
        <is>
          <t>We believe that the labor market needs to change in order to provide young talents the possibility to develop themselves during their studies. Therefore, we founded GetJobsDone, a marketplace where companies can post task for a price they think the task is worth. Students can perform those tasks, without the need to have a contract and can develop themselves during their studies.</t>
        </is>
      </c>
      <c r="H514" s="1" t="inlineStr">
        <is>
          <t>Dutch EdTech</t>
        </is>
      </c>
      <c r="I514" s="1" t="n"/>
      <c r="J514" s="1" t="inlineStr">
        <is>
          <t>Amersfoort</t>
        </is>
      </c>
      <c r="K514" t="inlineStr">
        <is>
          <t>Amersfoort</t>
        </is>
      </c>
      <c r="L514" t="inlineStr">
        <is>
          <t>Amersfoort, The Netherlands</t>
        </is>
      </c>
      <c r="M514" t="n">
        <v>52.1928326</v>
      </c>
      <c r="N514" t="n">
        <v>5.4212862</v>
      </c>
      <c r="O514" s="1" t="inlineStr">
        <is>
          <t>The Netherlands</t>
        </is>
      </c>
      <c r="P514" s="1" t="inlineStr">
        <is>
          <t>Netherlands</t>
        </is>
      </c>
      <c r="Q514" s="1" t="inlineStr">
        <is>
          <t>0 to 10</t>
        </is>
      </c>
      <c r="R514" t="inlineStr">
        <is>
          <t>Micro</t>
        </is>
      </c>
      <c r="S514" s="1" t="inlineStr">
        <is>
          <t>Business to Business</t>
        </is>
      </c>
      <c r="T514" s="1" t="inlineStr">
        <is>
          <t>Higher Education</t>
        </is>
      </c>
      <c r="U514" s="1" t="inlineStr">
        <is>
          <t>Student interfacing, System/Administrative</t>
        </is>
      </c>
      <c r="V514" s="10" t="inlineStr">
        <is>
          <t>Marketplace</t>
        </is>
      </c>
      <c r="W514" s="1" t="inlineStr">
        <is>
          <t>Marketplace were companies can post tasks which can be performed by students during their studies, so they can develop themselves during their studies.</t>
        </is>
      </c>
      <c r="X514" s="10" t="inlineStr">
        <is>
          <t>https://drive.google.com/uc?export=view&amp;id=17-comaZu1VJH1PN6mwn9WlMkEPyaaQPX</t>
        </is>
      </c>
      <c r="Y514" t="inlineStr">
        <is>
          <t>https://drive.google.com/uc?export=view&amp;id=17-comaZu1VJH1PN6mwn9WlMkEPyaaQPX</t>
        </is>
      </c>
      <c r="Z514" s="1" t="inlineStr">
        <is>
          <t>https://drive.google.com/uc?export=view&amp;id=17-comaZu1VJH1PN6mwn9WlMkEPyaaQPX</t>
        </is>
      </c>
      <c r="AA514" s="1" t="inlineStr">
        <is>
          <t>Unverified</t>
        </is>
      </c>
      <c r="AB514" s="1" t="n"/>
      <c r="AC514" s="1" t="n"/>
      <c r="AD514" s="10" t="n"/>
      <c r="AE514" s="1" t="n"/>
      <c r="AF514" t="inlineStr">
        <is>
          <t>Yes</t>
        </is>
      </c>
      <c r="AG514" t="inlineStr">
        <is>
          <t>https://www.instagram.com/getjobsdone.nl/</t>
        </is>
      </c>
      <c r="AH514" t="inlineStr">
        <is>
          <t>https://www.linkedin.com/company/getjobsdone/</t>
        </is>
      </c>
      <c r="AI514" t="inlineStr">
        <is>
          <t>https://www.linkedin.com/company/getjobsdone/</t>
        </is>
      </c>
    </row>
    <row r="515" ht="12.5" customHeight="1">
      <c r="A515" s="6" t="n">
        <v>45300</v>
      </c>
      <c r="B515" s="1" t="inlineStr">
        <is>
          <t>ORG_1669</t>
        </is>
      </c>
      <c r="C515" s="1" t="b">
        <v>1</v>
      </c>
      <c r="D515" s="1" t="inlineStr">
        <is>
          <t>Hej SYV AB</t>
        </is>
      </c>
      <c r="E515" s="10" t="inlineStr">
        <is>
          <t>https://hejsyv.se/</t>
        </is>
      </c>
      <c r="F515" t="inlineStr">
        <is>
          <t>hejsyv.se</t>
        </is>
      </c>
      <c r="G515" s="1" t="inlineStr">
        <is>
          <t>Our main goal is to help young people make a well-founded career choice of their own future. We provide pre-planned lessons in career education for teachers to implement in the classroom. We work in the field of career counselling and career mangemant skills.</t>
        </is>
      </c>
      <c r="H515" s="1" t="inlineStr">
        <is>
          <t>Swedish EdTech Industry</t>
        </is>
      </c>
      <c r="I515" s="1" t="n"/>
      <c r="J515" s="1" t="inlineStr">
        <is>
          <t>Stocksund</t>
        </is>
      </c>
      <c r="K515" t="inlineStr">
        <is>
          <t>Stocksund</t>
        </is>
      </c>
      <c r="L515" t="inlineStr">
        <is>
          <t>Stocksund, Sweden</t>
        </is>
      </c>
      <c r="M515" t="n">
        <v>59.3845769</v>
      </c>
      <c r="N515" t="n">
        <v>18.0571915</v>
      </c>
      <c r="O515" s="1" t="inlineStr">
        <is>
          <t>Sweden</t>
        </is>
      </c>
      <c r="P515" s="1" t="inlineStr">
        <is>
          <t>Sweden</t>
        </is>
      </c>
      <c r="Q515" s="1" t="inlineStr">
        <is>
          <t>0 to 10</t>
        </is>
      </c>
      <c r="R515" t="inlineStr">
        <is>
          <t>Micro</t>
        </is>
      </c>
      <c r="S515" s="1" t="inlineStr">
        <is>
          <t>Business to Business</t>
        </is>
      </c>
      <c r="T515" s="1" t="inlineStr">
        <is>
          <t>Early childhood development (0-5 years), Primary Education, Secondary Education</t>
        </is>
      </c>
      <c r="U515" s="1" t="inlineStr">
        <is>
          <t>Teacher interfacing</t>
        </is>
      </c>
      <c r="V515" s="1" t="inlineStr">
        <is>
          <t>https://hejframtidsval.se/</t>
        </is>
      </c>
      <c r="W515" s="1" t="inlineStr">
        <is>
          <t>We offer pre-planned lessons and support for teachers to implement Career education in classrooms. The goal is to help students develope self-knowledge and strengthen their career managment skills.</t>
        </is>
      </c>
      <c r="X515" s="1" t="inlineStr">
        <is>
          <t>https://drive.google.com/uc?export=view&amp;id=14RyJiS6wNocDJX4OzkpbHpuo9mJXU6Kf</t>
        </is>
      </c>
      <c r="Y515" t="inlineStr">
        <is>
          <t>https://drive.google.com/uc?export=view&amp;id=14RyJiS6wNocDJX4OzkpbHpuo9mJXU6Kf</t>
        </is>
      </c>
      <c r="Z515" s="10" t="inlineStr">
        <is>
          <t>https://drive.google.com/uc?export=view&amp;id=14RyJiS6wNocDJX4OzkpbHpuo9mJXU6Kf</t>
        </is>
      </c>
      <c r="AA515" s="1" t="inlineStr">
        <is>
          <t>Unverified</t>
        </is>
      </c>
      <c r="AB515" s="1" t="n"/>
      <c r="AC515" s="1" t="n"/>
      <c r="AD515" s="10" t="n"/>
      <c r="AE515" s="1" t="n"/>
      <c r="AF515" s="1" t="inlineStr">
        <is>
          <t>Yes</t>
        </is>
      </c>
      <c r="AG515" s="1" t="inlineStr">
        <is>
          <t>hejsyv</t>
        </is>
      </c>
      <c r="AH515" s="1" t="inlineStr">
        <is>
          <t>https://hejframtidsval.se/</t>
        </is>
      </c>
      <c r="AI515" t="inlineStr">
        <is>
          <t>https://hejframtidsval.se/</t>
        </is>
      </c>
    </row>
    <row r="516" ht="12.5" customHeight="1">
      <c r="A516" s="6" t="n">
        <v>45300</v>
      </c>
      <c r="B516" s="1" t="inlineStr">
        <is>
          <t>ORG_2065</t>
        </is>
      </c>
      <c r="C516" s="1" t="b">
        <v>1</v>
      </c>
      <c r="D516" s="1" t="inlineStr">
        <is>
          <t>onEVO interactive floor</t>
        </is>
      </c>
      <c r="E516" s="10" t="inlineStr">
        <is>
          <t>https://onevofloor.com/en</t>
        </is>
      </c>
      <c r="F516" t="inlineStr">
        <is>
          <t>onevofloor.com/en</t>
        </is>
      </c>
      <c r="G516" s="1" t="inlineStr">
        <is>
          <t>The first augmented reality projector that entertains, teaches and supports the rehabilitation process! onEVO interactive floor is changing the way of teaching around the world! How? Through movement and entertainment utilising augmented reality!</t>
        </is>
      </c>
      <c r="H516" s="1" t="inlineStr">
        <is>
          <t>EdTech Poland</t>
        </is>
      </c>
      <c r="I516" s="1" t="n"/>
      <c r="J516" s="1" t="inlineStr">
        <is>
          <t>Warsaw</t>
        </is>
      </c>
      <c r="K516" t="inlineStr">
        <is>
          <t>Warsaw</t>
        </is>
      </c>
      <c r="L516" t="inlineStr">
        <is>
          <t>Warsaw, Poland</t>
        </is>
      </c>
      <c r="M516" t="n">
        <v>52.2319581</v>
      </c>
      <c r="N516" t="n">
        <v>21.0067249</v>
      </c>
      <c r="O516" s="1" t="inlineStr">
        <is>
          <t>Poland</t>
        </is>
      </c>
      <c r="P516" s="1" t="inlineStr">
        <is>
          <t>Belgium, Bulgaria, Czechia, Denmark, Estonia, Finland, France, Germany, Greece, Hungary, Ireland, Italy, Latvia, Lithuania, Luxembourg, Netherlands, Norway, Poland, Romania, Slovakia, Slovenia, Spain, Sweden, Ukraine, United Kingdom</t>
        </is>
      </c>
      <c r="Q516" s="1" t="inlineStr">
        <is>
          <t>11 to 50</t>
        </is>
      </c>
      <c r="R516" t="inlineStr">
        <is>
          <t>Small</t>
        </is>
      </c>
      <c r="S516" s="1" t="inlineStr">
        <is>
          <t>Business to Business, Business to Government, Business to Schools</t>
        </is>
      </c>
      <c r="T516" s="1" t="inlineStr">
        <is>
          <t>Early childhood development (0-5 years), Primary Education, Secondary Education, Higher Education, Corporate Training, Lifelong learning/Adult education</t>
        </is>
      </c>
      <c r="U516" s="1" t="inlineStr">
        <is>
          <t>System/Administrative, Student interfacing, Teacher interfacing</t>
        </is>
      </c>
      <c r="V516" s="10" t="inlineStr">
        <is>
          <t>onEVO interactive floor</t>
        </is>
      </c>
      <c r="W516" s="1" t="inlineStr">
        <is>
          <t>Meet the onEVO floor
Modern technology combined with augmented reality that supports children’s development and learning? Yes! The onEVO floor is an interactive multimedia device that can meet this challenge. It combines innovation, ease of use, and packages of several hundred unique games, which constitute the real breadth of the product. Thus, it allows preschoolers and primary school students to take an amazing journey into the world of adventure. The onEVO floor is not only brilliant fun and entertainment for kids. The apps are designed in such a way that children simultaneously gain knowledge and have fun. The packages also include lesson plans, worksheets and teaching materials that were created with the help of eminent experts and meet the requirements of the core curriculum. They can be used both during classes with properly developing children and with those dealing with some difficulties. This tool is an invaluable support for teachers and therapists who can take their teaching to a whole new level by using technology to increase effectiveness and achieve goals faster. This is confirmed by thousands of satisfied users all over the world.</t>
        </is>
      </c>
      <c r="X516" s="10" t="inlineStr">
        <is>
          <t>https://drive.google.com/uc?export=view&amp;id=1myDP9D7Ww-TsOgocU5vuYVBEBlOIm2Y_</t>
        </is>
      </c>
      <c r="Y516" t="inlineStr">
        <is>
          <t>https://drive.google.com/uc?export=view&amp;id=1myDP9D7Ww-TsOgocU5vuYVBEBlOIm2Y_</t>
        </is>
      </c>
      <c r="Z516" s="1" t="inlineStr">
        <is>
          <t>https://drive.google.com/uc?export=view&amp;id=1myDP9D7Ww-TsOgocU5vuYVBEBlOIm2Y_</t>
        </is>
      </c>
      <c r="AA516" s="1" t="inlineStr">
        <is>
          <t>Unverified</t>
        </is>
      </c>
      <c r="AB516" s="1" t="n"/>
      <c r="AC516" s="1" t="n"/>
      <c r="AD516" s="10" t="n"/>
      <c r="AE516" s="1" t="n"/>
      <c r="AF516" t="inlineStr">
        <is>
          <t>Yes</t>
        </is>
      </c>
      <c r="AG516" t="inlineStr">
        <is>
          <t>https://www.instagram.com/onevo_floor</t>
        </is>
      </c>
      <c r="AH516" t="inlineStr">
        <is>
          <t>https://www.linkedin.com/company/onevo-floor</t>
        </is>
      </c>
      <c r="AI516" t="inlineStr">
        <is>
          <t>https://www.linkedin.com/company/onevo-floor</t>
        </is>
      </c>
    </row>
    <row r="517" ht="12.5" customHeight="1">
      <c r="A517" s="6" t="n">
        <v>45300</v>
      </c>
      <c r="B517" s="1" t="inlineStr">
        <is>
          <t>ORG_2482</t>
        </is>
      </c>
      <c r="C517" s="1" t="b">
        <v>1</v>
      </c>
      <c r="D517" s="1" t="inlineStr">
        <is>
          <t>VARS</t>
        </is>
      </c>
      <c r="E517" s="10" t="inlineStr">
        <is>
          <t>https://www.vars.at/</t>
        </is>
      </c>
      <c r="F517" t="inlineStr">
        <is>
          <t>vars.at</t>
        </is>
      </c>
      <c r="G517" s="1" t="inlineStr">
        <is>
          <t>We are a Viennese startup pioneering in the development of virtual and augmented reality software. We help educational institutions and organisations in the cultural mediation area take advantage of immersive technologies. At VARS we offer the development of digital solutions that transcend our physical world so that everyone can benefit from them. As winners of the World Summit Awards 2020, among other awards, we create immersive and innovative digital solutions with high impact for users. All this, combined with the talent and professionalism of our team, creates an explosion of satisfying results for our clients.</t>
        </is>
      </c>
      <c r="H517" s="1" t="inlineStr">
        <is>
          <t>EdTech Austria</t>
        </is>
      </c>
      <c r="I517" s="1" t="n"/>
      <c r="J517" s="1" t="inlineStr">
        <is>
          <t>Vienna</t>
        </is>
      </c>
      <c r="K517" t="inlineStr">
        <is>
          <t>Vienna</t>
        </is>
      </c>
      <c r="L517" t="inlineStr">
        <is>
          <t>Vienna, Austria</t>
        </is>
      </c>
      <c r="M517" t="n">
        <v>48.2083537</v>
      </c>
      <c r="N517" t="n">
        <v>16.3725042</v>
      </c>
      <c r="O517" s="1" t="inlineStr">
        <is>
          <t>Austria</t>
        </is>
      </c>
      <c r="P517" s="1" t="inlineStr">
        <is>
          <t>Austria, Germany, Netherlands, Spain</t>
        </is>
      </c>
      <c r="Q517" s="1" t="inlineStr">
        <is>
          <t>0 to 10</t>
        </is>
      </c>
      <c r="R517" t="inlineStr">
        <is>
          <t>Micro</t>
        </is>
      </c>
      <c r="S517" s="1" t="inlineStr">
        <is>
          <t>Business to Schools</t>
        </is>
      </c>
      <c r="T517" s="1" t="inlineStr">
        <is>
          <t>Higher Education, Corporate Training, Lifelong learning/Adult education</t>
        </is>
      </c>
      <c r="U517" s="1" t="inlineStr">
        <is>
          <t>System/Administrative</t>
        </is>
      </c>
      <c r="V517" s="10" t="inlineStr">
        <is>
          <t>AR &amp; VR Experiences</t>
        </is>
      </c>
      <c r="W517" s="10" t="inlineStr">
        <is>
          <t>VARS stands for Virtual and Augmented Reality Studio, we are specialized in XR App design and development. Being XR is a term that refers to both VR and AR. 
Developing high-quality XR content and experience for innovative projects is our passion. Thanks to our experience, networking, research, and development, we are always up-to-date with the latest immersive technology trends. This enables us to offer you innovative solutions to create amazing XR experiences. XR experiences that can be made of mobile applications, PC programs, or social media effects, among others. By leveraging our passion for creating digital content and experiences, we help businesses take advantage of these immersive technologies.</t>
        </is>
      </c>
      <c r="X517" s="10" t="inlineStr">
        <is>
          <t>https://drive.google.com/uc?export=view&amp;id=14WuffxMAuUyZPf62hFz4Gk7rNUJYnu5p</t>
        </is>
      </c>
      <c r="Y517" t="inlineStr">
        <is>
          <t>https://drive.google.com/uc?export=view&amp;id=14WuffxMAuUyZPf62hFz4Gk7rNUJYnu5p</t>
        </is>
      </c>
      <c r="Z517" s="1" t="inlineStr">
        <is>
          <t>https://drive.google.com/uc?export=view&amp;id=14WuffxMAuUyZPf62hFz4Gk7rNUJYnu5p</t>
        </is>
      </c>
      <c r="AA517" s="1" t="inlineStr">
        <is>
          <t>Unverified</t>
        </is>
      </c>
      <c r="AB517" s="1" t="n"/>
      <c r="AC517" s="1" t="n"/>
      <c r="AD517" s="10" t="n"/>
      <c r="AE517" s="1" t="n"/>
      <c r="AF517" t="inlineStr">
        <is>
          <t>Yes</t>
        </is>
      </c>
      <c r="AG517" t="inlineStr">
        <is>
          <t>https://www.instagram.com/vr_ar_vienna/?hl=en</t>
        </is>
      </c>
      <c r="AH517" t="inlineStr">
        <is>
          <t>https://twitter.com/vars_at</t>
        </is>
      </c>
      <c r="AI517" t="inlineStr">
        <is>
          <t>https://www.linkedin.com/company/vars-vienna/?viewAsMember=true</t>
        </is>
      </c>
    </row>
    <row r="518" ht="12.5" customHeight="1">
      <c r="A518" s="6" t="n">
        <v>45300</v>
      </c>
      <c r="B518" s="1" t="inlineStr">
        <is>
          <t>ORG_2559</t>
        </is>
      </c>
      <c r="C518" s="1" t="b">
        <v>1</v>
      </c>
      <c r="D518" s="1" t="inlineStr">
        <is>
          <t>Xprtise</t>
        </is>
      </c>
      <c r="E518" s="10" t="inlineStr">
        <is>
          <t>https://xprtise.com</t>
        </is>
      </c>
      <c r="F518" t="inlineStr">
        <is>
          <t>xprtise.com</t>
        </is>
      </c>
      <c r="G518" s="1" t="inlineStr">
        <is>
          <t>We collaborate with companies in designing a learning strategy that focuses on providing the right information at the right time allowing your employees to self-support while they work.
With our experience as both consumers and providers of learning services, we know that it all starts with the right strategy. We can help you build a blueprint for your organization’s learning and performance needs within your unique environment (internal vs. external, within a given budget, considering existing architecture, etc.).</t>
        </is>
      </c>
      <c r="H518" s="1" t="inlineStr">
        <is>
          <t>Dutch EdTech</t>
        </is>
      </c>
      <c r="I518" s="1" t="n"/>
      <c r="J518" s="1" t="inlineStr">
        <is>
          <t>S-'Hertogenbosch</t>
        </is>
      </c>
      <c r="K518" t="inlineStr">
        <is>
          <t>S-'Hertogenbosch</t>
        </is>
      </c>
      <c r="L518" t="inlineStr">
        <is>
          <t>S-'Hertogenbosch, The Netherlands</t>
        </is>
      </c>
      <c r="M518" t="n">
        <v>51.6986827</v>
      </c>
      <c r="N518" t="n">
        <v>5.296718</v>
      </c>
      <c r="O518" s="1" t="inlineStr">
        <is>
          <t>The Netherlands</t>
        </is>
      </c>
      <c r="P518" s="1" t="inlineStr">
        <is>
          <t>Belgium, Denmark, Germany, Netherlands, Norway, Sweden, United Kingdom</t>
        </is>
      </c>
      <c r="Q518" s="1" t="inlineStr">
        <is>
          <t>11 to 50</t>
        </is>
      </c>
      <c r="R518" t="inlineStr">
        <is>
          <t>Small</t>
        </is>
      </c>
      <c r="S518" s="1" t="inlineStr">
        <is>
          <t>Business to Schools</t>
        </is>
      </c>
      <c r="T518" s="1" t="inlineStr">
        <is>
          <t>Corporate Training</t>
        </is>
      </c>
      <c r="U518" s="1" t="inlineStr">
        <is>
          <t>Teacher interfacing, Student interfacing, System/Administrative</t>
        </is>
      </c>
      <c r="V518" s="1" t="inlineStr">
        <is>
          <t>Workflow-based learning and performance solution</t>
        </is>
      </c>
      <c r="W518" s="10" t="inlineStr">
        <is>
          <t>We build and implement workplace learning solutions that meet the needs of diverse colleagues, where and when they are needed.</t>
        </is>
      </c>
      <c r="X518" s="10" t="inlineStr">
        <is>
          <t>https://drive.google.com/uc?export=view&amp;id=1fO7egaLub0UPf2zDgyTX5lMuv3DwiFOh</t>
        </is>
      </c>
      <c r="Y518" t="inlineStr">
        <is>
          <t>https://drive.google.com/uc?export=view&amp;id=1fO7egaLub0UPf2zDgyTX5lMuv3DwiFOh</t>
        </is>
      </c>
      <c r="Z518" s="1" t="inlineStr">
        <is>
          <t>https://drive.google.com/uc?export=view&amp;id=1fO7egaLub0UPf2zDgyTX5lMuv3DwiFOh</t>
        </is>
      </c>
      <c r="AA518" s="1" t="inlineStr">
        <is>
          <t>Unverified</t>
        </is>
      </c>
      <c r="AB518" s="1" t="n"/>
      <c r="AC518" s="1" t="n"/>
      <c r="AD518" s="10" t="n"/>
      <c r="AE518" s="1" t="n"/>
      <c r="AF518" s="1" t="inlineStr">
        <is>
          <t>Yes</t>
        </is>
      </c>
      <c r="AG518" s="1" t="inlineStr">
        <is>
          <t>https://twitter.com/xprtise</t>
        </is>
      </c>
      <c r="AH518" s="1" t="inlineStr">
        <is>
          <t>https://twitter.com/xprtise</t>
        </is>
      </c>
      <c r="AI518" t="inlineStr">
        <is>
          <t>https://www.linkedin.com/company/7801396/</t>
        </is>
      </c>
    </row>
    <row r="519" ht="12.5" customHeight="1">
      <c r="A519" s="6" t="n">
        <v>45300</v>
      </c>
      <c r="B519" s="1" t="inlineStr">
        <is>
          <t>ORG_2191</t>
        </is>
      </c>
      <c r="C519" s="1" t="b">
        <v>1</v>
      </c>
      <c r="D519" s="1" t="inlineStr">
        <is>
          <t>RoboManiac</t>
        </is>
      </c>
      <c r="E519" s="10" t="inlineStr">
        <is>
          <t>www.robomaniac.at</t>
        </is>
      </c>
      <c r="F519" t="inlineStr">
        <is>
          <t>robomaniac.at</t>
        </is>
      </c>
      <c r="G519" s="1" t="inlineStr">
        <is>
          <t>We are company specialized on STEM education for children in the age of 5-17 years</t>
        </is>
      </c>
      <c r="H519" s="1" t="inlineStr">
        <is>
          <t>EdTech Austria</t>
        </is>
      </c>
      <c r="I519" s="1" t="n"/>
      <c r="J519" s="1" t="inlineStr">
        <is>
          <t>Arztgasse</t>
        </is>
      </c>
      <c r="K519" t="inlineStr">
        <is>
          <t>Arztgasse</t>
        </is>
      </c>
      <c r="L519" t="inlineStr">
        <is>
          <t>Arztgasse, Austria</t>
        </is>
      </c>
      <c r="M519" t="n">
        <v>47.7467493</v>
      </c>
      <c r="N519" t="n">
        <v>16.2416564</v>
      </c>
      <c r="O519" s="1" t="inlineStr">
        <is>
          <t>Austria</t>
        </is>
      </c>
      <c r="P519" s="1" t="inlineStr">
        <is>
          <t>Austria</t>
        </is>
      </c>
      <c r="Q519" s="1" t="inlineStr">
        <is>
          <t>0 to 10</t>
        </is>
      </c>
      <c r="R519" t="inlineStr">
        <is>
          <t>Micro</t>
        </is>
      </c>
      <c r="S519" s="1" t="inlineStr">
        <is>
          <t>Business to Business, Business to Consumer</t>
        </is>
      </c>
      <c r="T519" s="1" t="inlineStr">
        <is>
          <t>Primary Education, Secondary Education</t>
        </is>
      </c>
      <c r="U519" s="1" t="inlineStr">
        <is>
          <t>System/Administrative, Student interfacing, Teacher interfacing</t>
        </is>
      </c>
      <c r="V519" s="1" t="inlineStr">
        <is>
          <t>STEM Workshops and Training</t>
        </is>
      </c>
      <c r="W519" s="1" t="inlineStr">
        <is>
          <t>We provide STEM workshops and training for kids in the age of 5-16 in following areas:
- Programming (Java, Python, C#)
- Game Development (Unity, Scratch)
- Robotics 
- Architecture
- Artificial Intelligence</t>
        </is>
      </c>
      <c r="X519" s="10" t="inlineStr">
        <is>
          <t>https://drive.google.com/uc?export=view&amp;id=1lt_KIEIzlpHdpTh2LVLJe-Iytltj0Vwn</t>
        </is>
      </c>
      <c r="Y519" t="inlineStr">
        <is>
          <t>https://drive.google.com/uc?export=view&amp;id=1lt_KIEIzlpHdpTh2LVLJe-Iytltj0Vwn</t>
        </is>
      </c>
      <c r="Z519" s="1" t="inlineStr">
        <is>
          <t>https://drive.google.com/uc?export=view&amp;id=1lt_KIEIzlpHdpTh2LVLJe-Iytltj0Vwn</t>
        </is>
      </c>
      <c r="AA519" s="1" t="inlineStr">
        <is>
          <t>Unverified</t>
        </is>
      </c>
      <c r="AB519" s="1" t="n"/>
      <c r="AC519" s="1" t="n"/>
      <c r="AD519" s="10" t="n"/>
      <c r="AE519" s="1" t="n"/>
      <c r="AF519" s="1" t="inlineStr">
        <is>
          <t>Yes</t>
        </is>
      </c>
      <c r="AG519" s="1" t="inlineStr">
        <is>
          <t>RoboManiac</t>
        </is>
      </c>
      <c r="AH519" s="1" t="inlineStr">
        <is>
          <t>RoboManiac</t>
        </is>
      </c>
      <c r="AI519" s="1" t="inlineStr">
        <is>
          <t>https://www.linkedin.com/company/robomaniac/</t>
        </is>
      </c>
      <c r="AJ519" s="1" t="n"/>
    </row>
    <row r="520" ht="12.5" customHeight="1">
      <c r="A520" s="6" t="n">
        <v>45300</v>
      </c>
      <c r="B520" s="1" t="inlineStr">
        <is>
          <t>ORG_2420</t>
        </is>
      </c>
      <c r="C520" s="1" t="b">
        <v>1</v>
      </c>
      <c r="D520" s="1" t="inlineStr">
        <is>
          <t>Topicus Education</t>
        </is>
      </c>
      <c r="E520" s="10" t="inlineStr">
        <is>
          <t>https://topicus.nl/sectoren/onderwijs</t>
        </is>
      </c>
      <c r="F520" t="inlineStr">
        <is>
          <t>topicus.nl/sectoren/onderwijs</t>
        </is>
      </c>
      <c r="G520" s="1" t="inlineStr">
        <is>
          <t>With ParnasSys and Somtoday Topicus Education is the leading provider of student information systems and learning management systems for primary and secondary education in the Netherlands.</t>
        </is>
      </c>
      <c r="H520" s="1" t="inlineStr">
        <is>
          <t>Dutch EdTech</t>
        </is>
      </c>
      <c r="I520" s="1" t="n"/>
      <c r="J520" s="1" t="inlineStr">
        <is>
          <t>Deventer</t>
        </is>
      </c>
      <c r="K520" t="inlineStr">
        <is>
          <t>Deventer</t>
        </is>
      </c>
      <c r="L520" t="inlineStr">
        <is>
          <t>Deventer, The Netherlands</t>
        </is>
      </c>
      <c r="M520" t="n">
        <v>52.2535255</v>
      </c>
      <c r="N520" t="n">
        <v>6.1595748</v>
      </c>
      <c r="O520" s="1" t="inlineStr">
        <is>
          <t>The Netherlands</t>
        </is>
      </c>
      <c r="P520" s="1" t="inlineStr">
        <is>
          <t>Netherlands</t>
        </is>
      </c>
      <c r="Q520" s="1" t="inlineStr">
        <is>
          <t>100+</t>
        </is>
      </c>
      <c r="R520" t="inlineStr">
        <is>
          <t>Medium or Large (unspecified)</t>
        </is>
      </c>
      <c r="S520" s="1" t="inlineStr">
        <is>
          <t>Business to Business, Business to Schools</t>
        </is>
      </c>
      <c r="T520" s="1" t="inlineStr">
        <is>
          <t>Primary Education, Secondary Education</t>
        </is>
      </c>
      <c r="U520" s="1" t="inlineStr">
        <is>
          <t>System/Administrative, Student interfacing, Teacher interfacing</t>
        </is>
      </c>
      <c r="V520" s="1" t="inlineStr">
        <is>
          <t>ParnasSys</t>
        </is>
      </c>
      <c r="W520" s="1" t="inlineStr">
        <is>
          <t>ParnasSys is the leading student information system for primary education in the Netherlands. ParnasSys offers its 6000+ schools and 1.3m students a wide range of functionality such as student administration, gradebook, parent communication and management information. ParnasSys broke new ground as a fully web-based SaaS-application with its introduction in 2004 and has since become a reliable partner for 90% of the primary schools in the Netherlands.</t>
        </is>
      </c>
      <c r="X520" s="10" t="inlineStr">
        <is>
          <t>Somtoday</t>
        </is>
      </c>
      <c r="Y520" t="inlineStr">
        <is>
          <t>Somtoday is a modern student information and learning management system for secondary education in the Netherlands. Somtoday is a fully web-based SaaS-application that serves 600 schools and 350K students. Somtoday is an integrated solution for student administration, learning management and management information.</t>
        </is>
      </c>
      <c r="Z520" s="1" t="inlineStr">
        <is>
          <t>https://drive.google.com/uc?export=view&amp;id=1-N_AFzlGLpS3ViFkRQxnkOttsEudMaD1</t>
        </is>
      </c>
      <c r="AA520" s="1" t="inlineStr">
        <is>
          <t>Unverified</t>
        </is>
      </c>
      <c r="AB520" s="1" t="n"/>
      <c r="AC520" s="1" t="n"/>
      <c r="AD520" s="10" t="n"/>
      <c r="AE520" s="1" t="n"/>
      <c r="AF520" s="1" t="inlineStr">
        <is>
          <t>Yes</t>
        </is>
      </c>
      <c r="AG520" s="1" t="inlineStr">
        <is>
          <t>https://www.linkedin.com/company/topicus/</t>
        </is>
      </c>
      <c r="AH520" s="1" t="inlineStr">
        <is>
          <t>@topicusbv</t>
        </is>
      </c>
      <c r="AI520" s="1" t="inlineStr">
        <is>
          <t>https://www.linkedin.com/company/topicus/</t>
        </is>
      </c>
      <c r="AJ520" s="1" t="n"/>
    </row>
    <row r="521" ht="12.5" customHeight="1">
      <c r="A521" s="6" t="n">
        <v>45300</v>
      </c>
      <c r="B521" s="1" t="inlineStr">
        <is>
          <t>ORG_2535</t>
        </is>
      </c>
      <c r="C521" s="1" t="b">
        <v>1</v>
      </c>
      <c r="D521" s="1" t="inlineStr">
        <is>
          <t>Winc Academy</t>
        </is>
      </c>
      <c r="E521" s="10" t="inlineStr">
        <is>
          <t>www.wincacademy.com</t>
        </is>
      </c>
      <c r="F521" t="inlineStr">
        <is>
          <t>wincacademy.com</t>
        </is>
      </c>
      <c r="G521" s="1" t="inlineStr">
        <is>
          <t>Winc Academy is an international education platform offering online courses with scalable personal guidance, for anyone to learn in-demand digital skills.</t>
        </is>
      </c>
      <c r="H521" s="1" t="inlineStr">
        <is>
          <t>Dutch EdTech</t>
        </is>
      </c>
      <c r="I521" s="1" t="n"/>
      <c r="J521" s="1" t="inlineStr">
        <is>
          <t>Amsterdam</t>
        </is>
      </c>
      <c r="K521" t="inlineStr">
        <is>
          <t>Amsterdam</t>
        </is>
      </c>
      <c r="L521" t="inlineStr">
        <is>
          <t>Amsterdam, The Netherlands</t>
        </is>
      </c>
      <c r="M521" t="n">
        <v>52.3701984</v>
      </c>
      <c r="N521" t="n">
        <v>4.892168</v>
      </c>
      <c r="O521" s="1" t="inlineStr">
        <is>
          <t>The Netherlands</t>
        </is>
      </c>
      <c r="P521" s="1" t="inlineStr">
        <is>
          <t>Austria, Belgium, Italy, Netherlands, Portugal, Spain, Switzerland, United Kingdom</t>
        </is>
      </c>
      <c r="Q521" s="1" t="inlineStr">
        <is>
          <t>11 to 50</t>
        </is>
      </c>
      <c r="R521" t="inlineStr">
        <is>
          <t>Small</t>
        </is>
      </c>
      <c r="S521" s="1" t="inlineStr">
        <is>
          <t>Business to Consumer</t>
        </is>
      </c>
      <c r="T521" s="1" t="inlineStr">
        <is>
          <t>Higher Education, Corporate Training, Lifelong learning/Adult education</t>
        </is>
      </c>
      <c r="U521" s="1" t="inlineStr">
        <is>
          <t>Student interfacing, System/Administrative</t>
        </is>
      </c>
      <c r="V521" s="10" t="inlineStr">
        <is>
          <t>Course: Front End Development</t>
        </is>
      </c>
      <c r="W521" s="1" t="inlineStr">
        <is>
          <t>Create great websites and apps. Learn how to build attractive and user-friendly websites and apps with HTML, CSS and JavaScript. Land a job as a (junior) Front-End Developer.</t>
        </is>
      </c>
      <c r="X521" s="10" t="inlineStr">
        <is>
          <t>Course: Full Stack Development</t>
        </is>
      </c>
      <c r="Y521" t="inlineStr">
        <is>
          <t>The best start of your career in tech. Develop the skills to work with both back-end and front-end technologies. By the time you are done, you will have all the skills needed to land a job as a (junior) full-stack developer.</t>
        </is>
      </c>
      <c r="Z521" s="1" t="inlineStr">
        <is>
          <t>https://drive.google.com/uc?export=view&amp;id=1uMe6DyDeKNkp26A4a6nRNUGH9e6o0Scq</t>
        </is>
      </c>
      <c r="AA521" s="1" t="inlineStr">
        <is>
          <t>Unverified</t>
        </is>
      </c>
      <c r="AB521" s="1" t="n"/>
      <c r="AC521" s="1" t="n"/>
      <c r="AD521" s="10" t="n"/>
      <c r="AE521" s="1" t="n"/>
      <c r="AF521" s="1" t="inlineStr">
        <is>
          <t>Yes</t>
        </is>
      </c>
      <c r="AG521" s="1" t="inlineStr">
        <is>
          <t>https://www.instagram.com/wincacademy/</t>
        </is>
      </c>
      <c r="AH521" s="1" t="inlineStr">
        <is>
          <t>https://www.linkedin.com/school/wincacademy</t>
        </is>
      </c>
      <c r="AI521" t="inlineStr">
        <is>
          <t>https://www.linkedin.com/school/wincacademy</t>
        </is>
      </c>
    </row>
    <row r="522" ht="12.5" customHeight="1">
      <c r="A522" s="6" t="n">
        <v>45300</v>
      </c>
      <c r="B522" s="1" t="inlineStr">
        <is>
          <t>ORG_1029</t>
        </is>
      </c>
      <c r="C522" s="1" t="b">
        <v>1</v>
      </c>
      <c r="D522" s="1" t="inlineStr">
        <is>
          <t>ACP eduWERK</t>
        </is>
      </c>
      <c r="E522" s="10" t="inlineStr">
        <is>
          <t>https://eduwerk.acp.at</t>
        </is>
      </c>
      <c r="F522" t="inlineStr">
        <is>
          <t>eduwerk.acp.at</t>
        </is>
      </c>
      <c r="G522" s="1" t="inlineStr">
        <is>
          <t>ACP eduWERK - digital education made easy! The Viennese IT company was founded in 2014 and has since been supporting schools and educational institutions in introducing digital media into the classroom. ACP eduWERK is considered the leading provider of education solutions and has already supported more than 350 schools throughout Austria on their way to digital educational institutions.
The product range extends from the edu-iPad to edu-Mac (Apple) to the edu-Book365 (Microsoft) and edu-Chromebook (Google). ACP eduWERK offers tailor-made solutions, an overall educational concept and support with financing issues. Our vision is to provide every student with up-to-date education and thus make our children fit for the challenges of the future!</t>
        </is>
      </c>
      <c r="H522" s="1" t="inlineStr">
        <is>
          <t>EdTech Austria</t>
        </is>
      </c>
      <c r="I522" s="1" t="n"/>
      <c r="J522" s="1" t="inlineStr">
        <is>
          <t>Vienna</t>
        </is>
      </c>
      <c r="K522" t="inlineStr">
        <is>
          <t>Vienna</t>
        </is>
      </c>
      <c r="L522" t="inlineStr">
        <is>
          <t>Vienna, Austria</t>
        </is>
      </c>
      <c r="M522" t="n">
        <v>48.2083537</v>
      </c>
      <c r="N522" t="n">
        <v>16.3725042</v>
      </c>
      <c r="O522" s="1" t="inlineStr">
        <is>
          <t>Austria</t>
        </is>
      </c>
      <c r="P522" s="1" t="inlineStr">
        <is>
          <t>Austria, Germany</t>
        </is>
      </c>
      <c r="Q522" s="1" t="inlineStr">
        <is>
          <t>11 to 50</t>
        </is>
      </c>
      <c r="R522" t="inlineStr">
        <is>
          <t>Small</t>
        </is>
      </c>
      <c r="S522" s="1" t="inlineStr">
        <is>
          <t>Business to Business</t>
        </is>
      </c>
      <c r="T522" s="1" t="inlineStr">
        <is>
          <t>Primary Education, Secondary Education, Higher Education</t>
        </is>
      </c>
      <c r="U522" s="1" t="inlineStr">
        <is>
          <t>System/Administrative, Student interfacing, Teacher interfacing</t>
        </is>
      </c>
      <c r="V522" s="10" t="inlineStr">
        <is>
          <t>Digital education</t>
        </is>
      </c>
      <c r="W522" s="1" t="inlineStr">
        <is>
          <t>With the digital learning devices from ACP eduWERK, educators always receive an overall concept for digital education that has been thought through to the end. At the beginning of every journey into the digital classroom, there is always the question of the needs of each individual teacher.</t>
        </is>
      </c>
      <c r="X522" s="1" t="inlineStr">
        <is>
          <t>https://drive.google.com/uc?export=view&amp;id=1q3ou6J9cU8RCPI97w0ecNrZMxwKxqzr4</t>
        </is>
      </c>
      <c r="Y522" t="inlineStr">
        <is>
          <t>https://drive.google.com/uc?export=view&amp;id=1q3ou6J9cU8RCPI97w0ecNrZMxwKxqzr4</t>
        </is>
      </c>
      <c r="Z522" s="1" t="inlineStr">
        <is>
          <t>https://drive.google.com/uc?export=view&amp;id=1q3ou6J9cU8RCPI97w0ecNrZMxwKxqzr4</t>
        </is>
      </c>
      <c r="AA522" s="1" t="inlineStr">
        <is>
          <t>Unverified</t>
        </is>
      </c>
      <c r="AB522" s="1" t="n"/>
      <c r="AC522" s="1" t="n"/>
      <c r="AD522" s="10" t="n"/>
      <c r="AE522" s="1" t="n"/>
      <c r="AF522" s="1" t="inlineStr">
        <is>
          <t>Yes</t>
        </is>
      </c>
      <c r="AG522" s="1" t="inlineStr">
        <is>
          <t>https://www.instagram.com/acp_eduwerk/</t>
        </is>
      </c>
      <c r="AH522" s="1" t="n"/>
    </row>
    <row r="523" ht="12.5" customHeight="1">
      <c r="A523" s="6" t="n">
        <v>45300</v>
      </c>
      <c r="B523" s="1" t="inlineStr">
        <is>
          <t>ORG_1758</t>
        </is>
      </c>
      <c r="C523" s="1" t="b">
        <v>1</v>
      </c>
      <c r="D523" s="1" t="inlineStr">
        <is>
          <t>Junge Römer</t>
        </is>
      </c>
      <c r="E523" s="10" t="inlineStr">
        <is>
          <t>https://www.jungeroemer.net</t>
        </is>
      </c>
      <c r="F523" t="inlineStr">
        <is>
          <t>jungeroemer.net</t>
        </is>
      </c>
      <c r="G523" s="1" t="inlineStr">
        <is>
          <t>Junge Römer develops XR content for innovative brands.
We tell our customers' stories through virtual experiences that are 
meaningful and fun. The audience is always at the center of our work. 
Armed with the latest technology and a feel for the right content at the 
right time, we help the industry and large companies to transfer their 
brands, products, and messages into the metaverse.
We produce content for the following categories:
Virtual Reality / Augmented Reality / Immersive Video / Web XR</t>
        </is>
      </c>
      <c r="H523" s="1" t="inlineStr">
        <is>
          <t>EdTech Austria</t>
        </is>
      </c>
      <c r="I523" s="1" t="n"/>
      <c r="J523" s="1" t="inlineStr">
        <is>
          <t>Vienna</t>
        </is>
      </c>
      <c r="K523" t="inlineStr">
        <is>
          <t>Vienna</t>
        </is>
      </c>
      <c r="L523" t="inlineStr">
        <is>
          <t>Vienna, Austria</t>
        </is>
      </c>
      <c r="M523" t="n">
        <v>48.2083537</v>
      </c>
      <c r="N523" t="n">
        <v>16.3725042</v>
      </c>
      <c r="O523" s="1" t="inlineStr">
        <is>
          <t>Austria</t>
        </is>
      </c>
      <c r="P523" s="1" t="inlineStr">
        <is>
          <t>Austria, Germany, Italy, Liechtenstein, Slovenia, Switzerland, United Kingdom</t>
        </is>
      </c>
      <c r="Q523" s="1" t="inlineStr">
        <is>
          <t>0 to 10</t>
        </is>
      </c>
      <c r="R523" t="inlineStr">
        <is>
          <t>Micro</t>
        </is>
      </c>
      <c r="S523" s="1" t="inlineStr">
        <is>
          <t>Business to Business, Business to Consumer, Business to Government, Business to Schools</t>
        </is>
      </c>
      <c r="T523" s="1" t="inlineStr">
        <is>
          <t>Corporate Training</t>
        </is>
      </c>
      <c r="U523" s="1" t="inlineStr">
        <is>
          <t>Student interfacing, System/Administrative</t>
        </is>
      </c>
      <c r="V523" s="10" t="inlineStr">
        <is>
          <t>Virtual Reality Training</t>
        </is>
      </c>
      <c r="W523" s="10" t="inlineStr">
        <is>
          <t>Seeing means understanding. After all, we humans are very fixated on visual perception. VR makes learning and training situations more efficient, safer, and, above all, more memorable. We virtualize complex learning experiences by turning them into interactive stories that are memorable and help viewers gain important soft skills. 
This fusion of memorable narratives with modern technology creates promising opportunities, both for interactive seminars and training, as well as for content campaigns designed to share know-how.</t>
        </is>
      </c>
      <c r="X523" s="10" t="inlineStr">
        <is>
          <t>Augmented Reality Training</t>
        </is>
      </c>
      <c r="Y523" t="inlineStr">
        <is>
          <t>The ability to place virtual objects, characters, buildings, and items in a real-world setting allows an entirely new experience. AR fulfills the dreams of filmmakers, game designers, and marketing experts, who are now finally able to merge their content with the personal environments of their target audience. However, the same applies for AR: The full potential of the technology can only be exploited with the perfect story at the right time.
AR opens up several new ways to entertain and engage with the audience. Beyond that, however, there is a multitude of other applications: AR can be used, for instance, to transform the living area of the target group into a personalized showroom. The perfect place to present and subsequently sell products of all kinds. The ultimate sales and educational tools can be developed on the foundation of AR.</t>
        </is>
      </c>
      <c r="Z523" s="1" t="inlineStr">
        <is>
          <t>https://drive.google.com/uc?export=view&amp;id=1LTOFtAyz5LfA0RCiLu2Ee0h_U2oa28Av</t>
        </is>
      </c>
      <c r="AA523" s="1" t="inlineStr">
        <is>
          <t>Unverified</t>
        </is>
      </c>
      <c r="AB523" s="1" t="n"/>
      <c r="AC523" s="1" t="n"/>
      <c r="AD523" s="10" t="n"/>
      <c r="AE523" s="1" t="n"/>
      <c r="AF523" s="1" t="inlineStr">
        <is>
          <t>Yes</t>
        </is>
      </c>
      <c r="AG523" s="1" t="inlineStr">
        <is>
          <t>https://www.instagram.com/jungeroemerwien/</t>
        </is>
      </c>
      <c r="AH523" s="1" t="inlineStr">
        <is>
          <t>https://twitter.com/jungeroemerwien</t>
        </is>
      </c>
      <c r="AI523" t="inlineStr">
        <is>
          <t>https://www.linkedin.com/company/jungeroemer-gmbh/</t>
        </is>
      </c>
    </row>
    <row r="524" ht="12.5" customHeight="1">
      <c r="A524" s="6" t="n">
        <v>45300</v>
      </c>
      <c r="B524" s="1" t="inlineStr">
        <is>
          <t>ORG_2249</t>
        </is>
      </c>
      <c r="C524" s="1" t="b">
        <v>1</v>
      </c>
      <c r="D524" s="1" t="inlineStr">
        <is>
          <t>SiriusGame</t>
        </is>
      </c>
      <c r="E524" s="10" t="inlineStr">
        <is>
          <t>www.siriusgame.it</t>
        </is>
      </c>
      <c r="F524" t="inlineStr">
        <is>
          <t>siriusgame.it</t>
        </is>
      </c>
      <c r="G524" s="1" t="inlineStr">
        <is>
          <t>SiriusGame is a gamified app that supports the teaching and learning of humanities subjects in K-12, within the framework of Global Citizenship Education.
At the moment we offer Latin for the Italian education system.</t>
        </is>
      </c>
      <c r="H524" s="1" t="inlineStr">
        <is>
          <t>EdTech Italia</t>
        </is>
      </c>
      <c r="I524" s="1" t="n"/>
      <c r="J524" s="1" t="inlineStr">
        <is>
          <t>Verona</t>
        </is>
      </c>
      <c r="K524" t="inlineStr">
        <is>
          <t>Verona</t>
        </is>
      </c>
      <c r="L524" t="inlineStr">
        <is>
          <t>Verona, Italy</t>
        </is>
      </c>
      <c r="M524" t="n">
        <v>45.4424977</v>
      </c>
      <c r="N524" t="n">
        <v>10.9857377</v>
      </c>
      <c r="O524" s="1" t="inlineStr">
        <is>
          <t>Italy</t>
        </is>
      </c>
      <c r="P524" s="1" t="inlineStr">
        <is>
          <t>Italy</t>
        </is>
      </c>
      <c r="Q524" s="1" t="inlineStr">
        <is>
          <t>0 to 10</t>
        </is>
      </c>
      <c r="R524" t="inlineStr">
        <is>
          <t>Micro</t>
        </is>
      </c>
      <c r="S524" s="1" t="inlineStr">
        <is>
          <t>Business to Business, Business to Government, Business to Schools</t>
        </is>
      </c>
      <c r="T524" s="1" t="inlineStr">
        <is>
          <t>Secondary Education</t>
        </is>
      </c>
      <c r="U524" s="1" t="inlineStr">
        <is>
          <t>Student interfacing, Teacher interfacing</t>
        </is>
      </c>
      <c r="V524" s="10" t="inlineStr">
        <is>
          <t>SiriusGame App</t>
        </is>
      </c>
      <c r="W524" s="1" t="inlineStr">
        <is>
          <t>Allows students to embark on a gamified adventure, face daily quests, challenge their peers and share content they created.</t>
        </is>
      </c>
      <c r="X524" s="10" t="inlineStr">
        <is>
          <t>SiriusGame Webapp</t>
        </is>
      </c>
      <c r="Y524" t="inlineStr">
        <is>
          <t>Allows teachers to monitor the progress of their students, and create personalized exercises and flashcards in order to create a unique learning experience for their students.</t>
        </is>
      </c>
      <c r="Z524" s="1" t="inlineStr">
        <is>
          <t>https://drive.google.com/uc?export=view&amp;id=1j4FCMTkSCnYCcps7VWF8AXVyu7SQKcUB</t>
        </is>
      </c>
      <c r="AA524" s="1" t="inlineStr">
        <is>
          <t>Unverified</t>
        </is>
      </c>
      <c r="AB524" s="1" t="n"/>
      <c r="AC524" s="1" t="n"/>
      <c r="AD524" s="10" t="n"/>
      <c r="AE524" s="1" t="n"/>
      <c r="AF524" s="1" t="inlineStr">
        <is>
          <t>Yes</t>
        </is>
      </c>
      <c r="AG524" s="1" t="inlineStr">
        <is>
          <t>https://www.instagram.com/siriusgame_/?hl=en</t>
        </is>
      </c>
      <c r="AH524" s="1" t="inlineStr">
        <is>
          <t>https://www.linkedin.com/company/siriusgame</t>
        </is>
      </c>
      <c r="AI524" t="inlineStr">
        <is>
          <t>https://www.linkedin.com/company/siriusgame</t>
        </is>
      </c>
    </row>
    <row r="525" ht="12.5" customHeight="1">
      <c r="A525" s="6" t="n">
        <v>45300</v>
      </c>
      <c r="B525" s="1" t="inlineStr">
        <is>
          <t>ORG_2344</t>
        </is>
      </c>
      <c r="C525" s="1" t="b">
        <v>1</v>
      </c>
      <c r="D525" s="1" t="inlineStr">
        <is>
          <t>Studyly</t>
        </is>
      </c>
      <c r="E525" s="10" t="inlineStr">
        <is>
          <t>www.studyly.com</t>
        </is>
      </c>
      <c r="F525" t="inlineStr">
        <is>
          <t>studyly.com</t>
        </is>
      </c>
      <c r="G525" s="1" t="inlineStr">
        <is>
          <t>Studyly is a startup that specializes in the development of intelligent and adaptive learning systems.</t>
        </is>
      </c>
      <c r="H525" s="1" t="inlineStr">
        <is>
          <t>EdTech Austria</t>
        </is>
      </c>
      <c r="I525" s="1" t="n"/>
      <c r="J525" s="1" t="inlineStr">
        <is>
          <t>Vienna</t>
        </is>
      </c>
      <c r="K525" t="inlineStr">
        <is>
          <t>Vienna</t>
        </is>
      </c>
      <c r="L525" t="inlineStr">
        <is>
          <t>Vienna, Austria</t>
        </is>
      </c>
      <c r="M525" t="n">
        <v>48.2083537</v>
      </c>
      <c r="N525" t="n">
        <v>16.3725042</v>
      </c>
      <c r="O525" s="1" t="inlineStr">
        <is>
          <t>Austria</t>
        </is>
      </c>
      <c r="P525" s="1" t="inlineStr">
        <is>
          <t>Austria, Germany</t>
        </is>
      </c>
      <c r="Q525" s="1" t="inlineStr">
        <is>
          <t>11 to 50</t>
        </is>
      </c>
      <c r="R525" t="inlineStr">
        <is>
          <t>Small</t>
        </is>
      </c>
      <c r="S525" s="1" t="inlineStr">
        <is>
          <t>Business to Consumer, Business to Government, Business to Schools</t>
        </is>
      </c>
      <c r="T525" s="1" t="inlineStr">
        <is>
          <t>Secondary Education</t>
        </is>
      </c>
      <c r="U525" s="1" t="inlineStr">
        <is>
          <t>Student interfacing, Teacher interfacing</t>
        </is>
      </c>
      <c r="V525" s="1" t="inlineStr">
        <is>
          <t>Studyly</t>
        </is>
      </c>
      <c r="W525" s="1" t="inlineStr">
        <is>
          <t>Studyly is an e-learning platform on which secondary school students can learn and practice math online. The content and exercises provided are meticulously tailored to the individual needs of each students. Artificial intelligence recognizes their respective strengths and weaknesses and thus precisely adapts the learning input.</t>
        </is>
      </c>
      <c r="X525" s="1" t="inlineStr">
        <is>
          <t>https://drive.google.com/uc?export=view&amp;id=1V8MVoREM-RxXOR7KbjtpIi5wo3HoL4JO</t>
        </is>
      </c>
      <c r="Y525" t="inlineStr">
        <is>
          <t>https://drive.google.com/uc?export=view&amp;id=1V8MVoREM-RxXOR7KbjtpIi5wo3HoL4JO</t>
        </is>
      </c>
      <c r="Z525" s="1" t="inlineStr">
        <is>
          <t>https://drive.google.com/uc?export=view&amp;id=1V8MVoREM-RxXOR7KbjtpIi5wo3HoL4JO</t>
        </is>
      </c>
      <c r="AA525" s="1" t="inlineStr">
        <is>
          <t>Unverified</t>
        </is>
      </c>
      <c r="AB525" s="1" t="n"/>
      <c r="AC525" s="1" t="n"/>
      <c r="AD525" s="10" t="n"/>
      <c r="AE525" s="1" t="n"/>
      <c r="AF525" s="1" t="inlineStr">
        <is>
          <t>Yes</t>
        </is>
      </c>
      <c r="AG525" s="1" t="inlineStr">
        <is>
          <t>@studyly_at</t>
        </is>
      </c>
      <c r="AH525" s="1" t="n"/>
    </row>
    <row r="526" ht="12.5" customHeight="1">
      <c r="A526" s="6" t="n">
        <v>45300</v>
      </c>
      <c r="B526" s="1" t="inlineStr">
        <is>
          <t>ORG_1048</t>
        </is>
      </c>
      <c r="C526" s="1" t="b">
        <v>1</v>
      </c>
      <c r="D526" s="1" t="inlineStr">
        <is>
          <t>Alfons Education</t>
        </is>
      </c>
      <c r="E526" s="10" t="inlineStr">
        <is>
          <t>https://alfons.education/en</t>
        </is>
      </c>
      <c r="F526" t="inlineStr">
        <is>
          <t>alfons.education/en</t>
        </is>
      </c>
      <c r="G526" s="1" t="inlineStr">
        <is>
          <t>Alfons Education learning management system is a completely new type of tool for teachers and students. Alfons enables easy and effective teaching and learning. Designed in cooperation with dozens of Finnish teachers and pedagogy professionals. The worlds best teaching and education has been evolved to an easy-to-use digital learning environment.</t>
        </is>
      </c>
      <c r="H526" s="1" t="inlineStr">
        <is>
          <t>EdTech Finland, EduCloud Alliance</t>
        </is>
      </c>
      <c r="I526" s="1" t="n"/>
      <c r="J526" s="1" t="inlineStr">
        <is>
          <t>Helsinki</t>
        </is>
      </c>
      <c r="K526" t="inlineStr">
        <is>
          <t>Helsinki</t>
        </is>
      </c>
      <c r="L526" t="inlineStr">
        <is>
          <t>Helsinki, Finland</t>
        </is>
      </c>
      <c r="M526" t="n">
        <v>60.1666204</v>
      </c>
      <c r="N526" t="n">
        <v>24.9435408</v>
      </c>
      <c r="O526" s="1" t="inlineStr">
        <is>
          <t>Finland</t>
        </is>
      </c>
      <c r="P526" s="1" t="inlineStr">
        <is>
          <t>Finland</t>
        </is>
      </c>
      <c r="Q526" s="1" t="inlineStr">
        <is>
          <t>0 to 10</t>
        </is>
      </c>
      <c r="R526" t="inlineStr">
        <is>
          <t>Micro</t>
        </is>
      </c>
      <c r="S526" s="1" t="inlineStr">
        <is>
          <t>Business to Business</t>
        </is>
      </c>
      <c r="T526" s="1" t="inlineStr">
        <is>
          <t>Primary Education, Secondary Education, Higher Education</t>
        </is>
      </c>
      <c r="U526" s="1" t="inlineStr">
        <is>
          <t>Student interfacing, Teacher interfacing, System/Administrative</t>
        </is>
      </c>
      <c r="V526" s="1" t="n"/>
      <c r="W526" s="1" t="inlineStr">
        <is>
          <t>https://drive.google.com/uc?export=view&amp;id=1RnipJYMISa1cyLOilmx8csrKA2kMn_76</t>
        </is>
      </c>
      <c r="X526" s="1" t="inlineStr">
        <is>
          <t>https://drive.google.com/uc?export=view&amp;id=1RnipJYMISa1cyLOilmx8csrKA2kMn_76</t>
        </is>
      </c>
      <c r="Y526" t="inlineStr">
        <is>
          <t>https://drive.google.com/uc?export=view&amp;id=1RnipJYMISa1cyLOilmx8csrKA2kMn_76</t>
        </is>
      </c>
      <c r="Z526" s="1" t="inlineStr">
        <is>
          <t>https://drive.google.com/uc?export=view&amp;id=1RnipJYMISa1cyLOilmx8csrKA2kMn_76</t>
        </is>
      </c>
      <c r="AA526" s="1" t="inlineStr">
        <is>
          <t>Unverified</t>
        </is>
      </c>
      <c r="AB526" s="1" t="n"/>
      <c r="AC526" s="1" t="n"/>
      <c r="AD526" s="10" t="n"/>
      <c r="AE526" s="1" t="n"/>
      <c r="AF526" s="1" t="inlineStr">
        <is>
          <t>No</t>
        </is>
      </c>
      <c r="AG526" s="1" t="n"/>
      <c r="AH526" s="1" t="n"/>
    </row>
    <row r="527" ht="12.5" customHeight="1">
      <c r="A527" s="6" t="n">
        <v>45300</v>
      </c>
      <c r="B527" s="1" t="inlineStr">
        <is>
          <t>ORG_1150</t>
        </is>
      </c>
      <c r="C527" s="1" t="b">
        <v>1</v>
      </c>
      <c r="D527" s="1" t="inlineStr">
        <is>
          <t>Beetroot Academy</t>
        </is>
      </c>
      <c r="E527" s="10" t="inlineStr">
        <is>
          <t>https://beetrootacademy.com</t>
        </is>
      </c>
      <c r="F527" t="inlineStr">
        <is>
          <t>beetrootacademy.com</t>
        </is>
      </c>
      <c r="G527" s="1" t="inlineStr">
        <is>
          <t>Beetroot Academy is a Swedish-Ukrainian social enterprise, on a mission to help people have great careers in the digital economy. We provide professional education and development within tech-related subjects through live online classes with industry experts in small groups.</t>
        </is>
      </c>
      <c r="H527" s="1" t="n"/>
      <c r="I527" s="1" t="n"/>
      <c r="J527" s="1" t="inlineStr">
        <is>
          <t>Stockholm</t>
        </is>
      </c>
      <c r="K527" t="inlineStr">
        <is>
          <t>Stockholm</t>
        </is>
      </c>
      <c r="L527" t="inlineStr">
        <is>
          <t>Stockholm, Sweden</t>
        </is>
      </c>
      <c r="M527" t="n">
        <v>59.3251172</v>
      </c>
      <c r="N527" t="n">
        <v>18.0710935</v>
      </c>
      <c r="O527" s="1" t="inlineStr">
        <is>
          <t>Sweden</t>
        </is>
      </c>
      <c r="P527" s="1" t="inlineStr">
        <is>
          <t>Estonia, Finland, Kosovo, Latvia, Lithuania, Moldova, Norway, Poland, Romania, Sweden, Ukraine, United Kingdom</t>
        </is>
      </c>
      <c r="Q527" s="1" t="inlineStr">
        <is>
          <t>51 to 100</t>
        </is>
      </c>
      <c r="R527" t="inlineStr">
        <is>
          <t>Medium</t>
        </is>
      </c>
      <c r="S527" s="1" t="inlineStr">
        <is>
          <t>Business to Business, Business to Consumer, Business to Government, Business to Schools</t>
        </is>
      </c>
      <c r="T527" s="1" t="inlineStr">
        <is>
          <t>Higher Education, Corporate Training, Lifelong learning/Adult education</t>
        </is>
      </c>
      <c r="U527" s="1" t="inlineStr">
        <is>
          <t>Student interfacing, System/Administrative</t>
        </is>
      </c>
      <c r="V527" s="10" t="inlineStr">
        <is>
          <t>Front-end course</t>
        </is>
      </c>
      <c r="W527" s="1" t="inlineStr">
        <is>
          <t>Frontenders bridge the business logic with user experience. To match the goal of end-users with the intention behind the site or app, Front-End pursues flawless interaction. Work your way up from layout with HTML &amp; CSS to incorporating JavaScript to Front-End frameworks and plugins for the best result possible.</t>
        </is>
      </c>
      <c r="X527" s="10" t="inlineStr">
        <is>
          <t>Python development from scratch</t>
        </is>
      </c>
      <c r="Y527" t="inlineStr">
        <is>
          <t>Python is a programming language perfect for beginners and applicable in many fields. You will learn the basics of Python as well as essential programming principles and classical computer science. Mastering Python will allow you to choose from Machine Learning, Data Science, and many more directions for further growth.</t>
        </is>
      </c>
      <c r="Z527" s="1" t="inlineStr">
        <is>
          <t>https://drive.google.com/uc?export=view&amp;id=1OW3vF64h_wKNMaQfQ7DZHH45KYTjhXoZ</t>
        </is>
      </c>
      <c r="AA527" s="1" t="inlineStr">
        <is>
          <t>Unverified</t>
        </is>
      </c>
      <c r="AB527" s="1" t="n"/>
      <c r="AC527" s="1" t="n"/>
      <c r="AD527" s="10" t="n"/>
      <c r="AE527" s="1" t="n"/>
      <c r="AF527" s="1" t="inlineStr">
        <is>
          <t>Yes</t>
        </is>
      </c>
      <c r="AG527" s="1" t="inlineStr">
        <is>
          <t>https://www.instagram.com/beetrootacademy.global/</t>
        </is>
      </c>
      <c r="AH527" s="1" t="inlineStr">
        <is>
          <t>https://www.linkedin.com/school/beetrootacademy/mycompany/</t>
        </is>
      </c>
      <c r="AI527" t="inlineStr">
        <is>
          <t>https://www.linkedin.com/school/beetrootacademy/mycompany/</t>
        </is>
      </c>
    </row>
    <row r="528" ht="12.5" customHeight="1">
      <c r="A528" s="6" t="n">
        <v>45300</v>
      </c>
      <c r="B528" s="1" t="inlineStr">
        <is>
          <t>ORG_1284</t>
        </is>
      </c>
      <c r="C528" s="1" t="b">
        <v>1</v>
      </c>
      <c r="D528" s="1" t="inlineStr">
        <is>
          <t>common sense - eLearning &amp; training consultants GmbH</t>
        </is>
      </c>
      <c r="E528" s="10" t="inlineStr">
        <is>
          <t>www.common-sense.at</t>
        </is>
      </c>
      <c r="F528" t="inlineStr">
        <is>
          <t>common-sense.at</t>
        </is>
      </c>
      <c r="G528" s="1" t="inlineStr">
        <is>
          <t>common sense offers eLearning services for corporates, non-profits and for international organizations. We bring training directly to the workplace, connecting experience, theory and practice. We recognize existing parameters and adapt our eLearning projects and products to provide sustainable solutions.</t>
        </is>
      </c>
      <c r="H528" s="1" t="inlineStr">
        <is>
          <t>EdTech Austria</t>
        </is>
      </c>
      <c r="I528" s="1" t="n"/>
      <c r="J528" s="1" t="inlineStr">
        <is>
          <t>Vienna</t>
        </is>
      </c>
      <c r="K528" t="inlineStr">
        <is>
          <t>Vienna</t>
        </is>
      </c>
      <c r="L528" t="inlineStr">
        <is>
          <t>Vienna, Austria</t>
        </is>
      </c>
      <c r="M528" t="n">
        <v>48.2083537</v>
      </c>
      <c r="N528" t="n">
        <v>16.3725042</v>
      </c>
      <c r="O528" s="1" t="inlineStr">
        <is>
          <t>Austria</t>
        </is>
      </c>
      <c r="P528" s="1" t="inlineStr">
        <is>
          <t>Andorra, Armenia, Austria, Azerbaijan, Belgium, France, Georgia, Germany, Italy, Kazakhstan, Luxembourg, Netherlands, Romania, Switzerland, United Kingdom</t>
        </is>
      </c>
      <c r="Q528" s="1" t="inlineStr">
        <is>
          <t>11 to 50</t>
        </is>
      </c>
      <c r="R528" t="inlineStr">
        <is>
          <t>Small</t>
        </is>
      </c>
      <c r="S528" s="1" t="inlineStr">
        <is>
          <t>Business to Business, Business to Consumer, Business to Government, Business to Schools</t>
        </is>
      </c>
      <c r="T528" s="1" t="inlineStr">
        <is>
          <t>Secondary Education, Higher Education, Corporate Training, Lifelong learning/Adult education</t>
        </is>
      </c>
      <c r="U528" s="1" t="inlineStr">
        <is>
          <t>System/Administrative, Student interfacing, Teacher interfacing</t>
        </is>
      </c>
      <c r="V528" s="1" t="inlineStr">
        <is>
          <t>Content Development</t>
        </is>
      </c>
      <c r="W528" s="1" t="inlineStr">
        <is>
          <t>We prepare online training content to be instructionally sound, diverse and media compatible, as web-based training, micro learning module or mobile application.</t>
        </is>
      </c>
      <c r="X528" s="10" t="inlineStr">
        <is>
          <t>Digital Learning Consulting</t>
        </is>
      </c>
      <c r="Y528" t="inlineStr">
        <is>
          <t>In consultancy, we focus on strategy, instructional design and the learning individual.</t>
        </is>
      </c>
      <c r="Z528" s="1" t="inlineStr">
        <is>
          <t>https://drive.google.com/uc?export=view&amp;id=1Hq2j5oSVvUpfUO6aY5TLi-roBlGQTIyN</t>
        </is>
      </c>
      <c r="AA528" s="1" t="inlineStr">
        <is>
          <t>Unverified</t>
        </is>
      </c>
      <c r="AB528" s="1" t="n"/>
      <c r="AC528" s="1" t="n"/>
      <c r="AD528" s="10" t="n"/>
      <c r="AE528" s="1" t="n"/>
      <c r="AF528" t="inlineStr">
        <is>
          <t>Yes</t>
        </is>
      </c>
      <c r="AG528" t="inlineStr">
        <is>
          <t>common sense - eLearning &amp; training consultants GmbH</t>
        </is>
      </c>
      <c r="AH528" t="inlineStr">
        <is>
          <t>common sense - eLearning &amp; training consultants GmbH</t>
        </is>
      </c>
      <c r="AI528" t="inlineStr">
        <is>
          <t>https://www.linkedin.com/company/common-sense-elearning-&amp;-training-consultants</t>
        </is>
      </c>
    </row>
    <row r="529" ht="12.5" customHeight="1">
      <c r="A529" s="6" t="n">
        <v>45300</v>
      </c>
      <c r="B529" s="1" t="inlineStr">
        <is>
          <t>ORG_1301</t>
        </is>
      </c>
      <c r="C529" s="1" t="b">
        <v>1</v>
      </c>
      <c r="D529" s="1" t="inlineStr">
        <is>
          <t>Corsmed</t>
        </is>
      </c>
      <c r="E529" s="10" t="inlineStr">
        <is>
          <t>https://www.corsmed.com/</t>
        </is>
      </c>
      <c r="F529" t="inlineStr">
        <is>
          <t>corsmed.com</t>
        </is>
      </c>
      <c r="G529" s="1" t="inlineStr">
        <is>
          <t>Corsmed develops the "flight simulator of MRI" - a better, faster and more efficient way for radiographers and technologists to train and practice hands-on MRI, anywhere, anytime.</t>
        </is>
      </c>
      <c r="H529" s="1" t="n"/>
      <c r="I529" s="1" t="n"/>
      <c r="J529" s="1" t="inlineStr">
        <is>
          <t>Stockholm</t>
        </is>
      </c>
      <c r="K529" t="inlineStr">
        <is>
          <t>Stockholm</t>
        </is>
      </c>
      <c r="L529" t="inlineStr">
        <is>
          <t>Stockholm, Sweden</t>
        </is>
      </c>
      <c r="M529" t="n">
        <v>59.3251172</v>
      </c>
      <c r="N529" t="n">
        <v>18.0710935</v>
      </c>
      <c r="O529" s="1" t="inlineStr">
        <is>
          <t>Sweden</t>
        </is>
      </c>
      <c r="P529" s="1" t="inlineStr">
        <is>
          <t>Austria, Belgium, Bosnia and Herzegovina, Denmark, Finland, Germany, Greece, Ireland, Italy, Netherlands, Norway, Poland, Portugal, Romania, Spain, Sweden, Switzerland, Turkey, United Kingdom</t>
        </is>
      </c>
      <c r="Q529" s="1" t="inlineStr">
        <is>
          <t>11 to 50</t>
        </is>
      </c>
      <c r="R529" t="inlineStr">
        <is>
          <t>Small</t>
        </is>
      </c>
      <c r="S529" s="1" t="inlineStr">
        <is>
          <t>Business to Business, Business to Consumer, Business to Government, Business to Schools</t>
        </is>
      </c>
      <c r="T529" s="1" t="inlineStr">
        <is>
          <t>Higher Education, Corporate Training, Lifelong learning/Adult education</t>
        </is>
      </c>
      <c r="U529" s="1" t="inlineStr">
        <is>
          <t>Teacher interfacing, Student interfacing, System/Administrative</t>
        </is>
      </c>
      <c r="V529" s="1" t="inlineStr">
        <is>
          <t>Corsmed MRI simulator</t>
        </is>
      </c>
      <c r="W529" s="10" t="inlineStr">
        <is>
          <t>The Corsmed MRI simulator allows anyone to practice hands-on MRI scanning, from any computer, anywhere, at any time.</t>
        </is>
      </c>
      <c r="X529" s="10" t="inlineStr">
        <is>
          <t>https://drive.google.com/uc?export=view&amp;id=145eCQ4sqKpWM77IgMlnXGMRPevpuWzDa</t>
        </is>
      </c>
      <c r="Y529" t="inlineStr">
        <is>
          <t>https://drive.google.com/uc?export=view&amp;id=145eCQ4sqKpWM77IgMlnXGMRPevpuWzDa</t>
        </is>
      </c>
      <c r="Z529" s="1" t="inlineStr">
        <is>
          <t>https://drive.google.com/uc?export=view&amp;id=145eCQ4sqKpWM77IgMlnXGMRPevpuWzDa</t>
        </is>
      </c>
      <c r="AA529" s="1" t="inlineStr">
        <is>
          <t>Unverified</t>
        </is>
      </c>
      <c r="AB529" s="1" t="n"/>
      <c r="AC529" s="1" t="n"/>
      <c r="AD529" s="10" t="n"/>
      <c r="AE529" s="1" t="n"/>
      <c r="AF529" t="inlineStr">
        <is>
          <t>Yes</t>
        </is>
      </c>
      <c r="AG529" t="inlineStr">
        <is>
          <t>https://twitter.com/corsmed</t>
        </is>
      </c>
      <c r="AH529" t="inlineStr">
        <is>
          <t>https://twitter.com/corsmed</t>
        </is>
      </c>
      <c r="AI529" t="inlineStr">
        <is>
          <t>https://www.linkedin.com/company/corsmed/</t>
        </is>
      </c>
    </row>
    <row r="530" ht="12.5" customHeight="1">
      <c r="A530" s="6" t="n">
        <v>45300</v>
      </c>
      <c r="B530" s="1" t="inlineStr">
        <is>
          <t>ORG_1392</t>
        </is>
      </c>
      <c r="C530" s="1" t="b">
        <v>1</v>
      </c>
      <c r="D530" s="1" t="inlineStr">
        <is>
          <t>Easybusiness Wirtschaftstraining online</t>
        </is>
      </c>
      <c r="E530" s="10" t="inlineStr">
        <is>
          <t>https://www.easy-business.cc/e-learning</t>
        </is>
      </c>
      <c r="F530" t="inlineStr">
        <is>
          <t>easy-business.cc/e-learning</t>
        </is>
      </c>
      <c r="G530" s="1" t="inlineStr">
        <is>
          <t>Easybusiness Wirtschaftstraining online has revolutionized the world of business education. It has been on the market for 24 years and is therefore a pioneer of e-learning and blended learning. With over 300,000 learners from hundreds of companies, schools, universities and VET the award-winning e-learning program "Easybusiness" is Europe's most successful learning software on the subject of "business administration". Enthusiastic feedback from all target groups: from students to managers in companies. It´s the official exam preparation program for obtaining the European Business Certificates from EBC*L. Available in 8 languages: German, English, Polish, Italian, Turkish, Hungarian, Slovenian, Czech)</t>
        </is>
      </c>
      <c r="H530" s="1" t="inlineStr">
        <is>
          <t>EdTech Austria</t>
        </is>
      </c>
      <c r="I530" s="1" t="n"/>
      <c r="J530" s="1" t="inlineStr">
        <is>
          <t>Vienna</t>
        </is>
      </c>
      <c r="K530" t="inlineStr">
        <is>
          <t>Vienna</t>
        </is>
      </c>
      <c r="L530" t="inlineStr">
        <is>
          <t>Vienna, Austria</t>
        </is>
      </c>
      <c r="M530" t="n">
        <v>48.2083537</v>
      </c>
      <c r="N530" t="n">
        <v>16.3725042</v>
      </c>
      <c r="O530" s="1" t="inlineStr">
        <is>
          <t>Austria</t>
        </is>
      </c>
      <c r="P530" s="1" t="inlineStr">
        <is>
          <t>Austria, Croatia, Czechia, Germany, Hungary, Italy, Netherlands, Poland, Spain, Switzerland</t>
        </is>
      </c>
      <c r="Q530" s="1" t="inlineStr">
        <is>
          <t>0 to 10</t>
        </is>
      </c>
      <c r="R530" t="inlineStr">
        <is>
          <t>Micro</t>
        </is>
      </c>
      <c r="S530" s="1" t="inlineStr">
        <is>
          <t>Business to Business, Business to Consumer, Business to Government, Business to Schools</t>
        </is>
      </c>
      <c r="T530" s="1" t="inlineStr">
        <is>
          <t>Secondary Education, Higher Education, Corporate Training, Lifelong learning/Adult education</t>
        </is>
      </c>
      <c r="U530" s="1" t="inlineStr">
        <is>
          <t>Student interfacing, Teacher interfacing, System/Administrative</t>
        </is>
      </c>
      <c r="V530" s="1" t="inlineStr">
        <is>
          <t>E-Learning "Business Administration and Management"</t>
        </is>
      </c>
      <c r="W530" s="1" t="inlineStr">
        <is>
          <t>Easybusiness Wirtschaftstraining online has revolutionized the world of business education. It has been on the market for 24 years and is therefore a pioneer of e-learning and blended learning. With over 300,000 learners from hundreds of companies, schools, universities and VET the award-winning e-learning program "Easybusiness" is Europe's most successful learning software on the subject of "business administration". Enthusiastic feedback from all target groups: from students to managers in companies. It´s the official exam preparation program for obtaining the European Business Certificates from EBC*L. Available in 8 languages: German, English, Polish, Italian, Turkish, Hungarian, Slovenian, Czech)</t>
        </is>
      </c>
      <c r="X530" s="1" t="inlineStr">
        <is>
          <t>E-Learning "Commercial English"</t>
        </is>
      </c>
      <c r="Y530" t="inlineStr">
        <is>
          <t>With this learning program, even people without any previous knowledge can acquire the essential business knowledge in English, which is required in international business life: 
Topics: accounting, cost accounting, ratios, business law</t>
        </is>
      </c>
      <c r="Z530" s="1" t="inlineStr">
        <is>
          <t>https://drive.google.com/uc?export=view&amp;id=1uVHtDu1BXSP-1dpNzSWAgVHVF5KwsNKc</t>
        </is>
      </c>
      <c r="AA530" s="1" t="inlineStr">
        <is>
          <t>Unverified</t>
        </is>
      </c>
      <c r="AB530" s="1" t="n"/>
      <c r="AC530" s="1" t="n"/>
      <c r="AD530" s="10" t="n"/>
      <c r="AE530" s="1" t="n"/>
      <c r="AF530" t="inlineStr">
        <is>
          <t>No</t>
        </is>
      </c>
    </row>
    <row r="531" ht="12.5" customHeight="1">
      <c r="A531" s="6" t="n">
        <v>45300</v>
      </c>
      <c r="B531" s="1" t="inlineStr">
        <is>
          <t>ORG_1401</t>
        </is>
      </c>
      <c r="C531" s="1" t="b">
        <v>1</v>
      </c>
      <c r="D531" s="1" t="inlineStr">
        <is>
          <t>Eddler</t>
        </is>
      </c>
      <c r="E531" s="10" t="inlineStr">
        <is>
          <t>https://eddler.se/</t>
        </is>
      </c>
      <c r="F531" t="inlineStr">
        <is>
          <t>eddler.se</t>
        </is>
      </c>
      <c r="G531" s="1" t="inlineStr">
        <is>
          <t>Eddler is a digital learning tool where students learn mathematics, physics and programming. We offer educational videos, in-depth texts and thousands of interactive exercises with complete explanations. The students also gets a personalized learning dashboard that empower learners to study at their own pace and enables a smart way for the teachers to follow the students progress.</t>
        </is>
      </c>
      <c r="H531" s="1" t="inlineStr">
        <is>
          <t>Swedish EdTech Industry</t>
        </is>
      </c>
      <c r="I531" s="1" t="n"/>
      <c r="J531" s="1" t="inlineStr">
        <is>
          <t>Göteborg</t>
        </is>
      </c>
      <c r="K531" t="inlineStr">
        <is>
          <t>Göteborg</t>
        </is>
      </c>
      <c r="L531" t="inlineStr">
        <is>
          <t>Göteborg, Sweden</t>
        </is>
      </c>
      <c r="M531" t="n">
        <v>57.7072326</v>
      </c>
      <c r="N531" t="n">
        <v>11.9670171</v>
      </c>
      <c r="O531" s="1" t="inlineStr">
        <is>
          <t>Sweden</t>
        </is>
      </c>
      <c r="P531" s="1" t="inlineStr">
        <is>
          <t>Sweden</t>
        </is>
      </c>
      <c r="Q531" s="1" t="inlineStr">
        <is>
          <t>0 to 10</t>
        </is>
      </c>
      <c r="R531" t="inlineStr">
        <is>
          <t>Micro</t>
        </is>
      </c>
      <c r="S531" s="1" t="inlineStr">
        <is>
          <t>Business to Business, Business to Consumer, Business to Schools</t>
        </is>
      </c>
      <c r="T531" s="1" t="inlineStr">
        <is>
          <t>Secondary Education</t>
        </is>
      </c>
      <c r="U531" s="1" t="inlineStr">
        <is>
          <t>System/Administrative, Student interfacing, Teacher interfacing</t>
        </is>
      </c>
      <c r="V531" s="10" t="inlineStr">
        <is>
          <t>Eddler</t>
        </is>
      </c>
      <c r="W531" s="10" t="inlineStr">
        <is>
          <t>Eddler is a digital learning tool where students learn mathematics, physics and programming. We offer educational videos, in-depth texts and thousands of interactive exercises with complete explanations. The students also gets a personalized learning dashboard that empower learners to study at their own pace and enables a smart way for the teachers to follow the students progress.</t>
        </is>
      </c>
      <c r="X531" s="10" t="inlineStr">
        <is>
          <t>https://drive.google.com/uc?export=view&amp;id=1XR5dUf6rMlfQfLf228Z71P3lVHcOU_HV</t>
        </is>
      </c>
      <c r="Y531" t="inlineStr">
        <is>
          <t>https://drive.google.com/uc?export=view&amp;id=1XR5dUf6rMlfQfLf228Z71P3lVHcOU_HV</t>
        </is>
      </c>
      <c r="Z531" s="1" t="inlineStr">
        <is>
          <t>https://drive.google.com/uc?export=view&amp;id=1XR5dUf6rMlfQfLf228Z71P3lVHcOU_HV</t>
        </is>
      </c>
      <c r="AA531" s="1" t="inlineStr">
        <is>
          <t>Unverified</t>
        </is>
      </c>
      <c r="AB531" s="1" t="n"/>
      <c r="AC531" s="1" t="n"/>
      <c r="AD531" s="10" t="n"/>
      <c r="AE531" s="1" t="n"/>
      <c r="AF531" s="1" t="inlineStr">
        <is>
          <t>Yes</t>
        </is>
      </c>
      <c r="AG531" s="1" t="inlineStr">
        <is>
          <t>https://www.instagram.com/eddler.se/</t>
        </is>
      </c>
      <c r="AH531" s="1" t="inlineStr">
        <is>
          <t>https://twitter.com/eddler_se</t>
        </is>
      </c>
      <c r="AI531" s="1" t="inlineStr">
        <is>
          <t>https://www.linkedin.com/company/eddler</t>
        </is>
      </c>
      <c r="AJ531" s="1" t="n"/>
    </row>
    <row r="532" ht="12.5" customHeight="1">
      <c r="A532" s="6" t="n">
        <v>45300</v>
      </c>
      <c r="B532" s="1" t="inlineStr">
        <is>
          <t>ORG_1437</t>
        </is>
      </c>
      <c r="C532" s="1" t="b">
        <v>1</v>
      </c>
      <c r="D532" s="1" t="inlineStr">
        <is>
          <t>EDUEXPERT</t>
        </is>
      </c>
      <c r="E532" s="10" t="inlineStr">
        <is>
          <t>https://www.eduexpert.eu/en/</t>
        </is>
      </c>
      <c r="F532" t="inlineStr">
        <is>
          <t>eduexpert.eu/en</t>
        </is>
      </c>
      <c r="G532" s="1" t="inlineStr">
        <is>
          <t>The Eduexpert Sp. z o.o was created by the team of experienced experts from the educational and technological industry. The long-term practice and the knowledge each one of us and the specialization in individual areas, permits us for publishing multimedia educational products - on the educational market: Polish and foreign markets.
Besides we also complementary design advisory, training and technological services and we accomplish them efficiently. Our purpose is to support companies, schools and self-government in all action associated with the education and technologies.
Eduexpert has been implementing educational and training projects since 2010. The company has specialized in the production of high-quality digital educational materials. In recent years, the company has produced several hundred film materials, animations and digital content that meet the WCAG 2.0 standard, special content modules for people with mild and moderate intellectual disabilities. The company successfully implements projects financed from EU subsidies, Norwegian funds, and commissioned by the Ministry of National Education. The company’s team consists of content specialists, graphic designers, programmers, content editors and a wide group of people cooperating in the field of creating modern e-materials used by young people and adults.</t>
        </is>
      </c>
      <c r="H532" s="1" t="inlineStr">
        <is>
          <t>EdTech Poland</t>
        </is>
      </c>
      <c r="I532" s="1" t="n"/>
      <c r="J532" s="1" t="inlineStr">
        <is>
          <t>Toruń</t>
        </is>
      </c>
      <c r="K532" t="inlineStr">
        <is>
          <t>Toruń</t>
        </is>
      </c>
      <c r="L532" t="inlineStr">
        <is>
          <t>Toruń, Poland</t>
        </is>
      </c>
      <c r="M532" t="n">
        <v>53.0102721</v>
      </c>
      <c r="N532" t="n">
        <v>18.6048094</v>
      </c>
      <c r="O532" s="1" t="inlineStr">
        <is>
          <t>Poland</t>
        </is>
      </c>
      <c r="P532" s="1" t="inlineStr">
        <is>
          <t>Germany, Poland, United Kingdom</t>
        </is>
      </c>
      <c r="Q532" s="1" t="inlineStr">
        <is>
          <t>51 to 100</t>
        </is>
      </c>
      <c r="R532" t="inlineStr">
        <is>
          <t>Medium</t>
        </is>
      </c>
      <c r="S532" s="1" t="inlineStr">
        <is>
          <t>Business to Business, Business to Consumer, Business to Schools</t>
        </is>
      </c>
      <c r="T532" s="1" t="inlineStr">
        <is>
          <t>Early childhood development (0-5 years), Primary Education, Secondary Education, Higher Education, Lifelong learning/Adult education</t>
        </is>
      </c>
      <c r="U532" s="1" t="inlineStr">
        <is>
          <t>System/Administrative, Student interfacing, Teacher interfacing</t>
        </is>
      </c>
      <c r="V532" s="10" t="inlineStr">
        <is>
          <t>Science-Lab series. Fascinating human anatomy</t>
        </is>
      </c>
      <c r="W532" s="1" t="inlineStr">
        <is>
          <t>Science-Lab. Fascinating Human Anatomy "is a four-part, multimedia educational product, the purpose of which is to support science in grades 4-8 of primary school and at the higher educational stage. The program includes a package of educational boards, thanks to which the teacher will discuss in detail the structure and functioning of individual organs, as well as films and simulations for use at school or at home. All the prepared materials allow the implementation of the assumptions of the Core Curriculum and the introduction of extended elements for willing, ambitious students or for higher classes.
A professional voice-over has been recorded for all materials in the multimedia program. In addition, the descriptive elements have the option of changing the font size, which allows the product to be used when working with students with Special Educational Needs (SEN).
Science-Lab has been prepared in two language versions - Polish and English, thanks to which the teacher will introduce elements of biology, chemistry and physics in a foreign language. The program can also be used abroad.</t>
        </is>
      </c>
      <c r="X532" s="1" t="inlineStr">
        <is>
          <t>The series "Mathematics completely" - Early school education and</t>
        </is>
      </c>
      <c r="Y532" t="inlineStr">
        <is>
          <t>"Mathematics without the rest" is a three-part multimedia educational product for primary schools, intended for learning mathematics and natural sciences in early school education. It includes a package of exercises, interactions, activities, games and videos for quick and effective use in school activities. The program consists of three parts, corresponding to the thematic scope of grades 1-3 - the whole is adapted to the core curriculum and enables work with students with special educational needs.
Graphics and interactions show real images - unrealistic animations are kept to a minimum. Task commands are text and sound. In addition, the teacher can freely change the language - so as to go through a given task in English and return to the Polish version. The whole thing is designed in such a way that all active elements are within the reach of the child - which is especially important when working at the interactive whiteboard. The teacher has many opportunities to work with the program. Inspirations can be found in the guides and scenarios for games and activities that come with the products.
The main characters of "Mathematics completely" are real - they have their problems, passions, dreams. Technology does not have to mean unreal - we have created a connection between technology and everyday life.</t>
        </is>
      </c>
      <c r="Z532" s="1" t="inlineStr">
        <is>
          <t>https://drive.google.com/uc?export=view&amp;id=13LGHuZgC71MGwptj3m8v0z1GNvsmAmPD</t>
        </is>
      </c>
      <c r="AA532" s="1" t="inlineStr">
        <is>
          <t>Unverified</t>
        </is>
      </c>
      <c r="AB532" s="1" t="n"/>
      <c r="AC532" s="1" t="n"/>
      <c r="AD532" s="10" t="n"/>
      <c r="AE532" s="1" t="n"/>
      <c r="AF532" s="1" t="inlineStr">
        <is>
          <t>Yes</t>
        </is>
      </c>
      <c r="AG532" s="1" t="inlineStr">
        <is>
          <t>https://www.instagram.cm/eduexpert.multimedia/</t>
        </is>
      </c>
      <c r="AH532" s="1" t="n"/>
      <c r="AI532" s="1" t="n"/>
      <c r="AJ532" s="1" t="n"/>
    </row>
    <row r="533" ht="12.5" customHeight="1">
      <c r="A533" s="6" t="n">
        <v>45300</v>
      </c>
      <c r="B533" s="1" t="inlineStr">
        <is>
          <t>ORG_1517</t>
        </is>
      </c>
      <c r="C533" s="1" t="b">
        <v>1</v>
      </c>
      <c r="D533" s="1" t="inlineStr">
        <is>
          <t>Esybee AB</t>
        </is>
      </c>
      <c r="E533" s="10" t="inlineStr">
        <is>
          <t>https://esybee-com.webnode.se/</t>
        </is>
      </c>
      <c r="F533" t="inlineStr">
        <is>
          <t>esybee-com.webnode.se</t>
        </is>
      </c>
      <c r="G533" s="1" t="inlineStr">
        <is>
          <t>The K-12 Special Education Learning Management System, Esybee, is an educational tool that manages curriculum and individualised instruction to maximise student learning. Esybee design is according to Instructional Design principles and combines with Learning Science, Machine Learning, Neuroscience as Artificial Intelligence technology to facilitate interactive learning environments that support learning. Esybee delivers and provides every child with an excellent education through concrete learning and teaching strategies as personalisation that improves student's "Learning". Esybee means to be "THE" platform where teachers, students and parents meets to discuss their child and student's knowledge, using teaching and learning strategies and Special education that facilitates learning toward inclusive and equitable quality education. Esybee planned to be cost-efficient, quantifiable and reliable. It's reduced administrative costs and instructional support costs.</t>
        </is>
      </c>
      <c r="H533" s="1" t="inlineStr">
        <is>
          <t>Swedish EdTech Industry</t>
        </is>
      </c>
      <c r="I533" s="1" t="n"/>
      <c r="J533" s="1" t="inlineStr">
        <is>
          <t>Lidingö</t>
        </is>
      </c>
      <c r="K533" t="inlineStr">
        <is>
          <t>Lidingö</t>
        </is>
      </c>
      <c r="L533" t="inlineStr">
        <is>
          <t>Lidingö, Sweden</t>
        </is>
      </c>
      <c r="M533" t="n">
        <v>59.3643382</v>
      </c>
      <c r="N533" t="n">
        <v>18.1317263</v>
      </c>
      <c r="O533" s="1" t="inlineStr">
        <is>
          <t>Sweden</t>
        </is>
      </c>
      <c r="P533" s="1" t="inlineStr">
        <is>
          <t>Sweden</t>
        </is>
      </c>
      <c r="Q533" s="1" t="inlineStr">
        <is>
          <t>0 to 10</t>
        </is>
      </c>
      <c r="R533" t="inlineStr">
        <is>
          <t>Micro</t>
        </is>
      </c>
      <c r="S533" s="1" t="inlineStr">
        <is>
          <t>Business to Business, Business to Government</t>
        </is>
      </c>
      <c r="T533" s="1" t="inlineStr">
        <is>
          <t>Early childhood development (0-5 years), Primary Education, Secondary Education, Higher Education</t>
        </is>
      </c>
      <c r="U533" s="1" t="inlineStr">
        <is>
          <t>System/Administrative, Student interfacing, Teacher interfacing</t>
        </is>
      </c>
      <c r="V533" s="1" t="inlineStr">
        <is>
          <t>Esybee AB</t>
        </is>
      </c>
      <c r="W533" s="1" t="inlineStr">
        <is>
          <t>Esybee's instructional design is to facilitate learning, make the student engaged and self-direct with digital content. The instructional designer at Esybee understands emerging learning theories as Bloom's taxonomy and constructivism, how they relate to the way students learn in our digitally connected world. The LSM draws up to be easy to use. It addresses all aspects of the IEPs process, manages student's unique educational needs and learning. Esybee controls from the process of referral to evaluation through the eligibility process for the Special Education Program.</t>
        </is>
      </c>
      <c r="X533" s="10" t="inlineStr">
        <is>
          <t>https://drive.google.com/uc?export=view&amp;id=17CCnykQCUeSjmPGxs1VUVHC541kykOY8</t>
        </is>
      </c>
      <c r="Y533" t="inlineStr">
        <is>
          <t>https://drive.google.com/uc?export=view&amp;id=17CCnykQCUeSjmPGxs1VUVHC541kykOY8</t>
        </is>
      </c>
      <c r="Z533" s="1" t="inlineStr">
        <is>
          <t>https://drive.google.com/uc?export=view&amp;id=17CCnykQCUeSjmPGxs1VUVHC541kykOY8</t>
        </is>
      </c>
      <c r="AA533" s="1" t="inlineStr">
        <is>
          <t>Unverified</t>
        </is>
      </c>
      <c r="AB533" s="1" t="n"/>
      <c r="AC533" s="1" t="n"/>
      <c r="AD533" s="10" t="n"/>
      <c r="AE533" s="1" t="n"/>
      <c r="AF533" t="inlineStr">
        <is>
          <t>Yes</t>
        </is>
      </c>
      <c r="AG533" t="inlineStr">
        <is>
          <t>https://esybee-com.webnode.se/tjanster/</t>
        </is>
      </c>
      <c r="AH533" t="inlineStr">
        <is>
          <t>https://esybee-com.webnode.se/tjanster/</t>
        </is>
      </c>
      <c r="AI533" t="inlineStr">
        <is>
          <t>https://esybee-com.webnode.se/tjanster/</t>
        </is>
      </c>
    </row>
    <row r="534" ht="12.5" customHeight="1">
      <c r="A534" s="6" t="n">
        <v>45300</v>
      </c>
      <c r="B534" s="1" t="inlineStr">
        <is>
          <t>ORG_1546</t>
        </is>
      </c>
      <c r="C534" s="1" t="b">
        <v>1</v>
      </c>
      <c r="D534" s="1" t="inlineStr">
        <is>
          <t>eyeLearn</t>
        </is>
      </c>
      <c r="E534" s="10" t="inlineStr">
        <is>
          <t>https://www.eyeLearn.at</t>
        </is>
      </c>
      <c r="F534" t="inlineStr">
        <is>
          <t>eyelearn.at</t>
        </is>
      </c>
      <c r="G534" s="1" t="inlineStr">
        <is>
          <t>eyeLearn ist eine digitale Lernplattform, welche sich in 2 Bereiche gliedert, den Schul- und den Kursbereich.
Mit unseren Kursen kannst Du dich zu Themen wie, Microsoft Office, ECDL/ICDL, digitalen Tools, beruflichen Themen, Online-Marketing oder sonstigen Themen weiterbilden! Zusätzlich kannst Du dein Wissen bei den jeweiligen Prüfungen unter Beweis stellen, und, bei Erfolg, Dein eyeLearn-Zertifikat für Deinen Lebenslauf abholen!
Für Schüler*innen bietet eyeLearn genau die Inhalte, die sie jetzt gerade in ihrer Schule, ihrem Jahrgang und ihrem Fach lernen oder lernen werden.</t>
        </is>
      </c>
      <c r="H534" s="1" t="inlineStr">
        <is>
          <t>EdTech Austria</t>
        </is>
      </c>
      <c r="I534" s="1" t="inlineStr">
        <is>
          <t>German</t>
        </is>
      </c>
      <c r="J534" s="1" t="inlineStr">
        <is>
          <t>Gmunden</t>
        </is>
      </c>
      <c r="K534" t="inlineStr">
        <is>
          <t>Gmunden</t>
        </is>
      </c>
      <c r="L534" t="inlineStr">
        <is>
          <t>Gmunden, Austria</t>
        </is>
      </c>
      <c r="M534" t="n">
        <v>47.9185855</v>
      </c>
      <c r="N534" t="n">
        <v>13.8003048</v>
      </c>
      <c r="O534" s="1" t="inlineStr">
        <is>
          <t>Austria</t>
        </is>
      </c>
      <c r="P534" s="1" t="inlineStr">
        <is>
          <t>Austria, Germany, Liechtenstein, Switzerland</t>
        </is>
      </c>
      <c r="Q534" s="1" t="inlineStr">
        <is>
          <t>0 to 2</t>
        </is>
      </c>
      <c r="R534" t="inlineStr">
        <is>
          <t>Solo entrepreneur</t>
        </is>
      </c>
      <c r="S534" s="1" t="inlineStr">
        <is>
          <t>Business to Business, Business to Government, Business to Schools</t>
        </is>
      </c>
      <c r="T534" s="1" t="inlineStr">
        <is>
          <t>Primary Education, Secondary Education, Corporate Training, Lifelong learning/Adult education, Vocational Education and Training (VET), Higher Education</t>
        </is>
      </c>
      <c r="U534" s="1" t="inlineStr">
        <is>
          <t>System/Administrative, Student interfacing, Teacher interfacing</t>
        </is>
      </c>
      <c r="V534" s="10" t="inlineStr">
        <is>
          <t>Kursbibliothek</t>
        </is>
      </c>
      <c r="W534" s="1" t="inlineStr">
        <is>
          <t>Mit unseren Kursen kannst Du dich zu Themen wie, Microsoft Office, ECDL/ICDL, digitalen Tools, beruflichen Themen, Online-Marketing oder sonstigen Themen weiterbilden! Zusätzlich kannst Du dein Wissen bei den jeweiligen Prüfungen unter Beweis stellen, und, bei Erfolg, Dein eyeLearn-Zertifikat für Deinen Lebenslauf abholen!</t>
        </is>
      </c>
      <c r="X534" s="10" t="inlineStr">
        <is>
          <t>Schulbereich</t>
        </is>
      </c>
      <c r="Y534" t="inlineStr">
        <is>
          <t>Für Schüler*innen bietet eyeLearn genau die Inhalte, die sie jetzt gerade in ihrer Schule, ihrem Jahrgang und ihrem Fach lernen oder lernen werden.</t>
        </is>
      </c>
      <c r="Z534" s="1" t="inlineStr">
        <is>
          <t>https://drive.google.com/uc?export=view&amp;id=1dbiTReU4JCwGtk6ShEyY4vDzcr8HXiYC</t>
        </is>
      </c>
      <c r="AA534" s="1" t="inlineStr">
        <is>
          <t>Unverified</t>
        </is>
      </c>
      <c r="AB534" s="1" t="n"/>
      <c r="AC534" s="1" t="n"/>
      <c r="AD534" s="10" t="n"/>
      <c r="AE534" s="1" t="n"/>
      <c r="AF534" t="inlineStr">
        <is>
          <t>Yes</t>
        </is>
      </c>
      <c r="AG534" t="inlineStr">
        <is>
          <t>https://www.instagram.com/eyelearn_/</t>
        </is>
      </c>
      <c r="AH534" t="inlineStr">
        <is>
          <t>https://www.linkedin.com/company/eyelearn-gmbh/</t>
        </is>
      </c>
      <c r="AI534" t="inlineStr">
        <is>
          <t>https://www.linkedin.com/company/eyelearn-gmbh/</t>
        </is>
      </c>
    </row>
    <row r="535" ht="12.5" customHeight="1">
      <c r="A535" s="6" t="n">
        <v>45300</v>
      </c>
      <c r="B535" s="1" t="inlineStr">
        <is>
          <t>ORG_1711</t>
        </is>
      </c>
      <c r="C535" s="1" t="b">
        <v>1</v>
      </c>
      <c r="D535" s="1" t="inlineStr">
        <is>
          <t>ILT Education</t>
        </is>
      </c>
      <c r="E535" s="10" t="inlineStr">
        <is>
          <t>www.ilteducation.fi</t>
        </is>
      </c>
      <c r="F535" t="inlineStr">
        <is>
          <t>ilteducation.fi</t>
        </is>
      </c>
      <c r="G535" s="1" t="inlineStr">
        <is>
          <t>Every child has an equal opportunity to learn. ILT Education provides digital, multilingual pedagogical solutions for linguistic development from early childhood education.
Lukulumo supports emergent literacy development in classrooms and daycares. As kids learn to read and write, they need a diverse range of engaging and challenging books at their fingertips. In Lukulumo and Lukulumo school versions we have over 1000 digital books for different aged kids and in 59 languages. You can read, listen and watch the pictures. Choose from a large virtual library of picture, factual, fiction, and non-fiction books that can be read aloud in Finnish and a growing collection of books read aloud in dozens of different languages. 
Manabua - our digital multimediatool provides information in three different formats: short and clear videos that explain key concepts in the subjects, lists of topics that support learning, and a quiz to check if what you have learned has been memorized. Manabua’s audiovisual learning environment supports every learner at school. Manabua videos and playlists are available in several languages. The material according to the Finnish curriculum is aimed at grades 3-9 of basic education.</t>
        </is>
      </c>
      <c r="H535" s="1" t="inlineStr">
        <is>
          <t>EdTech Finland</t>
        </is>
      </c>
      <c r="I535" s="1" t="n"/>
      <c r="J535" s="1" t="inlineStr">
        <is>
          <t>Helsinki</t>
        </is>
      </c>
      <c r="K535" t="inlineStr">
        <is>
          <t>Helsinki</t>
        </is>
      </c>
      <c r="L535" t="inlineStr">
        <is>
          <t>Helsinki, Finland</t>
        </is>
      </c>
      <c r="M535" t="n">
        <v>60.1666204</v>
      </c>
      <c r="N535" t="n">
        <v>24.9435408</v>
      </c>
      <c r="O535" s="1" t="inlineStr">
        <is>
          <t>Finland</t>
        </is>
      </c>
      <c r="P535" s="1" t="inlineStr">
        <is>
          <t>Finland, France, Germany, Norway, Sweden, United Kingdom</t>
        </is>
      </c>
      <c r="Q535" s="1" t="inlineStr">
        <is>
          <t>51 to 100</t>
        </is>
      </c>
      <c r="R535" t="inlineStr">
        <is>
          <t>Medium</t>
        </is>
      </c>
      <c r="S535" s="1" t="inlineStr">
        <is>
          <t>Business to Business, Business to Government, Business to Schools</t>
        </is>
      </c>
      <c r="T535" s="1" t="inlineStr">
        <is>
          <t>Early childhood development (0-5 years), Primary Education, Secondary Education, Lifelong learning/Adult education</t>
        </is>
      </c>
      <c r="U535" s="1" t="inlineStr">
        <is>
          <t>System/Administrative, Teacher interfacing, Student interfacing</t>
        </is>
      </c>
      <c r="V535" s="10" t="inlineStr">
        <is>
          <t>Lukulumo</t>
        </is>
      </c>
      <c r="W535" s="1" t="inlineStr">
        <is>
          <t>Lukulumo supports emergent literacy development in classrooms and daycares. As kids learn to read and write, they need a diverse range of engaging and challenging books at their fingertips. In Lukulumo and Lukulumo school versions we have over 1000 digital books for different aged kids and in 59 languages. You can read, listen and watch the pictures. Choose from a large virtual library of picture, factual, fiction, and non-fiction books that can be read aloud in Finnish and a growing collection of books read aloud in dozens of different languages.</t>
        </is>
      </c>
      <c r="X535" s="10" t="inlineStr">
        <is>
          <t>Lukulumo school</t>
        </is>
      </c>
      <c r="Y535" t="inlineStr">
        <is>
          <t>Lukulumo supports emergent literacy development in classrooms and daycares. As kids learn to read and write, they need a diverse range of engaging and challenging books at their fingertips. In Lukulumo and Lukulumo school versions we have over 1000 digital books for different aged kids and in 59 languages. You can read, listen and watch the pictures. Choose from a large virtual library of picture, factual, fiction, and non-fiction books that can be read aloud in Finnish and a growing collection of books read aloud in dozens of different languages.</t>
        </is>
      </c>
      <c r="Z535" s="1" t="inlineStr">
        <is>
          <t>https://drive.google.com/uc?export=view&amp;id=1xkGMVb2gJSombO-gnmK8YfqsvL9vFeAq</t>
        </is>
      </c>
      <c r="AA535" s="1" t="inlineStr">
        <is>
          <t>Unverified</t>
        </is>
      </c>
      <c r="AB535" s="1" t="n"/>
      <c r="AC535" s="1" t="n"/>
      <c r="AD535" s="10" t="n"/>
      <c r="AE535" s="1" t="n"/>
      <c r="AF535" t="inlineStr">
        <is>
          <t>Yes</t>
        </is>
      </c>
      <c r="AG535" t="inlineStr">
        <is>
          <t>https://www.instagram.com/lukulumo</t>
        </is>
      </c>
      <c r="AH535" t="inlineStr">
        <is>
          <t>https://www.linkedin.com/company/ilt-education-finland</t>
        </is>
      </c>
      <c r="AI535" t="inlineStr">
        <is>
          <t>https://www.linkedin.com/company/ilt-education-finland</t>
        </is>
      </c>
    </row>
    <row r="536" ht="12.5" customHeight="1">
      <c r="A536" s="6" t="n">
        <v>45300</v>
      </c>
      <c r="B536" s="1" t="inlineStr">
        <is>
          <t>ORG_1892</t>
        </is>
      </c>
      <c r="C536" s="1" t="b">
        <v>1</v>
      </c>
      <c r="D536" s="1" t="inlineStr">
        <is>
          <t>Loru Games</t>
        </is>
      </c>
      <c r="E536" s="10" t="inlineStr">
        <is>
          <t>Lorugames.com</t>
        </is>
      </c>
      <c r="F536" t="inlineStr">
        <is>
          <t>lorugames.com</t>
        </is>
      </c>
      <c r="G536" s="1" t="inlineStr">
        <is>
          <t>We take Quiz games to next level. In our Quiz system teachers created questions are transferred into fun games that feel, look, sound and play like real mobile hit games!</t>
        </is>
      </c>
      <c r="H536" s="1" t="inlineStr">
        <is>
          <t>EdTech Finland</t>
        </is>
      </c>
      <c r="I536" s="1" t="n"/>
      <c r="J536" s="1" t="inlineStr">
        <is>
          <t>Kerava</t>
        </is>
      </c>
      <c r="K536" t="inlineStr">
        <is>
          <t>Kerava</t>
        </is>
      </c>
      <c r="L536" t="inlineStr">
        <is>
          <t>Kerava, Finland</t>
        </is>
      </c>
      <c r="M536" t="n">
        <v>60.4032242</v>
      </c>
      <c r="N536" t="n">
        <v>25.1011768</v>
      </c>
      <c r="O536" s="1" t="inlineStr">
        <is>
          <t>Finland</t>
        </is>
      </c>
      <c r="P536" s="1" t="inlineStr">
        <is>
          <t>Finland</t>
        </is>
      </c>
      <c r="Q536" s="1" t="inlineStr">
        <is>
          <t>0 to 10</t>
        </is>
      </c>
      <c r="R536" t="inlineStr">
        <is>
          <t>Micro</t>
        </is>
      </c>
      <c r="S536" s="1" t="inlineStr">
        <is>
          <t>Business to Business, Business to Government, Business to Schools</t>
        </is>
      </c>
      <c r="T536" s="1" t="inlineStr">
        <is>
          <t>Primary Education, Secondary Education</t>
        </is>
      </c>
      <c r="U536" s="1" t="inlineStr">
        <is>
          <t>Student interfacing, Teacher interfacing</t>
        </is>
      </c>
      <c r="V536" s="1" t="inlineStr">
        <is>
          <t>Lorugames.com</t>
        </is>
      </c>
      <c r="W536" s="10" t="inlineStr">
        <is>
          <t>Quiz games on next level. In our Quiz system teachers created questions are transferred into fun games that feel, look, sound and play like real mobile hit games!</t>
        </is>
      </c>
      <c r="X536" s="10" t="inlineStr">
        <is>
          <t>https://drive.google.com/uc?export=view&amp;id=1UsT7BsuNK_lkLbuD4cqVaYQJwHP_OvE2</t>
        </is>
      </c>
      <c r="Y536" t="inlineStr">
        <is>
          <t>https://drive.google.com/uc?export=view&amp;id=1UsT7BsuNK_lkLbuD4cqVaYQJwHP_OvE2</t>
        </is>
      </c>
      <c r="Z536" s="10" t="inlineStr">
        <is>
          <t>https://drive.google.com/uc?export=view&amp;id=1UsT7BsuNK_lkLbuD4cqVaYQJwHP_OvE2</t>
        </is>
      </c>
      <c r="AA536" s="1" t="inlineStr">
        <is>
          <t>Unverified</t>
        </is>
      </c>
      <c r="AB536" s="1" t="n"/>
      <c r="AC536" s="1" t="n"/>
      <c r="AD536" s="10" t="n"/>
      <c r="AE536" s="1" t="n"/>
      <c r="AF536" t="inlineStr">
        <is>
          <t>Yes</t>
        </is>
      </c>
      <c r="AG536" t="inlineStr">
        <is>
          <t>Loru Games</t>
        </is>
      </c>
      <c r="AH536" t="inlineStr">
        <is>
          <t>https://twitter.com/LoruGames?t=w52r4VkuFOBgaRazzl0GvQ&amp;s=09</t>
        </is>
      </c>
      <c r="AI536" t="inlineStr">
        <is>
          <t>https://www.linkedin.com/company/lorugames/</t>
        </is>
      </c>
    </row>
    <row r="537" ht="12.5" customHeight="1">
      <c r="A537" s="6" t="n">
        <v>45300</v>
      </c>
      <c r="B537" s="1" t="inlineStr">
        <is>
          <t>ORG_2034</t>
        </is>
      </c>
      <c r="C537" s="1" t="b">
        <v>1</v>
      </c>
      <c r="D537" s="1" t="inlineStr">
        <is>
          <t>Next Learning Valley</t>
        </is>
      </c>
      <c r="E537" s="10" t="inlineStr">
        <is>
          <t>https://nextlearningvalley.com/</t>
        </is>
      </c>
      <c r="F537" t="inlineStr">
        <is>
          <t>nextlearningvalley.com</t>
        </is>
      </c>
      <c r="G537" s="1" t="inlineStr">
        <is>
          <t>We are an educational implementation partner in the Netherlands and Belgium of innovative learning technology. We support organisations in setting up a complete Learning Suite, which includes StreamLXP, LearningLocker and Waves.</t>
        </is>
      </c>
      <c r="H537" s="1" t="inlineStr">
        <is>
          <t>Dutch EdTech</t>
        </is>
      </c>
      <c r="I537" s="1" t="n"/>
      <c r="J537" s="1" t="inlineStr">
        <is>
          <t>Uden</t>
        </is>
      </c>
      <c r="K537" t="inlineStr">
        <is>
          <t>Uden</t>
        </is>
      </c>
      <c r="L537" t="inlineStr">
        <is>
          <t>Uden, The Netherlands</t>
        </is>
      </c>
      <c r="M537" t="n">
        <v>51.6691251</v>
      </c>
      <c r="N537" t="n">
        <v>5.6123624</v>
      </c>
      <c r="O537" s="1" t="inlineStr">
        <is>
          <t>The Netherlands</t>
        </is>
      </c>
      <c r="P537" s="1" t="inlineStr">
        <is>
          <t>Belgium, Netherlands</t>
        </is>
      </c>
      <c r="Q537" s="1" t="inlineStr">
        <is>
          <t>0 to 10</t>
        </is>
      </c>
      <c r="R537" t="inlineStr">
        <is>
          <t>Micro</t>
        </is>
      </c>
      <c r="S537" s="1" t="inlineStr">
        <is>
          <t>Business to Business, Business to Government, Business to Schools</t>
        </is>
      </c>
      <c r="T537" s="1" t="inlineStr">
        <is>
          <t>Corporate Training, Lifelong learning/Adult education</t>
        </is>
      </c>
      <c r="U537" s="1" t="inlineStr">
        <is>
          <t>Student interfacing, System/Administrative</t>
        </is>
      </c>
      <c r="V537" s="10" t="inlineStr">
        <is>
          <t>StreamLXP</t>
        </is>
      </c>
      <c r="W537" s="10" t="inlineStr">
        <is>
          <t>StreamLXP is our most comprehensive learning experience platform, used by global companies to develop exceptional employees with remarkable efficiency.</t>
        </is>
      </c>
      <c r="X537" s="10" t="inlineStr">
        <is>
          <t>Learning Locker LRS</t>
        </is>
      </c>
      <c r="Y537" t="inlineStr">
        <is>
          <t>Rightsized for your needs and supported by expert services, our Learning Record Store offers the infrastructure for implementing enterprise data architecture at scale.</t>
        </is>
      </c>
      <c r="Z537" s="1" t="inlineStr">
        <is>
          <t>https://drive.google.com/uc?export=view&amp;id=1GJHQwc08-diCyzMa7B_7CMFNGc1_IOiE</t>
        </is>
      </c>
      <c r="AA537" s="1" t="inlineStr">
        <is>
          <t>Unverified</t>
        </is>
      </c>
      <c r="AB537" s="1" t="n"/>
      <c r="AC537" s="1" t="n"/>
      <c r="AD537" s="10" t="n"/>
      <c r="AE537" s="1" t="n"/>
      <c r="AF537" t="inlineStr">
        <is>
          <t>Yes</t>
        </is>
      </c>
      <c r="AG537" t="inlineStr">
        <is>
          <t>https://www.instagram.com/nextlearningvalley/</t>
        </is>
      </c>
      <c r="AH537" t="inlineStr">
        <is>
          <t>https://twitter.com/NLV_LXP</t>
        </is>
      </c>
      <c r="AI537" t="inlineStr">
        <is>
          <t>https://www.linkedin.com/company/nextlearningvalley/?viewAsMember=true</t>
        </is>
      </c>
    </row>
    <row r="538" ht="12.5" customHeight="1">
      <c r="A538" s="6" t="n">
        <v>45300</v>
      </c>
      <c r="B538" s="1" t="inlineStr">
        <is>
          <t>ORG_2178</t>
        </is>
      </c>
      <c r="C538" s="1" t="b">
        <v>1</v>
      </c>
      <c r="D538" s="1" t="inlineStr">
        <is>
          <t>Researchista</t>
        </is>
      </c>
      <c r="E538" s="10" t="inlineStr">
        <is>
          <t>www.mobility-era.com</t>
        </is>
      </c>
      <c r="F538" t="inlineStr">
        <is>
          <t>mobility-era.com</t>
        </is>
      </c>
      <c r="G538" s="1" t="inlineStr">
        <is>
          <t>Researchista is a web platform that supports the use of research powered tools to improve the quality of life in an era of fake news. We support researchers with integration on the labour market by inspiring them to pursue a parallel career in private sector.
Mobility Era Game is an educational game inspired from a PhD thesis that equips for adult life and is the 1st proof that a valuable content can be transformed from highly technical and complex research studies into something light and easy to use, such as a game.</t>
        </is>
      </c>
      <c r="H538" s="1" t="inlineStr">
        <is>
          <t>Dutch EdTech</t>
        </is>
      </c>
      <c r="I538" s="1" t="n"/>
      <c r="J538" s="1" t="inlineStr">
        <is>
          <t>Amsterdam</t>
        </is>
      </c>
      <c r="K538" t="inlineStr">
        <is>
          <t>Amsterdam</t>
        </is>
      </c>
      <c r="L538" t="inlineStr">
        <is>
          <t>Amsterdam, The Netherlands</t>
        </is>
      </c>
      <c r="M538" t="n">
        <v>52.3701984</v>
      </c>
      <c r="N538" t="n">
        <v>4.892168</v>
      </c>
      <c r="O538" s="1" t="inlineStr">
        <is>
          <t>The Netherlands</t>
        </is>
      </c>
      <c r="P538" s="1" t="inlineStr">
        <is>
          <t>Albania, Andorra, Armenia, Austria, Belgium, Bulgaria, Croatia, Cyprus, Czechia, Denmark, Estonia, Finland, France, Germany, Greece, Hungary, Ireland, Italy, Kosovo, Latvia, Liechtenstein, Lithuania, Luxembourg, Malta, Moldova, Monaco, Netherlands, Norway, Poland, Portugal, Romania, San Marino, Serbia, Slovakia, Slovenia, Spain, Sweden, Switzerland, Turkey, United Kingdom</t>
        </is>
      </c>
      <c r="Q538" s="1" t="inlineStr">
        <is>
          <t>0 to 10</t>
        </is>
      </c>
      <c r="R538" t="inlineStr">
        <is>
          <t>Micro</t>
        </is>
      </c>
      <c r="S538" s="1" t="inlineStr">
        <is>
          <t>Business to Consumer, Business to Government, Business to Schools</t>
        </is>
      </c>
      <c r="T538" s="1" t="inlineStr">
        <is>
          <t>Secondary Education, Higher Education, Corporate Training</t>
        </is>
      </c>
      <c r="U538" s="1" t="inlineStr">
        <is>
          <t>System/Administrative, Student interfacing, Teacher interfacing</t>
        </is>
      </c>
      <c r="V538" s="1" t="inlineStr">
        <is>
          <t>Mobility Era Game BOARD GAME</t>
        </is>
      </c>
      <c r="W538" s="1" t="inlineStr">
        <is>
          <t>Financial literacy becoming increasingly important. Mobility Era Game is #1 board game on fiscal education in Europe, endorsed by the European Commission and Forbes Council.
The aim of the game is to accumulate Happy Points (HaPs). “Money can’t buy happiness”, but you can certainly invest in your health (HePs)! 
The game is based on most recent statistics and is a fun type of trivia game about living conditions in 42 European countries, suitable for adults and children alike. 
The countries selected below are selected below. By doing that we hope to incentivize countries that are involved in the game to get to know more about this unique educational game and the possibilities it can offer in schools and universities. Have fun!
www.mobility-era.com</t>
        </is>
      </c>
      <c r="X538" s="10" t="inlineStr">
        <is>
          <t>Mobility Era Game APP</t>
        </is>
      </c>
      <c r="Y538" t="inlineStr">
        <is>
          <t>Mobility Era Game app consists of a journey on a board that starts 11 and ends at 99 years old. As the journey advances, the player advances in life and gets to work in different countries, receives income and pays taxes accordingly. 
The game is now available for download in Apple Store and Google Play. 
This institutional demo illustrates to schools and interested organizations in promoting fiscal awareness how this can be done effortless. 
Give it a try!
www.mobility-era.com</t>
        </is>
      </c>
      <c r="Z538" s="1" t="inlineStr">
        <is>
          <t>https://drive.google.com/uc?export=view&amp;id=1Niqqpgvch3XNceic8tK78qMpmbgFYfcb</t>
        </is>
      </c>
      <c r="AA538" s="1" t="inlineStr">
        <is>
          <t>Unverified</t>
        </is>
      </c>
      <c r="AB538" s="1" t="n"/>
      <c r="AC538" s="1" t="n"/>
      <c r="AD538" s="10" t="n"/>
      <c r="AE538" s="1" t="n"/>
      <c r="AF538" t="inlineStr">
        <is>
          <t>Yes</t>
        </is>
      </c>
      <c r="AG538" t="inlineStr">
        <is>
          <t>_mobilityeragame_</t>
        </is>
      </c>
      <c r="AH538" t="inlineStr">
        <is>
          <t>mobilityeragame</t>
        </is>
      </c>
      <c r="AI538" t="inlineStr">
        <is>
          <t>https://www.linkedin.com/groups/13758292/</t>
        </is>
      </c>
    </row>
    <row r="539" ht="12.5" customHeight="1">
      <c r="A539" s="6" t="n">
        <v>45300</v>
      </c>
      <c r="B539" s="1" t="inlineStr">
        <is>
          <t>ORG_2212</t>
        </is>
      </c>
      <c r="C539" s="1" t="b">
        <v>1</v>
      </c>
      <c r="D539" s="1" t="inlineStr">
        <is>
          <t>SchoolSoft</t>
        </is>
      </c>
      <c r="E539" s="10" t="inlineStr">
        <is>
          <t>www.schoolsoft.se</t>
        </is>
      </c>
      <c r="F539" t="inlineStr">
        <is>
          <t>schoolsoft.se</t>
        </is>
      </c>
      <c r="G539" s="1" t="inlineStr">
        <is>
          <t>We are an Edtech company that provides three products; LMS, SIS and a scheduling system</t>
        </is>
      </c>
      <c r="H539" s="1" t="inlineStr">
        <is>
          <t>Swedish EdTech Industry</t>
        </is>
      </c>
      <c r="I539" s="1" t="n"/>
      <c r="J539" s="1" t="inlineStr">
        <is>
          <t>Stockholm</t>
        </is>
      </c>
      <c r="K539" t="inlineStr">
        <is>
          <t>Stockholm</t>
        </is>
      </c>
      <c r="L539" t="inlineStr">
        <is>
          <t>Stockholm, Sweden</t>
        </is>
      </c>
      <c r="M539" t="n">
        <v>59.3251172</v>
      </c>
      <c r="N539" t="n">
        <v>18.0710935</v>
      </c>
      <c r="O539" s="1" t="inlineStr">
        <is>
          <t>Sweden</t>
        </is>
      </c>
      <c r="P539" s="1" t="inlineStr">
        <is>
          <t>Sweden</t>
        </is>
      </c>
      <c r="Q539" s="1" t="inlineStr">
        <is>
          <t>11 to 50</t>
        </is>
      </c>
      <c r="R539" t="inlineStr">
        <is>
          <t>Small</t>
        </is>
      </c>
      <c r="S539" s="1" t="inlineStr">
        <is>
          <t>Business to Consumer, Business to Schools</t>
        </is>
      </c>
      <c r="T539" s="1" t="inlineStr">
        <is>
          <t>Early childhood development (0-5 years), Primary Education, Secondary Education</t>
        </is>
      </c>
      <c r="U539" s="1" t="inlineStr">
        <is>
          <t>System/Administrative, Student interfacing, Teacher interfacing</t>
        </is>
      </c>
      <c r="V539" s="1" t="inlineStr">
        <is>
          <t>SchoolSoft LMS</t>
        </is>
      </c>
      <c r="W539" s="1" t="inlineStr">
        <is>
          <t>SchoolSoft LMS is a sofware where teachers from pre-school to high school, can plan, evaluate and grade their students' work. It is also used to communicate with parents and pupils regarding all aspects of school life. The software can be integrated with several other platforms such as Google Classroom and Microsoft Teams in order to create a seamless user experience.</t>
        </is>
      </c>
      <c r="X539" s="1" t="inlineStr">
        <is>
          <t>SchoolSoft SIS</t>
        </is>
      </c>
      <c r="Y539" t="inlineStr">
        <is>
          <t>SchoolSoft SIS is a software where a school or a municipality registers all their students. It is used for handling school placement, grading, communication with different authorities and data for billing.</t>
        </is>
      </c>
      <c r="Z539" s="1" t="inlineStr">
        <is>
          <t>https://drive.google.com/uc?export=view&amp;id=1rL1Ls6V_WKVsDoDs9Vcy2xIkeokNhDPU</t>
        </is>
      </c>
      <c r="AA539" s="1" t="inlineStr">
        <is>
          <t>Unverified</t>
        </is>
      </c>
      <c r="AB539" s="1" t="n"/>
      <c r="AC539" s="1" t="n"/>
      <c r="AD539" s="10" t="n"/>
      <c r="AE539" s="1" t="n"/>
      <c r="AF539" t="inlineStr">
        <is>
          <t>Yes</t>
        </is>
      </c>
      <c r="AI539" t="inlineStr">
        <is>
          <t>schoolsoft</t>
        </is>
      </c>
    </row>
    <row r="540" ht="12.5" customHeight="1">
      <c r="A540" s="6" t="n">
        <v>45300</v>
      </c>
      <c r="B540" s="1" t="inlineStr">
        <is>
          <t>ORG_2463</t>
        </is>
      </c>
      <c r="C540" s="1" t="b">
        <v>1</v>
      </c>
      <c r="D540" s="1" t="inlineStr">
        <is>
          <t>Unikum</t>
        </is>
      </c>
      <c r="E540" s="10" t="inlineStr">
        <is>
          <t>www.unikum.net</t>
        </is>
      </c>
      <c r="F540" t="inlineStr">
        <is>
          <t>unikum.net</t>
        </is>
      </c>
      <c r="G540" s="1" t="inlineStr">
        <is>
          <t>Unikum is the largest school portal in Sweden, with over 1 million paid user accounts and over 5000 school and preschool customers, and growing.
- Used by students, parents and teachers in preschool and K-12
- For collaboration around learning objectives, plans and quality. 
- Built on local curricula - and supporting locally legislated school processes.
- Built to complements Google Workspace and Microsoft Teams</t>
        </is>
      </c>
      <c r="H540" s="1" t="inlineStr">
        <is>
          <t>Swedish EdTech Industry</t>
        </is>
      </c>
      <c r="I540" s="1" t="inlineStr">
        <is>
          <t>Swedish, English, German</t>
        </is>
      </c>
      <c r="J540" s="1" t="inlineStr">
        <is>
          <t>Stockholm</t>
        </is>
      </c>
      <c r="K540" t="inlineStr">
        <is>
          <t>Stockholm</t>
        </is>
      </c>
      <c r="L540" t="inlineStr">
        <is>
          <t>Stockholm, Sweden</t>
        </is>
      </c>
      <c r="M540" t="n">
        <v>59.3251172</v>
      </c>
      <c r="N540" t="n">
        <v>18.0710935</v>
      </c>
      <c r="O540" s="1" t="inlineStr">
        <is>
          <t>Sweden</t>
        </is>
      </c>
      <c r="P540" s="1" t="inlineStr">
        <is>
          <t>Germany, Sweden</t>
        </is>
      </c>
      <c r="Q540" s="1" t="inlineStr">
        <is>
          <t>11 to 50</t>
        </is>
      </c>
      <c r="R540" t="inlineStr">
        <is>
          <t>Small</t>
        </is>
      </c>
      <c r="S540" s="1" t="inlineStr">
        <is>
          <t>Business to Government</t>
        </is>
      </c>
      <c r="T540" s="1" t="inlineStr">
        <is>
          <t>Early childhood development (0-5 years), Primary Education, Secondary Education</t>
        </is>
      </c>
      <c r="U540" s="1" t="inlineStr">
        <is>
          <t>System/Administrative, Student interfacing, Teacher interfacing</t>
        </is>
      </c>
      <c r="V540" s="10" t="inlineStr">
        <is>
          <t>Unikum Preschool</t>
        </is>
      </c>
      <c r="W540" s="10" t="inlineStr">
        <is>
          <t>Unikum Preschool is Swedens favourite preschool learning tool, with 4000 preschools already signed up. Unikum Preschools supports communication and collaboration for staff and parents. 
 - Dialogue between preschool and parents
 - Easy to use documentation of the learning process
 - Great tools for collaboration with follow-up, reflection and analysis</t>
        </is>
      </c>
      <c r="X540" s="10" t="inlineStr">
        <is>
          <t>Unikum Learn Portal</t>
        </is>
      </c>
      <c r="Y540" t="inlineStr">
        <is>
          <t>Unikum Learn Portal is a leading Nordic learning portal, with over 1 million paid users and selected by over 90 cities.</t>
        </is>
      </c>
      <c r="Z540" s="1" t="inlineStr">
        <is>
          <t>https://drive.google.com/uc?export=view&amp;id=1ijaM9pYTlWQEKOkjFkGReJj_Ck09yKq1</t>
        </is>
      </c>
      <c r="AA540" s="1" t="inlineStr">
        <is>
          <t>Unverified</t>
        </is>
      </c>
      <c r="AB540" s="1" t="n"/>
      <c r="AC540" s="1" t="n"/>
      <c r="AD540" s="10" t="n"/>
      <c r="AE540" s="1" t="n"/>
      <c r="AF540" t="inlineStr">
        <is>
          <t>Yes</t>
        </is>
      </c>
      <c r="AG540" t="inlineStr">
        <is>
          <t>https://www.instagram.com/unikum_net/</t>
        </is>
      </c>
      <c r="AH540" t="inlineStr">
        <is>
          <t>https://twitter.com/unikum_net</t>
        </is>
      </c>
      <c r="AI540" t="inlineStr">
        <is>
          <t>https://www.linkedin.com/company/unikum-%E2%80%93-unikt-l%C3%A4rande-f%C3%B6r-unika-barn/</t>
        </is>
      </c>
    </row>
    <row r="541" ht="12.5" customHeight="1">
      <c r="A541" s="6" t="n">
        <v>45300</v>
      </c>
      <c r="B541" s="1" t="inlineStr">
        <is>
          <t>ORG_2509</t>
        </is>
      </c>
      <c r="C541" s="1" t="b">
        <v>1</v>
      </c>
      <c r="D541" s="1" t="inlineStr">
        <is>
          <t>Vorsen - Smart Education</t>
        </is>
      </c>
      <c r="E541" s="10" t="inlineStr">
        <is>
          <t>www.vorsen.nl</t>
        </is>
      </c>
      <c r="F541" t="inlineStr">
        <is>
          <t>vorsen.nl</t>
        </is>
      </c>
      <c r="G541" s="1" t="inlineStr">
        <is>
          <t>Vorsen believes that change is as unique to the education sector as the dedication of the people working in it. And you should embrace what’s part of you. When it comes to IT, this can be challenging.
An educational institution just simply isn’t a software expert. We are, and that’s exactly where we can help. Working closely with the educational institution, we structure their IT in such a way that they’re equipped for the future, today. And that ultimately results in better education.</t>
        </is>
      </c>
      <c r="H541" s="1" t="inlineStr">
        <is>
          <t>Dutch EdTech</t>
        </is>
      </c>
      <c r="I541" s="1" t="n"/>
      <c r="J541" s="1" t="inlineStr">
        <is>
          <t>Zoetermeer</t>
        </is>
      </c>
      <c r="K541" t="inlineStr">
        <is>
          <t>Zoetermeer</t>
        </is>
      </c>
      <c r="L541" t="inlineStr">
        <is>
          <t>Zoetermeer, The Netherlands</t>
        </is>
      </c>
      <c r="M541" t="n">
        <v>52.0625946</v>
      </c>
      <c r="N541" t="n">
        <v>4.4032305</v>
      </c>
      <c r="O541" s="1" t="inlineStr">
        <is>
          <t>The Netherlands</t>
        </is>
      </c>
      <c r="P541" s="1" t="inlineStr">
        <is>
          <t>Belgium, Denmark, France, Germany, Iceland, Luxembourg, Netherlands, Norway, Sweden, United Kingdom</t>
        </is>
      </c>
      <c r="Q541" s="1" t="inlineStr">
        <is>
          <t>0 to 10</t>
        </is>
      </c>
      <c r="R541" t="inlineStr">
        <is>
          <t>Micro</t>
        </is>
      </c>
      <c r="S541" s="1" t="inlineStr">
        <is>
          <t>Business to Government, Business to Schools</t>
        </is>
      </c>
      <c r="T541" s="1" t="inlineStr">
        <is>
          <t>Higher Education, Lifelong learning/Adult education</t>
        </is>
      </c>
      <c r="U541" s="1" t="inlineStr">
        <is>
          <t>Student interfacing, Teacher interfacing, System/Administrative</t>
        </is>
      </c>
      <c r="V541" s="1" t="inlineStr">
        <is>
          <t>AscMe - Curriculum Management</t>
        </is>
      </c>
      <c r="W541" s="1" t="inlineStr">
        <is>
          <t>Building educational programs can at times be complex. There are many stakeholders, the curriculum often changes and then there are the additional topics such as cost accounting and deployment. Our AscMe-application enables you to quickly and easily establish or adapt the curriculum. There is no need to start from scratch every year, but you can (where possible) simply carry over old modules, create new ones and this way easily set everything up.</t>
        </is>
      </c>
      <c r="X541" s="10" t="inlineStr">
        <is>
          <t>DiCE - Digital Evaluations</t>
        </is>
      </c>
      <c r="Y541" t="inlineStr">
        <is>
          <t>The main requirement for improving any organization is collecting feedback in a good way. Also for you as an educational institution. It is essential to have insight into what works, what should be improved and what is going on in the minds of employees and students. Exactly what we support you in with DiCE: a smart digital tool that helps to retrieve course evaluations and provides insight into processes</t>
        </is>
      </c>
      <c r="Z541" s="1" t="inlineStr">
        <is>
          <t>https://drive.google.com/uc?export=view&amp;id=1edyYlGP2wRu5pDxNTi14g4za5UVWVS2y</t>
        </is>
      </c>
      <c r="AA541" s="1" t="inlineStr">
        <is>
          <t>Unverified</t>
        </is>
      </c>
      <c r="AB541" s="1" t="n"/>
      <c r="AC541" s="1" t="n"/>
      <c r="AD541" s="10" t="n"/>
      <c r="AE541" s="1" t="n"/>
      <c r="AF541" s="1" t="inlineStr">
        <is>
          <t>Yes</t>
        </is>
      </c>
      <c r="AG541" s="1" t="inlineStr">
        <is>
          <t>https://www.linkedin.com/company/vorsen</t>
        </is>
      </c>
      <c r="AH541" s="1" t="inlineStr">
        <is>
          <t>https://www.linkedin.com/company/vorsen</t>
        </is>
      </c>
      <c r="AI541" t="inlineStr">
        <is>
          <t>https://www.linkedin.com/company/vorsen</t>
        </is>
      </c>
    </row>
    <row r="542" ht="12.5" customHeight="1">
      <c r="A542" s="6" t="n">
        <v>45300</v>
      </c>
      <c r="B542" s="1" t="inlineStr">
        <is>
          <t>ORG_2272</t>
        </is>
      </c>
      <c r="C542" s="1" t="b">
        <v>1</v>
      </c>
      <c r="D542" s="1" t="inlineStr">
        <is>
          <t>Skriware</t>
        </is>
      </c>
      <c r="E542" s="10" t="inlineStr">
        <is>
          <t>https://skriware.com/</t>
        </is>
      </c>
      <c r="F542" t="inlineStr">
        <is>
          <t>skriware.com</t>
        </is>
      </c>
      <c r="G542" s="1" t="inlineStr">
        <is>
          <t>Skriware is a producer of SkriLab - complex, STEAM educational laboratory based on 3D print, robotics and programming. SkriLab is a perfect mix of software and hardware that helps children develop skills relevant on the future job market, taking care of teachers' competences at the same time.</t>
        </is>
      </c>
      <c r="H542" s="1" t="inlineStr">
        <is>
          <t>EdTech Poland</t>
        </is>
      </c>
      <c r="I542" s="1" t="n"/>
      <c r="J542" s="1" t="inlineStr">
        <is>
          <t>Warszawa</t>
        </is>
      </c>
      <c r="K542" t="inlineStr">
        <is>
          <t>Warszawa</t>
        </is>
      </c>
      <c r="L542" t="inlineStr">
        <is>
          <t>Warszawa, Poland</t>
        </is>
      </c>
      <c r="M542" t="n">
        <v>52.2319581</v>
      </c>
      <c r="N542" t="n">
        <v>21.0067249</v>
      </c>
      <c r="O542" s="1" t="inlineStr">
        <is>
          <t>Poland</t>
        </is>
      </c>
      <c r="P542" s="1" t="inlineStr">
        <is>
          <t>Belgium, Estonia, Latvia, Lithuania, Poland, Slovakia</t>
        </is>
      </c>
      <c r="Q542" s="1" t="inlineStr">
        <is>
          <t>11 to 50</t>
        </is>
      </c>
      <c r="R542" t="inlineStr">
        <is>
          <t>Small</t>
        </is>
      </c>
      <c r="S542" s="1" t="inlineStr">
        <is>
          <t>Business to Government, Business to Schools</t>
        </is>
      </c>
      <c r="T542" s="1" t="inlineStr">
        <is>
          <t>Primary Education</t>
        </is>
      </c>
      <c r="U542" s="1" t="inlineStr">
        <is>
          <t>Teacher interfacing</t>
        </is>
      </c>
      <c r="V542" s="10" t="inlineStr">
        <is>
          <t>SkriLab</t>
        </is>
      </c>
      <c r="W542" s="10" t="inlineStr">
        <is>
          <t>SkriLab is a complex educational solution built of 3D printer, educational robots, educational construction sets, platform for teachers, 3D modelling software and 3D models library. Thanks to Skriware Academy - a platform with ready-made lesson scenarios, e-courses and additional materials dedicated to teachers, Skriware enables them to use modern technologies on various school subjects i.e. geography, mathematics, physics, computer science, biology, chemistry, early childhood education or science. All components are integrated in a way which makes them perfectly user-friendly both for teachers and students.</t>
        </is>
      </c>
      <c r="X542" s="10" t="n"/>
      <c r="Z542" s="1" t="n"/>
      <c r="AA542" s="1" t="inlineStr">
        <is>
          <t>Unverified</t>
        </is>
      </c>
      <c r="AB542" s="1" t="n"/>
      <c r="AC542" s="1" t="n"/>
      <c r="AD542" s="1" t="n"/>
      <c r="AE542" s="1" t="n"/>
      <c r="AF542" s="1" t="inlineStr">
        <is>
          <t>Yes</t>
        </is>
      </c>
      <c r="AG542" s="1" t="inlineStr">
        <is>
          <t>https://www.instagram.com/skriware/</t>
        </is>
      </c>
      <c r="AH542" s="1" t="inlineStr">
        <is>
          <t>https://twitter.com/Skriware</t>
        </is>
      </c>
      <c r="AI542" t="inlineStr">
        <is>
          <t>https://www.linkedin.com/company/skriware/</t>
        </is>
      </c>
    </row>
    <row r="543" ht="12.5" customHeight="1">
      <c r="A543" s="6" t="n">
        <v>45295</v>
      </c>
      <c r="B543" s="1" t="inlineStr">
        <is>
          <t>ORG_2531</t>
        </is>
      </c>
      <c r="C543" s="1" t="b">
        <v>1</v>
      </c>
      <c r="D543" s="1" t="inlineStr">
        <is>
          <t>WIDE SERVICES</t>
        </is>
      </c>
      <c r="E543" s="10" t="inlineStr">
        <is>
          <t>https://wideservices.gr/en/</t>
        </is>
      </c>
      <c r="F543" t="inlineStr">
        <is>
          <t>wideservices.gr/en</t>
        </is>
      </c>
      <c r="G543" s="1" t="inlineStr">
        <is>
          <t>WIDE Services is an Athens-based private company of 25+ employees, established in 2013, with a solid track record of integrated professional e-learning solutions worldwide and numerous participations in European projects. Our company is Premium Moodle Certified Services Regional Provider for Greece, Cyprus and Albania, twice awarded as Moodle Educator Partner of the Year, is 6 times ISO-Certified, with total coverage for GDPR and in-house DPO.
WIDE Services is a one-stop-shop edutech Partner, undertaking:
- the production of Moodle LMS (hosting, customisation, theme design, administration, support, consulting, integrations);
- the development of innovative training content (SCORM, animations, AR/VR/3D apps, comics, games) &amp; provision of licences for top authoring tools;
- the integration of gamification aspects and mobile learning solutions;
- STEM editors, Plagiarism &amp; proctoring tools for remote exams systems;
- the production of custom learning analytics and reports,
- custom web applications, websites, graphics etc.</t>
        </is>
      </c>
      <c r="H543" s="1" t="inlineStr">
        <is>
          <t>I'm not part of any EdTech association</t>
        </is>
      </c>
      <c r="I543" s="1" t="inlineStr">
        <is>
          <t>English, Greek</t>
        </is>
      </c>
      <c r="J543" s="1" t="inlineStr">
        <is>
          <t>Kallithea</t>
        </is>
      </c>
      <c r="K543" t="inlineStr">
        <is>
          <t>Kallithea</t>
        </is>
      </c>
      <c r="L543" t="inlineStr">
        <is>
          <t>Kallithea, Greece</t>
        </is>
      </c>
      <c r="M543" t="n">
        <v>37.9402774</v>
      </c>
      <c r="N543" t="n">
        <v>23.6923904</v>
      </c>
      <c r="O543" s="1" t="inlineStr">
        <is>
          <t>Greece</t>
        </is>
      </c>
      <c r="P543" s="1" t="inlineStr">
        <is>
          <t>Albania, Cyprus, Greece</t>
        </is>
      </c>
      <c r="Q543" s="1" t="inlineStr">
        <is>
          <t>11 to 50</t>
        </is>
      </c>
      <c r="R543" t="inlineStr">
        <is>
          <t>Small</t>
        </is>
      </c>
      <c r="S543" s="1" t="inlineStr">
        <is>
          <t>Business to Business, Business to Schools, Business to Consumer, Business to Government</t>
        </is>
      </c>
      <c r="T543" s="1" t="inlineStr">
        <is>
          <t>Corporate Training, Lifelong learning/Adult education, Vocational Education and Training (VET)</t>
        </is>
      </c>
      <c r="U543" s="1" t="inlineStr">
        <is>
          <t>Teacher interfacing, System/Administrative, Student interfacing</t>
        </is>
      </c>
      <c r="V543" s="1" t="inlineStr">
        <is>
          <t>Production of Moodle LMS</t>
        </is>
      </c>
      <c r="W543" s="1" t="inlineStr">
        <is>
          <t>Hosting, customisation, theme design, administration, support, consulting, integrations.
Integration of gamification aspects and mobile learning solutions.
Provision of web conference tools for live webinars.
Production of custom learning analytics and reports.</t>
        </is>
      </c>
      <c r="X543" s="10" t="inlineStr">
        <is>
          <t>The development of innovative training content</t>
        </is>
      </c>
      <c r="Y543" t="inlineStr">
        <is>
          <t>Such as SCORM, animations, AR/VR/3D apps, comics, games &amp; provision of licences for top authoring tools.</t>
        </is>
      </c>
      <c r="Z543" s="1" t="inlineStr">
        <is>
          <t>https://drive.google.com/uc?export=view&amp;id=1Kq7nMzdCA9IOmsFZ5-whWkFjg87h9ERJ</t>
        </is>
      </c>
      <c r="AA543" s="1" t="inlineStr">
        <is>
          <t>Unverified</t>
        </is>
      </c>
      <c r="AB543" s="1" t="n"/>
      <c r="AC543" s="1" t="n"/>
      <c r="AD543" s="10" t="n"/>
      <c r="AE543" s="1" t="n"/>
      <c r="AF543" t="inlineStr">
        <is>
          <t>Yes</t>
        </is>
      </c>
      <c r="AG543" t="inlineStr">
        <is>
          <t>https://www.linkedin.com/company/wide-services-p-c/</t>
        </is>
      </c>
      <c r="AH543" t="inlineStr">
        <is>
          <t>https://www.linkedin.com/company/wide-services-p-c/</t>
        </is>
      </c>
      <c r="AI543" t="inlineStr">
        <is>
          <t>https://www.linkedin.com/company/wide-services-p-c/</t>
        </is>
      </c>
    </row>
    <row r="544" ht="12.5" customHeight="1">
      <c r="A544" s="6" t="n">
        <v>45282</v>
      </c>
      <c r="B544" s="1" t="inlineStr">
        <is>
          <t>ORG_1992</t>
        </is>
      </c>
      <c r="C544" s="1" t="b">
        <v>1</v>
      </c>
      <c r="D544" s="1" t="inlineStr">
        <is>
          <t>Moxliukas</t>
        </is>
      </c>
      <c r="E544" s="10" t="inlineStr">
        <is>
          <t>www.moxliukas.lt</t>
        </is>
      </c>
      <c r="F544" t="inlineStr">
        <is>
          <t>moxliukas.lt</t>
        </is>
      </c>
      <c r="G544" s="1" t="inlineStr">
        <is>
          <t>Moxliukas - a quick, fun and easy way to prepare for an upcoming exam. It's an app with a possibility to learn when challenged with real exam questions. You can compete with others, challenge your friend and learn together.</t>
        </is>
      </c>
      <c r="H544" s="1" t="inlineStr">
        <is>
          <t>I'm not part of any EdTech association</t>
        </is>
      </c>
      <c r="I544" s="1" t="inlineStr">
        <is>
          <t>Lithuanian</t>
        </is>
      </c>
      <c r="J544" s="1" t="inlineStr">
        <is>
          <t>Vilnius</t>
        </is>
      </c>
      <c r="K544" t="inlineStr">
        <is>
          <t>Vilnius</t>
        </is>
      </c>
      <c r="L544" t="inlineStr">
        <is>
          <t>Vilnius, Lithuania</t>
        </is>
      </c>
      <c r="M544" t="n">
        <v>54.6870458</v>
      </c>
      <c r="N544" t="n">
        <v>25.2829111</v>
      </c>
      <c r="O544" s="1" t="inlineStr">
        <is>
          <t>Lithuania</t>
        </is>
      </c>
      <c r="P544" s="1" t="inlineStr">
        <is>
          <t>Lithuania</t>
        </is>
      </c>
      <c r="Q544" s="1" t="inlineStr">
        <is>
          <t>0 to 2</t>
        </is>
      </c>
      <c r="R544" t="inlineStr">
        <is>
          <t>Solo entrepreneur</t>
        </is>
      </c>
      <c r="S544" s="1" t="inlineStr">
        <is>
          <t>Business to Schools, Business to Consumer, Business to Government</t>
        </is>
      </c>
      <c r="T544" s="1" t="inlineStr">
        <is>
          <t>Secondary Education</t>
        </is>
      </c>
      <c r="U544" s="1" t="inlineStr">
        <is>
          <t>System/Administrative, Student interfacing, Teacher interfacing</t>
        </is>
      </c>
      <c r="V544" s="10" t="inlineStr">
        <is>
          <t>Moxliukas</t>
        </is>
      </c>
      <c r="W544" s="1" t="inlineStr">
        <is>
          <t>Moxliukas - quick, fun and easy way to prepare for an upcoming exam. Real exam questions made fun and easy with an app. You can either compete and/or challenge each other to an exam duel and learn together!</t>
        </is>
      </c>
      <c r="X544" s="10" t="inlineStr">
        <is>
          <t>https://drive.google.com/uc?export=view&amp;id=1jcfesTQdI25lTFtzHbuH81w-XVKX6QIp</t>
        </is>
      </c>
      <c r="Y544" t="inlineStr">
        <is>
          <t>https://drive.google.com/uc?export=view&amp;id=1jcfesTQdI25lTFtzHbuH81w-XVKX6QIp</t>
        </is>
      </c>
      <c r="Z544" s="1" t="inlineStr">
        <is>
          <t>https://drive.google.com/uc?export=view&amp;id=1jcfesTQdI25lTFtzHbuH81w-XVKX6QIp</t>
        </is>
      </c>
      <c r="AA544" s="1" t="inlineStr">
        <is>
          <t>Unverified</t>
        </is>
      </c>
      <c r="AB544" s="1" t="n"/>
      <c r="AC544" s="1" t="n"/>
      <c r="AD544" s="10" t="n"/>
      <c r="AE544" s="1" t="n"/>
      <c r="AF544" t="inlineStr">
        <is>
          <t>Yes</t>
        </is>
      </c>
      <c r="AG544" t="inlineStr">
        <is>
          <t>https://www.instagram.com/moxliukas/</t>
        </is>
      </c>
      <c r="AH544" t="inlineStr">
        <is>
          <t>https://www.linkedin.com/company/moxliukas</t>
        </is>
      </c>
      <c r="AI544" t="inlineStr">
        <is>
          <t>https://www.linkedin.com/company/moxliukas</t>
        </is>
      </c>
    </row>
    <row r="545" ht="12.5" customHeight="1">
      <c r="A545" s="6" t="n">
        <v>45281</v>
      </c>
      <c r="B545" s="1" t="inlineStr">
        <is>
          <t>ORG_2207</t>
        </is>
      </c>
      <c r="C545" s="1" t="b">
        <v>1</v>
      </c>
      <c r="D545" s="1" t="inlineStr">
        <is>
          <t>Scéalprod, Scéal studio</t>
        </is>
      </c>
      <c r="E545" s="10" t="inlineStr">
        <is>
          <t>https://scealprod.fr</t>
        </is>
      </c>
      <c r="F545" t="inlineStr">
        <is>
          <t>scealprod.fr</t>
        </is>
      </c>
      <c r="G545" s="1" t="inlineStr">
        <is>
          <t>Scéalprod is a French company specializing in youth content for educational purposes that aims to develop skills and know-how from writing. With the Scéal studio platform, it proposes an original offer to develop the written expression of people through the creation of story projects.
Scéal studio, an innovative digital platform to support progress in writing. 
Scéal studio aims to develop multiple learning related to the practice of narrative writing, favoring an edutainment approach. The platform is based on a writing methodology, and on integrated tools (scriptwriting, writing, layout) to facilitate the writing and editing of narrative or documentary projects.
Designed for students aged 10 to 17, their teachers and adults willing to write their stories, Scéal studio is an interface for creating stories, self-publishing books and training in narrative writing.
Already tested in several college and high school classes, Scéal studio relies on the structuring assets attached to the writing of stories to promote the acquisition of multiple skills. 
The objective of Scéal studio is to allow young people to discover the pleasure of writing, and incidentally that of reading, to promote a better mastery of the language and develop soft skills: ability to argue, critical sense, creativity.
The advantages of Scéal studio 
Integrated training modules. 
The writing workshop is closely linked to writing training modules adapted to the college level, which take up the edutainment approach of the writing platform. 
A personal interface for teachers. 
It allows teachers to follow the progress of students, who can continue their work at home from their secure personal account. 
Appreciation of student work. 
Students can, if they wish, keep their creation in the form of a digital or paper book that they can share with their loved ones. 
A discovery of the publishing professions. 
This experience also allows teenagers to discover the techniques and trades of graphic design, scriptwriting and publishing through the design and production of the front and back covers. 
An education in ethics and critical thinking. 
Scéal studio makes students aware of the rules of ethics in the use of online digital resources (copyright for example). The tool also develops their critical thinking, which contributes to media education.</t>
        </is>
      </c>
      <c r="H545" s="1" t="inlineStr">
        <is>
          <t>I'm not part of any EdTech association</t>
        </is>
      </c>
      <c r="I545" s="1" t="inlineStr">
        <is>
          <t>French, English, Spanish</t>
        </is>
      </c>
      <c r="J545" s="1" t="inlineStr">
        <is>
          <t>Libourne</t>
        </is>
      </c>
      <c r="K545" t="inlineStr">
        <is>
          <t>Libourne</t>
        </is>
      </c>
      <c r="L545" t="inlineStr">
        <is>
          <t>Libourne, France</t>
        </is>
      </c>
      <c r="M545" t="n">
        <v>44.9133742</v>
      </c>
      <c r="N545" t="n">
        <v>-0.2427217</v>
      </c>
      <c r="O545" s="1" t="inlineStr">
        <is>
          <t>France</t>
        </is>
      </c>
      <c r="P545" s="1" t="inlineStr">
        <is>
          <t>Belgium, France, Spain, Switzerland</t>
        </is>
      </c>
      <c r="Q545" s="1" t="inlineStr">
        <is>
          <t>0 to 2</t>
        </is>
      </c>
      <c r="R545" t="inlineStr">
        <is>
          <t>Solo entrepreneur</t>
        </is>
      </c>
      <c r="S545" s="1" t="inlineStr">
        <is>
          <t>Business to Business, Business to Government</t>
        </is>
      </c>
      <c r="T545" s="1" t="inlineStr">
        <is>
          <t>Secondary Education, Lifelong learning/Adult education, Vocational Education and Training (VET)</t>
        </is>
      </c>
      <c r="U545" s="1" t="inlineStr">
        <is>
          <t>System/Administrative, Student interfacing, Teacher interfacing</t>
        </is>
      </c>
      <c r="V545" s="10" t="inlineStr">
        <is>
          <t>Scéal studio</t>
        </is>
      </c>
      <c r="W545" s="10" t="inlineStr">
        <is>
          <t>Platform for developing skills related to the practice of creative writing individually or collaboratively. Writing training platform.</t>
        </is>
      </c>
      <c r="X545" s="10" t="inlineStr">
        <is>
          <t>Online or in-person writing workshops.</t>
        </is>
      </c>
      <c r="Y545" t="inlineStr">
        <is>
          <t>Writting coatching. Online or in-person writing workshops with the support of the Scéal studio platform.</t>
        </is>
      </c>
      <c r="Z545" s="1" t="inlineStr">
        <is>
          <t>https://drive.google.com/uc?export=view&amp;id=1TLxrujCs0vos9yH_HCQdjFgqxSNz1dwp</t>
        </is>
      </c>
      <c r="AA545" s="1" t="inlineStr">
        <is>
          <t>Unverified</t>
        </is>
      </c>
      <c r="AB545" s="1" t="n"/>
      <c r="AC545" s="1" t="n"/>
      <c r="AD545" s="10" t="n"/>
      <c r="AE545" s="1" t="n"/>
      <c r="AF545" t="inlineStr">
        <is>
          <t>Yes</t>
        </is>
      </c>
      <c r="AG545" t="inlineStr">
        <is>
          <t>https://www.instagram.com/scealprod.fr/</t>
        </is>
      </c>
      <c r="AH545" t="inlineStr">
        <is>
          <t>https://twitter.com/scealprod/</t>
        </is>
      </c>
      <c r="AI545" t="inlineStr">
        <is>
          <t>https://www.linkedin.com/company/scealprod/</t>
        </is>
      </c>
    </row>
    <row r="546" ht="12.5" customHeight="1">
      <c r="A546" s="6" t="n">
        <v>45280</v>
      </c>
      <c r="B546" s="1" t="inlineStr">
        <is>
          <t>ORG_1367</t>
        </is>
      </c>
      <c r="C546" s="1" t="b">
        <v>1</v>
      </c>
      <c r="D546" s="1" t="inlineStr">
        <is>
          <t>Ditto</t>
        </is>
      </c>
      <c r="E546" s="10" t="inlineStr">
        <is>
          <t>https://ditto.education/</t>
        </is>
      </c>
      <c r="F546" t="inlineStr">
        <is>
          <t>ditto.education</t>
        </is>
      </c>
      <c r="G546" s="1" t="inlineStr">
        <is>
          <t>Ditto is an audio-only platform with a varied catalogue of original music, podcasts and audiobooks that entertain children from 0 to 9 years old in Spanish and English while enhancing their cognitive development. In collaboration with the Chair of Neuroeducation of the University of Barcelona, Ditto improves children’s concentration, comprehension and linguistic skills, offering parents and teachers a solution to the global problem of the excessive use of screens in the entertainment of young children.
In addition to our high-quality, dramatised audiobooks and podcasts, we provide exclusive educational resources to accompany our audios in class. Rather than simply entertaining children, Ditto fosters immersive, imaginative and wholesome learning through audio.</t>
        </is>
      </c>
      <c r="H546" s="1" t="inlineStr">
        <is>
          <t>SEK Lab</t>
        </is>
      </c>
      <c r="I546" s="1" t="n"/>
      <c r="J546" s="1" t="inlineStr">
        <is>
          <t>Bilbao</t>
        </is>
      </c>
      <c r="K546" t="inlineStr">
        <is>
          <t>Bilbao</t>
        </is>
      </c>
      <c r="L546" t="inlineStr">
        <is>
          <t>Bilbao, Spain</t>
        </is>
      </c>
      <c r="M546" t="n">
        <v>43.2630018</v>
      </c>
      <c r="N546" t="n">
        <v>-2.9350039</v>
      </c>
      <c r="O546" s="1" t="inlineStr">
        <is>
          <t>Spain</t>
        </is>
      </c>
      <c r="P546" s="1" t="inlineStr">
        <is>
          <t>Spain</t>
        </is>
      </c>
      <c r="Q546" s="1" t="inlineStr">
        <is>
          <t>0 to 2</t>
        </is>
      </c>
      <c r="R546" t="inlineStr">
        <is>
          <t>Solo entrepreneur</t>
        </is>
      </c>
      <c r="S546" s="1" t="inlineStr">
        <is>
          <t>Business to Schools, Business to Consumer</t>
        </is>
      </c>
      <c r="T546" s="1" t="inlineStr">
        <is>
          <t>Early childhood development (0-5 years), Primary Education</t>
        </is>
      </c>
      <c r="U546" s="1" t="inlineStr">
        <is>
          <t>System/Administrative, Student interfacing, Teacher interfacing</t>
        </is>
      </c>
      <c r="V546" s="10" t="inlineStr">
        <is>
          <t>https://www.linkedin.com/company/ditto-education/</t>
        </is>
      </c>
      <c r="W546" s="1" t="inlineStr">
        <is>
          <t>https://drive.google.com/uc?export=view&amp;id=1A5YCbaAAM6h9BZGNFHUDaDJxJd_ElVSo</t>
        </is>
      </c>
      <c r="X546" s="10" t="inlineStr">
        <is>
          <t>https://drive.google.com/uc?export=view&amp;id=1A5YCbaAAM6h9BZGNFHUDaDJxJd_ElVSo</t>
        </is>
      </c>
      <c r="Y546" t="inlineStr">
        <is>
          <t>https://drive.google.com/uc?export=view&amp;id=1A5YCbaAAM6h9BZGNFHUDaDJxJd_ElVSo</t>
        </is>
      </c>
      <c r="Z546" s="1" t="inlineStr">
        <is>
          <t>https://drive.google.com/uc?export=view&amp;id=1A5YCbaAAM6h9BZGNFHUDaDJxJd_ElVSo</t>
        </is>
      </c>
      <c r="AA546" s="1" t="inlineStr">
        <is>
          <t>Unverified</t>
        </is>
      </c>
      <c r="AB546" s="1" t="n"/>
      <c r="AC546" s="1" t="n"/>
      <c r="AD546" s="10" t="n"/>
      <c r="AE546" s="1" t="n"/>
      <c r="AF546" t="inlineStr">
        <is>
          <t>Yes</t>
        </is>
      </c>
      <c r="AG546" t="inlineStr">
        <is>
          <t>https://www.instagram.com/ditto.educacion/</t>
        </is>
      </c>
      <c r="AH546" t="inlineStr">
        <is>
          <t>https://www.linkedin.com/company/ditto-education/</t>
        </is>
      </c>
      <c r="AI546" t="inlineStr">
        <is>
          <t>https://www.linkedin.com/company/ditto-education/</t>
        </is>
      </c>
    </row>
    <row r="547" ht="12.5" customHeight="1">
      <c r="A547" s="6" t="n">
        <v>45279</v>
      </c>
      <c r="B547" s="1" t="inlineStr">
        <is>
          <t>ORG_2064</t>
        </is>
      </c>
      <c r="C547" s="1" t="b">
        <v>1</v>
      </c>
      <c r="D547" s="1" t="inlineStr">
        <is>
          <t>OneHive</t>
        </is>
      </c>
      <c r="E547" s="10" t="inlineStr">
        <is>
          <t>www.tutorhive.co.uk/onehive</t>
        </is>
      </c>
      <c r="F547" t="inlineStr">
        <is>
          <t>tutorhive.co.uk/onehive</t>
        </is>
      </c>
      <c r="G547" s="1" t="inlineStr">
        <is>
          <t>OneHive understands how you learn and helps you thrive in school, corporate and beyond. Learning is lifelong and is prescribed to you in different disjointed ways throughout your journey. By combining all of these learning achievements in one platform, we can use our AI powered Hive Matching Algorithm to give you the insights and recommendations you need at every step of the way.
We have already helped over 1,300 users unlock their educational potential by recommending the right tutor with a 93% success rate. We are planning pilots with Barclays Eagle Labs, St James’ Place and others to bring the learner into the centre of this next generation learning platform. We are building a future where no learner is left behind.</t>
        </is>
      </c>
      <c r="H547" s="1" t="inlineStr">
        <is>
          <t>I'm not part of any EdTech association</t>
        </is>
      </c>
      <c r="I547" s="1" t="inlineStr">
        <is>
          <t>English</t>
        </is>
      </c>
      <c r="J547" s="1" t="inlineStr">
        <is>
          <t>Wembley</t>
        </is>
      </c>
      <c r="K547" t="inlineStr">
        <is>
          <t>Wembley</t>
        </is>
      </c>
      <c r="L547" t="inlineStr">
        <is>
          <t>Wembley, United Kingdom</t>
        </is>
      </c>
      <c r="M547" t="n">
        <v>51.5531547</v>
      </c>
      <c r="N547" t="n">
        <v>-0.2957562</v>
      </c>
      <c r="O547" s="1" t="inlineStr">
        <is>
          <t>United Kingdom</t>
        </is>
      </c>
      <c r="P547" s="1" t="inlineStr">
        <is>
          <t>Italy</t>
        </is>
      </c>
      <c r="Q547" s="1" t="inlineStr">
        <is>
          <t>3 to 5</t>
        </is>
      </c>
      <c r="R547" t="inlineStr">
        <is>
          <t>Micro</t>
        </is>
      </c>
      <c r="S547" s="1" t="inlineStr">
        <is>
          <t>Business to Business, Business to Consumer</t>
        </is>
      </c>
      <c r="T547" s="1" t="inlineStr">
        <is>
          <t>Primary Education, Secondary Education, Corporate Training, Lifelong learning/Adult education</t>
        </is>
      </c>
      <c r="U547" s="1" t="inlineStr">
        <is>
          <t>System/Administrative, Student interfacing, Teacher interfacing</t>
        </is>
      </c>
      <c r="V547" s="10" t="inlineStr">
        <is>
          <t>OneHive Account</t>
        </is>
      </c>
      <c r="W547" s="1" t="inlineStr">
        <is>
          <t>Helping learners log and safely store their learning and social achievements in one digital skills passport. Starting from K12 to career, the platform becomes the central repository for your personal development journey. 
Using generative AI, we can recommend the best educator for a learner based on their personality - using affinity to help school parents find the perfect tutor for their child or HR find the best trainers for their employees.</t>
        </is>
      </c>
      <c r="X547" s="10" t="inlineStr">
        <is>
          <t>Hive Learning Platform</t>
        </is>
      </c>
      <c r="Y547" t="inlineStr">
        <is>
          <t>A learner centric ecosystem that has the infrastructure around it to facilitate training in a more effective way at scale. Giving educators the insights and digital framework to deliver training in a more engaging and effective way. 
The modules around the OneHive Account enable a learner to book on to training sessions that are best matched to their personality, needs and requirements. Whilst giving oversight to the Learning &amp; Development functions within the company.</t>
        </is>
      </c>
      <c r="Z547" s="1" t="inlineStr">
        <is>
          <t>https://drive.google.com/uc?export=view&amp;id=1nE9-qUre7YTzpdJ_tY9ia4SsYaPTDXT8</t>
        </is>
      </c>
      <c r="AA547" s="1" t="inlineStr">
        <is>
          <t>Unverified</t>
        </is>
      </c>
      <c r="AB547" s="1" t="n"/>
      <c r="AC547" s="1" t="n"/>
      <c r="AD547" s="10" t="n"/>
      <c r="AE547" s="1" t="n"/>
      <c r="AF547" t="inlineStr">
        <is>
          <t>Yes</t>
        </is>
      </c>
      <c r="AG547" t="inlineStr">
        <is>
          <t>https://www.instagram.com/tutor.hive/?hl=en</t>
        </is>
      </c>
      <c r="AH547" t="inlineStr">
        <is>
          <t>https://www.linkedin.com/company/tutorhive/</t>
        </is>
      </c>
      <c r="AI547" t="inlineStr">
        <is>
          <t>https://www.linkedin.com/company/tutorhive/</t>
        </is>
      </c>
    </row>
    <row r="548" ht="12.5" customHeight="1">
      <c r="A548" s="6" t="n">
        <v>45278</v>
      </c>
      <c r="B548" s="1" t="inlineStr">
        <is>
          <t>ORG_2377</t>
        </is>
      </c>
      <c r="C548" s="1" t="b">
        <v>1</v>
      </c>
      <c r="D548" s="1" t="inlineStr">
        <is>
          <t>TeamGether</t>
        </is>
      </c>
      <c r="E548" s="10" t="inlineStr">
        <is>
          <t>https://www.effency.fr</t>
        </is>
      </c>
      <c r="F548" t="inlineStr">
        <is>
          <t>effency.fr</t>
        </is>
      </c>
      <c r="G548" s="1" t="inlineStr">
        <is>
          <t>EFFENCY is a team of digital enthusiasts with complimentary expertise. Database architect, innovation network expert, educational engineer, copy writer, UI/UX and experienced project manager, we are both able to enhance our solution developed internally and to support our clients from start to finish, from just getting started with our solution TeamGether to functional adaptation over time.</t>
        </is>
      </c>
      <c r="H548" s="1" t="inlineStr">
        <is>
          <t>EdTech France</t>
        </is>
      </c>
      <c r="I548" s="1" t="n"/>
      <c r="J548" s="1" t="inlineStr">
        <is>
          <t>Paris</t>
        </is>
      </c>
      <c r="K548" t="inlineStr">
        <is>
          <t>Paris</t>
        </is>
      </c>
      <c r="L548" t="inlineStr">
        <is>
          <t>Paris, France</t>
        </is>
      </c>
      <c r="M548" t="n">
        <v>48.8534951</v>
      </c>
      <c r="N548" t="n">
        <v>2.3483915</v>
      </c>
      <c r="O548" s="1" t="inlineStr">
        <is>
          <t>France</t>
        </is>
      </c>
      <c r="P548" s="1" t="inlineStr">
        <is>
          <t>France, Luxembourg</t>
        </is>
      </c>
      <c r="Q548" s="1" t="inlineStr">
        <is>
          <t>3 to 5</t>
        </is>
      </c>
      <c r="R548" t="inlineStr">
        <is>
          <t>Micro</t>
        </is>
      </c>
      <c r="S548" s="1" t="inlineStr">
        <is>
          <t>Business to Government, Business to Schools</t>
        </is>
      </c>
      <c r="T548" s="1" t="inlineStr">
        <is>
          <t>Corporate Training, Lifelong learning/Adult education</t>
        </is>
      </c>
      <c r="U548" s="1" t="inlineStr">
        <is>
          <t>System/Administrative, Student interfacing</t>
        </is>
      </c>
      <c r="V548" s="1" t="inlineStr">
        <is>
          <t>TeamGether</t>
        </is>
      </c>
      <c r="W548" s="10" t="inlineStr">
        <is>
          <t>After only 9 hours after the end of a training session, we have already forgotten 70% of what we just learned. Training sessions alone are not enough the well anchor knowledge in the employees' operational context.
TeamGether offers a new way of diffusing and anchoring knowledge by creating efficient training routines and guide the user experience in a digital solution.
TeamGether facilitates the daily life at work of more than 3000 employees at our clients, in the language of their choice. They no longer need to read a long, and unintelligible 60, page document to know how to apply the GDPR in their day-to-day work. Or, search for the training materials from 6 months ago to find out how to handle the company’s RSE policy.
TeamGether is integrated into Microsoft Teams and Slack and is therefore available on all platforms supported by these tools. It establishes a direct discussion with each employee without the need to be individually authenticated each time (this is already handled by the tools). TeamGether:
- Captures their attention immediately,
- Guides them in a personalized manner towards useful knowledge, thanks to 100% personalized micro-sessions that last 5-10 minutes which invite the users to put the information to use,
- Captures indicators and measures to identify recurrent problems that prevent assimilation.
TeamGether's editor to create the micro-learning paths is commercialized as a SaaS in the form of editor or administrator licenses.</t>
        </is>
      </c>
      <c r="X548" s="10" t="inlineStr">
        <is>
          <t>https://drive.google.com/uc?export=view&amp;id=1AVrnhOd2wnDz8wl5TQu5mEK1iY39Syuj</t>
        </is>
      </c>
      <c r="Y548" t="inlineStr">
        <is>
          <t>https://drive.google.com/uc?export=view&amp;id=1AVrnhOd2wnDz8wl5TQu5mEK1iY39Syuj</t>
        </is>
      </c>
      <c r="Z548" s="1" t="inlineStr">
        <is>
          <t>https://drive.google.com/uc?export=view&amp;id=1AVrnhOd2wnDz8wl5TQu5mEK1iY39Syuj</t>
        </is>
      </c>
      <c r="AA548" s="1" t="inlineStr">
        <is>
          <t>Unverified</t>
        </is>
      </c>
      <c r="AB548" s="1" t="n"/>
      <c r="AC548" s="1" t="n"/>
      <c r="AD548" s="10" t="n"/>
      <c r="AE548" s="1" t="n"/>
      <c r="AF548" t="inlineStr">
        <is>
          <t>Yes</t>
        </is>
      </c>
      <c r="AG548" t="inlineStr">
        <is>
          <t>https://twitter.com/effency_</t>
        </is>
      </c>
      <c r="AH548" t="inlineStr">
        <is>
          <t>https://twitter.com/effency_</t>
        </is>
      </c>
      <c r="AI548" t="inlineStr">
        <is>
          <t>https://www.linkedin.com/company/effency</t>
        </is>
      </c>
    </row>
    <row r="549" ht="12.5" customHeight="1">
      <c r="A549" s="6" t="n">
        <v>45275</v>
      </c>
      <c r="B549" s="1" t="inlineStr">
        <is>
          <t>ORG_1868</t>
        </is>
      </c>
      <c r="C549" s="1" t="b">
        <v>1</v>
      </c>
      <c r="D549" s="1" t="inlineStr">
        <is>
          <t>Lexivist</t>
        </is>
      </c>
      <c r="E549" s="10" t="inlineStr">
        <is>
          <t>lexivist.com</t>
        </is>
      </c>
      <c r="F549" t="inlineStr">
        <is>
          <t>lexivist.com</t>
        </is>
      </c>
      <c r="G549" s="1" t="inlineStr">
        <is>
          <t>Lexivist is a gamified microlearning app with AI twist, It makes the dream of easier and sticky learning experience come true.</t>
        </is>
      </c>
      <c r="H549" s="1" t="inlineStr">
        <is>
          <t>I'm not part of any EdTech association</t>
        </is>
      </c>
      <c r="I549" s="1" t="inlineStr">
        <is>
          <t>English, Turkish</t>
        </is>
      </c>
      <c r="J549" s="1" t="inlineStr">
        <is>
          <t>London</t>
        </is>
      </c>
      <c r="K549" t="inlineStr">
        <is>
          <t>London</t>
        </is>
      </c>
      <c r="L549" t="inlineStr">
        <is>
          <t>London, United Kingdom</t>
        </is>
      </c>
      <c r="M549" t="n">
        <v>51.5074456</v>
      </c>
      <c r="N549" t="n">
        <v>-0.1277653</v>
      </c>
      <c r="O549" s="1" t="inlineStr">
        <is>
          <t>United Kingdom</t>
        </is>
      </c>
      <c r="P549" s="1" t="inlineStr">
        <is>
          <t>Netherlands, Turkey, United Kingdom</t>
        </is>
      </c>
      <c r="Q549" s="1" t="inlineStr">
        <is>
          <t>11 to 50</t>
        </is>
      </c>
      <c r="R549" t="inlineStr">
        <is>
          <t>Small</t>
        </is>
      </c>
      <c r="S549" s="1" t="inlineStr">
        <is>
          <t>Business to Business, Business to Consumer, Business to Government</t>
        </is>
      </c>
      <c r="T549" s="1" t="inlineStr">
        <is>
          <t>Corporate Training</t>
        </is>
      </c>
      <c r="U549" s="1" t="inlineStr">
        <is>
          <t>System/Administrative, Student interfacing</t>
        </is>
      </c>
      <c r="V549" s="1" t="inlineStr">
        <is>
          <t>Lexivist</t>
        </is>
      </c>
      <c r="W549" s="1" t="inlineStr">
        <is>
          <t>Lexivist is a gamified microlearning app with AI twist, It makes the dream of easier and sticky learning experience come true.</t>
        </is>
      </c>
      <c r="X549" s="1" t="inlineStr">
        <is>
          <t>https://drive.google.com/uc?export=view&amp;id=1XUxtkZtCV0CK-H2tHTogesPasZmw94pr</t>
        </is>
      </c>
      <c r="Y549" t="inlineStr">
        <is>
          <t>https://drive.google.com/uc?export=view&amp;id=1XUxtkZtCV0CK-H2tHTogesPasZmw94pr</t>
        </is>
      </c>
      <c r="Z549" s="1" t="inlineStr">
        <is>
          <t>https://drive.google.com/uc?export=view&amp;id=1XUxtkZtCV0CK-H2tHTogesPasZmw94pr</t>
        </is>
      </c>
      <c r="AA549" s="1" t="inlineStr">
        <is>
          <t>Unverified</t>
        </is>
      </c>
      <c r="AB549" s="1" t="n"/>
      <c r="AC549" s="1" t="n"/>
      <c r="AD549" s="10" t="n"/>
      <c r="AE549" s="1" t="n"/>
      <c r="AF549" t="inlineStr">
        <is>
          <t>Yes</t>
        </is>
      </c>
      <c r="AI549" t="inlineStr">
        <is>
          <t>inooster</t>
        </is>
      </c>
    </row>
    <row r="550" ht="12.5" customHeight="1">
      <c r="A550" s="6" t="n">
        <v>45260</v>
      </c>
      <c r="B550" s="1" t="inlineStr">
        <is>
          <t>ORG_2529</t>
        </is>
      </c>
      <c r="C550" s="1" t="b">
        <v>1</v>
      </c>
      <c r="D550" s="1" t="inlineStr">
        <is>
          <t>WhoTeach</t>
        </is>
      </c>
      <c r="E550" s="10" t="inlineStr">
        <is>
          <t>https://www.whoteach.it/en/</t>
        </is>
      </c>
      <c r="F550" t="inlineStr">
        <is>
          <t>whoteach.it/en</t>
        </is>
      </c>
      <c r="G550" s="1" t="inlineStr">
        <is>
          <t>AITECH4T is an innovative startup aimed at developing AI-based Recommender Systems for heterogeneous business and industrial applications and Big Data analysis. The company is about 2 years old and has a professional team formed by experts and researchers coming from ICT academic background with specializations in artificial intelligence and big data analysis.
One of our main scopes is to develop and commercialize the AI-based recommendation engine of the digital platform WhoTeach: a B2B Intelligent Digital Learning Platform that helps training and education institutions as well as HR managers to create high-quality online courses through an Artificial Intelligent engine.</t>
        </is>
      </c>
      <c r="H550" s="1" t="inlineStr">
        <is>
          <t>EdTech Italia</t>
        </is>
      </c>
      <c r="I550" s="1" t="inlineStr">
        <is>
          <t>Italian, English</t>
        </is>
      </c>
      <c r="J550" s="1" t="inlineStr">
        <is>
          <t>Milan</t>
        </is>
      </c>
      <c r="K550" t="inlineStr">
        <is>
          <t>Milan</t>
        </is>
      </c>
      <c r="L550" t="inlineStr">
        <is>
          <t>Milan, Italy</t>
        </is>
      </c>
      <c r="M550" t="n">
        <v>45.4641943</v>
      </c>
      <c r="N550" t="n">
        <v>9.1896346</v>
      </c>
      <c r="O550" s="1" t="inlineStr">
        <is>
          <t>Italy</t>
        </is>
      </c>
      <c r="P550" s="1" t="inlineStr">
        <is>
          <t>Italy</t>
        </is>
      </c>
      <c r="Q550" s="1" t="inlineStr">
        <is>
          <t>6 to 10</t>
        </is>
      </c>
      <c r="R550" t="inlineStr">
        <is>
          <t>Micro</t>
        </is>
      </c>
      <c r="S550" s="1" t="inlineStr">
        <is>
          <t>Business to Business, Business to Schools</t>
        </is>
      </c>
      <c r="T550" s="1" t="inlineStr">
        <is>
          <t>Corporate Training, Lifelong learning/Adult education, Higher Education</t>
        </is>
      </c>
      <c r="U550" s="1" t="inlineStr">
        <is>
          <t>System/Administrative</t>
        </is>
      </c>
      <c r="V550" s="1" t="inlineStr">
        <is>
          <t>WhoTeach</t>
        </is>
      </c>
      <c r="W550" s="1" t="inlineStr">
        <is>
          <t>WhoTeach is a B2B intelligent digital learning platform based on Artificial Intelligence to support training and education institutions as well as HR managers to create high-quality online courses thanks to an artificial intelligent engine. It is composed of four different modules: Learning management system, Live Rooms, WhoTeach AI, Social e-portfolio.</t>
        </is>
      </c>
      <c r="X550" s="10" t="inlineStr">
        <is>
          <t>https://drive.google.com/uc?export=view&amp;id=1Z27e4wiFEJLxIT-3KG5wc3YVpLh2wP8X</t>
        </is>
      </c>
      <c r="Y550" t="inlineStr">
        <is>
          <t>https://drive.google.com/uc?export=view&amp;id=1Z27e4wiFEJLxIT-3KG5wc3YVpLh2wP8X</t>
        </is>
      </c>
      <c r="Z550" s="1" t="inlineStr">
        <is>
          <t>https://drive.google.com/uc?export=view&amp;id=1Z27e4wiFEJLxIT-3KG5wc3YVpLh2wP8X</t>
        </is>
      </c>
      <c r="AA550" s="1" t="inlineStr">
        <is>
          <t>Unverified</t>
        </is>
      </c>
      <c r="AB550" s="1" t="n"/>
      <c r="AC550" s="1" t="n"/>
      <c r="AD550" s="10" t="n"/>
      <c r="AE550" s="1" t="n"/>
      <c r="AF550" t="inlineStr">
        <is>
          <t>Yes</t>
        </is>
      </c>
      <c r="AG550" t="inlineStr">
        <is>
          <t>https://www.linkedin.com/company/whoteach-it/mycompany/</t>
        </is>
      </c>
      <c r="AH550" t="inlineStr">
        <is>
          <t>https://www.linkedin.com/company/whoteach-it/mycompany/</t>
        </is>
      </c>
      <c r="AI550" t="inlineStr">
        <is>
          <t>https://www.linkedin.com/company/whoteach-it/mycompany/</t>
        </is>
      </c>
    </row>
    <row r="551" ht="12.5" customHeight="1">
      <c r="A551" s="6" t="n">
        <v>45253</v>
      </c>
      <c r="B551" s="1" t="inlineStr">
        <is>
          <t>ORG_2404</t>
        </is>
      </c>
      <c r="C551" s="1" t="b">
        <v>1</v>
      </c>
      <c r="D551" s="1" t="inlineStr">
        <is>
          <t>The Smartestway</t>
        </is>
      </c>
      <c r="E551" s="10" t="inlineStr">
        <is>
          <t>https://thesmartestway.com/</t>
        </is>
      </c>
      <c r="F551" t="inlineStr">
        <is>
          <t>thesmartestway.com</t>
        </is>
      </c>
      <c r="G551" s="1" t="inlineStr">
        <is>
          <t>App that unlocks brain for exponential learning.
The Smartestway is like a hyperloop for memorization. Using AI, our platform transforms students’ school notes, textbooks, and other learning materials into advanced learning tools, enabling exponential learning. With the support of The Smartestway, students are able to learn 10 times faster than traditional learning methods.
We believe that everyone has a superbrain. Knowledge is free, and anyone can share it.</t>
        </is>
      </c>
      <c r="H551" s="1" t="inlineStr">
        <is>
          <t>EdTech Slovenia</t>
        </is>
      </c>
      <c r="I551" s="1" t="inlineStr">
        <is>
          <t>Slovenian, English</t>
        </is>
      </c>
      <c r="J551" s="1" t="inlineStr">
        <is>
          <t>Tržič</t>
        </is>
      </c>
      <c r="K551" t="inlineStr">
        <is>
          <t>Tržič</t>
        </is>
      </c>
      <c r="L551" t="inlineStr">
        <is>
          <t>Tržič, Slovenia</t>
        </is>
      </c>
      <c r="M551" t="n">
        <v>46.3797527</v>
      </c>
      <c r="N551" t="n">
        <v>14.3325113</v>
      </c>
      <c r="O551" s="1" t="inlineStr">
        <is>
          <t>Slovenia</t>
        </is>
      </c>
      <c r="P551" s="1" t="inlineStr">
        <is>
          <t>Slovenia</t>
        </is>
      </c>
      <c r="Q551" s="1" t="inlineStr">
        <is>
          <t>6 to 10</t>
        </is>
      </c>
      <c r="R551" t="inlineStr">
        <is>
          <t>Micro</t>
        </is>
      </c>
      <c r="S551" s="1" t="inlineStr">
        <is>
          <t>Business to Schools, Business to Consumer</t>
        </is>
      </c>
      <c r="T551" s="1" t="inlineStr">
        <is>
          <t>Primary Education, Secondary Education, Lifelong learning/Adult education, Vocational Education and Training (VET), Higher Education</t>
        </is>
      </c>
      <c r="U551" s="1" t="inlineStr">
        <is>
          <t>System/Administrative, Student interfacing</t>
        </is>
      </c>
      <c r="V551" s="10" t="inlineStr">
        <is>
          <t>The Smartestway</t>
        </is>
      </c>
      <c r="W551" s="1" t="inlineStr">
        <is>
          <t>Our product is currently a responsive web app, which can also be downloaded in the form of a Progressive Web App (PWA).
At the moment, we target high school students but will also expand to primary schools and universities at a growth stage. Our platform has two main types of users: learners and creators. A user can be both, depending on which of the four current app features they use.
Creators have the ability to automatically convert their classroom notes, textbooks, and other learning materials into consumable content, ultimately making memorization easier.
Once a student’s material is automatically generated and stored within Smart Notes, we leverage the power of gamification and make learning fast and fun. 
A unique feature within The Smartestway is the ability for both learners and creators to earn Smart Points (our internal monetary system) while using the app. Smart Points serve as a mechanism for sharing value on the platform and can be earned, spent, or purchased.
Students can use the search bar (web app) or bottom menu (mobile app) to find Smart Notes by keywords, sorted by title or user, allowing them to easily check if a classmate has already shared what they need.</t>
        </is>
      </c>
      <c r="X551" s="10" t="inlineStr">
        <is>
          <t>https://drive.google.com/uc?export=view&amp;id=16WNBf6KDRS84qD54vZ5SpXWuTKtz_TQe</t>
        </is>
      </c>
      <c r="Y551" t="inlineStr">
        <is>
          <t>https://drive.google.com/uc?export=view&amp;id=16WNBf6KDRS84qD54vZ5SpXWuTKtz_TQe</t>
        </is>
      </c>
      <c r="Z551" s="1" t="inlineStr">
        <is>
          <t>https://drive.google.com/uc?export=view&amp;id=16WNBf6KDRS84qD54vZ5SpXWuTKtz_TQe</t>
        </is>
      </c>
      <c r="AA551" s="1" t="inlineStr">
        <is>
          <t>Unverified</t>
        </is>
      </c>
      <c r="AB551" s="1" t="n"/>
      <c r="AC551" s="1" t="n"/>
      <c r="AD551" s="10" t="n"/>
      <c r="AE551" s="1" t="n"/>
      <c r="AF551" t="inlineStr">
        <is>
          <t>Yes</t>
        </is>
      </c>
      <c r="AG551" t="inlineStr">
        <is>
          <t>https://www.instagram.com/thesmartestwaycom</t>
        </is>
      </c>
      <c r="AH551" t="inlineStr">
        <is>
          <t>https://www.linkedin.com/company/thesmartestway</t>
        </is>
      </c>
      <c r="AI551" t="inlineStr">
        <is>
          <t>https://www.linkedin.com/company/thesmartestway</t>
        </is>
      </c>
    </row>
    <row r="552" ht="12.5" customHeight="1">
      <c r="A552" s="6" t="n">
        <v>45248</v>
      </c>
      <c r="B552" s="1" t="inlineStr">
        <is>
          <t>ORG_1404</t>
        </is>
      </c>
      <c r="C552" s="1" t="b">
        <v>1</v>
      </c>
      <c r="D552" s="1" t="inlineStr">
        <is>
          <t>Edenauts</t>
        </is>
      </c>
      <c r="E552" s="10" t="inlineStr">
        <is>
          <t>https://game.edenauts.com</t>
        </is>
      </c>
      <c r="F552" t="inlineStr">
        <is>
          <t>game.edenauts.com</t>
        </is>
      </c>
      <c r="G552" s="1" t="inlineStr">
        <is>
          <t>"Edenauts - An Odyssey of Wisdom" is an innovative educational game that blends space exploration with deep philosophical inquiry. Our game is designed to engage players in a narrative-driven adventure where they must survive a cataclysmic event on Earth and venture into space to forge a new future for humanity. By integrating game mechanics with epistemological concepts, we aim to promote critical thinking, collaboration, and the development of shared values.</t>
        </is>
      </c>
      <c r="H552" s="1" t="inlineStr">
        <is>
          <t>I'm not part of any EdTech association</t>
        </is>
      </c>
      <c r="I552" s="1" t="inlineStr">
        <is>
          <t>English</t>
        </is>
      </c>
      <c r="J552" s="1" t="inlineStr">
        <is>
          <t>Salzburg</t>
        </is>
      </c>
      <c r="K552" t="inlineStr">
        <is>
          <t>Salzburg</t>
        </is>
      </c>
      <c r="L552" t="inlineStr">
        <is>
          <t>Salzburg, Austria</t>
        </is>
      </c>
      <c r="M552" t="n">
        <v>47.7981346</v>
      </c>
      <c r="N552" t="n">
        <v>13.0464806</v>
      </c>
      <c r="O552" s="1" t="inlineStr">
        <is>
          <t>Austria</t>
        </is>
      </c>
      <c r="P552" s="1" t="inlineStr">
        <is>
          <t>Austria</t>
        </is>
      </c>
      <c r="Q552" s="1" t="inlineStr">
        <is>
          <t>0 to 2</t>
        </is>
      </c>
      <c r="R552" t="inlineStr">
        <is>
          <t>Solo entrepreneur</t>
        </is>
      </c>
      <c r="S552" s="1" t="inlineStr">
        <is>
          <t>Business to Consumer</t>
        </is>
      </c>
      <c r="T552" s="1" t="inlineStr">
        <is>
          <t>Lifelong learning/Adult education</t>
        </is>
      </c>
      <c r="U552" s="1" t="inlineStr">
        <is>
          <t>System/Administrative, Student interfacing</t>
        </is>
      </c>
      <c r="V552" s="1" t="inlineStr">
        <is>
          <t>Edenauts</t>
        </is>
      </c>
      <c r="W552" s="1" t="inlineStr">
        <is>
          <t>"Edenauts - An Odyssey of Wisdom" is an educational space exploration game that merges philosophical inquiry with interactive learning. Players embark on a space adventure, forming a crew to develop a collective philosophy and engage in strategic battles, promoting critical thinking, collaboration, and shared values through a blend of real-world actions and game mechanics based on Jean Piaget's theories. This game aims to foster a community of learners, exploring AI ethics and human morality in a dynamic, game-based environment.</t>
        </is>
      </c>
      <c r="X552" s="1" t="inlineStr">
        <is>
          <t>https://drive.google.com/uc?export=view&amp;id=17vtbrwasu-9HF31FD0Ppqx1RlOSiuqXy</t>
        </is>
      </c>
      <c r="Y552" t="inlineStr">
        <is>
          <t>https://drive.google.com/uc?export=view&amp;id=17vtbrwasu-9HF31FD0Ppqx1RlOSiuqXy</t>
        </is>
      </c>
      <c r="Z552" s="1" t="inlineStr">
        <is>
          <t>https://drive.google.com/uc?export=view&amp;id=17vtbrwasu-9HF31FD0Ppqx1RlOSiuqXy</t>
        </is>
      </c>
      <c r="AA552" s="1" t="inlineStr">
        <is>
          <t>Unverified</t>
        </is>
      </c>
      <c r="AB552" s="1" t="n"/>
      <c r="AC552" s="1" t="n"/>
      <c r="AD552" s="10" t="n"/>
      <c r="AE552" s="1" t="n"/>
      <c r="AF552" t="inlineStr">
        <is>
          <t>No</t>
        </is>
      </c>
    </row>
    <row r="553" ht="12.5" customHeight="1">
      <c r="A553" s="6" t="n">
        <v>45246</v>
      </c>
      <c r="B553" s="1" t="inlineStr">
        <is>
          <t>ORG_1443</t>
        </is>
      </c>
      <c r="C553" s="1" t="b">
        <v>1</v>
      </c>
      <c r="D553" s="1" t="inlineStr">
        <is>
          <t>Edulab</t>
        </is>
      </c>
      <c r="E553" s="10" t="inlineStr">
        <is>
          <t>https://edulab.work</t>
        </is>
      </c>
      <c r="F553" t="inlineStr">
        <is>
          <t>edulab.work</t>
        </is>
      </c>
      <c r="G553" s="1" t="inlineStr">
        <is>
          <t>Edulab è uno spazio per l'apprendimento situato a Scorzè(VE) con una forte inclinazione digitale. L'ambito è lo sviluppo di percorsi, LO e attività per lo sviluppo delle competenze attraverso il Human Capital Management. Siamo aperti al dialogo con aziende, istituzioni, partner e communities in tutta Europa.</t>
        </is>
      </c>
      <c r="H553" s="1" t="inlineStr">
        <is>
          <t>I'm not part of any EdTech association</t>
        </is>
      </c>
      <c r="I553" s="1" t="n"/>
      <c r="J553" s="1" t="inlineStr">
        <is>
          <t>Scorzè</t>
        </is>
      </c>
      <c r="K553" t="inlineStr">
        <is>
          <t>Scorzè</t>
        </is>
      </c>
      <c r="L553" t="inlineStr">
        <is>
          <t>Scorzè, Italy</t>
        </is>
      </c>
      <c r="M553" t="n">
        <v>45.5801006</v>
      </c>
      <c r="N553" t="n">
        <v>12.117145</v>
      </c>
      <c r="O553" s="1" t="inlineStr">
        <is>
          <t>Italy</t>
        </is>
      </c>
      <c r="P553" s="1" t="inlineStr">
        <is>
          <t>Italy</t>
        </is>
      </c>
      <c r="Q553" s="1" t="inlineStr">
        <is>
          <t>0 to 2</t>
        </is>
      </c>
      <c r="R553" t="inlineStr">
        <is>
          <t>Solo entrepreneur</t>
        </is>
      </c>
      <c r="S553" s="1" t="inlineStr">
        <is>
          <t>Business to Business, Business to Schools, Business to Consumer, Business to Government</t>
        </is>
      </c>
      <c r="T553" s="1" t="inlineStr">
        <is>
          <t>Secondary Education, Corporate Training, Lifelong learning/Adult education</t>
        </is>
      </c>
      <c r="U553" s="1" t="inlineStr">
        <is>
          <t>Student interfacing, Teacher interfacing, System/Administrative</t>
        </is>
      </c>
      <c r="V553" s="1" t="n"/>
      <c r="W553" s="1" t="inlineStr">
        <is>
          <t>https://drive.google.com/uc?export=view&amp;id=1IeLO4HBlM5UFJDTGISayJJaZmIITL5O-</t>
        </is>
      </c>
      <c r="X553" s="1" t="inlineStr">
        <is>
          <t>https://drive.google.com/uc?export=view&amp;id=1IeLO4HBlM5UFJDTGISayJJaZmIITL5O-</t>
        </is>
      </c>
      <c r="Y553" t="inlineStr">
        <is>
          <t>https://drive.google.com/uc?export=view&amp;id=1IeLO4HBlM5UFJDTGISayJJaZmIITL5O-</t>
        </is>
      </c>
      <c r="Z553" s="1" t="inlineStr">
        <is>
          <t>https://drive.google.com/uc?export=view&amp;id=1IeLO4HBlM5UFJDTGISayJJaZmIITL5O-</t>
        </is>
      </c>
      <c r="AA553" s="1" t="inlineStr">
        <is>
          <t>Unverified</t>
        </is>
      </c>
      <c r="AB553" s="1" t="n"/>
      <c r="AC553" s="1" t="n"/>
      <c r="AD553" s="10" t="n"/>
      <c r="AE553" s="1" t="n"/>
      <c r="AF553" t="inlineStr">
        <is>
          <t>No</t>
        </is>
      </c>
    </row>
    <row r="554" ht="12.5" customHeight="1">
      <c r="A554" s="6" t="n">
        <v>45243</v>
      </c>
      <c r="B554" s="1" t="inlineStr">
        <is>
          <t>ORG_1604</t>
        </is>
      </c>
      <c r="C554" s="1" t="b">
        <v>1</v>
      </c>
      <c r="D554" s="1" t="inlineStr">
        <is>
          <t>Gamelearn</t>
        </is>
      </c>
      <c r="E554" s="10" t="inlineStr">
        <is>
          <t>https://game-learn.com</t>
        </is>
      </c>
      <c r="F554" t="inlineStr">
        <is>
          <t>game-learn.com</t>
        </is>
      </c>
      <c r="G554" s="1" t="inlineStr">
        <is>
          <t>Gamelearn is a pioneer and global frontrunner in video games and simulators for companies and institutions. Counting on 20 years of experience, we’ve become the most awarded gamification company in the world. We’ve worked with more than 5,000 corporate clients across five continents.
We create video games and simulators to help your organization reach its goals: we offer solutions to improve your sales or your business indicators, to communicate with your customers, employees, suppliers, or distributors, and for training and development.</t>
        </is>
      </c>
      <c r="H554" s="1" t="inlineStr">
        <is>
          <t>I'm not part of any EdTech association</t>
        </is>
      </c>
      <c r="I554" s="1" t="n"/>
      <c r="J554" s="1" t="inlineStr">
        <is>
          <t>Pozuelo De Alarcón</t>
        </is>
      </c>
      <c r="K554" t="inlineStr">
        <is>
          <t>Pozuelo De Alarcón</t>
        </is>
      </c>
      <c r="L554" t="inlineStr">
        <is>
          <t>Pozuelo De Alarcón, Spain</t>
        </is>
      </c>
      <c r="M554" t="n">
        <v>40.4346528</v>
      </c>
      <c r="N554" t="n">
        <v>-3.814834</v>
      </c>
      <c r="O554" s="1" t="inlineStr">
        <is>
          <t>Spain</t>
        </is>
      </c>
      <c r="P554" s="1" t="inlineStr">
        <is>
          <t>Austria, Belgium, Bulgaria, France, Germany, Greece, Ireland, Italy, Luxembourg, Netherlands, Poland, Portugal, Romania, Russia, Serbia, Spain, Switzerland, Turkey, United Kingdom</t>
        </is>
      </c>
      <c r="Q554" s="1" t="inlineStr">
        <is>
          <t>101 to 500</t>
        </is>
      </c>
      <c r="R554" t="inlineStr">
        <is>
          <t>Medium or Large (unspecified)</t>
        </is>
      </c>
      <c r="S554" s="1" t="inlineStr">
        <is>
          <t>Business to Business, Business to Schools, Business to Consumer, Business to Government</t>
        </is>
      </c>
      <c r="T554" s="1" t="inlineStr">
        <is>
          <t>Corporate Training, Lifelong learning/Adult education, Vocational Education and Training (VET), Higher Education</t>
        </is>
      </c>
      <c r="U554" s="1" t="inlineStr">
        <is>
          <t>Student interfacing, Teacher interfacing, System/Administrative</t>
        </is>
      </c>
      <c r="V554" s="10" t="inlineStr">
        <is>
          <t>http://www.linkedin.com/company/gamelearn</t>
        </is>
      </c>
      <c r="W554" s="10" t="inlineStr">
        <is>
          <t>https://drive.google.com/uc?export=view&amp;id=1cLCGvJeaX0PBIajRQyFkolPVPDfZZS5A</t>
        </is>
      </c>
      <c r="X554" s="10" t="inlineStr">
        <is>
          <t>https://drive.google.com/uc?export=view&amp;id=1cLCGvJeaX0PBIajRQyFkolPVPDfZZS5A</t>
        </is>
      </c>
      <c r="Y554" t="inlineStr">
        <is>
          <t>https://drive.google.com/uc?export=view&amp;id=1cLCGvJeaX0PBIajRQyFkolPVPDfZZS5A</t>
        </is>
      </c>
      <c r="Z554" s="1" t="inlineStr">
        <is>
          <t>https://drive.google.com/uc?export=view&amp;id=1cLCGvJeaX0PBIajRQyFkolPVPDfZZS5A</t>
        </is>
      </c>
      <c r="AA554" s="1" t="inlineStr">
        <is>
          <t>Unverified</t>
        </is>
      </c>
      <c r="AB554" s="1" t="n"/>
      <c r="AC554" s="1" t="n"/>
      <c r="AD554" s="10" t="n"/>
      <c r="AE554" s="1" t="n"/>
      <c r="AF554" s="1" t="inlineStr">
        <is>
          <t>Yes</t>
        </is>
      </c>
      <c r="AG554" s="1" t="inlineStr">
        <is>
          <t>https://www.instagram.com/gamelearn/</t>
        </is>
      </c>
      <c r="AH554" s="1" t="inlineStr">
        <is>
          <t>https://twitter.com/Gamelearn</t>
        </is>
      </c>
      <c r="AI554" t="inlineStr">
        <is>
          <t>www.linkedin.com/company/gamelearn</t>
        </is>
      </c>
    </row>
    <row r="555" ht="12.5" customHeight="1">
      <c r="A555" s="6" t="n">
        <v>45239</v>
      </c>
      <c r="B555" s="1" t="inlineStr">
        <is>
          <t>ORG_2012</t>
        </is>
      </c>
      <c r="C555" s="1" t="b">
        <v>1</v>
      </c>
      <c r="D555" s="1" t="inlineStr">
        <is>
          <t>Mysoly</t>
        </is>
      </c>
      <c r="E555" s="10" t="inlineStr">
        <is>
          <t>www.mysoly.nl</t>
        </is>
      </c>
      <c r="F555" t="inlineStr">
        <is>
          <t>mysoly.nl</t>
        </is>
      </c>
      <c r="G555" s="1" t="inlineStr">
        <is>
          <t>Mysoly is developing AI-based E-learning solutions, especially in the field of integration and language learning. Between 2021 and 2023, the start-up received €150,000 in two investment rounds, including the idea phase. The start-up was also awarded the AWS ed-tech start-up award in 2023 ($ 15.000 funding).
Currently, they have two different e-learning solutions called build and test master. Building on these solutions, nt2oefening.nl is an AI-powered testing platform that simulates Dutch language tests. BOOM Uitgevers, one of the largest publishing houses in the Dutch language field, is the platform's investing marketing partner. They have also started negotiations for a marketing partner for the German version of the platform.
In the short term, their goal is to continue building platforms for end-users and governmental bodies in the language and integration field based on their solutions.</t>
        </is>
      </c>
      <c r="H555" s="1" t="inlineStr">
        <is>
          <t>Dutch EdTech</t>
        </is>
      </c>
      <c r="I555" s="1" t="inlineStr">
        <is>
          <t>All</t>
        </is>
      </c>
      <c r="J555" s="1" t="inlineStr">
        <is>
          <t>Nuenen</t>
        </is>
      </c>
      <c r="K555" t="inlineStr">
        <is>
          <t>Nuenen</t>
        </is>
      </c>
      <c r="L555" t="inlineStr">
        <is>
          <t>Nuenen, The Netherlands</t>
        </is>
      </c>
      <c r="M555" t="n">
        <v>51.4743021</v>
      </c>
      <c r="N555" t="n">
        <v>5.5490439</v>
      </c>
      <c r="O555" s="1" t="inlineStr">
        <is>
          <t>The Netherlands</t>
        </is>
      </c>
      <c r="P555" s="1" t="inlineStr">
        <is>
          <t>Germany, Netherlands</t>
        </is>
      </c>
      <c r="Q555" s="1" t="inlineStr">
        <is>
          <t>11 to 50</t>
        </is>
      </c>
      <c r="R555" t="inlineStr">
        <is>
          <t>Small</t>
        </is>
      </c>
      <c r="S555" s="1" t="inlineStr">
        <is>
          <t>Business to Business, Business to Schools, Business to Consumer, Business to Government</t>
        </is>
      </c>
      <c r="T555" s="1" t="inlineStr">
        <is>
          <t>Corporate Training, Lifelong learning/Adult education</t>
        </is>
      </c>
      <c r="U555" s="1" t="inlineStr">
        <is>
          <t>Teacher interfacing, System/Administrative, Student interfacing</t>
        </is>
      </c>
      <c r="V555" s="1" t="inlineStr">
        <is>
          <t>Mysoly Build Master</t>
        </is>
      </c>
      <c r="W555" s="1" t="inlineStr">
        <is>
          <t>Building E-Learning platforms online like Coursera or Udemy. Fully customizable and can be designed up to your unique needs.</t>
        </is>
      </c>
      <c r="X555" s="10" t="inlineStr">
        <is>
          <t>Mysoly Test Master</t>
        </is>
      </c>
      <c r="Y555" t="inlineStr">
        <is>
          <t>AI-based building online testing platform especially in language learning and in-company use.</t>
        </is>
      </c>
      <c r="Z555" s="1" t="inlineStr">
        <is>
          <t>https://drive.google.com/uc?export=view&amp;id=1eHc5zzooktsrLRbpT-9KtldOoIjnun6g</t>
        </is>
      </c>
      <c r="AA555" s="1" t="inlineStr">
        <is>
          <t>Unverified</t>
        </is>
      </c>
      <c r="AB555" s="1" t="n"/>
      <c r="AC555" s="1" t="n"/>
      <c r="AD555" s="10" t="n"/>
      <c r="AE555" s="1" t="n"/>
      <c r="AF555" t="inlineStr">
        <is>
          <t>Yes</t>
        </is>
      </c>
      <c r="AG555" t="inlineStr">
        <is>
          <t>https://www.linkedin.com/company/82955558/admin/feed/posts/</t>
        </is>
      </c>
      <c r="AH555" t="inlineStr">
        <is>
          <t>https://www.linkedin.com/company/82955558/admin/feed/posts/</t>
        </is>
      </c>
      <c r="AI555" t="inlineStr">
        <is>
          <t>https://www.linkedin.com/company/82955558/admin/feed/posts/</t>
        </is>
      </c>
    </row>
    <row r="556" ht="12.5" customHeight="1">
      <c r="A556" s="6" t="n">
        <v>45238</v>
      </c>
      <c r="B556" s="1" t="inlineStr">
        <is>
          <t>ORG_1173</t>
        </is>
      </c>
      <c r="C556" s="1" t="b">
        <v>1</v>
      </c>
      <c r="D556" s="1" t="inlineStr">
        <is>
          <t>Blockbook</t>
        </is>
      </c>
      <c r="E556" s="10" t="inlineStr">
        <is>
          <t>blockbook.nl</t>
        </is>
      </c>
      <c r="F556" t="inlineStr">
        <is>
          <t>blockbook.nl</t>
        </is>
      </c>
      <c r="G556" s="1" t="inlineStr">
        <is>
          <t>We believe in technology to change education for the better, we act on that by creating software that generates personalized and interactive eLearning modules, so teachers do not have to make them and can focus on teaching.</t>
        </is>
      </c>
      <c r="H556" s="1" t="inlineStr">
        <is>
          <t>Dutch EdTech</t>
        </is>
      </c>
      <c r="I556" s="1" t="inlineStr">
        <is>
          <t>Dutch, English, (for, now)</t>
        </is>
      </c>
      <c r="J556" s="1" t="inlineStr">
        <is>
          <t>Leiden</t>
        </is>
      </c>
      <c r="K556" t="inlineStr">
        <is>
          <t>Leiden</t>
        </is>
      </c>
      <c r="L556" t="inlineStr">
        <is>
          <t>Leiden, The Netherlands</t>
        </is>
      </c>
      <c r="M556" t="n">
        <v>52.1700673</v>
      </c>
      <c r="N556" t="n">
        <v>4.4876769</v>
      </c>
      <c r="O556" s="1" t="inlineStr">
        <is>
          <t>The Netherlands</t>
        </is>
      </c>
      <c r="P556" s="1" t="inlineStr">
        <is>
          <t>Netherlands</t>
        </is>
      </c>
      <c r="Q556" s="1" t="inlineStr">
        <is>
          <t>3 to 5</t>
        </is>
      </c>
      <c r="R556" t="inlineStr">
        <is>
          <t>Micro</t>
        </is>
      </c>
      <c r="S556" s="1" t="inlineStr">
        <is>
          <t>Business to Business, Business to Schools</t>
        </is>
      </c>
      <c r="T556" s="1" t="inlineStr">
        <is>
          <t>Lifelong learning/Adult education, Vocational Education and Training (VET), Higher Education</t>
        </is>
      </c>
      <c r="U556" s="1" t="inlineStr">
        <is>
          <t>Student interfacing, Teacher interfacing</t>
        </is>
      </c>
      <c r="V556" s="1" t="inlineStr">
        <is>
          <t>Automated digital learning environment</t>
        </is>
      </c>
      <c r="W556" s="1" t="inlineStr">
        <is>
          <t>software that generates personalized and interactive eLearning modules, so teachers do not have to make them and can focus on teaching.</t>
        </is>
      </c>
      <c r="X556" s="10" t="inlineStr">
        <is>
          <t>https://drive.google.com/uc?export=view&amp;id=1Yb95an2gddwNJA6A34PnCBIiQv2N2tQv</t>
        </is>
      </c>
      <c r="Y556" t="inlineStr">
        <is>
          <t>https://drive.google.com/uc?export=view&amp;id=1Yb95an2gddwNJA6A34PnCBIiQv2N2tQv</t>
        </is>
      </c>
      <c r="Z556" s="1" t="inlineStr">
        <is>
          <t>https://drive.google.com/uc?export=view&amp;id=1Yb95an2gddwNJA6A34PnCBIiQv2N2tQv</t>
        </is>
      </c>
      <c r="AA556" s="1" t="inlineStr">
        <is>
          <t>Unverified</t>
        </is>
      </c>
      <c r="AB556" s="1" t="n"/>
      <c r="AC556" s="1" t="n"/>
      <c r="AD556" s="10" t="n"/>
      <c r="AE556" s="1" t="n"/>
      <c r="AF556" s="1" t="inlineStr">
        <is>
          <t>Yes</t>
        </is>
      </c>
      <c r="AG556" s="1" t="inlineStr">
        <is>
          <t>https://www.linkedin.com/company/98543805/</t>
        </is>
      </c>
      <c r="AH556" s="1" t="inlineStr">
        <is>
          <t>https://www.linkedin.com/company/98543805/</t>
        </is>
      </c>
      <c r="AI556" t="inlineStr">
        <is>
          <t>https://www.linkedin.com/company/98543805/</t>
        </is>
      </c>
    </row>
    <row r="557" ht="12.5" customHeight="1">
      <c r="A557" s="6" t="n">
        <v>45238</v>
      </c>
      <c r="B557" s="1" t="inlineStr">
        <is>
          <t>ORG_2338</t>
        </is>
      </c>
      <c r="C557" s="1" t="b">
        <v>1</v>
      </c>
      <c r="D557" s="1" t="inlineStr">
        <is>
          <t>Studo</t>
        </is>
      </c>
      <c r="E557" s="10" t="inlineStr">
        <is>
          <t>https://studo.com/en/</t>
        </is>
      </c>
      <c r="F557" t="inlineStr">
        <is>
          <t>studo.com/en</t>
        </is>
      </c>
      <c r="G557" s="1" t="inlineStr">
        <is>
          <t>As a supporter and partner, Studo develops digital solutions for universities. These solutions have an inclusive and holistic approach and help universities to push ahead with digitisation. We develop on request of the university and in cooperation with the university's own IT department or in the course of research projects.</t>
        </is>
      </c>
      <c r="H557" s="1" t="inlineStr">
        <is>
          <t>EdTech Austria</t>
        </is>
      </c>
      <c r="I557" s="1" t="inlineStr">
        <is>
          <t>English, German, Slovenian</t>
        </is>
      </c>
      <c r="J557" s="1" t="inlineStr">
        <is>
          <t>Graz</t>
        </is>
      </c>
      <c r="K557" t="inlineStr">
        <is>
          <t>Graz</t>
        </is>
      </c>
      <c r="L557" t="inlineStr">
        <is>
          <t>Graz, Austria</t>
        </is>
      </c>
      <c r="M557" t="n">
        <v>47.0708678</v>
      </c>
      <c r="N557" t="n">
        <v>15.4382786</v>
      </c>
      <c r="O557" s="1" t="inlineStr">
        <is>
          <t>Austria</t>
        </is>
      </c>
      <c r="P557" s="1" t="inlineStr">
        <is>
          <t>Austria, Germany, Slovenia, Switzerland</t>
        </is>
      </c>
      <c r="Q557" s="1" t="inlineStr">
        <is>
          <t>11 to 50</t>
        </is>
      </c>
      <c r="R557" t="inlineStr">
        <is>
          <t>Small</t>
        </is>
      </c>
      <c r="S557" s="1" t="inlineStr">
        <is>
          <t>Business to Business, Business to Government, Business to Schools</t>
        </is>
      </c>
      <c r="T557" s="1" t="inlineStr">
        <is>
          <t>Higher Education</t>
        </is>
      </c>
      <c r="U557" s="1" t="inlineStr">
        <is>
          <t>Student interfacing, Teacher interfacing</t>
        </is>
      </c>
      <c r="V557" s="10" t="inlineStr">
        <is>
          <t>Studo App</t>
        </is>
      </c>
      <c r="W557" s="10" t="inlineStr">
        <is>
          <t>This mobile application, available for Android and iOS, was developed for students to make their daily study life easier. Numerous functions such as mail client, calendar, chat, wiki or newsfeed ensure tens of thousands of satisfied users* in Europe. The app is basically used by students, but can be individualised and optimised by universities or university-related institutions on request.</t>
        </is>
      </c>
      <c r="X557" s="10" t="inlineStr">
        <is>
          <t>Digital Attendance List</t>
        </is>
      </c>
      <c r="Y557" t="inlineStr">
        <is>
          <t>With the digital attendance list, universities can reduce administrative work and offer their administrative staff, teachers and students a modern service for recording attendance in courses. The 100 % GDPR-compliant solution provides an overview of attendance times in real time – both for employees of your university and individually for your students.</t>
        </is>
      </c>
      <c r="Z557" s="1" t="inlineStr">
        <is>
          <t>https://drive.google.com/uc?export=view&amp;id=1rLQ7gOj9Dc630z6hPEWNld0LmI2kdwB5</t>
        </is>
      </c>
      <c r="AA557" s="1" t="inlineStr">
        <is>
          <t>Unverified</t>
        </is>
      </c>
      <c r="AB557" s="1" t="n"/>
      <c r="AC557" s="1" t="n"/>
      <c r="AD557" s="10" t="n"/>
      <c r="AE557" s="1" t="n"/>
      <c r="AF557" t="inlineStr">
        <is>
          <t>Yes</t>
        </is>
      </c>
      <c r="AG557" t="inlineStr">
        <is>
          <t>https://www.instagram.com/studoapp/</t>
        </is>
      </c>
      <c r="AH557" t="inlineStr">
        <is>
          <t>https://twitter.com/studoapp</t>
        </is>
      </c>
      <c r="AI557" t="inlineStr">
        <is>
          <t>https://www.linkedin.com/company/studo-app</t>
        </is>
      </c>
    </row>
    <row r="558" ht="12.5" customHeight="1">
      <c r="A558" s="6" t="n">
        <v>45238</v>
      </c>
      <c r="B558" s="1" t="inlineStr">
        <is>
          <t>ORG_2556</t>
        </is>
      </c>
      <c r="C558" s="1" t="b">
        <v>1</v>
      </c>
      <c r="D558" s="1" t="inlineStr">
        <is>
          <t>Wyblo</t>
        </is>
      </c>
      <c r="E558" s="10" t="inlineStr">
        <is>
          <t>www.wyblo.com</t>
        </is>
      </c>
      <c r="F558" t="inlineStr">
        <is>
          <t>wyblo.com</t>
        </is>
      </c>
      <c r="G558" s="1" t="inlineStr">
        <is>
          <t>The all-in-one learning experience platform that education and training program managers can use to oversee the entire course journey. Wyblo platform transforms feedback into accessible data and provides real-time analytics about course performance into centralized dashboards with different access levels for every stakeholder; we make it easier to improve and ensure the quality of your courses.
At Wyblo, our mission is to transform data and analytics into modes of social interaction that impact the educational and professional training world.</t>
        </is>
      </c>
      <c r="H558" s="1" t="inlineStr">
        <is>
          <t>EdTech Italia</t>
        </is>
      </c>
      <c r="I558" s="1" t="inlineStr">
        <is>
          <t>Italian, English</t>
        </is>
      </c>
      <c r="J558" s="1" t="inlineStr">
        <is>
          <t>Borgo San Dalmazzo</t>
        </is>
      </c>
      <c r="K558" t="inlineStr">
        <is>
          <t>Borgo San Dalmazzo</t>
        </is>
      </c>
      <c r="L558" t="inlineStr">
        <is>
          <t>Borgo San Dalmazzo, Italy</t>
        </is>
      </c>
      <c r="M558" t="n">
        <v>44.3269526</v>
      </c>
      <c r="N558" t="n">
        <v>7.4695328</v>
      </c>
      <c r="O558" s="1" t="inlineStr">
        <is>
          <t>Italy</t>
        </is>
      </c>
      <c r="P558" s="1" t="inlineStr">
        <is>
          <t>Italy, United Kingdom</t>
        </is>
      </c>
      <c r="Q558" s="1" t="inlineStr">
        <is>
          <t>3 to 5</t>
        </is>
      </c>
      <c r="R558" t="inlineStr">
        <is>
          <t>Micro</t>
        </is>
      </c>
      <c r="S558" s="1" t="inlineStr">
        <is>
          <t>Business to Consumer, Business to Schools</t>
        </is>
      </c>
      <c r="T558" s="1" t="inlineStr">
        <is>
          <t>Corporate Training, Lifelong learning/Adult education, Vocational Education and Training (VET)</t>
        </is>
      </c>
      <c r="U558" s="1" t="inlineStr">
        <is>
          <t>System/Administrative, Student interfacing</t>
        </is>
      </c>
      <c r="V558" s="10" t="inlineStr">
        <is>
          <t>Wyblo for training companies</t>
        </is>
      </c>
      <c r="W558" s="1" t="inlineStr">
        <is>
          <t>Creating an impactful training experience can be difficult when there are registration emails to be sent, surveys to be managed, and files to share, together with analytics.
Wyblo solves this problem by automating and centralizing all organizational data onto one platform while creating the analytics trainers need to create successful training moments.
Video demo: https://youtu.be/Y6PUkEiXKBg</t>
        </is>
      </c>
      <c r="X558" s="10" t="inlineStr">
        <is>
          <t>Wyblo for webinars</t>
        </is>
      </c>
      <c r="Y558" t="inlineStr">
        <is>
          <t>Managing a webinar requires putting together several parts: the creation of the event, the registration, the emailing, the hosting platform, the feedback.
With Wyblo you have an all-in-one platform to simply manage your webinars from registration to feedback.
Video demo: https://youtu.be/5n2Kgxzv3BY</t>
        </is>
      </c>
      <c r="Z558" s="1" t="inlineStr">
        <is>
          <t>https://drive.google.com/uc?export=view&amp;id=1haqq3swoWn7OZ4SZs1XrGW9u7LMgJQdF</t>
        </is>
      </c>
      <c r="AA558" s="1" t="inlineStr">
        <is>
          <t>Unverified</t>
        </is>
      </c>
      <c r="AB558" s="1" t="n"/>
      <c r="AC558" s="1" t="n"/>
      <c r="AD558" s="10" t="n"/>
      <c r="AE558" s="1" t="n"/>
      <c r="AF558" t="inlineStr">
        <is>
          <t>Yes</t>
        </is>
      </c>
      <c r="AG558" t="inlineStr">
        <is>
          <t>https://www.instagram.com/lifeatwyblo/</t>
        </is>
      </c>
      <c r="AH558" t="inlineStr">
        <is>
          <t>https://www.linkedin.com/company/wyblo</t>
        </is>
      </c>
      <c r="AI558" t="inlineStr">
        <is>
          <t>https://www.linkedin.com/company/wyblo</t>
        </is>
      </c>
    </row>
    <row r="559" ht="12.5" customHeight="1">
      <c r="A559" s="6" t="n">
        <v>45238</v>
      </c>
      <c r="B559" s="1" t="inlineStr">
        <is>
          <t>ORG_1090</t>
        </is>
      </c>
      <c r="C559" s="1" t="b">
        <v>1</v>
      </c>
      <c r="D559" s="1" t="inlineStr">
        <is>
          <t>ArchäoNOW</t>
        </is>
      </c>
      <c r="E559" s="10" t="inlineStr">
        <is>
          <t>www.archaeo-now.com</t>
        </is>
      </c>
      <c r="F559" t="inlineStr">
        <is>
          <t>archaeo-now.com</t>
        </is>
      </c>
      <c r="G559" s="1" t="inlineStr">
        <is>
          <t>Cultural education &amp; learning. Quiz races. Augmented Reality. ArchäoNOW stands for interactive and innovative quizzes and treasure hunts, for knowledge transfer and new technologies to explore Vienna's inner city (and beyond). By doing so, history becomes tangible and can be experienced. ArchäoNOW awakens the spirit of discovery and revolutionises the way knowledge and cultural heritage are conveyed. The team relies on good storytelling, game-based learning methods and innovative technologies. ArchäoNOW offers customised concepts and individual solutions within the framework of the Experience Studio.
With its expertise, ArchäoNOW is one of the world's pioneers in the field of playful cultural education combined with augmented and virtual reality. The team wants to give participants access to specific content in the cognitive field. Augmented and virtual reality allow people to fully engage with the environment and the objects within it, while receiving relevant visual and audio content. On an emotional level, ArchäoNOW is about making knowledge and culture transfer a vivid, surprising, creative and entertaining experience.</t>
        </is>
      </c>
      <c r="H559" s="1" t="inlineStr">
        <is>
          <t>EdTech Austria</t>
        </is>
      </c>
      <c r="I559" s="1" t="inlineStr">
        <is>
          <t>German, English</t>
        </is>
      </c>
      <c r="J559" s="1" t="inlineStr">
        <is>
          <t>Wien</t>
        </is>
      </c>
      <c r="K559" t="inlineStr">
        <is>
          <t>Wien</t>
        </is>
      </c>
      <c r="L559" t="inlineStr">
        <is>
          <t>Wien, Austria</t>
        </is>
      </c>
      <c r="M559" t="n">
        <v>48.2083537</v>
      </c>
      <c r="N559" t="n">
        <v>16.3725042</v>
      </c>
      <c r="O559" s="1" t="inlineStr">
        <is>
          <t>Austria</t>
        </is>
      </c>
      <c r="P559" s="1" t="inlineStr">
        <is>
          <t>Austria</t>
        </is>
      </c>
      <c r="Q559" s="1" t="inlineStr">
        <is>
          <t>0 to 2</t>
        </is>
      </c>
      <c r="R559" t="inlineStr">
        <is>
          <t>Solo entrepreneur</t>
        </is>
      </c>
      <c r="S559" s="1" t="inlineStr">
        <is>
          <t>Business to Business</t>
        </is>
      </c>
      <c r="T559" s="1" t="inlineStr">
        <is>
          <t>Lifelong learning/Adult education</t>
        </is>
      </c>
      <c r="U559" s="1" t="inlineStr">
        <is>
          <t>System/Administrative, Student interfacing, Teacher interfacing</t>
        </is>
      </c>
      <c r="V559" s="10" t="inlineStr">
        <is>
          <t>Escape the Hofburg</t>
        </is>
      </c>
      <c r="W559" s="1" t="inlineStr">
        <is>
          <t>Immerse yourself in a world full of tricky puzzles that have to be solved with virtual and augmented reality. Face the encrypted tasks in the Hofburg Vienna, a maze and gloomy catacombs await you. 
You will receive special smartphones, a map, a puzzle sheet and a bag with mysterious clues and equipment. Through the smartphones' display, ArchäoNOW opens a window into imperial Vienna.
As a team you go on a treasure hunt. Everything needed to master the game is provided on site.
Along the way, you will learn a lot of interesting facts about the Hofburg, its inhabitants and its architectural history. Because: every detail of the game's history hides true historical backgrounds and facts.</t>
        </is>
      </c>
      <c r="X559" s="10" t="inlineStr">
        <is>
          <t>The Augmented Reality Tour</t>
        </is>
      </c>
      <c r="Y559" t="inlineStr">
        <is>
          <t>Resurrect lost buildings, solve a historical murder case and follow in Mozart's footsteps on our interactive treasure hunt. On this tour, it is possible for the first time to experience Vienna's city center with the help of state-of-the-art augmented reality technology.</t>
        </is>
      </c>
      <c r="Z559" s="1" t="n"/>
      <c r="AA559" s="1" t="inlineStr">
        <is>
          <t>Unverified</t>
        </is>
      </c>
      <c r="AB559" s="1" t="n"/>
      <c r="AC559" s="1" t="n"/>
      <c r="AD559" s="1" t="n"/>
      <c r="AE559" s="1" t="n"/>
      <c r="AF559" s="1" t="inlineStr">
        <is>
          <t>Yes</t>
        </is>
      </c>
      <c r="AG559" s="1" t="inlineStr">
        <is>
          <t>https://www.instagram.com/archaeonow/</t>
        </is>
      </c>
      <c r="AH559" s="1" t="inlineStr">
        <is>
          <t>https://www.linkedin.com/company/archaeonow</t>
        </is>
      </c>
      <c r="AI559" t="inlineStr">
        <is>
          <t>https://www.linkedin.com/company/archaeonow</t>
        </is>
      </c>
    </row>
    <row r="560" ht="12.5" customHeight="1">
      <c r="A560" s="6" t="n">
        <v>45237</v>
      </c>
      <c r="B560" s="1" t="inlineStr">
        <is>
          <t>ORG_1796</t>
        </is>
      </c>
      <c r="C560" s="1" t="b">
        <v>1</v>
      </c>
      <c r="D560" s="1" t="inlineStr">
        <is>
          <t>Kwark Education</t>
        </is>
      </c>
      <c r="E560" s="10" t="inlineStr">
        <is>
          <t>https://kwark.education/</t>
        </is>
      </c>
      <c r="F560" t="inlineStr">
        <is>
          <t>kwark.education</t>
        </is>
      </c>
      <c r="G560" s="1" t="inlineStr">
        <is>
          <t>Kwark Education is the leading EdTech in the digital transformation of higher education in France. By bringing together technologies, education and entertainment, Kwark Education is positioned at the heart of the world of education: recruiting, guiding, digitizing, training, certifying. Kwark Education has unique expertise in the digitization of training courses, an LMS used by 90,000 learners, the certification of distance trainers, an apprentice training center, two media (MCE and Demain TV), an orientation and registration service for learners, and an educational metaverse.</t>
        </is>
      </c>
      <c r="H560" s="1" t="inlineStr">
        <is>
          <t>EdTech France</t>
        </is>
      </c>
      <c r="I560" s="1" t="n"/>
      <c r="J560" s="1" t="inlineStr">
        <is>
          <t>Paris</t>
        </is>
      </c>
      <c r="K560" t="inlineStr">
        <is>
          <t>Paris</t>
        </is>
      </c>
      <c r="L560" t="inlineStr">
        <is>
          <t>Paris, France</t>
        </is>
      </c>
      <c r="M560" t="n">
        <v>48.8534951</v>
      </c>
      <c r="N560" t="n">
        <v>2.3483915</v>
      </c>
      <c r="O560" s="1" t="inlineStr">
        <is>
          <t>France</t>
        </is>
      </c>
      <c r="P560" s="1" t="inlineStr">
        <is>
          <t>Belgium, France, Luxembourg, Switzerland</t>
        </is>
      </c>
      <c r="Q560" s="1" t="inlineStr">
        <is>
          <t>51 to 100</t>
        </is>
      </c>
      <c r="R560" t="inlineStr">
        <is>
          <t>Medium</t>
        </is>
      </c>
      <c r="S560" s="1" t="inlineStr">
        <is>
          <t>Business to Business, Business to Consumer, Business to Government, Business to Schools</t>
        </is>
      </c>
      <c r="T560" s="1" t="inlineStr">
        <is>
          <t>Higher Education, Corporate Training, Lifelong learning/Adult education</t>
        </is>
      </c>
      <c r="U560" s="1" t="inlineStr">
        <is>
          <t>Student interfacing, Teacher interfacing, System/Administrative</t>
        </is>
      </c>
      <c r="V560" s="1" t="inlineStr">
        <is>
          <t>Digitalization</t>
        </is>
      </c>
      <c r="W560" s="10" t="inlineStr">
        <is>
          <t>Tailor-made digitization of training courses</t>
        </is>
      </c>
      <c r="X560" s="10" t="inlineStr">
        <is>
          <t>Learning Management System</t>
        </is>
      </c>
      <c r="Y560" t="inlineStr">
        <is>
          <t>SAS learning management system (LMS), named T-Book</t>
        </is>
      </c>
      <c r="Z560" s="1" t="inlineStr">
        <is>
          <t>https://drive.google.com/uc?export=view&amp;id=1410zBmBoNSbyHch5JMwN0KEU_zobv4YT</t>
        </is>
      </c>
      <c r="AA560" s="1" t="inlineStr">
        <is>
          <t>Unverified</t>
        </is>
      </c>
      <c r="AB560" s="1" t="n"/>
      <c r="AC560" s="1" t="n"/>
      <c r="AD560" s="10" t="n"/>
      <c r="AE560" s="1" t="n"/>
      <c r="AF560" t="inlineStr">
        <is>
          <t>Yes</t>
        </is>
      </c>
      <c r="AG560" t="inlineStr">
        <is>
          <t>https://twitter.com/KwarkEducation</t>
        </is>
      </c>
      <c r="AH560" t="inlineStr">
        <is>
          <t>https://twitter.com/KwarkEducation</t>
        </is>
      </c>
      <c r="AI560" t="inlineStr">
        <is>
          <t>https://www.linkedin.com/company/kwark-education/</t>
        </is>
      </c>
    </row>
    <row r="561" ht="12.5" customHeight="1">
      <c r="A561" s="6" t="n">
        <v>45237</v>
      </c>
      <c r="B561" s="1" t="inlineStr">
        <is>
          <t>ORG_2405</t>
        </is>
      </c>
      <c r="C561" s="1" t="b">
        <v>1</v>
      </c>
      <c r="D561" s="1" t="inlineStr">
        <is>
          <t>THEIA</t>
        </is>
      </c>
      <c r="E561" s="10" t="inlineStr">
        <is>
          <t>https://www.theia.fr/en/</t>
        </is>
      </c>
      <c r="F561" t="inlineStr">
        <is>
          <t>theia.fr/en</t>
        </is>
      </c>
      <c r="G561" s="1" t="inlineStr">
        <is>
          <t>The THEIA platform is a SaaS solution specializing in digital education. With over 250,000 users and over 80 million exams completed over the past 15 years, THEIA is an innovative, reliable, and proven platform to meet the most complex online exam needs. E-learning and Data Analytics modules enrich THEIA's functionalities and make the platform a complete, easy-to-use, and customizable solution that helps you achieve your pedagogical objectives.
Today, THEIA is the European leader for large scale online exams in person or remote.</t>
        </is>
      </c>
      <c r="H561" s="1" t="inlineStr">
        <is>
          <t>EdTech France</t>
        </is>
      </c>
      <c r="I561" s="1" t="n"/>
      <c r="J561" s="1" t="inlineStr">
        <is>
          <t>Grenoble</t>
        </is>
      </c>
      <c r="K561" t="inlineStr">
        <is>
          <t>Grenoble</t>
        </is>
      </c>
      <c r="L561" t="inlineStr">
        <is>
          <t>Grenoble, France</t>
        </is>
      </c>
      <c r="M561" t="n">
        <v>45.1875602</v>
      </c>
      <c r="N561" t="n">
        <v>5.7357819</v>
      </c>
      <c r="O561" s="1" t="inlineStr">
        <is>
          <t>France</t>
        </is>
      </c>
      <c r="P561" s="1" t="inlineStr">
        <is>
          <t>Belgium, France, Germany, Italy, Portugal, Spain, Switzerland</t>
        </is>
      </c>
      <c r="Q561" s="1" t="inlineStr">
        <is>
          <t>11 to 50</t>
        </is>
      </c>
      <c r="R561" t="inlineStr">
        <is>
          <t>Small</t>
        </is>
      </c>
      <c r="S561" s="1" t="inlineStr">
        <is>
          <t>Business to Consumer, Business to Schools</t>
        </is>
      </c>
      <c r="T561" s="1" t="inlineStr">
        <is>
          <t>Secondary Education, Higher Education, Corporate Training</t>
        </is>
      </c>
      <c r="U561" s="1" t="inlineStr">
        <is>
          <t>Teacher interfacing, System/Administrative</t>
        </is>
      </c>
      <c r="V561" s="1" t="inlineStr">
        <is>
          <t>THEIA Exam</t>
        </is>
      </c>
      <c r="W561" s="10" t="inlineStr">
        <is>
          <t>THEIA replaces paper assessments with a secure digital solution, proven by hundreds of thousands of learners. This innovative solution is unique in Europe allows to deliver certifying exams on tablets and laptops. The platform is made of modules allowing the assessment of knowledge, competencies and performance.</t>
        </is>
      </c>
      <c r="X561" s="10" t="inlineStr">
        <is>
          <t>https://drive.google.com/uc?export=view&amp;id=1r_9D2exC8AK3L6IrC3NPUe5C0PVGzqcJ</t>
        </is>
      </c>
      <c r="Y561" t="inlineStr">
        <is>
          <t>https://drive.google.com/uc?export=view&amp;id=1r_9D2exC8AK3L6IrC3NPUe5C0PVGzqcJ</t>
        </is>
      </c>
      <c r="Z561" s="1" t="inlineStr">
        <is>
          <t>https://drive.google.com/uc?export=view&amp;id=1r_9D2exC8AK3L6IrC3NPUe5C0PVGzqcJ</t>
        </is>
      </c>
      <c r="AA561" s="1" t="inlineStr">
        <is>
          <t>Unverified</t>
        </is>
      </c>
      <c r="AB561" s="1" t="n"/>
      <c r="AC561" s="1" t="n"/>
      <c r="AD561" s="10" t="n"/>
      <c r="AE561" s="1" t="n"/>
      <c r="AF561" s="1" t="inlineStr">
        <is>
          <t>Yes</t>
        </is>
      </c>
      <c r="AG561" s="1" t="inlineStr">
        <is>
          <t>https://twitter.com/edutheia?lang=en</t>
        </is>
      </c>
      <c r="AH561" s="1" t="inlineStr">
        <is>
          <t>https://twitter.com/edutheia?lang=en</t>
        </is>
      </c>
      <c r="AI561" t="inlineStr">
        <is>
          <t>https://www.linkedin.com/company/sas-theia/mycompany/verification/?viewAsMember=true</t>
        </is>
      </c>
    </row>
    <row r="562" ht="12.5" customHeight="1">
      <c r="A562" s="6" t="n">
        <v>45237</v>
      </c>
      <c r="B562" s="1" t="inlineStr">
        <is>
          <t>ORG_2457</t>
        </is>
      </c>
      <c r="C562" s="1" t="b">
        <v>1</v>
      </c>
      <c r="D562" s="1" t="inlineStr">
        <is>
          <t>ULYS</t>
        </is>
      </c>
      <c r="E562" s="10" t="inlineStr">
        <is>
          <t>https://www.ulys-europe.eu/</t>
        </is>
      </c>
      <c r="F562" t="inlineStr">
        <is>
          <t>ulys-europe.eu</t>
        </is>
      </c>
      <c r="G562" s="1" t="inlineStr">
        <is>
          <t>FIRST SOCIAL NETWORK OF YOUNG PLURILINGUAL AND MOBILE EUROPEAN PEN PAL
ULYS is a social network of young European pen pals from 11 to 18 years old with a platform to quickly find pen pal and interest group and instant messenger to chat, audio and video.</t>
        </is>
      </c>
      <c r="H562" s="1" t="inlineStr">
        <is>
          <t>EdTech France</t>
        </is>
      </c>
      <c r="I562" s="1" t="n"/>
      <c r="J562" s="1" t="inlineStr">
        <is>
          <t>Paris</t>
        </is>
      </c>
      <c r="K562" t="inlineStr">
        <is>
          <t>Paris</t>
        </is>
      </c>
      <c r="L562" t="inlineStr">
        <is>
          <t>Paris, France</t>
        </is>
      </c>
      <c r="M562" t="n">
        <v>48.8534951</v>
      </c>
      <c r="N562" t="n">
        <v>2.3483915</v>
      </c>
      <c r="O562" s="1" t="inlineStr">
        <is>
          <t>France</t>
        </is>
      </c>
      <c r="P562" s="1" t="inlineStr">
        <is>
          <t>France, Germany, United Kingdom</t>
        </is>
      </c>
      <c r="Q562" s="1" t="inlineStr">
        <is>
          <t>0 to 10</t>
        </is>
      </c>
      <c r="R562" t="inlineStr">
        <is>
          <t>Micro</t>
        </is>
      </c>
      <c r="S562" s="1" t="inlineStr">
        <is>
          <t>Business to Consumer, Business to Schools</t>
        </is>
      </c>
      <c r="T562" s="1" t="inlineStr">
        <is>
          <t>Secondary Education</t>
        </is>
      </c>
      <c r="U562" s="1" t="inlineStr">
        <is>
          <t>System/Administrative, Student interfacing, Teacher interfacing</t>
        </is>
      </c>
      <c r="V562" s="1" t="inlineStr">
        <is>
          <t>ULYS</t>
        </is>
      </c>
      <c r="W562" s="10" t="inlineStr">
        <is>
          <t>FIRST SOCIAL NETWORK OF YOUNG PLURILINGUAL AND MOBILE EUROPEAN PEN PAL
ULYS is a social network of young European pen pals from 11 to 18 years old with a platform to quickly find pen pal and interest group and instant messenger to chat, audio and video.</t>
        </is>
      </c>
      <c r="X562" s="10" t="inlineStr">
        <is>
          <t>https://drive.google.com/uc?export=view&amp;id=1-TsMHv-6_PhQ_Cfi9mt2zztaSkAzKlCz</t>
        </is>
      </c>
      <c r="Y562" t="inlineStr">
        <is>
          <t>https://drive.google.com/uc?export=view&amp;id=1-TsMHv-6_PhQ_Cfi9mt2zztaSkAzKlCz</t>
        </is>
      </c>
      <c r="Z562" s="1" t="inlineStr">
        <is>
          <t>https://drive.google.com/uc?export=view&amp;id=1-TsMHv-6_PhQ_Cfi9mt2zztaSkAzKlCz</t>
        </is>
      </c>
      <c r="AA562" s="1" t="inlineStr">
        <is>
          <t>Unverified</t>
        </is>
      </c>
      <c r="AB562" s="1" t="n"/>
      <c r="AC562" s="1" t="n"/>
      <c r="AD562" s="10" t="n"/>
      <c r="AE562" s="1" t="n"/>
      <c r="AF562" t="inlineStr">
        <is>
          <t>Yes</t>
        </is>
      </c>
      <c r="AG562" t="inlineStr">
        <is>
          <t>https://twitter.com/EuropeUlys</t>
        </is>
      </c>
      <c r="AH562" t="inlineStr">
        <is>
          <t>https://twitter.com/EuropeUlys</t>
        </is>
      </c>
      <c r="AI562" t="inlineStr">
        <is>
          <t>https://www.ulys-europe.eu/</t>
        </is>
      </c>
    </row>
    <row r="563" ht="12.5" customHeight="1">
      <c r="A563" s="6" t="n">
        <v>45234</v>
      </c>
      <c r="B563" s="1" t="inlineStr">
        <is>
          <t>ORG_1878</t>
        </is>
      </c>
      <c r="C563" s="1" t="b">
        <v>1</v>
      </c>
      <c r="D563" s="1" t="inlineStr">
        <is>
          <t>Limitless Education</t>
        </is>
      </c>
      <c r="E563" s="10" t="inlineStr">
        <is>
          <t>https://www.limitlessedu.app/</t>
        </is>
      </c>
      <c r="F563" t="inlineStr">
        <is>
          <t>limitlessedu.app</t>
        </is>
      </c>
      <c r="G563" s="1" t="inlineStr">
        <is>
          <t>The mission of our company is to improve the educational system. We firmly believe that technology is a great ally to achieve this goal and that is why we have created an augmented reality application that allows us to regain motivation in the classrooms.</t>
        </is>
      </c>
      <c r="H563" s="1" t="inlineStr">
        <is>
          <t>SEK Lab</t>
        </is>
      </c>
      <c r="I563" s="1" t="inlineStr">
        <is>
          <t>Spanish, English</t>
        </is>
      </c>
      <c r="J563" s="1" t="inlineStr">
        <is>
          <t>Madrid</t>
        </is>
      </c>
      <c r="K563" t="inlineStr">
        <is>
          <t>Madrid</t>
        </is>
      </c>
      <c r="L563" t="inlineStr">
        <is>
          <t>Madrid, Spain</t>
        </is>
      </c>
      <c r="M563" t="n">
        <v>40.416782</v>
      </c>
      <c r="N563" t="n">
        <v>-3.703507</v>
      </c>
      <c r="O563" s="1" t="inlineStr">
        <is>
          <t>Spain</t>
        </is>
      </c>
      <c r="P563" s="1" t="inlineStr">
        <is>
          <t>Spain</t>
        </is>
      </c>
      <c r="Q563" s="1" t="inlineStr">
        <is>
          <t>0 to 2</t>
        </is>
      </c>
      <c r="R563" t="inlineStr">
        <is>
          <t>Solo entrepreneur</t>
        </is>
      </c>
      <c r="S563" s="1" t="inlineStr">
        <is>
          <t>Business to Schools, Business to Government</t>
        </is>
      </c>
      <c r="T563" s="1" t="inlineStr">
        <is>
          <t>Primary Education</t>
        </is>
      </c>
      <c r="U563" s="1" t="inlineStr">
        <is>
          <t>Teacher interfacing, System/Administrative</t>
        </is>
      </c>
      <c r="V563" s="1" t="inlineStr">
        <is>
          <t>Limitless Education</t>
        </is>
      </c>
      <c r="W563" s="1" t="inlineStr">
        <is>
          <t>Our product is an augmented reality app for primary classes, focused on recovering motivation in the classrooms.
We are specialized in the subjects of natural sciences and social sciences. We offer not only all the content of the subjects in 3 dimensions, but we have designed unique activities that allow us to reinforce the learning of the subject, as well as maintain constant motivation among the students.</t>
        </is>
      </c>
      <c r="X563" s="10" t="inlineStr">
        <is>
          <t>https://drive.google.com/uc?export=view&amp;id=1yxfYpDFsuliVSw3C8zzXIDSCqu8xEtHC</t>
        </is>
      </c>
      <c r="Y563" t="inlineStr">
        <is>
          <t>https://drive.google.com/uc?export=view&amp;id=1yxfYpDFsuliVSw3C8zzXIDSCqu8xEtHC</t>
        </is>
      </c>
      <c r="Z563" s="1" t="inlineStr">
        <is>
          <t>https://drive.google.com/uc?export=view&amp;id=1yxfYpDFsuliVSw3C8zzXIDSCqu8xEtHC</t>
        </is>
      </c>
      <c r="AA563" s="1" t="inlineStr">
        <is>
          <t>Unverified</t>
        </is>
      </c>
      <c r="AB563" s="1" t="n"/>
      <c r="AC563" s="1" t="n"/>
      <c r="AD563" s="10" t="n"/>
      <c r="AE563" s="1" t="n"/>
      <c r="AF563" s="1" t="inlineStr">
        <is>
          <t>Yes</t>
        </is>
      </c>
      <c r="AG563" s="1" t="inlineStr">
        <is>
          <t>@limitlesseduc</t>
        </is>
      </c>
      <c r="AH563" s="1" t="inlineStr">
        <is>
          <t>@limitlesseduapp</t>
        </is>
      </c>
      <c r="AI563" t="inlineStr">
        <is>
          <t>https://www.linkedin.com/company/limitlesseduc</t>
        </is>
      </c>
    </row>
    <row r="564" ht="12.5" customHeight="1">
      <c r="A564" s="6" t="n">
        <v>45232</v>
      </c>
      <c r="B564" s="1" t="inlineStr">
        <is>
          <t>ORG_2135</t>
        </is>
      </c>
      <c r="C564" s="1" t="b">
        <v>1</v>
      </c>
      <c r="D564" s="1" t="inlineStr">
        <is>
          <t>PsyPhy</t>
        </is>
      </c>
      <c r="E564" s="10" t="inlineStr">
        <is>
          <t>www.psyphy.io</t>
        </is>
      </c>
      <c r="F564" t="inlineStr">
        <is>
          <t>psyphy.io</t>
        </is>
      </c>
      <c r="G564" s="1" t="inlineStr">
        <is>
          <t>At PsyPhy, our mission is to revolutionize neurophysiological education and research by providing accessible and innovative solutions. We are dedicated to empowering students, educators, and researchers with cutting-edge psycho-physiological technologies, extensive educational platforms, and exceptional support. By bridging the gap between theory and practice, we strive to inspire curiosity, deepen understanding, and unlock the full potential of neuroscientific exploration. Our mission is driven by a commitment to excellence, innovation, and the advancement of knowledge for the betterment of individuals and society as a whole.</t>
        </is>
      </c>
      <c r="H564" s="1" t="inlineStr">
        <is>
          <t>Dutch EdTech</t>
        </is>
      </c>
      <c r="I564" s="1" t="inlineStr">
        <is>
          <t>English, Dutch, German</t>
        </is>
      </c>
      <c r="J564" s="1" t="inlineStr">
        <is>
          <t>Amsterdam</t>
        </is>
      </c>
      <c r="K564" t="inlineStr">
        <is>
          <t>Amsterdam</t>
        </is>
      </c>
      <c r="L564" t="inlineStr">
        <is>
          <t>Amsterdam, The Netherlands</t>
        </is>
      </c>
      <c r="M564" t="n">
        <v>52.3701984</v>
      </c>
      <c r="N564" t="n">
        <v>4.892168</v>
      </c>
      <c r="O564" s="1" t="inlineStr">
        <is>
          <t>The Netherlands</t>
        </is>
      </c>
      <c r="P56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564" s="1" t="inlineStr">
        <is>
          <t>3 to 5</t>
        </is>
      </c>
      <c r="R564" t="inlineStr">
        <is>
          <t>Micro</t>
        </is>
      </c>
      <c r="S564" s="1" t="inlineStr">
        <is>
          <t>Business to Business, Business to Schools, Business to Consumer, Business to Government</t>
        </is>
      </c>
      <c r="T564" s="1" t="inlineStr">
        <is>
          <t>Secondary Education, Vocational Education and Training (VET), Higher Education</t>
        </is>
      </c>
      <c r="U564" s="1" t="inlineStr">
        <is>
          <t>Teacher interfacing, System/Administrative</t>
        </is>
      </c>
      <c r="V564" s="1" t="inlineStr">
        <is>
          <t>Mobile Lab</t>
        </is>
      </c>
      <c r="W564" s="1" t="inlineStr">
        <is>
          <t>The Complete Solution to Empower Scientific Inquiry.
Say goodbye to the hassle of sourcing individual components and embrace the convenience of having a complete research solution at your fingertips. Take your neuroscientific research anywhere with PsyPhy’s portable Mobile Lab. Its compact design and easy layout make it perfect for transport, giving you the freedom to conduct research in diverse settings. Whether you’re in the lab, the classroom, or conducting field studies, our extensive suitcase provides you with everything needed to conduct cutting-edge investigations in the field of EEG, EOG, EMG, ECG, and GSR research. Say goodbye to the hassle of sourcing individual components and embrace the convenience of having a complete research solution at your fingertips.</t>
        </is>
      </c>
      <c r="X564" s="10" t="inlineStr">
        <is>
          <t>EEG Amplifier</t>
        </is>
      </c>
      <c r="Y564" t="inlineStr">
        <is>
          <t>Unlock the Power of Neurotechnology Research.
Designed for educational environments, our state-of-the-art device offers unmatched precision and accessibility. With a user-friendly interface and comprehensive educational suite, our amplifier seamlessly integrates into curricula, enabling students to explore the complexities of the human mind effortlessly. 
Our amplifier goes beyond EEG. It also records vital physiological signals like ERPs, ECG for heart activity, EOG for eye movements, EMC for muscle movements, and GSR for skin conductivity. This encompassing functionality fuels exploration of the brain’s connections to physiological responses and cognitive functions.</t>
        </is>
      </c>
      <c r="Z564" s="1" t="inlineStr">
        <is>
          <t>https://drive.google.com/uc?export=view&amp;id=1VQjEWqy3hX5HdvlDLdcJaIjth0LTaKTS</t>
        </is>
      </c>
      <c r="AA564" s="1" t="inlineStr">
        <is>
          <t>Unverified</t>
        </is>
      </c>
      <c r="AB564" s="1" t="n"/>
      <c r="AC564" s="1" t="n"/>
      <c r="AD564" s="10" t="n"/>
      <c r="AE564" s="1" t="n"/>
      <c r="AF564" t="inlineStr">
        <is>
          <t>Yes</t>
        </is>
      </c>
      <c r="AG564" t="inlineStr">
        <is>
          <t>https://www.linkedin.com/company/psyphyamsterdam/</t>
        </is>
      </c>
      <c r="AH564" t="inlineStr">
        <is>
          <t>https://www.linkedin.com/company/psyphyamsterdam/</t>
        </is>
      </c>
      <c r="AI564" t="inlineStr">
        <is>
          <t>https://www.linkedin.com/company/psyphyamsterdam/</t>
        </is>
      </c>
    </row>
    <row r="565" ht="12.5" customHeight="1">
      <c r="A565" s="6" t="n">
        <v>45230</v>
      </c>
      <c r="B565" s="1" t="inlineStr">
        <is>
          <t>ORG_1339</t>
        </is>
      </c>
      <c r="C565" s="1" t="b">
        <v>1</v>
      </c>
      <c r="D565" s="1" t="inlineStr">
        <is>
          <t>Desku</t>
        </is>
      </c>
      <c r="E565" s="10" t="inlineStr">
        <is>
          <t>www.desku.fi</t>
        </is>
      </c>
      <c r="F565" t="inlineStr">
        <is>
          <t>desku.fi</t>
        </is>
      </c>
      <c r="G565" s="1" t="inlineStr">
        <is>
          <t>Our main product is Single Sign On Digital desktop for schools. Our services make student's and teacher's everyday digital work easier. Our SaaS solutions reduce IT department’s work. Our team includes education and IT-professionals, which make us really good at understanding clients problems. We are active member of Finnish digital edu-ecosystem. We help service providers to implement Finland’s national MPASSid school authentication service correctly. If your company want to enter Finnish education market, we can help you to sort out the technical issues.</t>
        </is>
      </c>
      <c r="H565" s="1" t="inlineStr">
        <is>
          <t>EdTech Finland</t>
        </is>
      </c>
      <c r="I565" s="1" t="inlineStr">
        <is>
          <t>Finnish, Swedish, English</t>
        </is>
      </c>
      <c r="J565" s="1" t="inlineStr">
        <is>
          <t>Rusko</t>
        </is>
      </c>
      <c r="K565" t="inlineStr">
        <is>
          <t>Rusko</t>
        </is>
      </c>
      <c r="L565" t="inlineStr">
        <is>
          <t>Rusko, Finland</t>
        </is>
      </c>
      <c r="M565" t="n">
        <v>61.4519534</v>
      </c>
      <c r="N565" t="n">
        <v>23.887769</v>
      </c>
      <c r="O565" s="1" t="inlineStr">
        <is>
          <t>Finland</t>
        </is>
      </c>
      <c r="P565" s="1" t="inlineStr">
        <is>
          <t>Finland</t>
        </is>
      </c>
      <c r="Q565" s="1" t="inlineStr">
        <is>
          <t>0 to 2</t>
        </is>
      </c>
      <c r="R565" t="inlineStr">
        <is>
          <t>Solo entrepreneur</t>
        </is>
      </c>
      <c r="S565" s="1" t="inlineStr">
        <is>
          <t>Business to Business, Business to Consumer, Business to Government, Business to Schools</t>
        </is>
      </c>
      <c r="T565" s="1" t="inlineStr">
        <is>
          <t>Early childhood development (0-5 years), Primary Education, Secondary Education, Vocational Education and Training (VET), Higher Education</t>
        </is>
      </c>
      <c r="U565" s="1" t="inlineStr">
        <is>
          <t>Teacher interfacing, System/Administrative, Student interfacing</t>
        </is>
      </c>
      <c r="V565" s="1" t="inlineStr">
        <is>
          <t>Desku</t>
        </is>
      </c>
      <c r="W565" s="1" t="inlineStr">
        <is>
          <t>SSO digital desktop service.</t>
        </is>
      </c>
      <c r="X565" s="1" t="inlineStr">
        <is>
          <t>MPASSid Consultation</t>
        </is>
      </c>
      <c r="Y565" t="inlineStr">
        <is>
          <t>We help service providers to implement Finland’s national MPASSid authentication service correctly. https://www.oph.fi/en/finnish-national-agency-education-services/mpassid
If your company want to enter Finnish digital education markets, we can help you with MASSid.</t>
        </is>
      </c>
      <c r="Z565" s="1" t="inlineStr">
        <is>
          <t>https://drive.google.com/uc?export=view&amp;id=1u2cRghPZ4KB5LU4WPxrTr1Zckric6s_D</t>
        </is>
      </c>
      <c r="AA565" s="1" t="inlineStr">
        <is>
          <t>Unverified</t>
        </is>
      </c>
      <c r="AB565" s="1" t="n"/>
      <c r="AC565" s="1" t="n"/>
      <c r="AD565" s="10" t="n"/>
      <c r="AE565" s="1" t="n"/>
      <c r="AF565" s="1" t="inlineStr">
        <is>
          <t>No</t>
        </is>
      </c>
      <c r="AG565" s="1" t="n"/>
      <c r="AH565" s="1" t="n"/>
      <c r="AI565" s="1" t="n"/>
      <c r="AJ565" s="1" t="n"/>
    </row>
    <row r="566" ht="12.5" customHeight="1">
      <c r="A566" s="6" t="n">
        <v>45229</v>
      </c>
      <c r="B566" s="1" t="inlineStr">
        <is>
          <t>ORG_2293</t>
        </is>
      </c>
      <c r="C566" s="1" t="b">
        <v>1</v>
      </c>
      <c r="D566" s="1" t="inlineStr">
        <is>
          <t>SolveitNOW</t>
        </is>
      </c>
      <c r="E566" s="10" t="inlineStr">
        <is>
          <t>www.SolveitNOW.org</t>
        </is>
      </c>
      <c r="F566" t="inlineStr">
        <is>
          <t>solveitnow.org</t>
        </is>
      </c>
      <c r="G566" s="1" t="inlineStr">
        <is>
          <t>SolveitNOW is a peer-learning app to help high-school and college students to get "Better Understanding" of Math / Science.
We are solving the problem of high school/college students struggling to understand STEM subjects by empowering them to learn through problem-based peer-collaboration.
With SolveitNOW.app, students can 
— Ask questions and get helpful HINTS and FEEDBACK on answers from peers. 
— Gain a deeper understanding of the concepts.
— Develop critical thinking skills and a growth mindset.</t>
        </is>
      </c>
      <c r="H566" s="1" t="inlineStr">
        <is>
          <t>I'm not part of any EdTech association</t>
        </is>
      </c>
      <c r="I566" s="1" t="inlineStr">
        <is>
          <t>English</t>
        </is>
      </c>
      <c r="J566" s="1" t="inlineStr">
        <is>
          <t>Tallinn</t>
        </is>
      </c>
      <c r="K566" t="inlineStr">
        <is>
          <t>Tallinn</t>
        </is>
      </c>
      <c r="L566" t="inlineStr">
        <is>
          <t>Tallinn, Estonia</t>
        </is>
      </c>
      <c r="M566" t="n">
        <v>59.437242</v>
      </c>
      <c r="N566" t="n">
        <v>24.7572693</v>
      </c>
      <c r="O566" s="1" t="inlineStr">
        <is>
          <t>Estonia</t>
        </is>
      </c>
      <c r="P566" s="1" t="inlineStr">
        <is>
          <t>Estonia</t>
        </is>
      </c>
      <c r="Q566" s="1" t="inlineStr">
        <is>
          <t>0 to 2</t>
        </is>
      </c>
      <c r="R566" t="inlineStr">
        <is>
          <t>Solo entrepreneur</t>
        </is>
      </c>
      <c r="S566" s="1" t="inlineStr">
        <is>
          <t>Business to Schools, Business to Consumer</t>
        </is>
      </c>
      <c r="T566" s="1" t="inlineStr">
        <is>
          <t>Secondary Education, Higher Education</t>
        </is>
      </c>
      <c r="U566" s="1" t="inlineStr">
        <is>
          <t>Student interfacing, Teacher interfacing</t>
        </is>
      </c>
      <c r="V566" s="1" t="inlineStr">
        <is>
          <t>SolveitNOW</t>
        </is>
      </c>
      <c r="W566" s="10" t="inlineStr">
        <is>
          <t>We are solving the problem of high school/college students struggling to understand STEM subjects by empowering them to learn through problem-based peer-collaboration. Consider Monica, a high school senior — Who is generally comfortable in her classes but often struggles with complex concepts and questions. — She sometimes feels isolated and demotivated. With SolveitNOW.app, Monica can — ask questions and get helpful HINTS and FEEDBACK on her answers from her bright-peers. —This helps her to solve the questions on her own and gain a deeper understanding of the concepts. — Moreover, engaging in this problem-based collaboration also helps Monica develop critical thinking skills and a growth mindset.</t>
        </is>
      </c>
      <c r="X566" s="10" t="inlineStr">
        <is>
          <t>https://drive.google.com/uc?export=view&amp;id=1QdrhPwigUTvHxzGuo0VZIRZi-Hem9Pzg</t>
        </is>
      </c>
      <c r="Y566" t="inlineStr">
        <is>
          <t>https://drive.google.com/uc?export=view&amp;id=1QdrhPwigUTvHxzGuo0VZIRZi-Hem9Pzg</t>
        </is>
      </c>
      <c r="Z566" s="1" t="inlineStr">
        <is>
          <t>https://drive.google.com/uc?export=view&amp;id=1QdrhPwigUTvHxzGuo0VZIRZi-Hem9Pzg</t>
        </is>
      </c>
      <c r="AA566" s="1" t="inlineStr">
        <is>
          <t>Unverified</t>
        </is>
      </c>
      <c r="AB566" s="1" t="n"/>
      <c r="AC566" s="1" t="n"/>
      <c r="AD566" s="10" t="n"/>
      <c r="AE566" s="1" t="n"/>
      <c r="AF566" t="inlineStr">
        <is>
          <t>Yes</t>
        </is>
      </c>
      <c r="AG566" t="inlineStr">
        <is>
          <t>https://www.x.com/@hellosolveit</t>
        </is>
      </c>
      <c r="AH566" t="inlineStr">
        <is>
          <t>https://www.x.com/@hellosolveit</t>
        </is>
      </c>
      <c r="AI566" t="inlineStr">
        <is>
          <t>https://www.linkedin.com/company/solveitnow-inc</t>
        </is>
      </c>
    </row>
    <row r="567" ht="12.5" customHeight="1">
      <c r="A567" s="6" t="n">
        <v>45225</v>
      </c>
      <c r="B567" s="1" t="inlineStr">
        <is>
          <t>ORG_1688</t>
        </is>
      </c>
      <c r="C567" s="1" t="b">
        <v>1</v>
      </c>
      <c r="D567" s="1" t="inlineStr">
        <is>
          <t>HUB21 Learning</t>
        </is>
      </c>
      <c r="E567" s="10" t="inlineStr">
        <is>
          <t>https://www.thehub21.com/</t>
        </is>
      </c>
      <c r="F567" t="inlineStr">
        <is>
          <t>thehub21.com</t>
        </is>
      </c>
      <c r="G567" s="1" t="inlineStr">
        <is>
          <t>Hub21 is an AI and live learning platform with the mission to help students find their passion and achieve their dreams in tech. Hub21 offers curriculums in Computer Science, Game development taught by near-peer instructors from top universities and a self-learning platform supported by AI, CodeDuo.
The company is headquartered in London and was awarded by UNDP, and completed in UCL Edtech Lab, Google for Startups programs.</t>
        </is>
      </c>
      <c r="H567" s="1" t="inlineStr">
        <is>
          <t>I'm not part of any EdTech association</t>
        </is>
      </c>
      <c r="I567" s="1" t="n"/>
      <c r="J567" s="1" t="inlineStr">
        <is>
          <t>London</t>
        </is>
      </c>
      <c r="K567" t="inlineStr">
        <is>
          <t>London</t>
        </is>
      </c>
      <c r="L567" t="inlineStr">
        <is>
          <t>London, United Kingdom</t>
        </is>
      </c>
      <c r="M567" t="n">
        <v>51.5074456</v>
      </c>
      <c r="N567" t="n">
        <v>-0.1277653</v>
      </c>
      <c r="O567" s="1" t="inlineStr">
        <is>
          <t>United Kingdom</t>
        </is>
      </c>
      <c r="P567" s="1" t="inlineStr">
        <is>
          <t>Turkey, United Kingdom</t>
        </is>
      </c>
      <c r="Q567" s="1" t="inlineStr">
        <is>
          <t>6 to 10</t>
        </is>
      </c>
      <c r="R567" t="inlineStr">
        <is>
          <t>Micro</t>
        </is>
      </c>
      <c r="S567" s="1" t="inlineStr">
        <is>
          <t>Business to Business, Business to Consumer, Business to Schools</t>
        </is>
      </c>
      <c r="T567" s="1" t="inlineStr">
        <is>
          <t>Secondary Education</t>
        </is>
      </c>
      <c r="U567" s="1" t="inlineStr">
        <is>
          <t>System/Administrative, Student interfacing, Teacher interfacing</t>
        </is>
      </c>
      <c r="V567" s="10" t="inlineStr">
        <is>
          <t>Hub21 Tutoring</t>
        </is>
      </c>
      <c r="W567" s="1" t="inlineStr">
        <is>
          <t>Hub21 Learning began as a specialized tutoring platform where we developed our own computer science curriculum and onboarded university students from top institutions as tutors. These tutors were trained to adapt our curriculum to each student's unique learning methods. In our exclusive 1:1 sessions at Hub21 Learning, tutors are carefully selected to align with our student’s unique learning style, personality, and background.</t>
        </is>
      </c>
      <c r="X567" s="10" t="inlineStr">
        <is>
          <t>CodeDuo</t>
        </is>
      </c>
      <c r="Y567" t="inlineStr">
        <is>
          <t>CodeDuo's platform harnesses the power of AI to provide personalized learning paths for each student, with adaptive quizzes and real-time AI tutor interventions. Live competitions stimulate peer-to-peer engagement and learning. For educators, our interface lets them seamlessly integrate their students, monitor their progress, and benefit from AI-curated quiz generation. In essence, we're making computer science education dynamic, accessible, and deeply personalized</t>
        </is>
      </c>
      <c r="Z567" s="1" t="inlineStr">
        <is>
          <t>https://drive.google.com/uc?export=view&amp;id=18nhXpewqQxL6GXRuSEQW1ZqJjyhSMTx8</t>
        </is>
      </c>
      <c r="AA567" s="1" t="inlineStr">
        <is>
          <t>Unverified</t>
        </is>
      </c>
      <c r="AB567" s="1" t="n"/>
      <c r="AC567" s="1" t="n"/>
      <c r="AD567" s="10" t="n"/>
      <c r="AE567" s="1" t="n"/>
      <c r="AF567" t="inlineStr">
        <is>
          <t>Yes</t>
        </is>
      </c>
      <c r="AG567" t="inlineStr">
        <is>
          <t>https://www.instagram.com/thehub.21/</t>
        </is>
      </c>
      <c r="AH567" t="inlineStr">
        <is>
          <t>https://www.linkedin.com/company/thehub21/</t>
        </is>
      </c>
      <c r="AI567" t="inlineStr">
        <is>
          <t>https://www.linkedin.com/company/thehub21/</t>
        </is>
      </c>
    </row>
    <row r="568" ht="12.5" customHeight="1">
      <c r="A568" s="6" t="n">
        <v>45222</v>
      </c>
      <c r="B568" s="1" t="inlineStr">
        <is>
          <t>ORG_2033</t>
        </is>
      </c>
      <c r="C568" s="1" t="b">
        <v>1</v>
      </c>
      <c r="D568" s="1" t="inlineStr">
        <is>
          <t>New Work &amp; Learning</t>
        </is>
      </c>
      <c r="E568" s="10" t="inlineStr">
        <is>
          <t>https://www.kickstart-innovation.com/</t>
        </is>
      </c>
      <c r="F568" t="inlineStr">
        <is>
          <t>kickstart-innovation.com</t>
        </is>
      </c>
      <c r="G568" s="1" t="inlineStr">
        <is>
          <t>Kickstart Innovation takes an open innovation approach to help organizations succeed at becoming more sustainable and inventive by accelerating collaboration with well established startups. 
The impact of new technologies and changes to the labor market have shifted the way organizations manage the workforce and respond to employee needs in terms of re- and upskilling, wellbeing and growth opportunities. 
By 2025, over 50% of tasks will be automated, and 133 million new roles will be created. It is estimated that 1 billion people will have to be retrained by 2030. 
New Work &amp; Learning Vertical wants to shape the future of workplace engagement together with its partners, to formulate bolder and multidisciplinary solutions to dismantle silos in the organizations and retool the workforce in ways that point to a sustainable future.</t>
        </is>
      </c>
      <c r="H568" s="1" t="inlineStr">
        <is>
          <t>I'm not part of any EdTech association</t>
        </is>
      </c>
      <c r="I568" s="1" t="inlineStr">
        <is>
          <t>English</t>
        </is>
      </c>
      <c r="J568" s="1" t="inlineStr">
        <is>
          <t>Zürich</t>
        </is>
      </c>
      <c r="K568" t="inlineStr">
        <is>
          <t>Zürich</t>
        </is>
      </c>
      <c r="L568" t="inlineStr">
        <is>
          <t>Zürich, Switzerland</t>
        </is>
      </c>
      <c r="M568" t="n">
        <v>47.3744489</v>
      </c>
      <c r="N568" t="n">
        <v>8.5410422</v>
      </c>
      <c r="O568" s="1" t="inlineStr">
        <is>
          <t>Switzerland</t>
        </is>
      </c>
      <c r="P568" s="1" t="inlineStr">
        <is>
          <t>Switzerland</t>
        </is>
      </c>
      <c r="Q568" s="1" t="inlineStr">
        <is>
          <t>11 to 50</t>
        </is>
      </c>
      <c r="R568" t="inlineStr">
        <is>
          <t>Small</t>
        </is>
      </c>
      <c r="S568" s="1" t="inlineStr">
        <is>
          <t>Business to Business, Business to Consumer, Business to Schools</t>
        </is>
      </c>
      <c r="T568" s="1" t="inlineStr">
        <is>
          <t>Corporate Training, Lifelong learning/Adult education</t>
        </is>
      </c>
      <c r="U568" s="1" t="inlineStr">
        <is>
          <t>System/Administrative, Student interfacing</t>
        </is>
      </c>
      <c r="V568" s="1" t="inlineStr">
        <is>
          <t>New Work &amp; Learning Vertical</t>
        </is>
      </c>
      <c r="W568" s="1" t="inlineStr">
        <is>
          <t>The New Work &amp; Learning Vertical wants to shape the future of workplace engagement with its partners, to enable collaborative solutions for reskilling and upskilling organizations. Our mission is to work with startups and entrepreneurs who want to create opportunities for products and services to have a meaningful impact at scale. We want to empower organizations to become sustainable and future-proof for the continuous paradigm shifts in the way we work</t>
        </is>
      </c>
      <c r="X568" s="1" t="inlineStr">
        <is>
          <t>Kickstart Academy</t>
        </is>
      </c>
      <c r="Y568" t="inlineStr">
        <is>
          <t>The Kickstart Academy is all about creating an innovation funnel for your company while enabling and engaging your employees along the way. We support you in transforming your company into an ever-evolving business that faces the fast-paced changes of today. Discovering new business opportunities, and talents that drive change from within is what it is all about.</t>
        </is>
      </c>
      <c r="Z568" s="1" t="inlineStr">
        <is>
          <t>https://drive.google.com/uc?export=view&amp;id=1dYlK1Jr0nRaW9vaXtUAIPKDN3QpINK4Z</t>
        </is>
      </c>
      <c r="AA568" s="1" t="inlineStr">
        <is>
          <t>Unverified</t>
        </is>
      </c>
      <c r="AB568" s="1" t="n"/>
      <c r="AC568" s="1" t="n"/>
      <c r="AD568" s="10" t="n"/>
      <c r="AE568" s="1" t="n"/>
      <c r="AF568" s="1" t="inlineStr">
        <is>
          <t>No</t>
        </is>
      </c>
      <c r="AG568" s="1" t="n"/>
      <c r="AH568" s="1" t="n"/>
    </row>
    <row r="569" ht="12.5" customHeight="1">
      <c r="A569" s="6" t="n">
        <v>45219</v>
      </c>
      <c r="B569" s="1" t="inlineStr">
        <is>
          <t>ORG_1809</t>
        </is>
      </c>
      <c r="C569" s="1" t="b">
        <v>1</v>
      </c>
      <c r="D569" s="1" t="inlineStr">
        <is>
          <t>Langly</t>
        </is>
      </c>
      <c r="E569" s="10" t="inlineStr">
        <is>
          <t>https://langly.ai/en/</t>
        </is>
      </c>
      <c r="F569" t="inlineStr">
        <is>
          <t>langly.ai/en</t>
        </is>
      </c>
      <c r="G569" s="1" t="inlineStr">
        <is>
          <t>Langly is a high-quality English learning solution based on AI and the globally recognized methodology of Oxford University. Often, people lack the motivation or time for additional studies, and most available courses are unable to provide certification to their students. 
Langly offers an effective English learning solution for both B2B and B2C global markets.
1.	Langly generates motivation for learning through gamification and social-emotional learning.
2.	Helps students master key language skills from the A1 to C2 (CEFR) levels through the application of innovative AI features.
3.	As an official partner of Oxford University, it provides the possibility of obtaining official certification or preparing for any general English knowledge test: TOEFL, IELTS, Oxford &amp; Cambridge English exams.</t>
        </is>
      </c>
      <c r="H569" s="1" t="inlineStr">
        <is>
          <t>I'm not part of any EdTech association</t>
        </is>
      </c>
      <c r="I569" s="1" t="inlineStr">
        <is>
          <t>Romanian, English, Bulgarian, Turkish, Ukrainian</t>
        </is>
      </c>
      <c r="J569" s="1" t="inlineStr">
        <is>
          <t>Chisinau</t>
        </is>
      </c>
      <c r="K569" t="inlineStr">
        <is>
          <t>Chisinau</t>
        </is>
      </c>
      <c r="L569" t="inlineStr">
        <is>
          <t>Chisinau, Moldova</t>
        </is>
      </c>
      <c r="M569" t="n">
        <v>47.0245117</v>
      </c>
      <c r="N569" t="n">
        <v>28.8322923</v>
      </c>
      <c r="O569" s="1" t="inlineStr">
        <is>
          <t>Moldova</t>
        </is>
      </c>
      <c r="P56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569" s="1" t="inlineStr">
        <is>
          <t>11 to 50</t>
        </is>
      </c>
      <c r="R569" t="inlineStr">
        <is>
          <t>Small</t>
        </is>
      </c>
      <c r="S569" s="1" t="inlineStr">
        <is>
          <t>Business to Business, Business to Schools, Business to Consumer, Business to Government</t>
        </is>
      </c>
      <c r="T569" s="1" t="inlineStr">
        <is>
          <t>Secondary Education, Corporate Training, Lifelong learning/Adult education, Vocational Education and Training (VET), Higher Education</t>
        </is>
      </c>
      <c r="U569" s="1" t="inlineStr">
        <is>
          <t>System/Administrative, Student interfacing</t>
        </is>
      </c>
      <c r="V569" s="10" t="inlineStr">
        <is>
          <t>Langly</t>
        </is>
      </c>
      <c r="W569" s="10" t="inlineStr">
        <is>
          <t>Langly - a new generation English learning solution based on AI and the Oxford Methodology. It creates motivation and changes the entire perception of online learning, while providing systematic knowledges, an official language course and a globally recognised certification. Langly is focused on both B2B and B2C markets worldwide.</t>
        </is>
      </c>
      <c r="X569" s="10" t="inlineStr">
        <is>
          <t>https://drive.google.com/uc?export=view&amp;id=1Qyn5w3tIGIHv_gcqjvEElpEe-lxi2wsC</t>
        </is>
      </c>
      <c r="Y569" t="inlineStr">
        <is>
          <t>https://drive.google.com/uc?export=view&amp;id=1Qyn5w3tIGIHv_gcqjvEElpEe-lxi2wsC</t>
        </is>
      </c>
      <c r="Z569" s="1" t="inlineStr">
        <is>
          <t>https://drive.google.com/uc?export=view&amp;id=1Qyn5w3tIGIHv_gcqjvEElpEe-lxi2wsC</t>
        </is>
      </c>
      <c r="AA569" s="1" t="inlineStr">
        <is>
          <t>Unverified</t>
        </is>
      </c>
      <c r="AB569" s="1" t="n"/>
      <c r="AC569" s="1" t="n"/>
      <c r="AD569" s="10" t="n"/>
      <c r="AE569" s="1" t="n"/>
      <c r="AF569" t="inlineStr">
        <is>
          <t>Yes</t>
        </is>
      </c>
      <c r="AG569" t="inlineStr">
        <is>
          <t>https://www.instagram.com/langly.app/</t>
        </is>
      </c>
      <c r="AH569" t="inlineStr">
        <is>
          <t>https://twitter.com/langly_inc?s=21&amp;t=c9l-3xJat7s1nB0RAhFVuA</t>
        </is>
      </c>
      <c r="AI569" t="inlineStr">
        <is>
          <t>https://www.linkedin.com/company/langly/</t>
        </is>
      </c>
    </row>
    <row r="570" ht="12.5" customHeight="1">
      <c r="A570" s="6" t="n">
        <v>45219</v>
      </c>
      <c r="B570" s="1" t="inlineStr">
        <is>
          <t>ORG_2137</t>
        </is>
      </c>
      <c r="C570" s="1" t="b">
        <v>1</v>
      </c>
      <c r="D570" s="1" t="inlineStr">
        <is>
          <t>puro.education</t>
        </is>
      </c>
      <c r="E570" s="10" t="inlineStr">
        <is>
          <t>https://puro.education</t>
        </is>
      </c>
      <c r="F570" t="inlineStr">
        <is>
          <t>puro.education</t>
        </is>
      </c>
      <c r="G570" s="1" t="inlineStr">
        <is>
          <t>Puro Education is a learning content platform. The tasks are carefully and pedagogically designed. Puro's interface is intuitive (touch screens with stylus pens) and designed for formal learning experience for example for schools. One of our core values is that Puro is accessible.
Our vision is that Puro Education is the "de-facto" digital education platform for kids all around the world and leading digital learning content publishing platform in 2030. 
We are looking for finding the necessary steps to get financed and go to international markets with the help of this incubator. 
Our power comes from balanced team; We have balanced skills in education, design, tech and business. We are solving a real life problem.</t>
        </is>
      </c>
      <c r="H570" s="1" t="inlineStr">
        <is>
          <t>I'm not part of any EdTech association</t>
        </is>
      </c>
      <c r="I570" s="1" t="inlineStr">
        <is>
          <t>All</t>
        </is>
      </c>
      <c r="J570" s="1" t="inlineStr">
        <is>
          <t>Ulappasaarentie 1</t>
        </is>
      </c>
      <c r="L570" t="inlineStr">
        <is>
          <t>Ulappasaarentie 1, Finland</t>
        </is>
      </c>
      <c r="O570" s="1" t="inlineStr">
        <is>
          <t>Finland</t>
        </is>
      </c>
      <c r="P570" s="1" t="inlineStr">
        <is>
          <t>Finland</t>
        </is>
      </c>
      <c r="Q570" s="1" t="inlineStr">
        <is>
          <t>0 to 2</t>
        </is>
      </c>
      <c r="R570" t="inlineStr">
        <is>
          <t>Solo entrepreneur</t>
        </is>
      </c>
      <c r="S570" s="1" t="inlineStr">
        <is>
          <t>Business to Business, Business to Schools, Business to Consumer, Business to Government</t>
        </is>
      </c>
      <c r="T570" s="1" t="inlineStr">
        <is>
          <t>Early childhood development (0-5 years), Primary Education</t>
        </is>
      </c>
      <c r="U570" s="1" t="inlineStr">
        <is>
          <t>System/Administrative, Student interfacing, Teacher interfacing</t>
        </is>
      </c>
      <c r="V570" s="10" t="inlineStr">
        <is>
          <t>puro.education</t>
        </is>
      </c>
      <c r="W570" s="1" t="inlineStr">
        <is>
          <t>Puro Education is a learning content platform. The tasks are carefully and pedagogically designed. Puro's interface is intuitive (touch screens with stylus pens) and designed for formal learning experience for example for schools. One of our core values is that Puro is accessible.</t>
        </is>
      </c>
      <c r="X570" s="10" t="inlineStr">
        <is>
          <t>https://drive.google.com/uc?export=view&amp;id=1SHEUQa0-3zT5OC8pKjduKLw2Spw7oTsh</t>
        </is>
      </c>
      <c r="Y570" t="inlineStr">
        <is>
          <t>https://drive.google.com/uc?export=view&amp;id=1SHEUQa0-3zT5OC8pKjduKLw2Spw7oTsh</t>
        </is>
      </c>
      <c r="Z570" s="1" t="inlineStr">
        <is>
          <t>https://drive.google.com/uc?export=view&amp;id=1SHEUQa0-3zT5OC8pKjduKLw2Spw7oTsh</t>
        </is>
      </c>
      <c r="AA570" s="1" t="inlineStr">
        <is>
          <t>Unverified</t>
        </is>
      </c>
      <c r="AB570" s="1" t="n"/>
      <c r="AC570" s="1" t="n"/>
      <c r="AD570" s="10" t="n"/>
      <c r="AE570" s="1" t="n"/>
      <c r="AF570" t="inlineStr">
        <is>
          <t>Yes</t>
        </is>
      </c>
      <c r="AG570" t="inlineStr">
        <is>
          <t>https://www.instagram.com/puro.education/</t>
        </is>
      </c>
      <c r="AH570" t="inlineStr">
        <is>
          <t>https://fi.linkedin.com/company/pisara-learning</t>
        </is>
      </c>
      <c r="AI570" t="inlineStr">
        <is>
          <t>https://fi.linkedin.com/company/pisara-learning</t>
        </is>
      </c>
    </row>
    <row r="571" ht="12.5" customHeight="1">
      <c r="A571" s="6" t="n">
        <v>45219</v>
      </c>
      <c r="B571" s="1" t="inlineStr">
        <is>
          <t>ORG_1413</t>
        </is>
      </c>
      <c r="C571" s="1" t="b">
        <v>1</v>
      </c>
      <c r="D571" s="1" t="inlineStr">
        <is>
          <t>EDNEO AG</t>
        </is>
      </c>
      <c r="E571" s="10" t="inlineStr">
        <is>
          <t>https://edneo.de/de/</t>
        </is>
      </c>
      <c r="F571" t="inlineStr">
        <is>
          <t>edneo.de/de</t>
        </is>
      </c>
      <c r="G571" s="1" t="inlineStr">
        <is>
          <t>Education. Digital. Redefined.
EDNEO transforms the world of education with intuitive digital teaching and learning solutions.
Academic teaching, practical relevance and digital innovation are part of our DNA. Through our many years of experience in higher education teaching, extensive feedback from students and teachers, and our market experience in digital transformation and the 'Future of Work', we create software solutions that offer real added value for our customers without overwhelming users. We combine classic theoretical knowledge with modern, practice-relevant methods. In addition, we bring solutions to the market that democratise education, simplify teaching and inspire new forms of teaching and learning.
In the digital age, not only companies have to think digitally, but also universities. In a digital and globally networked world, pure academic knowledge alone is no longer sufficient for a successful career. Rather, the effective use of this knowledge in practice is increasingly coming to the fore in order to solve complex real-world problems with new digital methods or formats.
With NEOsuite, EDNEO offers innovative and progress-oriented universities and teachers a modern, SaaS-based and customisable teaching and learning platform. Furthermore, we offer additional IT services in the areas of consulting, development and support.</t>
        </is>
      </c>
      <c r="H571" s="1" t="inlineStr">
        <is>
          <t>I'm not part of any EdTech association</t>
        </is>
      </c>
      <c r="I571" s="1" t="inlineStr">
        <is>
          <t>German, English</t>
        </is>
      </c>
      <c r="J571" s="1" t="inlineStr">
        <is>
          <t>Frankfurt</t>
        </is>
      </c>
      <c r="K571" t="inlineStr">
        <is>
          <t>Frankfurt</t>
        </is>
      </c>
      <c r="L571" t="inlineStr">
        <is>
          <t>Frankfurt, Germany</t>
        </is>
      </c>
      <c r="M571" t="n">
        <v>50.1106444</v>
      </c>
      <c r="N571" t="n">
        <v>8.682091700000001</v>
      </c>
      <c r="O571" s="1" t="inlineStr">
        <is>
          <t>Germany</t>
        </is>
      </c>
      <c r="P571" s="1" t="inlineStr">
        <is>
          <t>Germany</t>
        </is>
      </c>
      <c r="Q571" s="1" t="inlineStr">
        <is>
          <t>3 to 5</t>
        </is>
      </c>
      <c r="R571" t="inlineStr">
        <is>
          <t>Micro</t>
        </is>
      </c>
      <c r="S571" s="1" t="inlineStr">
        <is>
          <t>Business to Business, Business to Schools, Business to Government</t>
        </is>
      </c>
      <c r="T571" s="1" t="inlineStr">
        <is>
          <t>Higher Education</t>
        </is>
      </c>
      <c r="U571" s="1" t="inlineStr">
        <is>
          <t>Student interfacing, Teacher interfacing</t>
        </is>
      </c>
      <c r="V571" s="1" t="inlineStr">
        <is>
          <t>NEOpaper</t>
        </is>
      </c>
      <c r="W571" s="1" t="inlineStr">
        <is>
          <t>NEOpaper aims to improve the writing of seminar papers and theses for teachers and students. We believe that writing theses should be about gaining knowledge and not about repeating given content. There must be much more focus on the student's own performance, because more complex questions require intensive research. Here, students need a competent mentor who can effortlessly guide dozens of research processes with NEOpaper. In this way, every seminar paper and final paper can become a gain for the whole of science.</t>
        </is>
      </c>
      <c r="X571" s="10" t="inlineStr">
        <is>
          <t>https://drive.google.com/uc?export=view&amp;id=1w7Cm7cEXN6Ubct8OCoWjnF10Uu_-a4u6</t>
        </is>
      </c>
      <c r="Y571" t="inlineStr">
        <is>
          <t>https://drive.google.com/uc?export=view&amp;id=1w7Cm7cEXN6Ubct8OCoWjnF10Uu_-a4u6</t>
        </is>
      </c>
      <c r="Z571" s="1" t="inlineStr">
        <is>
          <t>https://drive.google.com/uc?export=view&amp;id=1w7Cm7cEXN6Ubct8OCoWjnF10Uu_-a4u6</t>
        </is>
      </c>
      <c r="AA571" s="1" t="inlineStr">
        <is>
          <t>Unverified</t>
        </is>
      </c>
      <c r="AB571" s="1" t="n"/>
      <c r="AC571" s="1" t="n"/>
      <c r="AD571" s="10" t="n"/>
      <c r="AE571" s="1" t="n"/>
      <c r="AF571" s="1" t="inlineStr">
        <is>
          <t>Yes</t>
        </is>
      </c>
      <c r="AG571" s="1" t="inlineStr">
        <is>
          <t>https://www.linkedin.com/company/edneo</t>
        </is>
      </c>
      <c r="AH571" s="1" t="inlineStr">
        <is>
          <t>https://www.linkedin.com/company/edneo</t>
        </is>
      </c>
      <c r="AI571" s="1" t="inlineStr">
        <is>
          <t>https://www.linkedin.com/company/edneo</t>
        </is>
      </c>
      <c r="AJ571" s="1" t="n"/>
    </row>
    <row r="572" ht="12.5" customHeight="1">
      <c r="A572" s="6" t="n">
        <v>45218</v>
      </c>
      <c r="B572" s="1" t="inlineStr">
        <is>
          <t>ORG_1032</t>
        </is>
      </c>
      <c r="C572" s="1" t="b">
        <v>1</v>
      </c>
      <c r="D572" s="1" t="inlineStr">
        <is>
          <t>ActiveQuiz</t>
        </is>
      </c>
      <c r="E572" s="10" t="inlineStr">
        <is>
          <t>https://www.activequiz.com</t>
        </is>
      </c>
      <c r="F572" t="inlineStr">
        <is>
          <t>activequiz.com</t>
        </is>
      </c>
      <c r="G572" s="1" t="inlineStr">
        <is>
          <t>ActiveQuiz is an e-learning service and app that combines educational content with movement. For a user, the concept can be described as a combination of Pokemon GO and traditional e-learning. You start a quiz walk in the app and set out to connect knowledge and exercise in the fresh air. For a quizmaster, ActiveQuiz can most easily be described as a powerful educational tool when you want to add movement to your knowledge.</t>
        </is>
      </c>
      <c r="H572" s="1" t="inlineStr">
        <is>
          <t>Swedish EdTech Industry</t>
        </is>
      </c>
      <c r="I572" s="1" t="inlineStr">
        <is>
          <t>English, Swedish</t>
        </is>
      </c>
      <c r="J572" s="1" t="inlineStr">
        <is>
          <t>Trollhattan</t>
        </is>
      </c>
      <c r="K572" t="inlineStr">
        <is>
          <t>Trollhattan</t>
        </is>
      </c>
      <c r="L572" t="inlineStr">
        <is>
          <t>Trollhattan, Sweden</t>
        </is>
      </c>
      <c r="M572" t="n">
        <v>58.2827931</v>
      </c>
      <c r="N572" t="n">
        <v>12.2908612</v>
      </c>
      <c r="O572" s="1" t="inlineStr">
        <is>
          <t>Sweden</t>
        </is>
      </c>
      <c r="P572" s="1" t="inlineStr">
        <is>
          <t>Czechia, Finland, France, Netherlands, Norway, Spain, Sweden, United Kingdom</t>
        </is>
      </c>
      <c r="Q572" s="1" t="inlineStr">
        <is>
          <t>3 to 5</t>
        </is>
      </c>
      <c r="R572" t="inlineStr">
        <is>
          <t>Micro</t>
        </is>
      </c>
      <c r="S572" s="1" t="inlineStr">
        <is>
          <t>Business to Business, Business to Consumer</t>
        </is>
      </c>
      <c r="T572" s="1" t="inlineStr">
        <is>
          <t>Secondary Education, Corporate Training, Lifelong learning/Adult education, Vocational Education and Training (VET), Higher Education</t>
        </is>
      </c>
      <c r="U572" s="1" t="inlineStr">
        <is>
          <t>System/Administrative, Student interfacing, Teacher interfacing</t>
        </is>
      </c>
      <c r="V572" s="1" t="inlineStr">
        <is>
          <t>ActiveQuiz</t>
        </is>
      </c>
      <c r="W572" s="1" t="inlineStr">
        <is>
          <t>ActiveQuiz is the app that combines public education and public health. For a user, the concept can be described as a digital tip walk. You start a quiz walk in the app and set out to connect knowledge and exercise in the fresh air. For a quizmaster, ActiveQuiz can most easily be described as a powerful educational tool when you want to add movement to your knowledge.</t>
        </is>
      </c>
      <c r="X572" s="10" t="inlineStr">
        <is>
          <t>https://drive.google.com/uc?export=view&amp;id=1QkxuS-6Qd_42daMy7NPu1oRPO_SJBm6k</t>
        </is>
      </c>
      <c r="Y572" t="inlineStr">
        <is>
          <t>https://drive.google.com/uc?export=view&amp;id=1QkxuS-6Qd_42daMy7NPu1oRPO_SJBm6k</t>
        </is>
      </c>
      <c r="Z572" s="1" t="inlineStr">
        <is>
          <t>https://drive.google.com/uc?export=view&amp;id=1QkxuS-6Qd_42daMy7NPu1oRPO_SJBm6k</t>
        </is>
      </c>
      <c r="AA572" s="1" t="inlineStr">
        <is>
          <t>Unverified</t>
        </is>
      </c>
      <c r="AB572" s="1" t="n"/>
      <c r="AC572" s="1" t="n"/>
      <c r="AD572" s="10" t="n"/>
      <c r="AE572" s="1" t="n"/>
      <c r="AF572" s="1" t="inlineStr">
        <is>
          <t>Yes</t>
        </is>
      </c>
      <c r="AG572" s="1" t="inlineStr">
        <is>
          <t>@activequiz</t>
        </is>
      </c>
      <c r="AH572" s="1" t="inlineStr">
        <is>
          <t>https://www.linkedin.com/company/10925962/</t>
        </is>
      </c>
      <c r="AI572" t="inlineStr">
        <is>
          <t>https://www.linkedin.com/company/10925962/</t>
        </is>
      </c>
    </row>
    <row r="573" ht="12.5" customHeight="1">
      <c r="A573" s="6" t="n">
        <v>45218</v>
      </c>
      <c r="B573" s="1" t="inlineStr">
        <is>
          <t>ORG_1276</t>
        </is>
      </c>
      <c r="C573" s="1" t="b">
        <v>1</v>
      </c>
      <c r="D573" s="1" t="inlineStr">
        <is>
          <t>Cogknit Oy</t>
        </is>
      </c>
      <c r="E573" s="10" t="inlineStr">
        <is>
          <t>www.cogknit.io</t>
        </is>
      </c>
      <c r="F573" t="inlineStr">
        <is>
          <t>cogknit.io</t>
        </is>
      </c>
      <c r="G573" s="1" t="inlineStr">
        <is>
          <t>We are Finland based technology platform that facilitates teaching and
learning by effectively connecting students and learners with teachers, institutes,
businesses, mentors, governments, and other societal partners through inciting
local and global real-world cases, research questions, scenarios,
problems etc., relevant to the curriculum.
The core aim is to foster 21st-century skills and competencies among
young generation, driven by real-world problems, working in
multidisciplinary international team settings; ultimately meeting the
needs of current and future employment and local innovation
ecosystems.</t>
        </is>
      </c>
      <c r="H573" s="1" t="inlineStr">
        <is>
          <t>EdTech Finland</t>
        </is>
      </c>
      <c r="I573" s="1" t="inlineStr">
        <is>
          <t>English</t>
        </is>
      </c>
      <c r="J573" s="1" t="inlineStr">
        <is>
          <t>Leenakuja 2</t>
        </is>
      </c>
      <c r="L573" t="inlineStr">
        <is>
          <t>Leenakuja 2, Finland</t>
        </is>
      </c>
      <c r="O573" s="1" t="inlineStr">
        <is>
          <t>Finland</t>
        </is>
      </c>
      <c r="P573" s="1" t="inlineStr">
        <is>
          <t>Finland</t>
        </is>
      </c>
      <c r="Q573" s="1" t="inlineStr">
        <is>
          <t>0 to 2</t>
        </is>
      </c>
      <c r="R573" t="inlineStr">
        <is>
          <t>Solo entrepreneur</t>
        </is>
      </c>
      <c r="S573" s="1" t="inlineStr">
        <is>
          <t>Business to Schools, Business to Consumer</t>
        </is>
      </c>
      <c r="T573" s="1" t="inlineStr">
        <is>
          <t>Secondary Education, Corporate Training, Vocational Education and Training (VET), Higher Education</t>
        </is>
      </c>
      <c r="U573" s="1" t="inlineStr">
        <is>
          <t>Student interfacing, Teacher interfacing, System/Administrative</t>
        </is>
      </c>
      <c r="V573" s="1" t="n"/>
      <c r="W573" s="1" t="inlineStr">
        <is>
          <t>https://drive.google.com/uc?export=view&amp;id=1apOpji-VeKvbAxJ-jvoGXRb-IGTwlhqG</t>
        </is>
      </c>
      <c r="X573" s="1" t="inlineStr">
        <is>
          <t>https://drive.google.com/uc?export=view&amp;id=1apOpji-VeKvbAxJ-jvoGXRb-IGTwlhqG</t>
        </is>
      </c>
      <c r="Y573" t="inlineStr">
        <is>
          <t>https://drive.google.com/uc?export=view&amp;id=1apOpji-VeKvbAxJ-jvoGXRb-IGTwlhqG</t>
        </is>
      </c>
      <c r="Z573" s="1" t="inlineStr">
        <is>
          <t>https://drive.google.com/uc?export=view&amp;id=1apOpji-VeKvbAxJ-jvoGXRb-IGTwlhqG</t>
        </is>
      </c>
      <c r="AA573" s="1" t="inlineStr">
        <is>
          <t>Unverified</t>
        </is>
      </c>
      <c r="AB573" s="1" t="n"/>
      <c r="AC573" s="1" t="n"/>
      <c r="AD573" s="10" t="n"/>
      <c r="AE573" s="1" t="n"/>
      <c r="AF573" t="inlineStr">
        <is>
          <t>No</t>
        </is>
      </c>
    </row>
    <row r="574" ht="12.5" customHeight="1">
      <c r="A574" s="6" t="n">
        <v>45218</v>
      </c>
      <c r="B574" s="1" t="inlineStr">
        <is>
          <t>ORG_1496</t>
        </is>
      </c>
      <c r="C574" s="1" t="b">
        <v>1</v>
      </c>
      <c r="D574" s="1" t="inlineStr">
        <is>
          <t>English Quest</t>
        </is>
      </c>
      <c r="E574" s="10" t="inlineStr">
        <is>
          <t>www.theenglishquest.com</t>
        </is>
      </c>
      <c r="F574" t="inlineStr">
        <is>
          <t>theenglishquest.com</t>
        </is>
      </c>
      <c r="G574" s="1" t="inlineStr">
        <is>
          <t>Our software allows schools to teach international quality English for just $5 per student per year. We are the first English learning solution built for the emerging $5Bn middle class english market. Our product just requires the teacher to have an android phone (no devices for students), it works offline, for teachers and students with basic English. We serve 170 schools, tutoring centres and NGOs in India, Vietnam, Indonesia, South Korea.</t>
        </is>
      </c>
      <c r="H574" s="1" t="inlineStr">
        <is>
          <t>I'm not part of any EdTech association</t>
        </is>
      </c>
      <c r="I574" s="1" t="inlineStr">
        <is>
          <t>English</t>
        </is>
      </c>
      <c r="J574" s="1" t="inlineStr">
        <is>
          <t>Wc1 0Tr</t>
        </is>
      </c>
      <c r="K574" t="inlineStr">
        <is>
          <t>London</t>
        </is>
      </c>
      <c r="L574" t="inlineStr">
        <is>
          <t>London, United Kingdom</t>
        </is>
      </c>
      <c r="M574" t="n">
        <v>51.5074456</v>
      </c>
      <c r="N574" t="n">
        <v>-0.1277653</v>
      </c>
      <c r="O574" s="1" t="inlineStr">
        <is>
          <t>United Kingdom</t>
        </is>
      </c>
      <c r="P574" s="1" t="inlineStr">
        <is>
          <t>United Kingdom</t>
        </is>
      </c>
      <c r="Q574" s="1" t="inlineStr">
        <is>
          <t>11 to 50</t>
        </is>
      </c>
      <c r="R574" t="inlineStr">
        <is>
          <t>Small</t>
        </is>
      </c>
      <c r="S574" s="1" t="inlineStr">
        <is>
          <t>Business to Business, Business to Schools, Business to Consumer, Business to Government</t>
        </is>
      </c>
      <c r="T574" s="1" t="inlineStr">
        <is>
          <t>Primary Education</t>
        </is>
      </c>
      <c r="U574" s="1" t="inlineStr">
        <is>
          <t>Teacher interfacing</t>
        </is>
      </c>
      <c r="V574" s="1" t="inlineStr">
        <is>
          <t>English Quest school app</t>
        </is>
      </c>
      <c r="W574" s="1" t="inlineStr">
        <is>
          <t>An android app that allows a novice teacher to deliver an international quality english lesson with limited technology, offline, for $5 per student per year.</t>
        </is>
      </c>
      <c r="X574" s="1" t="inlineStr">
        <is>
          <t>English Quest teacher app</t>
        </is>
      </c>
      <c r="Y574" t="inlineStr">
        <is>
          <t>An android app that allows students to practice spoken English, with live feedback, on their parents basic android phone.</t>
        </is>
      </c>
      <c r="Z574" s="1" t="inlineStr">
        <is>
          <t>https://drive.google.com/uc?export=view&amp;id=1AO8egDtgp4ae8j0_eOJTgkMGoLCepFQa</t>
        </is>
      </c>
      <c r="AA574" s="1" t="inlineStr">
        <is>
          <t>Unverified</t>
        </is>
      </c>
      <c r="AB574" s="1" t="n"/>
      <c r="AC574" s="1" t="n"/>
      <c r="AD574" s="10" t="n"/>
      <c r="AE574" s="1" t="n"/>
      <c r="AF574" t="inlineStr">
        <is>
          <t>No</t>
        </is>
      </c>
    </row>
    <row r="575" ht="12.5" customHeight="1">
      <c r="A575" s="6" t="n">
        <v>45218</v>
      </c>
      <c r="B575" s="1" t="inlineStr">
        <is>
          <t>ORG_2100</t>
        </is>
      </c>
      <c r="C575" s="1" t="b">
        <v>1</v>
      </c>
      <c r="D575" s="1" t="inlineStr">
        <is>
          <t>PhraseCat</t>
        </is>
      </c>
      <c r="E575" s="10" t="inlineStr">
        <is>
          <t>phrasecat.com</t>
        </is>
      </c>
      <c r="F575" t="inlineStr">
        <is>
          <t>phrasecat.com</t>
        </is>
      </c>
      <c r="G575" s="1" t="inlineStr">
        <is>
          <t>Our company has developed and operates the website (phrasecat.com) for improvement of English grammar in an interactive way.</t>
        </is>
      </c>
      <c r="H575" s="1" t="inlineStr">
        <is>
          <t>I'm not part of any EdTech association</t>
        </is>
      </c>
      <c r="I575" s="1" t="inlineStr">
        <is>
          <t>English, Russian, Brazilian, Portuguese</t>
        </is>
      </c>
      <c r="J575" s="1" t="inlineStr">
        <is>
          <t>Prague</t>
        </is>
      </c>
      <c r="K575" t="inlineStr">
        <is>
          <t>Prague</t>
        </is>
      </c>
      <c r="L575" t="inlineStr">
        <is>
          <t>Prague, Czech Republic</t>
        </is>
      </c>
      <c r="M575" t="n">
        <v>50.0864234</v>
      </c>
      <c r="N575" t="n">
        <v>14.4156772</v>
      </c>
      <c r="O575" s="1" t="inlineStr">
        <is>
          <t>Czech Republic</t>
        </is>
      </c>
      <c r="P575" s="1" t="inlineStr">
        <is>
          <t>Portugal, Russia</t>
        </is>
      </c>
      <c r="Q575" s="1" t="inlineStr">
        <is>
          <t>0 to 2</t>
        </is>
      </c>
      <c r="R575" t="inlineStr">
        <is>
          <t>Solo entrepreneur</t>
        </is>
      </c>
      <c r="S575" s="1" t="inlineStr">
        <is>
          <t>Business to Business, Business to Schools, Business to Consumer, Business to Government</t>
        </is>
      </c>
      <c r="T575" s="1" t="inlineStr">
        <is>
          <t>Corporate Training, Lifelong learning/Adult education, Vocational Education and Training (VET), Higher Education</t>
        </is>
      </c>
      <c r="U575" s="1" t="inlineStr">
        <is>
          <t>Student interfacing, Teacher interfacing</t>
        </is>
      </c>
      <c r="V575" s="1" t="inlineStr">
        <is>
          <t>PhraseCat</t>
        </is>
      </c>
      <c r="W575" s="1" t="inlineStr">
        <is>
          <t>PhraseCat is an interactive online resource for teachers and tutors teaching English as a foreign language or a second language. Our educational platform contains a catalogue of English phrases that teachers can use to practise grammar patterns with their students. Self-taught students can practise interactively online themselves.
Each phrase represents an English grammar point. Students have to complete a portion of the phrase. They can do so by using their creativity or by simply varying the answers provided by our Expert Bots.
Teachers can set up groups of students to work simultaneously on the same phrase (or sequence of phrases). Students can correct each other’s submissions and the teacher can correct the students’ submissions. Video/audio communication is available for the group participants to keep in touch.</t>
        </is>
      </c>
      <c r="X575" s="10" t="inlineStr">
        <is>
          <t>https://drive.google.com/uc?export=view&amp;id=13_o5FgEAJoR_ef4JnohgoH1PCVby8wDG</t>
        </is>
      </c>
      <c r="Y575" t="inlineStr">
        <is>
          <t>https://drive.google.com/uc?export=view&amp;id=13_o5FgEAJoR_ef4JnohgoH1PCVby8wDG</t>
        </is>
      </c>
      <c r="Z575" s="1" t="inlineStr">
        <is>
          <t>https://drive.google.com/uc?export=view&amp;id=13_o5FgEAJoR_ef4JnohgoH1PCVby8wDG</t>
        </is>
      </c>
      <c r="AA575" s="1" t="inlineStr">
        <is>
          <t>Unverified</t>
        </is>
      </c>
      <c r="AB575" s="1" t="n"/>
      <c r="AC575" s="1" t="n"/>
      <c r="AD575" s="10" t="n"/>
      <c r="AE575" s="1" t="n"/>
      <c r="AF575" t="inlineStr">
        <is>
          <t>Yes</t>
        </is>
      </c>
      <c r="AG575" t="inlineStr">
        <is>
          <t>https://www.linkedin.com/company/phrasecat</t>
        </is>
      </c>
      <c r="AH575" t="inlineStr">
        <is>
          <t>https://www.linkedin.com/company/phrasecat</t>
        </is>
      </c>
      <c r="AI575" t="inlineStr">
        <is>
          <t>https://www.linkedin.com/company/phrasecat</t>
        </is>
      </c>
    </row>
    <row r="576" ht="12.5" customHeight="1">
      <c r="A576" s="6" t="n">
        <v>45217</v>
      </c>
      <c r="B576" s="1" t="inlineStr">
        <is>
          <t>ORG_2491</t>
        </is>
      </c>
      <c r="C576" s="1" t="b">
        <v>1</v>
      </c>
      <c r="D576" s="1" t="inlineStr">
        <is>
          <t>Videocation</t>
        </is>
      </c>
      <c r="E576" s="10" t="inlineStr">
        <is>
          <t>https://www.videocation.no</t>
        </is>
      </c>
      <c r="F576" t="inlineStr">
        <is>
          <t>videocation.no</t>
        </is>
      </c>
      <c r="G576" s="1" t="inlineStr">
        <is>
          <t>Videocation is a two sided platform that on the one side makes it easy for experts to make professional video courses and on the other side makes it easy for businesses and individuals to access the courses through a simple subscription. For businesses Videocation offers LMS functionality: administration of users, learning data and tools to make playlists and follow up on learning initiatives.</t>
        </is>
      </c>
      <c r="H576" s="1" t="inlineStr">
        <is>
          <t>I'm not part of any EdTech association</t>
        </is>
      </c>
      <c r="I576" s="1" t="inlineStr">
        <is>
          <t>Norwegian, Spanish</t>
        </is>
      </c>
      <c r="J576" s="1" t="inlineStr">
        <is>
          <t>Oslo</t>
        </is>
      </c>
      <c r="K576" t="inlineStr">
        <is>
          <t>Oslo</t>
        </is>
      </c>
      <c r="L576" t="inlineStr">
        <is>
          <t>Oslo, Norway</t>
        </is>
      </c>
      <c r="M576" t="n">
        <v>59.9067935</v>
      </c>
      <c r="N576" t="n">
        <v>10.7610162</v>
      </c>
      <c r="O576" s="1" t="inlineStr">
        <is>
          <t>Norway</t>
        </is>
      </c>
      <c r="P576" s="1" t="inlineStr">
        <is>
          <t>Norway, Spain</t>
        </is>
      </c>
      <c r="Q576" s="1" t="inlineStr">
        <is>
          <t>11 to 50</t>
        </is>
      </c>
      <c r="R576" t="inlineStr">
        <is>
          <t>Small</t>
        </is>
      </c>
      <c r="S576" s="1" t="inlineStr">
        <is>
          <t>Business to Business, Business to Schools, Business to Consumer, Business to Government</t>
        </is>
      </c>
      <c r="T576" s="1" t="inlineStr">
        <is>
          <t>Corporate Training, Lifelong learning/Adult education</t>
        </is>
      </c>
      <c r="U576" s="1" t="inlineStr">
        <is>
          <t>System/Administrative, Student interfacing</t>
        </is>
      </c>
      <c r="V576" s="10" t="inlineStr">
        <is>
          <t>Video Courses</t>
        </is>
      </c>
      <c r="W576" s="10" t="inlineStr">
        <is>
          <t>Video Courses with local experts in local language. The courses are professional produced in our studios in Oslo and Madrid. The format follows Mayers principles for multimedia learning. This ensures optimal learning outcome from a course.</t>
        </is>
      </c>
      <c r="X576" s="10" t="inlineStr">
        <is>
          <t>LMS</t>
        </is>
      </c>
      <c r="Y576" t="inlineStr">
        <is>
          <t>A simple LMS that makes it possible to administrate users, see data on user activity, compose a curriculum in form of a playlist. Follow up learning activities with reminders and nudges.</t>
        </is>
      </c>
      <c r="Z576" s="1" t="inlineStr">
        <is>
          <t>https://drive.google.com/uc?export=view&amp;id=1CHnSGSuqd_FJXQH9rv55xI9zzFHZKDuG</t>
        </is>
      </c>
      <c r="AA576" s="1" t="inlineStr">
        <is>
          <t>Unverified</t>
        </is>
      </c>
      <c r="AB576" s="1" t="n"/>
      <c r="AC576" s="1" t="n"/>
      <c r="AD576" s="10" t="n"/>
      <c r="AE576" s="1" t="n"/>
      <c r="AF576" t="inlineStr">
        <is>
          <t>Yes</t>
        </is>
      </c>
      <c r="AG576" t="inlineStr">
        <is>
          <t>videocation.no</t>
        </is>
      </c>
      <c r="AH576" t="inlineStr">
        <is>
          <t>videocation.no</t>
        </is>
      </c>
      <c r="AI576" t="inlineStr">
        <is>
          <t>https://www.linkedin.com/company/videocation.no/</t>
        </is>
      </c>
    </row>
    <row r="577" ht="12.5" customHeight="1">
      <c r="A577" s="6" t="n">
        <v>45216</v>
      </c>
      <c r="B577" s="1" t="inlineStr">
        <is>
          <t>ORG_1534</t>
        </is>
      </c>
      <c r="C577" s="1" t="b">
        <v>1</v>
      </c>
      <c r="D577" s="1" t="inlineStr">
        <is>
          <t>eWink</t>
        </is>
      </c>
      <c r="E577" s="10" t="inlineStr">
        <is>
          <t>www.ewink.es</t>
        </is>
      </c>
      <c r="F577" t="inlineStr">
        <is>
          <t>ewink.es</t>
        </is>
      </c>
      <c r="G577" s="1" t="inlineStr">
        <is>
          <t>Your digital privacy, your life. 
eWink is the first app that allows you to see, manage, and control your digital-footprint. You can classify and score it and get statistics of feeling, sensitivity and awareness
eWink allows schools to reduce cyber accidents based on a culture of privacy awareness and respect. We can monitor and help students and schools perform digital well-being and privacy protection based on cutting-edge technology and a framework, including contents, training, workshops and related activities.</t>
        </is>
      </c>
      <c r="H577" s="1" t="inlineStr">
        <is>
          <t>I'm not part of any EdTech association, SEK Lab</t>
        </is>
      </c>
      <c r="I577" s="1" t="inlineStr">
        <is>
          <t>Spanish, English</t>
        </is>
      </c>
      <c r="J577" s="1" t="inlineStr">
        <is>
          <t>Sevilla</t>
        </is>
      </c>
      <c r="K577" t="inlineStr">
        <is>
          <t>Sevilla</t>
        </is>
      </c>
      <c r="L577" t="inlineStr">
        <is>
          <t>Sevilla, Spain</t>
        </is>
      </c>
      <c r="M577" t="n">
        <v>37.3886303</v>
      </c>
      <c r="N577" t="n">
        <v>-5.9953403</v>
      </c>
      <c r="O577" s="1" t="inlineStr">
        <is>
          <t>Spain</t>
        </is>
      </c>
      <c r="P577" s="1" t="inlineStr">
        <is>
          <t>Italy, Spain</t>
        </is>
      </c>
      <c r="Q577" s="1" t="inlineStr">
        <is>
          <t>11 to 50</t>
        </is>
      </c>
      <c r="R577" t="inlineStr">
        <is>
          <t>Small</t>
        </is>
      </c>
      <c r="S577" s="1" t="inlineStr">
        <is>
          <t>Business to Business, Business to Schools, Business to Consumer, Business to Government</t>
        </is>
      </c>
      <c r="T577" s="1" t="inlineStr">
        <is>
          <t>Secondary Education, Vocational Education and Training (VET), Higher Education</t>
        </is>
      </c>
      <c r="U577" s="1" t="inlineStr">
        <is>
          <t>System/Administrative, Student interfacing, Teacher interfacing</t>
        </is>
      </c>
      <c r="V577" s="1" t="inlineStr">
        <is>
          <t>ewink for end students</t>
        </is>
      </c>
      <c r="W577" s="1" t="inlineStr">
        <is>
          <t>Digital privacy and well-being protection APP subscription including digital footprint report, digital evidence, digital rights management, and direct support.</t>
        </is>
      </c>
      <c r="X577" s="10" t="inlineStr">
        <is>
          <t>ewink for Schools</t>
        </is>
      </c>
      <c r="Y577" t="inlineStr">
        <is>
          <t>Digital privacy and well-being protection subscription Saas Platform, a full DashBoard to monitor digital privacy awareness and cyber-accidents, including a way to work in a quantitative view of each student's digital footprint report, digital evidence, digital rights management, direct support, and a way to notice to authorities all the issue to react against cyber-accidents.</t>
        </is>
      </c>
      <c r="Z577" s="1" t="n"/>
      <c r="AA577" s="1" t="inlineStr">
        <is>
          <t>Unverified</t>
        </is>
      </c>
      <c r="AB577" s="1" t="n"/>
      <c r="AC577" s="1" t="n"/>
      <c r="AD577" s="1" t="n"/>
      <c r="AE577" s="1" t="n"/>
      <c r="AF577" t="inlineStr">
        <is>
          <t>Yes</t>
        </is>
      </c>
      <c r="AG577" t="inlineStr">
        <is>
          <t>@ewink_privacy</t>
        </is>
      </c>
      <c r="AH577" t="inlineStr">
        <is>
          <t>@ewink_privacy</t>
        </is>
      </c>
      <c r="AI577" t="inlineStr">
        <is>
          <t>https://www.linkedin.com/company/ewink/?viewAsMember=true</t>
        </is>
      </c>
    </row>
    <row r="578" ht="12.5" customHeight="1">
      <c r="A578" s="6" t="n">
        <v>45214</v>
      </c>
      <c r="B578" s="1" t="inlineStr">
        <is>
          <t>ORG_1553</t>
        </is>
      </c>
      <c r="C578" s="1" t="b">
        <v>1</v>
      </c>
      <c r="D578" s="1" t="inlineStr">
        <is>
          <t>FAST AI Movies</t>
        </is>
      </c>
      <c r="E578" s="10" t="inlineStr">
        <is>
          <t>fast-ai-movies.de</t>
        </is>
      </c>
      <c r="F578" t="inlineStr">
        <is>
          <t>fast-ai-movies.de</t>
        </is>
      </c>
      <c r="G578" s="1" t="inlineStr">
        <is>
          <t>FAST AI Movies uses artificial intelligence to produce fully automated customized training videos, esp. benefiting companies with rapidly changing content.
The customer only provides us with their text as a pdf, everything else runs automatically with FAST AI Movies AI software. FAST AI Movies creates a structured animated presentation from an unstructured short text.
Using AI, we reduce the cost of creating training videos by around 85%.</t>
        </is>
      </c>
      <c r="H578" s="1" t="inlineStr">
        <is>
          <t>LearnTech Hub</t>
        </is>
      </c>
      <c r="I578" s="1" t="inlineStr">
        <is>
          <t>English, German</t>
        </is>
      </c>
      <c r="J578" s="1" t="inlineStr">
        <is>
          <t>Traunstein</t>
        </is>
      </c>
      <c r="K578" t="inlineStr">
        <is>
          <t>Traunstein</t>
        </is>
      </c>
      <c r="L578" t="inlineStr">
        <is>
          <t>Traunstein, Germany</t>
        </is>
      </c>
      <c r="M578" t="n">
        <v>47.8695272</v>
      </c>
      <c r="N578" t="n">
        <v>12.6484621</v>
      </c>
      <c r="O578" s="1" t="inlineStr">
        <is>
          <t>Germany</t>
        </is>
      </c>
      <c r="P578" s="1" t="inlineStr">
        <is>
          <t>Germany</t>
        </is>
      </c>
      <c r="Q578" s="1" t="inlineStr">
        <is>
          <t>6 to 10</t>
        </is>
      </c>
      <c r="R578" t="inlineStr">
        <is>
          <t>Micro</t>
        </is>
      </c>
      <c r="S578" s="1" t="inlineStr">
        <is>
          <t>Business to Business, Business to Consumer, Business to Schools</t>
        </is>
      </c>
      <c r="T578" s="1" t="inlineStr">
        <is>
          <t>Corporate Training</t>
        </is>
      </c>
      <c r="U578" s="1" t="inlineStr">
        <is>
          <t>System/Administrative, Student interfacing</t>
        </is>
      </c>
      <c r="V578" s="10" t="inlineStr">
        <is>
          <t>AI generated training videos</t>
        </is>
      </c>
      <c r="W578" s="1" t="inlineStr">
        <is>
          <t>FAST AI Movies is a SaaS solution for the automated production of HR training videos with animated presentations and subsequent multiple choice quizzes for SMEs.
The automated generation of the training videos using AI only requires the provision of a short text as the basis of the training.
This allows us to produce interactive and effective employee training quickly and cost-effectively, increasing satisfaction and effectiveness within the company.
We are the ChatGPT for videocreation.</t>
        </is>
      </c>
      <c r="X578" s="10" t="inlineStr">
        <is>
          <t>https://drive.google.com/uc?export=view&amp;id=1Epoe16em4hCJovTvlRRSrunnKgZHHftK</t>
        </is>
      </c>
      <c r="Y578" t="inlineStr">
        <is>
          <t>https://drive.google.com/uc?export=view&amp;id=1Epoe16em4hCJovTvlRRSrunnKgZHHftK</t>
        </is>
      </c>
      <c r="Z578" s="1" t="inlineStr">
        <is>
          <t>https://drive.google.com/uc?export=view&amp;id=1Epoe16em4hCJovTvlRRSrunnKgZHHftK</t>
        </is>
      </c>
      <c r="AA578" s="1" t="inlineStr">
        <is>
          <t>Unverified</t>
        </is>
      </c>
      <c r="AB578" s="1" t="n"/>
      <c r="AC578" s="1" t="n"/>
      <c r="AD578" s="10" t="n"/>
      <c r="AE578" s="1" t="n"/>
      <c r="AF578" s="1" t="inlineStr">
        <is>
          <t>Yes</t>
        </is>
      </c>
      <c r="AG578" s="1" t="inlineStr">
        <is>
          <t>https://www.instagram.com/fast.ai.movies</t>
        </is>
      </c>
      <c r="AH578" s="1" t="inlineStr">
        <is>
          <t>https://www.linkedin.com/company/fast-ai-movies</t>
        </is>
      </c>
      <c r="AI578" t="inlineStr">
        <is>
          <t>https://www.linkedin.com/company/fast-ai-movies</t>
        </is>
      </c>
    </row>
    <row r="579" ht="12.5" customHeight="1">
      <c r="A579" s="6" t="n">
        <v>45211</v>
      </c>
      <c r="B579" s="1" t="inlineStr">
        <is>
          <t>ORG_2115</t>
        </is>
      </c>
      <c r="C579" s="1" t="b">
        <v>1</v>
      </c>
      <c r="D579" s="1" t="inlineStr">
        <is>
          <t>Podjetniški inkubator Kočevje</t>
        </is>
      </c>
      <c r="E579" s="10" t="inlineStr">
        <is>
          <t>https://inkubator-kocevje.si</t>
        </is>
      </c>
      <c r="F579" t="inlineStr">
        <is>
          <t>inkubator-kocevje.si</t>
        </is>
      </c>
      <c r="G579" s="1" t="inlineStr">
        <is>
          <t>Business incubator Kočevje is primarily an organization that promotes economic development in the local and regional environment. However, in recent years, it has found its place in the field of educating youth through the use of new technologies.
The organization strongly supports the development of innovative teaching methods and encourages the smart and moderate use of new technologies for educational purposes among children aged 7 to 15.
At the national level, we implement the KUBO Robotics program, which provides children aged 7 to 10 with their first exposure to robotics and programming. The program is designed not only to teach programming, robotics, and technology but also to foster computational and creative thinking, preparing children for the challenges of the future.</t>
        </is>
      </c>
      <c r="H579" s="1" t="inlineStr">
        <is>
          <t>EdTech Slovenia</t>
        </is>
      </c>
      <c r="I579" s="1" t="inlineStr">
        <is>
          <t>Slovenian, English</t>
        </is>
      </c>
      <c r="J579" s="1" t="inlineStr">
        <is>
          <t>Kočevje</t>
        </is>
      </c>
      <c r="K579" t="inlineStr">
        <is>
          <t>Kočevje</t>
        </is>
      </c>
      <c r="L579" t="inlineStr">
        <is>
          <t>Kočevje, Slovenia</t>
        </is>
      </c>
      <c r="M579" t="n">
        <v>45.6307761</v>
      </c>
      <c r="N579" t="n">
        <v>14.8681495</v>
      </c>
      <c r="O579" s="1" t="inlineStr">
        <is>
          <t>Slovenia</t>
        </is>
      </c>
      <c r="P579" s="1" t="inlineStr">
        <is>
          <t>Croatia, Slovenia</t>
        </is>
      </c>
      <c r="Q579" s="1" t="inlineStr">
        <is>
          <t>11 to 50</t>
        </is>
      </c>
      <c r="R579" t="inlineStr">
        <is>
          <t>Small</t>
        </is>
      </c>
      <c r="S579" s="1" t="inlineStr">
        <is>
          <t>Business to Business, Business to Schools, Business to Consumer, Business to Government</t>
        </is>
      </c>
      <c r="T579" s="1" t="inlineStr">
        <is>
          <t>Early childhood development (0-5 years), Primary Education, Lifelong learning/Adult education</t>
        </is>
      </c>
      <c r="U579" s="1" t="inlineStr">
        <is>
          <t>System/Administrative, Student interfacing, Teacher interfacing</t>
        </is>
      </c>
      <c r="V579" s="10" t="inlineStr">
        <is>
          <t>KUBO robotics</t>
        </is>
      </c>
      <c r="W579" s="1" t="inlineStr">
        <is>
          <t>KUBO is an educational coding solution providing everything you need to get to grips with coding and computational thinking designed specifically for kids aged 4 to 10+.
KUBO provides both a hands-on and a digital solution, which delivers the perfect balance of hands-on and digital learning, encouraging a whole new generation of kids to develop 21st-century skills.</t>
        </is>
      </c>
      <c r="X579" s="10" t="inlineStr">
        <is>
          <t>eduTech conference</t>
        </is>
      </c>
      <c r="Y579" t="inlineStr">
        <is>
          <t>At our annual EduTech conference, practical examples, diverse technologies, experienced representatives from schools, universities, innovative companies, decision-makers, and media professionals are featured. The conference is not only an opportunity for learning but also for networking and establishing lasting collaborations.</t>
        </is>
      </c>
      <c r="Z579" s="1" t="inlineStr">
        <is>
          <t>https://drive.google.com/uc?export=view&amp;id=17AxyioVPLeP4s-WWbiuP9r5u8LE8XLTQ</t>
        </is>
      </c>
      <c r="AA579" s="1" t="inlineStr">
        <is>
          <t>Unverified</t>
        </is>
      </c>
      <c r="AB579" s="1" t="n"/>
      <c r="AC579" s="1" t="n"/>
      <c r="AD579" s="10" t="n"/>
      <c r="AE579" s="1" t="n"/>
      <c r="AF579" t="inlineStr">
        <is>
          <t>Yes</t>
        </is>
      </c>
      <c r="AG579" t="inlineStr">
        <is>
          <t>https://www.instagram.com/inkubator_kocevje/</t>
        </is>
      </c>
      <c r="AH579" t="inlineStr">
        <is>
          <t>https://www.linkedin.com/company/podjetni%C5%A1ki-inkubator-ko%C4%8Devje</t>
        </is>
      </c>
      <c r="AI579" t="inlineStr">
        <is>
          <t>https://www.linkedin.com/company/podjetni%C5%A1ki-inkubator-ko%C4%8Devje</t>
        </is>
      </c>
    </row>
    <row r="580" ht="12.5" customHeight="1">
      <c r="A580" s="6" t="n">
        <v>45211</v>
      </c>
      <c r="B580" s="1" t="inlineStr">
        <is>
          <t>ORG_2399</t>
        </is>
      </c>
      <c r="C580" s="1" t="b">
        <v>1</v>
      </c>
      <c r="D580" s="1" t="inlineStr">
        <is>
          <t>The Learning Hub NV</t>
        </is>
      </c>
      <c r="E580" s="10" t="inlineStr">
        <is>
          <t>https://www.thelearninghub.be/</t>
        </is>
      </c>
      <c r="F580" t="inlineStr">
        <is>
          <t>thelearninghub.be</t>
        </is>
      </c>
      <c r="G580" s="1" t="inlineStr">
        <is>
          <t>The Learning Hub is a Belgian company dedicated to revolutionizing education and professional learning &amp; development. With a forward-thinking approach and a commitment to harnessing the power of modern technology, The Learning Hub has been at the forefront of delivering innovative learning solutions. Through a diverse range of programs and services, they aim to enhance learning experiences for individuals and organizations, driving knowledge, skill, and competency development.</t>
        </is>
      </c>
      <c r="H580" s="1" t="inlineStr">
        <is>
          <t>edtechstation</t>
        </is>
      </c>
      <c r="I580" s="1" t="inlineStr">
        <is>
          <t>Dutch, English, French</t>
        </is>
      </c>
      <c r="J580" s="1" t="inlineStr">
        <is>
          <t>Kontich</t>
        </is>
      </c>
      <c r="K580" t="inlineStr">
        <is>
          <t>Kontich</t>
        </is>
      </c>
      <c r="L580" t="inlineStr">
        <is>
          <t>Kontich, Belgium</t>
        </is>
      </c>
      <c r="M580" t="n">
        <v>51.1353297</v>
      </c>
      <c r="N580" t="n">
        <v>4.4454784</v>
      </c>
      <c r="O580" s="1" t="inlineStr">
        <is>
          <t>Belgium</t>
        </is>
      </c>
      <c r="P580" s="1" t="inlineStr">
        <is>
          <t>Belgium</t>
        </is>
      </c>
      <c r="Q580" s="1" t="inlineStr">
        <is>
          <t>11 to 50</t>
        </is>
      </c>
      <c r="R580" t="inlineStr">
        <is>
          <t>Small</t>
        </is>
      </c>
      <c r="S580" s="1" t="inlineStr">
        <is>
          <t>https://www.instagram.com/thelearninghub.be/</t>
        </is>
      </c>
      <c r="T580" s="1" t="inlineStr">
        <is>
          <t>Secondary Education, Corporate Training, Lifelong learning/Adult education, Higher Education</t>
        </is>
      </c>
      <c r="U580" s="1" t="inlineStr">
        <is>
          <t>System/Administrative, Student interfacing, Teacher interfacing</t>
        </is>
      </c>
      <c r="V580" s="10" t="inlineStr">
        <is>
          <t>Content Development + Strategy &amp; Transformation</t>
        </is>
      </c>
      <c r="W580" s="1" t="inlineStr">
        <is>
          <t>We create digital learning content from scratch, or adapt and digitalize existing content. We determine how content can be offered in the most relevant and attractive way, and choose the right output format for (and with!) your audience.
We offer guidance and support in the transformation of your learning &amp; development strategy. We tackle challenges and trends for the future. We determine the way to move forward by defining quick wins and relevant business cases. We build your expertise in assuring on-time learning experiences.</t>
        </is>
      </c>
      <c r="X580" s="10" t="inlineStr">
        <is>
          <t>Tool &amp; Platforms</t>
        </is>
      </c>
      <c r="Y580" t="inlineStr">
        <is>
          <t>We help you choose, implement and manage the learning tools and/or learning management solutions that fit your business. We build your expertise, so you get the expected added value out of your learning solutions.
We have multiple partnerships, not only with vendors of learning management systems, but also partners for content. 
The goal is to offer the best solution to each individual client.</t>
        </is>
      </c>
      <c r="Z580" s="1" t="inlineStr">
        <is>
          <t>https://drive.google.com/uc?export=view&amp;id=1llXNwGOGh3atxAT7mvrh_vliV2IPkwzy</t>
        </is>
      </c>
      <c r="AA580" s="1" t="inlineStr">
        <is>
          <t>Unverified</t>
        </is>
      </c>
      <c r="AB580" s="1" t="n"/>
      <c r="AC580" s="1" t="n"/>
      <c r="AD580" s="10" t="n"/>
      <c r="AE580" s="1" t="n"/>
      <c r="AF580" t="inlineStr">
        <is>
          <t>Yes</t>
        </is>
      </c>
      <c r="AG580" t="inlineStr">
        <is>
          <t>https://www.instagram.com/thelearninghub.be/</t>
        </is>
      </c>
      <c r="AH580" t="inlineStr">
        <is>
          <t>https://www.linkedin.com/company/the-learning-hub</t>
        </is>
      </c>
      <c r="AI580" t="inlineStr">
        <is>
          <t>https://www.linkedin.com/company/the-learning-hub</t>
        </is>
      </c>
    </row>
    <row r="581" ht="12.5" customHeight="1">
      <c r="A581" s="6" t="n">
        <v>45210</v>
      </c>
      <c r="B581" s="1" t="inlineStr">
        <is>
          <t>ORG_1011</t>
        </is>
      </c>
      <c r="C581" s="1" t="b">
        <v>1</v>
      </c>
      <c r="D581" s="10" t="inlineStr">
        <is>
          <t>3Dcamp.us</t>
        </is>
      </c>
      <c r="E581" s="10" t="inlineStr">
        <is>
          <t>https://www.3Dcamp.us</t>
        </is>
      </c>
      <c r="F581" t="inlineStr">
        <is>
          <t>3dcamp.us</t>
        </is>
      </c>
      <c r="G581" s="1" t="inlineStr">
        <is>
          <t>3Dcamp.us is a SaaS virtual classroom that everyone can join the lesson with their avatars via web browsers. Lecturer can share screen, write on the board and show 3D animation models related to the lesson. Students can
raise their hands and ask questions in 3D classroom.
Also there are e-learning attributes like document sharing and saving on lesson folder, activity reports for per student and lesson, auto record and watch and more.</t>
        </is>
      </c>
      <c r="H581" s="1" t="inlineStr">
        <is>
          <t>I'm not part of any EdTech association</t>
        </is>
      </c>
      <c r="I581" s="1" t="inlineStr">
        <is>
          <t>English, Turkish</t>
        </is>
      </c>
      <c r="J581" s="1" t="inlineStr">
        <is>
          <t>London</t>
        </is>
      </c>
      <c r="K581" t="inlineStr">
        <is>
          <t>London</t>
        </is>
      </c>
      <c r="L581" t="inlineStr">
        <is>
          <t>London, United Kingdom</t>
        </is>
      </c>
      <c r="M581" t="n">
        <v>51.5074456</v>
      </c>
      <c r="N581" t="n">
        <v>-0.1277653</v>
      </c>
      <c r="O581" s="1" t="inlineStr">
        <is>
          <t>United Kingdom</t>
        </is>
      </c>
      <c r="P581" s="1" t="inlineStr">
        <is>
          <t>Turkey, United Kingdom</t>
        </is>
      </c>
      <c r="Q581" s="1" t="inlineStr">
        <is>
          <t>3 to 5</t>
        </is>
      </c>
      <c r="R581" t="inlineStr">
        <is>
          <t>Micro</t>
        </is>
      </c>
      <c r="S581" s="1" t="inlineStr">
        <is>
          <t>Business to Business, Business to Schools, Business to Consumer, Business to Government</t>
        </is>
      </c>
      <c r="T581" s="1" t="inlineStr">
        <is>
          <t>Secondary Education, Corporate Training, Lifelong learning/Adult education, Vocational Education and Training (VET), Higher Education</t>
        </is>
      </c>
      <c r="U581" s="1" t="inlineStr">
        <is>
          <t>Student interfacing, Teacher interfacing, System/Administrative</t>
        </is>
      </c>
      <c r="V581" s="10" t="inlineStr">
        <is>
          <t>3DCamp.us</t>
        </is>
      </c>
      <c r="W581" s="10" t="inlineStr">
        <is>
          <t>3Dcamp.us is a SaaS virtual classroom that everyone can join the lesson with their avatars via web browsers. Lecturer can share screen, write on the board and show 3D animation models related to the lesson. Students can
raise their hands and ask questions in 3D classroom.
Also there are e-learning attributes like document sharing and saving on lesson folder, activity reports for per student and lesson, auto record and watch and more.</t>
        </is>
      </c>
      <c r="X581" s="10" t="inlineStr">
        <is>
          <t>https://drive.google.com/uc?export=view&amp;id=1iETgsNDPB_6UrEYn4K-sFWNaS19epLUe</t>
        </is>
      </c>
      <c r="Y581" t="inlineStr">
        <is>
          <t>https://drive.google.com/uc?export=view&amp;id=1iETgsNDPB_6UrEYn4K-sFWNaS19epLUe</t>
        </is>
      </c>
      <c r="Z581" s="10" t="inlineStr">
        <is>
          <t>https://drive.google.com/uc?export=view&amp;id=1iETgsNDPB_6UrEYn4K-sFWNaS19epLUe</t>
        </is>
      </c>
      <c r="AA581" s="1" t="inlineStr">
        <is>
          <t>Unverified</t>
        </is>
      </c>
      <c r="AB581" s="1" t="n"/>
      <c r="AC581" s="1" t="n"/>
      <c r="AD581" s="10" t="n"/>
      <c r="AE581" s="1" t="n"/>
      <c r="AF581" s="1" t="inlineStr">
        <is>
          <t>Yes</t>
        </is>
      </c>
      <c r="AG581" s="1" t="inlineStr">
        <is>
          <t>https://www.instagram.com/3dcamp.us/</t>
        </is>
      </c>
      <c r="AH581" t="inlineStr">
        <is>
          <t>https://twitter.com/3dcampus_</t>
        </is>
      </c>
      <c r="AI581" t="inlineStr">
        <is>
          <t>https://www.linkedin.com/company/3dcampus/</t>
        </is>
      </c>
    </row>
    <row r="582" ht="12.5" customHeight="1">
      <c r="A582" s="6" t="n">
        <v>45210</v>
      </c>
      <c r="B582" s="1" t="inlineStr">
        <is>
          <t>ORG_1665</t>
        </is>
      </c>
      <c r="C582" s="1" t="b">
        <v>1</v>
      </c>
      <c r="D582" s="1" t="inlineStr">
        <is>
          <t>Happy Code España</t>
        </is>
      </c>
      <c r="E582" s="10" t="inlineStr">
        <is>
          <t>www.happycode.com.es</t>
        </is>
      </c>
      <c r="F582" t="inlineStr">
        <is>
          <t>happycode.com.es</t>
        </is>
      </c>
      <c r="G582" s="1" t="inlineStr">
        <is>
          <t>Happy Code is a global reference in the teaching of Programming, Maker and Robotics, present in countries such as Brazil, Portugal, and Spain.
The teaching methodology is based on the development of 21st century skills, since fundamental disciplines are worked on to train people who are more qualified to deal with the new challenges of the digital age.
Programming, maker and robotics courses introduce students to an innovative environment. Through project-based learning, its content stimulates skills such as reasoning, creativity, critical thinking, problem-solving, communication and collaboration.</t>
        </is>
      </c>
      <c r="H582" s="1" t="inlineStr">
        <is>
          <t>I'm not part of any EdTech association</t>
        </is>
      </c>
      <c r="I582" s="1" t="inlineStr">
        <is>
          <t>Portuguese, Spanish, English</t>
        </is>
      </c>
      <c r="J582" s="1" t="inlineStr">
        <is>
          <t>Barcelona</t>
        </is>
      </c>
      <c r="K582" t="inlineStr">
        <is>
          <t>Barcelona</t>
        </is>
      </c>
      <c r="L582" t="inlineStr">
        <is>
          <t>Barcelona, Spain</t>
        </is>
      </c>
      <c r="M582" t="n">
        <v>41.3825802</v>
      </c>
      <c r="N582" t="n">
        <v>2.177073</v>
      </c>
      <c r="O582" s="1" t="inlineStr">
        <is>
          <t>Spain</t>
        </is>
      </c>
      <c r="P582" s="1" t="inlineStr">
        <is>
          <t>Portugal, Spain</t>
        </is>
      </c>
      <c r="Q582" s="1" t="inlineStr">
        <is>
          <t>3 to 5</t>
        </is>
      </c>
      <c r="R582" t="inlineStr">
        <is>
          <t>Micro</t>
        </is>
      </c>
      <c r="S582" s="1" t="inlineStr">
        <is>
          <t>Business to Business, Business to Schools, Business to Consumer, Business to Government</t>
        </is>
      </c>
      <c r="T582" s="1" t="inlineStr">
        <is>
          <t>Primary Education, Secondary Education</t>
        </is>
      </c>
      <c r="U582" s="1" t="inlineStr">
        <is>
          <t>System/Administrative, Teacher interfacing</t>
        </is>
      </c>
      <c r="V582" s="10" t="inlineStr">
        <is>
          <t>Technology Courses</t>
        </is>
      </c>
      <c r="W582" s="10" t="inlineStr">
        <is>
          <t>A complete and customized solution for the easy integration of programming and robotics teaching in educational centers.</t>
        </is>
      </c>
      <c r="X582" s="10" t="inlineStr">
        <is>
          <t>https://drive.google.com/uc?export=view&amp;id=1u-f71kF00FaRWDkWwTN234dqiABEbKnP</t>
        </is>
      </c>
      <c r="Y582" t="inlineStr">
        <is>
          <t>https://drive.google.com/uc?export=view&amp;id=1u-f71kF00FaRWDkWwTN234dqiABEbKnP</t>
        </is>
      </c>
      <c r="Z582" s="1" t="inlineStr">
        <is>
          <t>https://drive.google.com/uc?export=view&amp;id=1u-f71kF00FaRWDkWwTN234dqiABEbKnP</t>
        </is>
      </c>
      <c r="AA582" s="1" t="inlineStr">
        <is>
          <t>Unverified</t>
        </is>
      </c>
      <c r="AB582" s="1" t="n"/>
      <c r="AC582" s="1" t="n"/>
      <c r="AD582" s="10" t="n"/>
      <c r="AE582" s="1" t="n"/>
      <c r="AF582" t="inlineStr">
        <is>
          <t>Yes</t>
        </is>
      </c>
      <c r="AG582" t="inlineStr">
        <is>
          <t>https://www.instagram.com/happycodees/</t>
        </is>
      </c>
      <c r="AH582" t="inlineStr">
        <is>
          <t>https://twitter.com/HappyCode_ES</t>
        </is>
      </c>
      <c r="AI582" t="inlineStr">
        <is>
          <t>https://www.linkedin.com/company/happy-code-educacion-espana/?viewAsMember=true</t>
        </is>
      </c>
    </row>
    <row r="583" ht="12.5" customHeight="1">
      <c r="A583" s="6" t="n">
        <v>45209</v>
      </c>
      <c r="B583" s="1" t="inlineStr">
        <is>
          <t>ORG_1529</t>
        </is>
      </c>
      <c r="C583" s="1" t="b">
        <v>1</v>
      </c>
      <c r="D583" s="1" t="inlineStr">
        <is>
          <t>EvolMind</t>
        </is>
      </c>
      <c r="E583" s="10" t="inlineStr">
        <is>
          <t>https://www.evolmind.com/</t>
        </is>
      </c>
      <c r="F583" t="inlineStr">
        <is>
          <t>evolmind.com</t>
        </is>
      </c>
      <c r="G583" s="1" t="inlineStr">
        <is>
          <t>EvolMind is a company specialized in the development of e-learning tools and platforms since 2006.
During these years, we have closely understood the pros and cons, the needs and the brakes that companies have to provide online training.
Our challenge is to bring and simplify online training to everyone, big and small, with or without previous experience.
Thus, tools and solutions in the cloud were born, such as evolCampus, the platform that anyone can use to succeed.
We democratize online training. We make life easier for administrators, teachers and students. Likewise, we promote e-learning!
We have clients in 35 countries, with more than 1,000 active clients and 100,000 active learners.</t>
        </is>
      </c>
      <c r="H583" s="1" t="inlineStr">
        <is>
          <t>I'm not part of any EdTech association</t>
        </is>
      </c>
      <c r="I583" s="1" t="inlineStr">
        <is>
          <t>Spanish, English, Italian, Portuguese, German, French, Dutch, Polish</t>
        </is>
      </c>
      <c r="J583" s="1" t="inlineStr">
        <is>
          <t>Zaragoza</t>
        </is>
      </c>
      <c r="K583" t="inlineStr">
        <is>
          <t>Zaragoza</t>
        </is>
      </c>
      <c r="L583" t="inlineStr">
        <is>
          <t>Zaragoza, Spain</t>
        </is>
      </c>
      <c r="M583" t="n">
        <v>41.6915847</v>
      </c>
      <c r="N583" t="n">
        <v>-0.9101268</v>
      </c>
      <c r="O583" s="1" t="inlineStr">
        <is>
          <t>Spain</t>
        </is>
      </c>
      <c r="P583" s="1" t="inlineStr">
        <is>
          <t>Andorra, Austria, Belgium, Cyprus, Denmark, France, Germany, Greece, Ireland, Italy, Malta, Netherlands, Portugal, Spain, Switzerland, Ukraine, United Kingdom</t>
        </is>
      </c>
      <c r="Q583" s="1" t="inlineStr">
        <is>
          <t>11 to 50</t>
        </is>
      </c>
      <c r="R583" t="inlineStr">
        <is>
          <t>Small</t>
        </is>
      </c>
      <c r="S583" s="1" t="inlineStr">
        <is>
          <t>Business to Business, Business to Schools, Business to Government</t>
        </is>
      </c>
      <c r="T583" s="1" t="inlineStr">
        <is>
          <t>Corporate Training, Lifelong learning/Adult education, Vocational Education and Training (VET), Higher Education</t>
        </is>
      </c>
      <c r="U583" s="1" t="inlineStr">
        <is>
          <t>Teacher interfacing, System/Administrative, Student interfacing</t>
        </is>
      </c>
      <c r="V583" s="1" t="inlineStr">
        <is>
          <t>evolCampus</t>
        </is>
      </c>
      <c r="W583" s="10" t="inlineStr">
        <is>
          <t>evolCampus is an extremely easy to use and versatile e-learning management system with which you can create, deliver, evaluate and analyze your online training courses with little effort.
Power for 10 or 100,000 students. Functional and intuitive interface with all the services that any training project needs. 
Our more than 1,000 customers in 35 countries are of all industries and sizes. A perfect LMS platform for academies, consultancies, employee training, associations, business schools, NGOs...</t>
        </is>
      </c>
      <c r="X583" s="10" t="inlineStr">
        <is>
          <t>https://drive.google.com/uc?export=view&amp;id=13_SnqIRpOM2l7VlpKNJ_v4uREcpG67M2</t>
        </is>
      </c>
      <c r="Y583" t="inlineStr">
        <is>
          <t>https://drive.google.com/uc?export=view&amp;id=13_SnqIRpOM2l7VlpKNJ_v4uREcpG67M2</t>
        </is>
      </c>
      <c r="Z583" s="1" t="inlineStr">
        <is>
          <t>https://drive.google.com/uc?export=view&amp;id=13_SnqIRpOM2l7VlpKNJ_v4uREcpG67M2</t>
        </is>
      </c>
      <c r="AA583" s="1" t="inlineStr">
        <is>
          <t>Unverified</t>
        </is>
      </c>
      <c r="AB583" s="1" t="n"/>
      <c r="AC583" s="1" t="n"/>
      <c r="AD583" s="10" t="n"/>
      <c r="AE583" s="1" t="n"/>
      <c r="AF583" t="inlineStr">
        <is>
          <t>Yes</t>
        </is>
      </c>
      <c r="AG583" t="inlineStr">
        <is>
          <t>https://twitter.com/evolcampus</t>
        </is>
      </c>
      <c r="AH583" t="inlineStr">
        <is>
          <t>https://twitter.com/evolcampus</t>
        </is>
      </c>
      <c r="AI583" t="inlineStr">
        <is>
          <t>https://www.linkedin.com/company/evolmind/?originalSubdomain=es</t>
        </is>
      </c>
    </row>
    <row r="584" ht="12.5" customHeight="1">
      <c r="A584" s="6" t="n">
        <v>45209</v>
      </c>
      <c r="B584" s="1" t="inlineStr">
        <is>
          <t>ORG_1794</t>
        </is>
      </c>
      <c r="C584" s="1" t="b">
        <v>1</v>
      </c>
      <c r="D584" s="1" t="inlineStr">
        <is>
          <t>Kura</t>
        </is>
      </c>
      <c r="E584" s="10" t="inlineStr">
        <is>
          <t>https://www.kura-app.com/</t>
        </is>
      </c>
      <c r="F584" t="inlineStr">
        <is>
          <t>kura-app.com</t>
        </is>
      </c>
      <c r="G584" s="1" t="inlineStr">
        <is>
          <t>A collaborative learning platform to support the deployment of hybrid and online training programs of higher education institutions and training organizations. Kura is built around three strong principles: 1) the learner experience must be integrated, seamless and accessible 2) learning activities and resources must contribute to the development of professional skills3) peer collaboration and collective intelligence are at the heart of the experience.</t>
        </is>
      </c>
      <c r="H584" s="1" t="inlineStr">
        <is>
          <t>I'm not part of any EdTech association</t>
        </is>
      </c>
      <c r="I584" s="1" t="inlineStr">
        <is>
          <t>French</t>
        </is>
      </c>
      <c r="J584" s="1" t="inlineStr">
        <is>
          <t>Rennes</t>
        </is>
      </c>
      <c r="K584" t="inlineStr">
        <is>
          <t>Rennes</t>
        </is>
      </c>
      <c r="L584" t="inlineStr">
        <is>
          <t>Rennes, France</t>
        </is>
      </c>
      <c r="M584" t="n">
        <v>48.1113387</v>
      </c>
      <c r="N584" t="n">
        <v>-1.6800198</v>
      </c>
      <c r="O584" s="1" t="inlineStr">
        <is>
          <t>France</t>
        </is>
      </c>
      <c r="P584" s="1" t="inlineStr">
        <is>
          <t>Belgium, France</t>
        </is>
      </c>
      <c r="Q584" s="1" t="inlineStr">
        <is>
          <t>0 to 2</t>
        </is>
      </c>
      <c r="R584" t="inlineStr">
        <is>
          <t>Solo entrepreneur</t>
        </is>
      </c>
      <c r="S584" s="1" t="inlineStr">
        <is>
          <t>Business to Business, Business to Schools, Business to Consumer</t>
        </is>
      </c>
      <c r="T584" s="1" t="inlineStr">
        <is>
          <t>Corporate Training, Lifelong learning/Adult education, Vocational Education and Training (VET), Higher Education</t>
        </is>
      </c>
      <c r="U584" s="1" t="inlineStr">
        <is>
          <t>Teacher interfacing, System/Administrative, Student interfacing</t>
        </is>
      </c>
      <c r="V584" s="1" t="inlineStr">
        <is>
          <t>https://www.linkedin.com/company/kura-app/</t>
        </is>
      </c>
      <c r="W584" s="1" t="inlineStr">
        <is>
          <t>https://drive.google.com/uc?export=view&amp;id=1_Y-ZMPSQ93OhP6SMS5SmzkUFV5A3H8nB</t>
        </is>
      </c>
      <c r="X584" s="10" t="inlineStr">
        <is>
          <t>https://drive.google.com/uc?export=view&amp;id=1_Y-ZMPSQ93OhP6SMS5SmzkUFV5A3H8nB</t>
        </is>
      </c>
      <c r="Y584" t="inlineStr">
        <is>
          <t>https://drive.google.com/uc?export=view&amp;id=1_Y-ZMPSQ93OhP6SMS5SmzkUFV5A3H8nB</t>
        </is>
      </c>
      <c r="Z584" s="1" t="inlineStr">
        <is>
          <t>https://drive.google.com/uc?export=view&amp;id=1_Y-ZMPSQ93OhP6SMS5SmzkUFV5A3H8nB</t>
        </is>
      </c>
      <c r="AA584" s="1" t="inlineStr">
        <is>
          <t>Unverified</t>
        </is>
      </c>
      <c r="AB584" s="1" t="n"/>
      <c r="AC584" s="1" t="n"/>
      <c r="AD584" s="10" t="n"/>
      <c r="AE584" s="1" t="n"/>
      <c r="AF584" t="inlineStr">
        <is>
          <t>Yes</t>
        </is>
      </c>
      <c r="AG584" t="inlineStr">
        <is>
          <t>https://www.linkedin.com/company/kura-app/</t>
        </is>
      </c>
      <c r="AH584" t="inlineStr">
        <is>
          <t>https://www.linkedin.com/company/kura-app/</t>
        </is>
      </c>
      <c r="AI584" t="inlineStr">
        <is>
          <t>https://www.linkedin.com/company/kura-app/</t>
        </is>
      </c>
    </row>
    <row r="585" ht="12.5" customHeight="1">
      <c r="A585" s="6" t="n">
        <v>45209</v>
      </c>
      <c r="B585" s="1" t="inlineStr">
        <is>
          <t>ORG_2010</t>
        </is>
      </c>
      <c r="C585" s="1" t="b">
        <v>1</v>
      </c>
      <c r="D585" s="1" t="inlineStr">
        <is>
          <t>MyScol</t>
        </is>
      </c>
      <c r="E585" s="10" t="inlineStr">
        <is>
          <t>https://myscol.com</t>
        </is>
      </c>
      <c r="F585" t="inlineStr">
        <is>
          <t>myscol.com</t>
        </is>
      </c>
      <c r="G585" s="1" t="inlineStr">
        <is>
          <t>All-in-one software to manage the day-to-day running of your school. Best solution for kindergarten, primary school, secondary school, higher education or private or public training centre.</t>
        </is>
      </c>
      <c r="H585" s="1" t="inlineStr">
        <is>
          <t>EdTech France</t>
        </is>
      </c>
      <c r="I585" s="1" t="inlineStr">
        <is>
          <t>English, French</t>
        </is>
      </c>
      <c r="J585" s="1" t="inlineStr">
        <is>
          <t>La Courneuve</t>
        </is>
      </c>
      <c r="K585" t="inlineStr">
        <is>
          <t>La Courneuve</t>
        </is>
      </c>
      <c r="L585" t="inlineStr">
        <is>
          <t>La Courneuve, France</t>
        </is>
      </c>
      <c r="M585" t="n">
        <v>48.9267236</v>
      </c>
      <c r="N585" t="n">
        <v>2.3896123</v>
      </c>
      <c r="O585" s="1" t="inlineStr">
        <is>
          <t>France</t>
        </is>
      </c>
      <c r="P58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585" s="1" t="inlineStr">
        <is>
          <t>3 to 5</t>
        </is>
      </c>
      <c r="R585" t="inlineStr">
        <is>
          <t>Micro</t>
        </is>
      </c>
      <c r="S585" s="1" t="inlineStr">
        <is>
          <t>Business to Business</t>
        </is>
      </c>
      <c r="T585" s="1" t="inlineStr">
        <is>
          <t>Early childhood development (0-5 years), Primary Education, Secondary Education, Corporate Training, Lifelong learning/Adult education, Vocational Education and Training (VET), Higher Education</t>
        </is>
      </c>
      <c r="U585" s="1" t="inlineStr">
        <is>
          <t>System/Administrative, Student interfacing</t>
        </is>
      </c>
      <c r="V585" s="10" t="inlineStr">
        <is>
          <t>MyScol</t>
        </is>
      </c>
      <c r="W585" s="10" t="inlineStr">
        <is>
          <t>MyScol, is transforming education with cutting-edge technological solutions. This EdTech platform offers intuitive course management, seamless communication among all stakeholders in education, and personalized student tracking. MyScol aims to elevate the educational experience for schools, teachers, students, and parents. Explore how MyScol is shaping the future of education</t>
        </is>
      </c>
      <c r="X585" s="10" t="inlineStr">
        <is>
          <t>https://drive.google.com/uc?export=view&amp;id=1c42WFAHcbHl_gkrmw7-O3HXwPokOQTZQ</t>
        </is>
      </c>
      <c r="Y585" t="inlineStr">
        <is>
          <t>https://drive.google.com/uc?export=view&amp;id=1c42WFAHcbHl_gkrmw7-O3HXwPokOQTZQ</t>
        </is>
      </c>
      <c r="Z585" s="1" t="inlineStr">
        <is>
          <t>https://drive.google.com/uc?export=view&amp;id=1c42WFAHcbHl_gkrmw7-O3HXwPokOQTZQ</t>
        </is>
      </c>
      <c r="AA585" s="1" t="inlineStr">
        <is>
          <t>Unverified</t>
        </is>
      </c>
      <c r="AB585" s="1" t="n"/>
      <c r="AC585" s="1" t="n"/>
      <c r="AD585" s="10" t="n"/>
      <c r="AE585" s="1" t="n"/>
      <c r="AF585" t="inlineStr">
        <is>
          <t>Yes</t>
        </is>
      </c>
      <c r="AG585" t="inlineStr">
        <is>
          <t>https://www.instagram.com/myscol.english/?next=%2F</t>
        </is>
      </c>
      <c r="AH585" t="inlineStr">
        <is>
          <t>https://twitter.com/MyScolOfficiel</t>
        </is>
      </c>
      <c r="AI585" t="inlineStr">
        <is>
          <t>https://www.linkedin.com/showcase/myscol/</t>
        </is>
      </c>
    </row>
    <row r="586" ht="12.5" customHeight="1">
      <c r="A586" s="6" t="n">
        <v>45206</v>
      </c>
      <c r="B586" s="1" t="inlineStr">
        <is>
          <t>ORG_1828</t>
        </is>
      </c>
      <c r="C586" s="1" t="b">
        <v>1</v>
      </c>
      <c r="D586" s="1" t="inlineStr">
        <is>
          <t>LearnerOn</t>
        </is>
      </c>
      <c r="E586" s="10" t="inlineStr">
        <is>
          <t>https://learneron.net</t>
        </is>
      </c>
      <c r="F586" t="inlineStr">
        <is>
          <t>learneron.net</t>
        </is>
      </c>
      <c r="G586" s="1" t="inlineStr">
        <is>
          <t>LearnerOn.Net is a career-minded Learning eXperience Platform: intelligent self-service learning platform for corporate and lifelong learners (broad aggregated &amp; curated content; data science making it easy to discover learning relevant to my skills, job or career plan; peer learning. For Learning &amp; Development Managers, LearnerOn serves as a means of mass instruction and corporate leanring &amp; skills progress tracking and analyzing tool. LearnerOn is SaaS, subscription based tool - no installation required, come-and-play.</t>
        </is>
      </c>
      <c r="H586" s="1" t="inlineStr">
        <is>
          <t>I'm not part of any EdTech association</t>
        </is>
      </c>
      <c r="I586" s="1" t="inlineStr">
        <is>
          <t>English, Czech</t>
        </is>
      </c>
      <c r="J586" s="1" t="inlineStr">
        <is>
          <t>Prague</t>
        </is>
      </c>
      <c r="K586" t="inlineStr">
        <is>
          <t>Prague</t>
        </is>
      </c>
      <c r="L586" t="inlineStr">
        <is>
          <t>Prague, Czech Republic</t>
        </is>
      </c>
      <c r="M586" t="n">
        <v>50.0864234</v>
      </c>
      <c r="N586" t="n">
        <v>14.4156772</v>
      </c>
      <c r="O586" s="1" t="inlineStr">
        <is>
          <t>Czech Republic</t>
        </is>
      </c>
      <c r="P586"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586" s="1" t="inlineStr">
        <is>
          <t>6 to 10</t>
        </is>
      </c>
      <c r="R586" t="inlineStr">
        <is>
          <t>Micro</t>
        </is>
      </c>
      <c r="S586" s="1" t="inlineStr">
        <is>
          <t>Business to Business, Business to Consumer, Business to Schools</t>
        </is>
      </c>
      <c r="T586" s="1" t="inlineStr">
        <is>
          <t>Corporate Training, Lifelong learning/Adult education</t>
        </is>
      </c>
      <c r="U586" s="1" t="inlineStr">
        <is>
          <t>System/Administrative, Student interfacing</t>
        </is>
      </c>
      <c r="V586" s="1" t="inlineStr">
        <is>
          <t>LearnerOn LXP platform</t>
        </is>
      </c>
      <c r="W586" s="1" t="inlineStr">
        <is>
          <t>Digital SaaS platform delivering a one-stop-shop hub for companies' online or hybrid learning. Combining, in a personalized and AI-sided fashion, learning materials with personal skillsets and with both managed and informal ways to steer the corporate L&amp;D.</t>
        </is>
      </c>
      <c r="X586" s="10" t="inlineStr">
        <is>
          <t>AI-generated microlearning</t>
        </is>
      </c>
      <c r="Y586" t="inlineStr">
        <is>
          <t>Microlearning generated in real time, personalized to the skillset, activity and learning activity of each individual user. Our generative AI can also incorporate company specific, proprietary learning and knowledge materials to produce highly specific microlearning to roles, contexts and situations.</t>
        </is>
      </c>
      <c r="Z586" s="1" t="inlineStr">
        <is>
          <t>https://drive.google.com/uc?export=view&amp;id=1gqUKMY25dfY2gUf9S7vHyXEKvFU2C4-e</t>
        </is>
      </c>
      <c r="AA586" s="1" t="inlineStr">
        <is>
          <t>Unverified</t>
        </is>
      </c>
      <c r="AB586" s="1" t="n"/>
      <c r="AC586" s="1" t="n"/>
      <c r="AD586" s="10" t="n"/>
      <c r="AE586" s="1" t="n"/>
      <c r="AF586" s="1" t="inlineStr">
        <is>
          <t>Yes</t>
        </is>
      </c>
      <c r="AG586" s="1" t="inlineStr">
        <is>
          <t>https://www.linkedin.com/company/learneron-net/</t>
        </is>
      </c>
      <c r="AH586" s="1" t="inlineStr">
        <is>
          <t>https://www.linkedin.com/company/learneron-net/</t>
        </is>
      </c>
      <c r="AI586" t="inlineStr">
        <is>
          <t>https://www.linkedin.com/company/learneron-net/</t>
        </is>
      </c>
    </row>
    <row r="587" ht="12.5" customHeight="1">
      <c r="A587" s="6" t="n">
        <v>45205</v>
      </c>
      <c r="B587" s="1" t="inlineStr">
        <is>
          <t>ORG_1356</t>
        </is>
      </c>
      <c r="C587" s="1" t="b">
        <v>1</v>
      </c>
      <c r="D587" s="1" t="inlineStr">
        <is>
          <t>Digital Family</t>
        </is>
      </c>
      <c r="E587" s="10" t="inlineStr">
        <is>
          <t>https://digitalfamily.es/</t>
        </is>
      </c>
      <c r="F587" t="inlineStr">
        <is>
          <t>digitalfamily.es</t>
        </is>
      </c>
      <c r="G587" s="1" t="inlineStr">
        <is>
          <t>Digital Family , your allies in digital transformation for education.
We work together with educational centers to prepare students for the challenges of the 21st century, becoming a digitally competent center and inspiring the change of digital culture, through innovation.
With more than 10 years of experience, we generate positive change alongside educational leaders and training teachers in digital skills, as well as facilitating innovation processes in schools and universities, offering a digital transformation program that offers tailored paths to achieve a high level of digitally competent schools.</t>
        </is>
      </c>
      <c r="H587" s="1" t="inlineStr">
        <is>
          <t>I'm not part of any EdTech association</t>
        </is>
      </c>
      <c r="I587" s="1" t="inlineStr">
        <is>
          <t>Spanish, English</t>
        </is>
      </c>
      <c r="J587" s="1" t="inlineStr">
        <is>
          <t>Madrid</t>
        </is>
      </c>
      <c r="K587" t="inlineStr">
        <is>
          <t>Madrid</t>
        </is>
      </c>
      <c r="L587" t="inlineStr">
        <is>
          <t>Madrid, Spain</t>
        </is>
      </c>
      <c r="M587" t="n">
        <v>40.416782</v>
      </c>
      <c r="N587" t="n">
        <v>-3.703507</v>
      </c>
      <c r="O587" s="1" t="inlineStr">
        <is>
          <t>Spain</t>
        </is>
      </c>
      <c r="P58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587" s="1" t="inlineStr">
        <is>
          <t>3 to 5</t>
        </is>
      </c>
      <c r="R587" t="inlineStr">
        <is>
          <t>Micro</t>
        </is>
      </c>
      <c r="S587" s="1" t="inlineStr">
        <is>
          <t>Business to Business, Business to Consumer</t>
        </is>
      </c>
      <c r="T587" s="1" t="inlineStr">
        <is>
          <t>Primary Education, Secondary Education, Corporate Training, Lifelong learning/Adult education, Vocational Education and Training (VET), Higher Education</t>
        </is>
      </c>
      <c r="U587" s="1" t="inlineStr">
        <is>
          <t>Teacher interfacing, System/Administrative, Student interfacing</t>
        </is>
      </c>
      <c r="V587" s="10" t="inlineStr">
        <is>
          <t>Training and continuous education</t>
        </is>
      </c>
      <c r="W587" s="10" t="inlineStr">
        <is>
          <t>Focused on the development of digital skills necessary to address the teaching and learning process that is required today.</t>
        </is>
      </c>
      <c r="X587" s="10" t="inlineStr">
        <is>
          <t>Technical services</t>
        </is>
      </c>
      <c r="Y587" t="inlineStr">
        <is>
          <t>Technical solutions to harness the power of Google Workspace for Education. Implementation from scratch, Audit, Migration, Technical Support.</t>
        </is>
      </c>
      <c r="Z587" s="1" t="inlineStr">
        <is>
          <t>https://drive.google.com/uc?export=view&amp;id=1Ms5vZ9oLKJatRj3fDEW1vtsBelmMAR2l</t>
        </is>
      </c>
      <c r="AA587" s="1" t="inlineStr">
        <is>
          <t>Unverified</t>
        </is>
      </c>
      <c r="AB587" s="1" t="n"/>
      <c r="AC587" s="1" t="n"/>
      <c r="AD587" s="10" t="n"/>
      <c r="AE587" s="1" t="n"/>
      <c r="AF587" s="1" t="inlineStr">
        <is>
          <t>Yes</t>
        </is>
      </c>
      <c r="AG587" s="1" t="inlineStr">
        <is>
          <t>https://www.instagram.com/digitalfamily_es/</t>
        </is>
      </c>
      <c r="AH587" t="inlineStr">
        <is>
          <t>https://twitter.com/digitalfamilyes</t>
        </is>
      </c>
      <c r="AI587" t="inlineStr">
        <is>
          <t>https://www.linkedin.com/company/digital-family-espa%C3%B1a</t>
        </is>
      </c>
    </row>
    <row r="588" ht="12.5" customHeight="1">
      <c r="A588" s="6" t="n">
        <v>45203</v>
      </c>
      <c r="B588" s="1" t="inlineStr">
        <is>
          <t>ORG_1076</t>
        </is>
      </c>
      <c r="C588" s="1" t="b">
        <v>1</v>
      </c>
      <c r="D588" s="1" t="inlineStr">
        <is>
          <t>Anseo</t>
        </is>
      </c>
      <c r="E588" s="10" t="inlineStr">
        <is>
          <t>www.bool.ie</t>
        </is>
      </c>
      <c r="F588" t="inlineStr">
        <is>
          <t>bool.ie</t>
        </is>
      </c>
      <c r="G588" s="1" t="inlineStr">
        <is>
          <t>ANSEO SOFTWARE
Designed in partnership with schools our software has over 50 different report formats for individual students and year/class groups.
​
Anseo provides a level of detail and analysis to allow school management to be proactive in dealing with attendance or punctuality issues with individuals or groups.
Anseo includes an early warning based on thresholds set by the school for absent or late levels per week, month or academic year
​
Absent and Late alerts can be sent via Text message automatically to parents to ensure they are informed.
​
Other Admin Software Available:
Library Management
Book Rental Management
Ancillary Staff Time Recording</t>
        </is>
      </c>
      <c r="H588" s="1" t="inlineStr">
        <is>
          <t>EdTech Ireland</t>
        </is>
      </c>
      <c r="I588" s="1" t="inlineStr">
        <is>
          <t>English</t>
        </is>
      </c>
      <c r="J588" s="1" t="inlineStr">
        <is>
          <t>Killarney</t>
        </is>
      </c>
      <c r="K588" t="inlineStr">
        <is>
          <t>Killarney</t>
        </is>
      </c>
      <c r="L588" t="inlineStr">
        <is>
          <t>Killarney, Ireland</t>
        </is>
      </c>
      <c r="M588" t="n">
        <v>52.0595746</v>
      </c>
      <c r="N588" t="n">
        <v>-9.505322</v>
      </c>
      <c r="O588" s="1" t="inlineStr">
        <is>
          <t>Ireland</t>
        </is>
      </c>
      <c r="P588" s="1" t="inlineStr">
        <is>
          <t>Ireland</t>
        </is>
      </c>
      <c r="Q588" s="1" t="inlineStr">
        <is>
          <t>3 to 5</t>
        </is>
      </c>
      <c r="R588" t="inlineStr">
        <is>
          <t>Micro</t>
        </is>
      </c>
      <c r="S588" s="1" t="inlineStr">
        <is>
          <t>Business to Schools, Business to Consumer, Business to Government</t>
        </is>
      </c>
      <c r="T588" s="1" t="inlineStr">
        <is>
          <t>Secondary Education, Lifelong learning/Adult education, Vocational Education and Training (VET), Higher Education</t>
        </is>
      </c>
      <c r="U588" s="1" t="inlineStr">
        <is>
          <t>System/Administrative, Teacher interfacing, Student interfacing</t>
        </is>
      </c>
      <c r="V588" s="1" t="inlineStr">
        <is>
          <t>Anseo</t>
        </is>
      </c>
      <c r="W588" s="1" t="inlineStr">
        <is>
          <t>ANSEO SOFTWARE
Designed in partnership with schools our software has over 50 different report formats for individual students and year/class groups.
​
Anseo provides a level of detail and analysis to allow school management to be proactive in dealing with attendance or punctuality issues with individuals or groups.
Anseo includes an early warning based on thresholds set by the school for absent or late levels per week, month or academic year
​
Absent and Late alerts can be sent via Text message automatically to parents to ensure they are informed.
​
Other Admin Software Available:
Library Management
Book Rental Management
Ancillary Staff Time Recording</t>
        </is>
      </c>
      <c r="X588" s="10" t="inlineStr">
        <is>
          <t>https://drive.google.com/uc?export=view&amp;id=15dG44nquMlVuA-wY3fuqjkCJUuru1ull</t>
        </is>
      </c>
      <c r="Y588" t="inlineStr">
        <is>
          <t>https://drive.google.com/uc?export=view&amp;id=15dG44nquMlVuA-wY3fuqjkCJUuru1ull</t>
        </is>
      </c>
      <c r="Z588" s="1" t="inlineStr">
        <is>
          <t>https://drive.google.com/uc?export=view&amp;id=15dG44nquMlVuA-wY3fuqjkCJUuru1ull</t>
        </is>
      </c>
      <c r="AA588" s="1" t="inlineStr">
        <is>
          <t>Unverified</t>
        </is>
      </c>
      <c r="AB588" s="1" t="n"/>
      <c r="AC588" s="1" t="n"/>
      <c r="AD588" s="10" t="n"/>
      <c r="AE588" s="1" t="n"/>
      <c r="AF588" t="inlineStr">
        <is>
          <t>Yes</t>
        </is>
      </c>
      <c r="AG588" t="inlineStr">
        <is>
          <t>https://www.linkedin.com/company/80011597</t>
        </is>
      </c>
      <c r="AH588" t="inlineStr">
        <is>
          <t>@BoolEdtech</t>
        </is>
      </c>
      <c r="AI588" t="inlineStr">
        <is>
          <t>https://www.linkedin.com/company/80011597</t>
        </is>
      </c>
    </row>
    <row r="589" ht="12.5" customHeight="1">
      <c r="A589" s="6" t="n">
        <v>45203</v>
      </c>
      <c r="B589" s="1" t="inlineStr">
        <is>
          <t>ORG_1405</t>
        </is>
      </c>
      <c r="C589" s="1" t="b">
        <v>1</v>
      </c>
      <c r="D589" s="1" t="inlineStr">
        <is>
          <t>EdF</t>
        </is>
      </c>
      <c r="E589" s="10" t="inlineStr">
        <is>
          <t>www.edf.global</t>
        </is>
      </c>
      <c r="F589" t="inlineStr">
        <is>
          <t>edf.global</t>
        </is>
      </c>
      <c r="G589" s="1" t="inlineStr">
        <is>
          <t>We are a “boutique” specialising in e-Learning
We offer quality and satisfaction to our clients through our senior resources with long and unique experience in edTech. We know what to do to meet deadlines and project objectives.
Our specialisation has led us to work for corporate and open-source platforms, integrating and developing LTI solutions that complete the educational digital ecosystem.
We currently work across three continents with clients who have found in us a technological partner for platforms as Canvas, Sakai, Moodle or D2L</t>
        </is>
      </c>
      <c r="H589" s="1" t="inlineStr">
        <is>
          <t>I'm not part of any EdTech association</t>
        </is>
      </c>
      <c r="I589" s="1" t="inlineStr">
        <is>
          <t>English, Spanish</t>
        </is>
      </c>
      <c r="J589" s="1" t="inlineStr">
        <is>
          <t>Valencia</t>
        </is>
      </c>
      <c r="K589" t="inlineStr">
        <is>
          <t>Valencia</t>
        </is>
      </c>
      <c r="L589" t="inlineStr">
        <is>
          <t>Valencia, Spain</t>
        </is>
      </c>
      <c r="M589" t="n">
        <v>39.6819591</v>
      </c>
      <c r="N589" t="n">
        <v>-0.7654406</v>
      </c>
      <c r="O589" s="1" t="inlineStr">
        <is>
          <t>Spain</t>
        </is>
      </c>
      <c r="P589" s="1" t="inlineStr">
        <is>
          <t>Finland, Netherlands, Spain, United Kingdom</t>
        </is>
      </c>
      <c r="Q589" s="1" t="inlineStr">
        <is>
          <t>11 to 50</t>
        </is>
      </c>
      <c r="R589" t="inlineStr">
        <is>
          <t>Small</t>
        </is>
      </c>
      <c r="S589" s="1" t="inlineStr">
        <is>
          <t>Business to Business, Business to Schools, Business to Government</t>
        </is>
      </c>
      <c r="T589" s="1" t="inlineStr">
        <is>
          <t>Corporate Training, Lifelong learning/Adult education, Higher Education</t>
        </is>
      </c>
      <c r="U589" s="1" t="inlineStr">
        <is>
          <t>System/Administrative, Student interfacing</t>
        </is>
      </c>
      <c r="V589" s="1" t="inlineStr">
        <is>
          <t>INTEGRATION &amp; DEVELOPMENT</t>
        </is>
      </c>
      <c r="W589" s="1" t="inlineStr">
        <is>
          <t>We develop and host apps that, integrated into Canvas, D2L, Blackboard, Moodle or Sakai, remain native on the client's campus.
We are dedicated exclusively to educational technology with senior staff. We use good practices in project management, detailed analysis and quality software development to develop our client’s desired product.</t>
        </is>
      </c>
      <c r="X589" s="10" t="inlineStr">
        <is>
          <t>SaaS SERVICES</t>
        </is>
      </c>
      <c r="Y589" t="inlineStr">
        <is>
          <t>We are aware of the need for stability in the technological solutions of our clients dedicated to education. Therefore, we spare no effort in offering the best software as a service with constant care and attention.
The infrastructures we maintain for our clients range from simple deployments on a single server, to complex installations where it is necessary to provide service to a high concurrency and in which we manage balancers, front ends or elastic cache, among other technologies</t>
        </is>
      </c>
      <c r="Z589" s="1" t="inlineStr">
        <is>
          <t>https://drive.google.com/uc?export=view&amp;id=1tFQjY9wqdhNQrB-Kd77v9a3arifqxHV-</t>
        </is>
      </c>
      <c r="AA589" s="1" t="inlineStr">
        <is>
          <t>Unverified</t>
        </is>
      </c>
      <c r="AB589" s="1" t="n"/>
      <c r="AC589" s="1" t="n"/>
      <c r="AD589" s="10" t="n"/>
      <c r="AE589" s="1" t="n"/>
      <c r="AF589" s="1" t="inlineStr">
        <is>
          <t>Yes</t>
        </is>
      </c>
      <c r="AG589" s="1" t="inlineStr">
        <is>
          <t>https://www.linkedin.com/company/entornosdeformacion</t>
        </is>
      </c>
      <c r="AH589" s="1" t="inlineStr">
        <is>
          <t>https://www.linkedin.com/company/entornosdeformacion</t>
        </is>
      </c>
      <c r="AI589" t="inlineStr">
        <is>
          <t>https://www.linkedin.com/company/entornosdeformacion</t>
        </is>
      </c>
    </row>
    <row r="590" ht="12.5" customHeight="1">
      <c r="A590" s="6" t="n">
        <v>45203</v>
      </c>
      <c r="B590" s="1" t="inlineStr">
        <is>
          <t>ORG_2541</t>
        </is>
      </c>
      <c r="C590" s="1" t="b">
        <v>1</v>
      </c>
      <c r="D590" s="1" t="inlineStr">
        <is>
          <t>WiseWorld</t>
        </is>
      </c>
      <c r="E590" s="10" t="inlineStr">
        <is>
          <t>https://www.wiseworld.ai/</t>
        </is>
      </c>
      <c r="F590" t="inlineStr">
        <is>
          <t>wiseworld.ai</t>
        </is>
      </c>
      <c r="G590" s="1" t="inlineStr">
        <is>
          <t>WiseWorld, through interactive &amp; gamified role-playing stories, that are generated by AI, helps you regularly assess your soft skills and develop them as a technique every day.</t>
        </is>
      </c>
      <c r="H590" s="1" t="inlineStr">
        <is>
          <t>I'm not part of any EdTech association</t>
        </is>
      </c>
      <c r="I590" s="1" t="inlineStr">
        <is>
          <t>English</t>
        </is>
      </c>
      <c r="J590" s="1" t="inlineStr">
        <is>
          <t>Porto</t>
        </is>
      </c>
      <c r="K590" t="inlineStr">
        <is>
          <t>Porto</t>
        </is>
      </c>
      <c r="L590" t="inlineStr">
        <is>
          <t>Porto, Portugal</t>
        </is>
      </c>
      <c r="M590" t="n">
        <v>41.1502195</v>
      </c>
      <c r="N590" t="n">
        <v>-8.6103497</v>
      </c>
      <c r="O590" s="1" t="inlineStr">
        <is>
          <t>Portugal</t>
        </is>
      </c>
      <c r="P590" s="1" t="inlineStr">
        <is>
          <t>Denmark, Estonia, Finland, France, Germany, Ireland, Italy, Kazakhstan, Netherlands, Norway, Poland, Portugal, Spain, Sweden, Switzerland, Turkey, United Kingdom</t>
        </is>
      </c>
      <c r="Q590" s="1" t="inlineStr">
        <is>
          <t>3 to 5</t>
        </is>
      </c>
      <c r="R590" t="inlineStr">
        <is>
          <t>Micro</t>
        </is>
      </c>
      <c r="S590" s="1" t="inlineStr">
        <is>
          <t>Business to Business, Business to Schools, Business to Government</t>
        </is>
      </c>
      <c r="T590" s="1" t="inlineStr">
        <is>
          <t>Corporate Training</t>
        </is>
      </c>
      <c r="U590" s="1" t="inlineStr">
        <is>
          <t>System/Administrative</t>
        </is>
      </c>
      <c r="V590" s="10" t="inlineStr">
        <is>
          <t>WiseWorld</t>
        </is>
      </c>
      <c r="W590" s="10" t="inlineStr">
        <is>
          <t>There’s a gap in the soft skills training and assessment market. Companies can't regularly assess their teams' soft skills and have no update on their weaknesses and strengths that make planning for their development on a daily and habitual basis challenging.
At WiseWorld, we have a different approach for developing soft skills!
- Employees regularly engage with the AI-generated stories
- Stories are interactive &amp; gamified that continuously assess and develop their skills
- AI makes stories customized &amp; cost benefit</t>
        </is>
      </c>
      <c r="X590" s="10" t="inlineStr">
        <is>
          <t>https://drive.google.com/uc?export=view&amp;id=1nTYiN92m_rGp20blGt8OL5ICLbcw6cPQ</t>
        </is>
      </c>
      <c r="Y590" t="inlineStr">
        <is>
          <t>https://drive.google.com/uc?export=view&amp;id=1nTYiN92m_rGp20blGt8OL5ICLbcw6cPQ</t>
        </is>
      </c>
      <c r="Z590" s="1" t="inlineStr">
        <is>
          <t>https://drive.google.com/uc?export=view&amp;id=1nTYiN92m_rGp20blGt8OL5ICLbcw6cPQ</t>
        </is>
      </c>
      <c r="AA590" s="1" t="inlineStr">
        <is>
          <t>Unverified</t>
        </is>
      </c>
      <c r="AB590" s="1" t="n"/>
      <c r="AC590" s="1" t="n"/>
      <c r="AD590" s="10" t="n"/>
      <c r="AE590" s="1" t="n"/>
      <c r="AF590" t="inlineStr">
        <is>
          <t>Yes</t>
        </is>
      </c>
      <c r="AG590" t="inlineStr">
        <is>
          <t>https://www.instagram.com/wiseworld.ai/https://www.instagram.com/wiseworld.ai/</t>
        </is>
      </c>
      <c r="AH590" t="inlineStr">
        <is>
          <t>https://twitter.com/WiseWorldai</t>
        </is>
      </c>
      <c r="AI590" t="inlineStr">
        <is>
          <t>https://www.linkedin.com/company/wiseworld-ai/https://www.linkedin.com/company/wiseworld-ai/</t>
        </is>
      </c>
    </row>
    <row r="591" ht="12.5" customHeight="1">
      <c r="A591" s="6" t="n">
        <v>45202</v>
      </c>
      <c r="B591" s="1" t="inlineStr">
        <is>
          <t>ORG_1716</t>
        </is>
      </c>
      <c r="C591" s="1" t="b">
        <v>1</v>
      </c>
      <c r="D591" s="1" t="inlineStr">
        <is>
          <t>Impact Games</t>
        </is>
      </c>
      <c r="E591" s="10" t="inlineStr">
        <is>
          <t>www.gamifactory.eu</t>
        </is>
      </c>
      <c r="F591" t="inlineStr">
        <is>
          <t>gamifactory.eu</t>
        </is>
      </c>
      <c r="G591" s="1" t="inlineStr">
        <is>
          <t>Impact Games is an innovation platform for game development and use of games, gamification and new technologies for positive social impact. We believe that games and new technologies present one of the most efficient ways of achieving positive social impact through education. That is why our mission is to bring education to games and play to schools.
We make our own educational games, distribute third party games with educational potential via www.gamifactory.eu, provide game-based learning workshops, trainings and overall support to educators, parents and educational institutions.</t>
        </is>
      </c>
      <c r="H591" s="1" t="inlineStr">
        <is>
          <t>I'm not part of any EdTech association</t>
        </is>
      </c>
      <c r="I591" s="1" t="inlineStr">
        <is>
          <t>English, Slovak, Czech, Croatian, Slovenian</t>
        </is>
      </c>
      <c r="J591" s="1" t="inlineStr">
        <is>
          <t>Bratislava</t>
        </is>
      </c>
      <c r="K591" t="inlineStr">
        <is>
          <t>Bratislava</t>
        </is>
      </c>
      <c r="L591" t="inlineStr">
        <is>
          <t>Bratislava, Slovakia</t>
        </is>
      </c>
      <c r="M591" t="n">
        <v>48.1359085</v>
      </c>
      <c r="N591" t="n">
        <v>17.1597441</v>
      </c>
      <c r="O591" s="1" t="inlineStr">
        <is>
          <t>Slovakia</t>
        </is>
      </c>
      <c r="P591" s="1" t="inlineStr">
        <is>
          <t>Croatia, Czechia, Slovakia, Slovenia</t>
        </is>
      </c>
      <c r="Q591" s="1" t="inlineStr">
        <is>
          <t>6 to 10</t>
        </is>
      </c>
      <c r="R591" t="inlineStr">
        <is>
          <t>Micro</t>
        </is>
      </c>
      <c r="S591" s="1" t="inlineStr">
        <is>
          <t>Business to Business, Business to Consumer, Business to Schools</t>
        </is>
      </c>
      <c r="T591" s="1" t="inlineStr">
        <is>
          <t>Primary Education, Secondary Education</t>
        </is>
      </c>
      <c r="U591" s="1" t="inlineStr">
        <is>
          <t>Student interfacing, Teacher interfacing</t>
        </is>
      </c>
      <c r="V591" s="10" t="inlineStr">
        <is>
          <t>Game Development</t>
        </is>
      </c>
      <c r="W591" s="1" t="inlineStr">
        <is>
          <t>Impact Games has two internal teams of professional game developers composed of graphic artists, developers, game designers, sound designers and producers. 
If you are interested in cooperating with us on developing a new educational game, let us know!
Until now, Impact Games has successfully produced games like Aaron's Dilemma, Cells in Action, follow me (card game) and PAMOJA: Safe Dawn. All of these are available for free on Google Play and App Store.</t>
        </is>
      </c>
      <c r="X591" s="10" t="inlineStr">
        <is>
          <t>Distribution of educational games to schools</t>
        </is>
      </c>
      <c r="Y591" t="inlineStr">
        <is>
          <t>Impact Games has created and is building up an online platform Gamifactory. There is currently 16 educational games on offer at www.gamifactory.eu.
If you or your partners have a game with educational potential and you want it to be distributed widely to schools in Europe, please, get in touch! We can help you with that.</t>
        </is>
      </c>
      <c r="Z591" s="1" t="inlineStr">
        <is>
          <t>https://drive.google.com/uc?export=view&amp;id=1kKC8hcHFRafq_3rfBAmdsG6vsr1Ltr1y</t>
        </is>
      </c>
      <c r="AA591" s="1" t="inlineStr">
        <is>
          <t>Unverified</t>
        </is>
      </c>
      <c r="AB591" s="1" t="n"/>
      <c r="AC591" s="1" t="n"/>
      <c r="AD591" s="10" t="n"/>
      <c r="AE591" s="1" t="n"/>
      <c r="AF591" t="inlineStr">
        <is>
          <t>Yes</t>
        </is>
      </c>
      <c r="AG591" t="inlineStr">
        <is>
          <t>https://www.instagram.com/impactgames.eu/</t>
        </is>
      </c>
      <c r="AH591" t="inlineStr">
        <is>
          <t>https://www.linkedin.com/company/42421041/admin/feed/posts/</t>
        </is>
      </c>
      <c r="AI591" t="inlineStr">
        <is>
          <t>https://www.linkedin.com/company/42421041/admin/feed/posts/</t>
        </is>
      </c>
    </row>
    <row r="592" ht="12.5" customHeight="1">
      <c r="A592" s="6" t="n">
        <v>45201</v>
      </c>
      <c r="B592" s="1" t="inlineStr">
        <is>
          <t>ORG_1393</t>
        </is>
      </c>
      <c r="C592" s="1" t="b">
        <v>1</v>
      </c>
      <c r="D592" s="1" t="inlineStr">
        <is>
          <t>EC POWER</t>
        </is>
      </c>
      <c r="E592" s="10" t="inlineStr">
        <is>
          <t>www.emprendeconmigo.com</t>
        </is>
      </c>
      <c r="F592" t="inlineStr">
        <is>
          <t>emprendeconmigo.com</t>
        </is>
      </c>
      <c r="G592" s="1" t="inlineStr">
        <is>
          <t>We educate in leadership, intellectual property, strategy and value creation to women and expats worldwide with no access in their new country.</t>
        </is>
      </c>
      <c r="H592" s="1" t="inlineStr">
        <is>
          <t>I'm not part of any EdTech association</t>
        </is>
      </c>
      <c r="I592" s="1" t="n"/>
      <c r="J592" s="1" t="inlineStr">
        <is>
          <t>Madrid</t>
        </is>
      </c>
      <c r="K592" t="inlineStr">
        <is>
          <t>Madrid</t>
        </is>
      </c>
      <c r="L592" t="inlineStr">
        <is>
          <t>Madrid, Spain</t>
        </is>
      </c>
      <c r="M592" t="n">
        <v>40.416782</v>
      </c>
      <c r="N592" t="n">
        <v>-3.703507</v>
      </c>
      <c r="O592" s="1" t="inlineStr">
        <is>
          <t>Spain</t>
        </is>
      </c>
      <c r="P592" s="1" t="inlineStr">
        <is>
          <t>Spain</t>
        </is>
      </c>
      <c r="Q592" s="1" t="inlineStr">
        <is>
          <t>0 to 2</t>
        </is>
      </c>
      <c r="R592" t="inlineStr">
        <is>
          <t>Solo entrepreneur</t>
        </is>
      </c>
      <c r="S592" s="1" t="inlineStr">
        <is>
          <t>Business to Business, Business to Schools, Business to Consumer, Business to Government</t>
        </is>
      </c>
      <c r="T592" s="1" t="inlineStr">
        <is>
          <t>Corporate Training, Lifelong learning/Adult education, Higher Education</t>
        </is>
      </c>
      <c r="U592" s="1" t="inlineStr">
        <is>
          <t>Student interfacing, Teacher interfacing, System/Administrative</t>
        </is>
      </c>
      <c r="V592" s="1" t="inlineStr">
        <is>
          <t>EC Coaching &amp; Mentoring</t>
        </is>
      </c>
      <c r="W592" s="1" t="inlineStr">
        <is>
          <t>Through this service we coach and mentor our target audience to create a business based in their knowledge, talents, and professional experience and we elevate and value their intangible assets.</t>
        </is>
      </c>
      <c r="X592" s="10" t="inlineStr">
        <is>
          <t>EC LEGAL</t>
        </is>
      </c>
      <c r="Y592" t="inlineStr">
        <is>
          <t>We provide legal mentoring for their shareholders agreement, trademark registration, patent consultation, and how to protect all the other intangible assets.</t>
        </is>
      </c>
      <c r="Z592" s="1" t="inlineStr">
        <is>
          <t>https://drive.google.com/uc?export=view&amp;id=1X8M1f_HbLIdGLVVKo8ItjlgmjBwOGZTP</t>
        </is>
      </c>
      <c r="AA592" s="1" t="inlineStr">
        <is>
          <t>Unverified</t>
        </is>
      </c>
      <c r="AB592" s="1" t="n"/>
      <c r="AC592" s="1" t="n"/>
      <c r="AD592" s="10" t="n"/>
      <c r="AE592" s="1" t="n"/>
      <c r="AF592" s="1" t="inlineStr">
        <is>
          <t>Yes</t>
        </is>
      </c>
      <c r="AG592" s="1" t="inlineStr">
        <is>
          <t>emprende_conmigo</t>
        </is>
      </c>
      <c r="AH592" s="1" t="inlineStr">
        <is>
          <t>https://www.linkedin.com/in/gina-de-echeona/</t>
        </is>
      </c>
      <c r="AI592" s="1" t="inlineStr">
        <is>
          <t>https://www.linkedin.com/in/gina-de-echeona/</t>
        </is>
      </c>
      <c r="AJ592" s="1" t="n"/>
    </row>
    <row r="593" ht="12.5" customHeight="1">
      <c r="A593" s="6" t="n">
        <v>45201</v>
      </c>
      <c r="B593" s="1" t="inlineStr">
        <is>
          <t>ORG_1945</t>
        </is>
      </c>
      <c r="C593" s="1" t="b">
        <v>1</v>
      </c>
      <c r="D593" s="1" t="inlineStr">
        <is>
          <t>Meloom</t>
        </is>
      </c>
      <c r="E593" s="10" t="inlineStr">
        <is>
          <t>www.meloom.com</t>
        </is>
      </c>
      <c r="F593" t="inlineStr">
        <is>
          <t>meloom.com</t>
        </is>
      </c>
      <c r="G593" s="1" t="inlineStr">
        <is>
          <t>Aprende a tocar un instrumento de forma fácil y divertida</t>
        </is>
      </c>
      <c r="H593" s="1" t="inlineStr">
        <is>
          <t>I'm not part of any EdTech association</t>
        </is>
      </c>
      <c r="I593" s="1" t="inlineStr">
        <is>
          <t>Spanish</t>
        </is>
      </c>
      <c r="J593" s="1" t="inlineStr">
        <is>
          <t>Barcelona</t>
        </is>
      </c>
      <c r="K593" t="inlineStr">
        <is>
          <t>Barcelona</t>
        </is>
      </c>
      <c r="L593" t="inlineStr">
        <is>
          <t>Barcelona, Spain</t>
        </is>
      </c>
      <c r="M593" t="n">
        <v>41.3825802</v>
      </c>
      <c r="N593" t="n">
        <v>2.177073</v>
      </c>
      <c r="O593" s="1" t="inlineStr">
        <is>
          <t>Spain</t>
        </is>
      </c>
      <c r="P593" s="1" t="inlineStr">
        <is>
          <t>Spain</t>
        </is>
      </c>
      <c r="Q593" s="1" t="inlineStr">
        <is>
          <t>0 to 2</t>
        </is>
      </c>
      <c r="R593" t="inlineStr">
        <is>
          <t>Solo entrepreneur</t>
        </is>
      </c>
      <c r="S593" s="1" t="inlineStr">
        <is>
          <t>Business to Business, Business to Schools, Business to Consumer</t>
        </is>
      </c>
      <c r="T593" s="1" t="inlineStr">
        <is>
          <t>Lifelong learning/Adult education</t>
        </is>
      </c>
      <c r="U593" s="1" t="inlineStr">
        <is>
          <t>Student interfacing</t>
        </is>
      </c>
      <c r="V593" s="10" t="inlineStr">
        <is>
          <t>Personalized path</t>
        </is>
      </c>
      <c r="W593" s="10" t="inlineStr">
        <is>
          <t>Personalized paths for learning how to play instrument. At this moment users can choose bethween guitar, ukulele and drumbox.
More paths are in the making.</t>
        </is>
      </c>
      <c r="X593" s="10" t="inlineStr">
        <is>
          <t>https://drive.google.com/uc?export=view&amp;id=1hqKNKXvhuQ-Bk2k-IB0UJITIKWAmQ6vu</t>
        </is>
      </c>
      <c r="Y593" t="inlineStr">
        <is>
          <t>https://drive.google.com/uc?export=view&amp;id=1hqKNKXvhuQ-Bk2k-IB0UJITIKWAmQ6vu</t>
        </is>
      </c>
      <c r="Z593" s="1" t="inlineStr">
        <is>
          <t>https://drive.google.com/uc?export=view&amp;id=1hqKNKXvhuQ-Bk2k-IB0UJITIKWAmQ6vu</t>
        </is>
      </c>
      <c r="AA593" s="1" t="inlineStr">
        <is>
          <t>Unverified</t>
        </is>
      </c>
      <c r="AB593" s="1" t="n"/>
      <c r="AC593" s="1" t="n"/>
      <c r="AD593" s="10" t="n"/>
      <c r="AE593" s="1" t="n"/>
      <c r="AF593" s="1" t="inlineStr">
        <is>
          <t>Yes</t>
        </is>
      </c>
      <c r="AG593" s="1" t="inlineStr">
        <is>
          <t>https://www.instagram.com/meloom_music/?hl=es</t>
        </is>
      </c>
      <c r="AH593" s="1" t="inlineStr">
        <is>
          <t>https://twitter.com/Meloom_Music</t>
        </is>
      </c>
      <c r="AI593" t="inlineStr">
        <is>
          <t>https://www.linkedin.com/company/meloom/</t>
        </is>
      </c>
    </row>
    <row r="594" ht="12.5" customHeight="1">
      <c r="A594" s="6" t="n">
        <v>45200</v>
      </c>
      <c r="B594" s="1" t="inlineStr">
        <is>
          <t>ORG_1924</t>
        </is>
      </c>
      <c r="C594" s="1" t="b">
        <v>1</v>
      </c>
      <c r="D594" s="1" t="inlineStr">
        <is>
          <t>Mastercole</t>
        </is>
      </c>
      <c r="E594" s="10" t="inlineStr">
        <is>
          <t>https://www.mastercole.com/</t>
        </is>
      </c>
      <c r="F594" t="inlineStr">
        <is>
          <t>mastercole.com</t>
        </is>
      </c>
      <c r="G594" s="1" t="inlineStr">
        <is>
          <t>Mastercole is a company founded by C-level professionals that offers formation to transform school procedures from a management point of view. Only the best experts from their fields can teach teachers to move them to the next level, and that is exactly what we want to achieve.</t>
        </is>
      </c>
      <c r="H594" s="1" t="inlineStr">
        <is>
          <t>I'm not part of any EdTech association</t>
        </is>
      </c>
      <c r="I594" s="1" t="inlineStr">
        <is>
          <t>Catalan, Spanish, English</t>
        </is>
      </c>
      <c r="J594" s="1" t="inlineStr">
        <is>
          <t>Barcelona</t>
        </is>
      </c>
      <c r="K594" t="inlineStr">
        <is>
          <t>Barcelona</t>
        </is>
      </c>
      <c r="L594" t="inlineStr">
        <is>
          <t>Barcelona, Spain</t>
        </is>
      </c>
      <c r="M594" t="n">
        <v>41.3825802</v>
      </c>
      <c r="N594" t="n">
        <v>2.177073</v>
      </c>
      <c r="O594" s="1" t="inlineStr">
        <is>
          <t>Spain</t>
        </is>
      </c>
      <c r="P594" s="1" t="inlineStr">
        <is>
          <t>Spain</t>
        </is>
      </c>
      <c r="Q594" s="1" t="inlineStr">
        <is>
          <t>0 to 2</t>
        </is>
      </c>
      <c r="R594" t="inlineStr">
        <is>
          <t>Solo entrepreneur</t>
        </is>
      </c>
      <c r="S594" s="1" t="inlineStr">
        <is>
          <t>Business to Business, Business to Schools</t>
        </is>
      </c>
      <c r="T594" s="1" t="inlineStr">
        <is>
          <t>Early childhood development (0-5 years), Primary Education, Secondary Education, Corporate Training, Lifelong learning/Adult education</t>
        </is>
      </c>
      <c r="U594" s="1" t="inlineStr">
        <is>
          <t>Teacher interfacing, System/Administrative</t>
        </is>
      </c>
      <c r="V594" s="10" t="inlineStr">
        <is>
          <t>Mastermanagement Lessons</t>
        </is>
      </c>
      <c r="W594" s="10" t="inlineStr">
        <is>
          <t>We offer different courses focused on the school's Management Team, to help them organize their procedures to be as efficient as possible.</t>
        </is>
      </c>
      <c r="X594" s="10" t="inlineStr">
        <is>
          <t>Mastermarketing Lessons</t>
        </is>
      </c>
      <c r="Y594" t="inlineStr">
        <is>
          <t>From the marketing campaigns to the analysis of the sales funnel and its conversion index. Communication, persuasion, satisfaction of the client... everything can be taught and improved!</t>
        </is>
      </c>
      <c r="Z594" s="1" t="inlineStr">
        <is>
          <t>https://drive.google.com/uc?export=view&amp;id=14N9eZ1U4sXMwL7AeoH3m3lAhZpN26DDi</t>
        </is>
      </c>
      <c r="AA594" s="1" t="inlineStr">
        <is>
          <t>Unverified</t>
        </is>
      </c>
      <c r="AB594" s="1" t="n"/>
      <c r="AC594" s="1" t="n"/>
      <c r="AD594" s="10" t="n"/>
      <c r="AE594" s="1" t="n"/>
      <c r="AF594" t="inlineStr">
        <is>
          <t>Yes</t>
        </is>
      </c>
      <c r="AG594" t="inlineStr">
        <is>
          <t>https://www.instagram.com/mastercoleoficial/</t>
        </is>
      </c>
      <c r="AH594" t="inlineStr">
        <is>
          <t>https://twitter.com/somosmastercole</t>
        </is>
      </c>
      <c r="AI594" t="inlineStr">
        <is>
          <t>https://www.linkedin.com/company/MASTERCOLE</t>
        </is>
      </c>
    </row>
    <row r="595" ht="12.5" customHeight="1">
      <c r="A595" s="6" t="n">
        <v>45199</v>
      </c>
      <c r="B595" s="1" t="inlineStr">
        <is>
          <t>ORG_1336</t>
        </is>
      </c>
      <c r="C595" s="1" t="b">
        <v>1</v>
      </c>
      <c r="D595" s="1" t="inlineStr">
        <is>
          <t>Denglisch Docs</t>
        </is>
      </c>
      <c r="E595" s="10" t="inlineStr">
        <is>
          <t>https://denglischdocs.com/</t>
        </is>
      </c>
      <c r="F595" t="inlineStr">
        <is>
          <t>denglischdocs.com</t>
        </is>
      </c>
      <c r="G595" s="1" t="inlineStr">
        <is>
          <t>Denglisch Docs is an American-German EdTech company on a mission to boost and democratize the local economy by making the D-A-CH-LI region bilingual.
In other words, we’re helping German speakers play a more active role on the world stage by being able to speak English effectively and open doors for those who don’t speak German yet to actively contribute to the local economy.</t>
        </is>
      </c>
      <c r="H595" s="1" t="inlineStr">
        <is>
          <t>I'm not part of any EdTech association</t>
        </is>
      </c>
      <c r="I595" s="1" t="inlineStr">
        <is>
          <t>German, English</t>
        </is>
      </c>
      <c r="J595" s="1" t="inlineStr">
        <is>
          <t>Düsseldorf</t>
        </is>
      </c>
      <c r="K595" t="inlineStr">
        <is>
          <t>Düsseldorf</t>
        </is>
      </c>
      <c r="L595" t="inlineStr">
        <is>
          <t>Düsseldorf, Germany</t>
        </is>
      </c>
      <c r="M595" t="n">
        <v>51.2254018</v>
      </c>
      <c r="N595" t="n">
        <v>6.7763137</v>
      </c>
      <c r="O595" s="1" t="inlineStr">
        <is>
          <t>Germany</t>
        </is>
      </c>
      <c r="P595" s="1" t="inlineStr">
        <is>
          <t>Austria, Germany, Liechtenstein, Switzerland</t>
        </is>
      </c>
      <c r="Q595" s="1" t="inlineStr">
        <is>
          <t>6 to 10</t>
        </is>
      </c>
      <c r="R595" t="inlineStr">
        <is>
          <t>Micro</t>
        </is>
      </c>
      <c r="S595" s="1" t="inlineStr">
        <is>
          <t>Business to Business, Business to Schools, Business to Consumer, Business to Government</t>
        </is>
      </c>
      <c r="T595" s="1" t="inlineStr">
        <is>
          <t>Secondary Education, Corporate Training, Lifelong learning/Adult education, Vocational Education and Training (VET), Higher Education</t>
        </is>
      </c>
      <c r="U595" s="1" t="inlineStr">
        <is>
          <t>System/Administrative, Student interfacing, Teacher interfacing</t>
        </is>
      </c>
      <c r="V595" s="10" t="inlineStr">
        <is>
          <t>Context by Denglisch Docs</t>
        </is>
      </c>
      <c r="W595" s="10" t="inlineStr">
        <is>
          <t>A marketplace for editors, translators, and copywriters, operating under the umbrella of the Denglisch Docs brand.</t>
        </is>
      </c>
      <c r="X595" s="10" t="inlineStr">
        <is>
          <t>Real Talk by Denglisch Docs</t>
        </is>
      </c>
      <c r="Y595" t="inlineStr">
        <is>
          <t>A free remote exchange program for students from the D-A-CH-LI region and the US.</t>
        </is>
      </c>
      <c r="Z595" s="1" t="inlineStr">
        <is>
          <t>https://drive.google.com/uc?export=view&amp;id=14ybFmUcamVYKavEBHkvH79pIvT4zgTZn</t>
        </is>
      </c>
      <c r="AA595" s="1" t="inlineStr">
        <is>
          <t>Unverified</t>
        </is>
      </c>
      <c r="AB595" s="1" t="n"/>
      <c r="AC595" s="1" t="n"/>
      <c r="AD595" s="10" t="n"/>
      <c r="AE595" s="1" t="n"/>
      <c r="AF595" t="inlineStr">
        <is>
          <t>Yes</t>
        </is>
      </c>
      <c r="AG595" t="inlineStr">
        <is>
          <t>https://www.instagram.com/denglisch_docs/</t>
        </is>
      </c>
      <c r="AH595" t="inlineStr">
        <is>
          <t>https://twitter.com/Denglisch_Docs</t>
        </is>
      </c>
      <c r="AI595" t="inlineStr">
        <is>
          <t>https://de.linkedin.com/company/denglisch-docs</t>
        </is>
      </c>
    </row>
    <row r="596" ht="12.5" customHeight="1">
      <c r="A596" s="6" t="n">
        <v>45199</v>
      </c>
      <c r="B596" s="1" t="inlineStr">
        <is>
          <t>ORG_1927</t>
        </is>
      </c>
      <c r="C596" s="1" t="b">
        <v>1</v>
      </c>
      <c r="D596" s="1" t="inlineStr">
        <is>
          <t>MathArena</t>
        </is>
      </c>
      <c r="E596" s="10" t="inlineStr">
        <is>
          <t>https://www.matharena.net/</t>
        </is>
      </c>
      <c r="F596" t="inlineStr">
        <is>
          <t>matharena.net</t>
        </is>
      </c>
      <c r="G596" s="1" t="inlineStr">
        <is>
          <t>MathArena combines playful learning in mathematics with adaptive task difficulties in the form of an application. It allows flexible training without pen and paper and is motivating to use. All this is supported by mini-games and reward mechanisms, supported with the latest findings from learning psychology and enables thus differentiated learning for each individual.</t>
        </is>
      </c>
      <c r="H596" s="1" t="inlineStr">
        <is>
          <t>EdTech Austria</t>
        </is>
      </c>
      <c r="I596" s="1" t="inlineStr">
        <is>
          <t>German, English</t>
        </is>
      </c>
      <c r="J596" s="1" t="inlineStr">
        <is>
          <t>Hohenzell</t>
        </is>
      </c>
      <c r="K596" t="inlineStr">
        <is>
          <t>Hohenzell</t>
        </is>
      </c>
      <c r="L596" t="inlineStr">
        <is>
          <t>Hohenzell, Austria</t>
        </is>
      </c>
      <c r="M596" t="n">
        <v>48.1928265</v>
      </c>
      <c r="N596" t="n">
        <v>13.5431306</v>
      </c>
      <c r="O596" s="1" t="inlineStr">
        <is>
          <t>Austria</t>
        </is>
      </c>
      <c r="P596" s="1" t="inlineStr">
        <is>
          <t>Austria, Croatia, Germany, Kosovo, Liechtenstein, Montenegro, Serbia, Switzerland, Turkey, United Kingdom</t>
        </is>
      </c>
      <c r="Q596" s="1" t="inlineStr">
        <is>
          <t>6 to 10</t>
        </is>
      </c>
      <c r="R596" t="inlineStr">
        <is>
          <t>Micro</t>
        </is>
      </c>
      <c r="S596" s="1" t="inlineStr">
        <is>
          <t>Business to Business, Business to Government</t>
        </is>
      </c>
      <c r="T596" s="1" t="inlineStr">
        <is>
          <t>Primary Education, Secondary Education, Lifelong learning/Adult education, Higher Education</t>
        </is>
      </c>
      <c r="U596" s="1" t="inlineStr">
        <is>
          <t>System/Administrative, Student interfacing, Teacher interfacing</t>
        </is>
      </c>
      <c r="V596" s="10" t="inlineStr">
        <is>
          <t>MathArena Junior</t>
        </is>
      </c>
      <c r="W596" s="1" t="inlineStr">
        <is>
          <t>Learning. Math. Playfully.
MathArena Classic is your opportunity to practice mathematics flexibly anytime and anywhere. It allows students from the 9th grade (from Secondary Level II) to learn flexibly and conveniently directly from their smartphone – whether in class or during leisure time.
Quiz yourself on a wealth of math knowledge from 20 subject areas. Choose from 16 topics across four different subject areas, from numbers to geometry.</t>
        </is>
      </c>
      <c r="X596" s="10" t="inlineStr">
        <is>
          <t>MathArena Classic</t>
        </is>
      </c>
      <c r="Y596" t="inlineStr">
        <is>
          <t>Learning. Math. Playfully.
The MathArena Classic is your chance to work on your math skills when you’re on the go - that means anywhere and anytime you feel like it! Prepare yourself for the A-Levels or any kind of higher-level math tests in a fun way by using our multiple-choice mode where your learning progress will also be summarized and the difficulty of questions will automatically adjust to your ability.
The explanation at the bottom of every question will help you with anything unclear, or you can simply contact us using the Feedback-Function where you will get additional help or a personal answer from our MathArena team.</t>
        </is>
      </c>
      <c r="Z596" s="1" t="inlineStr">
        <is>
          <t>https://drive.google.com/uc?export=view&amp;id=1UTiovnQvPEPyUN3vBn7jZGxixPzyXgdf</t>
        </is>
      </c>
      <c r="AA596" s="1" t="inlineStr">
        <is>
          <t>Unverified</t>
        </is>
      </c>
      <c r="AB596" s="1" t="n"/>
      <c r="AC596" s="1" t="n"/>
      <c r="AD596" s="10" t="n"/>
      <c r="AE596" s="1" t="n"/>
      <c r="AF596" s="1" t="inlineStr">
        <is>
          <t>Yes</t>
        </is>
      </c>
      <c r="AG596" s="1" t="inlineStr">
        <is>
          <t>https://www.instagram.com/mathearena/?hl=de</t>
        </is>
      </c>
      <c r="AH596" s="1" t="inlineStr">
        <is>
          <t>https://www.linkedin.com/company/mathearena</t>
        </is>
      </c>
      <c r="AI596" t="inlineStr">
        <is>
          <t>https://www.linkedin.com/company/mathearena</t>
        </is>
      </c>
    </row>
    <row r="597" ht="12.5" customHeight="1">
      <c r="A597" s="6" t="n">
        <v>45197</v>
      </c>
      <c r="B597" s="1" t="inlineStr">
        <is>
          <t>ORG_1278</t>
        </is>
      </c>
      <c r="C597" s="1" t="b">
        <v>1</v>
      </c>
      <c r="D597" s="1" t="inlineStr">
        <is>
          <t>Cogniti</t>
        </is>
      </c>
      <c r="E597" s="10" t="inlineStr">
        <is>
          <t>www.cogniti.es</t>
        </is>
      </c>
      <c r="F597" t="inlineStr">
        <is>
          <t>cogniti.es</t>
        </is>
      </c>
      <c r="G597" s="1" t="inlineStr">
        <is>
          <t>Cogniti works to maintain the independence and autonomy of elder people through increasing technological and digital skills</t>
        </is>
      </c>
      <c r="H597" s="1" t="inlineStr">
        <is>
          <t>I'm not part of any EdTech association</t>
        </is>
      </c>
      <c r="I597" s="1" t="inlineStr">
        <is>
          <t>Spanish</t>
        </is>
      </c>
      <c r="J597" s="1" t="inlineStr">
        <is>
          <t>Valencia</t>
        </is>
      </c>
      <c r="K597" t="inlineStr">
        <is>
          <t>Valencia</t>
        </is>
      </c>
      <c r="L597" t="inlineStr">
        <is>
          <t>Valencia, Spain</t>
        </is>
      </c>
      <c r="M597" t="n">
        <v>39.6819591</v>
      </c>
      <c r="N597" t="n">
        <v>-0.7654406</v>
      </c>
      <c r="O597" s="1" t="inlineStr">
        <is>
          <t>Spain</t>
        </is>
      </c>
      <c r="P597" s="1" t="inlineStr">
        <is>
          <t>Spain</t>
        </is>
      </c>
      <c r="Q597" s="1" t="inlineStr">
        <is>
          <t>0 to 2</t>
        </is>
      </c>
      <c r="R597" t="inlineStr">
        <is>
          <t>Solo entrepreneur</t>
        </is>
      </c>
      <c r="S597" s="1" t="inlineStr">
        <is>
          <t>Business to Business, Business to Consumer, Business to Government, Business to Schools</t>
        </is>
      </c>
      <c r="T597" s="1" t="inlineStr">
        <is>
          <t>Lifelong learning/Adult education</t>
        </is>
      </c>
      <c r="U597" s="1" t="inlineStr">
        <is>
          <t>System/Administrative, Student interfacing</t>
        </is>
      </c>
      <c r="V597" s="10" t="inlineStr">
        <is>
          <t>CognitiApp</t>
        </is>
      </c>
      <c r="W597" s="1" t="inlineStr">
        <is>
          <t>We help adults enhance their digital skills to stay updated and connected.</t>
        </is>
      </c>
      <c r="X597" s="10" t="inlineStr">
        <is>
          <t>https://drive.google.com/uc?export=view&amp;id=1GXC8eV_96hzpnv7j6dseBuU7CLlU9CnO</t>
        </is>
      </c>
      <c r="Y597" t="inlineStr">
        <is>
          <t>https://drive.google.com/uc?export=view&amp;id=1GXC8eV_96hzpnv7j6dseBuU7CLlU9CnO</t>
        </is>
      </c>
      <c r="Z597" s="1" t="inlineStr">
        <is>
          <t>https://drive.google.com/uc?export=view&amp;id=1GXC8eV_96hzpnv7j6dseBuU7CLlU9CnO</t>
        </is>
      </c>
      <c r="AA597" s="1" t="inlineStr">
        <is>
          <t>Unverified</t>
        </is>
      </c>
      <c r="AB597" s="1" t="n"/>
      <c r="AC597" s="1" t="n"/>
      <c r="AD597" s="10" t="n"/>
      <c r="AE597" s="1" t="n"/>
      <c r="AF597" s="1" t="inlineStr">
        <is>
          <t>Yes</t>
        </is>
      </c>
      <c r="AG597" s="1" t="inlineStr">
        <is>
          <t>https://www.instagram.com/cognitiapp/</t>
        </is>
      </c>
      <c r="AH597" t="inlineStr">
        <is>
          <t>https://www.linkedin.com/company/cognitiapp/</t>
        </is>
      </c>
      <c r="AI597" t="inlineStr">
        <is>
          <t>https://www.linkedin.com/company/cognitiapp/</t>
        </is>
      </c>
    </row>
    <row r="598" ht="12.5" customHeight="1">
      <c r="A598" s="6" t="n">
        <v>45197</v>
      </c>
      <c r="B598" s="1" t="inlineStr">
        <is>
          <t>ORG_1855</t>
        </is>
      </c>
      <c r="C598" s="1" t="b">
        <v>1</v>
      </c>
      <c r="D598" s="10" t="inlineStr">
        <is>
          <t>Lernpfad.ch</t>
        </is>
      </c>
      <c r="E598" s="10" t="inlineStr">
        <is>
          <t>https://www.lernpfad.ch</t>
        </is>
      </c>
      <c r="F598" t="inlineStr">
        <is>
          <t>lernpfad.ch</t>
        </is>
      </c>
      <c r="G598" s="1" t="inlineStr">
        <is>
          <t>Learning path is a micropublishing platform on which teachers can create and obtain individual teaching units or even entire courses in the form of learning paths.
A learning path consists of a goal and any number of learning steps that lead to this goal. A learning step comprises a learning task and all the information and resources required to solve it. Once a learning path is created, it can be shared with any number of learners. Both teachers and learners can keep track of the current learning status and document results and give each other feedback. Lernpfad works on the following principle: Structure, Learn, Accompany</t>
        </is>
      </c>
      <c r="H598" s="1" t="inlineStr">
        <is>
          <t>I'm not part of any EdTech association</t>
        </is>
      </c>
      <c r="I598" s="1" t="inlineStr">
        <is>
          <t>German, French</t>
        </is>
      </c>
      <c r="J598" s="1" t="inlineStr">
        <is>
          <t>Bern</t>
        </is>
      </c>
      <c r="K598" t="inlineStr">
        <is>
          <t>Bern</t>
        </is>
      </c>
      <c r="L598" t="inlineStr">
        <is>
          <t>Bern, Switzerland</t>
        </is>
      </c>
      <c r="M598" t="n">
        <v>46.9484742</v>
      </c>
      <c r="N598" t="n">
        <v>7.4521749</v>
      </c>
      <c r="O598" s="1" t="inlineStr">
        <is>
          <t>Switzerland</t>
        </is>
      </c>
      <c r="P598" s="1" t="inlineStr">
        <is>
          <t>Austria, Germany, Switzerland</t>
        </is>
      </c>
      <c r="Q598" s="1" t="inlineStr">
        <is>
          <t>0 to 2</t>
        </is>
      </c>
      <c r="R598" t="inlineStr">
        <is>
          <t>Solo entrepreneur</t>
        </is>
      </c>
      <c r="S598" s="1" t="inlineStr">
        <is>
          <t>Business to Business, Business to Consumer, Business to Schools</t>
        </is>
      </c>
      <c r="T598" s="1" t="inlineStr">
        <is>
          <t>Primary Education, Secondary Education, Corporate Training, Lifelong learning/Adult education, Vocational Education and Training (VET), Higher Education</t>
        </is>
      </c>
      <c r="U598" s="1" t="inlineStr">
        <is>
          <t>Teacher interfacing</t>
        </is>
      </c>
      <c r="V598" s="10" t="inlineStr">
        <is>
          <t>Lernpfad.ch</t>
        </is>
      </c>
      <c r="W598" s="10" t="inlineStr">
        <is>
          <t>Learning path is a micropublishing platform on which teachers can create and obtain individual teaching units or even entire courses in the form of learning paths.
Lernpfad works on the following principle:
Structure: Assemble work assignments and digital and analog learning resources into structured learning paths.
Learn: Learners work self-directed on their learning paths and make their learning visible. 
Accompany: Regular individual feedback motivates and gives learners confidence.
The accessible and low-threshold application enables cross-institutional use and completely dispenses with role differentiation. This enables flexible and varied use.</t>
        </is>
      </c>
      <c r="X598" s="10" t="inlineStr">
        <is>
          <t>https://drive.google.com/uc?export=view&amp;id=1E2fm98KxIYHWBwdTwObKIuZB7WT-_06E</t>
        </is>
      </c>
      <c r="Y598" t="inlineStr">
        <is>
          <t>https://drive.google.com/uc?export=view&amp;id=1E2fm98KxIYHWBwdTwObKIuZB7WT-_06E</t>
        </is>
      </c>
      <c r="Z598" s="10" t="inlineStr">
        <is>
          <t>https://drive.google.com/uc?export=view&amp;id=1E2fm98KxIYHWBwdTwObKIuZB7WT-_06E</t>
        </is>
      </c>
      <c r="AA598" s="1" t="inlineStr">
        <is>
          <t>Unverified</t>
        </is>
      </c>
      <c r="AB598" s="1" t="n"/>
      <c r="AC598" s="1" t="n"/>
      <c r="AD598" s="10" t="n"/>
      <c r="AE598" s="1" t="n"/>
      <c r="AF598" s="1" t="inlineStr">
        <is>
          <t>Yes</t>
        </is>
      </c>
      <c r="AG598" s="1" t="inlineStr">
        <is>
          <t>https://www.instagram.com/lernpfad/</t>
        </is>
      </c>
      <c r="AH598" s="1" t="inlineStr">
        <is>
          <t>https://twitter.com/lernpfad</t>
        </is>
      </c>
      <c r="AI598" t="inlineStr">
        <is>
          <t>https://www.linkedin.com/company/lernpfad/</t>
        </is>
      </c>
    </row>
    <row r="599" ht="12.5" customHeight="1">
      <c r="A599" s="6" t="n">
        <v>45196</v>
      </c>
      <c r="B599" s="1" t="inlineStr">
        <is>
          <t>ORG_1514</t>
        </is>
      </c>
      <c r="C599" s="1" t="b">
        <v>1</v>
      </c>
      <c r="D599" s="1" t="inlineStr">
        <is>
          <t>ESI</t>
        </is>
      </c>
      <c r="E599" s="10" t="inlineStr">
        <is>
          <t>https://www.esinstitute.com/</t>
        </is>
      </c>
      <c r="F599" t="inlineStr">
        <is>
          <t>esinstitute.com</t>
        </is>
      </c>
      <c r="G599" s="1" t="inlineStr">
        <is>
          <t>ESI is a unique sales skills development programme delivered fully digital for the modern B2B sales teams. 
The programme is enriched with on-the-job exercises and certification that allow your salespeople to achieve high performance without taking talent off the floor. 
What makes ESI unique is the blend of a highly relevant curriculum, combined with deep insights into user learning behaviours. 
The result of this is a skills programme that is unlike any other, which will create an instant impact in the work environment.</t>
        </is>
      </c>
      <c r="H599" s="1" t="inlineStr">
        <is>
          <t>EdTech Ireland</t>
        </is>
      </c>
      <c r="I599" s="1" t="inlineStr">
        <is>
          <t>English</t>
        </is>
      </c>
      <c r="J599" s="1" t="inlineStr">
        <is>
          <t>Dublin 6</t>
        </is>
      </c>
      <c r="K599" t="inlineStr">
        <is>
          <t>Dublin</t>
        </is>
      </c>
      <c r="L599" t="inlineStr">
        <is>
          <t>Dublin, Ireland</t>
        </is>
      </c>
      <c r="M599" t="n">
        <v>53.3493795</v>
      </c>
      <c r="N599" t="n">
        <v>-6.2605593</v>
      </c>
      <c r="O599" s="1" t="inlineStr">
        <is>
          <t>Ireland</t>
        </is>
      </c>
      <c r="P599" s="1" t="inlineStr">
        <is>
          <t>Belgium, Croatia, Ireland, Netherlands, Poland, Sweden, United Kingdom</t>
        </is>
      </c>
      <c r="Q599" s="1" t="inlineStr">
        <is>
          <t>6 to 10</t>
        </is>
      </c>
      <c r="R599" t="inlineStr">
        <is>
          <t>Micro</t>
        </is>
      </c>
      <c r="S599" s="1" t="inlineStr">
        <is>
          <t>Business to Business, Business to Consumer</t>
        </is>
      </c>
      <c r="T599" s="1" t="inlineStr">
        <is>
          <t>Corporate Training, Lifelong learning/Adult education, Vocational Education and Training (VET), Higher Education</t>
        </is>
      </c>
      <c r="U599" s="1" t="inlineStr">
        <is>
          <t>System/Administrative, Student interfacing</t>
        </is>
      </c>
      <c r="V599" s="1" t="inlineStr">
        <is>
          <t>Growth+ Sales Training &amp; Certification</t>
        </is>
      </c>
      <c r="W599" s="1" t="inlineStr">
        <is>
          <t>ESI’s Growth+ platform will fill your sales skills and talent gap. It enables employers to better develop, retain and onboard high performing sales people. Wherever they are.</t>
        </is>
      </c>
      <c r="X599" s="10" t="inlineStr">
        <is>
          <t>https://drive.google.com/uc?export=view&amp;id=1lA79senTrE-MZtML_Bm0JgmdTJdGmE5D</t>
        </is>
      </c>
      <c r="Y599" t="inlineStr">
        <is>
          <t>https://drive.google.com/uc?export=view&amp;id=1lA79senTrE-MZtML_Bm0JgmdTJdGmE5D</t>
        </is>
      </c>
      <c r="Z599" s="1" t="inlineStr">
        <is>
          <t>https://drive.google.com/uc?export=view&amp;id=1lA79senTrE-MZtML_Bm0JgmdTJdGmE5D</t>
        </is>
      </c>
      <c r="AA599" s="1" t="inlineStr">
        <is>
          <t>Unverified</t>
        </is>
      </c>
      <c r="AB599" s="1" t="n"/>
      <c r="AC599" s="1" t="n"/>
      <c r="AD599" s="10" t="n"/>
      <c r="AE599" s="1" t="n"/>
      <c r="AF599" s="1" t="inlineStr">
        <is>
          <t>Yes</t>
        </is>
      </c>
      <c r="AG599" s="1" t="inlineStr">
        <is>
          <t>https://www.linkedin.com/company/esinstitute/mycompany/?viewAsMember=true</t>
        </is>
      </c>
      <c r="AH599" s="1" t="inlineStr">
        <is>
          <t>https://www.linkedin.com/company/esinstitute/mycompany/?viewAsMember=true</t>
        </is>
      </c>
      <c r="AI599" s="1" t="inlineStr">
        <is>
          <t>https://www.linkedin.com/company/esinstitute/mycompany/?viewAsMember=true</t>
        </is>
      </c>
      <c r="AJ599" s="1" t="n"/>
    </row>
    <row r="600" ht="12.5" customHeight="1">
      <c r="A600" s="6" t="n">
        <v>45196</v>
      </c>
      <c r="B600" s="1" t="inlineStr">
        <is>
          <t>ORG_1479</t>
        </is>
      </c>
      <c r="C600" s="1" t="b">
        <v>1</v>
      </c>
      <c r="D600" s="10" t="inlineStr">
        <is>
          <t>Elai.io</t>
        </is>
      </c>
      <c r="E600" s="10" t="inlineStr">
        <is>
          <t>https://elai.io/</t>
        </is>
      </c>
      <c r="F600" t="inlineStr">
        <is>
          <t>elai.io</t>
        </is>
      </c>
      <c r="G600" s="1" t="inlineStr">
        <is>
          <t>Elai.io is a text-to-video platform that allows organizations to generate education video content with human narrators from just text.</t>
        </is>
      </c>
      <c r="H600" s="1" t="inlineStr">
        <is>
          <t>I'm not part of any EdTech association</t>
        </is>
      </c>
      <c r="I600" s="1" t="inlineStr">
        <is>
          <t>All</t>
        </is>
      </c>
      <c r="J600" s="1" t="inlineStr">
        <is>
          <t>Kyiv</t>
        </is>
      </c>
      <c r="K600" t="inlineStr">
        <is>
          <t>Kyiv</t>
        </is>
      </c>
      <c r="L600" t="inlineStr">
        <is>
          <t>Kyiv, Ukraine</t>
        </is>
      </c>
      <c r="M600" t="n">
        <v>50.4500336</v>
      </c>
      <c r="N600" t="n">
        <v>30.5241361</v>
      </c>
      <c r="O600" s="1" t="inlineStr">
        <is>
          <t>Ukraine</t>
        </is>
      </c>
      <c r="P600"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600" s="1" t="inlineStr">
        <is>
          <t>11 to 50</t>
        </is>
      </c>
      <c r="R600" t="inlineStr">
        <is>
          <t>Small</t>
        </is>
      </c>
      <c r="S600" s="1" t="inlineStr">
        <is>
          <t>Business to Business, Business to Consumer, Business to Schools</t>
        </is>
      </c>
      <c r="T600" s="1" t="inlineStr">
        <is>
          <t>Corporate Training, Lifelong learning/Adult education</t>
        </is>
      </c>
      <c r="U600" s="1" t="inlineStr">
        <is>
          <t>Teacher interfacing, System/Administrative, Student interfacing</t>
        </is>
      </c>
      <c r="V600" s="1" t="inlineStr">
        <is>
          <t>SaaS training video generation platform</t>
        </is>
      </c>
      <c r="W600" s="1" t="inlineStr">
        <is>
          <t>Elai.io allows users to generate professional video content for education from just text without using a camera, studio, or a green screen. Our customers create training videos 20x faster than before compared to traditional video creation approach.</t>
        </is>
      </c>
      <c r="X600" s="10" t="inlineStr">
        <is>
          <t>https://drive.google.com/uc?export=view&amp;id=1OlbOgo5DYZoMunuUDmP7aNKEISqJWBtN</t>
        </is>
      </c>
      <c r="Y600" t="inlineStr">
        <is>
          <t>https://drive.google.com/uc?export=view&amp;id=1OlbOgo5DYZoMunuUDmP7aNKEISqJWBtN</t>
        </is>
      </c>
      <c r="Z600" s="1" t="inlineStr">
        <is>
          <t>https://drive.google.com/uc?export=view&amp;id=1OlbOgo5DYZoMunuUDmP7aNKEISqJWBtN</t>
        </is>
      </c>
      <c r="AA600" s="1" t="inlineStr">
        <is>
          <t>Unverified</t>
        </is>
      </c>
      <c r="AB600" s="1" t="n"/>
      <c r="AC600" s="1" t="n"/>
      <c r="AD600" s="10" t="n"/>
      <c r="AE600" s="1" t="n"/>
      <c r="AF600" t="inlineStr">
        <is>
          <t>Yes</t>
        </is>
      </c>
      <c r="AG600" t="inlineStr">
        <is>
          <t>https://www.linkedin.com/company/elai-io</t>
        </is>
      </c>
      <c r="AH600" t="inlineStr">
        <is>
          <t>https://www.linkedin.com/company/elai-io</t>
        </is>
      </c>
      <c r="AI600" t="inlineStr">
        <is>
          <t>https://www.linkedin.com/company/elai-io</t>
        </is>
      </c>
    </row>
    <row r="601" ht="12.5" customHeight="1">
      <c r="A601" s="6" t="n">
        <v>45195</v>
      </c>
      <c r="B601" s="1" t="inlineStr">
        <is>
          <t>ORG_1110</t>
        </is>
      </c>
      <c r="C601" s="1" t="b">
        <v>1</v>
      </c>
      <c r="D601" s="1" t="inlineStr">
        <is>
          <t>Aski Raski</t>
        </is>
      </c>
      <c r="E601" s="10" t="inlineStr">
        <is>
          <t>www.askiraski.dk</t>
        </is>
      </c>
      <c r="F601" t="inlineStr">
        <is>
          <t>askiraski.dk</t>
        </is>
      </c>
      <c r="G601" s="1" t="inlineStr">
        <is>
          <t>Aski Raski is a web-based reading programme, where the students practice their ability to decode the words correctly and rapidly. Decoding is the technical part of reading and plays a major role in the students' reading experience. The programme can also be used as a tool to practice pronunciation and spelling.</t>
        </is>
      </c>
      <c r="H601" s="1" t="inlineStr">
        <is>
          <t>EdTech Denmark</t>
        </is>
      </c>
      <c r="I601" s="1" t="inlineStr">
        <is>
          <t>Danish, English</t>
        </is>
      </c>
      <c r="J601" s="1" t="inlineStr">
        <is>
          <t>Odense</t>
        </is>
      </c>
      <c r="K601" t="inlineStr">
        <is>
          <t>Odense</t>
        </is>
      </c>
      <c r="L601" t="inlineStr">
        <is>
          <t>Odense, Denmark</t>
        </is>
      </c>
      <c r="M601" t="n">
        <v>55.3997225</v>
      </c>
      <c r="N601" t="n">
        <v>10.3852104</v>
      </c>
      <c r="O601" s="1" t="inlineStr">
        <is>
          <t>Denmark</t>
        </is>
      </c>
      <c r="P601" s="1" t="inlineStr">
        <is>
          <t>Denmark</t>
        </is>
      </c>
      <c r="Q601" s="1" t="inlineStr">
        <is>
          <t>0 to 2</t>
        </is>
      </c>
      <c r="R601" t="inlineStr">
        <is>
          <t>Solo entrepreneur</t>
        </is>
      </c>
      <c r="S601" s="1" t="inlineStr">
        <is>
          <t>Business to Business, Business to Schools, Business to Consumer, Business to Government</t>
        </is>
      </c>
      <c r="T601" s="1" t="inlineStr">
        <is>
          <t>Early childhood development (0-5 years), Primary Education, Secondary Education, Lifelong learning/Adult education</t>
        </is>
      </c>
      <c r="U601" s="1" t="inlineStr">
        <is>
          <t>Teacher interfacing</t>
        </is>
      </c>
      <c r="V601" s="10" t="inlineStr">
        <is>
          <t>Aski Raski</t>
        </is>
      </c>
      <c r="W601" s="1" t="inlineStr">
        <is>
          <t>Aski Raski is a web-based reading programme, where the students practice their ability to decode the words correctly and rapidly. Decoding is the technical part of reading and plays a major role in the students' reading experience. The programme can also be used as a tool to practice pronunciation and spelling.</t>
        </is>
      </c>
      <c r="X601" s="10" t="inlineStr">
        <is>
          <t>https://drive.google.com/uc?export=view&amp;id=1_rAjfXUw-ld9XLKhEysP7U2piYRmNEvX</t>
        </is>
      </c>
      <c r="Y601" t="inlineStr">
        <is>
          <t>https://drive.google.com/uc?export=view&amp;id=1_rAjfXUw-ld9XLKhEysP7U2piYRmNEvX</t>
        </is>
      </c>
      <c r="Z601" s="1" t="inlineStr">
        <is>
          <t>https://drive.google.com/uc?export=view&amp;id=1_rAjfXUw-ld9XLKhEysP7U2piYRmNEvX</t>
        </is>
      </c>
      <c r="AA601" s="1" t="inlineStr">
        <is>
          <t>Unverified</t>
        </is>
      </c>
      <c r="AB601" s="1" t="n"/>
      <c r="AC601" s="1" t="n"/>
      <c r="AD601" s="10" t="n"/>
      <c r="AE601" s="1" t="n"/>
      <c r="AF601" s="1" t="inlineStr">
        <is>
          <t>Yes</t>
        </is>
      </c>
      <c r="AG601" s="1" t="inlineStr">
        <is>
          <t>https://www.instagram.com/askiraskidanmark/</t>
        </is>
      </c>
      <c r="AH601" s="1" t="inlineStr">
        <is>
          <t>https://www.linkedin.com/company/aski-raski-danmark-aps/</t>
        </is>
      </c>
      <c r="AI601" s="1" t="inlineStr">
        <is>
          <t>https://www.linkedin.com/company/aski-raski-danmark-aps/</t>
        </is>
      </c>
      <c r="AJ601" s="1" t="n"/>
    </row>
    <row r="602" ht="12.5" customHeight="1">
      <c r="A602" s="6" t="n">
        <v>45195</v>
      </c>
      <c r="B602" s="1" t="inlineStr">
        <is>
          <t>ORG_1639</t>
        </is>
      </c>
      <c r="C602" s="1" t="b">
        <v>1</v>
      </c>
      <c r="D602" s="1" t="inlineStr">
        <is>
          <t>Grammazzle</t>
        </is>
      </c>
      <c r="E602" s="10" t="inlineStr">
        <is>
          <t>https://grammazzle.com/</t>
        </is>
      </c>
      <c r="F602" t="inlineStr">
        <is>
          <t>grammazzle.com</t>
        </is>
      </c>
      <c r="G602" s="1" t="inlineStr">
        <is>
          <t>Grammazzle is an educational tool that makes it easier to learn English grammar and phonetics through discriminatory grammar puzzles.</t>
        </is>
      </c>
      <c r="H602" s="1" t="inlineStr">
        <is>
          <t>I'm not part of any EdTech association</t>
        </is>
      </c>
      <c r="I602" s="1" t="inlineStr">
        <is>
          <t>English, Spanish</t>
        </is>
      </c>
      <c r="J602" s="1" t="inlineStr">
        <is>
          <t>Santander</t>
        </is>
      </c>
      <c r="K602" t="inlineStr">
        <is>
          <t>Santander</t>
        </is>
      </c>
      <c r="L602" t="inlineStr">
        <is>
          <t>Santander, Spain</t>
        </is>
      </c>
      <c r="M602" t="n">
        <v>43.4618932</v>
      </c>
      <c r="N602" t="n">
        <v>-3.8100255</v>
      </c>
      <c r="O602" s="1" t="inlineStr">
        <is>
          <t>Spain</t>
        </is>
      </c>
      <c r="P602" s="1" t="inlineStr">
        <is>
          <t>Spain</t>
        </is>
      </c>
      <c r="Q602" s="1" t="inlineStr">
        <is>
          <t>0 to 2</t>
        </is>
      </c>
      <c r="R602" t="inlineStr">
        <is>
          <t>Solo entrepreneur</t>
        </is>
      </c>
      <c r="S602" s="1" t="inlineStr">
        <is>
          <t>Business to Business, Business to Schools, Business to Consumer, Business to Government</t>
        </is>
      </c>
      <c r="T602" s="1" t="inlineStr">
        <is>
          <t>Primary Education, Secondary Education</t>
        </is>
      </c>
      <c r="U602" s="1" t="inlineStr">
        <is>
          <t>Teacher interfacing</t>
        </is>
      </c>
      <c r="V602" s="10" t="inlineStr">
        <is>
          <t>Grammazzle</t>
        </is>
      </c>
      <c r="W602" s="10" t="inlineStr">
        <is>
          <t>Grammazzle is an educational tool that makes it easier to learn English grammar and phonetics through discriminatory grammar puzzles.</t>
        </is>
      </c>
      <c r="X602" s="10" t="inlineStr">
        <is>
          <t>https://drive.google.com/uc?export=view&amp;id=1cc1iOybicJoPeXRCXWAhvoc1GmvXkdki</t>
        </is>
      </c>
      <c r="Y602" t="inlineStr">
        <is>
          <t>https://drive.google.com/uc?export=view&amp;id=1cc1iOybicJoPeXRCXWAhvoc1GmvXkdki</t>
        </is>
      </c>
      <c r="Z602" s="1" t="inlineStr">
        <is>
          <t>https://drive.google.com/uc?export=view&amp;id=1cc1iOybicJoPeXRCXWAhvoc1GmvXkdki</t>
        </is>
      </c>
      <c r="AA602" s="1" t="inlineStr">
        <is>
          <t>Unverified</t>
        </is>
      </c>
      <c r="AB602" s="1" t="n"/>
      <c r="AC602" s="1" t="n"/>
      <c r="AD602" s="10" t="n"/>
      <c r="AE602" s="1" t="n"/>
      <c r="AF602" s="1" t="inlineStr">
        <is>
          <t>Yes</t>
        </is>
      </c>
      <c r="AG602" s="1" t="inlineStr">
        <is>
          <t>https://www.instagram.com/Grammazzle/</t>
        </is>
      </c>
      <c r="AH602" s="1" t="inlineStr">
        <is>
          <t>https://twitter.com/grammazzle?lang=es</t>
        </is>
      </c>
      <c r="AI602" s="1" t="inlineStr">
        <is>
          <t>https://www.linkedin.com/company/grammazzle/</t>
        </is>
      </c>
      <c r="AJ602" s="1" t="n"/>
    </row>
    <row r="603" ht="12.5" customHeight="1">
      <c r="A603" s="6" t="n">
        <v>45195</v>
      </c>
      <c r="B603" s="1" t="inlineStr">
        <is>
          <t>ORG_2014</t>
        </is>
      </c>
      <c r="C603" s="1" t="b">
        <v>1</v>
      </c>
      <c r="D603" s="10" t="inlineStr">
        <is>
          <t>mytalents.ai</t>
        </is>
      </c>
      <c r="E603" s="10" t="inlineStr">
        <is>
          <t>mytalents.ai</t>
        </is>
      </c>
      <c r="F603" t="inlineStr">
        <is>
          <t>mytalents.ai</t>
        </is>
      </c>
      <c r="G603" s="1" t="inlineStr">
        <is>
          <t>Our learning platform empowers employees to become more efficient and effective in their work by teaching them how to use AI tools that can automate time-consuming and repetitive tasks. For example, our platform help employees to automate the creation of presentations, image editing, and meeting transcriptions. By using AI-supported tools, even the least experienced and qualified employees can complete their work up to 55% faster.</t>
        </is>
      </c>
      <c r="H603" s="1" t="inlineStr">
        <is>
          <t>EdTech Austria</t>
        </is>
      </c>
      <c r="I603" s="1" t="inlineStr">
        <is>
          <t>German</t>
        </is>
      </c>
      <c r="J603" s="1" t="inlineStr">
        <is>
          <t>Vienna</t>
        </is>
      </c>
      <c r="K603" t="inlineStr">
        <is>
          <t>Vienna</t>
        </is>
      </c>
      <c r="L603" t="inlineStr">
        <is>
          <t>Vienna, Austria</t>
        </is>
      </c>
      <c r="M603" t="n">
        <v>48.2083537</v>
      </c>
      <c r="N603" t="n">
        <v>16.3725042</v>
      </c>
      <c r="O603" s="1" t="inlineStr">
        <is>
          <t>Austria</t>
        </is>
      </c>
      <c r="P603" s="1" t="inlineStr">
        <is>
          <t>Austria</t>
        </is>
      </c>
      <c r="Q603" s="1" t="inlineStr">
        <is>
          <t>6 to 10</t>
        </is>
      </c>
      <c r="R603" t="inlineStr">
        <is>
          <t>Micro</t>
        </is>
      </c>
      <c r="S603" s="1" t="inlineStr">
        <is>
          <t>Business to Business, Business to Schools, Business to Consumer, Business to Government</t>
        </is>
      </c>
      <c r="T603" s="1" t="inlineStr">
        <is>
          <t>Corporate Training, Lifelong learning/Adult education</t>
        </is>
      </c>
      <c r="U603" s="1" t="inlineStr">
        <is>
          <t>Student interfacing, System/Administrative</t>
        </is>
      </c>
      <c r="V603" s="10" t="inlineStr">
        <is>
          <t>Learning Plattform for AI-Tools</t>
        </is>
      </c>
      <c r="W603" s="1" t="inlineStr">
        <is>
          <t>Our learning platform offers a comprehensive learning approach. We ensure that all departments in a company - including finance, marketing, sales, development, and administration - learn to effectively use the latest tools.
Basic ChatGPT courses are available to all departments, so that every employee can use the basic functions of this versatile tool. This ensures that ChatGPT is effectively integrated into daily workflows.
In addition, we offer specific training for specific tools tailored to the individual needs of each department. For example, sales teams learn how to use Synthesia for personalized sales videos, while development teams learn how to increase their coding efficiency by up to 80% with Magic.dev.
Marketing teams learn to generate images with Midjourney and optimize their campaigns using AI. For the administration department, we show how to make presentations and documentation more efficient with Gamma.app and how to automate meetings using tl;dv Meetings.
And that's just a small glimpse of what we have to offer. We plan to provide multiple courses for each department, with the goal of increasing employee productivity by 40% while increasing their job satisfaction. Our comprehensive and tailored training enables companies to fully leverage the potential of modern AI tools and gain a competitive advantage.</t>
        </is>
      </c>
      <c r="X603" s="10" t="inlineStr">
        <is>
          <t>https://drive.google.com/uc?export=view&amp;id=1hHmh0ZAqsmkrl_JGY-3IFzOcXoOQEGWZ</t>
        </is>
      </c>
      <c r="Y603" t="inlineStr">
        <is>
          <t>https://drive.google.com/uc?export=view&amp;id=1hHmh0ZAqsmkrl_JGY-3IFzOcXoOQEGWZ</t>
        </is>
      </c>
      <c r="Z603" s="1" t="inlineStr">
        <is>
          <t>https://drive.google.com/uc?export=view&amp;id=1hHmh0ZAqsmkrl_JGY-3IFzOcXoOQEGWZ</t>
        </is>
      </c>
      <c r="AA603" s="1" t="inlineStr">
        <is>
          <t>Unverified</t>
        </is>
      </c>
      <c r="AB603" s="1" t="n"/>
      <c r="AC603" s="1" t="n"/>
      <c r="AD603" s="10" t="n"/>
      <c r="AE603" s="1" t="n"/>
      <c r="AF603" t="inlineStr">
        <is>
          <t>Yes</t>
        </is>
      </c>
      <c r="AG603" t="inlineStr">
        <is>
          <t>mytalents.ai</t>
        </is>
      </c>
      <c r="AH603" t="inlineStr">
        <is>
          <t>https://www.linkedin.com/company/mytalents-ai</t>
        </is>
      </c>
      <c r="AI603" t="inlineStr">
        <is>
          <t>https://www.linkedin.com/company/mytalents-ai</t>
        </is>
      </c>
    </row>
    <row r="604" ht="12.5" customHeight="1">
      <c r="A604" s="6" t="n">
        <v>45195</v>
      </c>
      <c r="B604" s="1" t="inlineStr">
        <is>
          <t>ORG_2027</t>
        </is>
      </c>
      <c r="C604" s="1" t="b">
        <v>1</v>
      </c>
      <c r="D604" s="1" t="inlineStr">
        <is>
          <t>NEOMA EdTech accelerator</t>
        </is>
      </c>
      <c r="E604" s="10" t="inlineStr">
        <is>
          <t>https://startuplab.neoma-bs.fr/en/neoma-edtech-accelerator-2/</t>
        </is>
      </c>
      <c r="F604" t="inlineStr">
        <is>
          <t>startuplab.neoma-bs.fr/en/neoma-edtech-accelerator-2</t>
        </is>
      </c>
      <c r="G604" s="1" t="inlineStr">
        <is>
          <t>EdTech Accelerator is integrated into NEOMA Business School and benefits from the school's commitment to digital and technology-based educational innovation.
We propose:
- a five-month hybrid acceleration program tailor-made for the needs of growing ed-tech startups;
- particular expertise in the edtech sector /pedagogical or technological innovation in education;
- a unique opportunity to test your solution at NEOMA with our Learning Lab team and our Innovative Pedagogy team and improve your product-market fit;
- access to the network of our corporate and academic partners all over the world (more than 400 international schools and universities);
- help with crafting the offer to potential investors and introduction to the VCs and business angels; 
- a chance to co-create values together with a strong professional community.</t>
        </is>
      </c>
      <c r="H604" s="1" t="inlineStr">
        <is>
          <t>EdTech France</t>
        </is>
      </c>
      <c r="I604" s="1" t="inlineStr">
        <is>
          <t>English</t>
        </is>
      </c>
      <c r="J604" s="1" t="inlineStr">
        <is>
          <t>Reims</t>
        </is>
      </c>
      <c r="K604" t="inlineStr">
        <is>
          <t>Reims</t>
        </is>
      </c>
      <c r="L604" t="inlineStr">
        <is>
          <t>Reims, France</t>
        </is>
      </c>
      <c r="M604" t="n">
        <v>49.2577886</v>
      </c>
      <c r="N604" t="n">
        <v>4.031926</v>
      </c>
      <c r="O604" s="1" t="inlineStr">
        <is>
          <t>France</t>
        </is>
      </c>
      <c r="P604" s="1" t="inlineStr">
        <is>
          <t>France</t>
        </is>
      </c>
      <c r="Q604" s="1" t="inlineStr">
        <is>
          <t>3 to 5</t>
        </is>
      </c>
      <c r="R604" t="inlineStr">
        <is>
          <t>Micro</t>
        </is>
      </c>
      <c r="S604" s="1" t="inlineStr">
        <is>
          <t>Business to Business, Business to Government</t>
        </is>
      </c>
      <c r="T604" s="1" t="inlineStr">
        <is>
          <t>Primary Education, Secondary Education, Corporate Training, Lifelong learning/Adult education, Vocational Education and Training (VET), Higher Education</t>
        </is>
      </c>
      <c r="U604" s="1" t="inlineStr">
        <is>
          <t>Student interfacing</t>
        </is>
      </c>
      <c r="V604" s="1" t="inlineStr">
        <is>
          <t>https://www.linkedin.com/company/neoma-edtech-accelerator/?viewAsMember=true</t>
        </is>
      </c>
      <c r="W604" s="1" t="inlineStr">
        <is>
          <t>https://drive.google.com/uc?export=view&amp;id=1serLgfS6N9E9FZvvKCVWomBohU_V92xC</t>
        </is>
      </c>
      <c r="X604" s="10" t="inlineStr">
        <is>
          <t>https://drive.google.com/uc?export=view&amp;id=1serLgfS6N9E9FZvvKCVWomBohU_V92xC</t>
        </is>
      </c>
      <c r="Y604" t="inlineStr">
        <is>
          <t>https://drive.google.com/uc?export=view&amp;id=1serLgfS6N9E9FZvvKCVWomBohU_V92xC</t>
        </is>
      </c>
      <c r="Z604" s="1" t="inlineStr">
        <is>
          <t>https://drive.google.com/uc?export=view&amp;id=1serLgfS6N9E9FZvvKCVWomBohU_V92xC</t>
        </is>
      </c>
      <c r="AA604" s="1" t="inlineStr">
        <is>
          <t>Unverified</t>
        </is>
      </c>
      <c r="AB604" s="1" t="n"/>
      <c r="AC604" s="1" t="n"/>
      <c r="AD604" s="10" t="n"/>
      <c r="AE604" s="1" t="n"/>
      <c r="AF604" t="inlineStr">
        <is>
          <t>Yes</t>
        </is>
      </c>
      <c r="AG604" t="inlineStr">
        <is>
          <t>https://www.linkedin.com/company/neoma-edtech-accelerator/?viewAsMember=true</t>
        </is>
      </c>
      <c r="AH604" t="inlineStr">
        <is>
          <t>https://www.linkedin.com/company/neoma-edtech-accelerator/?viewAsMember=true</t>
        </is>
      </c>
      <c r="AI604" t="inlineStr">
        <is>
          <t>https://www.linkedin.com/company/neoma-edtech-accelerator/?viewAsMember=true</t>
        </is>
      </c>
    </row>
    <row r="605" ht="12.5" customHeight="1">
      <c r="A605" s="6" t="n">
        <v>45194</v>
      </c>
      <c r="B605" s="1" t="inlineStr">
        <is>
          <t>ORG_1197</t>
        </is>
      </c>
      <c r="C605" s="1" t="b">
        <v>1</v>
      </c>
      <c r="D605" s="1" t="inlineStr">
        <is>
          <t>BrainsPro</t>
        </is>
      </c>
      <c r="E605" s="10" t="inlineStr">
        <is>
          <t>https://brainspro.com</t>
        </is>
      </c>
      <c r="F605" t="inlineStr">
        <is>
          <t>brainspro.com</t>
        </is>
      </c>
      <c r="G605" s="1" t="inlineStr">
        <is>
          <t>BrainsPro is a smart white label SaaS B2B that allows any company to create a corporate online academy in minutes to offer personalized training courses to their community and stakeholders on iOS, Android and web.</t>
        </is>
      </c>
      <c r="H605" s="1" t="inlineStr">
        <is>
          <t>EduTech Cluster Spain</t>
        </is>
      </c>
      <c r="I605" s="1" t="inlineStr">
        <is>
          <t>English, German, Portuguese</t>
        </is>
      </c>
      <c r="J605" s="1" t="inlineStr">
        <is>
          <t>Málaga</t>
        </is>
      </c>
      <c r="K605" t="inlineStr">
        <is>
          <t>Málaga</t>
        </is>
      </c>
      <c r="L605" t="inlineStr">
        <is>
          <t>Málaga, Spain</t>
        </is>
      </c>
      <c r="M605" t="n">
        <v>36.7647913</v>
      </c>
      <c r="N605" t="n">
        <v>-4.4422005</v>
      </c>
      <c r="O605" s="1" t="inlineStr">
        <is>
          <t>Spain</t>
        </is>
      </c>
      <c r="P605" s="1" t="inlineStr">
        <is>
          <t>Spain</t>
        </is>
      </c>
      <c r="Q605" s="1" t="inlineStr">
        <is>
          <t>6 to 10</t>
        </is>
      </c>
      <c r="R605" t="inlineStr">
        <is>
          <t>Micro</t>
        </is>
      </c>
      <c r="S605" s="1" t="inlineStr">
        <is>
          <t>Business to Business, Business to Government</t>
        </is>
      </c>
      <c r="T605" s="1" t="inlineStr">
        <is>
          <t>Corporate Training</t>
        </is>
      </c>
      <c r="U605" s="1" t="inlineStr">
        <is>
          <t>System/Administrative</t>
        </is>
      </c>
      <c r="V605" s="10" t="inlineStr">
        <is>
          <t>BrainsPro SaaS</t>
        </is>
      </c>
      <c r="W605" s="10" t="inlineStr">
        <is>
          <t>BrainsPro is a white label Software as a Service (SaaS) that allows companies to create their own gamified online academy in minutes in a secure, easy, and scalable way. Training and HR technicians in companies find BrainsPro an essential tool to
.- facilitate the creation and management of personalized learning itineraries,
.- generate automatic performance reports and
.- encourage community involvement in company culture
reducing spending on administrative resources by more than 80%.</t>
        </is>
      </c>
      <c r="X605" s="10" t="inlineStr">
        <is>
          <t>https://drive.google.com/uc?export=view&amp;id=1LhjpUsyd9K5Ng6bmSdbemsFPUEa4HvYe</t>
        </is>
      </c>
      <c r="Y605" t="inlineStr">
        <is>
          <t>https://drive.google.com/uc?export=view&amp;id=1LhjpUsyd9K5Ng6bmSdbemsFPUEa4HvYe</t>
        </is>
      </c>
      <c r="Z605" s="1" t="inlineStr">
        <is>
          <t>https://drive.google.com/uc?export=view&amp;id=1LhjpUsyd9K5Ng6bmSdbemsFPUEa4HvYe</t>
        </is>
      </c>
      <c r="AA605" s="1" t="inlineStr">
        <is>
          <t>Unverified</t>
        </is>
      </c>
      <c r="AB605" s="1" t="n"/>
      <c r="AC605" s="1" t="n"/>
      <c r="AD605" s="10" t="n"/>
      <c r="AE605" s="1" t="n"/>
      <c r="AF605" t="inlineStr">
        <is>
          <t>Yes</t>
        </is>
      </c>
      <c r="AG605" t="inlineStr">
        <is>
          <t>https://www.instagram.com/brainsprocom</t>
        </is>
      </c>
      <c r="AH605" t="inlineStr">
        <is>
          <t>https://www.twitter.com/brainspro</t>
        </is>
      </c>
      <c r="AI605" t="inlineStr">
        <is>
          <t>https://www.linkedin.com/company/brainspro</t>
        </is>
      </c>
    </row>
    <row r="606" ht="12.5" customHeight="1">
      <c r="A606" s="6" t="n">
        <v>45194</v>
      </c>
      <c r="B606" s="1" t="inlineStr">
        <is>
          <t>ORG_1578</t>
        </is>
      </c>
      <c r="C606" s="1" t="b">
        <v>1</v>
      </c>
      <c r="D606" s="1" t="inlineStr">
        <is>
          <t>Founderz</t>
        </is>
      </c>
      <c r="E606" s="10" t="inlineStr">
        <is>
          <t>https://founderz.com/</t>
        </is>
      </c>
      <c r="F606" t="inlineStr">
        <is>
          <t>founderz.com</t>
        </is>
      </c>
      <c r="G606" s="1" t="inlineStr">
        <is>
          <t>Founderz | Powering Unstoppable Humans
We are an unconventional online business school aiming to revolutionize education and provide new training options that align more closely with today's job market and social reality. We design accessible innovation programs so that our students can master the most in-demand skills of the coming years and lead the future.</t>
        </is>
      </c>
      <c r="H606" s="1" t="inlineStr">
        <is>
          <t>I'm not part of any EdTech association</t>
        </is>
      </c>
      <c r="I606" s="1" t="inlineStr">
        <is>
          <t>Spanish, English, French, Portuguese</t>
        </is>
      </c>
      <c r="J606" s="1" t="inlineStr">
        <is>
          <t>Madrid</t>
        </is>
      </c>
      <c r="K606" t="inlineStr">
        <is>
          <t>Madrid</t>
        </is>
      </c>
      <c r="L606" t="inlineStr">
        <is>
          <t>Madrid, Spain</t>
        </is>
      </c>
      <c r="M606" t="n">
        <v>40.416782</v>
      </c>
      <c r="N606" t="n">
        <v>-3.703507</v>
      </c>
      <c r="O606" s="1" t="inlineStr">
        <is>
          <t>Spain</t>
        </is>
      </c>
      <c r="P606" s="1" t="inlineStr">
        <is>
          <t>France, Portugal, Spain</t>
        </is>
      </c>
      <c r="Q606" s="1" t="inlineStr">
        <is>
          <t>11 to 50</t>
        </is>
      </c>
      <c r="R606" t="inlineStr">
        <is>
          <t>Small</t>
        </is>
      </c>
      <c r="S606" s="1" t="inlineStr">
        <is>
          <t>Business to Business, Business to Schools, Business to Consumer</t>
        </is>
      </c>
      <c r="T606" s="1" t="inlineStr">
        <is>
          <t>Corporate Training, Lifelong learning/Adult education, Higher Education</t>
        </is>
      </c>
      <c r="U606" s="1" t="inlineStr">
        <is>
          <t>Teacher interfacing, System/Administrative, Student interfacing</t>
        </is>
      </c>
      <c r="V606" s="10" t="inlineStr">
        <is>
          <t>Online Program in AI &amp; Innovation, in collaboration with Microsoft</t>
        </is>
      </c>
      <c r="W606" s="10" t="inlineStr">
        <is>
          <t>Get ready to master the latest AI tools including ChatGPT and Bing AI, and build new solutions without coding, in this online program in collaboration with Microsoft.
- 100% online micro-learning, with 15 minute-videos with top-industry professionals.
- Dual certification by Founderz and Microsoft, and free access to the PL-900 exam.
- 2 - 3 months duration (but with 18 months access to the full content, so you can follow your own pace).
- Community of +5.000 students in over 20 countries.</t>
        </is>
      </c>
      <c r="X606" s="10" t="inlineStr">
        <is>
          <t>https://drive.google.com/uc?export=view&amp;id=1adVZVlafUKvZZkGM-TCOiL1K-iP-EWw7</t>
        </is>
      </c>
      <c r="Y606" t="inlineStr">
        <is>
          <t>https://drive.google.com/uc?export=view&amp;id=1adVZVlafUKvZZkGM-TCOiL1K-iP-EWw7</t>
        </is>
      </c>
      <c r="Z606" s="1" t="inlineStr">
        <is>
          <t>https://drive.google.com/uc?export=view&amp;id=1adVZVlafUKvZZkGM-TCOiL1K-iP-EWw7</t>
        </is>
      </c>
      <c r="AA606" s="1" t="inlineStr">
        <is>
          <t>Unverified</t>
        </is>
      </c>
      <c r="AB606" s="1" t="n"/>
      <c r="AC606" s="1" t="n"/>
      <c r="AD606" s="10" t="n"/>
      <c r="AE606" s="1" t="n"/>
      <c r="AF606" t="inlineStr">
        <is>
          <t>Yes</t>
        </is>
      </c>
      <c r="AG606" t="inlineStr">
        <is>
          <t>https://www.instagram.com/founderzschool/</t>
        </is>
      </c>
      <c r="AH606" t="inlineStr">
        <is>
          <t>https://twitter.com/founderz</t>
        </is>
      </c>
      <c r="AI606" t="inlineStr">
        <is>
          <t>https://www.linkedin.com/school/founderz-digital-business-school/</t>
        </is>
      </c>
    </row>
    <row r="607" ht="12.5" customHeight="1">
      <c r="A607" s="6" t="n">
        <v>45194</v>
      </c>
      <c r="B607" s="1" t="inlineStr">
        <is>
          <t>ORG_1838</t>
        </is>
      </c>
      <c r="C607" s="1" t="b">
        <v>1</v>
      </c>
      <c r="D607" s="1" t="inlineStr">
        <is>
          <t>Learnio</t>
        </is>
      </c>
      <c r="E607" s="10" t="inlineStr">
        <is>
          <t>www.learnio.eu</t>
        </is>
      </c>
      <c r="F607" t="inlineStr">
        <is>
          <t>learnio.eu</t>
        </is>
      </c>
      <c r="G607" s="1" t="inlineStr">
        <is>
          <t>Learnio is a globally recognized leader in digital skills training, with a special focus on emerging markets. Our mission at Learnio is to empower individuals and organizations with the essential digital skills required for success in the modern world. Through our innovative online platform at www.learnio.eu, we offer a wide range of cutting-edge courses and resources, designed to bridge the digital divide and unlock opportunities for growth and development. With a commitment to excellence and a deep understanding of the unique challenges faced by emerging markets, Learnio has become a trusted partner for individuals and businesses seeking to thrive in the digital age. Join us on a journey of lifelong learning and transformation at Learnio, where the future of skills development begins.</t>
        </is>
      </c>
      <c r="H607" s="1" t="inlineStr">
        <is>
          <t>EdTech Denmark</t>
        </is>
      </c>
      <c r="I607" s="1" t="inlineStr">
        <is>
          <t>English</t>
        </is>
      </c>
      <c r="J607" s="1" t="inlineStr">
        <is>
          <t>Copenhagen</t>
        </is>
      </c>
      <c r="K607" t="inlineStr">
        <is>
          <t>Copenhagen</t>
        </is>
      </c>
      <c r="L607" t="inlineStr">
        <is>
          <t>Copenhagen, Denmark</t>
        </is>
      </c>
      <c r="M607" t="n">
        <v>55.6867243</v>
      </c>
      <c r="N607" t="n">
        <v>12.5700724</v>
      </c>
      <c r="O607" s="1" t="inlineStr">
        <is>
          <t>Denmark</t>
        </is>
      </c>
      <c r="P607" s="1" t="inlineStr">
        <is>
          <t>Albania, Denmark, Kosovo, North Macedonia, Sweden</t>
        </is>
      </c>
      <c r="Q607" s="1" t="inlineStr">
        <is>
          <t>11 to 50</t>
        </is>
      </c>
      <c r="R607" t="inlineStr">
        <is>
          <t>Small</t>
        </is>
      </c>
      <c r="S607" s="1" t="inlineStr">
        <is>
          <t>Business to Business, Business to Schools, Business to Consumer</t>
        </is>
      </c>
      <c r="T607" s="1" t="inlineStr">
        <is>
          <t>Secondary Education, Lifelong learning/Adult education, Vocational Education and Training (VET)</t>
        </is>
      </c>
      <c r="U607" s="1" t="inlineStr">
        <is>
          <t>Student interfacing, System/Administrative</t>
        </is>
      </c>
      <c r="V607" s="10" t="inlineStr">
        <is>
          <t>Learnio Academy</t>
        </is>
      </c>
      <c r="W607" s="1" t="inlineStr">
        <is>
          <t>Learnio is a globally recognized leader in digital skills training, with a special focus on emerging markets. Our mission at Learnio is to empower individuals and organizations with the essential digital skills required for success in the modern world. Through our innovative online platform at www.learnio.eu, we offer a wide range of cutting-edge courses and resources, designed to bridge the digital divide and unlock opportunities for growth and development. With a commitment to excellence and a deep understanding of the unique challenges faced by emerging markets, Learnio has become a trusted partner for individuals and businesses seeking to thrive in the digital age. Join us on a journey of lifelong learning and transformation at Learnio, where the future of skills development begins.</t>
        </is>
      </c>
      <c r="X607" s="10" t="inlineStr">
        <is>
          <t>https://drive.google.com/uc?export=view&amp;id=172JXXOZAZS7K_0KwHWz0-O_GhuasXhjq</t>
        </is>
      </c>
      <c r="Y607" t="inlineStr">
        <is>
          <t>https://drive.google.com/uc?export=view&amp;id=172JXXOZAZS7K_0KwHWz0-O_GhuasXhjq</t>
        </is>
      </c>
      <c r="Z607" s="1" t="inlineStr">
        <is>
          <t>https://drive.google.com/uc?export=view&amp;id=172JXXOZAZS7K_0KwHWz0-O_GhuasXhjq</t>
        </is>
      </c>
      <c r="AA607" s="1" t="inlineStr">
        <is>
          <t>Unverified</t>
        </is>
      </c>
      <c r="AB607" s="1" t="n"/>
      <c r="AC607" s="1" t="n"/>
      <c r="AD607" s="10" t="n"/>
      <c r="AE607" s="1" t="n"/>
      <c r="AF607" t="inlineStr">
        <is>
          <t>Yes</t>
        </is>
      </c>
      <c r="AG607" t="inlineStr">
        <is>
          <t>https://www.instagram.com/learnio.eu/</t>
        </is>
      </c>
      <c r="AH607" t="inlineStr">
        <is>
          <t>http://www.linkedin.com/company/learniodigitalskills</t>
        </is>
      </c>
      <c r="AI607" t="inlineStr">
        <is>
          <t>www.linkedin.com/company/learniodigitalskills</t>
        </is>
      </c>
    </row>
    <row r="608" ht="12.5" customHeight="1">
      <c r="A608" s="6" t="n">
        <v>45194</v>
      </c>
      <c r="B608" s="1" t="inlineStr">
        <is>
          <t>ORG_2031</t>
        </is>
      </c>
      <c r="C608" s="1" t="b">
        <v>1</v>
      </c>
      <c r="D608" s="1" t="inlineStr">
        <is>
          <t>NeurekaLAB</t>
        </is>
      </c>
      <c r="E608" s="10" t="inlineStr">
        <is>
          <t>www.neurekalab.com</t>
        </is>
      </c>
      <c r="F608" t="inlineStr">
        <is>
          <t>neurekalab.com</t>
        </is>
      </c>
      <c r="G608" s="1" t="inlineStr">
        <is>
          <t>NeurekaLAB is a spinoff of the University of Barcelona and the University of Vic-Central Universitaty of Catalunya with the aim of reducing school failure with inclusive resources. We have currently developed and scientifically validated a methodology for the detection and early intervention of learning difficulties (dyslexia, dyscalculia, ADHD,...). We want to accompany professionals, families and schools to overcome children's learning difficulties.
The lack of early detection tools for learning difficulties means that children do not receive attention at the start of primary education and have a negative impact on school performance. NeurekaLAB offers the integration of early detection and intervention processes for learning difficulties using digital tools.</t>
        </is>
      </c>
      <c r="H608" s="1" t="inlineStr">
        <is>
          <t>I'm not part of any EdTech association</t>
        </is>
      </c>
      <c r="I608" s="1" t="inlineStr">
        <is>
          <t>Spanish, Catalan</t>
        </is>
      </c>
      <c r="J608" s="1" t="inlineStr">
        <is>
          <t>Vic</t>
        </is>
      </c>
      <c r="K608" t="inlineStr">
        <is>
          <t>Vic</t>
        </is>
      </c>
      <c r="L608" t="inlineStr">
        <is>
          <t>Vic, Spain</t>
        </is>
      </c>
      <c r="M608" t="n">
        <v>41.9302021</v>
      </c>
      <c r="N608" t="n">
        <v>2.2545943</v>
      </c>
      <c r="O608" s="1" t="inlineStr">
        <is>
          <t>Spain</t>
        </is>
      </c>
      <c r="P608" s="1" t="inlineStr">
        <is>
          <t>Andorra, Spain</t>
        </is>
      </c>
      <c r="Q608" s="1" t="inlineStr">
        <is>
          <t>3 to 5</t>
        </is>
      </c>
      <c r="R608" t="inlineStr">
        <is>
          <t>Micro</t>
        </is>
      </c>
      <c r="S608" s="1" t="inlineStr">
        <is>
          <t>Business to Business, Business to Schools, Business to Consumer</t>
        </is>
      </c>
      <c r="T608" s="1" t="inlineStr">
        <is>
          <t>Primary Education</t>
        </is>
      </c>
      <c r="U608" s="1" t="inlineStr">
        <is>
          <t>System/Administrative, Student interfacing, Teacher interfacing</t>
        </is>
      </c>
      <c r="V608" s="10" t="inlineStr">
        <is>
          <t>NeurekaTEST</t>
        </is>
      </c>
      <c r="W608" s="10" t="inlineStr">
        <is>
          <t>NeurekaTEST are a set of digital tests for the cognitive assessment of children aged 5 to 12 in the areas of reading, numerical processing and calculation, working memory, and sustained attention.
It uses a gamified digital environment to carry out the assessment and can be used by healthcare professionals during the process of diagnosing learning difficulties, and by schools and families to carry out a screening test.</t>
        </is>
      </c>
      <c r="X608" s="10" t="inlineStr">
        <is>
          <t>NeurekaNUM</t>
        </is>
      </c>
      <c r="Y608" t="inlineStr">
        <is>
          <t>NeurekaNUM is a scientifically validated intervention methodology for learning difficulties in mathematics and dyscalculia. It uses the serious game Space Number to make an intensive intervention that increases the adherence and effectiveness of the treatment.
Space Number can be used on mobile devices and computers with the aim of being used by healthcare professionals, educational professionals, and families with children with learning difficulties in mathematics.</t>
        </is>
      </c>
      <c r="Z608" s="1" t="inlineStr">
        <is>
          <t>https://drive.google.com/uc?export=view&amp;id=1xakJDkEhu7G25MGiUycwzkVbld1CWtG2</t>
        </is>
      </c>
      <c r="AA608" s="1" t="inlineStr">
        <is>
          <t>Unverified</t>
        </is>
      </c>
      <c r="AB608" s="1" t="n"/>
      <c r="AC608" s="1" t="n"/>
      <c r="AD608" s="10" t="n"/>
      <c r="AE608" s="1" t="n"/>
      <c r="AF608" t="inlineStr">
        <is>
          <t>Yes</t>
        </is>
      </c>
      <c r="AG608" t="inlineStr">
        <is>
          <t>https://www.instagram.com/neurekalab_es/</t>
        </is>
      </c>
      <c r="AH608" t="inlineStr">
        <is>
          <t>https://twitter.com/neurekalab_es</t>
        </is>
      </c>
      <c r="AI608" t="inlineStr">
        <is>
          <t>https://www.linkedin.com/company/neurekalab</t>
        </is>
      </c>
    </row>
    <row r="609" ht="12.5" customHeight="1">
      <c r="A609" s="6" t="n">
        <v>45194</v>
      </c>
      <c r="B609" s="1" t="inlineStr">
        <is>
          <t>ORG_2083</t>
        </is>
      </c>
      <c r="C609" s="1" t="b">
        <v>1</v>
      </c>
      <c r="D609" s="1" t="inlineStr">
        <is>
          <t>Oxinity</t>
        </is>
      </c>
      <c r="E609" s="10" t="inlineStr">
        <is>
          <t>https://oxinity.com/</t>
        </is>
      </c>
      <c r="F609" t="inlineStr">
        <is>
          <t>oxinity.com</t>
        </is>
      </c>
      <c r="G609" s="1" t="inlineStr">
        <is>
          <t>Oxinity empowers teachers/academies/private schools with technological tools and a business model so that small players can compete with the big ones in service and excel in quality. Our vision is to offer a more efficient education by transforming real-time learning data into content with artificial intelligence so that teachers can teach what their students really need. In Oxinity, like a GPS, we trace the fastest and most efficient route for learning. Оur team has created a community of 2,000+ teachers who have designed more than 65,000 activities. Our platform incorporates 5 amazing EdTech tools to make education efficient, so that learners achieve 100% of their objectives and leave no one behind.</t>
        </is>
      </c>
      <c r="H609" s="1" t="inlineStr">
        <is>
          <t>SEK Lab, SuperCharger Ventures</t>
        </is>
      </c>
      <c r="I609" s="1" t="inlineStr">
        <is>
          <t>English, Spanish, French</t>
        </is>
      </c>
      <c r="J609" s="1" t="inlineStr">
        <is>
          <t>Madrid</t>
        </is>
      </c>
      <c r="K609" t="inlineStr">
        <is>
          <t>Madrid</t>
        </is>
      </c>
      <c r="L609" t="inlineStr">
        <is>
          <t>Madrid, Spain</t>
        </is>
      </c>
      <c r="M609" t="n">
        <v>40.416782</v>
      </c>
      <c r="N609" t="n">
        <v>-3.703507</v>
      </c>
      <c r="O609" s="1" t="inlineStr">
        <is>
          <t>Spain</t>
        </is>
      </c>
      <c r="P609" s="1" t="inlineStr">
        <is>
          <t>Andorra, Bulgaria, France, Germany, Hungary, Italy, Portugal, Serbia, Spain, United Kingdom</t>
        </is>
      </c>
      <c r="Q609" s="1" t="inlineStr">
        <is>
          <t>6 to 10</t>
        </is>
      </c>
      <c r="R609" t="inlineStr">
        <is>
          <t>Micro</t>
        </is>
      </c>
      <c r="S609" s="1" t="inlineStr">
        <is>
          <t>Business to Business, Business to Schools, Business to Consumer, Business to Government</t>
        </is>
      </c>
      <c r="T609" s="1" t="inlineStr">
        <is>
          <t>Primary Education, Secondary Education, Corporate Training, Vocational Education and Training (VET), Higher Education</t>
        </is>
      </c>
      <c r="U609" s="1" t="inlineStr">
        <is>
          <t>System/Administrative, Student interfacing, Teacher interfacing</t>
        </is>
      </c>
      <c r="V609" s="10" t="inlineStr">
        <is>
          <t>Oxinity Teachers' App</t>
        </is>
      </c>
      <c r="W609" s="10" t="inlineStr">
        <is>
          <t>AI transforms the student's learning data into content for the teacher. Our app provides teachers with the right personalised content for students in real time so that 100% of objectives are covered and mastered. Teachers can find solutions for their growth and classes: all the ready-to-use lessons for each class and student. They can create their own groups, enrol students, group them around similar needs, move classes, do the collection. They can use an incorporated CRM system to keep track of their leads, trials and registrations.
Content is automatically generated at all times and recalibrated after each interaction with the student.</t>
        </is>
      </c>
      <c r="X609" s="10" t="inlineStr">
        <is>
          <t>Oxinity Students' App</t>
        </is>
      </c>
      <c r="Y609" t="inlineStr">
        <is>
          <t>AI collects learning data and tracks students' knowledge and progress in real time to create their learning map. After each interaction with teachers or gamified practice in the app, we collect progress data and turn it into personalised content for them.
Students learn up to 5 times faster in this way, as we identify and track the fastest route to learn 100% of the learning objectives.
We have included an additional tool to practice exam content until it is fully mastered. 
All course material is accessible on all devices at all times. 
With our platform, there is a grouping tool for students to choose flexibly their group of 2 more students with the same or similar needs.</t>
        </is>
      </c>
      <c r="Z609" s="1" t="inlineStr">
        <is>
          <t>https://drive.google.com/uc?export=view&amp;id=1ESeX3-vOPt_yAa__kuPHBChZ-rWofShp</t>
        </is>
      </c>
      <c r="AA609" s="1" t="inlineStr">
        <is>
          <t>Unverified</t>
        </is>
      </c>
      <c r="AB609" s="1" t="n"/>
      <c r="AC609" s="1" t="n"/>
      <c r="AD609" s="10" t="n"/>
      <c r="AE609" s="1" t="n"/>
      <c r="AF609" t="inlineStr">
        <is>
          <t>Yes</t>
        </is>
      </c>
      <c r="AG609" t="inlineStr">
        <is>
          <t>https://www.instagram.com/oxinitycom/</t>
        </is>
      </c>
      <c r="AH609" t="inlineStr">
        <is>
          <t>https://twitter.com/OxinityCom</t>
        </is>
      </c>
      <c r="AI609" t="inlineStr">
        <is>
          <t>https://www.linkedin.com/company/oxinity</t>
        </is>
      </c>
    </row>
    <row r="610" ht="12.5" customHeight="1">
      <c r="A610" s="6" t="n">
        <v>45194</v>
      </c>
      <c r="B610" s="1" t="inlineStr">
        <is>
          <t>ORG_2574</t>
        </is>
      </c>
      <c r="C610" s="1" t="b">
        <v>1</v>
      </c>
      <c r="D610" s="1" t="inlineStr">
        <is>
          <t>Zukunft Digitale Bildung</t>
        </is>
      </c>
      <c r="E610" s="10" t="inlineStr">
        <is>
          <t>https://zukunft-digitale-bildung.de</t>
        </is>
      </c>
      <c r="F610" t="inlineStr">
        <is>
          <t>zukunft-digitale-bildung.de</t>
        </is>
      </c>
      <c r="G610" s="1" t="inlineStr">
        <is>
          <t>Zukunft Digitale Bildung is a nonprofit organisation specialised in strengthening media and digital literacy skills in schools. We work predominantly with teachers all over Germany to enable the efficient and holistic transfer of those skills. To achieve this we utilise a three-pronged approach: inform, train, award. We seek to equip teachers with the best information, conduct high-quality vocational trainings and highlight positive and constructive approaches in the field.</t>
        </is>
      </c>
      <c r="H610" s="1" t="inlineStr">
        <is>
          <t>I'm not part of any EdTech association</t>
        </is>
      </c>
      <c r="I610" s="1" t="inlineStr">
        <is>
          <t>German</t>
        </is>
      </c>
      <c r="J610" s="1" t="inlineStr">
        <is>
          <t>Berlin</t>
        </is>
      </c>
      <c r="K610" t="inlineStr">
        <is>
          <t>Berlin</t>
        </is>
      </c>
      <c r="L610" t="inlineStr">
        <is>
          <t>Berlin, Germany</t>
        </is>
      </c>
      <c r="M610" t="n">
        <v>52.5173885</v>
      </c>
      <c r="N610" t="n">
        <v>13.3951309</v>
      </c>
      <c r="O610" s="1" t="inlineStr">
        <is>
          <t>Germany</t>
        </is>
      </c>
      <c r="P610" s="1" t="inlineStr">
        <is>
          <t>Germany</t>
        </is>
      </c>
      <c r="Q610" s="1" t="inlineStr">
        <is>
          <t>6 to 10</t>
        </is>
      </c>
      <c r="R610" t="inlineStr">
        <is>
          <t>Micro</t>
        </is>
      </c>
      <c r="S610" s="1" t="inlineStr">
        <is>
          <t>Business to Business, Business to Consumer</t>
        </is>
      </c>
      <c r="T610" s="1" t="inlineStr">
        <is>
          <t>Lifelong learning/Adult education</t>
        </is>
      </c>
      <c r="U610" s="1" t="inlineStr">
        <is>
          <t>Teacher interfacing</t>
        </is>
      </c>
      <c r="V610" s="1" t="inlineStr">
        <is>
          <t>Zukunft Digitale Schule</t>
        </is>
      </c>
      <c r="W610" s="1" t="inlineStr">
        <is>
          <t>Zukunft Digitale Schule is a platform providing vocational trainings and professional development courses for teachers. The trainings are conceived as e-Learning and asynchronous courses and are thus highly flexible, allowing participants to complete the courses at their own pace. They consist of video lessons paired with interactive elements and additional material.</t>
        </is>
      </c>
      <c r="X610" s="10" t="inlineStr">
        <is>
          <t>Lehrer-News</t>
        </is>
      </c>
      <c r="Y610" t="inlineStr">
        <is>
          <t>Lehrer-News is a news platform reporting on current developments in education. In addition to the latest news from the education sectors, the team behind Lehrer-News provides teachers with information of and insights into new technologies and different approaches to teaching and learning as well as interviews with experts and overviews of different teaching materials.</t>
        </is>
      </c>
      <c r="Z610" s="1" t="inlineStr">
        <is>
          <t>https://drive.google.com/uc?export=view&amp;id=1o6WJVUinuKNMp5HuKnvUk3x-2--MkI0D</t>
        </is>
      </c>
      <c r="AA610" s="1" t="inlineStr">
        <is>
          <t>Unverified</t>
        </is>
      </c>
      <c r="AB610" s="1" t="n"/>
      <c r="AC610" s="1" t="n"/>
      <c r="AD610" s="10" t="n"/>
      <c r="AE610" s="1" t="n"/>
      <c r="AF610" s="1" t="inlineStr">
        <is>
          <t>Yes</t>
        </is>
      </c>
      <c r="AG610" s="1" t="inlineStr">
        <is>
          <t>@zdb.de</t>
        </is>
      </c>
      <c r="AH610" s="1" t="inlineStr">
        <is>
          <t>https://www.linkedin.com/company/67175440/admin/feed/posts/</t>
        </is>
      </c>
      <c r="AI610" t="inlineStr">
        <is>
          <t>https://www.linkedin.com/company/67175440/admin/feed/posts/</t>
        </is>
      </c>
    </row>
    <row r="611" ht="12.5" customHeight="1">
      <c r="A611" s="6" t="n">
        <v>45192</v>
      </c>
      <c r="B611" s="1" t="inlineStr">
        <is>
          <t>ORG_1944</t>
        </is>
      </c>
      <c r="C611" s="1" t="b">
        <v>1</v>
      </c>
      <c r="D611" s="1" t="inlineStr">
        <is>
          <t>Meitner</t>
        </is>
      </c>
      <c r="E611" s="10" t="inlineStr">
        <is>
          <t>www.meitner.se</t>
        </is>
      </c>
      <c r="F611" t="inlineStr">
        <is>
          <t>meitner.se</t>
        </is>
      </c>
      <c r="G611" s="1" t="inlineStr">
        <is>
          <t>Meitner is the platform that follows the child’s development 
to adult age, and help the schools to learn from the data to 
improve the education, and always keeping in mind the 
students well-being.</t>
        </is>
      </c>
      <c r="H611" s="1" t="inlineStr">
        <is>
          <t>Swedish EdTech Industry</t>
        </is>
      </c>
      <c r="I611" s="1" t="inlineStr">
        <is>
          <t>Swedish, English, German</t>
        </is>
      </c>
      <c r="J611" s="1" t="inlineStr">
        <is>
          <t>Dalvagen 14</t>
        </is>
      </c>
      <c r="L611" t="inlineStr">
        <is>
          <t>Dalvagen 14, Sweden</t>
        </is>
      </c>
      <c r="O611" s="1" t="inlineStr">
        <is>
          <t>Sweden</t>
        </is>
      </c>
      <c r="P611" s="1" t="inlineStr">
        <is>
          <t>Sweden</t>
        </is>
      </c>
      <c r="Q611" s="1" t="inlineStr">
        <is>
          <t>11 to 50</t>
        </is>
      </c>
      <c r="R611" t="inlineStr">
        <is>
          <t>Small</t>
        </is>
      </c>
      <c r="S611" s="1" t="inlineStr">
        <is>
          <t>Business to Business, Business to Consumer, Business to Government, Business to Schools</t>
        </is>
      </c>
      <c r="T611" s="1" t="inlineStr">
        <is>
          <t>Early childhood development (0-5 years), Primary Education, Secondary Education, Higher Education</t>
        </is>
      </c>
      <c r="U611" s="1" t="inlineStr">
        <is>
          <t>System/Administrative, Student interfacing, Teacher interfacing</t>
        </is>
      </c>
      <c r="V611" s="10" t="inlineStr">
        <is>
          <t>Meitner School platform</t>
        </is>
      </c>
      <c r="W611" s="1" t="inlineStr">
        <is>
          <t>Provide schools the tools they need.
Meitner is gathering all the necessary tools the schools 
need, and with the upcoming marketplace we can allow 3d 
parties to integrate their products to the schools through 
Meitner, such as learning tools, e-books, and other 
educational softwares. 
Meitner is the platform that follows the child’s development 
to adult age, and help the schools to learn from the data to 
improve the education, and always keeping in mind the 
students well-being.</t>
        </is>
      </c>
      <c r="X611" s="10" t="inlineStr">
        <is>
          <t>https://drive.google.com/uc?export=view&amp;id=1FivRUs-pq3vnt4jLd4OEAH4YQUl8rLEP</t>
        </is>
      </c>
      <c r="Y611" t="inlineStr">
        <is>
          <t>https://drive.google.com/uc?export=view&amp;id=1FivRUs-pq3vnt4jLd4OEAH4YQUl8rLEP</t>
        </is>
      </c>
      <c r="Z611" s="1" t="inlineStr">
        <is>
          <t>https://drive.google.com/uc?export=view&amp;id=1FivRUs-pq3vnt4jLd4OEAH4YQUl8rLEP</t>
        </is>
      </c>
      <c r="AA611" s="1" t="inlineStr">
        <is>
          <t>Unverified</t>
        </is>
      </c>
      <c r="AB611" s="1" t="n"/>
      <c r="AC611" s="1" t="n"/>
      <c r="AD611" s="10" t="n"/>
      <c r="AE611" s="1" t="n"/>
      <c r="AF611" t="inlineStr">
        <is>
          <t>Yes</t>
        </is>
      </c>
      <c r="AG611" t="inlineStr">
        <is>
          <t>meitner.se</t>
        </is>
      </c>
      <c r="AH611" t="inlineStr">
        <is>
          <t>https://www.linkedin.com/company/74203088/admin/</t>
        </is>
      </c>
      <c r="AI611" t="inlineStr">
        <is>
          <t>https://www.linkedin.com/company/74203088/admin/</t>
        </is>
      </c>
    </row>
    <row r="612" ht="12.5" customHeight="1">
      <c r="A612" s="6" t="n">
        <v>45192</v>
      </c>
      <c r="B612" s="1" t="inlineStr">
        <is>
          <t>ORG_2480</t>
        </is>
      </c>
      <c r="C612" s="1" t="b">
        <v>1</v>
      </c>
      <c r="D612" s="10" t="inlineStr">
        <is>
          <t>uugot.it</t>
        </is>
      </c>
      <c r="E612" s="10" t="inlineStr">
        <is>
          <t>www.uugot.it</t>
        </is>
      </c>
      <c r="F612" t="inlineStr">
        <is>
          <t>uugot.it</t>
        </is>
      </c>
      <c r="G612" s="1" t="inlineStr">
        <is>
          <t>uugot.it - learning languages while watching TV: Interactive subtitles are added to any video content - language learners click on words they do not understand and instantly get a translation displayed. By doing that uugot.it tears down language barriers, enables equality, inclusion and helps to overcome obstacles during the integration process, in school, lectures, trainings... 
To maximize the impact we have created a learning platform and adapted uugot.it for schools and educational institutions to maximize the impact: uugot.it sCOOLing. Nominated and awarded multiple times, we help pupils with other mother tongues to follow the lessons like their native classmates. This relieves teachers, as they will not need to explain certain terms to pupils with different linguistic backgrounds. Therefore, the pupils gain confidence as uugot.it helps them overcome language barriers.</t>
        </is>
      </c>
      <c r="H612" s="1" t="inlineStr">
        <is>
          <t>EdTech Austria</t>
        </is>
      </c>
      <c r="I612" s="1" t="inlineStr">
        <is>
          <t>German, English</t>
        </is>
      </c>
      <c r="J612" s="1" t="inlineStr">
        <is>
          <t>Vienna</t>
        </is>
      </c>
      <c r="K612" t="inlineStr">
        <is>
          <t>Vienna</t>
        </is>
      </c>
      <c r="L612" t="inlineStr">
        <is>
          <t>Vienna, Austria</t>
        </is>
      </c>
      <c r="M612" t="n">
        <v>48.2083537</v>
      </c>
      <c r="N612" t="n">
        <v>16.3725042</v>
      </c>
      <c r="O612" s="1" t="inlineStr">
        <is>
          <t>Austria</t>
        </is>
      </c>
      <c r="P612" s="1" t="inlineStr">
        <is>
          <t>Austria</t>
        </is>
      </c>
      <c r="Q612" s="1" t="inlineStr">
        <is>
          <t>0 to 2</t>
        </is>
      </c>
      <c r="R612" t="inlineStr">
        <is>
          <t>Solo entrepreneur</t>
        </is>
      </c>
      <c r="S612" s="1" t="inlineStr">
        <is>
          <t>Business to Schools</t>
        </is>
      </c>
      <c r="T612" s="1" t="inlineStr">
        <is>
          <t>Secondary Education, Corporate Training, Lifelong learning/Adult education</t>
        </is>
      </c>
      <c r="U612" s="1" t="inlineStr">
        <is>
          <t>System/Administrative, Student interfacing, Teacher interfacing</t>
        </is>
      </c>
      <c r="V612" s="1" t="inlineStr">
        <is>
          <t>uugot.it TV</t>
        </is>
      </c>
      <c r="W612" s="10" t="inlineStr">
        <is>
          <t>Users can stream daily broadcasts with interactive same language subtitles. The program ranges from news, local broadcasts to documentaries, comedy &amp; talkshows to kids related content series and films. Clicked words will be stored on an individual basis. The service is currently free for the user.</t>
        </is>
      </c>
      <c r="X612" s="10" t="inlineStr">
        <is>
          <t>uugot.it sCOOLing</t>
        </is>
      </c>
      <c r="Y612" t="inlineStr">
        <is>
          <t>The learning platform for schools and educational institutions with a huge library of available videos, some of them with didactic materials. uugot.it sCOOLing brings additional features like content management system, trackable learning progress, gamification or worksheets and multiple choice tasks.</t>
        </is>
      </c>
      <c r="Z612" s="1" t="inlineStr">
        <is>
          <t>https://drive.google.com/uc?export=view&amp;id=1dx_lckXUR1DsidocERH5VR2EGbz4X4Z_</t>
        </is>
      </c>
      <c r="AA612" s="1" t="inlineStr">
        <is>
          <t>Unverified</t>
        </is>
      </c>
      <c r="AB612" s="1" t="n"/>
      <c r="AC612" s="1" t="n"/>
      <c r="AD612" s="10" t="n"/>
      <c r="AE612" s="1" t="n"/>
      <c r="AF612" t="inlineStr">
        <is>
          <t>Yes</t>
        </is>
      </c>
      <c r="AG612" t="inlineStr">
        <is>
          <t>https://twitter.com/uugot_it</t>
        </is>
      </c>
      <c r="AH612" t="inlineStr">
        <is>
          <t>https://twitter.com/uugot_it</t>
        </is>
      </c>
      <c r="AI612" t="inlineStr">
        <is>
          <t>https://www.linkedin.com/company/uugot-it</t>
        </is>
      </c>
    </row>
    <row r="613" ht="12.5" customHeight="1">
      <c r="A613" s="6" t="n">
        <v>45191</v>
      </c>
      <c r="B613" s="1" t="inlineStr">
        <is>
          <t>ORG_1218</t>
        </is>
      </c>
      <c r="C613" s="1" t="b">
        <v>1</v>
      </c>
      <c r="D613" s="1" t="inlineStr">
        <is>
          <t>Captic</t>
        </is>
      </c>
      <c r="E613" s="10" t="inlineStr">
        <is>
          <t>https://captic.io</t>
        </is>
      </c>
      <c r="F613" t="inlineStr">
        <is>
          <t>captic.io</t>
        </is>
      </c>
      <c r="G613" s="1" t="inlineStr">
        <is>
          <t>Captic’s white-label platform allows organisations to control and scale their own metaverse presences on web. Captic's proprietary tech facilitates the delivery of multiuser and multi-device virtual spaces, events and experiences without the need of client downloads -- just easy-to-share 3D worlds that outperform 5-10 times all known commercial engines on web.</t>
        </is>
      </c>
      <c r="H613" s="1" t="inlineStr">
        <is>
          <t>EdTech Austria</t>
        </is>
      </c>
      <c r="I613" s="1" t="inlineStr">
        <is>
          <t>All</t>
        </is>
      </c>
      <c r="J613" s="1" t="inlineStr">
        <is>
          <t>Vienna</t>
        </is>
      </c>
      <c r="K613" t="inlineStr">
        <is>
          <t>Vienna</t>
        </is>
      </c>
      <c r="L613" t="inlineStr">
        <is>
          <t>Vienna, Austria</t>
        </is>
      </c>
      <c r="M613" t="n">
        <v>48.2083537</v>
      </c>
      <c r="N613" t="n">
        <v>16.3725042</v>
      </c>
      <c r="O613" s="1" t="inlineStr">
        <is>
          <t>Austria</t>
        </is>
      </c>
      <c r="P613" s="1" t="inlineStr">
        <is>
          <t>Austria, Belgium, Denmark, Estonia, France, Germany, Greece, Ireland, Italy, Liechtenstein, Luxembourg, Netherlands, Norway, Poland, Portugal, Spain, Sweden, Switzerland, United Kingdom</t>
        </is>
      </c>
      <c r="Q613" s="1" t="inlineStr">
        <is>
          <t>6 to 10</t>
        </is>
      </c>
      <c r="R613" t="inlineStr">
        <is>
          <t>Micro</t>
        </is>
      </c>
      <c r="S613" s="1" t="inlineStr">
        <is>
          <t>Business to Business, Business to Schools, Business to Consumer, Business to Government</t>
        </is>
      </c>
      <c r="T613" s="1" t="inlineStr">
        <is>
          <t>Secondary Education, Corporate Training, Lifelong learning/Adult education, Vocational Education and Training (VET), Higher Education</t>
        </is>
      </c>
      <c r="U613" s="1" t="inlineStr">
        <is>
          <t>Student interfacing, Teacher interfacing, System/Administrative</t>
        </is>
      </c>
      <c r="V613" s="1" t="inlineStr">
        <is>
          <t>White-label Licence</t>
        </is>
      </c>
      <c r="W613" s="10" t="inlineStr">
        <is>
          <t>Our platform provides clients with the possibility to run unlimited multiplayer events on composable, linkable virtual worlds based on web with enhanced levels of performance and stability.
- All server costs, set-up &amp; maintenance on us
- Up to 3,000 Spaces 
- All Spaces feature personalised domains
- Superb multi-streaming tech — in-world spatial audio, screensharing and webcam
- Password-protected rooms and host/admin tools 
And many more features and advanced/optional ones such as game scripting, access to SDK and on-premise private Metaverses for higher security. Contact for more info via hello at captic dot io or visit our website to find out more: captic.io</t>
        </is>
      </c>
      <c r="X613" s="10" t="inlineStr">
        <is>
          <t>Educational Licence</t>
        </is>
      </c>
      <c r="Y613" t="inlineStr">
        <is>
          <t>We provide template campuses for Educational institutions so that they have:
- A ready-made campus buildings with different uses and capacities that fit all needs -- from meeting rooms for private gathering to lecture spaces.
- Free access to our licence for 3 months.
- Technical support and onboarding avail. as needed.
Contact for more info via hello at captic dot io or visit our website to find out more: captic.io</t>
        </is>
      </c>
      <c r="Z613" s="1" t="inlineStr">
        <is>
          <t>https://drive.google.com/uc?export=view&amp;id=1UIdTm3wOI0rbYT_a7-SBPrcJUJ301zqg</t>
        </is>
      </c>
      <c r="AA613" s="1" t="inlineStr">
        <is>
          <t>Unverified</t>
        </is>
      </c>
      <c r="AB613" s="1" t="n"/>
      <c r="AC613" s="1" t="n"/>
      <c r="AD613" s="10" t="n"/>
      <c r="AE613" s="1" t="n"/>
      <c r="AF613" t="inlineStr">
        <is>
          <t>Yes</t>
        </is>
      </c>
      <c r="AG613" t="inlineStr">
        <is>
          <t>https://twitter.com/capticio</t>
        </is>
      </c>
      <c r="AH613" t="inlineStr">
        <is>
          <t>https://twitter.com/capticio</t>
        </is>
      </c>
      <c r="AI613" t="inlineStr">
        <is>
          <t>https://www.linkedin.com/company/captic-io</t>
        </is>
      </c>
    </row>
    <row r="614" ht="12.5" customHeight="1">
      <c r="A614" s="6" t="n">
        <v>45191</v>
      </c>
      <c r="B614" s="1" t="inlineStr">
        <is>
          <t>ORG_1252</t>
        </is>
      </c>
      <c r="C614" s="1" t="b">
        <v>1</v>
      </c>
      <c r="D614" s="1" t="inlineStr">
        <is>
          <t>ClassOnLive</t>
        </is>
      </c>
      <c r="E614" s="10" t="inlineStr">
        <is>
          <t>https://www.classonlive.com/</t>
        </is>
      </c>
      <c r="F614" t="inlineStr">
        <is>
          <t>classonlive.com</t>
        </is>
      </c>
      <c r="G614" s="1" t="inlineStr">
        <is>
          <t>ClassOnLive is a SAAS, no-code platform for creators who want to build more impactful businesses through courses and teaching online. Whether you are an entrepreneur, a company or an in person Academy, with ClassOnLive you create your own online Academy, manage your content and your students' experience, all under your brand.</t>
        </is>
      </c>
      <c r="H614" s="1" t="inlineStr">
        <is>
          <t>SEK Lab</t>
        </is>
      </c>
      <c r="I614" s="1" t="inlineStr">
        <is>
          <t>Spanish</t>
        </is>
      </c>
      <c r="J614" s="1" t="inlineStr">
        <is>
          <t>Madrid</t>
        </is>
      </c>
      <c r="K614" t="inlineStr">
        <is>
          <t>Madrid</t>
        </is>
      </c>
      <c r="L614" t="inlineStr">
        <is>
          <t>Madrid, Spain</t>
        </is>
      </c>
      <c r="M614" t="n">
        <v>40.416782</v>
      </c>
      <c r="N614" t="n">
        <v>-3.703507</v>
      </c>
      <c r="O614" s="1" t="inlineStr">
        <is>
          <t>Spain</t>
        </is>
      </c>
      <c r="P614" s="1" t="inlineStr">
        <is>
          <t>France, Germany, Ireland, Italy, Portugal, Spain, Sweden, United Kingdom</t>
        </is>
      </c>
      <c r="Q614" s="1" t="inlineStr">
        <is>
          <t>6 to 10</t>
        </is>
      </c>
      <c r="R614" t="inlineStr">
        <is>
          <t>Micro</t>
        </is>
      </c>
      <c r="S614" s="1" t="inlineStr">
        <is>
          <t>Business to Business, Business to Schools, Business to Consumer, Business to Government</t>
        </is>
      </c>
      <c r="T614" s="1" t="inlineStr">
        <is>
          <t>Lifelong learning/Adult education</t>
        </is>
      </c>
      <c r="U614" s="1" t="inlineStr">
        <is>
          <t>Teacher interfacing, System/Administrative</t>
        </is>
      </c>
      <c r="V614" s="1" t="n"/>
      <c r="W614" s="1" t="inlineStr">
        <is>
          <t>https://drive.google.com/uc?export=view&amp;id=17O8dhZxFJRSBOTONVTlo-SX6T-0fQnn6</t>
        </is>
      </c>
      <c r="X614" s="1" t="inlineStr">
        <is>
          <t>https://drive.google.com/uc?export=view&amp;id=17O8dhZxFJRSBOTONVTlo-SX6T-0fQnn6</t>
        </is>
      </c>
      <c r="Y614" t="inlineStr">
        <is>
          <t>https://drive.google.com/uc?export=view&amp;id=17O8dhZxFJRSBOTONVTlo-SX6T-0fQnn6</t>
        </is>
      </c>
      <c r="Z614" s="1" t="inlineStr">
        <is>
          <t>https://drive.google.com/uc?export=view&amp;id=17O8dhZxFJRSBOTONVTlo-SX6T-0fQnn6</t>
        </is>
      </c>
      <c r="AA614" s="1" t="inlineStr">
        <is>
          <t>Unverified</t>
        </is>
      </c>
      <c r="AB614" s="1" t="n"/>
      <c r="AC614" s="1" t="n"/>
      <c r="AD614" s="10" t="n"/>
      <c r="AE614" s="1" t="n"/>
      <c r="AF614" t="inlineStr">
        <is>
          <t>No</t>
        </is>
      </c>
    </row>
    <row r="615" ht="12.5" customHeight="1">
      <c r="A615" s="6" t="n">
        <v>45191</v>
      </c>
      <c r="B615" s="1" t="inlineStr">
        <is>
          <t>ORG_1505</t>
        </is>
      </c>
      <c r="C615" s="1" t="b">
        <v>1</v>
      </c>
      <c r="D615" s="1" t="inlineStr">
        <is>
          <t>Epapa</t>
        </is>
      </c>
      <c r="E615" s="10" t="inlineStr">
        <is>
          <t>https://epapa.eu/</t>
        </is>
      </c>
      <c r="F615" t="inlineStr">
        <is>
          <t>epapa.eu</t>
        </is>
      </c>
      <c r="G615" s="1" t="inlineStr">
        <is>
          <t>Epapa develops an AI-based learning app for the natural sciences. We teach in a new way with a two-world approach by leveraging the perspective of a former mathematics struggler. Our app activates mathematical brain areas. 
The ability to think abstractly with a mathematical mindset is becoming increasingly important in the 21st century. More and more professions are digitalized, and Artificial Intelligence will create an even more significant challenge. 
Epapa says: “Let us give the ability to think abstractly to everyone.”</t>
        </is>
      </c>
      <c r="H615" s="1" t="inlineStr">
        <is>
          <t>I'm not part of any EdTech association</t>
        </is>
      </c>
      <c r="I615" s="1" t="inlineStr">
        <is>
          <t>German, English</t>
        </is>
      </c>
      <c r="J615" s="1" t="inlineStr">
        <is>
          <t>Berlin</t>
        </is>
      </c>
      <c r="K615" t="inlineStr">
        <is>
          <t>Berlin</t>
        </is>
      </c>
      <c r="L615" t="inlineStr">
        <is>
          <t>Berlin, Germany</t>
        </is>
      </c>
      <c r="M615" t="n">
        <v>52.5173885</v>
      </c>
      <c r="N615" t="n">
        <v>13.3951309</v>
      </c>
      <c r="O615" s="1" t="inlineStr">
        <is>
          <t>Germany</t>
        </is>
      </c>
      <c r="P615" s="1" t="inlineStr">
        <is>
          <t>Germany</t>
        </is>
      </c>
      <c r="Q615" s="1" t="inlineStr">
        <is>
          <t>3 to 5</t>
        </is>
      </c>
      <c r="R615" t="inlineStr">
        <is>
          <t>Micro</t>
        </is>
      </c>
      <c r="S615" s="1" t="inlineStr">
        <is>
          <t>Business to Business, Business to Schools, Business to Consumer</t>
        </is>
      </c>
      <c r="T615" s="1" t="inlineStr">
        <is>
          <t>Secondary Education, Lifelong learning/Adult education, Vocational Education and Training (VET), Higher Education</t>
        </is>
      </c>
      <c r="U615" s="1" t="inlineStr">
        <is>
          <t>Student interfacing</t>
        </is>
      </c>
      <c r="V615" s="1" t="inlineStr">
        <is>
          <t>Epapa App</t>
        </is>
      </c>
      <c r="W615" s="1" t="inlineStr">
        <is>
          <t>https://drive.google.com/uc?export=view&amp;id=1XaN7DHKFzLqIUITkp73VnVPIW52ECw50</t>
        </is>
      </c>
      <c r="X615" s="10" t="inlineStr">
        <is>
          <t>https://drive.google.com/uc?export=view&amp;id=1XaN7DHKFzLqIUITkp73VnVPIW52ECw50</t>
        </is>
      </c>
      <c r="Y615" t="inlineStr">
        <is>
          <t>https://drive.google.com/uc?export=view&amp;id=1XaN7DHKFzLqIUITkp73VnVPIW52ECw50</t>
        </is>
      </c>
      <c r="Z615" s="1" t="inlineStr">
        <is>
          <t>https://drive.google.com/uc?export=view&amp;id=1XaN7DHKFzLqIUITkp73VnVPIW52ECw50</t>
        </is>
      </c>
      <c r="AA615" s="1" t="inlineStr">
        <is>
          <t>Unverified</t>
        </is>
      </c>
      <c r="AB615" s="1" t="n"/>
      <c r="AC615" s="1" t="n"/>
      <c r="AD615" s="10" t="n"/>
      <c r="AE615" s="1" t="n"/>
      <c r="AF615" t="inlineStr">
        <is>
          <t>Yes</t>
        </is>
      </c>
      <c r="AG615" t="inlineStr">
        <is>
          <t>https://www.linkedin.com/company/epapa/</t>
        </is>
      </c>
      <c r="AH615" t="inlineStr">
        <is>
          <t>https://www.linkedin.com/company/epapa/</t>
        </is>
      </c>
      <c r="AI615" t="inlineStr">
        <is>
          <t>https://www.linkedin.com/company/epapa/</t>
        </is>
      </c>
    </row>
    <row r="616" ht="12.5" customHeight="1">
      <c r="A616" s="6" t="n">
        <v>45191</v>
      </c>
      <c r="B616" s="1" t="inlineStr">
        <is>
          <t>ORG_1882</t>
        </is>
      </c>
      <c r="C616" s="1" t="b">
        <v>1</v>
      </c>
      <c r="D616" s="1" t="inlineStr">
        <is>
          <t>Lingokids</t>
        </is>
      </c>
      <c r="E616" s="10" t="inlineStr">
        <is>
          <t>www.lingokids.com</t>
        </is>
      </c>
      <c r="F616" t="inlineStr">
        <is>
          <t>lingokids.com</t>
        </is>
      </c>
      <c r="G616" s="1" t="inlineStr">
        <is>
          <t>Voted #1 Kids Learning App, Lingokids is the best app for kids 2-8 years old. 
Our unique PlaylearningTM method ensures learning is fun while our modern and compelling curriculum has been designed to cover from traditional subjects such as math, literacy or music to the most modern skills like empathy, robotics, and much more. 
We already offer more than 1200 interactive activities for kids in a completely safe environment.</t>
        </is>
      </c>
      <c r="H616" s="1" t="inlineStr">
        <is>
          <t>I'm not part of any EdTech association</t>
        </is>
      </c>
      <c r="I616" s="1" t="inlineStr">
        <is>
          <t>English</t>
        </is>
      </c>
      <c r="J616" s="1" t="inlineStr">
        <is>
          <t>Calle Princesa 25</t>
        </is>
      </c>
      <c r="L616" t="inlineStr">
        <is>
          <t>Calle Princesa 25, Spain</t>
        </is>
      </c>
      <c r="O616" s="1" t="inlineStr">
        <is>
          <t>Spain</t>
        </is>
      </c>
      <c r="P61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616" s="1" t="inlineStr">
        <is>
          <t>101 to 500</t>
        </is>
      </c>
      <c r="R616" t="inlineStr">
        <is>
          <t>Medium or Large (unspecified)</t>
        </is>
      </c>
      <c r="S616" s="1" t="inlineStr">
        <is>
          <t>Business to Business, Business to Schools, Business to Government</t>
        </is>
      </c>
      <c r="T616" s="1" t="inlineStr">
        <is>
          <t>Early childhood development (0-5 years), Primary Education</t>
        </is>
      </c>
      <c r="U616" s="1" t="inlineStr">
        <is>
          <t>System/Administrative, Student interfacing</t>
        </is>
      </c>
      <c r="V616" s="10" t="inlineStr">
        <is>
          <t>Lingokids App</t>
        </is>
      </c>
      <c r="W616" s="1" t="inlineStr">
        <is>
          <t>More than 1200 interactive activities for kids in a safe environment that allow kids to learn while having fun. From games to songs, a vast variety of formats to build today's modern lifeskills.</t>
        </is>
      </c>
      <c r="X616" s="10" t="inlineStr">
        <is>
          <t>https://drive.google.com/uc?export=view&amp;id=1VxVY4aXtzo3qAkwZ1wOOTaAtkt-nKHxe</t>
        </is>
      </c>
      <c r="Y616" t="inlineStr">
        <is>
          <t>https://drive.google.com/uc?export=view&amp;id=1VxVY4aXtzo3qAkwZ1wOOTaAtkt-nKHxe</t>
        </is>
      </c>
      <c r="Z616" s="1" t="inlineStr">
        <is>
          <t>https://drive.google.com/uc?export=view&amp;id=1VxVY4aXtzo3qAkwZ1wOOTaAtkt-nKHxe</t>
        </is>
      </c>
      <c r="AA616" s="1" t="inlineStr">
        <is>
          <t>Unverified</t>
        </is>
      </c>
      <c r="AB616" s="1" t="n"/>
      <c r="AC616" s="1" t="n"/>
      <c r="AD616" s="10" t="n"/>
      <c r="AE616" s="1" t="n"/>
      <c r="AF616" t="inlineStr">
        <is>
          <t>Yes</t>
        </is>
      </c>
      <c r="AG616" t="inlineStr">
        <is>
          <t>https://www.instagram.com/lingokids/?hl=en</t>
        </is>
      </c>
      <c r="AH616" t="inlineStr">
        <is>
          <t>https://www.linkedin.com/company/lingokids/mycompany/verification/</t>
        </is>
      </c>
      <c r="AI616" t="inlineStr">
        <is>
          <t>https://www.linkedin.com/company/lingokids/mycompany/verification/</t>
        </is>
      </c>
    </row>
    <row r="617" ht="12.5" customHeight="1">
      <c r="A617" s="6" t="n">
        <v>45191</v>
      </c>
      <c r="B617" s="1" t="inlineStr">
        <is>
          <t>ORG_2324</t>
        </is>
      </c>
      <c r="C617" s="1" t="b">
        <v>1</v>
      </c>
      <c r="D617" s="1" t="inlineStr">
        <is>
          <t>Stellia</t>
        </is>
      </c>
      <c r="E617" s="10" t="inlineStr">
        <is>
          <t>www.stellia.ai</t>
        </is>
      </c>
      <c r="F617" t="inlineStr">
        <is>
          <t>stellia.ai</t>
        </is>
      </c>
      <c r="G617" s="1" t="inlineStr">
        <is>
          <t>Founded in 2019, Stellia leverages recent advances in NLP &amp; Gen AI to improve knowledge acquisition and access in education, continuing education and business. 
Our data science team, bolstered by strong partnerships with AI research labs, has designed an AI pipeline based on the most effective NLP models, which we have then refined for our specific needs. 
Starting from our customers' reliable but unstructured knowledge bases (Pdf, docs, videos...), we generate personalized question answering assistants for learners and employees, providing relevant and contextual answers, without hallucinations.
Today, our assistants support 10,000's students and employees of our customers, ranging from American universities to French public schools and corporations.
To best answer various use-cases, our assistants can deliver generative answers, supporting sources, relevant video excerpts, related concepts, Q&amp;As, MCQs...</t>
        </is>
      </c>
      <c r="H617" s="1" t="inlineStr">
        <is>
          <t>EdTech France</t>
        </is>
      </c>
      <c r="I617" s="1" t="inlineStr">
        <is>
          <t>English, French</t>
        </is>
      </c>
      <c r="J617" s="1" t="inlineStr">
        <is>
          <t>Paris</t>
        </is>
      </c>
      <c r="K617" t="inlineStr">
        <is>
          <t>Paris</t>
        </is>
      </c>
      <c r="L617" t="inlineStr">
        <is>
          <t>Paris, France</t>
        </is>
      </c>
      <c r="M617" t="n">
        <v>48.8534951</v>
      </c>
      <c r="N617" t="n">
        <v>2.3483915</v>
      </c>
      <c r="O617" s="1" t="inlineStr">
        <is>
          <t>France</t>
        </is>
      </c>
      <c r="P617" s="1" t="inlineStr">
        <is>
          <t>France, Germany, United Kingdom</t>
        </is>
      </c>
      <c r="Q617" s="1" t="inlineStr">
        <is>
          <t>11 to 50</t>
        </is>
      </c>
      <c r="R617" t="inlineStr">
        <is>
          <t>Small</t>
        </is>
      </c>
      <c r="S617" s="1" t="inlineStr">
        <is>
          <t>Business to Consumer, Business to Government, Business to Schools</t>
        </is>
      </c>
      <c r="T617" s="1" t="inlineStr">
        <is>
          <t>Primary Education, Secondary Education, Corporate Training, Lifelong learning/Adult education, Vocational Education and Training (VET), Higher Education</t>
        </is>
      </c>
      <c r="U617" s="1" t="inlineStr">
        <is>
          <t>Student interfacing, Teacher interfacing, System/Administrative</t>
        </is>
      </c>
      <c r="V617" s="1" t="inlineStr">
        <is>
          <t>Stellia Assistant</t>
        </is>
      </c>
      <c r="W617" s="1" t="inlineStr">
        <is>
          <t>We build for universities, schools, and companies custom question answering assistants focused solely on our customers' trusted knowledge, that is adapted to their audience. Our assistant delivers relevant generative answers, the sources it is based on, document excerpts, video excerpts, as well as related concepts, Q&amp;As and MCQs.
We have developed a powerful and versatile AI workflow leveraging raw docs and videos to extract knowledge, vectorize it, model it under the form of knowledge graphs and generate Q&amp;As and MCQ, thus enabling our assistants to deliver the most relevant answers. This workflow is supported by various state-of-the-art NLP models that were fine-tuned by our Data Science team.
Our assistant can embed special AI agents dedicated to specific tasks, such as assisting step-by-step a student in solving a problem, writing an essay or upskill an employee on a specific topic and related concepts.</t>
        </is>
      </c>
      <c r="X617" s="10" t="inlineStr">
        <is>
          <t>Stellia Adaptive Learning</t>
        </is>
      </c>
      <c r="Y617" t="inlineStr">
        <is>
          <t>Our adaptive solution adjusts the learning paths to each learner depending on its outcome, moving him quickly to more complex levels or concepts when succeeding, slowing down, or even moving back to more fundamental concepts when failing.
It relies on a knowledge graph mapping the relationships between pedagogical objectives or concepts and all the learning events, ie real-time tracking of each student's interactions and outcomes with the learning resources.
Our real-time recommendation engine analyzes the learning events and is powered by a mix of :
1. pedagogical rules, enabling to reproduce our customers' pedagogical approaches and solving the cold-start problem, 
2. and reinforcement learning AI to identify the most efficient orientations for each students.</t>
        </is>
      </c>
      <c r="Z617" s="1" t="n"/>
      <c r="AA617" s="1" t="inlineStr">
        <is>
          <t>Unverified</t>
        </is>
      </c>
      <c r="AB617" s="1" t="n"/>
      <c r="AC617" s="1" t="n"/>
      <c r="AD617" s="1" t="n"/>
      <c r="AE617" s="1" t="n"/>
      <c r="AF617" t="inlineStr">
        <is>
          <t>Yes</t>
        </is>
      </c>
      <c r="AG617" t="inlineStr">
        <is>
          <t>https://www.linkedin.com/company/professorbob/mycompany/</t>
        </is>
      </c>
      <c r="AH617" t="inlineStr">
        <is>
          <t>https://www.linkedin.com/company/professorbob/mycompany/</t>
        </is>
      </c>
      <c r="AI617" t="inlineStr">
        <is>
          <t>https://www.linkedin.com/company/professorbob/mycompany/</t>
        </is>
      </c>
    </row>
    <row r="618" ht="12.5" customHeight="1">
      <c r="A618" s="6" t="n">
        <v>45190</v>
      </c>
      <c r="B618" s="1" t="inlineStr">
        <is>
          <t>ORG_1275</t>
        </is>
      </c>
      <c r="C618" s="1" t="b">
        <v>1</v>
      </c>
      <c r="D618" s="1" t="inlineStr">
        <is>
          <t>COESU Educación</t>
        </is>
      </c>
      <c r="E618" s="10" t="inlineStr">
        <is>
          <t>www.coesu.com</t>
        </is>
      </c>
      <c r="F618" t="inlineStr">
        <is>
          <t>coesu.com</t>
        </is>
      </c>
      <c r="G618" s="1" t="inlineStr">
        <is>
          <t>COESU “Cogito ergo sum” was born almost 10 years ago, from the experience of the professionals who launched the company in the field of education, with a common vision, “The education of children is the priority of parents.”
Through the most modern teaching methodologies and the use of the most advanced technology, we add value to the Spanish educational system, equating it to the most prestigious systems of our European counterparts.
Our experience is supported by a variety of customers from different areas such as Public and Private Schools, Shopping Centers, Nursing Homes, Foundations, Museums or Town Halls.</t>
        </is>
      </c>
      <c r="H618" s="1" t="inlineStr">
        <is>
          <t>I'm not part of any EdTech association</t>
        </is>
      </c>
      <c r="I618" s="1" t="inlineStr">
        <is>
          <t>All</t>
        </is>
      </c>
      <c r="J618" s="1" t="inlineStr">
        <is>
          <t>Madrid</t>
        </is>
      </c>
      <c r="K618" t="inlineStr">
        <is>
          <t>Madrid</t>
        </is>
      </c>
      <c r="L618" t="inlineStr">
        <is>
          <t>Madrid, Spain</t>
        </is>
      </c>
      <c r="M618" t="n">
        <v>40.416782</v>
      </c>
      <c r="N618" t="n">
        <v>-3.703507</v>
      </c>
      <c r="O618" s="1" t="inlineStr">
        <is>
          <t>Spain</t>
        </is>
      </c>
      <c r="P618" s="1" t="inlineStr">
        <is>
          <t>Spain</t>
        </is>
      </c>
      <c r="Q618" s="1" t="inlineStr">
        <is>
          <t>3 to 5</t>
        </is>
      </c>
      <c r="R618" t="inlineStr">
        <is>
          <t>Micro</t>
        </is>
      </c>
      <c r="S618" s="1" t="inlineStr">
        <is>
          <t>Business to Business, Business to Consumer, Business to Government, Business to Schools</t>
        </is>
      </c>
      <c r="T618" s="1" t="inlineStr">
        <is>
          <t>Early childhood development (0-5 years), Primary Education, Secondary Education, Corporate Training, Lifelong learning/Adult education, Vocational Education and Training (VET), Higher Education</t>
        </is>
      </c>
      <c r="U618" s="1" t="inlineStr">
        <is>
          <t>System/Administrative, Student interfacing, Teacher interfacing</t>
        </is>
      </c>
      <c r="V618" s="1" t="inlineStr">
        <is>
          <t>Educational services</t>
        </is>
      </c>
      <c r="W618" s="1" t="inlineStr">
        <is>
          <t>All of them where we add value to the current ones.</t>
        </is>
      </c>
      <c r="X618" s="10" t="inlineStr">
        <is>
          <t>https://drive.google.com/uc?export=view&amp;id=1HePMm4aDs6jCUiZKnCGGLNFO0Gm4b_Vu</t>
        </is>
      </c>
      <c r="Y618" t="inlineStr">
        <is>
          <t>https://drive.google.com/uc?export=view&amp;id=1HePMm4aDs6jCUiZKnCGGLNFO0Gm4b_Vu</t>
        </is>
      </c>
      <c r="Z618" s="1" t="inlineStr">
        <is>
          <t>https://drive.google.com/uc?export=view&amp;id=1HePMm4aDs6jCUiZKnCGGLNFO0Gm4b_Vu</t>
        </is>
      </c>
      <c r="AA618" s="1" t="inlineStr">
        <is>
          <t>Unverified</t>
        </is>
      </c>
      <c r="AB618" s="1" t="n"/>
      <c r="AC618" s="1" t="n"/>
      <c r="AD618" s="10" t="n"/>
      <c r="AE618" s="1" t="n"/>
      <c r="AF618" t="inlineStr">
        <is>
          <t>Yes</t>
        </is>
      </c>
      <c r="AG618" t="inlineStr">
        <is>
          <t>https://www.linkedin.com/company/10259262/admin/feed/posts/</t>
        </is>
      </c>
      <c r="AH618" t="inlineStr">
        <is>
          <t>https://www.linkedin.com/company/10259262/admin/feed/posts/</t>
        </is>
      </c>
      <c r="AI618" t="inlineStr">
        <is>
          <t>https://www.linkedin.com/company/10259262/admin/feed/posts/</t>
        </is>
      </c>
    </row>
    <row r="619" ht="12.5" customHeight="1">
      <c r="A619" s="6" t="n">
        <v>45190</v>
      </c>
      <c r="B619" s="1" t="inlineStr">
        <is>
          <t>ORG_1900</t>
        </is>
      </c>
      <c r="C619" s="1" t="b">
        <v>1</v>
      </c>
      <c r="D619" s="1" t="inlineStr">
        <is>
          <t>MAE Sports &amp; Education</t>
        </is>
      </c>
      <c r="E619" s="10" t="inlineStr">
        <is>
          <t>https://maeducationusa.com/</t>
        </is>
      </c>
      <c r="F619" t="inlineStr">
        <is>
          <t>maeducationusa.com</t>
        </is>
      </c>
      <c r="G619" s="1" t="inlineStr">
        <is>
          <t>MAE Sports &amp; Education is a scholarship consultancy that enables students to get a degree from universities in the United States while competing at the highest level in their sport. They oversee the entire process in a close and direct manner with students and their families, taking into consideration their academic, financial, and geographical preferences to secure scholarships for studying in the USA.
At MAE, they specialize in admission and the acquisition of academic and athletic scholarships for studying in the United States, both at high schools and universities. Additionally, through their new, free digital platform, they provide easy, fast, and cost-effective access to this education for students worldwide.</t>
        </is>
      </c>
      <c r="H619" s="1" t="inlineStr">
        <is>
          <t>I'm not part of any EdTech association</t>
        </is>
      </c>
      <c r="I619" s="1" t="inlineStr">
        <is>
          <t>Spanish, English</t>
        </is>
      </c>
      <c r="J619" s="1" t="inlineStr">
        <is>
          <t>Valencia</t>
        </is>
      </c>
      <c r="K619" t="inlineStr">
        <is>
          <t>Valencia</t>
        </is>
      </c>
      <c r="L619" t="inlineStr">
        <is>
          <t>Valencia, Spain</t>
        </is>
      </c>
      <c r="M619" t="n">
        <v>39.6819591</v>
      </c>
      <c r="N619" t="n">
        <v>-0.7654406</v>
      </c>
      <c r="O619" s="1" t="inlineStr">
        <is>
          <t>Spain</t>
        </is>
      </c>
      <c r="P619" s="1" t="inlineStr">
        <is>
          <t>Andorra, Italy, Poland, Spain, Sweden, United Kingdom</t>
        </is>
      </c>
      <c r="Q619" s="1" t="inlineStr">
        <is>
          <t>6 to 10</t>
        </is>
      </c>
      <c r="R619" t="inlineStr">
        <is>
          <t>Micro</t>
        </is>
      </c>
      <c r="S619" s="1" t="inlineStr">
        <is>
          <t>Business to Business, Business to Schools, Business to Consumer</t>
        </is>
      </c>
      <c r="T619" s="1" t="inlineStr">
        <is>
          <t>Secondary Education, Vocational Education and Training (VET), Higher Education</t>
        </is>
      </c>
      <c r="U619" s="1" t="inlineStr">
        <is>
          <t>System/Administrative, Student interfacing, Teacher interfacing</t>
        </is>
      </c>
      <c r="V619" s="10" t="inlineStr">
        <is>
          <t>Academic &amp; Athletic Scholarships</t>
        </is>
      </c>
      <c r="W619" s="1" t="inlineStr">
        <is>
          <t>At MAE we also help those students who do not practice sports but are interested in being admitted to prestigious American universities with a scholarship.
There is no stipulation of a scholarship amount per grade since each university establishes its criteria for determining the amount of the scholarship. Sometimes the scholarship can be high enough to reduce the total cost of studies.
To obtain an Athletic Scholarship at one of the thousands of U.S. universities. we need the student, in addition to having a competitive profile in their sport, to have an average academic curriculum, having to pass the SAT and TOEFL or Duolingo exams for admission and eligibility.</t>
        </is>
      </c>
      <c r="X619" s="10" t="inlineStr">
        <is>
          <t>High School</t>
        </is>
      </c>
      <c r="Y619" t="inlineStr">
        <is>
          <t>We specialize in “Boarding Schools”, which are prestigious private residential schools. Students enjoy the best possible facilities and care. These schools correspond to the F1 visa type, which has the most flexibility for international students.
Thanks to our experience, we take care of finding the place that best suits the characteristics of the student, in addition to achieving significant cost reductions by using the scholarships and financial aid available in our centers.
Our students opt for the 5 courses available prior to the start of their university studies, where they can study with us for one year or (if they wish), they can get prepared with us until the start of their university studies, ensuring access to the best universities in the world.</t>
        </is>
      </c>
      <c r="Z619" s="1" t="inlineStr">
        <is>
          <t>https://drive.google.com/uc?export=view&amp;id=1ojkGYtbsHwKUPyST4-O9rlL6-NgEPd3L</t>
        </is>
      </c>
      <c r="AA619" s="1" t="inlineStr">
        <is>
          <t>Unverified</t>
        </is>
      </c>
      <c r="AB619" s="1" t="n"/>
      <c r="AC619" s="1" t="n"/>
      <c r="AD619" s="10" t="n"/>
      <c r="AE619" s="1" t="n"/>
      <c r="AF619" s="1" t="inlineStr">
        <is>
          <t>Yes</t>
        </is>
      </c>
      <c r="AG619" s="1" t="inlineStr">
        <is>
          <t>https://www.instagram.com/mae.sports/</t>
        </is>
      </c>
      <c r="AH619" s="1" t="inlineStr">
        <is>
          <t>https://es.linkedin.com/company/mae-sports-education</t>
        </is>
      </c>
      <c r="AI619" t="inlineStr">
        <is>
          <t>https://es.linkedin.com/company/mae-sports-education</t>
        </is>
      </c>
    </row>
    <row r="620" ht="12.5" customHeight="1">
      <c r="A620" s="6" t="n">
        <v>45190</v>
      </c>
      <c r="B620" s="1" t="inlineStr">
        <is>
          <t>ORG_2046</t>
        </is>
      </c>
      <c r="C620" s="1" t="b">
        <v>1</v>
      </c>
      <c r="D620" s="1" t="inlineStr">
        <is>
          <t>Novelingo</t>
        </is>
      </c>
      <c r="E620" s="10" t="inlineStr">
        <is>
          <t>https://www.novelingo.com/</t>
        </is>
      </c>
      <c r="F620" t="inlineStr">
        <is>
          <t>novelingo.com</t>
        </is>
      </c>
      <c r="G620" s="1" t="inlineStr">
        <is>
          <t>Gamified training apps for companies and administrations to raise awareness among their workers and citizens about matters of interest (cybersecurity, gender equality, good use of social networks among minors...) or to promote tourism and culture in their municipality.</t>
        </is>
      </c>
      <c r="H620" s="1" t="inlineStr">
        <is>
          <t>I'm not part of any EdTech association</t>
        </is>
      </c>
      <c r="I620" s="1" t="inlineStr">
        <is>
          <t>Spanish, English</t>
        </is>
      </c>
      <c r="J620" s="1" t="inlineStr">
        <is>
          <t>Malaga</t>
        </is>
      </c>
      <c r="K620" t="inlineStr">
        <is>
          <t>Malaga</t>
        </is>
      </c>
      <c r="L620" t="inlineStr">
        <is>
          <t>Malaga, Spain</t>
        </is>
      </c>
      <c r="M620" t="n">
        <v>36.7647913</v>
      </c>
      <c r="N620" t="n">
        <v>-4.4422005</v>
      </c>
      <c r="O620" s="1" t="inlineStr">
        <is>
          <t>Spain</t>
        </is>
      </c>
      <c r="P620" s="1" t="inlineStr">
        <is>
          <t>Spain</t>
        </is>
      </c>
      <c r="Q620" s="1" t="inlineStr">
        <is>
          <t>3 to 5</t>
        </is>
      </c>
      <c r="R620" t="inlineStr">
        <is>
          <t>Micro</t>
        </is>
      </c>
      <c r="S620" s="1" t="inlineStr">
        <is>
          <t>Business to Business, Business to Schools, Business to Government</t>
        </is>
      </c>
      <c r="T620" s="1" t="inlineStr">
        <is>
          <t>Primary Education, Secondary Education, Corporate Training</t>
        </is>
      </c>
      <c r="U620" s="1" t="inlineStr">
        <is>
          <t>System/Administrative, Student interfacing</t>
        </is>
      </c>
      <c r="V620" s="1" t="inlineStr">
        <is>
          <t>E-Learning</t>
        </is>
      </c>
      <c r="W620" s="10" t="inlineStr">
        <is>
          <t>https://drive.google.com/uc?export=view&amp;id=1fwe-91vK9KC-CkHvXb3vGD0469byOpsc</t>
        </is>
      </c>
      <c r="X620" s="10" t="inlineStr">
        <is>
          <t>Videogames</t>
        </is>
      </c>
      <c r="Y620" t="inlineStr">
        <is>
          <t>Gamified training apps for companies and administrations to raise awareness among their workers and citizens about matters of interest (cybersecurity, gender equality, good use of social networks among minors...) or to promote tourism and culture in their municipality.</t>
        </is>
      </c>
      <c r="Z620" s="1" t="inlineStr">
        <is>
          <t>https://drive.google.com/uc?export=view&amp;id=1fwe-91vK9KC-CkHvXb3vGD0469byOpsc</t>
        </is>
      </c>
      <c r="AA620" s="1" t="inlineStr">
        <is>
          <t>Unverified</t>
        </is>
      </c>
      <c r="AB620" s="1" t="n"/>
      <c r="AC620" s="1" t="n"/>
      <c r="AD620" s="10" t="n"/>
      <c r="AE620" s="1" t="n"/>
      <c r="AF620" s="1" t="inlineStr">
        <is>
          <t>Yes</t>
        </is>
      </c>
      <c r="AG620" s="1" t="inlineStr">
        <is>
          <t>https://twitter.com/novelingo</t>
        </is>
      </c>
      <c r="AH620" s="1" t="inlineStr">
        <is>
          <t>https://twitter.com/novelingo</t>
        </is>
      </c>
      <c r="AI620" t="inlineStr">
        <is>
          <t>https://www.linkedin.com/company/novelingo</t>
        </is>
      </c>
    </row>
    <row r="621" ht="12.5" customHeight="1">
      <c r="A621" s="6" t="n">
        <v>45190</v>
      </c>
      <c r="B621" s="1" t="inlineStr">
        <is>
          <t>ORG_1414</t>
        </is>
      </c>
      <c r="C621" s="1" t="b">
        <v>1</v>
      </c>
      <c r="D621" s="1" t="inlineStr">
        <is>
          <t>Edpuzzle</t>
        </is>
      </c>
      <c r="E621" s="10" t="inlineStr">
        <is>
          <t>www.edpuzzle.com</t>
        </is>
      </c>
      <c r="F621" t="inlineStr">
        <is>
          <t>edpuzzle.com</t>
        </is>
      </c>
      <c r="G621" s="1" t="inlineStr">
        <is>
          <t>Edpuzzle is an easy-to-use platform that empowers teachers to create engaging learning experiences by making any video an interactive lesson. Founded in 2013, today Edpuzzle hosts over 30 million video lessons and is used by schools in 190 countries.
Teachers love Edpuzzle's intuitive editing tools and real-time student analytics. School groups and districts rely on Edpuzzle to streamline their use of video and to support teachers by allowing them to collaborate and share content in a safe and secure way.
With Edpuzzle, educators can…
- Reinforce accountability. Check if students are watching videos, how many times they're watching each section, and if they're understanding the content.
- Engage students. Get students excited about learning with interactive video lessons. It's easy to add your own voice narration and questions!
- Save time. Browse teacher-created content to find a ready-to-go video lesson, or use Edpuzzle’s screen recording tool to create your own.
- Share videos in a safe space with a privacy &amp; security policy you can trust. We are fully compliant with FERPA, COPPA and GDPR laws.
A key part of the modern classroom, Edpuzzle is perfect for flipped learning, self-paced learning, hybrid or blended learning, and more. To learn more, visit edpuzzle.com.</t>
        </is>
      </c>
      <c r="H621" s="1" t="inlineStr">
        <is>
          <t>EduTech Cluster Spain</t>
        </is>
      </c>
      <c r="I621" s="1" t="inlineStr">
        <is>
          <t>English, Spanish, Italian, Portuguese, Romanian, Catalan, Bahasa, Indonesian, Malay</t>
        </is>
      </c>
      <c r="J621" s="1" t="inlineStr">
        <is>
          <t>Barcelona</t>
        </is>
      </c>
      <c r="K621" t="inlineStr">
        <is>
          <t>Barcelona</t>
        </is>
      </c>
      <c r="L621" t="inlineStr">
        <is>
          <t>Barcelona, Spain</t>
        </is>
      </c>
      <c r="M621" t="n">
        <v>41.3825802</v>
      </c>
      <c r="N621" t="n">
        <v>2.177073</v>
      </c>
      <c r="O621" s="1" t="inlineStr">
        <is>
          <t>Spain</t>
        </is>
      </c>
      <c r="P621"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621" s="1" t="inlineStr">
        <is>
          <t>101 to 500</t>
        </is>
      </c>
      <c r="R621" t="inlineStr">
        <is>
          <t>Medium or Large (unspecified)</t>
        </is>
      </c>
      <c r="S621" s="1" t="inlineStr">
        <is>
          <t>Business to Business, Business to Schools</t>
        </is>
      </c>
      <c r="T621" s="1" t="inlineStr">
        <is>
          <t>Primary Education, Secondary Education, Corporate Training, Lifelong learning/Adult education, Vocational Education and Training (VET), Higher Education</t>
        </is>
      </c>
      <c r="U621" s="1" t="inlineStr">
        <is>
          <t>Student interfacing, Teacher interfacing, System/Administrative</t>
        </is>
      </c>
      <c r="V621" s="10" t="inlineStr">
        <is>
          <t>Edpuzzle</t>
        </is>
      </c>
      <c r="W621" s="10" t="inlineStr">
        <is>
          <t>Edpuzzle is an easy-to-use platform that empowers teachers to create engaging learning experiences by making any video an interactive lesson. 
Founded in 2013, today Edpuzzle hosts over 30 million video lessons and is used by over 2.5 million teachers in schools across 190 countries. With easy-to-use video editing tools and hassle-free analytics, teachers can turn any video into an engaging and effective lesson and check for understanding in real-time. School groups rely on Edpuzzle to streamline their use of video, and to support teachers by allowing them to collaborate and share content in a safe and secure way. 
A key part of the modern classroom, Edpuzzle is perfect for flipped learning, self-paced learning, hybrid or blended learning, and more. To learn more, visit edpuzzle.com</t>
        </is>
      </c>
      <c r="X621" s="10" t="n"/>
      <c r="Z621" s="1" t="n"/>
      <c r="AA621" s="1" t="inlineStr">
        <is>
          <t>Unverified</t>
        </is>
      </c>
      <c r="AB621" s="1" t="n"/>
      <c r="AC621" s="1" t="n"/>
      <c r="AD621" s="1" t="n"/>
      <c r="AE621" s="1" t="n"/>
      <c r="AF621" t="inlineStr">
        <is>
          <t>Yes</t>
        </is>
      </c>
      <c r="AG621" t="inlineStr">
        <is>
          <t>https://www.instagram.com/edpuzzle/</t>
        </is>
      </c>
      <c r="AH621" t="inlineStr">
        <is>
          <t>https://twitter.com/edpuzzle</t>
        </is>
      </c>
      <c r="AI621" t="inlineStr">
        <is>
          <t>https://www.linkedin.com/company/edpuzzle-inc-</t>
        </is>
      </c>
    </row>
    <row r="622" ht="12.5" customHeight="1">
      <c r="A622" s="6" t="n">
        <v>45190</v>
      </c>
      <c r="B622" s="1" t="inlineStr">
        <is>
          <t>ORG_2217</t>
        </is>
      </c>
      <c r="C622" s="1" t="b">
        <v>1</v>
      </c>
      <c r="D622" s="1" t="inlineStr">
        <is>
          <t>SCIADO PARTENAIRES</t>
        </is>
      </c>
      <c r="E622" s="10" t="inlineStr">
        <is>
          <t>https://sciado.fr/dynamic-learning-solutions/</t>
        </is>
      </c>
      <c r="F622" t="inlineStr">
        <is>
          <t>sciado.fr/dynamic-learning-solutions</t>
        </is>
      </c>
      <c r="G622" s="1" t="inlineStr">
        <is>
          <t>SCIADO is a French training company and a creator of innovative educational simulators. We promote digital learning for initial education and life-learning training, face-to-face or remotely. Our main objective is to participate in the digital transformation of the educational system by challenging and engaging learners during their training. We promote experiential learning by encouraging the application of knowledge. Thus, our simulators reproduce the system of a company, so that learners may develop professional instincts. They will acquire a realistic vision of the working world, all in a secure and virtual environment.
The advantages of using a simulator are many: it can be adapted to the rhythm and level of learners; it has many scenarios and possibilities of animation and allows a progressive evolution while gaining managerial and entrepreneurial skills. More than a training center, SCIADO is a creator of educational experiences, that aims to revolution the way of learning.</t>
        </is>
      </c>
      <c r="H622" s="1" t="inlineStr">
        <is>
          <t>EdTech France</t>
        </is>
      </c>
      <c r="I622" s="1" t="inlineStr">
        <is>
          <t>English, French</t>
        </is>
      </c>
      <c r="J622" s="1" t="inlineStr">
        <is>
          <t>Villeurbanne</t>
        </is>
      </c>
      <c r="K622" t="inlineStr">
        <is>
          <t>Villeurbanne</t>
        </is>
      </c>
      <c r="L622" t="inlineStr">
        <is>
          <t>Villeurbanne, France</t>
        </is>
      </c>
      <c r="M622" t="n">
        <v>45.7660581</v>
      </c>
      <c r="N622" t="n">
        <v>4.8796267</v>
      </c>
      <c r="O622" s="1" t="inlineStr">
        <is>
          <t>France</t>
        </is>
      </c>
      <c r="P622" s="1" t="inlineStr">
        <is>
          <t>France</t>
        </is>
      </c>
      <c r="Q622" s="1" t="inlineStr">
        <is>
          <t>11 to 50</t>
        </is>
      </c>
      <c r="R622" t="inlineStr">
        <is>
          <t>Small</t>
        </is>
      </c>
      <c r="S622" s="1" t="inlineStr">
        <is>
          <t>Business to Consumer</t>
        </is>
      </c>
      <c r="T622" s="1" t="inlineStr">
        <is>
          <t>Corporate Training, Lifelong learning/Adult education, Vocational Education and Training (VET), Higher Education</t>
        </is>
      </c>
      <c r="U622" s="1" t="inlineStr">
        <is>
          <t>Student interfacing, Teacher interfacing, System/Administrative</t>
        </is>
      </c>
      <c r="V622" s="10" t="inlineStr">
        <is>
          <t>Business Games &amp; Simulators</t>
        </is>
      </c>
      <c r="W622" s="10" t="inlineStr">
        <is>
          <t>We develop pedagogical simulators that virtually place learners in a fictive company, where they occupy a central position (such as project manager, marketing manager etc.). Their objective is to grow their business through decision making and hiring, all while analyzing KPIs and market developments. The simulator, also known as a Business Game or Serious Game, allows them to put into practice their knowledge and gain managerial skills in a secure and virtual environment.</t>
        </is>
      </c>
      <c r="X622" s="10" t="inlineStr">
        <is>
          <t>Educational Engineering</t>
        </is>
      </c>
      <c r="Y622" t="inlineStr">
        <is>
          <t>Our experts build simulators, scenarios and pedagogical supports (presentations, videos, podcast) and adapt the learning path. Thus, depending on the learners' levels and needs, we are able to have a tailor-made approach. Our expertise can go further, so we can create new simulators that represent business situations in order to have a personalized training offer. We combine educational quality and learner engagement to develop the new generation of tomorrow's professionals.</t>
        </is>
      </c>
      <c r="Z622" s="1" t="inlineStr">
        <is>
          <t>https://drive.google.com/uc?export=view&amp;id=1Sb0BOCYGyjexIsrhcug4FVFrNFZEH6dH</t>
        </is>
      </c>
      <c r="AA622" s="1" t="inlineStr">
        <is>
          <t>Unverified</t>
        </is>
      </c>
      <c r="AB622" s="1" t="n"/>
      <c r="AC622" s="1" t="n"/>
      <c r="AD622" s="10" t="n"/>
      <c r="AE622" s="1" t="n"/>
      <c r="AF622" t="inlineStr">
        <is>
          <t>Yes</t>
        </is>
      </c>
      <c r="AG622" t="inlineStr">
        <is>
          <t>https://www.instagram.com/sciadop/</t>
        </is>
      </c>
      <c r="AH622" t="inlineStr">
        <is>
          <t>https://twitter.com/SciadoP</t>
        </is>
      </c>
      <c r="AI622" t="inlineStr">
        <is>
          <t>https://www.linkedin.com/company/22344441/admin/</t>
        </is>
      </c>
    </row>
    <row r="623" ht="12.5" customHeight="1">
      <c r="A623" s="6" t="n">
        <v>45190</v>
      </c>
      <c r="B623" s="1" t="inlineStr">
        <is>
          <t>ORG_1147</t>
        </is>
      </c>
      <c r="C623" s="1" t="b">
        <v>1</v>
      </c>
      <c r="D623" s="1" t="inlineStr">
        <is>
          <t>Beegup</t>
        </is>
      </c>
      <c r="E623" s="10" t="inlineStr">
        <is>
          <t>https://www.beegup.com/</t>
        </is>
      </c>
      <c r="F623" t="inlineStr">
        <is>
          <t>beegup.com</t>
        </is>
      </c>
      <c r="G623" s="1" t="inlineStr">
        <is>
          <t>Beegup is A digital educational resource to speak foreign languages with pen pals, supported by the French Ministry of Education. 
- For teachers: a digital assistant to stimulate students' independent oral practice, an international community of teachers to create pen pals classes and have students work with native speakers all year round.
- For students (14 to18 y/o): a virtual mobility solution to speak with pen pals, improve oral expression and comprehension and open up to other cultures, in a secure environment.
Our commitment is to participate in equal opportunities by offering all European high school students and their language teachers access to a virtual mobility resource.</t>
        </is>
      </c>
      <c r="H623" s="1" t="inlineStr">
        <is>
          <t>AFINEF, EdTech France</t>
        </is>
      </c>
      <c r="I623" s="1" t="inlineStr">
        <is>
          <t>French, German, English, Spanish</t>
        </is>
      </c>
      <c r="J623" s="1" t="inlineStr">
        <is>
          <t>Boulogne Billancourt</t>
        </is>
      </c>
      <c r="K623" t="inlineStr">
        <is>
          <t>Boulogne Billancourt</t>
        </is>
      </c>
      <c r="L623" t="inlineStr">
        <is>
          <t>Boulogne Billancourt, France</t>
        </is>
      </c>
      <c r="M623" t="n">
        <v>48.8356649</v>
      </c>
      <c r="N623" t="n">
        <v>2.240206</v>
      </c>
      <c r="O623" s="1" t="inlineStr">
        <is>
          <t>France</t>
        </is>
      </c>
      <c r="P623" s="1" t="inlineStr">
        <is>
          <t>Austria, Belgium, France, Germany, Ireland, Malta, Spain, United Kingdom</t>
        </is>
      </c>
      <c r="Q623" s="1" t="inlineStr">
        <is>
          <t>3 to 5</t>
        </is>
      </c>
      <c r="R623" t="inlineStr">
        <is>
          <t>Micro</t>
        </is>
      </c>
      <c r="S623" s="1" t="inlineStr">
        <is>
          <t>Business to Business</t>
        </is>
      </c>
      <c r="T623" s="1" t="inlineStr">
        <is>
          <t>Secondary Education</t>
        </is>
      </c>
      <c r="U623" s="1" t="inlineStr">
        <is>
          <t>System/Administrative, Teacher interfacing</t>
        </is>
      </c>
      <c r="V623" s="10" t="inlineStr">
        <is>
          <t>Beegup</t>
        </is>
      </c>
      <c r="W623" s="1" t="inlineStr">
        <is>
          <t>THE PEN PALS SECURE NETWORK FOR SPEAKING FOREIGN LANGUAGES AND IMPROVING ORAL SKILLS. How to improve your oral skills ? Just by speaking.
Beegup puts students in a pressure-free discussion setting with pen pals of the same age who share similar interests, to enjoy speaking in another language and progressing.
Available on all devices in 4 languages, French, German, English and Spanish. For secondary high schools (14 to 18 y/o).
Beegup offers 4 main features:
- An international press review: a news feed of native, neutral and reliable video articles (AFP - French Press Agency)
- Secure Conversation Tools : instant messaging, audio and video
- CEFR-certified adaptative placement tests: progress monitoring and self-assessment on demand
- A workspace: in 1 click, teachers create their virtual classes &amp; their pen pals' classes and propose propose language activities</t>
        </is>
      </c>
      <c r="X623" s="10" t="inlineStr">
        <is>
          <t>https://drive.google.com/uc?export=view&amp;id=1OW2Y8oU09F4R2YkCzqXBauMNCWu4mX6a</t>
        </is>
      </c>
      <c r="Y623" t="inlineStr">
        <is>
          <t>https://drive.google.com/uc?export=view&amp;id=1OW2Y8oU09F4R2YkCzqXBauMNCWu4mX6a</t>
        </is>
      </c>
      <c r="Z623" s="1" t="inlineStr">
        <is>
          <t>https://drive.google.com/uc?export=view&amp;id=1OW2Y8oU09F4R2YkCzqXBauMNCWu4mX6a</t>
        </is>
      </c>
      <c r="AA623" s="1" t="inlineStr">
        <is>
          <t>Unverified</t>
        </is>
      </c>
      <c r="AB623" s="1" t="n"/>
      <c r="AC623" s="1" t="n"/>
      <c r="AD623" s="10" t="n"/>
      <c r="AE623" s="1" t="n"/>
      <c r="AF623" t="inlineStr">
        <is>
          <t>Yes</t>
        </is>
      </c>
      <c r="AG623" t="inlineStr">
        <is>
          <t>https://instagram.com/beegupeducation?igshid=MzRlODBiNWFlZA==</t>
        </is>
      </c>
      <c r="AH623" t="inlineStr">
        <is>
          <t>https://www.linkedin.com/company/beegup/</t>
        </is>
      </c>
      <c r="AI623" t="inlineStr">
        <is>
          <t>https://www.linkedin.com/company/beegup/</t>
        </is>
      </c>
    </row>
    <row r="624" ht="12.5" customHeight="1">
      <c r="A624" s="6" t="n">
        <v>45190</v>
      </c>
      <c r="B624" s="1" t="inlineStr">
        <is>
          <t>ORG_1725</t>
        </is>
      </c>
      <c r="C624" s="1" t="b">
        <v>1</v>
      </c>
      <c r="D624" s="1" t="inlineStr">
        <is>
          <t>Innovamat Education</t>
        </is>
      </c>
      <c r="E624" s="10" t="inlineStr">
        <is>
          <t>https://discover.innovamat.com/</t>
        </is>
      </c>
      <c r="F624" t="inlineStr">
        <is>
          <t>discover.innovamat.com</t>
        </is>
      </c>
      <c r="G624" s="1" t="inlineStr">
        <is>
          <t>Innovamat aims to be a global institution in math education. We strive to bring the best math practices everywhere and for everyone. Over 2,100 schools, 430,000 students, and 18,000 teachers already work with us. Since our foundation in 2017, we have opened operations in Spain, Mexico, Italy, Chile, Ecuador, Colombia, Brazil, Peru, and in the United States.
Innovamat has developed a research-based, fully-resourced curriculum program. With Innovamat, kids from 3 to 16 years old learn math through manipulative materials and highly dynamic lessons focused on problem-solving, communication skills, and critical thinking. We provide a shift in traditional instruction and learning.</t>
        </is>
      </c>
      <c r="H624" s="1" t="inlineStr">
        <is>
          <t>EduTech Cluster Spain</t>
        </is>
      </c>
      <c r="I624" s="1" t="inlineStr">
        <is>
          <t>English, Spanish, Italian, Catalan, Basque</t>
        </is>
      </c>
      <c r="J624" s="1" t="inlineStr">
        <is>
          <t>Sant Cugat</t>
        </is>
      </c>
      <c r="K624" t="inlineStr">
        <is>
          <t>Sant Cugat</t>
        </is>
      </c>
      <c r="L624" t="inlineStr">
        <is>
          <t>Sant Cugat, Spain</t>
        </is>
      </c>
      <c r="M624" t="n">
        <v>41.4707933</v>
      </c>
      <c r="N624" t="n">
        <v>2.0848815</v>
      </c>
      <c r="O624" s="1" t="inlineStr">
        <is>
          <t>Spain</t>
        </is>
      </c>
      <c r="P624" s="1" t="inlineStr">
        <is>
          <t>Italy, Spain</t>
        </is>
      </c>
      <c r="Q624" s="1" t="inlineStr">
        <is>
          <t>101 to 500</t>
        </is>
      </c>
      <c r="R624" t="inlineStr">
        <is>
          <t>Medium or Large (unspecified)</t>
        </is>
      </c>
      <c r="S624" s="1" t="inlineStr">
        <is>
          <t>Business to Business, Business to Consumer, Business to Government, Business to Schools</t>
        </is>
      </c>
      <c r="T624" s="1" t="inlineStr">
        <is>
          <t>Early childhood development (0-5 years), Primary Education, Secondary Education</t>
        </is>
      </c>
      <c r="U624" s="1" t="inlineStr">
        <is>
          <t>Student interfacing, Teacher interfacing</t>
        </is>
      </c>
      <c r="V624" s="10" t="inlineStr">
        <is>
          <t>Innovamat</t>
        </is>
      </c>
      <c r="W624" s="10" t="inlineStr">
        <is>
          <t>Innovamat is a K-12, didactic proposal for teaching and learning math. Our material has been conceived and developed by a huge group of experts in pedagogy, engineering, design and, of course, the didactics of mathematics (NCTM, OCDE, Nrich &amp; PISA).
We have built an easy-to-use &amp; evidence-based product that is aligned with the latest research on education (NCTM, OCDE, Nrich &amp; PISA). On top of that, we use a gamified, self-adaptive platform for students to practice that provides weekly reports on the student’s progress, making inclusion and individualization of learning a cornerstone of ours.</t>
        </is>
      </c>
      <c r="X624" s="10" t="inlineStr">
        <is>
          <t>Bmath</t>
        </is>
      </c>
      <c r="Y624" t="inlineStr">
        <is>
          <t>Bmath is an app for K-6 students to practice math at home with gamification and personalized learning.</t>
        </is>
      </c>
      <c r="Z624" s="1" t="inlineStr">
        <is>
          <t>https://drive.google.com/uc?export=view&amp;id=1mK3f17BYc7PeRzkU_do1YmDskzzM95sS</t>
        </is>
      </c>
      <c r="AA624" s="1" t="inlineStr">
        <is>
          <t>Unverified</t>
        </is>
      </c>
      <c r="AB624" s="1" t="n"/>
      <c r="AC624" s="1" t="n"/>
      <c r="AD624" s="10" t="n"/>
      <c r="AE624" s="1" t="n"/>
      <c r="AF624" t="inlineStr">
        <is>
          <t>Yes</t>
        </is>
      </c>
      <c r="AG624" t="inlineStr">
        <is>
          <t>https://www.instagram.com/innovamat_es/?hl=en</t>
        </is>
      </c>
      <c r="AH624" t="inlineStr">
        <is>
          <t>https://twitter.com/innovamat_es?lang=en</t>
        </is>
      </c>
      <c r="AI624" t="inlineStr">
        <is>
          <t>https://www.linkedin.com/company/innovamat-education/</t>
        </is>
      </c>
    </row>
    <row r="625" ht="12.5" customHeight="1">
      <c r="A625" s="6" t="n">
        <v>45189</v>
      </c>
      <c r="B625" s="1" t="inlineStr">
        <is>
          <t>ORG_1663</t>
        </is>
      </c>
      <c r="C625" s="1" t="b">
        <v>1</v>
      </c>
      <c r="D625" s="1" t="inlineStr">
        <is>
          <t>Happiness Play</t>
        </is>
      </c>
      <c r="E625" s="10" t="inlineStr">
        <is>
          <t>https://www.happinessplay.com</t>
        </is>
      </c>
      <c r="F625" t="inlineStr">
        <is>
          <t>happinessplay.com</t>
        </is>
      </c>
      <c r="G625" s="1" t="inlineStr">
        <is>
          <t>Happiness Play is a pioneering platform in the integration of methodologies to improve personal and professional happiness. With our state-of-the-art technology, we support individuals and organizations in achieving their wellbeing goals through personalized happiness strategies. Our unique approach merges technology and psychology, making happiness management more accessible, measurable, and actionable. Our mission is to transform lives by helping users discover, understand, and improve their happiness levels with scientifically-backed tools and insights.</t>
        </is>
      </c>
      <c r="H625" s="1" t="inlineStr">
        <is>
          <t>EduTech Cluster Spain</t>
        </is>
      </c>
      <c r="I625" s="1" t="inlineStr">
        <is>
          <t>Spanish, English</t>
        </is>
      </c>
      <c r="J625" s="1" t="inlineStr">
        <is>
          <t>Fuengirola, Málaga Cp</t>
        </is>
      </c>
      <c r="K625" t="inlineStr">
        <is>
          <t>Fuengirola</t>
        </is>
      </c>
      <c r="L625" t="inlineStr">
        <is>
          <t>Fuengirola, Spain</t>
        </is>
      </c>
      <c r="M625" t="n">
        <v>36.5388398</v>
      </c>
      <c r="N625" t="n">
        <v>-4.6233974</v>
      </c>
      <c r="O625" s="1" t="inlineStr">
        <is>
          <t>Spain</t>
        </is>
      </c>
      <c r="P625" s="1" t="inlineStr">
        <is>
          <t>Spain</t>
        </is>
      </c>
      <c r="Q625" s="1" t="inlineStr">
        <is>
          <t>0 to 2</t>
        </is>
      </c>
      <c r="R625" t="inlineStr">
        <is>
          <t>Solo entrepreneur</t>
        </is>
      </c>
      <c r="S625" s="1" t="inlineStr">
        <is>
          <t>Business to Business, Business to Schools, Business to Government</t>
        </is>
      </c>
      <c r="T625" s="1" t="inlineStr">
        <is>
          <t>Corporate Training, Lifelong learning/Adult education, Vocational Education and Training (VET), Higher Education</t>
        </is>
      </c>
      <c r="U625" s="1" t="inlineStr">
        <is>
          <t>Student interfacing, Teacher interfacing, System/Administrative</t>
        </is>
      </c>
      <c r="V625" s="10" t="inlineStr">
        <is>
          <t>HappinessPlay for Individuals (B2C)</t>
        </is>
      </c>
      <c r="W625" s="10" t="inlineStr">
        <is>
          <t>A cutting-edge digital tool designed to evaluate personal happiness and create actionable plans for improvement. Tailored for individuals, it uses a unique methodology to guide users towards achieving desired levels of contentment in various life aspects, ultimately supporting mental and emotional well-being.</t>
        </is>
      </c>
      <c r="X625" s="10" t="inlineStr">
        <is>
          <t>HappinessPlay Pro for Organizations and Governments (B2B/B2G)</t>
        </is>
      </c>
      <c r="Y625" t="inlineStr">
        <is>
          <t>A comprehensive platform allowing organizations, both private and governmental, to gauge employee or citizen happiness and devise effective strategies for its enhancement. Beyond simple metrics, it provides in-depth analysis, facilitating the creation of informed policies and practices to uplift satisfaction levels across the board.</t>
        </is>
      </c>
      <c r="Z625" s="1" t="inlineStr">
        <is>
          <t>https://drive.google.com/uc?export=view&amp;id=1rl_tBauPeclAN9Phi_XPiRRuu5w5VZUR</t>
        </is>
      </c>
      <c r="AA625" s="1" t="inlineStr">
        <is>
          <t>Unverified</t>
        </is>
      </c>
      <c r="AB625" s="1" t="n"/>
      <c r="AC625" s="1" t="n"/>
      <c r="AD625" s="10" t="n"/>
      <c r="AE625" s="1" t="n"/>
      <c r="AF625" t="inlineStr">
        <is>
          <t>Yes</t>
        </is>
      </c>
      <c r="AG625" t="inlineStr">
        <is>
          <t>https://www.instagram.com/Happiness_Play/</t>
        </is>
      </c>
      <c r="AH625" t="inlineStr">
        <is>
          <t>https://twitter.com/autocoaching</t>
        </is>
      </c>
      <c r="AI625" t="inlineStr">
        <is>
          <t>http://www.linkedin.com/company/autocoaching</t>
        </is>
      </c>
    </row>
    <row r="626" ht="12.5" customHeight="1">
      <c r="A626" s="6" t="n">
        <v>45189</v>
      </c>
      <c r="B626" s="1" t="inlineStr">
        <is>
          <t>ORG_1471</t>
        </is>
      </c>
      <c r="C626" s="1" t="b">
        <v>1</v>
      </c>
      <c r="D626" s="1" t="inlineStr">
        <is>
          <t>Eedi</t>
        </is>
      </c>
      <c r="E626" s="10" t="inlineStr">
        <is>
          <t>https://eedi.com</t>
        </is>
      </c>
      <c r="F626" t="inlineStr">
        <is>
          <t>eedi.com</t>
        </is>
      </c>
      <c r="G626" s="1" t="inlineStr">
        <is>
          <t>Built on an award-winning, two-billion strong misconception dataset, Eedi can predict, identify and provide just-in-time support to remedy 90% of maths misconceptions and can support educators to teach or reteach the last 10%.</t>
        </is>
      </c>
      <c r="H626" s="1" t="inlineStr">
        <is>
          <t>I'm not part of any EdTech association</t>
        </is>
      </c>
      <c r="I626" s="1" t="inlineStr">
        <is>
          <t>English</t>
        </is>
      </c>
      <c r="J626" s="1" t="inlineStr">
        <is>
          <t>London</t>
        </is>
      </c>
      <c r="K626" t="inlineStr">
        <is>
          <t>London</t>
        </is>
      </c>
      <c r="L626" t="inlineStr">
        <is>
          <t>London, United Kingdom</t>
        </is>
      </c>
      <c r="M626" t="n">
        <v>51.5074456</v>
      </c>
      <c r="N626" t="n">
        <v>-0.1277653</v>
      </c>
      <c r="O626" s="1" t="inlineStr">
        <is>
          <t>United Kingdom</t>
        </is>
      </c>
      <c r="P626" s="1" t="inlineStr">
        <is>
          <t>Denmark, France, Ireland, Italy, Netherlands, Portugal, Spain, Sweden, Switzerland, United Kingdom</t>
        </is>
      </c>
      <c r="Q626" s="1" t="inlineStr">
        <is>
          <t>11 to 50</t>
        </is>
      </c>
      <c r="R626" t="inlineStr">
        <is>
          <t>Small</t>
        </is>
      </c>
      <c r="S626" s="1" t="inlineStr">
        <is>
          <t>Business to Business, Business to Consumer, Business to Schools</t>
        </is>
      </c>
      <c r="T626" s="1" t="inlineStr">
        <is>
          <t>Primary Education, Secondary Education</t>
        </is>
      </c>
      <c r="U626" s="1" t="inlineStr">
        <is>
          <t>Teacher interfacing</t>
        </is>
      </c>
      <c r="V626" s="1" t="inlineStr">
        <is>
          <t>Eedi</t>
        </is>
      </c>
      <c r="W626" s="10" t="inlineStr">
        <is>
          <t>Eedi identifies and resolves over 90% of students’ misconceptions using best-in-class pedagogy and fully-qualified tutors.</t>
        </is>
      </c>
      <c r="X626" s="10" t="inlineStr">
        <is>
          <t>https://drive.google.com/uc?export=view&amp;id=1sfchL9URJosLfHDrANZvCUD_IiEeRVby</t>
        </is>
      </c>
      <c r="Y626" t="inlineStr">
        <is>
          <t>https://drive.google.com/uc?export=view&amp;id=1sfchL9URJosLfHDrANZvCUD_IiEeRVby</t>
        </is>
      </c>
      <c r="Z626" s="1" t="inlineStr">
        <is>
          <t>https://drive.google.com/uc?export=view&amp;id=1sfchL9URJosLfHDrANZvCUD_IiEeRVby</t>
        </is>
      </c>
      <c r="AA626" s="1" t="inlineStr">
        <is>
          <t>Unverified</t>
        </is>
      </c>
      <c r="AB626" s="1" t="n"/>
      <c r="AC626" s="1" t="n"/>
      <c r="AD626" s="10" t="n"/>
      <c r="AE626" s="1" t="n"/>
      <c r="AF626" s="1" t="inlineStr">
        <is>
          <t>Yes</t>
        </is>
      </c>
      <c r="AG626" s="1" t="inlineStr">
        <is>
          <t>https://twitter.com/helloeedi</t>
        </is>
      </c>
      <c r="AH626" s="1" t="inlineStr">
        <is>
          <t>https://twitter.com/helloeedi</t>
        </is>
      </c>
      <c r="AI626" t="inlineStr">
        <is>
          <t>https://uk.linkedin.com/company/eedi</t>
        </is>
      </c>
    </row>
    <row r="627" ht="12.5" customHeight="1">
      <c r="A627" s="6" t="n">
        <v>45189</v>
      </c>
      <c r="B627" s="1" t="inlineStr">
        <is>
          <t>ORG_1144</t>
        </is>
      </c>
      <c r="C627" s="1" t="b">
        <v>1</v>
      </c>
      <c r="D627" s="1" t="inlineStr">
        <is>
          <t>Beebio</t>
        </is>
      </c>
      <c r="E627" s="10" t="inlineStr">
        <is>
          <t>www.beebio.net</t>
        </is>
      </c>
      <c r="F627" t="inlineStr">
        <is>
          <t>beebio.net</t>
        </is>
      </c>
      <c r="G627" s="1" t="inlineStr">
        <is>
          <t>Join Us in Building a Sustainable Future! 🌱
We are on a mission to promote sustainability, embrace circular economy principles, and champion biodiversity conservation. But what sets us apart is our cutting-edge hybrid online platform, a powerful tool that monitors real-life biosystems, offers online engaging content, and onsite actions in real-time.</t>
        </is>
      </c>
      <c r="H627" s="1" t="inlineStr">
        <is>
          <t>I'm not part of any EdTech association</t>
        </is>
      </c>
      <c r="I627" s="1" t="inlineStr">
        <is>
          <t>English, Spanish, French, German, Catalan</t>
        </is>
      </c>
      <c r="J627" s="1" t="inlineStr">
        <is>
          <t>Sitges</t>
        </is>
      </c>
      <c r="K627" t="inlineStr">
        <is>
          <t>Sitges</t>
        </is>
      </c>
      <c r="L627" t="inlineStr">
        <is>
          <t>Sitges, Spain</t>
        </is>
      </c>
      <c r="M627" t="n">
        <v>41.2353596</v>
      </c>
      <c r="N627" t="n">
        <v>1.8114102</v>
      </c>
      <c r="O627" s="1" t="inlineStr">
        <is>
          <t>Spain</t>
        </is>
      </c>
      <c r="P627" s="1" t="inlineStr">
        <is>
          <t>Portugal, Spain</t>
        </is>
      </c>
      <c r="Q627" s="1" t="inlineStr">
        <is>
          <t>3 to 5</t>
        </is>
      </c>
      <c r="R627" t="inlineStr">
        <is>
          <t>Micro</t>
        </is>
      </c>
      <c r="S627" s="1" t="inlineStr">
        <is>
          <t>Business to Business</t>
        </is>
      </c>
      <c r="T627" s="1" t="inlineStr">
        <is>
          <t>Primary Education, Secondary Education, Corporate Training, Lifelong learning/Adult education, Vocational Education and Training (VET), Higher Education</t>
        </is>
      </c>
      <c r="U627" s="1" t="inlineStr">
        <is>
          <t>Teacher interfacing, System/Administrative, Student interfacing</t>
        </is>
      </c>
      <c r="V627" s="1" t="inlineStr">
        <is>
          <t>Beebio edtool</t>
        </is>
      </c>
      <c r="W627" s="1" t="inlineStr">
        <is>
          <t>Our innovative EdTech tool is designed to empower students, educators, and organizations with the knowledge and skills needed to understand and address environmental challenges such as sustainability, biodiversity conservation, and circular economy practices. What sets EcoLearn apart is its comprehensive approach to sustainability education, which seamlessly integrates both online learning and onsite, real-world actions.</t>
        </is>
      </c>
      <c r="X627" s="10" t="inlineStr">
        <is>
          <t>https://drive.google.com/uc?export=view&amp;id=1AzL4RFquWwq0r2QKTUhXXGkmyF8eabZq</t>
        </is>
      </c>
      <c r="Y627" t="inlineStr">
        <is>
          <t>https://drive.google.com/uc?export=view&amp;id=1AzL4RFquWwq0r2QKTUhXXGkmyF8eabZq</t>
        </is>
      </c>
      <c r="Z627" s="1" t="inlineStr">
        <is>
          <t>https://drive.google.com/uc?export=view&amp;id=1AzL4RFquWwq0r2QKTUhXXGkmyF8eabZq</t>
        </is>
      </c>
      <c r="AA627" s="1" t="inlineStr">
        <is>
          <t>Unverified</t>
        </is>
      </c>
      <c r="AB627" s="1" t="n"/>
      <c r="AC627" s="1" t="n"/>
      <c r="AD627" s="10" t="n"/>
      <c r="AE627" s="1" t="n"/>
      <c r="AF627" s="1" t="inlineStr">
        <is>
          <t>Yes</t>
        </is>
      </c>
      <c r="AG627" s="1" t="inlineStr">
        <is>
          <t>https://www.linkedin.com/company/beebioedtech</t>
        </is>
      </c>
      <c r="AH627" s="1" t="inlineStr">
        <is>
          <t>https://www.linkedin.com/company/beebioedtech</t>
        </is>
      </c>
      <c r="AI627" t="inlineStr">
        <is>
          <t>https://www.linkedin.com/company/beebioedtech</t>
        </is>
      </c>
    </row>
    <row r="628" ht="12.5" customHeight="1">
      <c r="A628" s="6" t="n">
        <v>45189</v>
      </c>
      <c r="B628" s="1" t="inlineStr">
        <is>
          <t>ORG_2546</t>
        </is>
      </c>
      <c r="C628" s="1" t="b">
        <v>1</v>
      </c>
      <c r="D628" s="1" t="inlineStr">
        <is>
          <t>Wooclap</t>
        </is>
      </c>
      <c r="E628" s="10" t="inlineStr">
        <is>
          <t>www.wooclap.com</t>
        </is>
      </c>
      <c r="F628" t="inlineStr">
        <is>
          <t>wooclap.com</t>
        </is>
      </c>
      <c r="G628" s="1" t="inlineStr">
        <is>
          <t>At Wooclap, we've developed a suite of pedagogical tools that make training and learning more effective.
- Our flagship product, Wooclap, is the simplest way to engage learners with over 20 question types and activities. It's easy to use, inclusive and provides insightful reports after each session. 
Wooclap is compatible with all training models (traditional, synchronous, asynchronous, distance, hybrid, HyFlex…) and integrates with the tools that trainers use on a daily basis (PowerPoint, Google Slides, Genially, Canvas, Microsoft Teams, Zoom, Moodle...).
- Our second tool, Wooflash, is an intelligent and collaborative microlearning tool. It enables learners to study efficiently and increases learner engagement. It creates personalized study paths paths based on learner performance, and provides simple statistical reports to track learner progress.
2M+ trainers and teachers already use our tools in leading companies and universities.</t>
        </is>
      </c>
      <c r="H628" s="1" t="inlineStr">
        <is>
          <t>EdTech France, EdTech Italia, EduTech Cluster Spain, Swiss EdTech Collider</t>
        </is>
      </c>
      <c r="I628" s="1" t="inlineStr">
        <is>
          <t>French, English, Spanish, Italian, German</t>
        </is>
      </c>
      <c r="J628" s="1" t="inlineStr">
        <is>
          <t>Brussels</t>
        </is>
      </c>
      <c r="K628" t="inlineStr">
        <is>
          <t>Brussels</t>
        </is>
      </c>
      <c r="L628" t="inlineStr">
        <is>
          <t>Brussels, Belgium</t>
        </is>
      </c>
      <c r="M628" t="n">
        <v>50.8387951</v>
      </c>
      <c r="N628" t="n">
        <v>4.3753041</v>
      </c>
      <c r="O628" s="1" t="inlineStr">
        <is>
          <t>Belgium</t>
        </is>
      </c>
      <c r="P628"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628" s="1" t="inlineStr">
        <is>
          <t>51 to 100</t>
        </is>
      </c>
      <c r="R628" t="inlineStr">
        <is>
          <t>Medium</t>
        </is>
      </c>
      <c r="S628" s="1" t="inlineStr">
        <is>
          <t>Business to Schools</t>
        </is>
      </c>
      <c r="T628" s="1" t="inlineStr">
        <is>
          <t>Secondary Education, Corporate Training, Lifelong learning/Adult education, Vocational Education and Training (VET), Higher Education</t>
        </is>
      </c>
      <c r="U628" s="1" t="inlineStr">
        <is>
          <t>Student interfacing, Teacher interfacing, System/Administrative</t>
        </is>
      </c>
      <c r="V628" s="1" t="inlineStr">
        <is>
          <t>Wooclap</t>
        </is>
      </c>
      <c r="W628" s="10" t="inlineStr">
        <is>
          <t>Wooclap is an interactive platform that empowers teachers to engage and attract students' attention. There are more than 20 question types &amp; activities to turn your audience into active students and measure their understanding. It is compatible with all teaching models and is very easy to use. It integrates with many tools that teachers and trainers use on a daily basis. After classes and training sessions, Wooclap reports give powerful insights to follow your learners' progress.</t>
        </is>
      </c>
      <c r="X628" s="10" t="inlineStr">
        <is>
          <t>Wooflash</t>
        </is>
      </c>
      <c r="Y628" t="inlineStr">
        <is>
          <t>Wooflash, is an intelligent, interactive and collaborative microlearning tool.
- It allows students to study more efficiently, anywhere and anytime.
- It increases frequency of use and student engagement in their learning.
- It is based on Steve Masson's key neuro-educational principles for better learning and teaching.
Teachers and students can create Courses from the 15+ question types available (Flashcards, Find on image, MCQ etc.). Students memorize the materials by following personalized study paths and their progress can be followed through the statistical dashboards.</t>
        </is>
      </c>
      <c r="Z628" s="1" t="inlineStr">
        <is>
          <t>https://drive.google.com/uc?export=view&amp;id=14xsZpMhFz5HIdqALWh4fin1it2tDFCHe</t>
        </is>
      </c>
      <c r="AA628" s="1" t="inlineStr">
        <is>
          <t>Unverified</t>
        </is>
      </c>
      <c r="AB628" s="1" t="n"/>
      <c r="AC628" s="1" t="n"/>
      <c r="AD628" s="10" t="n"/>
      <c r="AE628" s="1" t="n"/>
      <c r="AF628" t="inlineStr">
        <is>
          <t>Yes</t>
        </is>
      </c>
      <c r="AG628" t="inlineStr">
        <is>
          <t>Wooclap</t>
        </is>
      </c>
      <c r="AH628" t="inlineStr">
        <is>
          <t>https://twitter.com/wooclap</t>
        </is>
      </c>
      <c r="AI628" t="inlineStr">
        <is>
          <t>https://www.linkedin.com/company/9264419/</t>
        </is>
      </c>
    </row>
    <row r="629" ht="12.5" customHeight="1">
      <c r="A629" s="6" t="n">
        <v>45188</v>
      </c>
      <c r="B629" s="1" t="inlineStr">
        <is>
          <t>ORG_2214</t>
        </is>
      </c>
      <c r="C629" s="1" t="b">
        <v>1</v>
      </c>
      <c r="D629" s="1" t="inlineStr">
        <is>
          <t>SchoolWise</t>
        </is>
      </c>
      <c r="E629" s="10" t="inlineStr">
        <is>
          <t>https://schoolwiselearning.com</t>
        </is>
      </c>
      <c r="F629" t="inlineStr">
        <is>
          <t>schoolwiselearning.com</t>
        </is>
      </c>
      <c r="G629" s="1" t="inlineStr">
        <is>
          <t>We help schools get to the heart of their data and understand the impact of their work to drive better outcomes. We do this by bringing all the information and data together in one place so schools can track a learner from the moment they walk into a school until the last time they leave. Supporting them every step of the way.</t>
        </is>
      </c>
      <c r="H629" s="1" t="inlineStr">
        <is>
          <t>EdTech Ireland</t>
        </is>
      </c>
      <c r="I629" s="1" t="inlineStr">
        <is>
          <t>English</t>
        </is>
      </c>
      <c r="J629" s="1" t="inlineStr">
        <is>
          <t>Ballymount</t>
        </is>
      </c>
      <c r="K629" t="inlineStr">
        <is>
          <t>Ballymount</t>
        </is>
      </c>
      <c r="L629" t="inlineStr">
        <is>
          <t>Ballymount, Ireland</t>
        </is>
      </c>
      <c r="M629" t="n">
        <v>53.0584052</v>
      </c>
      <c r="N629" t="n">
        <v>-6.7760583</v>
      </c>
      <c r="O629" s="1" t="inlineStr">
        <is>
          <t>Ireland</t>
        </is>
      </c>
      <c r="P629" s="1" t="inlineStr">
        <is>
          <t>Ireland</t>
        </is>
      </c>
      <c r="Q629" s="1" t="inlineStr">
        <is>
          <t>6 to 10</t>
        </is>
      </c>
      <c r="R629" t="inlineStr">
        <is>
          <t>Micro</t>
        </is>
      </c>
      <c r="S629" s="1" t="inlineStr">
        <is>
          <t>Business to Business, Business to Government, Business to Schools</t>
        </is>
      </c>
      <c r="T629" s="1" t="inlineStr">
        <is>
          <t>Secondary Education, Vocational Education and Training (VET)</t>
        </is>
      </c>
      <c r="U629" s="1" t="inlineStr">
        <is>
          <t>Teacher interfacing, System/Administrative</t>
        </is>
      </c>
      <c r="V629" s="1" t="inlineStr">
        <is>
          <t>https://ie.linkedin.com/company/schoolwise-learning</t>
        </is>
      </c>
      <c r="W629" s="10" t="inlineStr">
        <is>
          <t>https://drive.google.com/uc?export=view&amp;id=1AH-7Fz6Q2PulHsALLcq69jlzYAz0u0CO</t>
        </is>
      </c>
      <c r="X629" s="10" t="inlineStr">
        <is>
          <t>https://drive.google.com/uc?export=view&amp;id=1AH-7Fz6Q2PulHsALLcq69jlzYAz0u0CO</t>
        </is>
      </c>
      <c r="Y629" t="inlineStr">
        <is>
          <t>https://drive.google.com/uc?export=view&amp;id=1AH-7Fz6Q2PulHsALLcq69jlzYAz0u0CO</t>
        </is>
      </c>
      <c r="Z629" s="1" t="inlineStr">
        <is>
          <t>https://drive.google.com/uc?export=view&amp;id=1AH-7Fz6Q2PulHsALLcq69jlzYAz0u0CO</t>
        </is>
      </c>
      <c r="AA629" s="1" t="inlineStr">
        <is>
          <t>Unverified</t>
        </is>
      </c>
      <c r="AB629" s="1" t="n"/>
      <c r="AC629" s="1" t="n"/>
      <c r="AD629" s="10" t="n"/>
      <c r="AE629" s="1" t="n"/>
      <c r="AF629" t="inlineStr">
        <is>
          <t>Yes</t>
        </is>
      </c>
      <c r="AG629" t="inlineStr">
        <is>
          <t>https://twitter.com/myschoolwise</t>
        </is>
      </c>
      <c r="AH629" t="inlineStr">
        <is>
          <t>https://twitter.com/myschoolwise</t>
        </is>
      </c>
      <c r="AI629" t="inlineStr">
        <is>
          <t>https://ie.linkedin.com/company/schoolwise-learning</t>
        </is>
      </c>
    </row>
    <row r="630" ht="12.5" customHeight="1">
      <c r="A630" s="6" t="n">
        <v>45188</v>
      </c>
      <c r="B630" s="1" t="inlineStr">
        <is>
          <t>ORG_2171</t>
        </is>
      </c>
      <c r="C630" s="1" t="b">
        <v>1</v>
      </c>
      <c r="D630" s="1" t="inlineStr">
        <is>
          <t>Recursos para Clase</t>
        </is>
      </c>
      <c r="E630" s="10" t="inlineStr">
        <is>
          <t>https://www.recursosparaclase.es</t>
        </is>
      </c>
      <c r="F630" t="inlineStr">
        <is>
          <t>recursosparaclase.es</t>
        </is>
      </c>
      <c r="G630" s="1" t="inlineStr">
        <is>
          <t>We provide a platform as a marketplace to share resources for class between teachers. They can choose to share for free or set a price for their work. 
Also, we provide a membership site with online courses. They are available on demand, and each one is recorded for a former teacher, and specialist in an area.</t>
        </is>
      </c>
      <c r="H630" s="1" t="inlineStr">
        <is>
          <t>I'm not part of any EdTech association, SEK Lab</t>
        </is>
      </c>
      <c r="I630" s="1" t="n"/>
      <c r="J630" s="1" t="inlineStr">
        <is>
          <t>Oberanven</t>
        </is>
      </c>
      <c r="K630" t="inlineStr">
        <is>
          <t>Oberanven</t>
        </is>
      </c>
      <c r="L630" t="inlineStr">
        <is>
          <t>Oberanven, Luxembourg</t>
        </is>
      </c>
      <c r="M630" t="n">
        <v>49.6573221</v>
      </c>
      <c r="N630" t="n">
        <v>6.2447955</v>
      </c>
      <c r="O630" s="1" t="inlineStr">
        <is>
          <t>Luxembourg</t>
        </is>
      </c>
      <c r="P630" s="1" t="inlineStr">
        <is>
          <t>Spain</t>
        </is>
      </c>
      <c r="Q630" s="1" t="inlineStr">
        <is>
          <t>0 to 2</t>
        </is>
      </c>
      <c r="R630" t="inlineStr">
        <is>
          <t>Solo entrepreneur</t>
        </is>
      </c>
      <c r="S630" s="1" t="inlineStr">
        <is>
          <t>Business to Business, Business to Schools</t>
        </is>
      </c>
      <c r="T630" s="1" t="inlineStr">
        <is>
          <t>Early childhood development (0-5 years)</t>
        </is>
      </c>
      <c r="U630" s="1" t="inlineStr">
        <is>
          <t>Teacher interfacing</t>
        </is>
      </c>
      <c r="V630" s="1" t="n"/>
      <c r="W630" s="1" t="inlineStr">
        <is>
          <t>https://drive.google.com/uc?export=view&amp;id=1_WJVPwCEfn9_b1KBqpRu0WdnHfFhpdcy</t>
        </is>
      </c>
      <c r="X630" s="1" t="inlineStr">
        <is>
          <t>https://drive.google.com/uc?export=view&amp;id=1_WJVPwCEfn9_b1KBqpRu0WdnHfFhpdcy</t>
        </is>
      </c>
      <c r="Y630" t="inlineStr">
        <is>
          <t>https://drive.google.com/uc?export=view&amp;id=1_WJVPwCEfn9_b1KBqpRu0WdnHfFhpdcy</t>
        </is>
      </c>
      <c r="Z630" s="1" t="inlineStr">
        <is>
          <t>https://drive.google.com/uc?export=view&amp;id=1_WJVPwCEfn9_b1KBqpRu0WdnHfFhpdcy</t>
        </is>
      </c>
      <c r="AA630" s="1" t="inlineStr">
        <is>
          <t>Unverified</t>
        </is>
      </c>
      <c r="AB630" s="1" t="n"/>
      <c r="AC630" s="1" t="n"/>
      <c r="AD630" s="10" t="n"/>
      <c r="AE630" s="1" t="n"/>
      <c r="AF630" t="inlineStr">
        <is>
          <t>No</t>
        </is>
      </c>
    </row>
    <row r="631" ht="12.5" customHeight="1">
      <c r="A631" s="6" t="n">
        <v>45187</v>
      </c>
      <c r="B631" s="1" t="inlineStr">
        <is>
          <t>ORG_1700</t>
        </is>
      </c>
      <c r="C631" s="1" t="b">
        <v>1</v>
      </c>
      <c r="D631" s="1" t="inlineStr">
        <is>
          <t>i3-Technologies</t>
        </is>
      </c>
      <c r="E631" s="10" t="inlineStr">
        <is>
          <t>https://www.i3-technologies.com/</t>
        </is>
      </c>
      <c r="F631" t="inlineStr">
        <is>
          <t>i3-technologies.com</t>
        </is>
      </c>
      <c r="G631" s="1" t="inlineStr">
        <is>
          <t>i3-Technologies “Founder” Story
After growing to the leading European manufacturer of boards and furniture for schools, it was time for the Vanerum company to expand. In 2009 Vanerum expanded into audio-visual and interactive products, which were the building blocks of who we are today. Vanerum Group launched i3-Technologies in 2013, creating and manufacturing interactive touch displays and boards with a wide range of accessories. We now operate through a dedicated channel network in over 90 countries worldwide. We integrate the voice of our customer in all our products and features and focus on providing the best customer experience and craftsmanship. We are still a family-run company that prioritizes putting our customers first and for the long term. On our mission to make technology simple to use, easy to integrate, and accessible to everyone: We've come a long way, and we are just getting started. Our innovation will always be inspired by you.</t>
        </is>
      </c>
      <c r="H631" s="1" t="inlineStr">
        <is>
          <t>edtechstation</t>
        </is>
      </c>
      <c r="I631" s="1" t="inlineStr">
        <is>
          <t>Dutch, English, French, German, Spanish, Catalan, Danish, Lithuanian, Norwegian, Hungarian, Romanian, Italian</t>
        </is>
      </c>
      <c r="J631" s="1" t="inlineStr">
        <is>
          <t>Diest</t>
        </is>
      </c>
      <c r="K631" t="inlineStr">
        <is>
          <t>Diest</t>
        </is>
      </c>
      <c r="L631" t="inlineStr">
        <is>
          <t>Diest, Belgium</t>
        </is>
      </c>
      <c r="M631" t="n">
        <v>50.9844318</v>
      </c>
      <c r="N631" t="n">
        <v>5.0504341</v>
      </c>
      <c r="O631" s="1" t="inlineStr">
        <is>
          <t>Belgium</t>
        </is>
      </c>
      <c r="P631" s="1" t="inlineStr">
        <is>
          <t>Austria, Belgium, Bulgaria, Croatia, Cyprus, Czechia, Denmark, Estonia, Finland, France, Germany, Greece, Hungary, Ireland, Italy, Latvia, Lithuania, Luxembourg, Netherlands, Norway, Poland, Romania, Russia, Spain, Sweden, Switzerland, United Kingdom</t>
        </is>
      </c>
      <c r="Q631" s="1" t="inlineStr">
        <is>
          <t>101 to 500</t>
        </is>
      </c>
      <c r="R631" t="inlineStr">
        <is>
          <t>Medium or Large (unspecified)</t>
        </is>
      </c>
      <c r="S631" s="1" t="inlineStr">
        <is>
          <t>Business to Business</t>
        </is>
      </c>
      <c r="T631" s="1" t="inlineStr">
        <is>
          <t>Early childhood development (0-5 years), Primary Education, Secondary Education, Corporate Training, Lifelong learning/Adult education, Vocational Education and Training (VET), Higher Education</t>
        </is>
      </c>
      <c r="U631" s="1" t="inlineStr">
        <is>
          <t>Teacher interfacing, System/Administrative, Student interfacing</t>
        </is>
      </c>
      <c r="V631" s="10" t="inlineStr">
        <is>
          <t>i3-Solutions</t>
        </is>
      </c>
      <c r="W631" s="10" t="inlineStr">
        <is>
          <t>An optimal learning environment requires the right tools that are developed with an awareness of the digitalization process in education, as well as all of the challenges that come with it. With 50+ years of experience in education, i3-Technologies knows exactly what to offer. Our solutions are being developed and co-created with teachers to ensure that we can offer a solution to meet their needs and tackle their challenges.
The core of our ecosystem are interactive touchscreens for business and education. The displays' capabilities can be drastically expanded with our simple-to-use software solutions. A wide range of accessories that complement our hardware and software, provide you with the full, complete solution you need.</t>
        </is>
      </c>
      <c r="X631" s="10" t="inlineStr">
        <is>
          <t>https://drive.google.com/uc?export=view&amp;id=1Pe0hOpqbgIVtAn_UgEDZlTn2OwWjclaV</t>
        </is>
      </c>
      <c r="Y631" t="inlineStr">
        <is>
          <t>https://drive.google.com/uc?export=view&amp;id=1Pe0hOpqbgIVtAn_UgEDZlTn2OwWjclaV</t>
        </is>
      </c>
      <c r="Z631" s="1" t="inlineStr">
        <is>
          <t>https://drive.google.com/uc?export=view&amp;id=1Pe0hOpqbgIVtAn_UgEDZlTn2OwWjclaV</t>
        </is>
      </c>
      <c r="AA631" s="1" t="inlineStr">
        <is>
          <t>Unverified</t>
        </is>
      </c>
      <c r="AB631" s="1" t="n"/>
      <c r="AC631" s="1" t="n"/>
      <c r="AD631" s="10" t="n"/>
      <c r="AE631" s="1" t="n"/>
      <c r="AF631" s="1" t="inlineStr">
        <is>
          <t>Yes</t>
        </is>
      </c>
      <c r="AG631" s="1" t="inlineStr">
        <is>
          <t>https://www.instagram.com/i3_technologies/</t>
        </is>
      </c>
      <c r="AH631" s="1" t="inlineStr">
        <is>
          <t>https://twitter.com/i3_Technologies</t>
        </is>
      </c>
      <c r="AI631" t="inlineStr">
        <is>
          <t>https://www.linkedin.com/company/i3technologies/</t>
        </is>
      </c>
    </row>
    <row r="632" ht="12.5" customHeight="1">
      <c r="A632" s="6" t="n">
        <v>45187</v>
      </c>
      <c r="B632" s="1" t="inlineStr">
        <is>
          <t>ORG_1440</t>
        </is>
      </c>
      <c r="C632" s="1" t="b">
        <v>1</v>
      </c>
      <c r="D632" s="1" t="inlineStr">
        <is>
          <t>EDUKA klasė</t>
        </is>
      </c>
      <c r="E632" s="10" t="inlineStr">
        <is>
          <t>https://www.eduka.lt/</t>
        </is>
      </c>
      <c r="F632" t="inlineStr">
        <is>
          <t>eduka.lt</t>
        </is>
      </c>
      <c r="G632" s="1" t="inlineStr">
        <is>
          <t>Our company provides digital content solutions directed towards Lithuanian educational facilities which are used by more than 75% of the children. 
Each platform focuses on specific step of student’s learning lifecycle and are deeply interlinked and integrated together:
EDUKA – where student is introduced to the topic (enhanced elements for print textbooks and supporting digital materials).
EMA – where the knowledge of the topic is evaluated (various individualised exercises enhanced by differentiation and gamification).
EGZAMINATORIUS – where knowledge is summarised (adaptive learning exercises and summaries for exam preparation).</t>
        </is>
      </c>
      <c r="H632" s="1" t="inlineStr">
        <is>
          <t>I'm not part of any EdTech association</t>
        </is>
      </c>
      <c r="I632" s="1" t="n"/>
      <c r="J632" s="1" t="inlineStr">
        <is>
          <t>Vilnius</t>
        </is>
      </c>
      <c r="K632" t="inlineStr">
        <is>
          <t>Vilnius</t>
        </is>
      </c>
      <c r="L632" t="inlineStr">
        <is>
          <t>Vilnius, Lithuania</t>
        </is>
      </c>
      <c r="M632" t="n">
        <v>54.6870458</v>
      </c>
      <c r="N632" t="n">
        <v>25.2829111</v>
      </c>
      <c r="O632" s="1" t="inlineStr">
        <is>
          <t>Lithuania</t>
        </is>
      </c>
      <c r="P632" s="1" t="inlineStr">
        <is>
          <t>Lithuania</t>
        </is>
      </c>
      <c r="Q632" s="1" t="inlineStr">
        <is>
          <t>11 to 50</t>
        </is>
      </c>
      <c r="R632" t="inlineStr">
        <is>
          <t>Small</t>
        </is>
      </c>
      <c r="S632" s="1" t="inlineStr">
        <is>
          <t>Business to Business, Business to Consumer, Business to Government, Business to Schools</t>
        </is>
      </c>
      <c r="T632" s="1" t="inlineStr">
        <is>
          <t>Early childhood development (0-5 years), Primary Education, Secondary Education</t>
        </is>
      </c>
      <c r="U632" s="1" t="inlineStr">
        <is>
          <t>Teacher interfacing</t>
        </is>
      </c>
      <c r="V632" s="1" t="inlineStr">
        <is>
          <t>EDUKA</t>
        </is>
      </c>
      <c r="W632" s="1" t="inlineStr">
        <is>
          <t>EDUKA class www.eduka.lt – interactive digital learning platform with more than 520 digital textbooks, 280 teacher books and 25 000 digital assignments for K-12. This is the main tool for the teachers and children to work in the remote learning scenario as well as in the class to fulfil hybrid learning scenario by enhancing the standard learning materials.</t>
        </is>
      </c>
      <c r="X632" s="10" t="inlineStr">
        <is>
          <t>EMA</t>
        </is>
      </c>
      <c r="Y632" t="inlineStr">
        <is>
          <t>EMA www.emapamokos.lt – digital exercises next to EDUKA which are tailored and individualised to fit student needs to help them succeed in education. The tool is used for testing and evaluation of the children progress.</t>
        </is>
      </c>
      <c r="Z632" s="1" t="inlineStr">
        <is>
          <t>https://drive.google.com/uc?export=view&amp;id=1b_l9fhrsngwomSImaSF0QBdkymxplvKL</t>
        </is>
      </c>
      <c r="AA632" s="1" t="inlineStr">
        <is>
          <t>Unverified</t>
        </is>
      </c>
      <c r="AB632" s="1" t="n"/>
      <c r="AC632" s="1" t="n"/>
      <c r="AD632" s="10" t="n"/>
      <c r="AE632" s="1" t="n"/>
      <c r="AF632" t="inlineStr">
        <is>
          <t>Yes</t>
        </is>
      </c>
      <c r="AG632" t="inlineStr">
        <is>
          <t>https://www.linkedin.com/company/edukaklase/</t>
        </is>
      </c>
      <c r="AH632" t="inlineStr">
        <is>
          <t>https://www.linkedin.com/company/edukaklase/</t>
        </is>
      </c>
      <c r="AI632" t="inlineStr">
        <is>
          <t>https://www.linkedin.com/company/edukaklase/</t>
        </is>
      </c>
    </row>
    <row r="633" ht="12.5" customHeight="1">
      <c r="A633" s="6" t="n">
        <v>45187</v>
      </c>
      <c r="B633" s="1" t="inlineStr">
        <is>
          <t>ORG_2369</t>
        </is>
      </c>
      <c r="C633" s="1" t="b">
        <v>1</v>
      </c>
      <c r="D633" s="1" t="inlineStr">
        <is>
          <t>TAMO</t>
        </is>
      </c>
      <c r="E633" s="10" t="inlineStr">
        <is>
          <t>https://www.tamo.lt/</t>
        </is>
      </c>
      <c r="F633" t="inlineStr">
        <is>
          <t>tamo.lt</t>
        </is>
      </c>
      <c r="G633" s="1" t="inlineStr">
        <is>
          <t>TAMO is one of the biggest and fastest growing EdTech companies in Lithuania. It provides digital solutions directed towards Lithuanian educational facilities. TAMO is the school management system and planner (https://dienynas.tamo.lt) which is currently used by more than 500 thousand users (80% of the market).</t>
        </is>
      </c>
      <c r="H633" s="1" t="inlineStr">
        <is>
          <t>I'm not part of any EdTech association</t>
        </is>
      </c>
      <c r="I633" s="1" t="n"/>
      <c r="J633" s="1" t="inlineStr">
        <is>
          <t>Vilnius</t>
        </is>
      </c>
      <c r="K633" t="inlineStr">
        <is>
          <t>Vilnius</t>
        </is>
      </c>
      <c r="L633" t="inlineStr">
        <is>
          <t>Vilnius, Lithuania</t>
        </is>
      </c>
      <c r="M633" t="n">
        <v>54.6870458</v>
      </c>
      <c r="N633" t="n">
        <v>25.2829111</v>
      </c>
      <c r="O633" s="1" t="inlineStr">
        <is>
          <t>Lithuania</t>
        </is>
      </c>
      <c r="P633" s="1" t="inlineStr">
        <is>
          <t>Lithuania</t>
        </is>
      </c>
      <c r="Q633" s="1" t="inlineStr">
        <is>
          <t>11 to 50</t>
        </is>
      </c>
      <c r="R633" t="inlineStr">
        <is>
          <t>Small</t>
        </is>
      </c>
      <c r="S633" s="1" t="inlineStr">
        <is>
          <t>Business to Government, Business to Schools</t>
        </is>
      </c>
      <c r="T633" s="1" t="inlineStr">
        <is>
          <t>Early childhood development (0-5 years), Primary Education, Secondary Education</t>
        </is>
      </c>
      <c r="U633" s="1" t="inlineStr">
        <is>
          <t>Teacher interfacing</t>
        </is>
      </c>
      <c r="V633" s="1" t="inlineStr">
        <is>
          <t>TAMO</t>
        </is>
      </c>
      <c r="W633" s="1" t="inlineStr">
        <is>
          <t>TAMO helps maintain real time organization of the school. It provides teaching administration tools for schools such as lesson scheduling, gradebook, homework assignments, attendance tracking, data storage, calendar, analytics. It is the open platform which also has integrations both with other widely used software providers (Microsoft, Google, digital content platforms) and with physical infrastructure of the school (canteen, library, entry gates, lockers, payments).</t>
        </is>
      </c>
      <c r="X633" s="10" t="inlineStr">
        <is>
          <t>https://drive.google.com/uc?export=view&amp;id=18f5iXiZTC0A-9NkJpV8Jn79GG5BMY8UB</t>
        </is>
      </c>
      <c r="Y633" t="inlineStr">
        <is>
          <t>https://drive.google.com/uc?export=view&amp;id=18f5iXiZTC0A-9NkJpV8Jn79GG5BMY8UB</t>
        </is>
      </c>
      <c r="Z633" s="1" t="inlineStr">
        <is>
          <t>https://drive.google.com/uc?export=view&amp;id=18f5iXiZTC0A-9NkJpV8Jn79GG5BMY8UB</t>
        </is>
      </c>
      <c r="AA633" s="1" t="inlineStr">
        <is>
          <t>Unverified</t>
        </is>
      </c>
      <c r="AB633" s="1" t="n"/>
      <c r="AC633" s="1" t="n"/>
      <c r="AD633" s="10" t="n"/>
      <c r="AE633" s="1" t="n"/>
      <c r="AF633" t="inlineStr">
        <is>
          <t>Yes</t>
        </is>
      </c>
      <c r="AG633" t="inlineStr">
        <is>
          <t>https://www.linkedin.com/company/tavomokykla/mycompany/</t>
        </is>
      </c>
      <c r="AH633" t="inlineStr">
        <is>
          <t>https://www.linkedin.com/company/tavomokykla/mycompany/</t>
        </is>
      </c>
      <c r="AI633" t="inlineStr">
        <is>
          <t>https://www.linkedin.com/company/tavomokykla/mycompany/</t>
        </is>
      </c>
    </row>
    <row r="634" ht="12.5" customHeight="1">
      <c r="A634" s="6" t="n">
        <v>45187</v>
      </c>
      <c r="B634" s="1" t="inlineStr">
        <is>
          <t>ORG_1696</t>
        </is>
      </c>
      <c r="C634" s="1" t="b">
        <v>1</v>
      </c>
      <c r="D634" s="1" t="inlineStr">
        <is>
          <t>Hyphen</t>
        </is>
      </c>
      <c r="E634" s="10" t="inlineStr">
        <is>
          <t>joinhyphen.com</t>
        </is>
      </c>
      <c r="F634" t="inlineStr">
        <is>
          <t>joinhyphen.com</t>
        </is>
      </c>
      <c r="G634" s="1" t="inlineStr">
        <is>
          <t>Hyphen trains Early Career Talent and their Managers together to make them better connected and effective.</t>
        </is>
      </c>
      <c r="H634" s="1" t="inlineStr">
        <is>
          <t>EdTech Austria</t>
        </is>
      </c>
      <c r="I634" s="1" t="inlineStr">
        <is>
          <t>English</t>
        </is>
      </c>
      <c r="J634" s="1" t="inlineStr">
        <is>
          <t>London</t>
        </is>
      </c>
      <c r="K634" t="inlineStr">
        <is>
          <t>London</t>
        </is>
      </c>
      <c r="L634" t="inlineStr">
        <is>
          <t>London, United Kingdom</t>
        </is>
      </c>
      <c r="M634" t="n">
        <v>51.5074456</v>
      </c>
      <c r="N634" t="n">
        <v>-0.1277653</v>
      </c>
      <c r="O634" s="1" t="inlineStr">
        <is>
          <t>United Kingdom</t>
        </is>
      </c>
      <c r="P634" s="1" t="inlineStr">
        <is>
          <t>Austria, Denmark, Finland, France, Germany, Ireland, Italy, Liechtenstein, Netherlands, Norway, Portugal, Sweden, Switzerland, United Kingdom</t>
        </is>
      </c>
      <c r="Q634" s="1" t="inlineStr">
        <is>
          <t>6 to 10</t>
        </is>
      </c>
      <c r="R634" t="inlineStr">
        <is>
          <t>Micro</t>
        </is>
      </c>
      <c r="S634" s="1" t="inlineStr">
        <is>
          <t>Business to Business, Business to Government</t>
        </is>
      </c>
      <c r="T634" s="1" t="inlineStr">
        <is>
          <t>Corporate Training, Lifelong learning/Adult education</t>
        </is>
      </c>
      <c r="U634" s="1" t="inlineStr">
        <is>
          <t>System/Administrative, Student interfacing</t>
        </is>
      </c>
      <c r="V634" s="1" t="inlineStr">
        <is>
          <t>Talent Development Platform</t>
        </is>
      </c>
      <c r="W634" s="1" t="inlineStr">
        <is>
          <t>We train Managers and their Team Members together to become better connected and effective. Our training programmes are customised to the needs of partner organisations who we constantly provide with insights and development reports.</t>
        </is>
      </c>
      <c r="X634" s="10" t="inlineStr">
        <is>
          <t>https://drive.google.com/uc?export=view&amp;id=1GbGSJXYGnVVsRV7oLEy9LuXjy_X_DVOJ</t>
        </is>
      </c>
      <c r="Y634" t="inlineStr">
        <is>
          <t>https://drive.google.com/uc?export=view&amp;id=1GbGSJXYGnVVsRV7oLEy9LuXjy_X_DVOJ</t>
        </is>
      </c>
      <c r="Z634" s="1" t="inlineStr">
        <is>
          <t>https://drive.google.com/uc?export=view&amp;id=1GbGSJXYGnVVsRV7oLEy9LuXjy_X_DVOJ</t>
        </is>
      </c>
      <c r="AA634" s="1" t="inlineStr">
        <is>
          <t>Unverified</t>
        </is>
      </c>
      <c r="AB634" s="1" t="n"/>
      <c r="AC634" s="1" t="n"/>
      <c r="AD634" s="10" t="n"/>
      <c r="AE634" s="1" t="n"/>
      <c r="AF634" t="inlineStr">
        <is>
          <t>Yes</t>
        </is>
      </c>
      <c r="AG634" t="inlineStr">
        <is>
          <t>hyphen_crew</t>
        </is>
      </c>
      <c r="AH634" t="inlineStr">
        <is>
          <t>https://www.linkedin.com/school/hyphen-/</t>
        </is>
      </c>
      <c r="AI634" t="inlineStr">
        <is>
          <t>https://www.linkedin.com/school/hyphen-/</t>
        </is>
      </c>
    </row>
    <row r="635" ht="12.5" customHeight="1">
      <c r="A635" s="6" t="n">
        <v>45186</v>
      </c>
      <c r="B635" s="1" t="inlineStr">
        <is>
          <t>ORG_1024</t>
        </is>
      </c>
      <c r="C635" s="1" t="b">
        <v>1</v>
      </c>
      <c r="D635" s="1" t="inlineStr">
        <is>
          <t>Academator</t>
        </is>
      </c>
      <c r="E635" s="10" t="inlineStr">
        <is>
          <t>www.academator.com</t>
        </is>
      </c>
      <c r="F635" t="inlineStr">
        <is>
          <t>academator.com</t>
        </is>
      </c>
      <c r="G635" s="1" t="inlineStr">
        <is>
          <t>Academator is making the best private tuition affordable by replacing tutors with robots.</t>
        </is>
      </c>
      <c r="H635" s="1" t="inlineStr">
        <is>
          <t>I'm not part of any EdTech association</t>
        </is>
      </c>
      <c r="I635" s="1" t="n"/>
      <c r="J635" s="1" t="inlineStr">
        <is>
          <t>London</t>
        </is>
      </c>
      <c r="K635" t="inlineStr">
        <is>
          <t>London</t>
        </is>
      </c>
      <c r="L635" t="inlineStr">
        <is>
          <t>London, United Kingdom</t>
        </is>
      </c>
      <c r="M635" t="n">
        <v>51.5074456</v>
      </c>
      <c r="N635" t="n">
        <v>-0.1277653</v>
      </c>
      <c r="O635" s="1" t="inlineStr">
        <is>
          <t>United Kingdom</t>
        </is>
      </c>
      <c r="P635" s="1" t="inlineStr">
        <is>
          <t>United Kingdom</t>
        </is>
      </c>
      <c r="Q635" s="1" t="inlineStr">
        <is>
          <t>3 to 5</t>
        </is>
      </c>
      <c r="R635" t="inlineStr">
        <is>
          <t>Micro</t>
        </is>
      </c>
      <c r="S635" s="1" t="inlineStr">
        <is>
          <t>Business to Consumer</t>
        </is>
      </c>
      <c r="T635" s="1" t="inlineStr">
        <is>
          <t>Secondary Education</t>
        </is>
      </c>
      <c r="U635" s="1" t="inlineStr">
        <is>
          <t>System/Administrative, Student interfacing</t>
        </is>
      </c>
      <c r="V635" s="1" t="inlineStr">
        <is>
          <t>https://www.linkedin.com/company/academator</t>
        </is>
      </c>
      <c r="W635" s="1" t="inlineStr">
        <is>
          <t>https://drive.google.com/uc?export=view&amp;id=1Ihmme8abNtP_d_j5O3LTsGs0F49dWOX2</t>
        </is>
      </c>
      <c r="X635" s="10" t="inlineStr">
        <is>
          <t>https://drive.google.com/uc?export=view&amp;id=1Ihmme8abNtP_d_j5O3LTsGs0F49dWOX2</t>
        </is>
      </c>
      <c r="Y635" t="inlineStr">
        <is>
          <t>https://drive.google.com/uc?export=view&amp;id=1Ihmme8abNtP_d_j5O3LTsGs0F49dWOX2</t>
        </is>
      </c>
      <c r="Z635" s="1" t="inlineStr">
        <is>
          <t>https://drive.google.com/uc?export=view&amp;id=1Ihmme8abNtP_d_j5O3LTsGs0F49dWOX2</t>
        </is>
      </c>
      <c r="AA635" s="1" t="inlineStr">
        <is>
          <t>Unverified</t>
        </is>
      </c>
      <c r="AB635" s="1" t="n"/>
      <c r="AC635" s="1" t="n"/>
      <c r="AD635" s="10" t="n"/>
      <c r="AE635" s="1" t="n"/>
      <c r="AF635" t="inlineStr">
        <is>
          <t>Yes</t>
        </is>
      </c>
      <c r="AG635" t="inlineStr">
        <is>
          <t>https://www.linkedin.com/company/academator</t>
        </is>
      </c>
      <c r="AH635" t="inlineStr">
        <is>
          <t>@Academator</t>
        </is>
      </c>
      <c r="AI635" t="inlineStr">
        <is>
          <t>https://www.linkedin.com/company/academator</t>
        </is>
      </c>
    </row>
    <row r="636" ht="12.5" customHeight="1">
      <c r="A636" s="6" t="n">
        <v>45186</v>
      </c>
      <c r="B636" s="1" t="inlineStr">
        <is>
          <t>ORG_2126</t>
        </is>
      </c>
      <c r="C636" s="1" t="b">
        <v>1</v>
      </c>
      <c r="D636" s="1" t="inlineStr">
        <is>
          <t>ProjectSet</t>
        </is>
      </c>
      <c r="E636" s="10" t="inlineStr">
        <is>
          <t>https://projectset.com/</t>
        </is>
      </c>
      <c r="F636" t="inlineStr">
        <is>
          <t>projectset.com</t>
        </is>
      </c>
      <c r="G636" s="1" t="inlineStr">
        <is>
          <t>ProjectSet is an award-winning digital platform for work-based learning programs. It offers team-based virtual projects, competitions, bootcamps and videos for learners to build soft-skills, with mentorship from employer organisations. The platform is used by learners from more than 2,500 schools and 600 universities. ProjectSet won International Tools Competition and was featured in ASU-GSV Global Elite 200 and HolonIQ Edtech 200 lists.</t>
        </is>
      </c>
      <c r="H636" s="1" t="inlineStr">
        <is>
          <t>I'm not part of any EdTech association</t>
        </is>
      </c>
      <c r="I636" s="1" t="inlineStr">
        <is>
          <t>English</t>
        </is>
      </c>
      <c r="J636" s="1" t="inlineStr">
        <is>
          <t>London</t>
        </is>
      </c>
      <c r="K636" t="inlineStr">
        <is>
          <t>London</t>
        </is>
      </c>
      <c r="L636" t="inlineStr">
        <is>
          <t>London, United Kingdom</t>
        </is>
      </c>
      <c r="M636" t="n">
        <v>51.5074456</v>
      </c>
      <c r="N636" t="n">
        <v>-0.1277653</v>
      </c>
      <c r="O636" s="1" t="inlineStr">
        <is>
          <t>United Kingdom</t>
        </is>
      </c>
      <c r="P636" s="1" t="inlineStr">
        <is>
          <t>Austria, Belgium, Germany, Ireland, United Kingdom</t>
        </is>
      </c>
      <c r="Q636" s="1" t="inlineStr">
        <is>
          <t>6 to 10</t>
        </is>
      </c>
      <c r="R636" t="inlineStr">
        <is>
          <t>Micro</t>
        </is>
      </c>
      <c r="S636" s="1" t="inlineStr">
        <is>
          <t>Business to Consumer, Business to Schools</t>
        </is>
      </c>
      <c r="T636" s="1" t="inlineStr">
        <is>
          <t>Secondary Education, Vocational Education and Training (VET), Higher Education</t>
        </is>
      </c>
      <c r="U636" s="1" t="inlineStr">
        <is>
          <t>Student interfacing, Teacher interfacing, System/Administrative</t>
        </is>
      </c>
      <c r="V636" s="10" t="inlineStr">
        <is>
          <t>ProjectSet Skill Bootcamps</t>
        </is>
      </c>
      <c r="W636" s="10" t="inlineStr">
        <is>
          <t>The Skill Bootcamps comprise a series of weekly Masterclasses and Microprojects focused on a specific soft-skill cluster or supporting tool. The Masterclasses includes presentations, video examples and an interactive insights session from an employer. The Microproject offers participants an opportunity to apply the specific skills in a short, virtual engagement. The bootcamp is fully accredited by CPD and participants are awarded points for successfully completing the program.</t>
        </is>
      </c>
      <c r="X636" s="10" t="inlineStr">
        <is>
          <t>ProjectSet SkillGPS</t>
        </is>
      </c>
      <c r="Y636" t="inlineStr">
        <is>
          <t>SkillGPS is a digital tool to measure soft-skills based on 12 distinct skill clusters. These skill clusters represent 89 underlying soft-skills that are critical for talent communities to succeed in the future of work. The tools builds a custom skill profile of each user by aggregating a range of input data from diverse sources including i) feedback scores from projects, competitions and bootcamps; ii) their online activity logs on our platform and iii) self-assessment.</t>
        </is>
      </c>
      <c r="Z636" s="1" t="inlineStr">
        <is>
          <t>https://drive.google.com/uc?export=view&amp;id=18MUSW8Fa5YdMMmquBUz4rdHM53IsMHCc</t>
        </is>
      </c>
      <c r="AA636" s="1" t="inlineStr">
        <is>
          <t>Unverified</t>
        </is>
      </c>
      <c r="AB636" s="1" t="n"/>
      <c r="AC636" s="1" t="n"/>
      <c r="AD636" s="10" t="n"/>
      <c r="AE636" s="1" t="n"/>
      <c r="AF636" s="1" t="inlineStr">
        <is>
          <t>Yes</t>
        </is>
      </c>
      <c r="AG636" s="1" t="inlineStr">
        <is>
          <t>https://www.instagram.com/project.set/</t>
        </is>
      </c>
      <c r="AH636" s="1" t="inlineStr">
        <is>
          <t>https://twitter.com/ProjectSetUK</t>
        </is>
      </c>
      <c r="AI636" t="inlineStr">
        <is>
          <t>https://www.linkedin.com/company/projectset</t>
        </is>
      </c>
    </row>
    <row r="637" ht="12.5" customHeight="1">
      <c r="A637" s="6" t="n">
        <v>45186</v>
      </c>
      <c r="B637" s="1" t="inlineStr">
        <is>
          <t>ORG_2430</t>
        </is>
      </c>
      <c r="C637" s="1" t="b">
        <v>1</v>
      </c>
      <c r="D637" s="1" t="inlineStr">
        <is>
          <t>Trezorium</t>
        </is>
      </c>
      <c r="E637" s="10" t="inlineStr">
        <is>
          <t>https://www.trezorium.com/</t>
        </is>
      </c>
      <c r="F637" t="inlineStr">
        <is>
          <t>trezorium.com</t>
        </is>
      </c>
      <c r="G637" s="1" t="inlineStr">
        <is>
          <t>Trezorium aims to develop creativity and empowerment of kids and big kids thanks to a creative educational methods and digital technology. Trezorium sets up fablabs for kids &amp; big kids in schools, library, museum and companies. With the challenge of developing the creative and digital skills of individuals, Trezorium develops and supports the implementation of open badge recognition systems for learning organizations and territories.</t>
        </is>
      </c>
      <c r="H637" s="1" t="inlineStr">
        <is>
          <t>EdTech France</t>
        </is>
      </c>
      <c r="I637" s="1" t="inlineStr">
        <is>
          <t>French</t>
        </is>
      </c>
      <c r="J637" s="1" t="inlineStr">
        <is>
          <t>Tourcoing</t>
        </is>
      </c>
      <c r="K637" t="inlineStr">
        <is>
          <t>Tourcoing</t>
        </is>
      </c>
      <c r="L637" t="inlineStr">
        <is>
          <t>Tourcoing, France</t>
        </is>
      </c>
      <c r="M637" t="n">
        <v>50.7235038</v>
      </c>
      <c r="N637" t="n">
        <v>3.1605714</v>
      </c>
      <c r="O637" s="1" t="inlineStr">
        <is>
          <t>France</t>
        </is>
      </c>
      <c r="P637" s="1" t="inlineStr">
        <is>
          <t>France</t>
        </is>
      </c>
      <c r="Q637" s="1" t="inlineStr">
        <is>
          <t>0 to 2</t>
        </is>
      </c>
      <c r="R637" t="inlineStr">
        <is>
          <t>Solo entrepreneur</t>
        </is>
      </c>
      <c r="S637" s="1" t="inlineStr">
        <is>
          <t>Business to Government, Business to Schools</t>
        </is>
      </c>
      <c r="T637" s="1" t="inlineStr">
        <is>
          <t>Primary Education, Secondary Education, Lifelong learning/Adult education</t>
        </is>
      </c>
      <c r="U637" s="1" t="inlineStr">
        <is>
          <t>System/Administrative, Student interfacing, Teacher interfacing</t>
        </is>
      </c>
      <c r="V637" s="10" t="inlineStr">
        <is>
          <t>Fablab for kids</t>
        </is>
      </c>
      <c r="W637" s="10" t="inlineStr">
        <is>
          <t>Implementation of experiments of liberation and creation of ideas for educational purposes (inspired by fablabs) by supporting educational structures and communities: animation of creative &amp; digital workshops and training</t>
        </is>
      </c>
      <c r="X637" s="10" t="inlineStr">
        <is>
          <t>Makerium.fr</t>
        </is>
      </c>
      <c r="Y637" t="inlineStr">
        <is>
          <t>Makerium.fr is the leading online platform for Maker Education, which brings together educational content to conduct cross-disciplinary, creative and digital workshops with young people and distributes open badges in order to promote and recognize the skills acquired.</t>
        </is>
      </c>
      <c r="Z637" s="1" t="inlineStr">
        <is>
          <t>https://drive.google.com/uc?export=view&amp;id=1VfXIx7UC-5AMX9sgzh53wray6f5ifzhi</t>
        </is>
      </c>
      <c r="AA637" s="1" t="inlineStr">
        <is>
          <t>Unverified</t>
        </is>
      </c>
      <c r="AB637" s="10" t="n"/>
      <c r="AC637" s="1" t="n"/>
      <c r="AD637" s="10" t="n"/>
      <c r="AE637" s="1" t="n"/>
      <c r="AF637" s="1" t="inlineStr">
        <is>
          <t>Yes</t>
        </is>
      </c>
      <c r="AG637" s="1" t="inlineStr">
        <is>
          <t>https://www.instagram.com/trezorium/</t>
        </is>
      </c>
      <c r="AH637" s="1" t="inlineStr">
        <is>
          <t>https://twitter.com/trezorium</t>
        </is>
      </c>
      <c r="AI637" t="inlineStr">
        <is>
          <t>https://www.linkedin.com/company/trezorium</t>
        </is>
      </c>
    </row>
    <row r="638" ht="12.5" customHeight="1">
      <c r="A638" s="6" t="n">
        <v>45185</v>
      </c>
      <c r="B638" s="1" t="inlineStr">
        <is>
          <t>ORG_1568</t>
        </is>
      </c>
      <c r="C638" s="1" t="b">
        <v>1</v>
      </c>
      <c r="D638" s="1" t="inlineStr">
        <is>
          <t>Flowley</t>
        </is>
      </c>
      <c r="E638" s="10" t="inlineStr">
        <is>
          <t>https://flowley.nl</t>
        </is>
      </c>
      <c r="F638" t="inlineStr">
        <is>
          <t>flowley.nl</t>
        </is>
      </c>
      <c r="G638" s="1" t="inlineStr">
        <is>
          <t>We are on a mission to provide all students with a fun and easy way to start working on their own well-being in a positive way. Not just at the moment when they experience problems, but rather preventatively in order to avoid them. We do this by creating awareness and providing the essential life skills from an educational perspective that fully fits their perception and personal life stage/challenges. Therefore Flowley offers both inspiration ánd activation with the aim of getting students to take their own first steps. The community of fellow students can help and motivate each other on a peer-to-peer basis. This way there is only one place where you as a student can go for everything relating to personal development &amp; well-being and where you can start your own personal journey at your convenience.</t>
        </is>
      </c>
      <c r="H638" s="1" t="inlineStr">
        <is>
          <t>Dutch EdTech</t>
        </is>
      </c>
      <c r="I638" s="1" t="inlineStr">
        <is>
          <t>Dutch</t>
        </is>
      </c>
      <c r="J638" s="1" t="inlineStr">
        <is>
          <t>Utrecht</t>
        </is>
      </c>
      <c r="K638" t="inlineStr">
        <is>
          <t>Utrecht</t>
        </is>
      </c>
      <c r="L638" t="inlineStr">
        <is>
          <t>Utrecht, The Netherlands</t>
        </is>
      </c>
      <c r="M638" t="n">
        <v>52.0906195</v>
      </c>
      <c r="N638" t="n">
        <v>5.1119709</v>
      </c>
      <c r="O638" s="1" t="inlineStr">
        <is>
          <t>The Netherlands</t>
        </is>
      </c>
      <c r="P638" s="1" t="inlineStr">
        <is>
          <t>Netherlands</t>
        </is>
      </c>
      <c r="Q638" s="1" t="inlineStr">
        <is>
          <t>0 to 2</t>
        </is>
      </c>
      <c r="R638" t="inlineStr">
        <is>
          <t>Solo entrepreneur</t>
        </is>
      </c>
      <c r="S638" s="1" t="inlineStr">
        <is>
          <t>Business to Business, Business to Consumer, Business to Government, Business to Schools</t>
        </is>
      </c>
      <c r="T638" s="1" t="inlineStr">
        <is>
          <t>Secondary Education, Corporate Training, Lifelong learning/Adult education, Vocational Education and Training (VET), Higher Education</t>
        </is>
      </c>
      <c r="U638" s="1" t="inlineStr">
        <is>
          <t>Student interfacing, Teacher interfacing, System/Administrative</t>
        </is>
      </c>
      <c r="V638" s="1" t="inlineStr">
        <is>
          <t>Flowley</t>
        </is>
      </c>
      <c r="W638" s="1" t="inlineStr">
        <is>
          <t>We facilitate a central (community) environment for all students where they can discover, at any given time and according to their own interests, a wide range of themes/challenges that are (in)directly related to their personal/identity development. We look at this from a holistic perspective and we package it towards the student as personal development &amp; well-being, in which health skills, social-emotional skills, personal happiness and pleasant studying/working form the core.</t>
        </is>
      </c>
      <c r="X638" s="10" t="inlineStr">
        <is>
          <t>https://drive.google.com/uc?export=view&amp;id=1PNUN4QlQ1H_gG3a5iCZkRRim6upBiIx2</t>
        </is>
      </c>
      <c r="Y638" t="inlineStr">
        <is>
          <t>https://drive.google.com/uc?export=view&amp;id=1PNUN4QlQ1H_gG3a5iCZkRRim6upBiIx2</t>
        </is>
      </c>
      <c r="Z638" s="1" t="inlineStr">
        <is>
          <t>https://drive.google.com/uc?export=view&amp;id=1PNUN4QlQ1H_gG3a5iCZkRRim6upBiIx2</t>
        </is>
      </c>
      <c r="AA638" s="1" t="inlineStr">
        <is>
          <t>Unverified</t>
        </is>
      </c>
      <c r="AB638" s="1" t="n"/>
      <c r="AC638" s="1" t="n"/>
      <c r="AD638" s="10" t="n"/>
      <c r="AE638" s="1" t="n"/>
      <c r="AF638" t="inlineStr">
        <is>
          <t>Yes</t>
        </is>
      </c>
      <c r="AG638" t="inlineStr">
        <is>
          <t>https://www.linkedin.com/company/flowley/</t>
        </is>
      </c>
      <c r="AH638" t="inlineStr">
        <is>
          <t>https://www.linkedin.com/company/flowley/</t>
        </is>
      </c>
      <c r="AI638" t="inlineStr">
        <is>
          <t>https://www.linkedin.com/company/flowley/</t>
        </is>
      </c>
    </row>
    <row r="639" ht="12.5" customHeight="1">
      <c r="A639" s="6" t="n">
        <v>45185</v>
      </c>
      <c r="B639" s="1" t="inlineStr">
        <is>
          <t>ORG_1560</t>
        </is>
      </c>
      <c r="C639" s="1" t="b">
        <v>1</v>
      </c>
      <c r="D639" s="1" t="inlineStr">
        <is>
          <t>Feel and Play</t>
        </is>
      </c>
      <c r="E639" s="10" t="inlineStr">
        <is>
          <t>www.feelandplay.com</t>
        </is>
      </c>
      <c r="F639" t="inlineStr">
        <is>
          <t>feelandplay.com</t>
        </is>
      </c>
      <c r="G639" s="1" t="inlineStr">
        <is>
          <t>Inspired by the notion that 'We learn from kids to teach kids,' our creative Feel &amp; Play world introduces a transformative concept: What if children could become our guides in understanding their emotional world? What if they could guide each other to understand one another too? Imagine a unique group learning app designed to foster connections through the magical realms of music and creative expression.
Feel and Play is a creative company that produces engaging classical music fairytales and superb tools to educators and parents for developing children´s social and emotional skills. We want to help in bringing up a generation of well-balanced humans.</t>
        </is>
      </c>
      <c r="H639" s="1" t="inlineStr">
        <is>
          <t>EdTech Finland</t>
        </is>
      </c>
      <c r="I639" s="1" t="inlineStr">
        <is>
          <t>Finnish, English, Swedish, Italian</t>
        </is>
      </c>
      <c r="J639" s="1" t="inlineStr">
        <is>
          <t>Mikkeli</t>
        </is>
      </c>
      <c r="K639" t="inlineStr">
        <is>
          <t>Mikkeli</t>
        </is>
      </c>
      <c r="L639" t="inlineStr">
        <is>
          <t>Mikkeli, Finland</t>
        </is>
      </c>
      <c r="M639" t="n">
        <v>61.6877823</v>
      </c>
      <c r="N639" t="n">
        <v>27.2731918</v>
      </c>
      <c r="O639" s="1" t="inlineStr">
        <is>
          <t>Finland</t>
        </is>
      </c>
      <c r="P639" s="1" t="inlineStr">
        <is>
          <t>Finland, Sweden, United Kingdom</t>
        </is>
      </c>
      <c r="Q639" s="1" t="inlineStr">
        <is>
          <t>6 to 10</t>
        </is>
      </c>
      <c r="R639" t="inlineStr">
        <is>
          <t>Micro</t>
        </is>
      </c>
      <c r="S639" s="1" t="inlineStr">
        <is>
          <t>Business to Business, Business to Consumer</t>
        </is>
      </c>
      <c r="T639" s="1" t="inlineStr">
        <is>
          <t>Early childhood development (0-5 years), Primary Education</t>
        </is>
      </c>
      <c r="U639" s="1" t="inlineStr">
        <is>
          <t>System/Administrative, Student interfacing, Teacher interfacing</t>
        </is>
      </c>
      <c r="V639" s="10" t="inlineStr">
        <is>
          <t>Feel &amp; Play</t>
        </is>
      </c>
      <c r="W639" s="1" t="inlineStr">
        <is>
          <t>Feel and Play products aim to create profound connections between kids and parents, kids and educators, and kids in peer-to-peer learning. Imagine if kids invited us into their world, inviting us to play with them, rather than us asking them to invite us. To achieve this, the Feel and Play products use interactive gameplay, incorporating music and creative expression to bridge the generational gap. Through these engaging experiences, we strive to facilitate the harmonious connection between generations, fostering an environment where emotions are explored, understood, and celebrated together. This innovative approach not only redefines how we learn but also reimagines how we connect as a community.</t>
        </is>
      </c>
      <c r="X639" s="10" t="inlineStr">
        <is>
          <t>Storywall</t>
        </is>
      </c>
      <c r="Y639" t="inlineStr">
        <is>
          <t>Our first immersive experience, set to the music of Jean Sibelius and Leevi Madetoja. The Storywall is a full-sized, interactive fantasy wall; on it, children can listen to the musical fairy tale of Mary the Heart Singer and play games set in its world. The first two Storywalls are set up at Oodi, the Helsinki Central Library, and in Kattilansilta Daycare, Mikkeli. The Storywall is a joint production with OiOi.
Languages: Finnish, Swedish, English and Ukrainian.</t>
        </is>
      </c>
      <c r="Z639" s="1" t="inlineStr">
        <is>
          <t>https://drive.google.com/uc?export=view&amp;id=1lcAN0Etrc75KAPTRDi3fSTcnGTo8UTtK</t>
        </is>
      </c>
      <c r="AA639" s="1" t="inlineStr">
        <is>
          <t>Unverified</t>
        </is>
      </c>
      <c r="AB639" s="1" t="n"/>
      <c r="AC639" s="1" t="n"/>
      <c r="AD639" s="10" t="n"/>
      <c r="AE639" s="1" t="n"/>
      <c r="AF639" s="1" t="inlineStr">
        <is>
          <t>Yes</t>
        </is>
      </c>
      <c r="AG639" s="1" t="inlineStr">
        <is>
          <t>https://www.instagram.com/musicfairytales_official/</t>
        </is>
      </c>
      <c r="AH639" s="1" t="inlineStr">
        <is>
          <t>MusicFairyTales MFT Oy</t>
        </is>
      </c>
      <c r="AI639" s="1" t="inlineStr">
        <is>
          <t>https://www.linkedin.com/company/musicfairytales/</t>
        </is>
      </c>
      <c r="AJ639" s="1" t="n"/>
    </row>
    <row r="640" ht="12.5" customHeight="1">
      <c r="A640" s="6" t="n">
        <v>45184</v>
      </c>
      <c r="B640" s="1" t="inlineStr">
        <is>
          <t>ORG_1971</t>
        </is>
      </c>
      <c r="C640" s="1" t="b">
        <v>1</v>
      </c>
      <c r="D640" s="1" t="inlineStr">
        <is>
          <t>mirroco</t>
        </is>
      </c>
      <c r="E640" s="10" t="inlineStr">
        <is>
          <t>www.mirroco.ch</t>
        </is>
      </c>
      <c r="F640" t="inlineStr">
        <is>
          <t>mirroco.ch</t>
        </is>
      </c>
      <c r="G640" s="1" t="inlineStr">
        <is>
          <t>mirroco provides a learning platform where teachers and other learning experts create learning content, link it with a catalog of skills (like Lehrplan21) and assess their students learnings it in a new way! mirrocos assessments empower students by making their learning visible and focusing on their talents and potentials. By doing so mirroco establishes a new learning culture in swiss schools.</t>
        </is>
      </c>
      <c r="H640" s="1" t="inlineStr">
        <is>
          <t>Swiss EdTech Collider</t>
        </is>
      </c>
      <c r="I640" s="1" t="inlineStr">
        <is>
          <t>German, English</t>
        </is>
      </c>
      <c r="J640" s="1" t="inlineStr">
        <is>
          <t>Zollikofen</t>
        </is>
      </c>
      <c r="K640" t="inlineStr">
        <is>
          <t>Zollikofen</t>
        </is>
      </c>
      <c r="L640" t="inlineStr">
        <is>
          <t>Zollikofen, Switzerland</t>
        </is>
      </c>
      <c r="M640" t="n">
        <v>46.9959463</v>
      </c>
      <c r="N640" t="n">
        <v>7.4576417</v>
      </c>
      <c r="O640" s="1" t="inlineStr">
        <is>
          <t>Switzerland</t>
        </is>
      </c>
      <c r="P640" s="1" t="inlineStr">
        <is>
          <t>Germany, Switzerland</t>
        </is>
      </c>
      <c r="Q640" s="1" t="inlineStr">
        <is>
          <t>3 to 5</t>
        </is>
      </c>
      <c r="R640" t="inlineStr">
        <is>
          <t>Micro</t>
        </is>
      </c>
      <c r="S640" s="1" t="inlineStr">
        <is>
          <t>Business to Business, Business to Government, Business to Schools</t>
        </is>
      </c>
      <c r="T640" s="1" t="inlineStr">
        <is>
          <t>Primary Education, Secondary Education, Corporate Training, Lifelong learning/Adult education</t>
        </is>
      </c>
      <c r="U640" s="1" t="inlineStr">
        <is>
          <t>Student interfacing, Teacher interfacing</t>
        </is>
      </c>
      <c r="V640" s="1" t="inlineStr">
        <is>
          <t>mirroco school</t>
        </is>
      </c>
      <c r="W640" s="1" t="inlineStr">
        <is>
          <t>mirroco school provides a learning platform for learning coaches and teachers to create competence linked content that is easily evaluated. Therefore learning processes become visible and the next learning steps can be read off.</t>
        </is>
      </c>
      <c r="X640" s="10" t="inlineStr">
        <is>
          <t>mirroco unique</t>
        </is>
      </c>
      <c r="Y640" t="inlineStr">
        <is>
          <t>Based on mirroco school special education schools can now digitally map the skill growth of their students by creating their educational planning!</t>
        </is>
      </c>
      <c r="Z640" s="1" t="inlineStr">
        <is>
          <t>https://drive.google.com/uc?export=view&amp;id=1I8sFHhKtUk23qZOUzfd4OJEt5GSzC_CF</t>
        </is>
      </c>
      <c r="AA640" s="1" t="inlineStr">
        <is>
          <t>Unverified</t>
        </is>
      </c>
      <c r="AB640" s="1" t="n"/>
      <c r="AC640" s="1" t="n"/>
      <c r="AD640" s="10" t="n"/>
      <c r="AE640" s="1" t="n"/>
      <c r="AF640" t="inlineStr">
        <is>
          <t>Yes</t>
        </is>
      </c>
      <c r="AG640" t="inlineStr">
        <is>
          <t>https://cl.linkedin.com/company/mirroco</t>
        </is>
      </c>
      <c r="AH640" t="inlineStr">
        <is>
          <t>https://cl.linkedin.com/company/mirroco</t>
        </is>
      </c>
      <c r="AI640" t="inlineStr">
        <is>
          <t>https://cl.linkedin.com/company/mirroco</t>
        </is>
      </c>
    </row>
    <row r="641" ht="12.5" customHeight="1">
      <c r="A641" s="6" t="n">
        <v>45184</v>
      </c>
      <c r="B641" s="1" t="inlineStr">
        <is>
          <t>ORG_1875</t>
        </is>
      </c>
      <c r="C641" s="1" t="b">
        <v>1</v>
      </c>
      <c r="D641" s="1" t="inlineStr">
        <is>
          <t>Liirn</t>
        </is>
      </c>
      <c r="E641" s="10" t="inlineStr">
        <is>
          <t>https://liirn.space/</t>
        </is>
      </c>
      <c r="F641" t="inlineStr">
        <is>
          <t>liirn.space</t>
        </is>
      </c>
      <c r="G641" s="1" t="inlineStr">
        <is>
          <t>Liirn is working with foundations, NGOs, schools, and art therapists— to provide innovative social-emotional programming for students, on its online learning platform.
Our mission is to make education accessible, which we do by bringing content to a local level.
The Liirn platform is for learners and educators who want to connect, learn, and share knowledge.</t>
        </is>
      </c>
      <c r="H641" s="1" t="inlineStr">
        <is>
          <t>EdTech Denmark</t>
        </is>
      </c>
      <c r="I641" s="1" t="n"/>
      <c r="J641" s="1" t="inlineStr">
        <is>
          <t>Copenhagen</t>
        </is>
      </c>
      <c r="K641" t="inlineStr">
        <is>
          <t>Copenhagen</t>
        </is>
      </c>
      <c r="L641" t="inlineStr">
        <is>
          <t>Copenhagen, Denmark</t>
        </is>
      </c>
      <c r="M641" t="n">
        <v>55.6867243</v>
      </c>
      <c r="N641" t="n">
        <v>12.5700724</v>
      </c>
      <c r="O641" s="1" t="inlineStr">
        <is>
          <t>Denmark</t>
        </is>
      </c>
      <c r="P641" s="1" t="inlineStr">
        <is>
          <t>Denmark</t>
        </is>
      </c>
      <c r="Q641" s="1" t="inlineStr">
        <is>
          <t>3 to 5</t>
        </is>
      </c>
      <c r="R641" t="inlineStr">
        <is>
          <t>Micro</t>
        </is>
      </c>
      <c r="S641" s="1" t="inlineStr">
        <is>
          <t>Business to Business, Business to Consumer, Business to Schools</t>
        </is>
      </c>
      <c r="T641" s="1" t="inlineStr">
        <is>
          <t>Early childhood development (0-5 years), Primary Education, Secondary Education, Lifelong learning/Adult education</t>
        </is>
      </c>
      <c r="U641" s="1" t="inlineStr">
        <is>
          <t>System/Administrative, Student interfacing, Teacher interfacing</t>
        </is>
      </c>
      <c r="V641" s="1" t="inlineStr">
        <is>
          <t>Liirn App</t>
        </is>
      </c>
      <c r="W641" s="1" t="inlineStr">
        <is>
          <t>The Liirn App is an IOS app which connects kids with a native speaker to help teach the kids a foreign language.
The tutor will teach the kids a langauge based on their passions by using it as the conversation topic to make the learning experience more engaging and fun.
Parents can find a tutor for their kid(s) and follow their progress.</t>
        </is>
      </c>
      <c r="X641" s="10" t="inlineStr">
        <is>
          <t>Liirn Space</t>
        </is>
      </c>
      <c r="Y641" t="inlineStr">
        <is>
          <t>Liirn is working with foundations, NGOs, schools, and art therapists— to provide innovative social-emotional programming for students, on its online learning platform.</t>
        </is>
      </c>
      <c r="Z641" s="1" t="inlineStr">
        <is>
          <t>https://drive.google.com/uc?export=view&amp;id=1cy8acoX6GthKWrVuzNLZLQ6DejzhpZjP</t>
        </is>
      </c>
      <c r="AA641" s="1" t="inlineStr">
        <is>
          <t>Unverified</t>
        </is>
      </c>
      <c r="AB641" s="1" t="n"/>
      <c r="AC641" s="1" t="n"/>
      <c r="AD641" s="10" t="n"/>
      <c r="AE641" s="1" t="n"/>
      <c r="AF641" t="inlineStr">
        <is>
          <t>Yes</t>
        </is>
      </c>
      <c r="AG641" t="inlineStr">
        <is>
          <t>https://www.linkedin.com/company/liirn-by-grbll</t>
        </is>
      </c>
      <c r="AH641" t="inlineStr">
        <is>
          <t>https://www.linkedin.com/company/liirn-by-grbll</t>
        </is>
      </c>
      <c r="AI641" t="inlineStr">
        <is>
          <t>https://www.linkedin.com/company/liirn-by-grbll</t>
        </is>
      </c>
    </row>
    <row r="642" ht="12.5" customHeight="1">
      <c r="A642" s="6" t="n">
        <v>45184</v>
      </c>
      <c r="B642" s="1" t="inlineStr">
        <is>
          <t>ORG_1694</t>
        </is>
      </c>
      <c r="C642" s="1" t="b">
        <v>1</v>
      </c>
      <c r="D642" s="1" t="inlineStr">
        <is>
          <t>HUSSAR ACADEMY</t>
        </is>
      </c>
      <c r="E642" s="10" t="inlineStr">
        <is>
          <t>https://hussaracademy.fr</t>
        </is>
      </c>
      <c r="F642" t="inlineStr">
        <is>
          <t>hussaracademy.fr</t>
        </is>
      </c>
      <c r="G642" s="1" t="inlineStr">
        <is>
          <t>Hussar Academy is a EdTech dedicated to ''learning by doing'' pedagogy. Its main objective is to integrate real-life business issues into the educational program based on an ecosystem that brings together engineering, coding, business and design schools allowing students to acquire new skills that can be certified. Hussar Academy fosters direct student-company relationships during the 3 main courses: ideation, prototyping and acceleration leading to a natural recruitment.</t>
        </is>
      </c>
      <c r="H642" s="1" t="inlineStr">
        <is>
          <t>EdTech France</t>
        </is>
      </c>
      <c r="I642" s="1" t="inlineStr">
        <is>
          <t>English, French</t>
        </is>
      </c>
      <c r="J642" s="1" t="inlineStr">
        <is>
          <t>Douarnenez</t>
        </is>
      </c>
      <c r="K642" t="inlineStr">
        <is>
          <t>Douarnenez</t>
        </is>
      </c>
      <c r="L642" t="inlineStr">
        <is>
          <t>Douarnenez, France</t>
        </is>
      </c>
      <c r="M642" t="n">
        <v>48.0944459</v>
      </c>
      <c r="N642" t="n">
        <v>-4.3311243</v>
      </c>
      <c r="O642" s="1" t="inlineStr">
        <is>
          <t>France</t>
        </is>
      </c>
      <c r="P642" s="1" t="inlineStr">
        <is>
          <t>France, Switzerland</t>
        </is>
      </c>
      <c r="Q642" s="1" t="inlineStr">
        <is>
          <t>0 to 2</t>
        </is>
      </c>
      <c r="R642" t="inlineStr">
        <is>
          <t>Solo entrepreneur</t>
        </is>
      </c>
      <c r="S642" s="1" t="inlineStr">
        <is>
          <t>Business to Business, Business to Consumer, Business to Government, Business to Schools</t>
        </is>
      </c>
      <c r="T642" s="1" t="inlineStr">
        <is>
          <t>Secondary Education, Corporate Training</t>
        </is>
      </c>
      <c r="U642" s="1" t="inlineStr">
        <is>
          <t>Teacher interfacing, System/Administrative</t>
        </is>
      </c>
      <c r="V642" s="10" t="inlineStr">
        <is>
          <t>Ideation Course</t>
        </is>
      </c>
      <c r="W642" s="1" t="inlineStr">
        <is>
          <t>A course where diverse profiles of students come together for several days around real business issues from companies to solve in a hackathon format coached by tech experts.</t>
        </is>
      </c>
      <c r="X642" s="10" t="inlineStr">
        <is>
          <t>Prototyping Course</t>
        </is>
      </c>
      <c r="Y642" t="inlineStr">
        <is>
          <t>Good ideas that emerged during the ideation course can be prototyped by students thanks to partnerships with Tech companies like IBM, Oracle or Microsoft. Students have access to free credits to develop and to Tech experts to answer their questions.</t>
        </is>
      </c>
      <c r="Z642" s="1" t="inlineStr">
        <is>
          <t>https://drive.google.com/uc?export=view&amp;id=1ho0NrSLEGTUlC1EnR723oJOTGWzu9h-6</t>
        </is>
      </c>
      <c r="AA642" s="1" t="inlineStr">
        <is>
          <t>Unverified</t>
        </is>
      </c>
      <c r="AB642" s="1" t="n"/>
      <c r="AC642" s="1" t="n"/>
      <c r="AD642" s="10" t="n"/>
      <c r="AE642" s="1" t="n"/>
      <c r="AF642" t="inlineStr">
        <is>
          <t>Yes</t>
        </is>
      </c>
      <c r="AG642" t="inlineStr">
        <is>
          <t>https://www.instagram.com/accounts/login/?next=/hussaracademy/</t>
        </is>
      </c>
      <c r="AH642" t="inlineStr">
        <is>
          <t>hussar academy</t>
        </is>
      </c>
      <c r="AI642" t="inlineStr">
        <is>
          <t>https://www.linkedin.com/company/hussar-academy</t>
        </is>
      </c>
    </row>
    <row r="643" ht="12.5" customHeight="1">
      <c r="A643" s="6" t="n">
        <v>45184</v>
      </c>
      <c r="B643" s="1" t="inlineStr">
        <is>
          <t>ORG_2129</t>
        </is>
      </c>
      <c r="C643" s="1" t="b">
        <v>1</v>
      </c>
      <c r="D643" s="1" t="inlineStr">
        <is>
          <t>Prorenata</t>
        </is>
      </c>
      <c r="E643" s="10" t="inlineStr">
        <is>
          <t>www.prorenata.se</t>
        </is>
      </c>
      <c r="F643" t="inlineStr">
        <is>
          <t>prorenata.se</t>
        </is>
      </c>
      <c r="G643" s="1" t="inlineStr">
        <is>
          <t>Prorenata provides medical records, documentation and issue management systems for schools. Prorenata's main product Prorenata Journal is a flexible, cost efficient solution utilizing modern web technology.</t>
        </is>
      </c>
      <c r="H643" s="1" t="inlineStr">
        <is>
          <t>Swedish EdTech Industry</t>
        </is>
      </c>
      <c r="I643" s="1" t="inlineStr">
        <is>
          <t>Swedish</t>
        </is>
      </c>
      <c r="J643" s="1" t="inlineStr">
        <is>
          <t>Stockholm</t>
        </is>
      </c>
      <c r="K643" t="inlineStr">
        <is>
          <t>Stockholm</t>
        </is>
      </c>
      <c r="L643" t="inlineStr">
        <is>
          <t>Stockholm, Sweden</t>
        </is>
      </c>
      <c r="M643" t="n">
        <v>59.3251172</v>
      </c>
      <c r="N643" t="n">
        <v>18.0710935</v>
      </c>
      <c r="O643" s="1" t="inlineStr">
        <is>
          <t>Sweden</t>
        </is>
      </c>
      <c r="P643" s="1" t="inlineStr">
        <is>
          <t>Sweden</t>
        </is>
      </c>
      <c r="Q643" s="1" t="inlineStr">
        <is>
          <t>11 to 50</t>
        </is>
      </c>
      <c r="R643" t="inlineStr">
        <is>
          <t>Small</t>
        </is>
      </c>
      <c r="S643" s="1" t="inlineStr">
        <is>
          <t>Business to Business, Business to Government, Business to Schools</t>
        </is>
      </c>
      <c r="T643" s="1" t="inlineStr">
        <is>
          <t>Early childhood development (0-5 years), Primary Education, Secondary Education</t>
        </is>
      </c>
      <c r="U643" s="1" t="inlineStr">
        <is>
          <t>System/Administrative, Student interfacing, Teacher interfacing</t>
        </is>
      </c>
      <c r="V643" s="1" t="inlineStr">
        <is>
          <t>Prorenata Journal</t>
        </is>
      </c>
      <c r="W643" s="1" t="inlineStr">
        <is>
          <t>Prorenata Journal is a web based user friendly issue management and journal systems for schools and student health.</t>
        </is>
      </c>
      <c r="X643" s="10" t="inlineStr">
        <is>
          <t>https://drive.google.com/uc?export=view&amp;id=1lykj_qNCeVccYOpWuJtzJ9An-uRJfwwo</t>
        </is>
      </c>
      <c r="Y643" t="inlineStr">
        <is>
          <t>https://drive.google.com/uc?export=view&amp;id=1lykj_qNCeVccYOpWuJtzJ9An-uRJfwwo</t>
        </is>
      </c>
      <c r="Z643" s="1" t="inlineStr">
        <is>
          <t>https://drive.google.com/uc?export=view&amp;id=1lykj_qNCeVccYOpWuJtzJ9An-uRJfwwo</t>
        </is>
      </c>
      <c r="AA643" s="1" t="inlineStr">
        <is>
          <t>Unverified</t>
        </is>
      </c>
      <c r="AB643" s="1" t="n"/>
      <c r="AC643" s="1" t="n"/>
      <c r="AD643" s="10" t="n"/>
      <c r="AE643" s="1" t="n"/>
      <c r="AF643" t="inlineStr">
        <is>
          <t>Yes</t>
        </is>
      </c>
      <c r="AG643" t="inlineStr">
        <is>
          <t>https://www.linkedin.com/company/prorenata-ab/</t>
        </is>
      </c>
      <c r="AH643" t="inlineStr">
        <is>
          <t>https://www.linkedin.com/company/prorenata-ab/</t>
        </is>
      </c>
      <c r="AI643" t="inlineStr">
        <is>
          <t>https://www.linkedin.com/company/prorenata-ab/</t>
        </is>
      </c>
    </row>
    <row r="644" ht="12.5" customHeight="1">
      <c r="A644" s="6" t="n">
        <v>45184</v>
      </c>
      <c r="B644" s="1" t="inlineStr">
        <is>
          <t>ORG_1609</t>
        </is>
      </c>
      <c r="C644" s="1" t="b">
        <v>1</v>
      </c>
      <c r="D644" s="1" t="inlineStr">
        <is>
          <t>Gaptain. Culture of Cybersecurity</t>
        </is>
      </c>
      <c r="E644" s="10" t="inlineStr">
        <is>
          <t>https://gaptain.com</t>
        </is>
      </c>
      <c r="F644" t="inlineStr">
        <is>
          <t>gaptain.com</t>
        </is>
      </c>
      <c r="G644" s="1" t="inlineStr">
        <is>
          <t>We help schools to educate in cybersecurity and digital skills from an early age</t>
        </is>
      </c>
      <c r="H644" s="1" t="inlineStr">
        <is>
          <t>EduTech Cluster Spain, SEK Lab</t>
        </is>
      </c>
      <c r="I644" s="1" t="n"/>
      <c r="J644" s="1" t="inlineStr">
        <is>
          <t>Plentzia</t>
        </is>
      </c>
      <c r="K644" t="inlineStr">
        <is>
          <t>Plentzia</t>
        </is>
      </c>
      <c r="L644" t="inlineStr">
        <is>
          <t>Plentzia, Spain</t>
        </is>
      </c>
      <c r="M644" t="n">
        <v>43.4051753</v>
      </c>
      <c r="N644" t="n">
        <v>-2.9478553</v>
      </c>
      <c r="O644" s="1" t="inlineStr">
        <is>
          <t>Spain</t>
        </is>
      </c>
      <c r="P644" s="1" t="inlineStr">
        <is>
          <t>Andorra, Spain</t>
        </is>
      </c>
      <c r="Q644" s="1" t="inlineStr">
        <is>
          <t>3 to 5</t>
        </is>
      </c>
      <c r="R644" t="inlineStr">
        <is>
          <t>Micro</t>
        </is>
      </c>
      <c r="S644" s="1" t="inlineStr">
        <is>
          <t>Business to Business, Business to Consumer, Business to Government, Business to Schools</t>
        </is>
      </c>
      <c r="T644" s="1" t="inlineStr">
        <is>
          <t>Primary Education, Secondary Education</t>
        </is>
      </c>
      <c r="U644" s="1" t="inlineStr">
        <is>
          <t>System/Administrative, Student interfacing, Teacher interfacing</t>
        </is>
      </c>
      <c r="V644" s="1" t="inlineStr">
        <is>
          <t>Kids Centric universe 360º</t>
        </is>
      </c>
      <c r="W644" s="10" t="inlineStr">
        <is>
          <t>Kids Centric Universe is the platform education that creates a Culture of Cybersecurity in educational environments (school + families).
We use video games to assess students, and artificial intelligence for customize the most suitable content to the identified risks.
The personalized teaching unit is integral, in online video format and reaches the
teachers, students and families.
In addition, Kids Centric Universe allows monitor their impact on the center
education and school coexistence.</t>
        </is>
      </c>
      <c r="X644" s="10" t="inlineStr">
        <is>
          <t>https://drive.google.com/uc?export=view&amp;id=1H5ppKG8Zmq4-878ZbnflGTjI_8t5wTpN</t>
        </is>
      </c>
      <c r="Y644" t="inlineStr">
        <is>
          <t>https://drive.google.com/uc?export=view&amp;id=1H5ppKG8Zmq4-878ZbnflGTjI_8t5wTpN</t>
        </is>
      </c>
      <c r="Z644" s="1" t="inlineStr">
        <is>
          <t>https://drive.google.com/uc?export=view&amp;id=1H5ppKG8Zmq4-878ZbnflGTjI_8t5wTpN</t>
        </is>
      </c>
      <c r="AA644" s="1" t="inlineStr">
        <is>
          <t>Unverified</t>
        </is>
      </c>
      <c r="AB644" s="1" t="n"/>
      <c r="AC644" s="1" t="n"/>
      <c r="AD644" s="10" t="n"/>
      <c r="AE644" s="1" t="n"/>
      <c r="AF644" t="inlineStr">
        <is>
          <t>Yes</t>
        </is>
      </c>
      <c r="AG644" t="inlineStr">
        <is>
          <t>https://twitter.com/gaptain_es</t>
        </is>
      </c>
      <c r="AH644" t="inlineStr">
        <is>
          <t>https://twitter.com/gaptain_es</t>
        </is>
      </c>
      <c r="AI644" t="inlineStr">
        <is>
          <t>https://www.linkedin.com/company/gaptain/</t>
        </is>
      </c>
    </row>
    <row r="645" ht="12.5" customHeight="1">
      <c r="A645" s="6" t="n">
        <v>45183</v>
      </c>
      <c r="B645" s="1" t="inlineStr">
        <is>
          <t>ORG_2518</t>
        </is>
      </c>
      <c r="C645" s="1" t="b">
        <v>1</v>
      </c>
      <c r="D645" s="1" t="inlineStr">
        <is>
          <t>Webstrive</t>
        </is>
      </c>
      <c r="E645" s="10" t="inlineStr">
        <is>
          <t>https://webstrive.be/edtech</t>
        </is>
      </c>
      <c r="F645" t="inlineStr">
        <is>
          <t>webstrive.be/edtech</t>
        </is>
      </c>
      <c r="G645" s="1" t="inlineStr">
        <is>
          <t>Webstrive revolutionizes the learning landscape by blending innovative technologies and in-house professional videography, delivering deeply immersive learning experiences across a broad range of sectors. By incorporating AI, gamification, and user experience principles, highly intuitive and engaging learning platforms are designed that not only educate but truly captivate. Furthermore, Webstrive extends its expertise through accessible and tangible data &amp; AI consultancy and training services.</t>
        </is>
      </c>
      <c r="H645" s="1" t="inlineStr">
        <is>
          <t>edtechstation</t>
        </is>
      </c>
      <c r="I645" s="1" t="inlineStr">
        <is>
          <t>Dutch, English</t>
        </is>
      </c>
      <c r="J645" s="1" t="inlineStr">
        <is>
          <t>Zottegem</t>
        </is>
      </c>
      <c r="K645" t="inlineStr">
        <is>
          <t>Zottegem</t>
        </is>
      </c>
      <c r="L645" t="inlineStr">
        <is>
          <t>Zottegem, Belgium</t>
        </is>
      </c>
      <c r="M645" t="n">
        <v>50.8642312</v>
      </c>
      <c r="N645" t="n">
        <v>3.8102686</v>
      </c>
      <c r="O645" s="1" t="inlineStr">
        <is>
          <t>Belgium</t>
        </is>
      </c>
      <c r="P645" s="1" t="inlineStr">
        <is>
          <t>Belgium, Netherlands</t>
        </is>
      </c>
      <c r="Q645" s="1" t="inlineStr">
        <is>
          <t>3 to 5</t>
        </is>
      </c>
      <c r="R645" t="inlineStr">
        <is>
          <t>Micro</t>
        </is>
      </c>
      <c r="S645" s="1" t="inlineStr">
        <is>
          <t>Business to Government, Business to Schools, Business to Business</t>
        </is>
      </c>
      <c r="T645" s="1" t="inlineStr">
        <is>
          <t>Secondary Education, Corporate Training, Lifelong learning/Adult education, Vocational Education and Training (VET), Higher Education</t>
        </is>
      </c>
      <c r="U645" s="1" t="inlineStr">
        <is>
          <t>System/Administrative, Student interfacing, Teacher interfacing</t>
        </is>
      </c>
      <c r="V645" s="10" t="inlineStr">
        <is>
          <t>Webstrive Data &amp; AI</t>
        </is>
      </c>
      <c r="W645" s="1" t="inlineStr">
        <is>
          <t>Webstrive's Data &amp; AI service transforms the complex world of artificial intelligence into a tangible asset for any business. We simplify data intricacies, offering hands-on consultancy and training that pave the way for informed decisions and growth. Our approach is rooted in accessibility, ensuring that every client can harness the power of AI to unlock unprecedented opportunities. With Webstrive, prepare to navigate the data landscape with confidence and ease.</t>
        </is>
      </c>
      <c r="X645" s="10" t="inlineStr">
        <is>
          <t>Webstrive Videography</t>
        </is>
      </c>
      <c r="Y645" t="inlineStr">
        <is>
          <t>Leveraging years of expertise across various domains, Webstrive Videography specializes in delivering professional videography services equipped with top-notch materials. Our experienced teams understands the diverse needs of our customers, enabling a harmonious blend of vision and execution.</t>
        </is>
      </c>
      <c r="Z645" s="1" t="inlineStr">
        <is>
          <t>https://drive.google.com/uc?export=view&amp;id=147owgE83rY8f1kJTh_1xSWugbKMjqooh</t>
        </is>
      </c>
      <c r="AA645" s="1" t="inlineStr">
        <is>
          <t>Unverified</t>
        </is>
      </c>
      <c r="AB645" s="1" t="n"/>
      <c r="AC645" s="1" t="n"/>
      <c r="AD645" s="10" t="n"/>
      <c r="AE645" s="1" t="n"/>
      <c r="AF645" t="inlineStr">
        <is>
          <t>Yes</t>
        </is>
      </c>
      <c r="AG645" t="inlineStr">
        <is>
          <t>https://instagram.com/webstrive.be?igshid=MzRlODBiNWFlZA==</t>
        </is>
      </c>
      <c r="AH645" t="inlineStr">
        <is>
          <t>https://www.linkedin.com/company/webstrive</t>
        </is>
      </c>
      <c r="AI645" t="inlineStr">
        <is>
          <t>https://www.linkedin.com/company/webstrive</t>
        </is>
      </c>
    </row>
    <row r="646" ht="12.5" customHeight="1">
      <c r="A646" s="6" t="n">
        <v>45183</v>
      </c>
      <c r="B646" s="1" t="inlineStr">
        <is>
          <t>ORG_1163</t>
        </is>
      </c>
      <c r="C646" s="1" t="b">
        <v>1</v>
      </c>
      <c r="D646" s="1" t="inlineStr">
        <is>
          <t>Bi'akil</t>
        </is>
      </c>
      <c r="E646" s="10" t="inlineStr">
        <is>
          <t>app.biakil.com</t>
        </is>
      </c>
      <c r="F646" t="inlineStr">
        <is>
          <t>app.biakil.com</t>
        </is>
      </c>
      <c r="G646" s="1" t="inlineStr">
        <is>
          <t>Bi'akıl, which was founded in Eskişehir, Turkey, in 2021, is one of the country's promising new edtech hubs. Currently, Bi'akıl is a highly recognized and respected company in the Turkish Edtech sector, having more 7 team members, hundreds of experts, and thousands of users. Bi'akıl offers a community management platform to experts and provides live and interactive training sessions to its users.
Bi'akıl's products and services include a video conferencing application for live classes, an appointment infrastructure for people to schedule counseling and mentoring sessions, and a panel with a CRM infrastructure that allows experts to reach their students and analyze their own performance.</t>
        </is>
      </c>
      <c r="H646" s="1" t="inlineStr">
        <is>
          <t>I'm not part of any EdTech association</t>
        </is>
      </c>
      <c r="I646" s="1" t="inlineStr">
        <is>
          <t>Turkish</t>
        </is>
      </c>
      <c r="J646" s="1" t="inlineStr">
        <is>
          <t>Panaromaplus Sites, No 2/A, Floor 16, Apartment 63</t>
        </is>
      </c>
      <c r="L646" t="inlineStr">
        <is>
          <t>Panaromaplus Sites, No 2/A, Floor 16, Apartment 63, Turkiye</t>
        </is>
      </c>
      <c r="O646" s="1" t="inlineStr">
        <is>
          <t>Turkiye</t>
        </is>
      </c>
      <c r="P646" s="1" t="inlineStr">
        <is>
          <t>Germany, Turkey, United Kingdom</t>
        </is>
      </c>
      <c r="Q646" s="1" t="inlineStr">
        <is>
          <t>3 to 5</t>
        </is>
      </c>
      <c r="R646" t="inlineStr">
        <is>
          <t>Micro</t>
        </is>
      </c>
      <c r="S646" s="1" t="inlineStr">
        <is>
          <t>Business to Business</t>
        </is>
      </c>
      <c r="T646" s="1" t="inlineStr">
        <is>
          <t>Lifelong learning/Adult education</t>
        </is>
      </c>
      <c r="U646" s="1" t="inlineStr">
        <is>
          <t>Teacher interfacing</t>
        </is>
      </c>
      <c r="V646" s="10" t="inlineStr">
        <is>
          <t>https://tr.linkedin.com/company/biakil</t>
        </is>
      </c>
      <c r="W646" s="1" t="inlineStr">
        <is>
          <t>https://drive.google.com/uc?export=view&amp;id=1GxHliWRODC0EXyrFMrDukl9lfqsDMKv5</t>
        </is>
      </c>
      <c r="X646" s="10" t="inlineStr">
        <is>
          <t>https://drive.google.com/uc?export=view&amp;id=1GxHliWRODC0EXyrFMrDukl9lfqsDMKv5</t>
        </is>
      </c>
      <c r="Y646" t="inlineStr">
        <is>
          <t>https://drive.google.com/uc?export=view&amp;id=1GxHliWRODC0EXyrFMrDukl9lfqsDMKv5</t>
        </is>
      </c>
      <c r="Z646" s="1" t="inlineStr">
        <is>
          <t>https://drive.google.com/uc?export=view&amp;id=1GxHliWRODC0EXyrFMrDukl9lfqsDMKv5</t>
        </is>
      </c>
      <c r="AA646" s="1" t="inlineStr">
        <is>
          <t>Unverified</t>
        </is>
      </c>
      <c r="AB646" s="1" t="n"/>
      <c r="AC646" s="1" t="n"/>
      <c r="AD646" s="10" t="n"/>
      <c r="AE646" s="1" t="n"/>
      <c r="AF646" t="inlineStr">
        <is>
          <t>Yes</t>
        </is>
      </c>
      <c r="AG646" t="inlineStr">
        <is>
          <t>https://www.instagram.com/biakilapp/</t>
        </is>
      </c>
      <c r="AH646" t="inlineStr">
        <is>
          <t>https://tr.linkedin.com/company/biakil</t>
        </is>
      </c>
      <c r="AI646" t="inlineStr">
        <is>
          <t>https://tr.linkedin.com/company/biakil</t>
        </is>
      </c>
    </row>
    <row r="647" ht="12.5" customHeight="1">
      <c r="A647" s="6" t="n">
        <v>45183</v>
      </c>
      <c r="B647" s="1" t="inlineStr">
        <is>
          <t>ORG_2197</t>
        </is>
      </c>
      <c r="C647" s="1" t="b">
        <v>1</v>
      </c>
      <c r="D647" s="1" t="inlineStr">
        <is>
          <t>Rock Stepper</t>
        </is>
      </c>
      <c r="E647" s="10" t="inlineStr">
        <is>
          <t>www.rockstepper.com</t>
        </is>
      </c>
      <c r="F647" t="inlineStr">
        <is>
          <t>rockstepper.com</t>
        </is>
      </c>
      <c r="G647" s="1" t="inlineStr">
        <is>
          <t>An EdTech start-up founded and developed by parents, our first product is called 'Rockstepper.' A two-sided, durable and beautifully designed playmat that complements school learning at home.</t>
        </is>
      </c>
      <c r="H647" s="1" t="inlineStr">
        <is>
          <t>I'm not part of any EdTech association</t>
        </is>
      </c>
      <c r="I647" s="1" t="n"/>
      <c r="J647" s="1" t="inlineStr">
        <is>
          <t>London</t>
        </is>
      </c>
      <c r="K647" t="inlineStr">
        <is>
          <t>London</t>
        </is>
      </c>
      <c r="L647" t="inlineStr">
        <is>
          <t>London, United Kingdom</t>
        </is>
      </c>
      <c r="M647" t="n">
        <v>51.5074456</v>
      </c>
      <c r="N647" t="n">
        <v>-0.1277653</v>
      </c>
      <c r="O647" s="1" t="inlineStr">
        <is>
          <t>United Kingdom</t>
        </is>
      </c>
      <c r="P647" s="1" t="inlineStr">
        <is>
          <t>United Kingdom</t>
        </is>
      </c>
      <c r="Q647" s="1" t="inlineStr">
        <is>
          <t>0 to 2</t>
        </is>
      </c>
      <c r="R647" t="inlineStr">
        <is>
          <t>Solo entrepreneur</t>
        </is>
      </c>
      <c r="S647" s="1" t="inlineStr">
        <is>
          <t>Business to Business, Business to Consumer, Business to Schools</t>
        </is>
      </c>
      <c r="T647" s="1" t="inlineStr">
        <is>
          <t>Early childhood development (0-5 years)</t>
        </is>
      </c>
      <c r="U647" s="1" t="inlineStr">
        <is>
          <t>System/Administrative, Student interfacing, Teacher interfacing</t>
        </is>
      </c>
      <c r="V647" s="1" t="n"/>
      <c r="W647" s="1" t="inlineStr">
        <is>
          <t>https://drive.google.com/uc?export=view&amp;id=1OB1RlWPL00Tw8pYe4h74p6ZUgAJ5LF_4</t>
        </is>
      </c>
      <c r="X647" s="1" t="inlineStr">
        <is>
          <t>https://drive.google.com/uc?export=view&amp;id=1OB1RlWPL00Tw8pYe4h74p6ZUgAJ5LF_4</t>
        </is>
      </c>
      <c r="Y647" t="inlineStr">
        <is>
          <t>https://drive.google.com/uc?export=view&amp;id=1OB1RlWPL00Tw8pYe4h74p6ZUgAJ5LF_4</t>
        </is>
      </c>
      <c r="Z647" s="1" t="inlineStr">
        <is>
          <t>https://drive.google.com/uc?export=view&amp;id=1OB1RlWPL00Tw8pYe4h74p6ZUgAJ5LF_4</t>
        </is>
      </c>
      <c r="AA647" s="1" t="inlineStr">
        <is>
          <t>Unverified</t>
        </is>
      </c>
      <c r="AB647" s="1" t="n"/>
      <c r="AC647" s="1" t="n"/>
      <c r="AD647" s="10" t="n"/>
      <c r="AE647" s="1" t="n"/>
      <c r="AF647" s="1" t="inlineStr">
        <is>
          <t>No</t>
        </is>
      </c>
      <c r="AG647" s="1" t="n"/>
      <c r="AH647" s="1" t="n"/>
      <c r="AI647" s="1" t="n"/>
      <c r="AJ647" s="1" t="n"/>
    </row>
    <row r="648" ht="12.5" customHeight="1">
      <c r="A648" s="6" t="n">
        <v>45183</v>
      </c>
      <c r="B648" s="1" t="inlineStr">
        <is>
          <t>ORG_1605</t>
        </is>
      </c>
      <c r="C648" s="1" t="b">
        <v>1</v>
      </c>
      <c r="D648" s="1" t="inlineStr">
        <is>
          <t>Gamester Kids</t>
        </is>
      </c>
      <c r="E648" s="10" t="inlineStr">
        <is>
          <t>kids.gamester.com.tr</t>
        </is>
      </c>
      <c r="F648" t="inlineStr">
        <is>
          <t>kids.gamester.com.tr</t>
        </is>
      </c>
      <c r="G648" s="1" t="inlineStr">
        <is>
          <t>We are Gamester Kids, a kids-focused company dedicated to the next generation of innovators, creators and thinkers. We make it fun and safe for kids to discover the world, to ignite the love for learning and inspire them to become lifelong learners through games.
Our mission is to nurture the creativity and imagination of kids through educational, fun and safe content. We commit to breaking down the educational barriers while supporting parents on their children’s learning journey with continuous innovation.
Our flagship title, Tiny Minies is an essential early learning app for 3-6 years old preschoolers. It incorporates simple learning activities that engage and inspire kids to learn through play with everyday cognitive development activities carefully created with educators and child development specialists.
About Tiny Minies:
- Content curation with an advisory team of kindergarten teachers, child psychologists and child development specialists.
- Development progress on 5 core areas: Attention, Problem Solving, Memory, Creativity and Learning Abilities
- Custom progress reports and personal pedagogical advices for parents.
- Smart screen limitation complying with The American Academy of Pediatrics’ Family Media Use Plan
- Hundreds of educational games and activities
- Kids meditation, mindfulness and breathing exercises
- Interactive story books 
- Sleep time audio stories and lullabies
- Regularly added new games and activities supporting STEM, vocabulary and emotional intelligence</t>
        </is>
      </c>
      <c r="H648" s="1" t="inlineStr">
        <is>
          <t>I'm not part of any EdTech association</t>
        </is>
      </c>
      <c r="I648" s="1" t="inlineStr">
        <is>
          <t>English, Spanish, Portuguese, Turkish, Arabic</t>
        </is>
      </c>
      <c r="J648" s="1" t="inlineStr">
        <is>
          <t>Istanbul</t>
        </is>
      </c>
      <c r="K648" t="inlineStr">
        <is>
          <t>Istanbul</t>
        </is>
      </c>
      <c r="L648" t="inlineStr">
        <is>
          <t>Istanbul, Turkiye</t>
        </is>
      </c>
      <c r="M648" t="n">
        <v>41.006381</v>
      </c>
      <c r="N648" t="n">
        <v>28.9758715</v>
      </c>
      <c r="O648" s="1" t="inlineStr">
        <is>
          <t>Turkiye</t>
        </is>
      </c>
      <c r="P648" s="1" t="inlineStr">
        <is>
          <t>Austria, Belgium, Denmark, Finland, France, Germany, Ireland, Italy, Monaco, Netherlands, Norway, Portugal, Spain, Sweden, Switzerland, Turkey, United Kingdom</t>
        </is>
      </c>
      <c r="Q648" s="1" t="inlineStr">
        <is>
          <t>11 to 50</t>
        </is>
      </c>
      <c r="R648" t="inlineStr">
        <is>
          <t>Small</t>
        </is>
      </c>
      <c r="S648" s="1" t="inlineStr">
        <is>
          <t>Business to Consumer, Business to Schools</t>
        </is>
      </c>
      <c r="T648" s="1" t="inlineStr">
        <is>
          <t>Early childhood development (0-5 years)</t>
        </is>
      </c>
      <c r="U648" s="1" t="inlineStr">
        <is>
          <t>System/Administrative, Student interfacing</t>
        </is>
      </c>
      <c r="V648" s="10" t="inlineStr">
        <is>
          <t>Tiny Minies</t>
        </is>
      </c>
      <c r="W648" s="1" t="inlineStr">
        <is>
          <t>Tiny Minies is an edutainment platform for toddlers and preschoolers. 
It combines playful learning activities with everyday cognitive development exercises, curated in collaboration with educators. With an emphasis on fun and interactive experiences, Tiny Minies sparks curiosity and empowers young minds to learn through play. Engaging games, captivating puzzles, and immersive stories provide endless opportunities for growth and discovery.
Carefully designed and curated content that aligns with children's age groups and learning speeds includes Games, Books, Meditation &amp; Breathing Exercises, Tales, Physical Exercise &amp; Kids Yoga.
Other features include:
- Detailed reporting section for parents to monitor and track their children's development progress
- Smart Screen Time: Daily screen time limit for each age group
- Offline Usage: No internet connection needed, play anytime and anywhere
- Multiple Profiles: Crowded families can create up to 5 child profiles
- Parental Gate: Control for accessing to adults’ content including purchases and settings</t>
        </is>
      </c>
      <c r="X648" s="10" t="inlineStr">
        <is>
          <t>https://drive.google.com/uc?export=view&amp;id=1GP2ADUPi8oFL8Vd4n-WREMpGx2tyLL5F</t>
        </is>
      </c>
      <c r="Y648" t="inlineStr">
        <is>
          <t>https://drive.google.com/uc?export=view&amp;id=1GP2ADUPi8oFL8Vd4n-WREMpGx2tyLL5F</t>
        </is>
      </c>
      <c r="Z648" s="1" t="inlineStr">
        <is>
          <t>https://drive.google.com/uc?export=view&amp;id=1GP2ADUPi8oFL8Vd4n-WREMpGx2tyLL5F</t>
        </is>
      </c>
      <c r="AA648" s="1" t="inlineStr">
        <is>
          <t>Unverified</t>
        </is>
      </c>
      <c r="AB648" s="1" t="n"/>
      <c r="AC648" s="1" t="n"/>
      <c r="AD648" s="10" t="n"/>
      <c r="AE648" s="1" t="n"/>
      <c r="AF648" t="inlineStr">
        <is>
          <t>Yes</t>
        </is>
      </c>
      <c r="AG648" t="inlineStr">
        <is>
          <t>https://www.instagram.com/tinyminies.en</t>
        </is>
      </c>
      <c r="AH648" t="inlineStr">
        <is>
          <t>https://www.linkedin.com/company/gamester-kids</t>
        </is>
      </c>
      <c r="AI648" t="inlineStr">
        <is>
          <t>https://www.linkedin.com/company/gamester-kids</t>
        </is>
      </c>
    </row>
    <row r="649" ht="12.5" customHeight="1">
      <c r="A649" s="6" t="n">
        <v>45183</v>
      </c>
      <c r="B649" s="1" t="inlineStr">
        <is>
          <t>ORG_1266</t>
        </is>
      </c>
      <c r="C649" s="1" t="b">
        <v>1</v>
      </c>
      <c r="D649" s="1" t="inlineStr">
        <is>
          <t>Cobie AI</t>
        </is>
      </c>
      <c r="E649" s="10" t="inlineStr">
        <is>
          <t>www.cobie.io</t>
        </is>
      </c>
      <c r="F649" t="inlineStr">
        <is>
          <t>cobie.io</t>
        </is>
      </c>
      <c r="G649" s="1" t="inlineStr">
        <is>
          <t>Cobie AI - AI Assistant is a cloud-based platform for teaching coding classes focusing on K-12 education. Cobie AI helps teachers and enables 1-on-1 mentoring on a scale. It analyses students' code in real-time and prepares suggestions for teachers to support the learning process. We are able to adapt the content and create a better experience based on communication between students and teachers. The platform includes block programming and integration with 3rd party code editors with an emphasis on teaching the transition between block-based and textual programming. 
The learning process is supported by synthetic lectures that can understand the student's code and position within the course. The system accelerates content creation and enables personalisation on a scalable level.</t>
        </is>
      </c>
      <c r="H649" s="1" t="inlineStr">
        <is>
          <t>EdTech Slovenia</t>
        </is>
      </c>
      <c r="I649" s="1" t="inlineStr">
        <is>
          <t>English, German, Croatian, Slovenian</t>
        </is>
      </c>
      <c r="J649" s="1" t="inlineStr">
        <is>
          <t>Ljubljana</t>
        </is>
      </c>
      <c r="K649" t="inlineStr">
        <is>
          <t>Ljubljana</t>
        </is>
      </c>
      <c r="L649" t="inlineStr">
        <is>
          <t>Ljubljana, Slovenia</t>
        </is>
      </c>
      <c r="M649" t="n">
        <v>46.0500268</v>
      </c>
      <c r="N649" t="n">
        <v>14.5069289</v>
      </c>
      <c r="O649" s="1" t="inlineStr">
        <is>
          <t>Slovenia</t>
        </is>
      </c>
      <c r="P649" s="1" t="inlineStr">
        <is>
          <t>Austria, Croatia, Slovenia, Sweden</t>
        </is>
      </c>
      <c r="Q649" s="1" t="inlineStr">
        <is>
          <t>0 to 2</t>
        </is>
      </c>
      <c r="R649" t="inlineStr">
        <is>
          <t>Solo entrepreneur</t>
        </is>
      </c>
      <c r="S649" s="1" t="inlineStr">
        <is>
          <t>Business to Business</t>
        </is>
      </c>
      <c r="T649" s="1" t="inlineStr">
        <is>
          <t>Primary Education, Secondary Education</t>
        </is>
      </c>
      <c r="U649" s="1" t="inlineStr">
        <is>
          <t>Teacher interfacing</t>
        </is>
      </c>
      <c r="V649" s="1" t="n"/>
      <c r="W649" s="1" t="inlineStr">
        <is>
          <t>https://drive.google.com/uc?export=view&amp;id=1T-b8lhNrHhvGXoL5huQrjfu3kGjWxUbV</t>
        </is>
      </c>
      <c r="X649" s="1" t="inlineStr">
        <is>
          <t>https://drive.google.com/uc?export=view&amp;id=1T-b8lhNrHhvGXoL5huQrjfu3kGjWxUbV</t>
        </is>
      </c>
      <c r="Y649" t="inlineStr">
        <is>
          <t>https://drive.google.com/uc?export=view&amp;id=1T-b8lhNrHhvGXoL5huQrjfu3kGjWxUbV</t>
        </is>
      </c>
      <c r="Z649" s="1" t="inlineStr">
        <is>
          <t>https://drive.google.com/uc?export=view&amp;id=1T-b8lhNrHhvGXoL5huQrjfu3kGjWxUbV</t>
        </is>
      </c>
      <c r="AA649" s="1" t="inlineStr">
        <is>
          <t>Unverified</t>
        </is>
      </c>
      <c r="AB649" s="1" t="n"/>
      <c r="AC649" s="1" t="n"/>
      <c r="AD649" s="10" t="n"/>
      <c r="AE649" s="1" t="n"/>
      <c r="AF649" s="1" t="inlineStr">
        <is>
          <t>Yes</t>
        </is>
      </c>
      <c r="AG649" s="1" t="n"/>
      <c r="AH649" s="1" t="inlineStr">
        <is>
          <t>@theCodebrainer</t>
        </is>
      </c>
    </row>
    <row r="650" ht="12.5" customHeight="1">
      <c r="A650" s="6" t="n">
        <v>45183</v>
      </c>
      <c r="B650" s="1" t="inlineStr">
        <is>
          <t>ORG_1630</t>
        </is>
      </c>
      <c r="C650" s="1" t="b">
        <v>1</v>
      </c>
      <c r="D650" s="1" t="inlineStr">
        <is>
          <t>GO! Geïntegreerd Onderwijs</t>
        </is>
      </c>
      <c r="E650" s="10" t="inlineStr">
        <is>
          <t>https://geintegreerd-onderwijs.nl/</t>
        </is>
      </c>
      <c r="F650" t="inlineStr">
        <is>
          <t>geintegreerd-onderwijs.nl</t>
        </is>
      </c>
      <c r="G650" s="1" t="inlineStr">
        <is>
          <t>We are a Edtech company focusing on the worldwide K12 market. We developed a global curriculum on a SAAS platform, that can be used by any school in any part of the world.</t>
        </is>
      </c>
      <c r="H650" s="1" t="inlineStr">
        <is>
          <t>Dutch EdTech</t>
        </is>
      </c>
      <c r="I650" s="1" t="inlineStr">
        <is>
          <t>Dutch, English</t>
        </is>
      </c>
      <c r="J650" s="1" t="inlineStr">
        <is>
          <t>Amersfoort</t>
        </is>
      </c>
      <c r="K650" t="inlineStr">
        <is>
          <t>Amersfoort</t>
        </is>
      </c>
      <c r="L650" t="inlineStr">
        <is>
          <t>Amersfoort, The Netherlands</t>
        </is>
      </c>
      <c r="M650" t="n">
        <v>52.1928326</v>
      </c>
      <c r="N650" t="n">
        <v>5.4212862</v>
      </c>
      <c r="O650" s="1" t="inlineStr">
        <is>
          <t>The Netherlands</t>
        </is>
      </c>
      <c r="P650" s="1" t="inlineStr">
        <is>
          <t>Netherlands, United Kingdom</t>
        </is>
      </c>
      <c r="Q650" s="1" t="inlineStr">
        <is>
          <t>3 to 5</t>
        </is>
      </c>
      <c r="R650" t="inlineStr">
        <is>
          <t>Micro</t>
        </is>
      </c>
      <c r="S650" s="1" t="inlineStr">
        <is>
          <t>Business to Business, Business to Consumer, Business to Government, Business to Schools</t>
        </is>
      </c>
      <c r="T650" s="1" t="inlineStr">
        <is>
          <t>Primary Education, Secondary Education</t>
        </is>
      </c>
      <c r="U650" s="1" t="inlineStr">
        <is>
          <t>Teacher interfacing</t>
        </is>
      </c>
      <c r="V650" s="10" t="inlineStr">
        <is>
          <t>GO! Geïntegreerd Onderwijs</t>
        </is>
      </c>
      <c r="W650" s="1" t="inlineStr">
        <is>
          <t>Are today's students prepared for the world of tomorrow? At GO! we tackle the fundamental problems of contemporary education. We teach children to ask questions instead of giving answers. We really prepare today’s students for tomorrows world and reduce inequality.
Our platform is suitable for and contains content for the education of 4-18 year olds, but can also be used abroad: the content is already available in Dutch and English and our software is also available in several languages. In addition, GO is the only supplier that integrates digital books, an AI search engine and offers the perfect place for student achievement through a portfolio.</t>
        </is>
      </c>
      <c r="X650" s="10" t="inlineStr">
        <is>
          <t>https://drive.google.com/uc?export=view&amp;id=1cuYVQNevOuFIuEqiuDkSDdEMYoOf0zr3</t>
        </is>
      </c>
      <c r="Y650" t="inlineStr">
        <is>
          <t>https://drive.google.com/uc?export=view&amp;id=1cuYVQNevOuFIuEqiuDkSDdEMYoOf0zr3</t>
        </is>
      </c>
      <c r="Z650" s="1" t="inlineStr">
        <is>
          <t>https://drive.google.com/uc?export=view&amp;id=1cuYVQNevOuFIuEqiuDkSDdEMYoOf0zr3</t>
        </is>
      </c>
      <c r="AA650" s="1" t="inlineStr">
        <is>
          <t>Unverified</t>
        </is>
      </c>
      <c r="AB650" s="1" t="n"/>
      <c r="AC650" s="1" t="n"/>
      <c r="AD650" s="10" t="n"/>
      <c r="AE650" s="1" t="n"/>
      <c r="AF650" s="1" t="inlineStr">
        <is>
          <t>Yes</t>
        </is>
      </c>
      <c r="AG650" s="1" t="inlineStr">
        <is>
          <t>https://www.instagram.com/leerplatformgo/</t>
        </is>
      </c>
      <c r="AH650" s="1" t="inlineStr">
        <is>
          <t>https://www.linkedin.com/company/leerplatformgo/</t>
        </is>
      </c>
      <c r="AI650" t="inlineStr">
        <is>
          <t>https://www.linkedin.com/company/leerplatformgo/</t>
        </is>
      </c>
    </row>
    <row r="651" ht="12.5" customHeight="1">
      <c r="A651" s="6" t="n">
        <v>45183</v>
      </c>
      <c r="B651" s="1" t="inlineStr">
        <is>
          <t>ORG_1928</t>
        </is>
      </c>
      <c r="C651" s="1" t="b">
        <v>1</v>
      </c>
      <c r="D651" s="1" t="inlineStr">
        <is>
          <t>Mathias van der Meulen</t>
        </is>
      </c>
      <c r="E651" s="10" t="inlineStr">
        <is>
          <t>https://mathiasvandermeulen.com/</t>
        </is>
      </c>
      <c r="F651" t="inlineStr">
        <is>
          <t>mathiasvandermeulen.com</t>
        </is>
      </c>
      <c r="G651" s="1" t="inlineStr">
        <is>
          <t>I am an instructional designer working as a freelance. I create learning contents and manage instructional designing projects for different types of companies. Check out my portfolio in my website to learn more about my work.</t>
        </is>
      </c>
      <c r="H651" s="1" t="inlineStr">
        <is>
          <t>EdTech France</t>
        </is>
      </c>
      <c r="I651" s="1" t="n"/>
      <c r="J651" s="1" t="inlineStr">
        <is>
          <t>Montreuil</t>
        </is>
      </c>
      <c r="K651" t="inlineStr">
        <is>
          <t>Montreuil</t>
        </is>
      </c>
      <c r="L651" t="inlineStr">
        <is>
          <t>Montreuil, France</t>
        </is>
      </c>
      <c r="M651" t="n">
        <v>50.4756934</v>
      </c>
      <c r="N651" t="n">
        <v>1.7726816</v>
      </c>
      <c r="O651" s="1" t="inlineStr">
        <is>
          <t>France</t>
        </is>
      </c>
      <c r="P651" s="1" t="inlineStr">
        <is>
          <t>France</t>
        </is>
      </c>
      <c r="Q651" s="1" t="inlineStr">
        <is>
          <t>0 to 2</t>
        </is>
      </c>
      <c r="R651" t="inlineStr">
        <is>
          <t>Solo entrepreneur</t>
        </is>
      </c>
      <c r="S651" s="1" t="inlineStr">
        <is>
          <t>Business to Business, Business to Consumer, Business to Government, Business to Schools</t>
        </is>
      </c>
      <c r="T651" s="1" t="inlineStr">
        <is>
          <t>Corporate Training, Lifelong learning/Adult education, Vocational Education and Training (VET), Higher Education</t>
        </is>
      </c>
      <c r="U651" s="1" t="inlineStr">
        <is>
          <t>Teacher interfacing, System/Administrative, Student interfacing</t>
        </is>
      </c>
      <c r="V651" s="1" t="inlineStr">
        <is>
          <t>Instructional designing project management</t>
        </is>
      </c>
      <c r="W651" s="1" t="inlineStr">
        <is>
          <t>I manage your digital learning project following a process with specifics outputs in order to warranty the best results.</t>
        </is>
      </c>
      <c r="X651" s="10" t="inlineStr">
        <is>
          <t>Instructional design</t>
        </is>
      </c>
      <c r="Y651" t="inlineStr">
        <is>
          <t>I design and develop engaging learning contents for your digital learning project.</t>
        </is>
      </c>
      <c r="Z651" s="1" t="inlineStr">
        <is>
          <t>https://drive.google.com/uc?export=view&amp;id=115nRIRHDDeAxCGhTLWx68tnRSYQP6WgW</t>
        </is>
      </c>
      <c r="AA651" s="1" t="inlineStr">
        <is>
          <t>Unverified</t>
        </is>
      </c>
      <c r="AB651" s="1" t="n"/>
      <c r="AC651" s="1" t="n"/>
      <c r="AD651" s="10" t="n"/>
      <c r="AE651" s="1" t="n"/>
      <c r="AF651" t="inlineStr">
        <is>
          <t>Yes</t>
        </is>
      </c>
      <c r="AG651" t="inlineStr">
        <is>
          <t>https://www.linkedin.com/in/mathiasvdmeulen/</t>
        </is>
      </c>
      <c r="AH651" t="inlineStr">
        <is>
          <t>https://www.linkedin.com/in/mathiasvdmeulen/</t>
        </is>
      </c>
      <c r="AI651" t="inlineStr">
        <is>
          <t>https://www.linkedin.com/in/mathiasvdmeulen/</t>
        </is>
      </c>
    </row>
    <row r="652" ht="12.5" customHeight="1">
      <c r="A652" s="6" t="n">
        <v>45183</v>
      </c>
      <c r="B652" s="1" t="inlineStr">
        <is>
          <t>ORG_2213</t>
        </is>
      </c>
      <c r="C652" s="1" t="b">
        <v>1</v>
      </c>
      <c r="D652" s="1" t="inlineStr">
        <is>
          <t>SchoolTalent (Bijles Aan Huis &amp; Lernigo)</t>
        </is>
      </c>
      <c r="E652" s="10" t="inlineStr">
        <is>
          <t>https://bijlesaanhuis.nl/</t>
        </is>
      </c>
      <c r="F652" t="inlineStr">
        <is>
          <t>bijlesaanhuis.nl</t>
        </is>
      </c>
      <c r="G652" s="1" t="inlineStr">
        <is>
          <t>We're a tutoring marketplace that makes high-quality 1:1 tutoring more accessible for elementary and high school students. We're currently operating in the Netherlands (bijlesaanhuis.nl) and Germany (lernigo.de). 
Our goal is to provide high-quality 1:1 tutoring to as many students as possible. We do that by offering flexible and affordable tutoring solutions for families. In the process, we facilitate tutors to teach better and parents with tools and personalized content to create healthier student environments.</t>
        </is>
      </c>
      <c r="H652" s="1" t="inlineStr">
        <is>
          <t>Dutch EdTech</t>
        </is>
      </c>
      <c r="I652" s="1" t="inlineStr">
        <is>
          <t>German, Dutch</t>
        </is>
      </c>
      <c r="J652" s="1" t="inlineStr">
        <is>
          <t>Amsterdam</t>
        </is>
      </c>
      <c r="K652" t="inlineStr">
        <is>
          <t>Amsterdam</t>
        </is>
      </c>
      <c r="L652" t="inlineStr">
        <is>
          <t>Amsterdam, The Netherlands</t>
        </is>
      </c>
      <c r="M652" t="n">
        <v>52.3701984</v>
      </c>
      <c r="N652" t="n">
        <v>4.892168</v>
      </c>
      <c r="O652" s="1" t="inlineStr">
        <is>
          <t>The Netherlands</t>
        </is>
      </c>
      <c r="P652" s="1" t="inlineStr">
        <is>
          <t>Germany, Netherlands</t>
        </is>
      </c>
      <c r="Q652" s="1" t="inlineStr">
        <is>
          <t>11 to 50</t>
        </is>
      </c>
      <c r="R652" t="inlineStr">
        <is>
          <t>Small</t>
        </is>
      </c>
      <c r="S652" s="1" t="inlineStr">
        <is>
          <t>Business to Consumer</t>
        </is>
      </c>
      <c r="T652" s="1" t="inlineStr">
        <is>
          <t>Primary Education, Secondary Education</t>
        </is>
      </c>
      <c r="U652" s="1" t="inlineStr">
        <is>
          <t>System/Administrative, Student interfacing</t>
        </is>
      </c>
      <c r="V652" s="1" t="inlineStr">
        <is>
          <t>Affordable &amp; Flexible Tutoring</t>
        </is>
      </c>
      <c r="W652" s="1" t="inlineStr">
        <is>
          <t>We offer flexible and affordable tutoring solutions for families. Instead of sales traps, we seek to provide the student with the right amount of tutoring and the right tutor. 
Next to just tutoring, we facilitate tutors to teach better by offering tutoring content and an academy of learning materials.</t>
        </is>
      </c>
      <c r="X652" s="10" t="inlineStr">
        <is>
          <t>Mentoring</t>
        </is>
      </c>
      <c r="Y652" t="inlineStr">
        <is>
          <t>With the use of a personal mentor, we also help paparents to create healthier environments for their children. A dedicated mentor will be assigned to discuss structural learning problems (like motivation, concentration, student well-being, etc.).</t>
        </is>
      </c>
      <c r="Z652" s="1" t="inlineStr">
        <is>
          <t>https://drive.google.com/uc?export=view&amp;id=1Vef0A8emCDpb6iSeE-9zlmGhiDdTP-t1</t>
        </is>
      </c>
      <c r="AA652" s="1" t="inlineStr">
        <is>
          <t>Unverified</t>
        </is>
      </c>
      <c r="AB652" s="1" t="n"/>
      <c r="AC652" s="1" t="n"/>
      <c r="AD652" s="10" t="n"/>
      <c r="AE652" s="1" t="n"/>
      <c r="AF652" s="1" t="inlineStr">
        <is>
          <t>Yes</t>
        </is>
      </c>
      <c r="AG652" s="1" t="inlineStr">
        <is>
          <t>https://www.linkedin.com/company/29026232/</t>
        </is>
      </c>
      <c r="AH652" s="1" t="inlineStr">
        <is>
          <t>https://www.linkedin.com/company/29026232/</t>
        </is>
      </c>
      <c r="AI652" t="inlineStr">
        <is>
          <t>https://www.linkedin.com/company/29026232/</t>
        </is>
      </c>
    </row>
    <row r="653" ht="12.5" customHeight="1">
      <c r="A653" s="6" t="n">
        <v>45183</v>
      </c>
      <c r="B653" s="1" t="inlineStr">
        <is>
          <t>ORG_2396</t>
        </is>
      </c>
      <c r="C653" s="1" t="b">
        <v>1</v>
      </c>
      <c r="D653" s="1" t="inlineStr">
        <is>
          <t>The Discov</t>
        </is>
      </c>
      <c r="E653" s="10" t="inlineStr">
        <is>
          <t>www.discov.ai</t>
        </is>
      </c>
      <c r="F653" t="inlineStr">
        <is>
          <t>discov.ai</t>
        </is>
      </c>
      <c r="G653" s="1" t="inlineStr">
        <is>
          <t>We are the world's first unbiased digital study counsellor. We use data to facilitate an optimal match between student and university. Our beyond-the-classroom matchmaking solution ensures students go to a university that meets all their needs, and universities receive students that thrive.</t>
        </is>
      </c>
      <c r="H653" s="1" t="inlineStr">
        <is>
          <t>Dutch EdTech</t>
        </is>
      </c>
      <c r="I653" s="1" t="inlineStr">
        <is>
          <t>English</t>
        </is>
      </c>
      <c r="J653" s="1" t="inlineStr">
        <is>
          <t>Utrecht</t>
        </is>
      </c>
      <c r="K653" t="inlineStr">
        <is>
          <t>Utrecht</t>
        </is>
      </c>
      <c r="L653" t="inlineStr">
        <is>
          <t>Utrecht, The Netherlands</t>
        </is>
      </c>
      <c r="M653" t="n">
        <v>52.0906195</v>
      </c>
      <c r="N653" t="n">
        <v>5.1119709</v>
      </c>
      <c r="O653" s="1" t="inlineStr">
        <is>
          <t>The Netherlands</t>
        </is>
      </c>
      <c r="P653" s="1" t="inlineStr">
        <is>
          <t>Netherlands</t>
        </is>
      </c>
      <c r="Q653" s="1" t="inlineStr">
        <is>
          <t>3 to 5</t>
        </is>
      </c>
      <c r="R653" t="inlineStr">
        <is>
          <t>Micro</t>
        </is>
      </c>
      <c r="S653" s="1" t="inlineStr">
        <is>
          <t>Business to Consumer, Business to Government, Business to Schools</t>
        </is>
      </c>
      <c r="T653" s="1" t="inlineStr">
        <is>
          <t>Higher Education</t>
        </is>
      </c>
      <c r="U653" s="1" t="inlineStr">
        <is>
          <t>Student interfacing</t>
        </is>
      </c>
      <c r="V653" s="10" t="inlineStr">
        <is>
          <t>The Discov</t>
        </is>
      </c>
      <c r="W653" s="1" t="inlineStr">
        <is>
          <t>Our matchmaking platform solution provides unbiased, data-driven study advice to students based on their academic interests, but also their non-academic preferences, personality, budget and lifestyle. Our algorithm considers all English-taught programs at all universities (currently in the Netherlands and the UK) and is thereby completely independent from any individual higher education institution.</t>
        </is>
      </c>
      <c r="X653" s="10" t="inlineStr">
        <is>
          <t>https://drive.google.com/uc?export=view&amp;id=1tcgy0MoIDy9pWFXi4XbgHG5p9pLv2Rn3</t>
        </is>
      </c>
      <c r="Y653" t="inlineStr">
        <is>
          <t>https://drive.google.com/uc?export=view&amp;id=1tcgy0MoIDy9pWFXi4XbgHG5p9pLv2Rn3</t>
        </is>
      </c>
      <c r="Z653" s="1" t="inlineStr">
        <is>
          <t>https://drive.google.com/uc?export=view&amp;id=1tcgy0MoIDy9pWFXi4XbgHG5p9pLv2Rn3</t>
        </is>
      </c>
      <c r="AA653" s="1" t="inlineStr">
        <is>
          <t>Unverified</t>
        </is>
      </c>
      <c r="AB653" s="1" t="n"/>
      <c r="AC653" s="1" t="n"/>
      <c r="AD653" s="10" t="n"/>
      <c r="AE653" s="1" t="n"/>
      <c r="AF653" s="1" t="inlineStr">
        <is>
          <t>Yes</t>
        </is>
      </c>
      <c r="AG653" s="1" t="inlineStr">
        <is>
          <t>https://www.instagram.com/the_discov/?hl=en</t>
        </is>
      </c>
      <c r="AH653" s="1" t="inlineStr">
        <is>
          <t>The Discov</t>
        </is>
      </c>
      <c r="AI653" t="inlineStr">
        <is>
          <t>https://www.linkedin.com/company/the-discov/</t>
        </is>
      </c>
    </row>
    <row r="654" ht="12.5" customHeight="1">
      <c r="A654" s="6" t="n">
        <v>45182</v>
      </c>
      <c r="B654" s="1" t="inlineStr">
        <is>
          <t>ORG_2387</t>
        </is>
      </c>
      <c r="C654" s="1" t="b">
        <v>1</v>
      </c>
      <c r="D654" s="1" t="inlineStr">
        <is>
          <t>TEO training</t>
        </is>
      </c>
      <c r="E654" s="10" t="inlineStr">
        <is>
          <t>https://teo.training/</t>
        </is>
      </c>
      <c r="F654" t="inlineStr">
        <is>
          <t>teo.training</t>
        </is>
      </c>
      <c r="G654" s="1" t="inlineStr">
        <is>
          <t>TEO created a unique combination of an e-learning platform
and a set of practical tools to enable distance learning
programs for technical skills. We developed mobile,
automated training boxes wherein students learn the
theoretical knowledge and practical skills they need to fill in
bottleneck blue collar positions. TEO-boxes provide time
and location independent training programs and are based
on a self-taught approach.</t>
        </is>
      </c>
      <c r="H654" s="1" t="inlineStr">
        <is>
          <t>edtechstation</t>
        </is>
      </c>
      <c r="I654" s="1" t="inlineStr">
        <is>
          <t>Dutch, French, English</t>
        </is>
      </c>
      <c r="J654" s="1" t="inlineStr">
        <is>
          <t>Deurne</t>
        </is>
      </c>
      <c r="K654" t="inlineStr">
        <is>
          <t>Deurne</t>
        </is>
      </c>
      <c r="L654" t="inlineStr">
        <is>
          <t>Deurne, Belgium</t>
        </is>
      </c>
      <c r="M654" t="n">
        <v>51.20849</v>
      </c>
      <c r="N654" t="n">
        <v>4.4719297</v>
      </c>
      <c r="O654" s="1" t="inlineStr">
        <is>
          <t>Belgium</t>
        </is>
      </c>
      <c r="P654" s="1" t="inlineStr">
        <is>
          <t>Belgium</t>
        </is>
      </c>
      <c r="Q654" s="1" t="inlineStr">
        <is>
          <t>6 to 10</t>
        </is>
      </c>
      <c r="R654" t="inlineStr">
        <is>
          <t>Micro</t>
        </is>
      </c>
      <c r="S654" s="1" t="inlineStr">
        <is>
          <t>Business to Government, Business to Schools, Business to Business</t>
        </is>
      </c>
      <c r="T654" s="1" t="inlineStr">
        <is>
          <t>Secondary Education, Corporate Training, Lifelong learning/Adult education, Vocational Education and Training (VET)</t>
        </is>
      </c>
      <c r="U654" s="1" t="inlineStr">
        <is>
          <t>Teacher interfacing, System/Administrative, Student interfacing</t>
        </is>
      </c>
      <c r="V654" s="1" t="inlineStr">
        <is>
          <t>https://www.linkedin.com/company/12650098/</t>
        </is>
      </c>
      <c r="W654" s="1" t="inlineStr">
        <is>
          <t>https://drive.google.com/uc?export=view&amp;id=1X5wSDb0k_BND9b1OKWPstYfUAquP5nrm</t>
        </is>
      </c>
      <c r="X654" s="10" t="inlineStr">
        <is>
          <t>https://drive.google.com/uc?export=view&amp;id=1X5wSDb0k_BND9b1OKWPstYfUAquP5nrm</t>
        </is>
      </c>
      <c r="Y654" t="inlineStr">
        <is>
          <t>https://drive.google.com/uc?export=view&amp;id=1X5wSDb0k_BND9b1OKWPstYfUAquP5nrm</t>
        </is>
      </c>
      <c r="Z654" s="1" t="inlineStr">
        <is>
          <t>https://drive.google.com/uc?export=view&amp;id=1X5wSDb0k_BND9b1OKWPstYfUAquP5nrm</t>
        </is>
      </c>
      <c r="AA654" s="1" t="inlineStr">
        <is>
          <t>Unverified</t>
        </is>
      </c>
      <c r="AB654" s="1" t="n"/>
      <c r="AC654" s="1" t="n"/>
      <c r="AD654" s="10" t="n"/>
      <c r="AE654" s="1" t="n"/>
      <c r="AF654" t="inlineStr">
        <is>
          <t>Yes</t>
        </is>
      </c>
      <c r="AG654" t="inlineStr">
        <is>
          <t>https://www.linkedin.com/company/12650098/</t>
        </is>
      </c>
      <c r="AH654" t="inlineStr">
        <is>
          <t>https://www.linkedin.com/company/12650098/</t>
        </is>
      </c>
      <c r="AI654" t="inlineStr">
        <is>
          <t>https://www.linkedin.com/company/12650098/</t>
        </is>
      </c>
    </row>
    <row r="655" ht="12.5" customHeight="1">
      <c r="A655" s="6" t="n">
        <v>45182</v>
      </c>
      <c r="B655" s="1" t="inlineStr">
        <is>
          <t>ORG_1178</t>
        </is>
      </c>
      <c r="C655" s="1" t="b">
        <v>1</v>
      </c>
      <c r="D655" s="1" t="inlineStr">
        <is>
          <t>BlueSkills</t>
        </is>
      </c>
      <c r="E655" s="10" t="inlineStr">
        <is>
          <t>www.blueskills.nl</t>
        </is>
      </c>
      <c r="F655" t="inlineStr">
        <is>
          <t>blueskills.nl</t>
        </is>
      </c>
      <c r="G655" s="1" t="inlineStr">
        <is>
          <t>Blueskills is an innovative player in the job market specializing in filling technical vacancies through advanced Edtech solutions. Their unique approach combines technology and education to find the perfect match between technical professionals and employers.
One standout feature of Blueskills is the "learning vacancy" - a groundbreaking concept that integrates e-learning, assessments, and a virtual 3D factory environment. This allows them to assess candidates objectively and thoroughly before recommending them to potential employers. With Blueskills, businesses can be confident in hiring candidates who not only have the right skills but have also demonstrated their abilities in a real-world simulated setting, making the hiring process more efficient and effective.</t>
        </is>
      </c>
      <c r="H655" s="1" t="inlineStr">
        <is>
          <t>Dutch EdTech</t>
        </is>
      </c>
      <c r="I655" s="1" t="inlineStr">
        <is>
          <t>Dutch, -, English</t>
        </is>
      </c>
      <c r="J655" s="1" t="inlineStr">
        <is>
          <t>Heerenveen</t>
        </is>
      </c>
      <c r="K655" t="inlineStr">
        <is>
          <t>Heerenveen</t>
        </is>
      </c>
      <c r="L655" t="inlineStr">
        <is>
          <t>Heerenveen, The Netherlands</t>
        </is>
      </c>
      <c r="M655" t="n">
        <v>52.9605696</v>
      </c>
      <c r="N655" t="n">
        <v>5.9247298</v>
      </c>
      <c r="O655" s="1" t="inlineStr">
        <is>
          <t>The Netherlands</t>
        </is>
      </c>
      <c r="P655" s="1" t="inlineStr">
        <is>
          <t>Netherlands, Sweden, United Kingdom</t>
        </is>
      </c>
      <c r="Q655" s="1" t="inlineStr">
        <is>
          <t>3 to 5</t>
        </is>
      </c>
      <c r="R655" t="inlineStr">
        <is>
          <t>Micro</t>
        </is>
      </c>
      <c r="S655" s="1" t="inlineStr">
        <is>
          <t>Business to Business, Business to Consumer</t>
        </is>
      </c>
      <c r="T655" s="1" t="inlineStr">
        <is>
          <t>Lifelong learning/Adult education</t>
        </is>
      </c>
      <c r="U655" s="1" t="inlineStr">
        <is>
          <t>System/Administrative</t>
        </is>
      </c>
      <c r="V655" s="10" t="inlineStr">
        <is>
          <t>learning vacancy</t>
        </is>
      </c>
      <c r="W655" s="1" t="inlineStr">
        <is>
          <t>a groundbreaking concept that integrates e-learning, assessments, and a virtual 3D factory environment. This allows them to assess candidates objectively and thoroughly before recommending them to potential employers. With Blueskills, businesses can be confident in hiring candidates who not only have the right skills but have also demonstrated their abilities in a real-world simulated setting, making the hiring process more efficient and effective.</t>
        </is>
      </c>
      <c r="X655" s="10" t="inlineStr">
        <is>
          <t>https://drive.google.com/uc?export=view&amp;id=14JLKp2AkA-4C8Q4RHdBJ-eOHKMZ8IIg-</t>
        </is>
      </c>
      <c r="Y655" t="inlineStr">
        <is>
          <t>https://drive.google.com/uc?export=view&amp;id=14JLKp2AkA-4C8Q4RHdBJ-eOHKMZ8IIg-</t>
        </is>
      </c>
      <c r="Z655" s="1" t="inlineStr">
        <is>
          <t>https://drive.google.com/uc?export=view&amp;id=14JLKp2AkA-4C8Q4RHdBJ-eOHKMZ8IIg-</t>
        </is>
      </c>
      <c r="AA655" s="1" t="inlineStr">
        <is>
          <t>Unverified</t>
        </is>
      </c>
      <c r="AB655" s="1" t="n"/>
      <c r="AC655" s="1" t="n"/>
      <c r="AD655" s="10" t="n"/>
      <c r="AE655" s="1" t="n"/>
      <c r="AF655" s="1" t="inlineStr">
        <is>
          <t>Yes</t>
        </is>
      </c>
      <c r="AG655" s="1" t="inlineStr">
        <is>
          <t>https://www.google.com/url?sa=t&amp;rct=j&amp;q=&amp;esrc=s&amp;source=web&amp;cd=&amp;cad=rja&amp;uact=8&amp;ved=2ahUKEwiJnL2ShImBAxUTrKQKHS17CkMQFnoECBYQAQ&amp;url=https%3A%2F%2Fwww.instagram.com%2Fblueskillsnederland%2F&amp;usg=AOvVaw3OCHsS8CbdyCa7rKlrnX6b&amp;opi=89978449</t>
        </is>
      </c>
      <c r="AH655" s="1" t="inlineStr">
        <is>
          <t>https://www.google.com/url?sa=t&amp;rct=j&amp;q=&amp;esrc=s&amp;source=web&amp;cd=&amp;cad=rja&amp;uact=8&amp;ved=2ahUKEwjx_o6IhImBAxUWxQIHHd27A-IQFnoECA0QAQ&amp;url=https%3A%2F%2Fnl.linkedin.com%2Fcompany%2Fblueskills&amp;usg=AOvVaw0fgBQky32Abs-DLGP8oGEV&amp;opi=89978449</t>
        </is>
      </c>
      <c r="AI655" t="inlineStr">
        <is>
          <t>https://www.google.com/url?sa=t&amp;rct=j&amp;q=&amp;esrc=s&amp;source=web&amp;cd=&amp;cad=rja&amp;uact=8&amp;ved=2ahUKEwjx_o6IhImBAxUWxQIHHd27A-IQFnoECA0QAQ&amp;url=https%3A%2F%2Fnl.linkedin.com%2Fcompany%2Fblueskills&amp;usg=AOvVaw0fgBQky32Abs-DLGP8oGEV&amp;opi=89978449</t>
        </is>
      </c>
    </row>
    <row r="656" ht="12.5" customHeight="1">
      <c r="A656" s="6" t="n">
        <v>45182</v>
      </c>
      <c r="B656" s="1" t="inlineStr">
        <is>
          <t>ORG_2114</t>
        </is>
      </c>
      <c r="C656" s="1" t="b">
        <v>1</v>
      </c>
      <c r="D656" s="1" t="inlineStr">
        <is>
          <t>PocketCampus</t>
        </is>
      </c>
      <c r="E656" s="10" t="inlineStr">
        <is>
          <t>https://pocketcampus.org</t>
        </is>
      </c>
      <c r="F656" t="inlineStr">
        <is>
          <t>pocketcampus.org</t>
        </is>
      </c>
      <c r="G656" s="1" t="inlineStr">
        <is>
          <t>The Digital Swiss Knife for Your Campus.
PocketCampus all-in-one Campus Apps offer higher education institutions a single entry point for the most important services and information useful to their students and staff, and allow faculties to communicate with their students efficiently and in a modern way.
Deployed at multiple universities and schools, PocketCampus apps have an extremely high adoption rate and highly satisfied users.</t>
        </is>
      </c>
      <c r="H656" s="1" t="inlineStr">
        <is>
          <t>Swiss EdTech Collider</t>
        </is>
      </c>
      <c r="I656" s="1" t="inlineStr">
        <is>
          <t>English, French, German</t>
        </is>
      </c>
      <c r="J656" s="1" t="inlineStr">
        <is>
          <t>Lausanne</t>
        </is>
      </c>
      <c r="K656" t="inlineStr">
        <is>
          <t>Lausanne</t>
        </is>
      </c>
      <c r="L656" t="inlineStr">
        <is>
          <t>Lausanne, Switzerland</t>
        </is>
      </c>
      <c r="M656" t="n">
        <v>46.5218269</v>
      </c>
      <c r="N656" t="n">
        <v>6.6327025</v>
      </c>
      <c r="O656" s="1" t="inlineStr">
        <is>
          <t>Switzerland</t>
        </is>
      </c>
      <c r="P656" s="1" t="inlineStr">
        <is>
          <t>France, Switzerland</t>
        </is>
      </c>
      <c r="Q656" s="1" t="inlineStr">
        <is>
          <t>6 to 10</t>
        </is>
      </c>
      <c r="R656" t="inlineStr">
        <is>
          <t>Micro</t>
        </is>
      </c>
      <c r="S656" s="1" t="inlineStr">
        <is>
          <t>Business to Business, Business to Government, Business to Schools</t>
        </is>
      </c>
      <c r="T656" s="1" t="inlineStr">
        <is>
          <t>Secondary Education, Corporate Training, Vocational Education and Training (VET), Higher Education</t>
        </is>
      </c>
      <c r="U656" s="1" t="inlineStr">
        <is>
          <t>Student interfacing, Teacher interfacing, System/Administrative</t>
        </is>
      </c>
      <c r="V656" s="1" t="inlineStr">
        <is>
          <t>PocketCampus</t>
        </is>
      </c>
      <c r="W656" s="1" t="inlineStr">
        <is>
          <t>PocketCampus all-in-one Campus Apps offer higher education institutions a single entry point for the most important services and information useful to their students and staff, and allow faculties to communicate with their students efficiently and in a modern way.</t>
        </is>
      </c>
      <c r="X656" s="10" t="inlineStr">
        <is>
          <t>https://drive.google.com/uc?export=view&amp;id=1Smt2yb_ymHPwkEGK24hKt1nKevh8NqsI</t>
        </is>
      </c>
      <c r="Y656" t="inlineStr">
        <is>
          <t>https://drive.google.com/uc?export=view&amp;id=1Smt2yb_ymHPwkEGK24hKt1nKevh8NqsI</t>
        </is>
      </c>
      <c r="Z656" s="1" t="inlineStr">
        <is>
          <t>https://drive.google.com/uc?export=view&amp;id=1Smt2yb_ymHPwkEGK24hKt1nKevh8NqsI</t>
        </is>
      </c>
      <c r="AA656" s="1" t="inlineStr">
        <is>
          <t>Unverified</t>
        </is>
      </c>
      <c r="AB656" s="1" t="n"/>
      <c r="AC656" s="1" t="n"/>
      <c r="AD656" s="10" t="n"/>
      <c r="AE656" s="1" t="n"/>
      <c r="AF656" t="inlineStr">
        <is>
          <t>Yes</t>
        </is>
      </c>
      <c r="AG656" t="inlineStr">
        <is>
          <t>https://www.linkedin.com/company/9198942/</t>
        </is>
      </c>
      <c r="AH656" t="inlineStr">
        <is>
          <t>@PocketCampus</t>
        </is>
      </c>
      <c r="AI656" t="inlineStr">
        <is>
          <t>https://www.linkedin.com/company/9198942/</t>
        </is>
      </c>
    </row>
    <row r="657" ht="12.5" customHeight="1">
      <c r="A657" s="6" t="n">
        <v>45182</v>
      </c>
      <c r="B657" s="1" t="inlineStr">
        <is>
          <t>ORG_2032</t>
        </is>
      </c>
      <c r="C657" s="1" t="b">
        <v>1</v>
      </c>
      <c r="D657" s="1" t="inlineStr">
        <is>
          <t>Neuromindset</t>
        </is>
      </c>
      <c r="E657" s="10" t="inlineStr">
        <is>
          <t>https://neuromindset.com/</t>
        </is>
      </c>
      <c r="F657" t="inlineStr">
        <is>
          <t>neuromindset.com</t>
        </is>
      </c>
      <c r="G657" s="1" t="inlineStr">
        <is>
          <t>At Neuromindset, a spin-off of Granada University, we have developed a neuroscience-based digital cognitive training and assessment platform that enable educators, mental health professionals and families to integrate attention and self-regulation training into their profesional activities and daily lives. 
Our aim is to contribute to the innovation of education by introducing easy to use cognitive training curricular technology to provide the stimulation needed to enhance executive functions, attention and self-regulation in children. 
Our digital platform delivers cognitive training via two softwares: 
1) A digital curriculum that guides teachers step-by-step in the implementation of activities that provide group training and that can be easily adapted to the school curriculum and the classroom activities. 
2) a mobile gaming app that includes computer games that have been specifically design and scientifically tested to provide individual cognitive training. 
3) An assessment digital tool that uses AI to evaluate the attention profile of the user. This attention profile allow us to detect the strenghts and weaknesses of the attention sub-process of the user. 
We know that the future of education has to include the improvement of the mental abilities of children. This is the way to provide children with the socio-emotional and learning skills they need to face the challenges of the 21st century world.</t>
        </is>
      </c>
      <c r="H657" s="1" t="inlineStr">
        <is>
          <t>I'm not part of any EdTech association</t>
        </is>
      </c>
      <c r="I657" s="1" t="inlineStr">
        <is>
          <t>Spanish</t>
        </is>
      </c>
      <c r="J657" s="1" t="inlineStr">
        <is>
          <t>Granada</t>
        </is>
      </c>
      <c r="K657" t="inlineStr">
        <is>
          <t>Granada</t>
        </is>
      </c>
      <c r="L657" t="inlineStr">
        <is>
          <t>Granada, Spain</t>
        </is>
      </c>
      <c r="M657" t="n">
        <v>37.1734995</v>
      </c>
      <c r="N657" t="n">
        <v>-3.5995337</v>
      </c>
      <c r="O657" s="1" t="inlineStr">
        <is>
          <t>Spain</t>
        </is>
      </c>
      <c r="P657" s="1" t="inlineStr">
        <is>
          <t>Spain</t>
        </is>
      </c>
      <c r="Q657" s="1" t="inlineStr">
        <is>
          <t>3 to 5</t>
        </is>
      </c>
      <c r="R657" t="inlineStr">
        <is>
          <t>Micro</t>
        </is>
      </c>
      <c r="S657" s="1" t="inlineStr">
        <is>
          <t>Business to Business, Business to Schools</t>
        </is>
      </c>
      <c r="T657" s="1" t="inlineStr">
        <is>
          <t>Early childhood development (0-5 years), Primary Education</t>
        </is>
      </c>
      <c r="U657" s="1" t="inlineStr">
        <is>
          <t>System/Administrative, Student interfacing, Teacher interfacing</t>
        </is>
      </c>
      <c r="V657" s="10" t="inlineStr">
        <is>
          <t>Mind and brain training platform for children</t>
        </is>
      </c>
      <c r="W657" s="10" t="inlineStr">
        <is>
          <t>We have develop a mind and brain training platform that has two principal tools. Neuromindset-schools is a training platform that provides teachers with all the tools and excercises they need in order to implement mind and brain training in their classroom with a group training strategy. Neuromindset-kids is our gaming app that is design to provide children with evidence-based training games for individual training. Our training activities and games are designed for strenghtening attention, executive functions and self-regulation in children.</t>
        </is>
      </c>
      <c r="X657" s="10" t="inlineStr">
        <is>
          <t>Bee-Attentive test</t>
        </is>
      </c>
      <c r="Y657" t="inlineStr">
        <is>
          <t>The Bee-Attentive test is our AI tool that allow us to assess the attentional profiles of the user. Our test is a 20 min gaming test that provides an attentional profile that shows the strenghts and weakness of the attention sub-processes. The information provide by the assessment tool is fundamental to be able to understand the cognitive, learning and emotional self-regulation abilities of the user and to detect what we need they need to improve in order to be more efficient in this processes.</t>
        </is>
      </c>
      <c r="Z657" s="1" t="inlineStr">
        <is>
          <t>https://drive.google.com/uc?export=view&amp;id=1zkkgfkZgHtq_3NEbDYsHnd1I-a4nDCCX</t>
        </is>
      </c>
      <c r="AA657" s="1" t="inlineStr">
        <is>
          <t>Unverified</t>
        </is>
      </c>
      <c r="AB657" s="1" t="n"/>
      <c r="AC657" s="1" t="n"/>
      <c r="AD657" s="10" t="n"/>
      <c r="AE657" s="1" t="n"/>
      <c r="AF657" t="inlineStr">
        <is>
          <t>Yes</t>
        </is>
      </c>
      <c r="AG657" t="inlineStr">
        <is>
          <t>https://www.instagram.com/neuromindset/</t>
        </is>
      </c>
      <c r="AH657" t="inlineStr">
        <is>
          <t>https://twitter.com/mindsetneuroedu</t>
        </is>
      </c>
      <c r="AI657" t="inlineStr">
        <is>
          <t>https://www.linkedin.com/company/mindsetneuroeducacion/</t>
        </is>
      </c>
    </row>
    <row r="658" ht="12.5" customHeight="1">
      <c r="A658" s="6" t="n">
        <v>45182</v>
      </c>
      <c r="B658" s="1" t="inlineStr">
        <is>
          <t>ORG_2139</t>
        </is>
      </c>
      <c r="C658" s="1" t="b">
        <v>1</v>
      </c>
      <c r="D658" s="1" t="inlineStr">
        <is>
          <t>Qizify Learning</t>
        </is>
      </c>
      <c r="E658" s="10" t="inlineStr">
        <is>
          <t>https://qizify.com/en/</t>
        </is>
      </c>
      <c r="F658" t="inlineStr">
        <is>
          <t>qizify.com/en</t>
        </is>
      </c>
      <c r="G658" s="1" t="inlineStr">
        <is>
          <t>Qizify Learning is a personalized game-based educational software for onboarding, self-learning and assessments, where learners and educators can create, check, and publish quiz questions with or without the help of an AI-assistant. They can also play quizzes, identify knowledge depth and track their learning performance, receiving feedback from their educators. 
Our customers build a faster and engaging pre- and onboarding process for newcomers, support peer-to-peer learning culture, and boost knowledge exchange within the organisation, where employees can learn from each other. 
Qizify Learning for schools and universities supports educators in organising an interactive and efficient process for their learners to learn and prepare for exams with help of quizzes, Karma points and AI.</t>
        </is>
      </c>
      <c r="H658" s="1" t="inlineStr">
        <is>
          <t>I'm not part of any EdTech association</t>
        </is>
      </c>
      <c r="I658" s="1" t="inlineStr">
        <is>
          <t>German, English</t>
        </is>
      </c>
      <c r="J658" s="1" t="inlineStr">
        <is>
          <t>Dusseldorf</t>
        </is>
      </c>
      <c r="K658" t="inlineStr">
        <is>
          <t>Dusseldorf</t>
        </is>
      </c>
      <c r="L658" t="inlineStr">
        <is>
          <t>Dusseldorf, Germany</t>
        </is>
      </c>
      <c r="M658" t="n">
        <v>51.2254018</v>
      </c>
      <c r="N658" t="n">
        <v>6.7763137</v>
      </c>
      <c r="O658" s="1" t="inlineStr">
        <is>
          <t>Germany</t>
        </is>
      </c>
      <c r="P658" s="1" t="inlineStr">
        <is>
          <t>Austria, Germany, Switzerland</t>
        </is>
      </c>
      <c r="Q658" s="1" t="inlineStr">
        <is>
          <t>3 to 5</t>
        </is>
      </c>
      <c r="R658" t="inlineStr">
        <is>
          <t>Micro</t>
        </is>
      </c>
      <c r="S658" s="1" t="inlineStr">
        <is>
          <t>Business to Business, Business to Government, Business to Schools</t>
        </is>
      </c>
      <c r="T658" s="1" t="inlineStr">
        <is>
          <t>Secondary Education, Corporate Training, Vocational Education and Training (VET), Higher Education</t>
        </is>
      </c>
      <c r="U658" s="1" t="inlineStr">
        <is>
          <t>Student interfacing, Teacher interfacing, System/Administrative</t>
        </is>
      </c>
      <c r="V658" s="1" t="inlineStr">
        <is>
          <t>Qizify Learning</t>
        </is>
      </c>
      <c r="W658" s="1" t="inlineStr">
        <is>
          <t>Qizify Learning is a personalized game-based educational software for onboarding, self-learning, and assessments, where learners and educators can create, check, and publish quiz questions with or without the help of an AI-assistant. They can also play quizzes, identify knowledge depth, and track their learning performance, receiving feedback from their educators.</t>
        </is>
      </c>
      <c r="X658" s="10" t="inlineStr">
        <is>
          <t>https://drive.google.com/uc?export=view&amp;id=1SKKw6FOwmLm_SAgWiqDrRz-MbV35HDtO</t>
        </is>
      </c>
      <c r="Y658" t="inlineStr">
        <is>
          <t>https://drive.google.com/uc?export=view&amp;id=1SKKw6FOwmLm_SAgWiqDrRz-MbV35HDtO</t>
        </is>
      </c>
      <c r="Z658" s="1" t="inlineStr">
        <is>
          <t>https://drive.google.com/uc?export=view&amp;id=1SKKw6FOwmLm_SAgWiqDrRz-MbV35HDtO</t>
        </is>
      </c>
      <c r="AA658" s="1" t="inlineStr">
        <is>
          <t>Unverified</t>
        </is>
      </c>
      <c r="AB658" s="1" t="n"/>
      <c r="AC658" s="1" t="n"/>
      <c r="AD658" s="10" t="n"/>
      <c r="AE658" s="1" t="n"/>
      <c r="AF658" t="inlineStr">
        <is>
          <t>Yes</t>
        </is>
      </c>
      <c r="AG658" t="inlineStr">
        <is>
          <t>https://www.linkedin.com/company/49113282</t>
        </is>
      </c>
      <c r="AH658" t="inlineStr">
        <is>
          <t>https://www.linkedin.com/company/49113282</t>
        </is>
      </c>
      <c r="AI658" t="inlineStr">
        <is>
          <t>https://www.linkedin.com/company/49113282</t>
        </is>
      </c>
    </row>
    <row r="659" ht="12.5" customHeight="1">
      <c r="A659" s="6" t="n">
        <v>45182</v>
      </c>
      <c r="B659" s="1" t="inlineStr">
        <is>
          <t>ORG_2302</t>
        </is>
      </c>
      <c r="C659" s="1" t="b">
        <v>1</v>
      </c>
      <c r="D659" s="1" t="inlineStr">
        <is>
          <t>Sparkfore</t>
        </is>
      </c>
      <c r="E659" s="10" t="inlineStr">
        <is>
          <t>https://sparkfore.com/</t>
        </is>
      </c>
      <c r="F659" t="inlineStr">
        <is>
          <t>sparkfore.com</t>
        </is>
      </c>
      <c r="G659" s="1" t="inlineStr">
        <is>
          <t>Sparkfore is a learning platform, built on a combination of the world’s most used Learning Management System, Moodle, and strategic services connected to learning.</t>
        </is>
      </c>
      <c r="H659" s="1" t="inlineStr">
        <is>
          <t>I'm not part of any EdTech association</t>
        </is>
      </c>
      <c r="I659" s="1" t="n"/>
      <c r="J659" s="1" t="inlineStr">
        <is>
          <t>Skellefteå</t>
        </is>
      </c>
      <c r="K659" t="inlineStr">
        <is>
          <t>Skellefteå</t>
        </is>
      </c>
      <c r="L659" t="inlineStr">
        <is>
          <t>Skellefteå, Sweden</t>
        </is>
      </c>
      <c r="M659" t="n">
        <v>64.75201850000001</v>
      </c>
      <c r="N659" t="n">
        <v>20.959339</v>
      </c>
      <c r="O659" s="1" t="inlineStr">
        <is>
          <t>Sweden</t>
        </is>
      </c>
      <c r="P659" s="1" t="inlineStr">
        <is>
          <t>Germany, Netherlands, Sweden</t>
        </is>
      </c>
      <c r="Q659" s="1" t="inlineStr">
        <is>
          <t>3 to 5</t>
        </is>
      </c>
      <c r="R659" t="inlineStr">
        <is>
          <t>Micro</t>
        </is>
      </c>
      <c r="S659" s="1" t="inlineStr">
        <is>
          <t>Business to Business, Business to Consumer, Business to Government, Business to Schools</t>
        </is>
      </c>
      <c r="T659" s="1" t="inlineStr">
        <is>
          <t>Corporate Training, Lifelong learning/Adult education, Vocational Education and Training (VET), Higher Education</t>
        </is>
      </c>
      <c r="U659" s="1" t="inlineStr">
        <is>
          <t>System/Administrative, Student interfacing</t>
        </is>
      </c>
      <c r="V659" s="1" t="inlineStr">
        <is>
          <t>Moodle LMS</t>
        </is>
      </c>
      <c r="W659" s="1" t="inlineStr">
        <is>
          <t>Sparkfore makes it easy to offer digital and instructor-led training to your organization, resellers or course participants - user-friendly, efficient and secure! We help you offer training in a flexible and modern way.</t>
        </is>
      </c>
      <c r="X659" s="10" t="inlineStr">
        <is>
          <t>Moodle Educator</t>
        </is>
      </c>
      <c r="Y659" t="inlineStr">
        <is>
          <t>Sparkfore empowers educators to sell their knowledge. The service makes it possible to train an unlimited number of people at once. You have full ownership of the material you upload and produce.</t>
        </is>
      </c>
      <c r="Z659" s="1" t="inlineStr">
        <is>
          <t>https://drive.google.com/uc?export=view&amp;id=13v98nEfi268VwSnqHuHKp9YHbm6NXh7c</t>
        </is>
      </c>
      <c r="AA659" s="1" t="inlineStr">
        <is>
          <t>Unverified</t>
        </is>
      </c>
      <c r="AB659" s="1" t="n"/>
      <c r="AC659" s="1" t="n"/>
      <c r="AD659" s="10" t="n"/>
      <c r="AE659" s="1" t="n"/>
      <c r="AF659" t="inlineStr">
        <is>
          <t>Yes</t>
        </is>
      </c>
      <c r="AG659" t="inlineStr">
        <is>
          <t>https://www.linkedin.com/company/75495005/</t>
        </is>
      </c>
      <c r="AH659" t="inlineStr">
        <is>
          <t>https://www.linkedin.com/company/75495005/</t>
        </is>
      </c>
      <c r="AI659" t="inlineStr">
        <is>
          <t>https://www.linkedin.com/company/75495005/</t>
        </is>
      </c>
    </row>
    <row r="660" ht="12.5" customHeight="1">
      <c r="A660" s="6" t="n">
        <v>45182</v>
      </c>
      <c r="B660" s="1" t="inlineStr">
        <is>
          <t>ORG_1165</t>
        </is>
      </c>
      <c r="C660" s="1" t="b">
        <v>1</v>
      </c>
      <c r="D660" s="1" t="inlineStr">
        <is>
          <t>bina</t>
        </is>
      </c>
      <c r="E660" s="10" t="inlineStr">
        <is>
          <t>www.thebinaschool.com</t>
        </is>
      </c>
      <c r="F660" t="inlineStr">
        <is>
          <t>thebinaschool.com</t>
        </is>
      </c>
      <c r="G660" s="1" t="inlineStr">
        <is>
          <t>A global, mobile, accredited schooling experience for 4-12 year olds that fits families everywhere</t>
        </is>
      </c>
      <c r="H660" s="1" t="inlineStr">
        <is>
          <t>I'm not part of any EdTech association</t>
        </is>
      </c>
      <c r="I660" s="1" t="inlineStr">
        <is>
          <t>English</t>
        </is>
      </c>
      <c r="J660" s="1" t="inlineStr">
        <is>
          <t>Berlin</t>
        </is>
      </c>
      <c r="K660" t="inlineStr">
        <is>
          <t>Berlin</t>
        </is>
      </c>
      <c r="L660" t="inlineStr">
        <is>
          <t>Berlin, Germany</t>
        </is>
      </c>
      <c r="M660" t="n">
        <v>52.5173885</v>
      </c>
      <c r="N660" t="n">
        <v>13.3951309</v>
      </c>
      <c r="O660" s="1" t="inlineStr">
        <is>
          <t>Germany</t>
        </is>
      </c>
      <c r="P660"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660" s="1" t="inlineStr">
        <is>
          <t>11 to 50</t>
        </is>
      </c>
      <c r="R660" t="inlineStr">
        <is>
          <t>Small</t>
        </is>
      </c>
      <c r="S660" s="1" t="inlineStr">
        <is>
          <t>Business to Business</t>
        </is>
      </c>
      <c r="T660" s="1" t="inlineStr">
        <is>
          <t>Early childhood development (0-5 years), Primary Education</t>
        </is>
      </c>
      <c r="U660" s="1" t="inlineStr">
        <is>
          <t>System/Administrative, Student interfacing, Teacher interfacing</t>
        </is>
      </c>
      <c r="V660" s="10" t="inlineStr">
        <is>
          <t>bina</t>
        </is>
      </c>
      <c r="W660" s="1" t="inlineStr">
        <is>
          <t>A global, mobile, accredited schooling experience for 4-12 year olds
that fits your families everywhere</t>
        </is>
      </c>
      <c r="X660" s="10" t="n"/>
      <c r="Z660" s="1" t="n"/>
      <c r="AA660" s="1" t="inlineStr">
        <is>
          <t>Unverified</t>
        </is>
      </c>
      <c r="AB660" s="1" t="n"/>
      <c r="AC660" s="1" t="n"/>
      <c r="AD660" s="1" t="n"/>
      <c r="AE660" s="1" t="n"/>
      <c r="AF660" t="inlineStr">
        <is>
          <t>Yes</t>
        </is>
      </c>
      <c r="AG660" t="inlineStr">
        <is>
          <t>https://www.instagram.com/thebinaschool/</t>
        </is>
      </c>
      <c r="AH660" t="inlineStr">
        <is>
          <t>X on them :)</t>
        </is>
      </c>
      <c r="AI660" t="inlineStr">
        <is>
          <t>https://www.linkedin.com/company/42467969/admin/feed/posts/</t>
        </is>
      </c>
    </row>
    <row r="661" ht="12.5" customHeight="1">
      <c r="A661" s="6" t="n">
        <v>45182</v>
      </c>
      <c r="B661" s="1" t="inlineStr">
        <is>
          <t>ORG_1472</t>
        </is>
      </c>
      <c r="C661" s="1" t="b">
        <v>1</v>
      </c>
      <c r="D661" s="1" t="inlineStr">
        <is>
          <t>eggheads - conversational microlearning</t>
        </is>
      </c>
      <c r="E661" s="10" t="inlineStr">
        <is>
          <t>https://eggheads.ai</t>
        </is>
      </c>
      <c r="F661" t="inlineStr">
        <is>
          <t>eggheads.ai</t>
        </is>
      </c>
      <c r="G661" s="1" t="inlineStr">
        <is>
          <t>eggheads is a leading AI-driven microlearning platform that empowers businesses to make knowledge stick and raise awareness. With eggheads, customers create, share and analyze chat-based learning nuggets that can be accessed via link or a dedicated Microsoft Teams App, called the egghead. Customers, among them insurers and banks, use it to onboard new team members, reinforce key messages, product knowledge training, customer service training or compliance training.</t>
        </is>
      </c>
      <c r="H661" s="1" t="inlineStr">
        <is>
          <t>I'm not part of any EdTech association</t>
        </is>
      </c>
      <c r="I661" s="1" t="inlineStr">
        <is>
          <t>English</t>
        </is>
      </c>
      <c r="J661" s="1" t="inlineStr">
        <is>
          <t>Pfäffikon</t>
        </is>
      </c>
      <c r="K661" t="inlineStr">
        <is>
          <t>Pfäffikon</t>
        </is>
      </c>
      <c r="L661" t="inlineStr">
        <is>
          <t>Pfäffikon, Switzerland</t>
        </is>
      </c>
      <c r="M661" t="n">
        <v>47.4030581</v>
      </c>
      <c r="N661" t="n">
        <v>8.7956599</v>
      </c>
      <c r="O661" s="1" t="inlineStr">
        <is>
          <t>Switzerland</t>
        </is>
      </c>
      <c r="P661" s="1" t="inlineStr">
        <is>
          <t>France, Germany, Netherlands, Spain, Switzerland, United Kingdom</t>
        </is>
      </c>
      <c r="Q661" s="1" t="inlineStr">
        <is>
          <t>0 to 2</t>
        </is>
      </c>
      <c r="R661" t="inlineStr">
        <is>
          <t>Solo entrepreneur</t>
        </is>
      </c>
      <c r="S661" s="1" t="inlineStr">
        <is>
          <t>Business to Business, Business to Consumer</t>
        </is>
      </c>
      <c r="T661" s="1" t="inlineStr">
        <is>
          <t>Secondary Education, Corporate Training, Lifelong learning/Adult education, Vocational Education and Training (VET), Higher Education</t>
        </is>
      </c>
      <c r="U661" s="1" t="inlineStr">
        <is>
          <t>Teacher interfacing, System/Administrative</t>
        </is>
      </c>
      <c r="V661" s="1" t="inlineStr">
        <is>
          <t>eggheads - AI powered microlearning</t>
        </is>
      </c>
      <c r="W661" s="10" t="inlineStr">
        <is>
          <t>eggheads is a leading AI-driven microlearning platform that empowers businesses to make knowledge stick and raise awareness. With eggheads, customers create, share and analyze chat-based learning nuggets that can be accessed via link or a dedicated Microsoft Teams App, called the egghead. Customers, among them insurers and banks, use it to onboard new team members, reinforce key messages, product knowledge training, customer service training or compliance training.</t>
        </is>
      </c>
      <c r="X661" s="10" t="inlineStr">
        <is>
          <t>https://drive.google.com/uc?export=view&amp;id=1MeQC6XRZKLpHJ9avfgCNg4UBYgEo-LJ7</t>
        </is>
      </c>
      <c r="Y661" t="inlineStr">
        <is>
          <t>https://drive.google.com/uc?export=view&amp;id=1MeQC6XRZKLpHJ9avfgCNg4UBYgEo-LJ7</t>
        </is>
      </c>
      <c r="Z661" s="1" t="inlineStr">
        <is>
          <t>https://drive.google.com/uc?export=view&amp;id=1MeQC6XRZKLpHJ9avfgCNg4UBYgEo-LJ7</t>
        </is>
      </c>
      <c r="AA661" s="1" t="inlineStr">
        <is>
          <t>Unverified</t>
        </is>
      </c>
      <c r="AB661" s="1" t="n"/>
      <c r="AC661" s="1" t="n"/>
      <c r="AD661" s="10" t="n"/>
      <c r="AE661" s="1" t="n"/>
      <c r="AF661" t="inlineStr">
        <is>
          <t>Yes</t>
        </is>
      </c>
      <c r="AG661" t="inlineStr">
        <is>
          <t>http://twitter.com/eggheads_ai</t>
        </is>
      </c>
      <c r="AH661" t="inlineStr">
        <is>
          <t>twitter.com/eggheads_ai</t>
        </is>
      </c>
      <c r="AI661" t="inlineStr">
        <is>
          <t>linkedin.com/company/eggheads-ai</t>
        </is>
      </c>
    </row>
    <row r="662" ht="12.5" customHeight="1">
      <c r="A662" s="6" t="n">
        <v>45182</v>
      </c>
      <c r="B662" s="1" t="inlineStr">
        <is>
          <t>ORG_1108</t>
        </is>
      </c>
      <c r="C662" s="1" t="b">
        <v>1</v>
      </c>
      <c r="D662" s="1" t="inlineStr">
        <is>
          <t>Aschehoug Education</t>
        </is>
      </c>
      <c r="E662" s="10" t="inlineStr">
        <is>
          <t>https://aschehoug.no/</t>
        </is>
      </c>
      <c r="F662" t="inlineStr">
        <is>
          <t>aschehoug.no</t>
        </is>
      </c>
      <c r="G662" s="1" t="inlineStr">
        <is>
          <t>Aschehoug Education is one of the leading players in the Norwegian Edtech market. Our digital learning platforms offer pupils, teachers, students, lecturers and lawyers innovative and creative digital resources.</t>
        </is>
      </c>
      <c r="H662" s="1" t="inlineStr">
        <is>
          <t>I'm not part of any EdTech association</t>
        </is>
      </c>
      <c r="I662" s="1" t="inlineStr">
        <is>
          <t>Norwegian</t>
        </is>
      </c>
      <c r="J662" s="1" t="inlineStr">
        <is>
          <t>Oslo</t>
        </is>
      </c>
      <c r="K662" t="inlineStr">
        <is>
          <t>Oslo</t>
        </is>
      </c>
      <c r="L662" t="inlineStr">
        <is>
          <t>Oslo, Norway</t>
        </is>
      </c>
      <c r="M662" t="n">
        <v>59.9067935</v>
      </c>
      <c r="N662" t="n">
        <v>10.7610162</v>
      </c>
      <c r="O662" s="1" t="inlineStr">
        <is>
          <t>Norway</t>
        </is>
      </c>
      <c r="P662" s="1" t="inlineStr">
        <is>
          <t>Norway</t>
        </is>
      </c>
      <c r="Q662" s="1" t="inlineStr">
        <is>
          <t>101 to 500</t>
        </is>
      </c>
      <c r="R662" t="inlineStr">
        <is>
          <t>Medium or Large (unspecified)</t>
        </is>
      </c>
      <c r="S662" s="1" t="inlineStr">
        <is>
          <t>Business to Business</t>
        </is>
      </c>
      <c r="T662" s="1" t="inlineStr">
        <is>
          <t>Primary Education, Secondary Education, Corporate Training, Vocational Education and Training (VET), Higher Education</t>
        </is>
      </c>
      <c r="U662" s="1" t="inlineStr">
        <is>
          <t>Student interfacing, Teacher interfacing, System/Administrative</t>
        </is>
      </c>
      <c r="V662" s="10" t="inlineStr">
        <is>
          <t>Aschehoug Universe</t>
        </is>
      </c>
      <c r="W662" s="1" t="inlineStr">
        <is>
          <t>Aschehoug Universe is a digital learning platform that gives pupils and teachers access to innovative and creative learning materials and useful digital tools. The products cover grades 1 through 13, as well as Norwegian as a second language.</t>
        </is>
      </c>
      <c r="X662" s="10" t="inlineStr">
        <is>
          <t>Unibok</t>
        </is>
      </c>
      <c r="Y662" t="inlineStr">
        <is>
          <t>Unibok is a digital ebook platform that gives pupils and teachers access to digital textbooks in a reflowable EPUB 3 format, that offers superior readability and usability. The materials cover grades 5 through 13, as well as Norwegian as a second language.</t>
        </is>
      </c>
      <c r="Z662" s="1" t="inlineStr">
        <is>
          <t>https://drive.google.com/uc?export=view&amp;id=1UkU0hEBVgUcYgMVAJ9K0oAtUcZ3EbnaC</t>
        </is>
      </c>
      <c r="AA662" s="1" t="inlineStr">
        <is>
          <t>Unverified</t>
        </is>
      </c>
      <c r="AB662" s="1" t="n"/>
      <c r="AC662" s="1" t="n"/>
      <c r="AD662" s="10" t="n"/>
      <c r="AE662" s="1" t="n"/>
      <c r="AF662" t="inlineStr">
        <is>
          <t>Yes</t>
        </is>
      </c>
      <c r="AG662" t="inlineStr">
        <is>
          <t>https://www.instagram.com/aunivers.no/</t>
        </is>
      </c>
      <c r="AH662" t="inlineStr">
        <is>
          <t>https://www.linkedin.com/company/aschehoug/</t>
        </is>
      </c>
      <c r="AI662" t="inlineStr">
        <is>
          <t>https://www.linkedin.com/company/aschehoug/</t>
        </is>
      </c>
    </row>
    <row r="663" ht="12.5" customHeight="1">
      <c r="A663" s="6" t="n">
        <v>45182</v>
      </c>
      <c r="B663" s="1" t="inlineStr">
        <is>
          <t>ORG_1168</t>
        </is>
      </c>
      <c r="C663" s="1" t="b">
        <v>1</v>
      </c>
      <c r="D663" s="1" t="inlineStr">
        <is>
          <t>Bit&amp;R</t>
        </is>
      </c>
      <c r="E663" s="10" t="inlineStr">
        <is>
          <t>https://bitandr.com/</t>
        </is>
      </c>
      <c r="F663" t="inlineStr">
        <is>
          <t>bitandr.com</t>
        </is>
      </c>
      <c r="G663" s="1" t="inlineStr">
        <is>
          <t>Bit&amp;R is a coding platform where K-12 kids can repair, build and share their own games, while learning web technologies: HTML, CSS and JavaScript.</t>
        </is>
      </c>
      <c r="H663" s="1" t="inlineStr">
        <is>
          <t>I'm not part of any EdTech association</t>
        </is>
      </c>
      <c r="I663" s="1" t="inlineStr">
        <is>
          <t>English, Romanian, German</t>
        </is>
      </c>
      <c r="J663" s="1" t="inlineStr">
        <is>
          <t>Bucharest</t>
        </is>
      </c>
      <c r="K663" t="inlineStr">
        <is>
          <t>Bucharest</t>
        </is>
      </c>
      <c r="L663" t="inlineStr">
        <is>
          <t>Bucharest, Romania</t>
        </is>
      </c>
      <c r="M663" t="n">
        <v>44.4361414</v>
      </c>
      <c r="N663" t="n">
        <v>26.102684</v>
      </c>
      <c r="O663" s="1" t="inlineStr">
        <is>
          <t>Romania</t>
        </is>
      </c>
      <c r="P663" s="1" t="inlineStr">
        <is>
          <t>Austria, Romania</t>
        </is>
      </c>
      <c r="Q663" s="1" t="inlineStr">
        <is>
          <t>0 to 2</t>
        </is>
      </c>
      <c r="R663" t="inlineStr">
        <is>
          <t>Solo entrepreneur</t>
        </is>
      </c>
      <c r="S663" s="1" t="inlineStr">
        <is>
          <t>Business to Business, Business to Consumer</t>
        </is>
      </c>
      <c r="T663" s="1" t="inlineStr">
        <is>
          <t>Primary Education</t>
        </is>
      </c>
      <c r="U663" s="1" t="inlineStr">
        <is>
          <t>Student interfacing, Teacher interfacing</t>
        </is>
      </c>
      <c r="V663" s="1" t="n"/>
      <c r="W663" s="1" t="inlineStr">
        <is>
          <t>https://drive.google.com/uc?export=view&amp;id=179K0T3FoXcA3shqszwPE2LALUh0cOn_0</t>
        </is>
      </c>
      <c r="X663" s="1" t="inlineStr">
        <is>
          <t>https://drive.google.com/uc?export=view&amp;id=179K0T3FoXcA3shqszwPE2LALUh0cOn_0</t>
        </is>
      </c>
      <c r="Y663" t="inlineStr">
        <is>
          <t>https://drive.google.com/uc?export=view&amp;id=179K0T3FoXcA3shqszwPE2LALUh0cOn_0</t>
        </is>
      </c>
      <c r="Z663" s="1" t="inlineStr">
        <is>
          <t>https://drive.google.com/uc?export=view&amp;id=179K0T3FoXcA3shqszwPE2LALUh0cOn_0</t>
        </is>
      </c>
      <c r="AA663" s="1" t="inlineStr">
        <is>
          <t>Unverified</t>
        </is>
      </c>
      <c r="AB663" s="1" t="n"/>
      <c r="AC663" s="1" t="n"/>
      <c r="AD663" s="10" t="n"/>
      <c r="AE663" s="1" t="n"/>
      <c r="AF663" t="inlineStr">
        <is>
          <t>No</t>
        </is>
      </c>
    </row>
    <row r="664" ht="12.5" customHeight="1">
      <c r="A664" s="6" t="n">
        <v>45182</v>
      </c>
      <c r="B664" s="1" t="inlineStr">
        <is>
          <t>ORG_1891</t>
        </is>
      </c>
      <c r="C664" s="1" t="b">
        <v>1</v>
      </c>
      <c r="D664" s="1" t="inlineStr">
        <is>
          <t>LogIC - Reallience</t>
        </is>
      </c>
      <c r="E664" s="10" t="inlineStr">
        <is>
          <t>https://www.logic-app.ch/en/</t>
        </is>
      </c>
      <c r="F664" t="inlineStr">
        <is>
          <t>logic-app.ch/en</t>
        </is>
      </c>
      <c r="G664" s="1" t="inlineStr">
        <is>
          <t>Wherever human work makes a difference, Reallience creates solutions for competence-based management.
Reallience developped the platform LogIC™, that supports pedagogical activities and animate them by dematerializing training plans. It suits the needs of students, schools, universities or training institutes in their process of qualification.
Optimize in real time your teaching activities by capturing your own organization’s relevant data. All tailor-made and designed to be run in autonomy.</t>
        </is>
      </c>
      <c r="H664" s="1" t="inlineStr">
        <is>
          <t>Swiss EdTech Collider</t>
        </is>
      </c>
      <c r="I664" s="1" t="inlineStr">
        <is>
          <t>French, English, German, Italian</t>
        </is>
      </c>
      <c r="J664" s="1" t="inlineStr">
        <is>
          <t>Preverenges</t>
        </is>
      </c>
      <c r="K664" t="inlineStr">
        <is>
          <t>Preverenges</t>
        </is>
      </c>
      <c r="L664" t="inlineStr">
        <is>
          <t>Preverenges, Switzerland</t>
        </is>
      </c>
      <c r="M664" t="n">
        <v>46.5183844</v>
      </c>
      <c r="N664" t="n">
        <v>6.5267369</v>
      </c>
      <c r="O664" s="1" t="inlineStr">
        <is>
          <t>Switzerland</t>
        </is>
      </c>
      <c r="P664" s="1" t="inlineStr">
        <is>
          <t>France, Switzerland</t>
        </is>
      </c>
      <c r="Q664" s="1" t="inlineStr">
        <is>
          <t>3 to 5</t>
        </is>
      </c>
      <c r="R664" t="inlineStr">
        <is>
          <t>Micro</t>
        </is>
      </c>
      <c r="S664" s="1" t="inlineStr">
        <is>
          <t>Business to Business, Business to Government, Business to Schools</t>
        </is>
      </c>
      <c r="T664" s="1" t="inlineStr">
        <is>
          <t>Corporate Training, Higher Education</t>
        </is>
      </c>
      <c r="U664" s="1" t="inlineStr">
        <is>
          <t>Teacher interfacing, System/Administrative</t>
        </is>
      </c>
      <c r="V664" s="1" t="inlineStr">
        <is>
          <t>LogIC</t>
        </is>
      </c>
      <c r="W664" s="1" t="inlineStr">
        <is>
          <t>The LogIC platform is designed to help monitor performance and manage risk when executing complex activities. Its ergonomic and intuitive interface allows users to easily record their activities, follow their progress and qualifications. In addition, it is a powerful tool in tasks related to security and control.
LogIC is a flexible and easy to use platform: educational programs of any format can be dematerialized. Interactions between students and teachers are enhanced while the school’s vision and pedagogical concepts are reinforced.
.Record educational activities: practical experience, feedbacks, formative assessments or personal observations
.Promote a reflective approach and empower students in their own progression towards learning objectives
.Involve instructors in every training step, strengthening mentoring and dialogue with students</t>
        </is>
      </c>
      <c r="X664" s="10" t="inlineStr">
        <is>
          <t>https://drive.google.com/uc?export=view&amp;id=1nP_SCNAFqXpMC4W1gu4FVr8-AHZIh83x</t>
        </is>
      </c>
      <c r="Y664" t="inlineStr">
        <is>
          <t>https://drive.google.com/uc?export=view&amp;id=1nP_SCNAFqXpMC4W1gu4FVr8-AHZIh83x</t>
        </is>
      </c>
      <c r="Z664" s="1" t="inlineStr">
        <is>
          <t>https://drive.google.com/uc?export=view&amp;id=1nP_SCNAFqXpMC4W1gu4FVr8-AHZIh83x</t>
        </is>
      </c>
      <c r="AA664" s="1" t="inlineStr">
        <is>
          <t>Unverified</t>
        </is>
      </c>
      <c r="AB664" s="1" t="n"/>
      <c r="AC664" s="1" t="n"/>
      <c r="AD664" s="10" t="n"/>
      <c r="AE664" s="1" t="n"/>
      <c r="AF664" t="inlineStr">
        <is>
          <t>Yes</t>
        </is>
      </c>
      <c r="AG664" t="inlineStr">
        <is>
          <t>https://www.linkedin.com/company/reallience/</t>
        </is>
      </c>
      <c r="AH664" t="inlineStr">
        <is>
          <t>https://www.linkedin.com/company/reallience/</t>
        </is>
      </c>
      <c r="AI664" t="inlineStr">
        <is>
          <t>https://www.linkedin.com/company/reallience/</t>
        </is>
      </c>
    </row>
    <row r="665" ht="12.5" customHeight="1">
      <c r="A665" s="6" t="n">
        <v>45182</v>
      </c>
      <c r="B665" s="1" t="inlineStr">
        <is>
          <t>ORG_2299</t>
        </is>
      </c>
      <c r="C665" s="1" t="b">
        <v>1</v>
      </c>
      <c r="D665" s="1" t="inlineStr">
        <is>
          <t>SOWISO</t>
        </is>
      </c>
      <c r="E665" s="10" t="inlineStr">
        <is>
          <t>https://sowiso.nl/en/</t>
        </is>
      </c>
      <c r="F665" t="inlineStr">
        <is>
          <t>sowiso.nl/en</t>
        </is>
      </c>
      <c r="G665" s="1" t="inlineStr">
        <is>
          <t>SOWISO is an award-winning online learning and testing environment for STEM that increases student engagement and saves teachers time. Unlike other platforms, SOWISO provides students with intuitive, real-time feedback on their work, and teachers benefit from unlimited support, including from our in-house maths specialists, so that every one of our partners can best meet their teaching needs.
Our tool is used by more than 60 leading educational institutions worldwide, supporting over 450,000 students with improved STEM learning.</t>
        </is>
      </c>
      <c r="H665" s="1" t="inlineStr">
        <is>
          <t>Dutch EdTech</t>
        </is>
      </c>
      <c r="I665" s="1" t="inlineStr">
        <is>
          <t>English, Dutch, Spanish</t>
        </is>
      </c>
      <c r="J665" s="1" t="inlineStr">
        <is>
          <t>Amsterdam</t>
        </is>
      </c>
      <c r="K665" t="inlineStr">
        <is>
          <t>Amsterdam</t>
        </is>
      </c>
      <c r="L665" t="inlineStr">
        <is>
          <t>Amsterdam, The Netherlands</t>
        </is>
      </c>
      <c r="M665" t="n">
        <v>52.3701984</v>
      </c>
      <c r="N665" t="n">
        <v>4.892168</v>
      </c>
      <c r="O665" s="1" t="inlineStr">
        <is>
          <t>The Netherlands</t>
        </is>
      </c>
      <c r="P665" s="1" t="inlineStr">
        <is>
          <t>Belgium, Denmark, Estonia, Ireland, Netherlands, Norway, Serbia, Spain, United Kingdom</t>
        </is>
      </c>
      <c r="Q665" s="1" t="inlineStr">
        <is>
          <t>11 to 50</t>
        </is>
      </c>
      <c r="R665" t="inlineStr">
        <is>
          <t>Small</t>
        </is>
      </c>
      <c r="S665" s="1" t="inlineStr">
        <is>
          <t>Business to Consumer</t>
        </is>
      </c>
      <c r="T665" s="1" t="inlineStr">
        <is>
          <t>Secondary Education, Vocational Education and Training (VET), Higher Education</t>
        </is>
      </c>
      <c r="U665" s="1" t="inlineStr">
        <is>
          <t>Teacher interfacing</t>
        </is>
      </c>
      <c r="V665" s="1" t="inlineStr">
        <is>
          <t>SOWISO</t>
        </is>
      </c>
      <c r="W665" s="10" t="inlineStr">
        <is>
          <t>SOWISO is a learning and testing environment for STEM. It uses randomised questions, allowing students to learn through practice. Students receive hints according to the information they enter and automated personalised feedback, simulating private tutoring.
SOWISO can be used just by students for homework and practice. It can also be used as a full curriculum for teachers to follow. Teaching staff can use a predetermined curriculum provided by SOWISO, like a digital interactive textbook, or customise it.</t>
        </is>
      </c>
      <c r="X665" s="10" t="inlineStr">
        <is>
          <t>OMPT</t>
        </is>
      </c>
      <c r="Y665" t="inlineStr">
        <is>
          <t>Online Mathematics Placement Test (OMPT) is a number of different admission exams students can take anywhere and anytime, safely proctored throughout the year. 
A preparation course and mock exams complement the real exams to help students be even better prepared. OMPT not only offers six ready-made admission exams but also can (co-)design an exam that would match university-specific admission requirements.</t>
        </is>
      </c>
      <c r="Z665" s="1" t="inlineStr">
        <is>
          <t>https://drive.google.com/uc?export=view&amp;id=126DlVncFDmXSQhjYEGvK3Zq6UkeN4RQI</t>
        </is>
      </c>
      <c r="AA665" s="1" t="inlineStr">
        <is>
          <t>Unverified</t>
        </is>
      </c>
      <c r="AB665" s="1" t="n"/>
      <c r="AC665" s="1" t="n"/>
      <c r="AD665" s="10" t="n"/>
      <c r="AE665" s="1" t="n"/>
      <c r="AF665" t="inlineStr">
        <is>
          <t>Yes</t>
        </is>
      </c>
      <c r="AG665" t="inlineStr">
        <is>
          <t>https://twitter.com/sowisobv</t>
        </is>
      </c>
      <c r="AH665" t="inlineStr">
        <is>
          <t>https://twitter.com/sowisobv</t>
        </is>
      </c>
      <c r="AI665" t="inlineStr">
        <is>
          <t>https://www.linkedin.com/company/sowiso/</t>
        </is>
      </c>
    </row>
    <row r="666" ht="12.5" customHeight="1">
      <c r="A666" s="6" t="n">
        <v>45182</v>
      </c>
      <c r="B666" s="1" t="inlineStr">
        <is>
          <t>ORG_1360</t>
        </is>
      </c>
      <c r="C666" s="1" t="b">
        <v>1</v>
      </c>
      <c r="D666" s="1" t="inlineStr">
        <is>
          <t>Digital Method</t>
        </is>
      </c>
      <c r="E666" s="10" t="inlineStr">
        <is>
          <t>https://www.digitalemethode.be/</t>
        </is>
      </c>
      <c r="F666" t="inlineStr">
        <is>
          <t>digitalemethode.be</t>
        </is>
      </c>
      <c r="G666" s="1" t="inlineStr">
        <is>
          <t>Digital Method is a digital educational publisher. A learner-centered, intelligent platform that achieves higher learning gains by offering personalized, ready-to-use learning contents, giving the teacher the opportunity to work together with peers and become an expert coach and creator. For each course a well thought out mix of text, schemes, interactive elements, automatically corrected excercises, lesson videos,… Not just a book behind glass, or glorified PDF, but a real Digital Method for teaching and learning in the 21st century.</t>
        </is>
      </c>
      <c r="H666" s="1" t="inlineStr">
        <is>
          <t>edtechstation</t>
        </is>
      </c>
      <c r="I666" s="1" t="inlineStr">
        <is>
          <t>Dutch</t>
        </is>
      </c>
      <c r="J666" s="1" t="inlineStr">
        <is>
          <t>Lokeren</t>
        </is>
      </c>
      <c r="K666" t="inlineStr">
        <is>
          <t>Lokeren</t>
        </is>
      </c>
      <c r="L666" t="inlineStr">
        <is>
          <t>Lokeren, Belgium</t>
        </is>
      </c>
      <c r="M666" t="n">
        <v>51.1044488</v>
      </c>
      <c r="N666" t="n">
        <v>3.9898689</v>
      </c>
      <c r="O666" s="1" t="inlineStr">
        <is>
          <t>Belgium</t>
        </is>
      </c>
      <c r="P666" s="1" t="inlineStr">
        <is>
          <t>Belgium, Netherlands</t>
        </is>
      </c>
      <c r="Q666" s="1" t="inlineStr">
        <is>
          <t>11 to 50</t>
        </is>
      </c>
      <c r="R666" t="inlineStr">
        <is>
          <t>Small</t>
        </is>
      </c>
      <c r="S666" s="1" t="inlineStr">
        <is>
          <t>Business to Business, Business to Consumer</t>
        </is>
      </c>
      <c r="T666" s="1" t="inlineStr">
        <is>
          <t>Secondary Education</t>
        </is>
      </c>
      <c r="U666" s="1" t="inlineStr">
        <is>
          <t>System/Administrative, Teacher interfacing</t>
        </is>
      </c>
      <c r="V666" s="1" t="n"/>
      <c r="W666" s="1" t="inlineStr">
        <is>
          <t>https://drive.google.com/uc?export=view&amp;id=1wPVQobLnkHtCZzX7_yXygdYOrwu1wusT</t>
        </is>
      </c>
      <c r="X666" s="1" t="inlineStr">
        <is>
          <t>https://drive.google.com/uc?export=view&amp;id=1wPVQobLnkHtCZzX7_yXygdYOrwu1wusT</t>
        </is>
      </c>
      <c r="Y666" t="inlineStr">
        <is>
          <t>https://drive.google.com/uc?export=view&amp;id=1wPVQobLnkHtCZzX7_yXygdYOrwu1wusT</t>
        </is>
      </c>
      <c r="Z666" s="1" t="inlineStr">
        <is>
          <t>https://drive.google.com/uc?export=view&amp;id=1wPVQobLnkHtCZzX7_yXygdYOrwu1wusT</t>
        </is>
      </c>
      <c r="AA666" s="1" t="inlineStr">
        <is>
          <t>Unverified</t>
        </is>
      </c>
      <c r="AB666" s="1" t="n"/>
      <c r="AC666" s="1" t="n"/>
      <c r="AD666" s="10" t="n"/>
      <c r="AE666" s="1" t="n"/>
      <c r="AF666" t="inlineStr">
        <is>
          <t>No</t>
        </is>
      </c>
    </row>
    <row r="667" ht="12.5" customHeight="1">
      <c r="A667" s="6" t="n">
        <v>45182</v>
      </c>
      <c r="B667" s="1" t="inlineStr">
        <is>
          <t>ORG_2174</t>
        </is>
      </c>
      <c r="C667" s="1" t="b">
        <v>1</v>
      </c>
      <c r="D667" s="1" t="inlineStr">
        <is>
          <t>Reducate_</t>
        </is>
      </c>
      <c r="E667" s="10" t="inlineStr">
        <is>
          <t>www.reducate.com</t>
        </is>
      </c>
      <c r="F667" t="inlineStr">
        <is>
          <t>reducate.com</t>
        </is>
      </c>
      <c r="G667" s="1" t="inlineStr">
        <is>
          <t>Reducate_ is a platform of European online continuing professional education. We aim to become Europe’s biggest online CPE platform in a wide range of verticals. Today 200.000 professionals within 40 verticals in The Netherlands and Scandinavia have daily access to the 2.400 online courses of Reducate_. Daughter companies of Reducate_ are E-WISE, E-learning Made Easy and THAR (Netherlands) and Blueprint Learning (Denmark)</t>
        </is>
      </c>
      <c r="H667" s="1" t="inlineStr">
        <is>
          <t>I'm not part of any EdTech association</t>
        </is>
      </c>
      <c r="I667" s="1" t="inlineStr">
        <is>
          <t>Dutch, Danish</t>
        </is>
      </c>
      <c r="J667" s="1" t="inlineStr">
        <is>
          <t>Utrecht</t>
        </is>
      </c>
      <c r="K667" t="inlineStr">
        <is>
          <t>Utrecht</t>
        </is>
      </c>
      <c r="L667" t="inlineStr">
        <is>
          <t>Utrecht, The Netherlands</t>
        </is>
      </c>
      <c r="M667" t="n">
        <v>52.0906195</v>
      </c>
      <c r="N667" t="n">
        <v>5.1119709</v>
      </c>
      <c r="O667" s="1" t="inlineStr">
        <is>
          <t>The Netherlands</t>
        </is>
      </c>
      <c r="P667" s="1" t="inlineStr">
        <is>
          <t>Denmark, Netherlands</t>
        </is>
      </c>
      <c r="Q667" s="1" t="inlineStr">
        <is>
          <t>101 to 500</t>
        </is>
      </c>
      <c r="R667" t="inlineStr">
        <is>
          <t>Medium or Large (unspecified)</t>
        </is>
      </c>
      <c r="S667" s="1" t="inlineStr">
        <is>
          <t>Business to Business, Business to Government, Business to Schools</t>
        </is>
      </c>
      <c r="T667" s="1" t="inlineStr">
        <is>
          <t>Lifelong learning/Adult education</t>
        </is>
      </c>
      <c r="U667" s="1" t="inlineStr">
        <is>
          <t>Teacher interfacing, System/Administrative</t>
        </is>
      </c>
      <c r="V667" s="1" t="inlineStr">
        <is>
          <t>Various</t>
        </is>
      </c>
      <c r="W667" s="1" t="inlineStr">
        <is>
          <t>Online continuing professional education under the labels E-WISE &amp; LearnLet (teachers, schools and child daycare), CME-Online &amp; DENTAkurser(medical sector), PE-Academy &amp; REVIkurser (financial &amp; legal sector), PO-Online &amp; ADVOkurser (lawyers), EME (nursing, care takers), Thar (transport &amp; logistic sector) and SchultzCampus (municipalities)</t>
        </is>
      </c>
      <c r="X667" s="10" t="inlineStr">
        <is>
          <t>https://drive.google.com/uc?export=view&amp;id=1zYaJfbhr60-aCi9Zs1aJsMrklPRgE_BG</t>
        </is>
      </c>
      <c r="Y667" t="inlineStr">
        <is>
          <t>https://drive.google.com/uc?export=view&amp;id=1zYaJfbhr60-aCi9Zs1aJsMrklPRgE_BG</t>
        </is>
      </c>
      <c r="Z667" s="1" t="inlineStr">
        <is>
          <t>https://drive.google.com/uc?export=view&amp;id=1zYaJfbhr60-aCi9Zs1aJsMrklPRgE_BG</t>
        </is>
      </c>
      <c r="AA667" s="1" t="inlineStr">
        <is>
          <t>Unverified</t>
        </is>
      </c>
      <c r="AB667" s="1" t="n"/>
      <c r="AC667" s="1" t="n"/>
      <c r="AD667" s="10" t="n"/>
      <c r="AE667" s="1" t="n"/>
      <c r="AF667" t="inlineStr">
        <is>
          <t>Yes</t>
        </is>
      </c>
      <c r="AG667" t="inlineStr">
        <is>
          <t>https://www.linkedin.com/company/reducate/</t>
        </is>
      </c>
      <c r="AH667" t="inlineStr">
        <is>
          <t>https://www.linkedin.com/company/reducate/</t>
        </is>
      </c>
      <c r="AI667" t="inlineStr">
        <is>
          <t>https://www.linkedin.com/company/reducate/</t>
        </is>
      </c>
    </row>
    <row r="668" ht="12.5" customHeight="1">
      <c r="A668" s="6" t="n">
        <v>45182</v>
      </c>
      <c r="B668" s="1" t="inlineStr">
        <is>
          <t>ORG_2186</t>
        </is>
      </c>
      <c r="C668" s="1" t="b">
        <v>1</v>
      </c>
      <c r="D668" s="1" t="inlineStr">
        <is>
          <t>Rising Up</t>
        </is>
      </c>
      <c r="E668" s="10" t="inlineStr">
        <is>
          <t>https://en.risinguparis.com/</t>
        </is>
      </c>
      <c r="F668" t="inlineStr">
        <is>
          <t>en.risinguparis.com</t>
        </is>
      </c>
      <c r="G668" s="1" t="inlineStr">
        <is>
          <t>Rising Up is a deeptech company offering a SaaS solution called THE L.A.B. to identify and enrich the core skills (soft skills) needed to enter the job market. For the first time, this innovative skills development solution enables qualitative and quantitative analysis of soft (core) skills, while optimizing their development.</t>
        </is>
      </c>
      <c r="H668" s="1" t="inlineStr">
        <is>
          <t>EdTech France</t>
        </is>
      </c>
      <c r="I668" s="1" t="inlineStr">
        <is>
          <t>Danish, English, Norwegian, French</t>
        </is>
      </c>
      <c r="J668" s="1" t="inlineStr">
        <is>
          <t>Paris</t>
        </is>
      </c>
      <c r="K668" t="inlineStr">
        <is>
          <t>Paris</t>
        </is>
      </c>
      <c r="L668" t="inlineStr">
        <is>
          <t>Paris, France</t>
        </is>
      </c>
      <c r="M668" t="n">
        <v>48.8534951</v>
      </c>
      <c r="N668" t="n">
        <v>2.3483915</v>
      </c>
      <c r="O668" s="1" t="inlineStr">
        <is>
          <t>France</t>
        </is>
      </c>
      <c r="P668" s="1" t="inlineStr">
        <is>
          <t>Belgium, Denmark, Finland, France, Germany, Luxembourg, Norway, Sweden</t>
        </is>
      </c>
      <c r="Q668" s="1" t="inlineStr">
        <is>
          <t>3 to 5</t>
        </is>
      </c>
      <c r="R668" t="inlineStr">
        <is>
          <t>Micro</t>
        </is>
      </c>
      <c r="S668" s="1" t="inlineStr">
        <is>
          <t>Business to Business, Business to Schools</t>
        </is>
      </c>
      <c r="T668" s="1" t="inlineStr">
        <is>
          <t>Corporate Training, Lifelong learning/Adult education, Vocational Education and Training (VET), Higher Education</t>
        </is>
      </c>
      <c r="U668" s="1" t="inlineStr">
        <is>
          <t>Student interfacing, System/Administrative</t>
        </is>
      </c>
      <c r="V668" s="1" t="inlineStr">
        <is>
          <t>Soft Skill Scan</t>
        </is>
      </c>
      <c r="W668" s="10" t="inlineStr">
        <is>
          <t>Identify and value you core skills to boost your employability (100 % online, 35 mn)
- learn about your core-skills
- identify you key core skills 
- learn to value them in your job interview</t>
        </is>
      </c>
      <c r="X668" s="10" t="inlineStr">
        <is>
          <t>Soft skill Leader</t>
        </is>
      </c>
      <c r="Y668" t="inlineStr">
        <is>
          <t>Become a master of your core skills (100 % online, 45 mn)
- Learn to decrypt your behaviors and those of others thanks to neurosciences theory
- develop effective strategies to manage priorities, delegate to people you trust, control your emotion or be more focus
- increase your performance to boost your employability</t>
        </is>
      </c>
      <c r="Z668" s="1" t="inlineStr">
        <is>
          <t>https://drive.google.com/uc?export=view&amp;id=1X9Rs-K3iSmEoAAjiAUTjAjVTKoKQ8hx_</t>
        </is>
      </c>
      <c r="AA668" s="1" t="inlineStr">
        <is>
          <t>Unverified</t>
        </is>
      </c>
      <c r="AB668" s="1" t="n"/>
      <c r="AC668" s="1" t="n"/>
      <c r="AD668" s="10" t="n"/>
      <c r="AE668" s="1" t="n"/>
      <c r="AF668" t="inlineStr">
        <is>
          <t>Yes</t>
        </is>
      </c>
      <c r="AG668" t="inlineStr">
        <is>
          <t>Rising Up</t>
        </is>
      </c>
      <c r="AH668" t="inlineStr">
        <is>
          <t>https://twitter.com/risinguparis</t>
        </is>
      </c>
      <c r="AI668" t="inlineStr">
        <is>
          <t>https://www.linkedin.com/company/18324967/admin/</t>
        </is>
      </c>
    </row>
    <row r="669" ht="12.5" customHeight="1">
      <c r="A669" s="6" t="n">
        <v>45182</v>
      </c>
      <c r="B669" s="1" t="inlineStr">
        <is>
          <t>ORG_1285</t>
        </is>
      </c>
      <c r="C669" s="1" t="b">
        <v>1</v>
      </c>
      <c r="D669" s="1" t="inlineStr">
        <is>
          <t>Communico</t>
        </is>
      </c>
      <c r="E669" s="10" t="inlineStr">
        <is>
          <t>www.communico.nu</t>
        </is>
      </c>
      <c r="F669" t="inlineStr">
        <is>
          <t>communico.nu</t>
        </is>
      </c>
      <c r="G669" s="1" t="inlineStr">
        <is>
          <t>Communico is a company which is at the same time brand new and highly experienced. We are an offspring from Dansk Kommunikation, who have worked since 2012 to combine role-playing didactics with digital technology. Our purpose is to make common societal challenges accessible and relatable to pupils through advanced teaching programmes that can be used cheaply, simply and locally.
We call these programs digital Edu-LARPs (educational Live-Action Role Plays), and so far, they've been played successfully by hundreds of teachers and thousands of students in Denmark, Norway, and Germany. Communico has no political or religious agenda, but we are committed to UN's World Sustainable Development Goals.</t>
        </is>
      </c>
      <c r="H669" s="1" t="inlineStr">
        <is>
          <t>EdTech Denmark</t>
        </is>
      </c>
      <c r="I669" s="1" t="inlineStr">
        <is>
          <t>English, German, Dutch, Danish</t>
        </is>
      </c>
      <c r="J669" s="1" t="inlineStr">
        <is>
          <t>Copenhagen V</t>
        </is>
      </c>
      <c r="K669" t="inlineStr">
        <is>
          <t>Copenhagen V</t>
        </is>
      </c>
      <c r="L669" t="inlineStr">
        <is>
          <t>Copenhagen V, Denmark</t>
        </is>
      </c>
      <c r="M669" t="n">
        <v>55.6702</v>
      </c>
      <c r="N669" t="n">
        <v>12.5529</v>
      </c>
      <c r="O669" s="1" t="inlineStr">
        <is>
          <t>Denmark</t>
        </is>
      </c>
      <c r="P669" s="1" t="inlineStr">
        <is>
          <t>Denmark, Germany</t>
        </is>
      </c>
      <c r="Q669" s="1" t="inlineStr">
        <is>
          <t>0 to 2</t>
        </is>
      </c>
      <c r="R669" t="inlineStr">
        <is>
          <t>Solo entrepreneur</t>
        </is>
      </c>
      <c r="S669" s="1" t="inlineStr">
        <is>
          <t>Business to Business</t>
        </is>
      </c>
      <c r="T669" s="1" t="inlineStr">
        <is>
          <t>Secondary Education</t>
        </is>
      </c>
      <c r="U669" s="1" t="inlineStr">
        <is>
          <t>Teacher interfacing, System/Administrative</t>
        </is>
      </c>
      <c r="V669" s="1" t="inlineStr">
        <is>
          <t>Europe at Work</t>
        </is>
      </c>
      <c r="W669" s="1" t="inlineStr">
        <is>
          <t>Europe at Work teaches basic knowledge and understanding of the European Union to high school students. It is played for 70-250 students in 5 hours. The platform creates an immersive, blended learning universe that builds academic content into the student interplay. Challenge-driven progression keeps students motivated and absorbed in the game universe and ensures student engagement throughout the day. Teachers have a crucial facilitating role, where they act as guides through the groupwork, shared meetings and the advanced academic content.</t>
        </is>
      </c>
      <c r="X669" s="10" t="inlineStr">
        <is>
          <t>https://drive.google.com/uc?export=view&amp;id=1USHO4twK-obtqCcafU931Df1EPRm3NmV</t>
        </is>
      </c>
      <c r="Y669" t="inlineStr">
        <is>
          <t>https://drive.google.com/uc?export=view&amp;id=1USHO4twK-obtqCcafU931Df1EPRm3NmV</t>
        </is>
      </c>
      <c r="Z669" s="1" t="inlineStr">
        <is>
          <t>https://drive.google.com/uc?export=view&amp;id=1USHO4twK-obtqCcafU931Df1EPRm3NmV</t>
        </is>
      </c>
      <c r="AA669" s="1" t="inlineStr">
        <is>
          <t>Unverified</t>
        </is>
      </c>
      <c r="AB669" s="1" t="n"/>
      <c r="AC669" s="1" t="n"/>
      <c r="AD669" s="10" t="n"/>
      <c r="AE669" s="1" t="n"/>
      <c r="AF669" t="inlineStr">
        <is>
          <t>Yes</t>
        </is>
      </c>
      <c r="AG669" t="inlineStr">
        <is>
          <t>https://www.linkedin.com/company/communico-aps</t>
        </is>
      </c>
      <c r="AH669" t="inlineStr">
        <is>
          <t>https://www.linkedin.com/company/communico-aps</t>
        </is>
      </c>
      <c r="AI669" t="inlineStr">
        <is>
          <t>https://www.linkedin.com/company/communico-aps</t>
        </is>
      </c>
    </row>
    <row r="670" ht="12.5" customHeight="1">
      <c r="A670" s="6" t="n">
        <v>45182</v>
      </c>
      <c r="B670" s="1" t="inlineStr">
        <is>
          <t>ORG_1390</t>
        </is>
      </c>
      <c r="C670" s="1" t="b">
        <v>1</v>
      </c>
      <c r="D670" s="1" t="inlineStr">
        <is>
          <t>E-WISE</t>
        </is>
      </c>
      <c r="E670" s="10" t="inlineStr">
        <is>
          <t>www.e-wise.com</t>
        </is>
      </c>
      <c r="F670" t="inlineStr">
        <is>
          <t>e-wise.com</t>
        </is>
      </c>
      <c r="G670" s="1" t="inlineStr">
        <is>
          <t>E-WISE was founded 25 years ago and is by far market leader in The Netherlands in online continuing professional educational in verticals in the medical, financial, legal and school sector. Via its subscription based platform every day 135.000 course participants can now choose from more than 1.800 different courses.</t>
        </is>
      </c>
      <c r="H670" s="1" t="inlineStr">
        <is>
          <t>I'm not part of any EdTech association</t>
        </is>
      </c>
      <c r="I670" s="1" t="inlineStr">
        <is>
          <t>Dutch</t>
        </is>
      </c>
      <c r="J670" s="1" t="inlineStr">
        <is>
          <t>Utrecht</t>
        </is>
      </c>
      <c r="K670" t="inlineStr">
        <is>
          <t>Utrecht</t>
        </is>
      </c>
      <c r="L670" t="inlineStr">
        <is>
          <t>Utrecht, The Netherlands</t>
        </is>
      </c>
      <c r="M670" t="n">
        <v>52.0906195</v>
      </c>
      <c r="N670" t="n">
        <v>5.1119709</v>
      </c>
      <c r="O670" s="1" t="inlineStr">
        <is>
          <t>The Netherlands</t>
        </is>
      </c>
      <c r="P670" s="1" t="inlineStr">
        <is>
          <t>Netherlands</t>
        </is>
      </c>
      <c r="Q670" s="1" t="inlineStr">
        <is>
          <t>101 to 500</t>
        </is>
      </c>
      <c r="R670" t="inlineStr">
        <is>
          <t>Medium or Large (unspecified)</t>
        </is>
      </c>
      <c r="S670" s="1" t="inlineStr">
        <is>
          <t>Business to Business, Business to Consumer</t>
        </is>
      </c>
      <c r="T670" s="1" t="inlineStr">
        <is>
          <t>Corporate Training, Lifelong learning/Adult education</t>
        </is>
      </c>
      <c r="U670" s="1" t="inlineStr">
        <is>
          <t>Teacher interfacing, System/Administrative, Student interfacing</t>
        </is>
      </c>
      <c r="V670" s="1" t="inlineStr">
        <is>
          <t>E-WISE</t>
        </is>
      </c>
      <c r="W670" s="1" t="inlineStr">
        <is>
          <t>Online continuing education for teachers, schools and child daycare</t>
        </is>
      </c>
      <c r="X670" s="10" t="inlineStr">
        <is>
          <t>CME-Online</t>
        </is>
      </c>
      <c r="Y670" t="inlineStr">
        <is>
          <t>Online continuing medical education in the medical sector</t>
        </is>
      </c>
      <c r="Z670" s="1" t="inlineStr">
        <is>
          <t>https://drive.google.com/uc?export=view&amp;id=1qKSB9-Nc-RyQu42y_rfYmz57JcgDQ3Lr</t>
        </is>
      </c>
      <c r="AA670" s="1" t="inlineStr">
        <is>
          <t>Unverified</t>
        </is>
      </c>
      <c r="AB670" s="1" t="n"/>
      <c r="AC670" s="1" t="n"/>
      <c r="AD670" s="10" t="n"/>
      <c r="AE670" s="1" t="n"/>
      <c r="AF670" t="inlineStr">
        <is>
          <t>Yes</t>
        </is>
      </c>
      <c r="AG670" t="inlineStr">
        <is>
          <t>https://www.linkedin.com/company/100983/admin/feed/posts/</t>
        </is>
      </c>
      <c r="AH670" t="inlineStr">
        <is>
          <t>https://www.linkedin.com/company/100983/admin/feed/posts/</t>
        </is>
      </c>
      <c r="AI670" t="inlineStr">
        <is>
          <t>https://www.linkedin.com/company/100983/admin/feed/posts/</t>
        </is>
      </c>
    </row>
    <row r="671" ht="12.5" customHeight="1">
      <c r="A671" s="6" t="n">
        <v>45182</v>
      </c>
      <c r="B671" s="1" t="inlineStr">
        <is>
          <t>ORG_2079</t>
        </is>
      </c>
      <c r="C671" s="1" t="b">
        <v>1</v>
      </c>
      <c r="D671" s="1" t="inlineStr">
        <is>
          <t>OSCAR CRM</t>
        </is>
      </c>
      <c r="E671" s="10" t="inlineStr">
        <is>
          <t>https://www.oscar-campus.com</t>
        </is>
      </c>
      <c r="F671" t="inlineStr">
        <is>
          <t>oscar-campus.com</t>
        </is>
      </c>
      <c r="G671" s="1" t="inlineStr">
        <is>
          <t>OSCAR CRM is the 1st French CRM software dedicated entirely to higher education.
Developed with the help of many establishments, OSCAR CRM is a suitable and efficient software to manage the CRM issues of a school, an IAE, a CFA or a university.
Specialists in CRM and higher education, our teams support you from the audit of your needs to daily support.</t>
        </is>
      </c>
      <c r="H671" s="1" t="inlineStr">
        <is>
          <t>EdTech France</t>
        </is>
      </c>
      <c r="I671" s="1" t="n"/>
      <c r="J671" s="1" t="inlineStr">
        <is>
          <t>Paris</t>
        </is>
      </c>
      <c r="K671" t="inlineStr">
        <is>
          <t>Paris</t>
        </is>
      </c>
      <c r="L671" t="inlineStr">
        <is>
          <t>Paris, France</t>
        </is>
      </c>
      <c r="M671" t="n">
        <v>48.8534951</v>
      </c>
      <c r="N671" t="n">
        <v>2.3483915</v>
      </c>
      <c r="O671" s="1" t="inlineStr">
        <is>
          <t>France</t>
        </is>
      </c>
      <c r="P671" s="1" t="inlineStr">
        <is>
          <t>France, Italy, Monaco, Sweden, Switzerland</t>
        </is>
      </c>
      <c r="Q671" s="1" t="inlineStr">
        <is>
          <t>6 to 10</t>
        </is>
      </c>
      <c r="R671" t="inlineStr">
        <is>
          <t>Micro</t>
        </is>
      </c>
      <c r="S671" s="1" t="inlineStr">
        <is>
          <t>Business to Consumer</t>
        </is>
      </c>
      <c r="T671" s="1" t="inlineStr">
        <is>
          <t>Higher Education</t>
        </is>
      </c>
      <c r="U671" s="1" t="inlineStr">
        <is>
          <t>Student interfacing</t>
        </is>
      </c>
      <c r="V671" s="1" t="inlineStr">
        <is>
          <t>OSCAR CRM</t>
        </is>
      </c>
      <c r="W671" s="1" t="inlineStr">
        <is>
          <t>OSCAR CRM is the 1st French CRM software dedicated entirely to higher education.
Developed with the help of many establishments, OSCAR CRM is a suitable and efficient software to manage the CRM issues of a school, an IAE, a CFA or a university.
Specialists in CRM and higher education, our teams support you from the audit of your needs to daily support.</t>
        </is>
      </c>
      <c r="X671" s="10" t="inlineStr">
        <is>
          <t>https://drive.google.com/uc?export=view&amp;id=19cgLA5jkLRuqtHGMWOP4lMtAlhw6pkwW</t>
        </is>
      </c>
      <c r="Y671" t="inlineStr">
        <is>
          <t>https://drive.google.com/uc?export=view&amp;id=19cgLA5jkLRuqtHGMWOP4lMtAlhw6pkwW</t>
        </is>
      </c>
      <c r="Z671" s="1" t="inlineStr">
        <is>
          <t>https://drive.google.com/uc?export=view&amp;id=19cgLA5jkLRuqtHGMWOP4lMtAlhw6pkwW</t>
        </is>
      </c>
      <c r="AA671" s="1" t="inlineStr">
        <is>
          <t>Unverified</t>
        </is>
      </c>
      <c r="AB671" s="1" t="n"/>
      <c r="AC671" s="1" t="n"/>
      <c r="AD671" s="10" t="n"/>
      <c r="AE671" s="1" t="n"/>
      <c r="AF671" s="1" t="inlineStr">
        <is>
          <t>Yes</t>
        </is>
      </c>
      <c r="AG671" s="1" t="inlineStr">
        <is>
          <t>https://www.linkedin.com/company/oscar-campus-crm/</t>
        </is>
      </c>
      <c r="AH671" s="1" t="inlineStr">
        <is>
          <t>https://www.linkedin.com/company/oscar-campus-crm/</t>
        </is>
      </c>
      <c r="AI671" t="inlineStr">
        <is>
          <t>https://www.linkedin.com/company/oscar-campus-crm/</t>
        </is>
      </c>
    </row>
    <row r="672" ht="12.5" customHeight="1">
      <c r="A672" s="6" t="n">
        <v>45182</v>
      </c>
      <c r="B672" s="1" t="inlineStr">
        <is>
          <t>ORG_1493</t>
        </is>
      </c>
      <c r="C672" s="1" t="b">
        <v>1</v>
      </c>
      <c r="D672" s="1" t="inlineStr">
        <is>
          <t>EMYS</t>
        </is>
      </c>
      <c r="E672" s="10" t="inlineStr">
        <is>
          <t>www.emys.co</t>
        </is>
      </c>
      <c r="F672" t="inlineStr">
        <is>
          <t>emys.co</t>
        </is>
      </c>
      <c r="G672" s="1" t="inlineStr">
        <is>
          <t>The mission of EMYS ™ is to shape the future of education through the world's most innovative, secure and hands-on technology. Children are at the center of our attention.</t>
        </is>
      </c>
      <c r="H672" s="1" t="inlineStr">
        <is>
          <t>I'm not part of any EdTech association</t>
        </is>
      </c>
      <c r="I672" s="1" t="inlineStr">
        <is>
          <t>English</t>
        </is>
      </c>
      <c r="J672" s="1" t="inlineStr">
        <is>
          <t>Wroclaw</t>
        </is>
      </c>
      <c r="K672" t="inlineStr">
        <is>
          <t>Wroclaw</t>
        </is>
      </c>
      <c r="L672" t="inlineStr">
        <is>
          <t>Wroclaw, Poland</t>
        </is>
      </c>
      <c r="M672" t="n">
        <v>51.1089776</v>
      </c>
      <c r="N672" t="n">
        <v>17.0326689</v>
      </c>
      <c r="O672" s="1" t="inlineStr">
        <is>
          <t>Poland</t>
        </is>
      </c>
      <c r="P672" s="1" t="inlineStr">
        <is>
          <t>France, Poland</t>
        </is>
      </c>
      <c r="Q672" s="1" t="inlineStr">
        <is>
          <t>3 to 5</t>
        </is>
      </c>
      <c r="R672" t="inlineStr">
        <is>
          <t>Micro</t>
        </is>
      </c>
      <c r="S672" s="1" t="inlineStr">
        <is>
          <t>Business to Business, Business to Consumer</t>
        </is>
      </c>
      <c r="T672" s="1" t="inlineStr">
        <is>
          <t>Early childhood development (0-5 years)</t>
        </is>
      </c>
      <c r="U672" s="1" t="inlineStr">
        <is>
          <t>System/Administrative, Student interfacing, Teacher interfacing</t>
        </is>
      </c>
      <c r="V672" s="10" t="inlineStr">
        <is>
          <t>EMYS robot</t>
        </is>
      </c>
      <c r="W672" s="1" t="inlineStr">
        <is>
          <t>Children aged 3-7 years old love EMYS: the most advanced, English speaking educational robot in the world with a friendly appearance and outstanding interactive capabilities. EMYS is a rich source of carefully chosen language presented through a series of interactive tasks, games, crafts, activities, songs and stories. The robot reacts to the kids touch and comes equipped with many quality theme-based toys and cards that were created to stimulate 5 senses. EMYS is also playful and capable of displaying emotions. Finally, this unique english native speaker awakens kids drive to play-pretend and asks them regularly to be taken care of. From R2D2 &amp; C-3PO through WALL-E &amp; Hal, what once used to be a dream on cinema screens, now has become the reality for kids and the adults around them alike.</t>
        </is>
      </c>
      <c r="X672" s="10" t="inlineStr">
        <is>
          <t>https://drive.google.com/uc?export=view&amp;id=1DGMjRGLEEnKt_1cYd5BIhHEtFqqM7Sda</t>
        </is>
      </c>
      <c r="Y672" t="inlineStr">
        <is>
          <t>https://drive.google.com/uc?export=view&amp;id=1DGMjRGLEEnKt_1cYd5BIhHEtFqqM7Sda</t>
        </is>
      </c>
      <c r="Z672" s="1" t="inlineStr">
        <is>
          <t>https://drive.google.com/uc?export=view&amp;id=1DGMjRGLEEnKt_1cYd5BIhHEtFqqM7Sda</t>
        </is>
      </c>
      <c r="AA672" s="1" t="inlineStr">
        <is>
          <t>Unverified</t>
        </is>
      </c>
      <c r="AB672" s="1" t="n"/>
      <c r="AC672" s="1" t="n"/>
      <c r="AD672" s="10" t="n"/>
      <c r="AE672" s="1" t="n"/>
      <c r="AF672" s="1" t="inlineStr">
        <is>
          <t>Yes</t>
        </is>
      </c>
      <c r="AG672" s="1" t="inlineStr">
        <is>
          <t>https://www.instagram.com/emysrobot/</t>
        </is>
      </c>
      <c r="AH672" s="1" t="inlineStr">
        <is>
          <t>https://www.linkedin.com/company/emysrobot</t>
        </is>
      </c>
      <c r="AI672" t="inlineStr">
        <is>
          <t>https://www.linkedin.com/company/emysrobot</t>
        </is>
      </c>
    </row>
    <row r="673" ht="12.5" customHeight="1">
      <c r="A673" s="6" t="n">
        <v>45182</v>
      </c>
      <c r="B673" s="1" t="inlineStr">
        <is>
          <t>ORG_2502</t>
        </is>
      </c>
      <c r="C673" s="1" t="b">
        <v>1</v>
      </c>
      <c r="D673" s="1" t="inlineStr">
        <is>
          <t>Visuon</t>
        </is>
      </c>
      <c r="E673" s="10" t="inlineStr">
        <is>
          <t>https://visuon.com</t>
        </is>
      </c>
      <c r="F673" t="inlineStr">
        <is>
          <t>visuon.com</t>
        </is>
      </c>
      <c r="G673" s="1" t="inlineStr">
        <is>
          <t>Dismissal is often due to poor orientation and training processes. The quality of competence affects productivity and well-being at work. Our target groups are the cleaning industry, healthcare and the industry in general, where the need for onboarding and training is constantly growing. The need for multilingualism is also a challenge, but visuality helps. Visuon has a great and valued solution for creating and publishing visual content conveniently. Visuon utilizes visual pedagogy for learning and presentation using 360XR virtual reality. In tests and feedback, end users love and deploy Visual visual content easily. Integrations with existing systems are also possible. We are ready to help!</t>
        </is>
      </c>
      <c r="H673" s="1" t="inlineStr">
        <is>
          <t>EdTech Finland</t>
        </is>
      </c>
      <c r="I673" s="1" t="inlineStr">
        <is>
          <t>English</t>
        </is>
      </c>
      <c r="J673" s="1" t="inlineStr">
        <is>
          <t>Tampere</t>
        </is>
      </c>
      <c r="K673" t="inlineStr">
        <is>
          <t>Tampere</t>
        </is>
      </c>
      <c r="L673" t="inlineStr">
        <is>
          <t>Tampere, Finland</t>
        </is>
      </c>
      <c r="M673" t="n">
        <v>61.4977988</v>
      </c>
      <c r="N673" t="n">
        <v>23.7616335</v>
      </c>
      <c r="O673" s="1" t="inlineStr">
        <is>
          <t>Finland</t>
        </is>
      </c>
      <c r="P673" s="1" t="inlineStr">
        <is>
          <t>Finland, Sweden</t>
        </is>
      </c>
      <c r="Q673" s="1" t="inlineStr">
        <is>
          <t>0 to 2</t>
        </is>
      </c>
      <c r="R673" t="inlineStr">
        <is>
          <t>Solo entrepreneur</t>
        </is>
      </c>
      <c r="S673" s="1" t="inlineStr">
        <is>
          <t>Business to Schools</t>
        </is>
      </c>
      <c r="T673" s="1" t="inlineStr">
        <is>
          <t>Corporate Training, Lifelong learning/Adult education, Vocational Education and Training (VET)</t>
        </is>
      </c>
      <c r="U673" s="1" t="inlineStr">
        <is>
          <t>Teacher interfacing, System/Administrative</t>
        </is>
      </c>
      <c r="V673" s="1" t="inlineStr">
        <is>
          <t>Visuon 360VR platform</t>
        </is>
      </c>
      <c r="W673" s="10" t="inlineStr">
        <is>
          <t>Visuon platform for creating, publishing and maintaining the content for endusers. Very visual based and intuitive tool for content creators.</t>
        </is>
      </c>
      <c r="X673" s="10" t="inlineStr">
        <is>
          <t>https://drive.google.com/uc?export=view&amp;id=1T3VTfZaIb3JpFJnbapeHEbWIyiC3-2fV</t>
        </is>
      </c>
      <c r="Y673" t="inlineStr">
        <is>
          <t>https://drive.google.com/uc?export=view&amp;id=1T3VTfZaIb3JpFJnbapeHEbWIyiC3-2fV</t>
        </is>
      </c>
      <c r="Z673" s="1" t="inlineStr">
        <is>
          <t>https://drive.google.com/uc?export=view&amp;id=1T3VTfZaIb3JpFJnbapeHEbWIyiC3-2fV</t>
        </is>
      </c>
      <c r="AA673" s="1" t="inlineStr">
        <is>
          <t>Unverified</t>
        </is>
      </c>
      <c r="AB673" s="1" t="n"/>
      <c r="AC673" s="1" t="n"/>
      <c r="AD673" s="10" t="n"/>
      <c r="AE673" s="1" t="n"/>
      <c r="AF673" s="1" t="inlineStr">
        <is>
          <t>Yes</t>
        </is>
      </c>
      <c r="AG673" s="1" t="inlineStr">
        <is>
          <t>https://twitter.com/visuonco</t>
        </is>
      </c>
      <c r="AH673" s="1" t="inlineStr">
        <is>
          <t>https://twitter.com/visuonco</t>
        </is>
      </c>
      <c r="AI673" t="inlineStr">
        <is>
          <t>https://www.linkedin.com/company/visuon</t>
        </is>
      </c>
    </row>
    <row r="674" ht="12.5" customHeight="1">
      <c r="A674" s="6" t="n">
        <v>45182</v>
      </c>
      <c r="B674" s="1" t="inlineStr">
        <is>
          <t>ORG_1227</t>
        </is>
      </c>
      <c r="C674" s="1" t="b">
        <v>1</v>
      </c>
      <c r="D674" s="1" t="inlineStr">
        <is>
          <t>chabaDoo GmbH</t>
        </is>
      </c>
      <c r="E674" s="10" t="inlineStr">
        <is>
          <t>www.chabadoo.com</t>
        </is>
      </c>
      <c r="F674" t="inlineStr">
        <is>
          <t>chabadoo.com</t>
        </is>
      </c>
      <c r="G674" s="1" t="inlineStr">
        <is>
          <t>chabaDoo offers an individual, responsible, lifelong learning plattform.
It is the marketplace for reusable microlearning content (in Form of open educational ressource).</t>
        </is>
      </c>
      <c r="H674" s="1" t="inlineStr">
        <is>
          <t>EdTech Austria</t>
        </is>
      </c>
      <c r="I674" s="1" t="inlineStr">
        <is>
          <t>German, English</t>
        </is>
      </c>
      <c r="J674" s="1" t="inlineStr">
        <is>
          <t>Herzogsdorf</t>
        </is>
      </c>
      <c r="K674" t="inlineStr">
        <is>
          <t>Herzogsdorf</t>
        </is>
      </c>
      <c r="L674" t="inlineStr">
        <is>
          <t>Herzogsdorf, Austria</t>
        </is>
      </c>
      <c r="M674" t="n">
        <v>48.4310651</v>
      </c>
      <c r="N674" t="n">
        <v>14.113488</v>
      </c>
      <c r="O674" s="1" t="inlineStr">
        <is>
          <t>Austria</t>
        </is>
      </c>
      <c r="P674" s="1" t="inlineStr">
        <is>
          <t>Austria, Germany, Switzerland</t>
        </is>
      </c>
      <c r="Q674" s="1" t="inlineStr">
        <is>
          <t>3 to 5</t>
        </is>
      </c>
      <c r="R674" t="inlineStr">
        <is>
          <t>Micro</t>
        </is>
      </c>
      <c r="S674" s="1" t="inlineStr">
        <is>
          <t>Business to Business</t>
        </is>
      </c>
      <c r="T674" s="1" t="inlineStr">
        <is>
          <t>Primary Education, Secondary Education, Corporate Training, Lifelong learning/Adult education, Vocational Education and Training (VET), Higher Education</t>
        </is>
      </c>
      <c r="U674" s="1" t="inlineStr">
        <is>
          <t>System/Administrative, Student interfacing, Teacher interfacing</t>
        </is>
      </c>
      <c r="V674" s="10" t="inlineStr">
        <is>
          <t>chabaDoo Plattform</t>
        </is>
      </c>
      <c r="W674" s="1" t="inlineStr">
        <is>
          <t>It is the marketplace for reusable microlearning content (as open educational ressource).</t>
        </is>
      </c>
      <c r="X674" s="10" t="inlineStr">
        <is>
          <t>https://drive.google.com/uc?export=view&amp;id=1XhmU4Qfi53OasTFeA5WzwAil4nDt6jXv</t>
        </is>
      </c>
      <c r="Y674" t="inlineStr">
        <is>
          <t>https://drive.google.com/uc?export=view&amp;id=1XhmU4Qfi53OasTFeA5WzwAil4nDt6jXv</t>
        </is>
      </c>
      <c r="Z674" s="1" t="inlineStr">
        <is>
          <t>https://drive.google.com/uc?export=view&amp;id=1XhmU4Qfi53OasTFeA5WzwAil4nDt6jXv</t>
        </is>
      </c>
      <c r="AA674" s="1" t="inlineStr">
        <is>
          <t>Unverified</t>
        </is>
      </c>
      <c r="AB674" s="1" t="n"/>
      <c r="AC674" s="1" t="n"/>
      <c r="AD674" s="10" t="n"/>
      <c r="AE674" s="1" t="n"/>
      <c r="AF674" s="1" t="inlineStr">
        <is>
          <t>Yes</t>
        </is>
      </c>
      <c r="AG674" s="1" t="inlineStr">
        <is>
          <t>https://www.instagram.com/chabadoo_elearning/</t>
        </is>
      </c>
      <c r="AH674" s="1" t="inlineStr">
        <is>
          <t>chabaDoo GmbH</t>
        </is>
      </c>
      <c r="AI674" t="inlineStr">
        <is>
          <t>https://www.linkedin.com/company/chabadoo</t>
        </is>
      </c>
    </row>
    <row r="675" ht="12.5" customHeight="1">
      <c r="A675" s="6" t="n">
        <v>45182</v>
      </c>
      <c r="B675" s="1" t="inlineStr">
        <is>
          <t>ORG_1853</t>
        </is>
      </c>
      <c r="C675" s="1" t="b">
        <v>1</v>
      </c>
      <c r="D675" s="1" t="inlineStr">
        <is>
          <t>LernFamilie Nachhilfe Österreich</t>
        </is>
      </c>
      <c r="E675" s="10" t="inlineStr">
        <is>
          <t>https://lernfamilie.at/</t>
        </is>
      </c>
      <c r="F675" t="inlineStr">
        <is>
          <t>lernfamilie.at</t>
        </is>
      </c>
      <c r="G675" s="1" t="inlineStr">
        <is>
          <t>LernFamilie ist eines der modernsten Nachhilfeinstitute in Österreich mit dem Ziel, „Lebenslanges Lernen“ positiv zu vermitteln.
Die Nachhilfelehrer bieten Nachhhilfe zu Hause, in einem LernFamilie Nachhilfeinsitut und auch Online-Nachhilfe an.
Die individuelle Schülernachhilfe findet dabei im Einzelunterricht statt.
Die Schüler und Eltern wird in einem Erstgespräch ein idealer Nachhilfelehrer gesucht und empfohlen. Anschließend wird nach dem Lernplan gearbeitet um das gewünschte Ziel zu erreichen.
Für jeden Schüler wird ein Schülerbogen angelegt, in dem der gelernte Unterrichtsstoff, die Lernerfolge und noch vorhandene Wissenslücken vom Lernbetreuer protokolliert werden.
Der Support der LernFamilie betreut dabei laufend die Schüler und Studenten in der Nachhilfe und steht mit Rat und Tat zu Seite.</t>
        </is>
      </c>
      <c r="H675" s="1" t="inlineStr">
        <is>
          <t>EdTech Austria</t>
        </is>
      </c>
      <c r="I675" s="1" t="inlineStr">
        <is>
          <t>German</t>
        </is>
      </c>
      <c r="J675" s="1" t="inlineStr">
        <is>
          <t>Wien</t>
        </is>
      </c>
      <c r="K675" t="inlineStr">
        <is>
          <t>Wien</t>
        </is>
      </c>
      <c r="L675" t="inlineStr">
        <is>
          <t>Wien, Austria</t>
        </is>
      </c>
      <c r="M675" t="n">
        <v>48.2083537</v>
      </c>
      <c r="N675" t="n">
        <v>16.3725042</v>
      </c>
      <c r="O675" s="1" t="inlineStr">
        <is>
          <t>Austria</t>
        </is>
      </c>
      <c r="P675" s="1" t="inlineStr">
        <is>
          <t>Austria, Germany</t>
        </is>
      </c>
      <c r="Q675" s="1" t="inlineStr">
        <is>
          <t>0 to 2</t>
        </is>
      </c>
      <c r="R675" t="inlineStr">
        <is>
          <t>Solo entrepreneur</t>
        </is>
      </c>
      <c r="S675" s="1" t="inlineStr">
        <is>
          <t>Business to Business, Business to Consumer</t>
        </is>
      </c>
      <c r="T675" s="1" t="inlineStr">
        <is>
          <t>Early childhood development (0-5 years), Primary Education, Secondary Education, Corporate Training, Lifelong learning/Adult education, Vocational Education and Training (VET), Higher Education</t>
        </is>
      </c>
      <c r="U675" s="1" t="inlineStr">
        <is>
          <t>System/Administrative, Student interfacing, Teacher interfacing</t>
        </is>
      </c>
      <c r="V675" s="10" t="inlineStr">
        <is>
          <t>private Nachhilfe zu Hause</t>
        </is>
      </c>
      <c r="W675" s="10" t="inlineStr">
        <is>
          <t>Unsere Nachhilfelehrer bieten auch Nachhilfe zu Hause an. Der Unterricht findet in der gewohnten Umgebung des Schülers statt. Hausbesuche wird in allen Hauptstädten angeboten.</t>
        </is>
      </c>
      <c r="X675" s="10" t="inlineStr">
        <is>
          <t>Nahchilfe im Nachhilfeinstitut</t>
        </is>
      </c>
      <c r="Y675" t="inlineStr">
        <is>
          <t>In einigen Hauptstädten bieten wir auch Nachhilfe im Nachhilfeinstitut oder Lernräumlichkeiten an. Das Lerninstitut ist dabei modern eingerichtet und mit Equipment ausgestattet wie man es auch aus der Schule kennt.</t>
        </is>
      </c>
      <c r="Z675" s="1" t="inlineStr">
        <is>
          <t>https://drive.google.com/uc?export=view&amp;id=1Y-F33F2SJzlWQXyojY8mF-kWr56kts2e</t>
        </is>
      </c>
      <c r="AA675" s="1" t="inlineStr">
        <is>
          <t>Unverified</t>
        </is>
      </c>
      <c r="AB675" s="1" t="n"/>
      <c r="AC675" s="1" t="n"/>
      <c r="AD675" s="10" t="n"/>
      <c r="AE675" s="1" t="n"/>
      <c r="AF675" t="inlineStr">
        <is>
          <t>Yes</t>
        </is>
      </c>
      <c r="AG675" t="inlineStr">
        <is>
          <t>https://www.instagram.com/lernfamilie/</t>
        </is>
      </c>
      <c r="AH675" t="inlineStr">
        <is>
          <t>https://twitter.com/LernFamilie/</t>
        </is>
      </c>
      <c r="AI675" t="inlineStr">
        <is>
          <t>https://lernfamilie.at/nachhilfeinstitut/online/</t>
        </is>
      </c>
    </row>
    <row r="676" ht="12.5" customHeight="1">
      <c r="A676" s="6" t="n">
        <v>45182</v>
      </c>
      <c r="B676" s="1" t="inlineStr">
        <is>
          <t>ORG_1854</t>
        </is>
      </c>
      <c r="C676" s="1" t="b">
        <v>1</v>
      </c>
      <c r="D676" s="1" t="inlineStr">
        <is>
          <t>LernFamilie Online Nachhilfe Deutschland</t>
        </is>
      </c>
      <c r="E676" s="10" t="inlineStr">
        <is>
          <t>https://lernfamilie.com</t>
        </is>
      </c>
      <c r="F676" t="inlineStr">
        <is>
          <t>lernfamilie.com</t>
        </is>
      </c>
      <c r="G676" s="1" t="inlineStr">
        <is>
          <t>LernFamilie ist eines der modernsten Online-Nachhilfe Plattformen in Deutschland mit dem Ziel, „Lebenslanges Lernen“ positiv zu vermitteln.
Nur gut ausgebildete Nachhilfelehrer unterrichten die Schüler in der Nachhilfe.
Die individuelle Schülernachhilfe findet dabei im Einzelunterricht statt.
Damit sich Noten konstant bleiben und verbessern, wird mit dem Schüler und Eltern in einem kostenlosen Beratungsgespräch festgelegt, mit welchen Lernplan das am besten erreicht werden kann.
Für jeden Schüler wird ein Schülerbogen angelegt, in dem der gelernte Unterrichtsstoff, die Lernerfolge und noch vorhandene Wissenslücken vom Lernbetreuer protokolliert werden.
Für die Dauer steht dieser gerne für Auskünfte, Informationen und Anregungen in der Nachhilfe zur Verfügung.</t>
        </is>
      </c>
      <c r="H676" s="1" t="inlineStr">
        <is>
          <t>I'm not part of any EdTech association</t>
        </is>
      </c>
      <c r="I676" s="1" t="n"/>
      <c r="J676" s="1" t="inlineStr">
        <is>
          <t>Regensburg</t>
        </is>
      </c>
      <c r="K676" t="inlineStr">
        <is>
          <t>Regensburg</t>
        </is>
      </c>
      <c r="L676" t="inlineStr">
        <is>
          <t>Regensburg, Germany</t>
        </is>
      </c>
      <c r="M676" t="n">
        <v>49.0195333</v>
      </c>
      <c r="N676" t="n">
        <v>12.0974869</v>
      </c>
      <c r="O676" s="1" t="inlineStr">
        <is>
          <t>Germany</t>
        </is>
      </c>
      <c r="P676" s="1" t="inlineStr">
        <is>
          <t>Austria, Germany</t>
        </is>
      </c>
      <c r="Q676" s="1" t="inlineStr">
        <is>
          <t>0 to 2</t>
        </is>
      </c>
      <c r="R676" t="inlineStr">
        <is>
          <t>Solo entrepreneur</t>
        </is>
      </c>
      <c r="S676" s="1" t="inlineStr">
        <is>
          <t>Business to Business, Business to Consumer</t>
        </is>
      </c>
      <c r="T676" s="1" t="inlineStr">
        <is>
          <t>Early childhood development (0-5 years), Primary Education, Secondary Education, Corporate Training, Lifelong learning/Adult education, Vocational Education and Training (VET), Higher Education</t>
        </is>
      </c>
      <c r="U676" s="1" t="inlineStr">
        <is>
          <t>System/Administrative, Student interfacing, Teacher interfacing</t>
        </is>
      </c>
      <c r="V676" s="10" t="inlineStr">
        <is>
          <t>Online Nachhilfe</t>
        </is>
      </c>
      <c r="W676" s="10" t="inlineStr">
        <is>
          <t>Moderne Online-Nachhilfe über unsere Plattform mit vielen Funktionen:
3 Whiteboards (Zeichnen, Schreiben, Programmieren)
Bildschirm teilen
Formel-Editor
Graphen-Plotter
Dateien senden
Text-Chat
Whiteboard downloaden
Emoji's und Feuerwerk als Belohnung
Hausübungen per Webcam fotografieren
Unterricht aufzeichnen (demnächst)
Automatische Erkennung von Kamera- oder Mikrofonfehler
Bilbiothek mit über 2.500 E-books, PDFs, Graphiken und Übungen</t>
        </is>
      </c>
      <c r="X676" s="10" t="inlineStr">
        <is>
          <t>private Nachhilfe zu Hause</t>
        </is>
      </c>
      <c r="Y676" t="inlineStr">
        <is>
          <t>Unsere Nachhilfelehrer bieten auch Nachhilfe zu Hause an. Der Unterricht findet in der gewohnten Umgebung des Schülers statt. Hausbesuche wird in allen Hauptstädten angeboten.</t>
        </is>
      </c>
      <c r="Z676" s="1" t="inlineStr">
        <is>
          <t>https://drive.google.com/uc?export=view&amp;id=13CBPLdl5-bT3MCH2Eo4LisE0fz2nP7IK</t>
        </is>
      </c>
      <c r="AA676" s="1" t="inlineStr">
        <is>
          <t>Unverified</t>
        </is>
      </c>
      <c r="AB676" s="1" t="n"/>
      <c r="AC676" s="1" t="n"/>
      <c r="AD676" s="10" t="n"/>
      <c r="AE676" s="1" t="n"/>
      <c r="AF676" t="inlineStr">
        <is>
          <t>Yes</t>
        </is>
      </c>
      <c r="AG676" t="inlineStr">
        <is>
          <t>https://www.instagram.com/lernfamilie/</t>
        </is>
      </c>
      <c r="AH676" t="inlineStr">
        <is>
          <t>https://twitter.com/LernFamilie/</t>
        </is>
      </c>
      <c r="AI676" t="inlineStr">
        <is>
          <t>https://lernfamilie.com/nachhilfeinstitut/online/</t>
        </is>
      </c>
    </row>
    <row r="677" ht="12.5" customHeight="1">
      <c r="A677" s="6" t="n">
        <v>45182</v>
      </c>
      <c r="B677" s="1" t="inlineStr">
        <is>
          <t>ORG_1082</t>
        </is>
      </c>
      <c r="C677" s="1" t="b">
        <v>1</v>
      </c>
      <c r="D677" s="1" t="inlineStr">
        <is>
          <t>ApiS - Amore per il Sapere</t>
        </is>
      </c>
      <c r="E677" s="10" t="inlineStr">
        <is>
          <t>https://www.amoreperilsapere.it/</t>
        </is>
      </c>
      <c r="F677" t="inlineStr">
        <is>
          <t>amoreperilsapere.it</t>
        </is>
      </c>
      <c r="G677" s="1" t="inlineStr">
        <is>
          <t>Amore per il Sapere (Love for the knowledge / Philo-sophia) is an italian association that develops educational projects from teachers to teachers and students.
The aim is to generate new ways of learning thanks to institutional, accademic and business partners.</t>
        </is>
      </c>
      <c r="H677" s="1" t="inlineStr">
        <is>
          <t>I'm not part of any EdTech association</t>
        </is>
      </c>
      <c r="I677" s="1" t="n"/>
      <c r="J677" s="1" t="inlineStr">
        <is>
          <t>Bologna</t>
        </is>
      </c>
      <c r="K677" t="inlineStr">
        <is>
          <t>Bologna</t>
        </is>
      </c>
      <c r="L677" t="inlineStr">
        <is>
          <t>Bologna, Italy</t>
        </is>
      </c>
      <c r="M677" t="n">
        <v>44.4938203</v>
      </c>
      <c r="N677" t="n">
        <v>11.3426327</v>
      </c>
      <c r="O677" s="1" t="inlineStr">
        <is>
          <t>Italy</t>
        </is>
      </c>
      <c r="P677" s="1" t="inlineStr">
        <is>
          <t>Italy</t>
        </is>
      </c>
      <c r="Q677" s="1" t="inlineStr">
        <is>
          <t>0 to 2</t>
        </is>
      </c>
      <c r="R677" t="inlineStr">
        <is>
          <t>Solo entrepreneur</t>
        </is>
      </c>
      <c r="S677" s="1" t="inlineStr">
        <is>
          <t>Business to Business</t>
        </is>
      </c>
      <c r="T677" s="1" t="inlineStr">
        <is>
          <t>Primary Education, Secondary Education, Corporate Training</t>
        </is>
      </c>
      <c r="U677" s="1" t="inlineStr">
        <is>
          <t>System/Administrative, Student interfacing, Teacher interfacing</t>
        </is>
      </c>
      <c r="V677" s="1" t="inlineStr">
        <is>
          <t>Romanae Disputationes</t>
        </is>
      </c>
      <c r="W677" s="1" t="inlineStr">
        <is>
          <t>Concorso nazionale di filosofia per scuole superiori. Da oltre 10 anni innoviamo il modo di insegnare e vivere la filosofia in Italia attraverso la collaborazione con il mondo accademico e un approccio tematico e coinvolgente per gli studenti.</t>
        </is>
      </c>
      <c r="X677" s="1" t="inlineStr">
        <is>
          <t>Cosmopolites</t>
        </is>
      </c>
      <c r="Y677" t="inlineStr">
        <is>
          <t>Percorsi innovativi di educazione civica volti a un apprendimento attivo e partecipato secondo la metodologia del design thinking.</t>
        </is>
      </c>
      <c r="Z677" s="1" t="inlineStr">
        <is>
          <t>https://drive.google.com/uc?export=view&amp;id=1uDcnOcMJaHRE3ftchN0h8L9waL3OFkt6</t>
        </is>
      </c>
      <c r="AA677" s="1" t="inlineStr">
        <is>
          <t>Unverified</t>
        </is>
      </c>
      <c r="AB677" s="1" t="n"/>
      <c r="AC677" s="1" t="n"/>
      <c r="AD677" s="10" t="n"/>
      <c r="AE677" s="1" t="n"/>
      <c r="AF677" t="inlineStr">
        <is>
          <t>No</t>
        </is>
      </c>
    </row>
    <row r="678" ht="12.5" customHeight="1">
      <c r="A678" s="6" t="n">
        <v>45182</v>
      </c>
      <c r="B678" s="1" t="inlineStr">
        <is>
          <t>ORG_1458</t>
        </is>
      </c>
      <c r="C678" s="1" t="b">
        <v>1</v>
      </c>
      <c r="D678" s="1" t="inlineStr">
        <is>
          <t>Edurino</t>
        </is>
      </c>
      <c r="E678" s="10" t="inlineStr">
        <is>
          <t>https://www.edurino.com/</t>
        </is>
      </c>
      <c r="F678" t="inlineStr">
        <is>
          <t>edurino.com</t>
        </is>
      </c>
      <c r="G678" s="1" t="inlineStr">
        <is>
          <t>We at EDURINO follow the vision to be the digital companion for parents and kids from the age of 4. In our first product range, we combine an adaptive learning app with haptic figurines and our ergonomic stylus. Kids place the figurines in our app to unlock learning worlds that teach both classical school skills and 21st century skills.</t>
        </is>
      </c>
      <c r="H678" s="1" t="inlineStr">
        <is>
          <t>EDUvation</t>
        </is>
      </c>
      <c r="I678" s="1" t="inlineStr">
        <is>
          <t>German, English</t>
        </is>
      </c>
      <c r="J678" s="1" t="inlineStr">
        <is>
          <t>Munich</t>
        </is>
      </c>
      <c r="K678" t="inlineStr">
        <is>
          <t>Munich</t>
        </is>
      </c>
      <c r="L678" t="inlineStr">
        <is>
          <t>Munich, Germany</t>
        </is>
      </c>
      <c r="M678" t="n">
        <v>48.1371079</v>
      </c>
      <c r="N678" t="n">
        <v>11.5753822</v>
      </c>
      <c r="O678" s="1" t="inlineStr">
        <is>
          <t>Germany</t>
        </is>
      </c>
      <c r="P678" s="1" t="inlineStr">
        <is>
          <t>Austria, Germany, Switzerland, United Kingdom</t>
        </is>
      </c>
      <c r="Q678" s="1" t="inlineStr">
        <is>
          <t>51 to 100</t>
        </is>
      </c>
      <c r="R678" t="inlineStr">
        <is>
          <t>Medium</t>
        </is>
      </c>
      <c r="S678" s="1" t="inlineStr">
        <is>
          <t>Business to Business, Business to Consumer</t>
        </is>
      </c>
      <c r="T678" s="1" t="inlineStr">
        <is>
          <t>Early childhood development (0-5 years)</t>
        </is>
      </c>
      <c r="U678" s="1" t="inlineStr">
        <is>
          <t>System/Administrative, Student interfacing, Teacher interfacing</t>
        </is>
      </c>
      <c r="V678" s="10" t="inlineStr">
        <is>
          <t>Starterset Mika - Literacy for children 4 and up</t>
        </is>
      </c>
      <c r="W678" s="1" t="inlineStr">
        <is>
          <t>In the educational game "The World of Words", children from the age of 4 embark on an exciting journey through distant galaxies together with Mika. Playfully they learn the basic skills for reading &amp; writing. Preschool exercises and swing exercises are embedded in exciting missions. All content has been developed with educators and experts.
Learning content
- Correct pen hold and writing motor skills
- Rhymes
- Long &amp; short words
- Syllables
- Sounds and letters</t>
        </is>
      </c>
      <c r="X678" s="10" t="inlineStr">
        <is>
          <t>Starterset Robin - Numbers for children 4 and up</t>
        </is>
      </c>
      <c r="Y678" t="inlineStr">
        <is>
          <t>In the educational game "The sunken world of numbers", children from the age of 4 embark on an exciting adventure and rebuild the world of numbers together with Robin. Playfully they learn numbers and quantities. Preschool exercises are embedded in exciting missions. All content is developed with educators and experts.
Learning content
- Numbers 1-20
- Quantities
- Counting
- Logical understanding
- Geometric shapes</t>
        </is>
      </c>
      <c r="Z678" s="1" t="inlineStr">
        <is>
          <t>https://drive.google.com/uc?export=view&amp;id=1DoLOWL6YKCB37TcagwdHzqXKr3yA243F</t>
        </is>
      </c>
      <c r="AA678" s="1" t="inlineStr">
        <is>
          <t>Unverified</t>
        </is>
      </c>
      <c r="AB678" s="1" t="n"/>
      <c r="AC678" s="1" t="n"/>
      <c r="AD678" s="10" t="n"/>
      <c r="AE678" s="1" t="n"/>
      <c r="AF678" t="inlineStr">
        <is>
          <t>Yes</t>
        </is>
      </c>
      <c r="AG678" t="inlineStr">
        <is>
          <t>https://www.instagram.com/edurino_de/?hl=de</t>
        </is>
      </c>
      <c r="AH678" t="inlineStr">
        <is>
          <t>https://www.linkedin.com/company/edurinoapp/?originalSubdomain=de</t>
        </is>
      </c>
      <c r="AI678" t="inlineStr">
        <is>
          <t>https://www.linkedin.com/company/edurinoapp/?originalSubdomain=de</t>
        </is>
      </c>
    </row>
    <row r="679" ht="12.5" customHeight="1">
      <c r="A679" s="6" t="n">
        <v>45182</v>
      </c>
      <c r="B679" s="1" t="inlineStr">
        <is>
          <t>ORG_1588</t>
        </is>
      </c>
      <c r="C679" s="1" t="b">
        <v>1</v>
      </c>
      <c r="D679" s="1" t="inlineStr">
        <is>
          <t>Fuel</t>
        </is>
      </c>
      <c r="E679" s="10" t="inlineStr">
        <is>
          <t>https://fuel.education</t>
        </is>
      </c>
      <c r="F679" t="inlineStr">
        <is>
          <t>fuel.education</t>
        </is>
      </c>
      <c r="G679" s="1" t="inlineStr">
        <is>
          <t>We are committed to the education of the heart in the digital space.</t>
        </is>
      </c>
      <c r="H679" s="1" t="inlineStr">
        <is>
          <t>Swiss EdTech Collider</t>
        </is>
      </c>
      <c r="I679" s="1" t="inlineStr">
        <is>
          <t>German</t>
        </is>
      </c>
      <c r="J679" s="1" t="inlineStr">
        <is>
          <t>Basel</t>
        </is>
      </c>
      <c r="K679" t="inlineStr">
        <is>
          <t>Basel</t>
        </is>
      </c>
      <c r="L679" t="inlineStr">
        <is>
          <t>Basel, Switzerland</t>
        </is>
      </c>
      <c r="M679" t="n">
        <v>47.5581077</v>
      </c>
      <c r="N679" t="n">
        <v>7.5878261</v>
      </c>
      <c r="O679" s="1" t="inlineStr">
        <is>
          <t>Switzerland</t>
        </is>
      </c>
      <c r="P679" s="1" t="inlineStr">
        <is>
          <t>Germany, Switzerland</t>
        </is>
      </c>
      <c r="Q679" s="1" t="inlineStr">
        <is>
          <t>0 to 2</t>
        </is>
      </c>
      <c r="R679" t="inlineStr">
        <is>
          <t>Solo entrepreneur</t>
        </is>
      </c>
      <c r="S679" s="1" t="inlineStr">
        <is>
          <t>Business to Business, Business to Consumer, Business to Government, Business to Schools</t>
        </is>
      </c>
      <c r="T679" s="1" t="inlineStr">
        <is>
          <t>Primary Education, Secondary Education, Corporate Training</t>
        </is>
      </c>
      <c r="U679" s="1" t="inlineStr">
        <is>
          <t>Student interfacing, Teacher interfacing, System/Administrative</t>
        </is>
      </c>
      <c r="V679" s="1" t="inlineStr">
        <is>
          <t>Fuel</t>
        </is>
      </c>
      <c r="W679" s="1" t="inlineStr">
        <is>
          <t>Fuel is an online writing and social interaction network that rethinks the way children and young people receive literary classes by injecting a deeply humanistic component into online education, allowing users to engage in fiction and safely train for the big challenges of the social world.</t>
        </is>
      </c>
      <c r="X679" s="10" t="inlineStr">
        <is>
          <t>https://drive.google.com/uc?export=view&amp;id=1HqXqyE3a0r86KwZfQ4bTMuEyLwWOa5ep</t>
        </is>
      </c>
      <c r="Y679" t="inlineStr">
        <is>
          <t>https://drive.google.com/uc?export=view&amp;id=1HqXqyE3a0r86KwZfQ4bTMuEyLwWOa5ep</t>
        </is>
      </c>
      <c r="Z679" s="1" t="inlineStr">
        <is>
          <t>https://drive.google.com/uc?export=view&amp;id=1HqXqyE3a0r86KwZfQ4bTMuEyLwWOa5ep</t>
        </is>
      </c>
      <c r="AA679" s="1" t="inlineStr">
        <is>
          <t>Unverified</t>
        </is>
      </c>
      <c r="AB679" s="1" t="n"/>
      <c r="AC679" s="1" t="n"/>
      <c r="AD679" s="10" t="n"/>
      <c r="AE679" s="1" t="n"/>
      <c r="AF679" s="1" t="inlineStr">
        <is>
          <t>Yes</t>
        </is>
      </c>
      <c r="AG679" s="1" t="inlineStr">
        <is>
          <t>https://www.linkedin.com/company/fuelverse</t>
        </is>
      </c>
      <c r="AH679" s="1" t="inlineStr">
        <is>
          <t>https://www.linkedin.com/company/fuelverse</t>
        </is>
      </c>
      <c r="AI679" t="inlineStr">
        <is>
          <t>https://www.linkedin.com/company/fuelverse</t>
        </is>
      </c>
    </row>
    <row r="680" ht="12.5" customHeight="1">
      <c r="A680" s="6" t="n">
        <v>45182</v>
      </c>
      <c r="B680" s="1" t="inlineStr">
        <is>
          <t>ORG_1865</t>
        </is>
      </c>
      <c r="C680" s="1" t="b">
        <v>1</v>
      </c>
      <c r="D680" s="1" t="inlineStr">
        <is>
          <t>LEVOOBA</t>
        </is>
      </c>
      <c r="E680" s="10" t="inlineStr">
        <is>
          <t>https://www.levooba.com/</t>
        </is>
      </c>
      <c r="F680" t="inlineStr">
        <is>
          <t>levooba.com</t>
        </is>
      </c>
      <c r="G680" s="1" t="inlineStr">
        <is>
          <t>LEVOOBA develops educational voice apps that turn passive screen users into active learners. We offer primary school kids digital, voice-based learning with fun and action, completely without a screen! Parallel to the intuitive control via natural language, eyes, hands and the whole body are engaged in activities that support learning and increase the fun factor. We are developing voicefirst cross-platform learning apps available on both smartspeakers and web browsers. In this way, we are strengthening equal and inclusive education.</t>
        </is>
      </c>
      <c r="H680" s="1" t="inlineStr">
        <is>
          <t>I'm not part of any EdTech association</t>
        </is>
      </c>
      <c r="I680" s="1" t="inlineStr">
        <is>
          <t>German</t>
        </is>
      </c>
      <c r="J680" s="1" t="inlineStr">
        <is>
          <t>Essen</t>
        </is>
      </c>
      <c r="K680" t="inlineStr">
        <is>
          <t>Essen</t>
        </is>
      </c>
      <c r="L680" t="inlineStr">
        <is>
          <t>Essen, Germany</t>
        </is>
      </c>
      <c r="M680" t="n">
        <v>51.4582235</v>
      </c>
      <c r="N680" t="n">
        <v>7.0158171</v>
      </c>
      <c r="O680" s="1" t="inlineStr">
        <is>
          <t>Germany</t>
        </is>
      </c>
      <c r="P680" s="1" t="inlineStr">
        <is>
          <t>Germany</t>
        </is>
      </c>
      <c r="Q680" s="1" t="inlineStr">
        <is>
          <t>0 to 2</t>
        </is>
      </c>
      <c r="R680" t="inlineStr">
        <is>
          <t>Solo entrepreneur</t>
        </is>
      </c>
      <c r="S680" s="1" t="inlineStr">
        <is>
          <t>Business to Business, Business to Consumer, Business to Schools</t>
        </is>
      </c>
      <c r="T680" s="1" t="inlineStr">
        <is>
          <t>Primary Education</t>
        </is>
      </c>
      <c r="U680" s="1" t="inlineStr">
        <is>
          <t>System/Administrative, Student interfacing, Teacher interfacing</t>
        </is>
      </c>
      <c r="V680" s="10" t="inlineStr">
        <is>
          <t>LEVOOBA Kids</t>
        </is>
      </c>
      <c r="W680" s="10" t="inlineStr">
        <is>
          <t>LEVOOBA Kids is the world’s first live educational multiplayer game for Amazon’s Alexa.
It offers a competitive voice learning experience for primary school kids. They use screen-free time to learn for school on their own or to challenge their classmates to a competition. It was finalist in 2020s EdTech EMEA Alexa Skills Challenge and "Best Kids Skill" in the Alexa Skills Challenge: Beyond Voice.</t>
        </is>
      </c>
      <c r="X680" s="10" t="inlineStr">
        <is>
          <t>LEVOOBA Mathefix: Der Kopfrechnen-Trainer</t>
        </is>
      </c>
      <c r="Y680" t="inlineStr">
        <is>
          <t>LEVOOBA Mathefix makes everyone a mental arithmetic pro. Families test their math knowledge in over 2 million tasks and collect points for the high score with every correct answer! Playable in different difficulty levels: Addition and subtraction each in the number range up to 10, 20, 100 or 1000; multiplication and division each in the small or large multiplication tables.</t>
        </is>
      </c>
      <c r="Z680" s="1" t="inlineStr">
        <is>
          <t>https://drive.google.com/uc?export=view&amp;id=1TjdJ-eSGlMTw4EY-Gs0rH7XRNl92h6Ed</t>
        </is>
      </c>
      <c r="AA680" s="1" t="inlineStr">
        <is>
          <t>Unverified</t>
        </is>
      </c>
      <c r="AB680" s="1" t="n"/>
      <c r="AC680" s="1" t="n"/>
      <c r="AD680" s="10" t="n"/>
      <c r="AE680" s="1" t="n"/>
      <c r="AF680" s="1" t="inlineStr">
        <is>
          <t>Yes</t>
        </is>
      </c>
      <c r="AG680" s="1" t="inlineStr">
        <is>
          <t>https://www.instagram.com/levooba_de/</t>
        </is>
      </c>
      <c r="AH680" s="1" t="inlineStr">
        <is>
          <t>https://twitter.com/levooba</t>
        </is>
      </c>
      <c r="AI680" t="inlineStr">
        <is>
          <t>https://www.linkedin.com/company/levooba</t>
        </is>
      </c>
    </row>
    <row r="681" ht="12.5" customHeight="1">
      <c r="A681" s="6" t="n">
        <v>45182</v>
      </c>
      <c r="B681" s="1" t="inlineStr">
        <is>
          <t>ORG_2335</t>
        </is>
      </c>
      <c r="C681" s="1" t="b">
        <v>1</v>
      </c>
      <c r="D681" s="10" t="inlineStr">
        <is>
          <t>StudentPulse.io</t>
        </is>
      </c>
      <c r="E681" s="10" t="inlineStr">
        <is>
          <t>https://www.studentpulse.io/</t>
        </is>
      </c>
      <c r="F681" t="inlineStr">
        <is>
          <t>studentpulse.io</t>
        </is>
      </c>
      <c r="G681" s="1" t="inlineStr">
        <is>
          <t>StudentPulse is an intelligent Student Feedback Platform combining microsurveys with real-time data analytics, to empower your educational institution to improve student experience throughout their educational journey. Use adaptive microsurveys to nudge students and get real-time data - improving academic performance, student engagement, and student well-being.
We put students first - We only ask about things that matter to students, and we let students tell us and clients what to do.
We collect feedback intelligently - We collect data frequently and in real-time, and we do it as a natural part of education.
We empower action - We believe that real-time data requires real-time action, and we acknowledge that not all people are Analysts.
StudentPulse is born global but rooted in Denmark.
We revolutionise student experience on a global scale, country by country - but we are deeply rooted in Denmark and proud traditions of building stellar student experiences.</t>
        </is>
      </c>
      <c r="H681" s="1" t="inlineStr">
        <is>
          <t>EdTech Denmark</t>
        </is>
      </c>
      <c r="I681" s="1" t="inlineStr">
        <is>
          <t>All</t>
        </is>
      </c>
      <c r="J681" s="1" t="inlineStr">
        <is>
          <t>Aalborg</t>
        </is>
      </c>
      <c r="K681" t="inlineStr">
        <is>
          <t>Aalborg</t>
        </is>
      </c>
      <c r="L681" t="inlineStr">
        <is>
          <t>Aalborg, Denmark</t>
        </is>
      </c>
      <c r="M681" t="n">
        <v>57.0462626</v>
      </c>
      <c r="N681" t="n">
        <v>9.9215263</v>
      </c>
      <c r="O681" s="1" t="inlineStr">
        <is>
          <t>Denmark</t>
        </is>
      </c>
      <c r="P681" s="1" t="inlineStr">
        <is>
          <t>Belgium, Denmark, Finland, Lithuania, Luxembourg, Netherlands, Norway, Portugal, Spain, Switzerland, United Kingdom</t>
        </is>
      </c>
      <c r="Q681" s="1" t="inlineStr">
        <is>
          <t>6 to 10</t>
        </is>
      </c>
      <c r="R681" t="inlineStr">
        <is>
          <t>Micro</t>
        </is>
      </c>
      <c r="S681" s="1" t="inlineStr">
        <is>
          <t>Business to Consumer</t>
        </is>
      </c>
      <c r="T681" s="1" t="inlineStr">
        <is>
          <t>Secondary Education, Vocational Education and Training (VET), Higher Education</t>
        </is>
      </c>
      <c r="U681" s="1" t="inlineStr">
        <is>
          <t>Student interfacing, Teacher interfacing, System/Administrative</t>
        </is>
      </c>
      <c r="V681" s="1" t="inlineStr">
        <is>
          <t>StudentPulse - a student check-in platform</t>
        </is>
      </c>
      <c r="W681" s="1" t="inlineStr">
        <is>
          <t>StudentPulse collects feedback from your students. It is an interactive platform that enables you to base your decisions on real-time data. StudentPulse helps gather and view data about your students, when it's needed and where it's needed. Be it weekly, monthly, or quarterly updates, data will form the basis of your future decisions.
How does StudentPulse work?
1. StudentPulse check-ins
StudentPulse provides you with qualified check-ins that will give you precise input on your students’ experience.
Our micro surveys are created to be quick and easy to fill in, keeping the students engaged and happy to provide input and get the help they need. You have unlimited check-ins included in your yearly license.
2. Get insight &amp; analytics on your students
StudentPulse provides you with a dashboard that aggregates all of your data, from the micro surveys, into understandable and digestible analytics with multiple different views.
StudentPulse can also provide you with recommended actions to improve potential issue areas.
3. Improve &amp; Repeat
By using check-in as part of your student evaluation, we can give you the insights and recommended actions you need to improve issue areas during the ongoing course/semester. Using this method allows you to repeat this for the next course/semester, which enables you to customise the course/semester to the current group of students studying right now. Get real-time data &amp; insights on your student’s experience to improve academic performance.</t>
        </is>
      </c>
      <c r="X681" s="10" t="n"/>
      <c r="Z681" s="1" t="n"/>
      <c r="AA681" s="1" t="inlineStr">
        <is>
          <t>Unverified</t>
        </is>
      </c>
      <c r="AB681" s="1" t="n"/>
      <c r="AC681" s="1" t="n"/>
      <c r="AD681" s="1" t="n"/>
      <c r="AE681" s="1" t="n"/>
      <c r="AF681" t="inlineStr">
        <is>
          <t>Yes</t>
        </is>
      </c>
      <c r="AG681" t="inlineStr">
        <is>
          <t>https://www.linkedin.com/company/studentpulse-io</t>
        </is>
      </c>
      <c r="AH681" t="inlineStr">
        <is>
          <t>https://www.linkedin.com/company/studentpulse-io</t>
        </is>
      </c>
      <c r="AI681" t="inlineStr">
        <is>
          <t>https://www.linkedin.com/company/studentpulse-io</t>
        </is>
      </c>
    </row>
    <row r="682" ht="12.5" customHeight="1">
      <c r="A682" s="6" t="n">
        <v>45182</v>
      </c>
      <c r="B682" s="1" t="inlineStr">
        <is>
          <t>ORG_1864</t>
        </is>
      </c>
      <c r="C682" s="1" t="b">
        <v>1</v>
      </c>
      <c r="D682" s="1" t="inlineStr">
        <is>
          <t>Levelab</t>
        </is>
      </c>
      <c r="E682" s="1" t="inlineStr">
        <is>
          <t>https;//www.levelabtech.com</t>
        </is>
      </c>
      <c r="F682" t="inlineStr">
        <is>
          <t>https;//www.levelabtech.com</t>
        </is>
      </c>
      <c r="G682" s="1" t="inlineStr">
        <is>
          <t>Levelab is a solution to complement online education in Software and STEM tools which can be easily implemented in any website, platform or LMS.
The student would be able to access a professional environment using any modern browser, in one click only, to start a hands-on session while avoiding any installation, configuration and material download. Just click and learn!</t>
        </is>
      </c>
      <c r="H682" s="1" t="inlineStr">
        <is>
          <t>EduTech Cluster Spain</t>
        </is>
      </c>
      <c r="I682" s="1" t="n"/>
      <c r="J682" s="1" t="inlineStr">
        <is>
          <t>Barcelona</t>
        </is>
      </c>
      <c r="K682" t="inlineStr">
        <is>
          <t>Barcelona</t>
        </is>
      </c>
      <c r="L682" t="inlineStr">
        <is>
          <t>Barcelona, Spain</t>
        </is>
      </c>
      <c r="M682" t="n">
        <v>41.3825802</v>
      </c>
      <c r="N682" t="n">
        <v>2.177073</v>
      </c>
      <c r="O682" s="1" t="inlineStr">
        <is>
          <t>Spain</t>
        </is>
      </c>
      <c r="P682" s="1" t="inlineStr">
        <is>
          <t>Spain</t>
        </is>
      </c>
      <c r="Q682" s="1" t="inlineStr">
        <is>
          <t>3 to 5</t>
        </is>
      </c>
      <c r="R682" t="inlineStr">
        <is>
          <t>Micro</t>
        </is>
      </c>
      <c r="S682" s="1" t="inlineStr">
        <is>
          <t>Business to Business, Business to Consumer, Business to Government, Business to Schools</t>
        </is>
      </c>
      <c r="T682" s="1" t="inlineStr">
        <is>
          <t>Corporate Training, Lifelong learning/Adult education, Vocational Education and Training (VET), Higher Education</t>
        </is>
      </c>
      <c r="U682" s="1" t="inlineStr">
        <is>
          <t>Teacher interfacing</t>
        </is>
      </c>
      <c r="V682" s="1" t="n"/>
      <c r="W682" s="1" t="inlineStr">
        <is>
          <t>https://drive.google.com/uc?export=view&amp;id=1KCh1xg-XUHEu5-Xrew7AM_8Q83FzG5HZ</t>
        </is>
      </c>
      <c r="X682" s="1" t="inlineStr">
        <is>
          <t>https://drive.google.com/uc?export=view&amp;id=1KCh1xg-XUHEu5-Xrew7AM_8Q83FzG5HZ</t>
        </is>
      </c>
      <c r="Y682" t="inlineStr">
        <is>
          <t>https://drive.google.com/uc?export=view&amp;id=1KCh1xg-XUHEu5-Xrew7AM_8Q83FzG5HZ</t>
        </is>
      </c>
      <c r="Z682" s="1" t="inlineStr">
        <is>
          <t>https://drive.google.com/uc?export=view&amp;id=1KCh1xg-XUHEu5-Xrew7AM_8Q83FzG5HZ</t>
        </is>
      </c>
      <c r="AA682" s="1" t="inlineStr">
        <is>
          <t>Unverified</t>
        </is>
      </c>
      <c r="AB682" s="1" t="n"/>
      <c r="AC682" s="1" t="n"/>
      <c r="AD682" s="10" t="n"/>
      <c r="AE682" s="1" t="n"/>
      <c r="AF682" s="1" t="inlineStr">
        <is>
          <t>No</t>
        </is>
      </c>
      <c r="AG682" s="1" t="n"/>
      <c r="AH682" s="1" t="n"/>
    </row>
    <row r="683" ht="12.5" customHeight="1">
      <c r="A683" s="6" t="n">
        <v>45182</v>
      </c>
      <c r="B683" s="1" t="inlineStr">
        <is>
          <t>ORG_2496</t>
        </is>
      </c>
      <c r="C683" s="1" t="b">
        <v>1</v>
      </c>
      <c r="D683" s="1" t="inlineStr">
        <is>
          <t>Virtual Dawn</t>
        </is>
      </c>
      <c r="E683" s="10" t="inlineStr">
        <is>
          <t>https://www.virtual-dawn.com/</t>
        </is>
      </c>
      <c r="F683" t="inlineStr">
        <is>
          <t>virtual-dawn.com</t>
        </is>
      </c>
      <c r="G683" s="1" t="inlineStr">
        <is>
          <t>Virtual Dawn has been pioneering XR in education since 2017. 
We are community engineering organization that is improved by what our users are creating. When a school creates a complex simulation, the content can be used by anyone in the community, when a gamer makes a game, this is used by the rest of the community.
We improve daily and offer one in a kind XR system for research and education and beyond.</t>
        </is>
      </c>
      <c r="H683" s="1" t="inlineStr">
        <is>
          <t>I'm not part of any EdTech association</t>
        </is>
      </c>
      <c r="I683" s="1" t="inlineStr">
        <is>
          <t>Finnish, English</t>
        </is>
      </c>
      <c r="J683" s="1" t="inlineStr">
        <is>
          <t>Tampere</t>
        </is>
      </c>
      <c r="K683" t="inlineStr">
        <is>
          <t>Tampere</t>
        </is>
      </c>
      <c r="L683" t="inlineStr">
        <is>
          <t>Tampere, Finland</t>
        </is>
      </c>
      <c r="M683" t="n">
        <v>61.4977988</v>
      </c>
      <c r="N683" t="n">
        <v>23.7616335</v>
      </c>
      <c r="O683" s="1" t="inlineStr">
        <is>
          <t>Finland</t>
        </is>
      </c>
      <c r="P683"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683" s="1" t="inlineStr">
        <is>
          <t>6 to 10</t>
        </is>
      </c>
      <c r="R683" t="inlineStr">
        <is>
          <t>Micro</t>
        </is>
      </c>
      <c r="S683" s="1" t="inlineStr">
        <is>
          <t>Business to Business, Business to Consumer, Business to Government, Business to Schools</t>
        </is>
      </c>
      <c r="T683" s="1" t="inlineStr">
        <is>
          <t>Secondary Education, Corporate Training, Lifelong learning/Adult education, Vocational Education and Training (VET), Higher Education</t>
        </is>
      </c>
      <c r="U683" s="1" t="inlineStr">
        <is>
          <t>System/Administrative, Student interfacing, Teacher interfacing</t>
        </is>
      </c>
      <c r="V683" s="1" t="inlineStr">
        <is>
          <t>Virtual Dawn Academy</t>
        </is>
      </c>
      <c r="W683" s="10" t="inlineStr">
        <is>
          <t>We empower hundreds of developers to create content with our creation system https://www.youtube.com/watch?v=E7sC7ExAVIA and have multiple schools using the system for in house creation and enabling the students to reach their dreams! 
Can be applied to in house creation by professionals, training students and teachers or both !</t>
        </is>
      </c>
      <c r="X683" s="10" t="inlineStr">
        <is>
          <t>VR Education World Licences</t>
        </is>
      </c>
      <c r="Y683" t="inlineStr">
        <is>
          <t>We have created VR Education World that anyone can go and check out in www.sidequestvr.com by typing VREW.
Try for free and licence the whole library we have with moderator tools for your HMD and our full system to get you to next level in education!</t>
        </is>
      </c>
      <c r="Z683" s="1" t="inlineStr">
        <is>
          <t>https://drive.google.com/uc?export=view&amp;id=1mYXHddY7hIr6cdz_VYJZnz94TD-hHdjf</t>
        </is>
      </c>
      <c r="AA683" s="1" t="inlineStr">
        <is>
          <t>Unverified</t>
        </is>
      </c>
      <c r="AB683" s="1" t="n"/>
      <c r="AC683" s="1" t="n"/>
      <c r="AD683" s="10" t="n"/>
      <c r="AE683" s="1" t="n"/>
      <c r="AF683" s="1" t="inlineStr">
        <is>
          <t>Yes</t>
        </is>
      </c>
      <c r="AG683" s="1" t="inlineStr">
        <is>
          <t>https://twitter.com/_VirtualDawn_</t>
        </is>
      </c>
      <c r="AH683" s="1" t="inlineStr">
        <is>
          <t>https://twitter.com/_VirtualDawn_</t>
        </is>
      </c>
      <c r="AI683" t="inlineStr">
        <is>
          <t>https://fi.linkedin.com/company/virtual-dawn</t>
        </is>
      </c>
    </row>
    <row r="684" ht="12.5" customHeight="1">
      <c r="A684" s="6" t="n">
        <v>45182</v>
      </c>
      <c r="B684" s="1" t="inlineStr">
        <is>
          <t>ORG_2251</t>
        </is>
      </c>
      <c r="C684" s="1" t="b">
        <v>1</v>
      </c>
      <c r="D684" s="1" t="inlineStr">
        <is>
          <t>Skill &amp; You</t>
        </is>
      </c>
      <c r="E684" s="10" t="inlineStr">
        <is>
          <t>https://www.skillandyou.com/fr/</t>
        </is>
      </c>
      <c r="F684" t="inlineStr">
        <is>
          <t>skillandyou.com/fr</t>
        </is>
      </c>
      <c r="G684" s="1" t="inlineStr">
        <is>
          <t>Skill &amp; You is a leading European distance vocational learning company. present. The group accounts for 1,200 employees and ove 120,000 learners in France, Spain, Italy, Switzerland, Africa and the UK.
Skill &amp; You France was ranked 53rd in Frenchweb 500.</t>
        </is>
      </c>
      <c r="H684" s="1" t="inlineStr">
        <is>
          <t>EdTech France</t>
        </is>
      </c>
      <c r="I684" s="1" t="n"/>
      <c r="J684" s="1" t="inlineStr">
        <is>
          <t>Montrouge</t>
        </is>
      </c>
      <c r="K684" t="inlineStr">
        <is>
          <t>Montrouge</t>
        </is>
      </c>
      <c r="L684" t="inlineStr">
        <is>
          <t>Montrouge, France</t>
        </is>
      </c>
      <c r="M684" t="n">
        <v>48.8188544</v>
      </c>
      <c r="N684" t="n">
        <v>2.3194375</v>
      </c>
      <c r="O684" s="1" t="inlineStr">
        <is>
          <t>France</t>
        </is>
      </c>
      <c r="P684" s="1" t="inlineStr">
        <is>
          <t>France, Italy, Spain, Switzerland, United Kingdom</t>
        </is>
      </c>
      <c r="Q684" s="1" t="inlineStr">
        <is>
          <t>500+</t>
        </is>
      </c>
      <c r="R684" t="inlineStr">
        <is>
          <t>Large</t>
        </is>
      </c>
      <c r="S684" s="1" t="inlineStr">
        <is>
          <t>Business to Consumer, Business to Government, Business to Schools</t>
        </is>
      </c>
      <c r="T684" s="1" t="inlineStr">
        <is>
          <t>Lifelong learning/Adult education, Vocational Education and Training (VET)</t>
        </is>
      </c>
      <c r="U684" s="1" t="inlineStr">
        <is>
          <t>System/Administrative, Student interfacing</t>
        </is>
      </c>
      <c r="V684" s="1" t="inlineStr">
        <is>
          <t>Vocational training</t>
        </is>
      </c>
      <c r="W684" s="1" t="inlineStr">
        <is>
          <t>We provide trainings in many areas (health, food industry, well being, HR, accounting, ...) that lead to a degree and finally a job.
Our learners are students, workers, job seekers, from all ages, willing to acquire or improve new competencies or change field.</t>
        </is>
      </c>
      <c r="X684" s="10" t="inlineStr">
        <is>
          <t>https://drive.google.com/uc?export=view&amp;id=1FVTQVdqlW8QVZPZugWJRjsTHhTgAgy7J</t>
        </is>
      </c>
      <c r="Y684" t="inlineStr">
        <is>
          <t>https://drive.google.com/uc?export=view&amp;id=1FVTQVdqlW8QVZPZugWJRjsTHhTgAgy7J</t>
        </is>
      </c>
      <c r="Z684" s="1" t="inlineStr">
        <is>
          <t>https://drive.google.com/uc?export=view&amp;id=1FVTQVdqlW8QVZPZugWJRjsTHhTgAgy7J</t>
        </is>
      </c>
      <c r="AA684" s="1" t="inlineStr">
        <is>
          <t>Unverified</t>
        </is>
      </c>
      <c r="AB684" s="1" t="n"/>
      <c r="AC684" s="1" t="n"/>
      <c r="AD684" s="10" t="n"/>
      <c r="AE684" s="1" t="n"/>
      <c r="AF684" s="1" t="inlineStr">
        <is>
          <t>Yes</t>
        </is>
      </c>
      <c r="AG684" s="1" t="inlineStr">
        <is>
          <t>https://www.linkedin.com/search/results/all/?fetchDeterministicClustersOnly=true&amp;heroEntityKey=urn%3Ali%3Aorganization%3A412793&amp;keywords=skill%20and%20you&amp;origin=RICH_QUERY_SUGGESTION&amp;position=0&amp;searchId=ff2fd2b7-b141-41e8-b187-f5a18ea8605b&amp;sid=Goo</t>
        </is>
      </c>
      <c r="AH684" s="1" t="inlineStr">
        <is>
          <t>https://www.linkedin.com/search/results/all/?fetchDeterministicClustersOnly=true&amp;heroEntityKey=urn%3Ali%3Aorganization%3A412793&amp;keywords=skill%20and%20you&amp;origin=RICH_QUERY_SUGGESTION&amp;position=0&amp;searchId=ff2fd2b7-b141-41e8-b187-f5a18ea8605b&amp;sid=Goo</t>
        </is>
      </c>
      <c r="AI684" t="inlineStr">
        <is>
          <t>https://www.linkedin.com/search/results/all/?fetchDeterministicClustersOnly=true&amp;heroEntityKey=urn%3Ali%3Aorganization%3A412793&amp;keywords=skill%20and%20you&amp;origin=RICH_QUERY_SUGGESTION&amp;position=0&amp;searchId=ff2fd2b7-b141-41e8-b187-f5a18ea8605b&amp;sid=Goo</t>
        </is>
      </c>
    </row>
    <row r="685" ht="12.5" customHeight="1">
      <c r="A685" s="6" t="n">
        <v>45182</v>
      </c>
      <c r="B685" s="1" t="inlineStr">
        <is>
          <t>ORG_1765</t>
        </is>
      </c>
      <c r="C685" s="1" t="b">
        <v>1</v>
      </c>
      <c r="D685" s="1" t="inlineStr">
        <is>
          <t>Kamusi</t>
        </is>
      </c>
      <c r="E685" s="10" t="inlineStr">
        <is>
          <t>http://kamusi.org</t>
        </is>
      </c>
      <c r="F685" t="inlineStr">
        <is>
          <t>kamusi.org</t>
        </is>
      </c>
      <c r="G685" s="1" t="inlineStr">
        <is>
          <t>Kamusi is a participatory international effort dedicated to improving knowledge of the world's languages. Our long-term mission is to produce dictionaries, learning tools, and other language resources for every language, and to make those resources available everywhere to everyone.
We are building a free, unified data repository for many languages, with each concept linked to the expression of that idea in other languages from around the world. Our goal, simply stated: Every Word in Every Language.
With a primary focus on non-lucrative and embattled languages, we pursue:
• development of online, print, and mobile dictionaries
• interactive terminology development
• development of language learning EdTech resources
• growth of language technology, including creation and improvement of tools to disseminate language resources
• advocacy and support for minority, endangered, and less-resourced languages
• development of the Kam4D data matrix structured toward a complete reference of human expression across time and space</t>
        </is>
      </c>
      <c r="H685" s="1" t="inlineStr">
        <is>
          <t>Swiss EdTech Collider</t>
        </is>
      </c>
      <c r="I685" s="1" t="n"/>
      <c r="J685" s="1" t="inlineStr">
        <is>
          <t>Chavannes-Près-Renens</t>
        </is>
      </c>
      <c r="K685" t="inlineStr">
        <is>
          <t>Chavannes-Près-Renens</t>
        </is>
      </c>
      <c r="L685" t="inlineStr">
        <is>
          <t>Chavannes-Près-Renens, Switzerland</t>
        </is>
      </c>
      <c r="M685" t="n">
        <v>46.5285212</v>
      </c>
      <c r="N685" t="n">
        <v>6.5726698</v>
      </c>
      <c r="O685" s="1" t="inlineStr">
        <is>
          <t>Switzerland</t>
        </is>
      </c>
      <c r="P685" s="1" t="inlineStr">
        <is>
          <t>Switzerland</t>
        </is>
      </c>
      <c r="Q685" s="1" t="inlineStr">
        <is>
          <t>0 to 2</t>
        </is>
      </c>
      <c r="R685" t="inlineStr">
        <is>
          <t>Solo entrepreneur</t>
        </is>
      </c>
      <c r="S685" s="1" t="inlineStr">
        <is>
          <t>Business to Business, Business to Consumer, Business to Government, Business to Schools</t>
        </is>
      </c>
      <c r="T685" s="1" t="inlineStr">
        <is>
          <t>Secondary Education, Lifelong learning/Adult education, Vocational Education and Training (VET), Higher Education</t>
        </is>
      </c>
      <c r="U685" s="1" t="inlineStr">
        <is>
          <t>Student interfacing, Teacher interfacing</t>
        </is>
      </c>
      <c r="V685" s="1" t="inlineStr">
        <is>
          <t>Rösti Gabbing</t>
        </is>
      </c>
      <c r="W685" s="1" t="inlineStr">
        <is>
          <t>Connecting students in conversations across language borders, to help each other in their language learning goals through fun and interactive video sessions where the focus is not language mechanics, but collaboration on achieving shared tasks. This project awaits funding sponsorship.</t>
        </is>
      </c>
      <c r="X685" s="10" t="inlineStr">
        <is>
          <t>Kamusi C2C: The Conjugation Translator</t>
        </is>
      </c>
      <c r="Y685" t="inlineStr">
        <is>
          <t>c2c.kamusi.org produces about 4000000 spot-on translations for the conjugated forms of over 42000 verbs among 5 languages. C2C traverses our Kam4D language graph to pinpoint each unique intersection of person, time, and meaning for winning conjugation translations at a much higher rate than DeepL, Google, Bing, or the AI LLMs. This system can be expanded to many more verbs and many more languages.</t>
        </is>
      </c>
      <c r="Z685" s="1" t="inlineStr">
        <is>
          <t>https://drive.google.com/uc?export=view&amp;id=1_A1LYDzB8x_zZfwF4QPsDNCpmTEJ8P6x</t>
        </is>
      </c>
      <c r="AA685" s="1" t="inlineStr">
        <is>
          <t>Unverified</t>
        </is>
      </c>
      <c r="AB685" s="1" t="n"/>
      <c r="AC685" s="1" t="n"/>
      <c r="AD685" s="10" t="n"/>
      <c r="AE685" s="1" t="n"/>
      <c r="AF685" t="inlineStr">
        <is>
          <t>Yes</t>
        </is>
      </c>
      <c r="AG685" t="inlineStr">
        <is>
          <t>https://www.linkedin.com/company/kamusi-project-international-usa</t>
        </is>
      </c>
      <c r="AH685" t="inlineStr">
        <is>
          <t>@kamusi</t>
        </is>
      </c>
      <c r="AI685" t="inlineStr">
        <is>
          <t>https://www.linkedin.com/company/kamusi-project-international-usa</t>
        </is>
      </c>
    </row>
    <row r="686" ht="12.5" customHeight="1">
      <c r="A686" s="6" t="n">
        <v>45182</v>
      </c>
      <c r="B686" s="1" t="inlineStr">
        <is>
          <t>ORG_1977</t>
        </is>
      </c>
      <c r="C686" s="1" t="b">
        <v>1</v>
      </c>
      <c r="D686" s="10" t="inlineStr">
        <is>
          <t>mobiletic.com</t>
        </is>
      </c>
      <c r="E686" s="10" t="inlineStr">
        <is>
          <t>https://mobiletic.com/fr/</t>
        </is>
      </c>
      <c r="F686" t="inlineStr">
        <is>
          <t>mobiletic.com/fr</t>
        </is>
      </c>
      <c r="G686" s="1" t="inlineStr">
        <is>
          <t>Digital solutions to grow and make grow - mobiletic's mission is simple: to transform education and training! That may sound pretentious, but the reality is that boldness and innovation are part of mobiletic's daily lives. At mobiletic, every day is an opportunity to broaden perspectives, explore new horizons and awaken enthusiasm in education and learning. They are a specialist in enhancing learning experiences - what is your project today?</t>
        </is>
      </c>
      <c r="H686" s="1" t="inlineStr">
        <is>
          <t>Swiss EdTech Collider</t>
        </is>
      </c>
      <c r="I686" s="1" t="inlineStr">
        <is>
          <t>French, English, German, Italian</t>
        </is>
      </c>
      <c r="J686" s="1" t="inlineStr">
        <is>
          <t>Ardon</t>
        </is>
      </c>
      <c r="K686" t="inlineStr">
        <is>
          <t>Ardon</t>
        </is>
      </c>
      <c r="L686" t="inlineStr">
        <is>
          <t>Ardon, Switzerland</t>
        </is>
      </c>
      <c r="M686" t="n">
        <v>46.2104977</v>
      </c>
      <c r="N686" t="n">
        <v>7.2576107</v>
      </c>
      <c r="O686" s="1" t="inlineStr">
        <is>
          <t>Switzerland</t>
        </is>
      </c>
      <c r="P686" s="1" t="inlineStr">
        <is>
          <t>France, Switzerland</t>
        </is>
      </c>
      <c r="Q686" s="1" t="inlineStr">
        <is>
          <t>11 to 50</t>
        </is>
      </c>
      <c r="R686" t="inlineStr">
        <is>
          <t>Small</t>
        </is>
      </c>
      <c r="S686" s="1" t="inlineStr">
        <is>
          <t>Business to Business, Business to Government, Business to Schools</t>
        </is>
      </c>
      <c r="T686" s="1" t="inlineStr">
        <is>
          <t>Primary Education, Secondary Education, Corporate Training, Lifelong learning/Adult education</t>
        </is>
      </c>
      <c r="U686" s="1" t="inlineStr">
        <is>
          <t>System/Administrative, Student interfacing, Teacher interfacing</t>
        </is>
      </c>
      <c r="V686" s="1" t="inlineStr">
        <is>
          <t>LCMS LMS DIGITAL LEARNING</t>
        </is>
      </c>
      <c r="W686" s="10" t="inlineStr">
        <is>
          <t>There is no doubt that every project has his own solution! You have the talent, the knowledge and the resources but you don’t know how to move on… Mobiletic is here to lead you by using special tools for education and creating successful digital learning solution for SME, public institutions, schools, foundations ,etc.</t>
        </is>
      </c>
      <c r="X686" s="10" t="inlineStr">
        <is>
          <t>https://drive.google.com/uc?export=view&amp;id=1rAIabn65uu_bW2B11f_s4Ul3VfCOGJ0f</t>
        </is>
      </c>
      <c r="Y686" t="inlineStr">
        <is>
          <t>https://drive.google.com/uc?export=view&amp;id=1rAIabn65uu_bW2B11f_s4Ul3VfCOGJ0f</t>
        </is>
      </c>
      <c r="Z686" s="1" t="inlineStr">
        <is>
          <t>https://drive.google.com/uc?export=view&amp;id=1rAIabn65uu_bW2B11f_s4Ul3VfCOGJ0f</t>
        </is>
      </c>
      <c r="AA686" s="1" t="inlineStr">
        <is>
          <t>Unverified</t>
        </is>
      </c>
      <c r="AB686" s="1" t="n"/>
      <c r="AC686" s="1" t="n"/>
      <c r="AD686" s="10" t="n"/>
      <c r="AE686" s="1" t="n"/>
      <c r="AF686" t="inlineStr">
        <is>
          <t>Yes</t>
        </is>
      </c>
      <c r="AG686" t="inlineStr">
        <is>
          <t>https://twitter.com/mobileticsarl</t>
        </is>
      </c>
      <c r="AH686" t="inlineStr">
        <is>
          <t>https://twitter.com/mobileticsarl</t>
        </is>
      </c>
      <c r="AI686" t="inlineStr">
        <is>
          <t>https://www.linkedin.com/company/mobiletic.com</t>
        </is>
      </c>
    </row>
    <row r="687" ht="12.5" customHeight="1">
      <c r="A687" s="6" t="n">
        <v>45182</v>
      </c>
      <c r="B687" s="1" t="inlineStr">
        <is>
          <t>ORG_2543</t>
        </is>
      </c>
      <c r="C687" s="1" t="b">
        <v>1</v>
      </c>
      <c r="D687" s="1" t="inlineStr">
        <is>
          <t>Wizenoze</t>
        </is>
      </c>
      <c r="E687" s="10" t="inlineStr">
        <is>
          <t>https://www.wizenoze.com/</t>
        </is>
      </c>
      <c r="F687" t="inlineStr">
        <is>
          <t>wizenoze.com</t>
        </is>
      </c>
      <c r="G687" s="1" t="inlineStr">
        <is>
          <t>It is the mission of Wizenoze to organize the world’s educational information and make it accessible, learnable, and teachable with the aim to become the unquestioned solution for anyone who wishes to offer educational content in their applications, platforms, lessons, or solutions. Wizenoze makes educational information accessible by collecting and curating publicly available as well as proprietary content in the form of web pages, texts, videos, and images, and let teachers validate it. It's combining AI with human curation.</t>
        </is>
      </c>
      <c r="H687" s="1" t="inlineStr">
        <is>
          <t>Dutch EdTech</t>
        </is>
      </c>
      <c r="I687" s="1" t="inlineStr">
        <is>
          <t>English, Dutch</t>
        </is>
      </c>
      <c r="J687" s="1" t="inlineStr">
        <is>
          <t>Herengracht 162</t>
        </is>
      </c>
      <c r="L687" t="inlineStr">
        <is>
          <t>Herengracht 162, The Netherlands</t>
        </is>
      </c>
      <c r="O687" s="1" t="inlineStr">
        <is>
          <t>The Netherlands</t>
        </is>
      </c>
      <c r="P687" s="1" t="inlineStr">
        <is>
          <t>Belgium, Netherlands, United Kingdom</t>
        </is>
      </c>
      <c r="Q687" s="1" t="inlineStr">
        <is>
          <t>11 to 50</t>
        </is>
      </c>
      <c r="R687" t="inlineStr">
        <is>
          <t>Small</t>
        </is>
      </c>
      <c r="S687" s="1" t="inlineStr">
        <is>
          <t>Business to Schools</t>
        </is>
      </c>
      <c r="T687" s="1" t="inlineStr">
        <is>
          <t>Primary Education, Secondary Education, Vocational Education and Training (VET)</t>
        </is>
      </c>
      <c r="U687" s="1" t="inlineStr">
        <is>
          <t>Teacher interfacing, System/Administrative</t>
        </is>
      </c>
      <c r="V687" s="10" t="inlineStr">
        <is>
          <t>Wizeup.world</t>
        </is>
      </c>
      <c r="W687" s="10" t="inlineStr">
        <is>
          <t>The largest library worldwide of curated educational resources matched to your curriculum.
The smartest way to digitally enrich your educational content, platform and/or create new revenue streams. 
Enrich your content - Include carefully selected curated and teacher approved educational information from the web, to make your own content more actual, locally contextualised and lively.
Enrich your LMS or platform - Expand your offering through a constantly updated core collection of over 60 million educational text articles, or videos from trusted sources.
New revenue streams - For creators of proprietary content, we offer a new revenue stream to millions of users. Quick market entry, get access to some of worlds most innovative online learning companies and schools.</t>
        </is>
      </c>
      <c r="X687" s="10" t="inlineStr">
        <is>
          <t>https://drive.google.com/uc?export=view&amp;id=1tE7CYHHgwwtdq1RoVYEq2VxdQYfR4Gpq</t>
        </is>
      </c>
      <c r="Y687" t="inlineStr">
        <is>
          <t>https://drive.google.com/uc?export=view&amp;id=1tE7CYHHgwwtdq1RoVYEq2VxdQYfR4Gpq</t>
        </is>
      </c>
      <c r="Z687" s="1" t="inlineStr">
        <is>
          <t>https://drive.google.com/uc?export=view&amp;id=1tE7CYHHgwwtdq1RoVYEq2VxdQYfR4Gpq</t>
        </is>
      </c>
      <c r="AA687" s="1" t="inlineStr">
        <is>
          <t>Unverified</t>
        </is>
      </c>
      <c r="AB687" s="1" t="n"/>
      <c r="AC687" s="1" t="n"/>
      <c r="AD687" s="10" t="n"/>
      <c r="AE687" s="1" t="n"/>
      <c r="AF687" s="1" t="inlineStr">
        <is>
          <t>Yes</t>
        </is>
      </c>
      <c r="AG687" s="1" t="inlineStr">
        <is>
          <t>https://www.instagram.com/Wizenoze</t>
        </is>
      </c>
      <c r="AH687" s="1" t="inlineStr">
        <is>
          <t>https://twitter.com/wizenoze</t>
        </is>
      </c>
      <c r="AI687" t="inlineStr">
        <is>
          <t>https://www.linkedin.com/company/wizenoze/?originalSubdomain=nl</t>
        </is>
      </c>
    </row>
    <row r="688" ht="12.5" customHeight="1">
      <c r="A688" s="6" t="n">
        <v>45182</v>
      </c>
      <c r="B688" s="1" t="inlineStr">
        <is>
          <t>ORG_1294</t>
        </is>
      </c>
      <c r="C688" s="1" t="b">
        <v>1</v>
      </c>
      <c r="D688" s="1" t="inlineStr">
        <is>
          <t>Conversation Design Institute</t>
        </is>
      </c>
      <c r="E688" s="10" t="inlineStr">
        <is>
          <t>https://www.conversationdesigninstitute.com/</t>
        </is>
      </c>
      <c r="F688" t="inlineStr">
        <is>
          <t>conversationdesigninstitute.com</t>
        </is>
      </c>
      <c r="G688" s="1" t="inlineStr">
        <is>
          <t>Conversation Design Institute is the world’s leading training and certification institute for conversational AI. Our platform is the place where the conversational AI community comes to learn employable skills, earn industry-backed certifications, and find their next hire.</t>
        </is>
      </c>
      <c r="H688" s="1" t="inlineStr">
        <is>
          <t>Dutch EdTech</t>
        </is>
      </c>
      <c r="I688" s="1" t="n"/>
      <c r="J688" s="1" t="inlineStr">
        <is>
          <t>Amsterdam</t>
        </is>
      </c>
      <c r="K688" t="inlineStr">
        <is>
          <t>Amsterdam</t>
        </is>
      </c>
      <c r="L688" t="inlineStr">
        <is>
          <t>Amsterdam, The Netherlands</t>
        </is>
      </c>
      <c r="M688" t="n">
        <v>52.3701984</v>
      </c>
      <c r="N688" t="n">
        <v>4.892168</v>
      </c>
      <c r="O688" s="1" t="inlineStr">
        <is>
          <t>The Netherlands</t>
        </is>
      </c>
      <c r="P688" s="1" t="inlineStr">
        <is>
          <t>Austria, Belgium, Bulgaria, Croatia, Cyprus, Czechia, Denmark, Estonia, Finland, France, Germany, Greece, Hungary, Ireland, Italy, Latvia, Luxembourg, Netherlands, Norway, Poland, Portugal, Romania, Serbia, Slovenia, Spain, Sweden, Switzerland, United Kingdom</t>
        </is>
      </c>
      <c r="Q688" s="1" t="inlineStr">
        <is>
          <t>6 to 10</t>
        </is>
      </c>
      <c r="R688" t="inlineStr">
        <is>
          <t>Micro</t>
        </is>
      </c>
      <c r="S688" s="1" t="inlineStr">
        <is>
          <t>Business to Business, Business to Consumer, Business to Government, Business to Schools</t>
        </is>
      </c>
      <c r="T688" s="1" t="inlineStr">
        <is>
          <t>Primary Education, Secondary Education, Corporate Training, Lifelong learning/Adult education, Vocational Education and Training (VET), Higher Education</t>
        </is>
      </c>
      <c r="U688" s="1" t="inlineStr">
        <is>
          <t>Student interfacing, Teacher interfacing, System/Administrative</t>
        </is>
      </c>
      <c r="V688" s="10" t="inlineStr">
        <is>
          <t>Training, Certification &amp; Consultancy</t>
        </is>
      </c>
      <c r="W688" s="10" t="inlineStr">
        <is>
          <t>CDI is the place where the conversational AI community comes to learn employable skills, earn industry-backed certifications, or reach out for professional services. Our proven workflow helps you create human-centric experiences for AI Assistants, like chatbots and voice assistants. We have several in-house created fundamental courses, courses we developed with industry experts, assessments, and recordings of our live events and live expert classes.</t>
        </is>
      </c>
      <c r="X688" s="10" t="inlineStr">
        <is>
          <t>https://drive.google.com/uc?export=view&amp;id=1CD4fkh4Y6Sh2xaBUVvEzVvVW-CWMkB5y</t>
        </is>
      </c>
      <c r="Y688" t="inlineStr">
        <is>
          <t>https://drive.google.com/uc?export=view&amp;id=1CD4fkh4Y6Sh2xaBUVvEzVvVW-CWMkB5y</t>
        </is>
      </c>
      <c r="Z688" s="1" t="inlineStr">
        <is>
          <t>https://drive.google.com/uc?export=view&amp;id=1CD4fkh4Y6Sh2xaBUVvEzVvVW-CWMkB5y</t>
        </is>
      </c>
      <c r="AA688" s="1" t="inlineStr">
        <is>
          <t>Unverified</t>
        </is>
      </c>
      <c r="AB688" s="1" t="n"/>
      <c r="AC688" s="1" t="n"/>
      <c r="AD688" s="10" t="n"/>
      <c r="AE688" s="1" t="n"/>
      <c r="AF688" s="1" t="inlineStr">
        <is>
          <t>Yes</t>
        </is>
      </c>
      <c r="AG688" s="1" t="inlineStr">
        <is>
          <t>https://www.instagram.com/accounts/login/?next=/Conversation_Design_Institute/</t>
        </is>
      </c>
      <c r="AH688" s="1" t="inlineStr">
        <is>
          <t>https://twitter.com/CDInstitute_</t>
        </is>
      </c>
      <c r="AI688" t="inlineStr">
        <is>
          <t>https://www.linkedin.com/company/conversation-design-institute</t>
        </is>
      </c>
    </row>
    <row r="689" ht="12.5" customHeight="1">
      <c r="A689" s="6" t="n">
        <v>45181</v>
      </c>
      <c r="B689" s="1" t="inlineStr">
        <is>
          <t>ORG_1543</t>
        </is>
      </c>
      <c r="C689" s="1" t="b">
        <v>1</v>
      </c>
      <c r="D689" s="1" t="inlineStr">
        <is>
          <t>Exploring EdTech</t>
        </is>
      </c>
      <c r="E689" s="10" t="inlineStr">
        <is>
          <t>www.exploringedtech.ie</t>
        </is>
      </c>
      <c r="F689" t="inlineStr">
        <is>
          <t>exploringedtech.ie</t>
        </is>
      </c>
      <c r="G689" s="1" t="inlineStr">
        <is>
          <t>Exploring EdTech is a publisher of a free digital magazine and podcast that aims to inspire primary and second-level teachers and education leaders to embrace education technologies in their teaching practice. The Exploring EdTech magazine showcases best practices, tutorials, reviews, and new and emerging technologies that may assist in teaching and learning. It is written by academic researchers and practising teachers who share their experience and expertise in the field</t>
        </is>
      </c>
      <c r="H689" s="1" t="inlineStr">
        <is>
          <t>EdTech Ireland</t>
        </is>
      </c>
      <c r="I689" s="1" t="inlineStr">
        <is>
          <t>English</t>
        </is>
      </c>
      <c r="J689" s="1" t="inlineStr">
        <is>
          <t>Killarney Rd, Anglont, Killorglin, Co. Kerry</t>
        </is>
      </c>
      <c r="K689" t="inlineStr">
        <is>
          <t>Killorglin</t>
        </is>
      </c>
      <c r="L689" t="inlineStr">
        <is>
          <t>Killorglin, Ireland</t>
        </is>
      </c>
      <c r="M689" t="n">
        <v>52.1061973</v>
      </c>
      <c r="N689" t="n">
        <v>-9.786788100000001</v>
      </c>
      <c r="O689" s="1" t="inlineStr">
        <is>
          <t>Ireland</t>
        </is>
      </c>
      <c r="P689" s="1" t="inlineStr">
        <is>
          <t>Belgium, Denmark, Finland, France, Germany, Iceland, Ireland, Italy, Norway, Portugal, Spain, Sweden, United Kingdom</t>
        </is>
      </c>
      <c r="Q689" s="1" t="inlineStr">
        <is>
          <t>0 to 2</t>
        </is>
      </c>
      <c r="R689" t="inlineStr">
        <is>
          <t>Solo entrepreneur</t>
        </is>
      </c>
      <c r="S689" s="1" t="inlineStr">
        <is>
          <t>Business to Government</t>
        </is>
      </c>
      <c r="T689" s="1" t="inlineStr">
        <is>
          <t>Primary Education, Secondary Education</t>
        </is>
      </c>
      <c r="U689" s="1" t="inlineStr">
        <is>
          <t>Teacher interfacing</t>
        </is>
      </c>
      <c r="V689" s="1" t="inlineStr">
        <is>
          <t>Exploring EdTech Magazine Issue 6</t>
        </is>
      </c>
      <c r="W689" s="10" t="inlineStr">
        <is>
          <t>The sixth issue of Exploring EdTech Ireland was published in January 2023. It focusses on the rapid development of artificial intelligence and machine learning in education technology. It features articles from academic researchers and practising teachers who shared their experience and expertise in the field. Some of the topics covered in this issue are:
How ChatGPT, an advanced chatbot, can be used to enhance student engagement and learning outcomes.
How AI can help teachers with assessment, feedback, and differentiation.
How AI can support students with special educational needs and disabilities.
How AI can foster creativity, collaboration, and problem-solving skills among students.
How AI can raise ethical, social, and legal issues in education.</t>
        </is>
      </c>
      <c r="X689" s="10" t="inlineStr">
        <is>
          <t>https://drive.google.com/uc?export=view&amp;id=1dx3F8qD5i8DtRCiO4Cvgi49NbL-23e08</t>
        </is>
      </c>
      <c r="Y689" t="inlineStr">
        <is>
          <t>https://drive.google.com/uc?export=view&amp;id=1dx3F8qD5i8DtRCiO4Cvgi49NbL-23e08</t>
        </is>
      </c>
      <c r="Z689" s="1" t="inlineStr">
        <is>
          <t>https://drive.google.com/uc?export=view&amp;id=1dx3F8qD5i8DtRCiO4Cvgi49NbL-23e08</t>
        </is>
      </c>
      <c r="AA689" s="1" t="inlineStr">
        <is>
          <t>Unverified</t>
        </is>
      </c>
      <c r="AB689" s="1" t="n"/>
      <c r="AC689" s="1" t="n"/>
      <c r="AD689" s="10" t="n"/>
      <c r="AE689" s="1" t="n"/>
      <c r="AF689" t="inlineStr">
        <is>
          <t>Yes</t>
        </is>
      </c>
      <c r="AG689" t="inlineStr">
        <is>
          <t>https://twitter.com/ExploringEdtech</t>
        </is>
      </c>
      <c r="AH689" t="inlineStr">
        <is>
          <t>https://twitter.com/ExploringEdtech</t>
        </is>
      </c>
      <c r="AI689" t="inlineStr">
        <is>
          <t>https://www.linkedin.com/company/exploringedtech/</t>
        </is>
      </c>
    </row>
    <row r="690" ht="12.5" customHeight="1">
      <c r="A690" s="6" t="n">
        <v>45181</v>
      </c>
      <c r="B690" s="1" t="inlineStr">
        <is>
          <t>ORG_1640</t>
        </is>
      </c>
      <c r="C690" s="1" t="b">
        <v>1</v>
      </c>
      <c r="D690" s="1" t="inlineStr">
        <is>
          <t>Grammerstorf Kubon Consulting</t>
        </is>
      </c>
      <c r="E690" s="10" t="inlineStr">
        <is>
          <t>www.grammerstorf-kubon.com</t>
        </is>
      </c>
      <c r="F690" t="inlineStr">
        <is>
          <t>grammerstorf-kubon.com</t>
        </is>
      </c>
      <c r="G690" s="1" t="inlineStr">
        <is>
          <t>At GKC we help public and private companies to enhance their strategy and processes. With the focus in education, we want to improve the quality of teaching and learning.</t>
        </is>
      </c>
      <c r="H690" s="1" t="inlineStr">
        <is>
          <t>I'm not part of any EdTech association</t>
        </is>
      </c>
      <c r="I690" s="1" t="inlineStr">
        <is>
          <t>English, German</t>
        </is>
      </c>
      <c r="J690" s="1" t="inlineStr">
        <is>
          <t>Bielefeld</t>
        </is>
      </c>
      <c r="K690" t="inlineStr">
        <is>
          <t>Bielefeld</t>
        </is>
      </c>
      <c r="L690" t="inlineStr">
        <is>
          <t>Bielefeld, Germany</t>
        </is>
      </c>
      <c r="M690" t="n">
        <v>52.0191005</v>
      </c>
      <c r="N690" t="n">
        <v>8.531007000000001</v>
      </c>
      <c r="O690" s="1" t="inlineStr">
        <is>
          <t>Germany</t>
        </is>
      </c>
      <c r="P690"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United Kingdom</t>
        </is>
      </c>
      <c r="Q690" s="1" t="inlineStr">
        <is>
          <t>0 to 2</t>
        </is>
      </c>
      <c r="R690" t="inlineStr">
        <is>
          <t>Solo entrepreneur</t>
        </is>
      </c>
      <c r="S690" s="1" t="inlineStr">
        <is>
          <t>Business to Business, Business to Schools, Business to Consumer</t>
        </is>
      </c>
      <c r="T690" s="1" t="inlineStr">
        <is>
          <t>Secondary Education, Corporate Training, Lifelong learning/Adult education, Vocational Education and Training (VET), Higher Education</t>
        </is>
      </c>
      <c r="U690" s="1" t="inlineStr">
        <is>
          <t>Teacher interfacing, System/Administrative, Student interfacing</t>
        </is>
      </c>
      <c r="V690" s="1" t="n"/>
      <c r="W690" s="1" t="inlineStr">
        <is>
          <t>https://drive.google.com/uc?export=view&amp;id=1WMXAPEz-vUWPBMdvXtgCSk5o--LBxZsd</t>
        </is>
      </c>
      <c r="X690" s="1" t="inlineStr">
        <is>
          <t>https://drive.google.com/uc?export=view&amp;id=1WMXAPEz-vUWPBMdvXtgCSk5o--LBxZsd</t>
        </is>
      </c>
      <c r="Y690" t="inlineStr">
        <is>
          <t>https://drive.google.com/uc?export=view&amp;id=1WMXAPEz-vUWPBMdvXtgCSk5o--LBxZsd</t>
        </is>
      </c>
      <c r="Z690" s="1" t="inlineStr">
        <is>
          <t>https://drive.google.com/uc?export=view&amp;id=1WMXAPEz-vUWPBMdvXtgCSk5o--LBxZsd</t>
        </is>
      </c>
      <c r="AA690" s="1" t="inlineStr">
        <is>
          <t>Unverified</t>
        </is>
      </c>
      <c r="AB690" s="1" t="n"/>
      <c r="AC690" s="1" t="n"/>
      <c r="AD690" s="10" t="n"/>
      <c r="AE690" s="1" t="n"/>
      <c r="AF690" t="inlineStr">
        <is>
          <t>No</t>
        </is>
      </c>
    </row>
    <row r="691" ht="12.5" customHeight="1">
      <c r="A691" s="6" t="n">
        <v>45181</v>
      </c>
      <c r="B691" s="1" t="inlineStr">
        <is>
          <t>ORG_1952</t>
        </is>
      </c>
      <c r="C691" s="1" t="b">
        <v>1</v>
      </c>
      <c r="D691" s="1" t="inlineStr">
        <is>
          <t>Mentessa</t>
        </is>
      </c>
      <c r="E691" s="10" t="inlineStr">
        <is>
          <t>http://mentessa.ai</t>
        </is>
      </c>
      <c r="F691" t="inlineStr">
        <is>
          <t>mentessa.ai</t>
        </is>
      </c>
      <c r="G691" s="1" t="inlineStr">
        <is>
          <t>Mentessa is an award-winning AI platform built to help companies create a connected learning culture. Our mission is to remove barriers for learning and collaboration for everyone in the workplace. For this purpose we take a radically different approach to skills as something that we do, not just that we know. It connects employees for learning and collaboration throughout their entrie journey - purposely, automatically, guiding the experience just like a "mentor at work".</t>
        </is>
      </c>
      <c r="H691" s="1" t="inlineStr">
        <is>
          <t>I'm not part of any EdTech association, EDUvation</t>
        </is>
      </c>
      <c r="I691" s="1" t="inlineStr">
        <is>
          <t>German, English, Portuguese, Serbian, French, Italian</t>
        </is>
      </c>
      <c r="J691" s="1" t="inlineStr">
        <is>
          <t>Munich</t>
        </is>
      </c>
      <c r="K691" t="inlineStr">
        <is>
          <t>Munich</t>
        </is>
      </c>
      <c r="L691" t="inlineStr">
        <is>
          <t>Munich, Germany</t>
        </is>
      </c>
      <c r="M691" t="n">
        <v>48.1371079</v>
      </c>
      <c r="N691" t="n">
        <v>11.5753822</v>
      </c>
      <c r="O691" s="1" t="inlineStr">
        <is>
          <t>Germany</t>
        </is>
      </c>
      <c r="P691" s="1" t="inlineStr">
        <is>
          <t>Bulgaria, Germany, Serbia, Switzerland, Ukraine</t>
        </is>
      </c>
      <c r="Q691" s="1" t="inlineStr">
        <is>
          <t>6 to 10</t>
        </is>
      </c>
      <c r="R691" t="inlineStr">
        <is>
          <t>Micro</t>
        </is>
      </c>
      <c r="S691" s="1" t="inlineStr">
        <is>
          <t>Business to Government, Business to Business</t>
        </is>
      </c>
      <c r="T691" s="1" t="inlineStr">
        <is>
          <t>Corporate Training, Lifelong learning/Adult education</t>
        </is>
      </c>
      <c r="U691" s="1" t="inlineStr">
        <is>
          <t>System/Administrative, Student interfacing</t>
        </is>
      </c>
      <c r="V691" s="1" t="inlineStr">
        <is>
          <t>https://www.linkedin.com/company/mentessa/</t>
        </is>
      </c>
      <c r="W691" s="1" t="inlineStr">
        <is>
          <t>https://drive.google.com/uc?export=view&amp;id=1jbVqJEZ84TXubvHG-q4Euc3S-8EMk07n</t>
        </is>
      </c>
      <c r="X691" s="10" t="inlineStr">
        <is>
          <t>https://drive.google.com/uc?export=view&amp;id=1jbVqJEZ84TXubvHG-q4Euc3S-8EMk07n</t>
        </is>
      </c>
      <c r="Y691" t="inlineStr">
        <is>
          <t>https://drive.google.com/uc?export=view&amp;id=1jbVqJEZ84TXubvHG-q4Euc3S-8EMk07n</t>
        </is>
      </c>
      <c r="Z691" s="1" t="inlineStr">
        <is>
          <t>https://drive.google.com/uc?export=view&amp;id=1jbVqJEZ84TXubvHG-q4Euc3S-8EMk07n</t>
        </is>
      </c>
      <c r="AA691" s="1" t="inlineStr">
        <is>
          <t>Unverified</t>
        </is>
      </c>
      <c r="AB691" s="1" t="n"/>
      <c r="AC691" s="1" t="n"/>
      <c r="AD691" s="10" t="n"/>
      <c r="AE691" s="1" t="n"/>
      <c r="AF691" t="inlineStr">
        <is>
          <t>Yes</t>
        </is>
      </c>
      <c r="AG691" t="inlineStr">
        <is>
          <t>https://www.linkedin.com/company/mentessa/</t>
        </is>
      </c>
      <c r="AH691" t="inlineStr">
        <is>
          <t>https://www.linkedin.com/company/mentessa/</t>
        </is>
      </c>
      <c r="AI691" t="inlineStr">
        <is>
          <t>https://www.linkedin.com/company/mentessa/</t>
        </is>
      </c>
    </row>
    <row r="692" ht="12.5" customHeight="1">
      <c r="A692" s="6" t="n">
        <v>45181</v>
      </c>
      <c r="B692" s="1" t="inlineStr">
        <is>
          <t>ORG_1978</t>
        </is>
      </c>
      <c r="C692" s="1" t="b">
        <v>1</v>
      </c>
      <c r="D692" s="1" t="inlineStr">
        <is>
          <t>ModCo</t>
        </is>
      </c>
      <c r="E692" s="10" t="inlineStr">
        <is>
          <t>https://modco.fr/</t>
        </is>
      </c>
      <c r="F692" t="inlineStr">
        <is>
          <t>modco.fr</t>
        </is>
      </c>
      <c r="G692" s="1" t="inlineStr">
        <is>
          <t>ModCo creates a secured environment for students to use their own smartphones in middle schools. With ModCo, institutions capitalise on personal smartphones of students to facilitate an equitable access to digital educational resources for all.</t>
        </is>
      </c>
      <c r="H692" s="1" t="inlineStr">
        <is>
          <t>AFINEF, EdTech France</t>
        </is>
      </c>
      <c r="I692" s="1" t="inlineStr">
        <is>
          <t>French, English</t>
        </is>
      </c>
      <c r="J692" s="1" t="inlineStr">
        <is>
          <t>Lannion</t>
        </is>
      </c>
      <c r="K692" t="inlineStr">
        <is>
          <t>Lannion</t>
        </is>
      </c>
      <c r="L692" t="inlineStr">
        <is>
          <t>Lannion, France</t>
        </is>
      </c>
      <c r="M692" t="n">
        <v>48.7322183</v>
      </c>
      <c r="N692" t="n">
        <v>-3.4587994</v>
      </c>
      <c r="O692" s="1" t="inlineStr">
        <is>
          <t>France</t>
        </is>
      </c>
      <c r="P692" s="1" t="inlineStr">
        <is>
          <t>France</t>
        </is>
      </c>
      <c r="Q692" s="1" t="inlineStr">
        <is>
          <t>0 to 2</t>
        </is>
      </c>
      <c r="R692" t="inlineStr">
        <is>
          <t>Solo entrepreneur</t>
        </is>
      </c>
      <c r="S692" s="1" t="inlineStr">
        <is>
          <t>Business to Government, Business to Schools</t>
        </is>
      </c>
      <c r="T692" s="1" t="inlineStr">
        <is>
          <t>Secondary Education</t>
        </is>
      </c>
      <c r="U692" s="1" t="inlineStr">
        <is>
          <t>Student interfacing, Teacher interfacing</t>
        </is>
      </c>
      <c r="V692" s="1" t="inlineStr">
        <is>
          <t>https://www.linkedin.com/company/modco-mode-college</t>
        </is>
      </c>
      <c r="W692" s="1" t="inlineStr">
        <is>
          <t>https://drive.google.com/uc?export=view&amp;id=1E1Bgm4pZ-jC0uaHUr2fW9rFtKrL0iLqA</t>
        </is>
      </c>
      <c r="X692" s="10" t="inlineStr">
        <is>
          <t>https://drive.google.com/uc?export=view&amp;id=1E1Bgm4pZ-jC0uaHUr2fW9rFtKrL0iLqA</t>
        </is>
      </c>
      <c r="Y692" t="inlineStr">
        <is>
          <t>https://drive.google.com/uc?export=view&amp;id=1E1Bgm4pZ-jC0uaHUr2fW9rFtKrL0iLqA</t>
        </is>
      </c>
      <c r="Z692" s="1" t="inlineStr">
        <is>
          <t>https://drive.google.com/uc?export=view&amp;id=1E1Bgm4pZ-jC0uaHUr2fW9rFtKrL0iLqA</t>
        </is>
      </c>
      <c r="AA692" s="1" t="inlineStr">
        <is>
          <t>Unverified</t>
        </is>
      </c>
      <c r="AB692" s="1" t="n"/>
      <c r="AC692" s="1" t="n"/>
      <c r="AD692" s="10" t="n"/>
      <c r="AE692" s="1" t="n"/>
      <c r="AF692" t="inlineStr">
        <is>
          <t>Yes</t>
        </is>
      </c>
      <c r="AG692" t="inlineStr">
        <is>
          <t>https://www.linkedin.com/company/modco-mode-college</t>
        </is>
      </c>
      <c r="AH692" t="inlineStr">
        <is>
          <t>https://www.linkedin.com/company/modco-mode-college</t>
        </is>
      </c>
      <c r="AI692" t="inlineStr">
        <is>
          <t>https://www.linkedin.com/company/modco-mode-college</t>
        </is>
      </c>
    </row>
    <row r="693" ht="12.5" customHeight="1">
      <c r="A693" s="6" t="n">
        <v>45181</v>
      </c>
      <c r="B693" s="1" t="inlineStr">
        <is>
          <t>ORG_2106</t>
        </is>
      </c>
      <c r="C693" s="1" t="b">
        <v>1</v>
      </c>
      <c r="D693" s="1" t="inlineStr">
        <is>
          <t>Pivotal EdTech</t>
        </is>
      </c>
      <c r="E693" s="10" t="inlineStr">
        <is>
          <t>https://pivotaledtech.com</t>
        </is>
      </c>
      <c r="F693" t="inlineStr">
        <is>
          <t>pivotaledtech.com</t>
        </is>
      </c>
      <c r="G693" s="1" t="inlineStr">
        <is>
          <t>We work with EdTech to be more effective at getting to market and investment readiness.</t>
        </is>
      </c>
      <c r="H693" s="1" t="inlineStr">
        <is>
          <t>EdTech Ireland</t>
        </is>
      </c>
      <c r="I693" s="1" t="inlineStr">
        <is>
          <t>English</t>
        </is>
      </c>
      <c r="J693" s="1" t="inlineStr">
        <is>
          <t>Dublin 5</t>
        </is>
      </c>
      <c r="K693" t="inlineStr">
        <is>
          <t>Dublin</t>
        </is>
      </c>
      <c r="L693" t="inlineStr">
        <is>
          <t>Dublin, Ireland</t>
        </is>
      </c>
      <c r="M693" t="n">
        <v>53.3493795</v>
      </c>
      <c r="N693" t="n">
        <v>-6.2605593</v>
      </c>
      <c r="O693" s="1" t="inlineStr">
        <is>
          <t>Ireland</t>
        </is>
      </c>
      <c r="P693" s="1" t="inlineStr">
        <is>
          <t>Ireland</t>
        </is>
      </c>
      <c r="Q693" s="1" t="inlineStr">
        <is>
          <t>0 to 2</t>
        </is>
      </c>
      <c r="R693" t="inlineStr">
        <is>
          <t>Solo entrepreneur</t>
        </is>
      </c>
      <c r="S693" s="1" t="inlineStr">
        <is>
          <t>Business to Government, Business to Schools, Business to Business</t>
        </is>
      </c>
      <c r="T693" s="1" t="inlineStr">
        <is>
          <t>Early childhood development (0-5 years), Primary Education, Secondary Education, Corporate Training, Lifelong learning/Adult education, Vocational Education and Training (VET), Higher Education</t>
        </is>
      </c>
      <c r="U693" s="1" t="inlineStr">
        <is>
          <t>Teacher interfacing, System/Administrative, Student interfacing</t>
        </is>
      </c>
      <c r="V693" s="1" t="inlineStr">
        <is>
          <t>Market engagement</t>
        </is>
      </c>
      <c r="W693" s="1" t="inlineStr">
        <is>
          <t>Commercial effectiveness: market research, market engagement, company readiness, strategy</t>
        </is>
      </c>
      <c r="X693" s="10" t="inlineStr">
        <is>
          <t>Investment readiness</t>
        </is>
      </c>
      <c r="Y693" t="inlineStr">
        <is>
          <t>Investment readiness training, business planning, strategy, investment readiness assessment</t>
        </is>
      </c>
      <c r="Z693" s="1" t="inlineStr">
        <is>
          <t>https://drive.google.com/uc?export=view&amp;id=1gZJwdJ3UQQeOB2IEO-s4nHW30bY932h3</t>
        </is>
      </c>
      <c r="AA693" s="1" t="inlineStr">
        <is>
          <t>Unverified</t>
        </is>
      </c>
      <c r="AB693" s="1" t="n"/>
      <c r="AC693" s="1" t="n"/>
      <c r="AD693" s="10" t="n"/>
      <c r="AE693" s="1" t="n"/>
      <c r="AF693" t="inlineStr">
        <is>
          <t>Yes</t>
        </is>
      </c>
      <c r="AG693" t="inlineStr">
        <is>
          <t>https://www.linkedin.com/company/pivotal-edtech</t>
        </is>
      </c>
      <c r="AH693" t="inlineStr">
        <is>
          <t>https://www.linkedin.com/company/pivotal-edtech</t>
        </is>
      </c>
      <c r="AI693" t="inlineStr">
        <is>
          <t>https://www.linkedin.com/company/pivotal-edtech</t>
        </is>
      </c>
    </row>
    <row r="694" ht="12.5" customHeight="1">
      <c r="A694" s="6" t="n">
        <v>45181</v>
      </c>
      <c r="B694" s="1" t="inlineStr">
        <is>
          <t>ORG_2183</t>
        </is>
      </c>
      <c r="C694" s="1" t="b">
        <v>1</v>
      </c>
      <c r="D694" s="1" t="inlineStr">
        <is>
          <t>Rhinox</t>
        </is>
      </c>
      <c r="E694" s="10" t="inlineStr">
        <is>
          <t>https://rhinox.be</t>
        </is>
      </c>
      <c r="F694" t="inlineStr">
        <is>
          <t>rhinox.be</t>
        </is>
      </c>
      <c r="G694" s="1" t="inlineStr">
        <is>
          <t>Rhinox specializes in providing interactive VR and AR applications specifically for educational training purposes. With this we want to make learning and training attractive in a technologically progressive way. 
This through our passion for game technology and other emerging technologies, we want to fulfill and innovate the current industry's needs for training, simulation and visualization.
We want to provide a cost-effective and efficient way of training people, simulating work environments and visualizing complex products using VR and AR technology.
Our approach is always 'customer centric', whereby we put our end customers first.</t>
        </is>
      </c>
      <c r="H694" s="1" t="inlineStr">
        <is>
          <t>edtechstation</t>
        </is>
      </c>
      <c r="I694" s="1" t="n"/>
      <c r="J694" s="1" t="inlineStr">
        <is>
          <t>Kortrijk</t>
        </is>
      </c>
      <c r="K694" t="inlineStr">
        <is>
          <t>Kortrijk</t>
        </is>
      </c>
      <c r="L694" t="inlineStr">
        <is>
          <t>Kortrijk, Belgium</t>
        </is>
      </c>
      <c r="M694" t="n">
        <v>50.8178422</v>
      </c>
      <c r="N694" t="n">
        <v>3.2782582</v>
      </c>
      <c r="O694" s="1" t="inlineStr">
        <is>
          <t>Belgium</t>
        </is>
      </c>
      <c r="P694" s="1" t="inlineStr">
        <is>
          <t>Belgium</t>
        </is>
      </c>
      <c r="Q694" s="1" t="inlineStr">
        <is>
          <t>6 to 10</t>
        </is>
      </c>
      <c r="R694" t="inlineStr">
        <is>
          <t>Micro</t>
        </is>
      </c>
      <c r="S694" s="1" t="inlineStr">
        <is>
          <t>Business to Government, Business to Schools, Business to Business</t>
        </is>
      </c>
      <c r="T694" s="1" t="inlineStr">
        <is>
          <t>Corporate Training, Lifelong learning/Adult education</t>
        </is>
      </c>
      <c r="U694" s="1" t="inlineStr">
        <is>
          <t>System/Administrative, Student interfacing</t>
        </is>
      </c>
      <c r="V694" s="1" t="inlineStr">
        <is>
          <t>Training</t>
        </is>
      </c>
      <c r="W694" s="1" t="inlineStr">
        <is>
          <t>We help educate your employees about operational workflows and the equipment involved:
* in a safe and controlled environment
* in an innovative, fun and exciting way
* while increasing their engagement and knowledge retention by using gamification elements
Not only can we help you reduce your training costs. We can also help you collect and analyze data on learning and training performance.</t>
        </is>
      </c>
      <c r="X694" s="10" t="inlineStr">
        <is>
          <t>Simulation</t>
        </is>
      </c>
      <c r="Y694" t="inlineStr">
        <is>
          <t>We can simulate your work environments and improve your operational processes by:
* identifying inefficiencies
* identifying safety hazards
* collecting behavioral data
* extracting the best possible match for workflow and equipment placement using artificial intelligence</t>
        </is>
      </c>
      <c r="Z694" s="1" t="inlineStr">
        <is>
          <t>https://drive.google.com/uc?export=view&amp;id=1zgqUqa6mNWZ6G45d7JLPj9bHgbKsd28o</t>
        </is>
      </c>
      <c r="AA694" s="1" t="inlineStr">
        <is>
          <t>Unverified</t>
        </is>
      </c>
      <c r="AB694" s="1" t="n"/>
      <c r="AC694" s="1" t="n"/>
      <c r="AD694" s="10" t="n"/>
      <c r="AE694" s="1" t="n"/>
      <c r="AF694" t="inlineStr">
        <is>
          <t>Yes</t>
        </is>
      </c>
      <c r="AG694" t="inlineStr">
        <is>
          <t>https://www.linkedin.com/company/rhinox-training/</t>
        </is>
      </c>
      <c r="AH694" t="inlineStr">
        <is>
          <t>https://www.linkedin.com/company/rhinox-training/</t>
        </is>
      </c>
      <c r="AI694" t="inlineStr">
        <is>
          <t>https://www.linkedin.com/company/rhinox-training/</t>
        </is>
      </c>
    </row>
    <row r="695" ht="12.5" customHeight="1">
      <c r="A695" s="6" t="n">
        <v>45181</v>
      </c>
      <c r="B695" s="1" t="inlineStr">
        <is>
          <t>ORG_2058</t>
        </is>
      </c>
      <c r="C695" s="1" t="b">
        <v>1</v>
      </c>
      <c r="D695" s="1" t="inlineStr">
        <is>
          <t>OkNoName</t>
        </is>
      </c>
      <c r="E695" s="10" t="inlineStr">
        <is>
          <t>https://www.oknoname.com/</t>
        </is>
      </c>
      <c r="F695" t="inlineStr">
        <is>
          <t>oknoname.com</t>
        </is>
      </c>
      <c r="G695" s="1" t="inlineStr">
        <is>
          <t>OkNoName.com provides modern Q&amp;A discussion board technology, saving time for experts such as instructors.
Our human-assistive generative AI reply model and semantic search engine provide answer suggestions to student questions, saving time for experts and users! Some customers integrate our solution with their existing discussion board through our API. We also provide a standalone discussion board option. Used by over 2000 students and 10 professors!
Learn more at https://www.OkNoName.com</t>
        </is>
      </c>
      <c r="H695" s="1" t="inlineStr">
        <is>
          <t>I'm not part of any EdTech association</t>
        </is>
      </c>
      <c r="I695" s="1" t="inlineStr">
        <is>
          <t>English</t>
        </is>
      </c>
      <c r="J695" s="1" t="inlineStr">
        <is>
          <t>Lausanne</t>
        </is>
      </c>
      <c r="K695" t="inlineStr">
        <is>
          <t>Lausanne</t>
        </is>
      </c>
      <c r="L695" t="inlineStr">
        <is>
          <t>Lausanne, Switzerland</t>
        </is>
      </c>
      <c r="M695" t="n">
        <v>46.5218269</v>
      </c>
      <c r="N695" t="n">
        <v>6.6327025</v>
      </c>
      <c r="O695" s="1" t="inlineStr">
        <is>
          <t>Switzerland</t>
        </is>
      </c>
      <c r="P69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695" s="1" t="inlineStr">
        <is>
          <t>0 to 2</t>
        </is>
      </c>
      <c r="R695" t="inlineStr">
        <is>
          <t>Solo entrepreneur</t>
        </is>
      </c>
      <c r="S695" s="1" t="inlineStr">
        <is>
          <t>Business to Business, Business to Government, Business to Schools</t>
        </is>
      </c>
      <c r="T695" s="1" t="inlineStr">
        <is>
          <t>Secondary Education, Corporate Training, Higher Education</t>
        </is>
      </c>
      <c r="U695" s="1" t="inlineStr">
        <is>
          <t>Teacher interfacing, System/Administrative</t>
        </is>
      </c>
      <c r="V695" s="1" t="inlineStr">
        <is>
          <t>OkNoName</t>
        </is>
      </c>
      <c r="W695" s="1" t="inlineStr">
        <is>
          <t>Our human-assistive generative AI reply model and semantic search engine provide answer suggestions to student questions, saving time for experts (instructors) and users! Some customers integrate our solution with their existing discussion board through our API. We also provide a standalone discussion board option. Used by over 2000 students and 10 professors!</t>
        </is>
      </c>
      <c r="X695" s="10" t="inlineStr">
        <is>
          <t>https://drive.google.com/uc?export=view&amp;id=1h0KdmwBwC7V3H-Ap8s01lSkOfVVLETBt</t>
        </is>
      </c>
      <c r="Y695" t="inlineStr">
        <is>
          <t>https://drive.google.com/uc?export=view&amp;id=1h0KdmwBwC7V3H-Ap8s01lSkOfVVLETBt</t>
        </is>
      </c>
      <c r="Z695" s="1" t="inlineStr">
        <is>
          <t>https://drive.google.com/uc?export=view&amp;id=1h0KdmwBwC7V3H-Ap8s01lSkOfVVLETBt</t>
        </is>
      </c>
      <c r="AA695" s="1" t="inlineStr">
        <is>
          <t>Unverified</t>
        </is>
      </c>
      <c r="AB695" s="1" t="n"/>
      <c r="AC695" s="1" t="n"/>
      <c r="AD695" s="10" t="n"/>
      <c r="AE695" s="1" t="n"/>
      <c r="AF695" t="inlineStr">
        <is>
          <t>Yes</t>
        </is>
      </c>
      <c r="AG695" t="inlineStr">
        <is>
          <t>https://www.linkedin.com/company/oknoname</t>
        </is>
      </c>
      <c r="AH695" t="inlineStr">
        <is>
          <t>https://www.linkedin.com/company/oknoname</t>
        </is>
      </c>
      <c r="AI695" t="inlineStr">
        <is>
          <t>https://www.linkedin.com/company/oknoname</t>
        </is>
      </c>
    </row>
    <row r="696" ht="12.5" customHeight="1">
      <c r="A696" s="6" t="n">
        <v>45181</v>
      </c>
      <c r="B696" s="1" t="inlineStr">
        <is>
          <t>ORG_1009</t>
        </is>
      </c>
      <c r="C696" s="1" t="b">
        <v>1</v>
      </c>
      <c r="D696" s="1" t="inlineStr">
        <is>
          <t>3CL Foundation</t>
        </is>
      </c>
      <c r="E696" s="10" t="inlineStr">
        <is>
          <t>https://www.3cl.org/</t>
        </is>
      </c>
      <c r="F696" t="inlineStr">
        <is>
          <t>3cl.org</t>
        </is>
      </c>
      <c r="G696" s="1" t="inlineStr">
        <is>
          <t>The Commonwealth Centre for Connected Learning Foundation (The 3CL Foundation – 3CL for short) is a public EdTech foundation registered in Malta in February 2017 to operate as an arms-length Education Foundation. We operate as a knowledge hub for a global network of groups, agencies, institutions and educators in the rapid deployment of EdTech programmes in the Commonwealth and the EU. Much of our output is published as a public good, under a Creative Commons licence.</t>
        </is>
      </c>
      <c r="H696" s="1" t="inlineStr">
        <is>
          <t>I'm not part of any EdTech association</t>
        </is>
      </c>
      <c r="I696" s="1" t="inlineStr">
        <is>
          <t>English</t>
        </is>
      </c>
      <c r="J696" s="1" t="inlineStr">
        <is>
          <t>Valletta</t>
        </is>
      </c>
      <c r="K696" t="inlineStr">
        <is>
          <t>Valletta</t>
        </is>
      </c>
      <c r="L696" t="inlineStr">
        <is>
          <t>Valletta, Malta</t>
        </is>
      </c>
      <c r="M696" t="n">
        <v>35.8989979</v>
      </c>
      <c r="N696" t="n">
        <v>14.5136607</v>
      </c>
      <c r="O696" s="1" t="inlineStr">
        <is>
          <t>Malta</t>
        </is>
      </c>
      <c r="P696" s="1" t="inlineStr">
        <is>
          <t>Belgium, Malta, Spain, Sweden, United Kingdom</t>
        </is>
      </c>
      <c r="Q696" s="1" t="inlineStr">
        <is>
          <t>3 to 5</t>
        </is>
      </c>
      <c r="R696" t="inlineStr">
        <is>
          <t>Micro</t>
        </is>
      </c>
      <c r="S696" s="1" t="inlineStr">
        <is>
          <t>Business to Business</t>
        </is>
      </c>
      <c r="T696" s="1" t="inlineStr">
        <is>
          <t>Corporate Training, Lifelong learning/Adult education, Vocational Education and Training (VET), Higher Education</t>
        </is>
      </c>
      <c r="U696" s="1" t="inlineStr">
        <is>
          <t>Teacher interfacing, System/Administrative, Student interfacing</t>
        </is>
      </c>
      <c r="V696" s="1" t="n"/>
      <c r="W696" s="1" t="inlineStr">
        <is>
          <t>https://drive.google.com/uc?export=view&amp;id=1AzE-4qBLTdc3aE13jap8iN0zm4s0QR8I</t>
        </is>
      </c>
      <c r="X696" s="1" t="inlineStr">
        <is>
          <t>https://drive.google.com/uc?export=view&amp;id=1AzE-4qBLTdc3aE13jap8iN0zm4s0QR8I</t>
        </is>
      </c>
      <c r="Y696" t="inlineStr">
        <is>
          <t>https://drive.google.com/uc?export=view&amp;id=1AzE-4qBLTdc3aE13jap8iN0zm4s0QR8I</t>
        </is>
      </c>
      <c r="Z696" s="1" t="inlineStr">
        <is>
          <t>https://drive.google.com/uc?export=view&amp;id=1AzE-4qBLTdc3aE13jap8iN0zm4s0QR8I</t>
        </is>
      </c>
      <c r="AA696" s="1" t="inlineStr">
        <is>
          <t>Unverified</t>
        </is>
      </c>
      <c r="AB696" s="1" t="n"/>
      <c r="AC696" s="1" t="n"/>
      <c r="AD696" s="10" t="n"/>
      <c r="AE696" s="1" t="n"/>
      <c r="AF696" t="inlineStr">
        <is>
          <t>No</t>
        </is>
      </c>
    </row>
    <row r="697" ht="12.5" customHeight="1">
      <c r="A697" s="6" t="n">
        <v>45181</v>
      </c>
      <c r="B697" s="1" t="inlineStr">
        <is>
          <t>ORG_1314</t>
        </is>
      </c>
      <c r="C697" s="1" t="b">
        <v>1</v>
      </c>
      <c r="D697" s="1" t="inlineStr">
        <is>
          <t>Cuabi</t>
        </is>
      </c>
      <c r="E697" s="10" t="inlineStr">
        <is>
          <t>https://cuabi.com</t>
        </is>
      </c>
      <c r="F697" t="inlineStr">
        <is>
          <t>cuabi.com</t>
        </is>
      </c>
      <c r="G697" s="1" t="inlineStr">
        <is>
          <t>Cuabi helps parents to discover and develop the talents of their children. We focus on emotinal development and softs skills.</t>
        </is>
      </c>
      <c r="H697" s="1" t="inlineStr">
        <is>
          <t>I'm not part of any EdTech association</t>
        </is>
      </c>
      <c r="I697" s="1" t="inlineStr">
        <is>
          <t>Spanish</t>
        </is>
      </c>
      <c r="J697" s="1" t="inlineStr">
        <is>
          <t>Valencia</t>
        </is>
      </c>
      <c r="K697" t="inlineStr">
        <is>
          <t>Valencia</t>
        </is>
      </c>
      <c r="L697" t="inlineStr">
        <is>
          <t>Valencia, Spain</t>
        </is>
      </c>
      <c r="M697" t="n">
        <v>39.6819591</v>
      </c>
      <c r="N697" t="n">
        <v>-0.7654406</v>
      </c>
      <c r="O697" s="1" t="inlineStr">
        <is>
          <t>Spain</t>
        </is>
      </c>
      <c r="P697" s="1" t="inlineStr">
        <is>
          <t>Spain</t>
        </is>
      </c>
      <c r="Q697" s="1" t="inlineStr">
        <is>
          <t>0 to 2</t>
        </is>
      </c>
      <c r="R697" t="inlineStr">
        <is>
          <t>Solo entrepreneur</t>
        </is>
      </c>
      <c r="S697" s="1" t="inlineStr">
        <is>
          <t>Business to Business, Business to Consumer</t>
        </is>
      </c>
      <c r="T697" s="1" t="inlineStr">
        <is>
          <t>Primary Education, Secondary Education</t>
        </is>
      </c>
      <c r="U697" s="1" t="inlineStr">
        <is>
          <t>System/Administrative, Teacher interfacing</t>
        </is>
      </c>
      <c r="V697" s="10" t="inlineStr">
        <is>
          <t>Club de padres</t>
        </is>
      </c>
      <c r="W697" s="1" t="inlineStr">
        <is>
          <t>Club de padres es un espacio para conectar a los pares con ideas, herramientas, apoyo para que pueden acompañar a sus hijos con su desarrollo emocional</t>
        </is>
      </c>
      <c r="X697" s="10" t="inlineStr">
        <is>
          <t>https://drive.google.com/uc?export=view&amp;id=1e3k-TgrMAurhMVJoZ_EY8am_j-A2P9cP</t>
        </is>
      </c>
      <c r="Y697" t="inlineStr">
        <is>
          <t>https://drive.google.com/uc?export=view&amp;id=1e3k-TgrMAurhMVJoZ_EY8am_j-A2P9cP</t>
        </is>
      </c>
      <c r="Z697" s="1" t="inlineStr">
        <is>
          <t>https://drive.google.com/uc?export=view&amp;id=1e3k-TgrMAurhMVJoZ_EY8am_j-A2P9cP</t>
        </is>
      </c>
      <c r="AA697" s="1" t="inlineStr">
        <is>
          <t>Unverified</t>
        </is>
      </c>
      <c r="AB697" s="1" t="n"/>
      <c r="AC697" s="1" t="n"/>
      <c r="AD697" s="10" t="n"/>
      <c r="AE697" s="1" t="n"/>
      <c r="AF697" t="inlineStr">
        <is>
          <t>Yes</t>
        </is>
      </c>
      <c r="AG697" t="inlineStr">
        <is>
          <t>https://instagram.com/cuabi.educa</t>
        </is>
      </c>
      <c r="AH697" t="inlineStr">
        <is>
          <t>https://es.linkedin.com/company/cuabi</t>
        </is>
      </c>
      <c r="AI697" t="inlineStr">
        <is>
          <t>https://es.linkedin.com/company/cuabi</t>
        </is>
      </c>
    </row>
    <row r="698" ht="12.5" customHeight="1">
      <c r="A698" s="6" t="n">
        <v>45181</v>
      </c>
      <c r="B698" s="1" t="inlineStr">
        <is>
          <t>ORG_1685</t>
        </is>
      </c>
      <c r="C698" s="1" t="b">
        <v>1</v>
      </c>
      <c r="D698" s="1" t="inlineStr">
        <is>
          <t>How to Change the World</t>
        </is>
      </c>
      <c r="E698" s="10" t="inlineStr">
        <is>
          <t>https://www.htctw.org/</t>
        </is>
      </c>
      <c r="F698" t="inlineStr">
        <is>
          <t>htctw.org</t>
        </is>
      </c>
      <c r="G698" s="1" t="inlineStr">
        <is>
          <t>We deliver fully-virtual experiential education programs that empower high education students from around the world to collaboratively tackle global sustainability challenges they are passionate about. We are also piloting similar programs with corporate partnerships to help tackle the massive employee sustainability skills gap that is holding whole industries back from achieving their sustainability targets.</t>
        </is>
      </c>
      <c r="H698" s="1" t="inlineStr">
        <is>
          <t>SuperCharger Ventures</t>
        </is>
      </c>
      <c r="I698" s="1" t="inlineStr">
        <is>
          <t>English</t>
        </is>
      </c>
      <c r="J698" s="1" t="inlineStr">
        <is>
          <t>London</t>
        </is>
      </c>
      <c r="K698" t="inlineStr">
        <is>
          <t>London</t>
        </is>
      </c>
      <c r="L698" t="inlineStr">
        <is>
          <t>London, United Kingdom</t>
        </is>
      </c>
      <c r="M698" t="n">
        <v>51.5074456</v>
      </c>
      <c r="N698" t="n">
        <v>-0.1277653</v>
      </c>
      <c r="O698" s="1" t="inlineStr">
        <is>
          <t>United Kingdom</t>
        </is>
      </c>
      <c r="P698" s="1" t="inlineStr">
        <is>
          <t>Italy, Malta, Spain, United Kingdom</t>
        </is>
      </c>
      <c r="Q698" s="1" t="inlineStr">
        <is>
          <t>11 to 50</t>
        </is>
      </c>
      <c r="R698" t="inlineStr">
        <is>
          <t>Small</t>
        </is>
      </c>
      <c r="S698" s="1" t="inlineStr">
        <is>
          <t>Business to Business, Business to Government, Business to Schools</t>
        </is>
      </c>
      <c r="T698" s="1" t="inlineStr">
        <is>
          <t>Corporate Training, Lifelong learning/Adult education, Vocational Education and Training (VET), Higher Education</t>
        </is>
      </c>
      <c r="U698" s="1" t="inlineStr">
        <is>
          <t>Student interfacing, Teacher interfacing, System/Administrative</t>
        </is>
      </c>
      <c r="V698" s="1" t="inlineStr">
        <is>
          <t>Global Sustainability Project Bootcamp</t>
        </is>
      </c>
      <c r="W698" s="1" t="inlineStr">
        <is>
          <t>With every fully-virtual extracurricular Bootcamp we provide hundreds of higher ed students – from diverse disciplines and institutions – with the chance to collaboratively tackle globally diverse sustainability challenges. During the ~40 experiential learning hours across 3-5 days, all students the chance to engage with dozens of community representatives, experts and educators from all around the world.
Our Bootcamp helps students develop “21st century” skills while they learn, through guided experience, how to bring their knowledge and skills to bear tackling sustainability challenges they’re passionate about.</t>
        </is>
      </c>
      <c r="X698" s="10" t="inlineStr">
        <is>
          <t>Global Sustainability Project Course</t>
        </is>
      </c>
      <c r="Y698" t="inlineStr">
        <is>
          <t>With every iteration of our credit-bearing university Course, we provide hundreds of higher ed students with the chance to collaboratively tackle globally diverse sustainability challenges. During the ~120 experiential learning hours across ~12 weeks, all students the chance to engage with dozens of community representatives, experts and educators from all around the world.
Our Course helps students develop “21st century” skills while they learn, through guided experience, how to bring their knowledge and skills to bear tackling sustainability challenges they’re passionate about.</t>
        </is>
      </c>
      <c r="Z698" s="1" t="inlineStr">
        <is>
          <t>https://drive.google.com/uc?export=view&amp;id=12Z7miOyTApH50j1IAoZrG44YweMW_ci4</t>
        </is>
      </c>
      <c r="AA698" s="1" t="inlineStr">
        <is>
          <t>Unverified</t>
        </is>
      </c>
      <c r="AB698" s="1" t="n"/>
      <c r="AC698" s="1" t="n"/>
      <c r="AD698" s="10" t="n"/>
      <c r="AE698" s="1" t="n"/>
      <c r="AF698" t="inlineStr">
        <is>
          <t>Yes</t>
        </is>
      </c>
      <c r="AG698" t="inlineStr">
        <is>
          <t>https://www.linkedin.com/company/htctw</t>
        </is>
      </c>
      <c r="AH698" t="inlineStr">
        <is>
          <t>https://www.linkedin.com/company/htctw</t>
        </is>
      </c>
      <c r="AI698" t="inlineStr">
        <is>
          <t>https://www.linkedin.com/company/htctw</t>
        </is>
      </c>
    </row>
    <row r="699" ht="12.5" customHeight="1">
      <c r="A699" s="6" t="n">
        <v>45181</v>
      </c>
      <c r="B699" s="1" t="inlineStr">
        <is>
          <t>ORG_1914</t>
        </is>
      </c>
      <c r="C699" s="1" t="b">
        <v>1</v>
      </c>
      <c r="D699" s="10" t="inlineStr">
        <is>
          <t>Manual.to</t>
        </is>
      </c>
      <c r="E699" s="10" t="inlineStr">
        <is>
          <t>https://manual.to</t>
        </is>
      </c>
      <c r="F699" t="inlineStr">
        <is>
          <t>manual.to</t>
        </is>
      </c>
      <c r="G699" s="1" t="inlineStr">
        <is>
          <t>Manual.to offers the fastest, simplest way to create appealing how-to guides. This way, people instantly learn with snackable video in over 100 languages.</t>
        </is>
      </c>
      <c r="H699" s="1" t="inlineStr">
        <is>
          <t>edtechstation</t>
        </is>
      </c>
      <c r="I699" s="1" t="inlineStr">
        <is>
          <t>All</t>
        </is>
      </c>
      <c r="J699" s="1" t="inlineStr">
        <is>
          <t>Gent</t>
        </is>
      </c>
      <c r="K699" t="inlineStr">
        <is>
          <t>Gent</t>
        </is>
      </c>
      <c r="L699" t="inlineStr">
        <is>
          <t>Gent, Belgium</t>
        </is>
      </c>
      <c r="M699" t="n">
        <v>51.0538286</v>
      </c>
      <c r="N699" t="n">
        <v>3.7250121</v>
      </c>
      <c r="O699" s="1" t="inlineStr">
        <is>
          <t>Belgium</t>
        </is>
      </c>
      <c r="P699" s="1" t="inlineStr">
        <is>
          <t>Austria, Belgium, Denmark, Finland, France, Germany, Ireland, Italy, Luxembourg, Netherlands, Norway, Poland, Portugal, Spain, Sweden, Switzerland, Turkey, United Kingdom</t>
        </is>
      </c>
      <c r="Q699" s="1" t="inlineStr">
        <is>
          <t>11 to 50</t>
        </is>
      </c>
      <c r="R699" t="inlineStr">
        <is>
          <t>Small</t>
        </is>
      </c>
      <c r="S699" s="1" t="inlineStr">
        <is>
          <t>Business to Business, Business to Schools</t>
        </is>
      </c>
      <c r="T699" s="1" t="inlineStr">
        <is>
          <t>Secondary Education, Corporate Training, Lifelong learning/Adult education, Vocational Education and Training (VET)</t>
        </is>
      </c>
      <c r="U699" s="1" t="inlineStr">
        <is>
          <t>Teacher interfacing, System/Administrative</t>
        </is>
      </c>
      <c r="V699" s="10" t="inlineStr">
        <is>
          <t>Manual.to</t>
        </is>
      </c>
      <c r="W699" s="10" t="inlineStr">
        <is>
          <t>The easiest way to create effective how-to guides. With video, in over 100 languages, shared as a QR code or URL</t>
        </is>
      </c>
      <c r="X699" s="10" t="inlineStr">
        <is>
          <t>https://drive.google.com/uc?export=view&amp;id=1Edo0DjlUeOht48soxKOBcXX1V6XHiFQT</t>
        </is>
      </c>
      <c r="Y699" t="inlineStr">
        <is>
          <t>https://drive.google.com/uc?export=view&amp;id=1Edo0DjlUeOht48soxKOBcXX1V6XHiFQT</t>
        </is>
      </c>
      <c r="Z699" s="10" t="inlineStr">
        <is>
          <t>https://drive.google.com/uc?export=view&amp;id=1Edo0DjlUeOht48soxKOBcXX1V6XHiFQT</t>
        </is>
      </c>
      <c r="AA699" s="1" t="inlineStr">
        <is>
          <t>Unverified</t>
        </is>
      </c>
      <c r="AB699" s="1" t="n"/>
      <c r="AC699" s="1" t="n"/>
      <c r="AD699" s="10" t="n"/>
      <c r="AE699" s="1" t="n"/>
      <c r="AF699" t="inlineStr">
        <is>
          <t>Yes</t>
        </is>
      </c>
      <c r="AG699" t="inlineStr">
        <is>
          <t>https://www.instagram.com/manual.to/</t>
        </is>
      </c>
      <c r="AH699" t="inlineStr">
        <is>
          <t>https://twitter.com/manual_to</t>
        </is>
      </c>
      <c r="AI699" t="inlineStr">
        <is>
          <t>https://linkedin.com/company/manual.to</t>
        </is>
      </c>
    </row>
    <row r="700" ht="12.5" customHeight="1">
      <c r="A700" s="6" t="n">
        <v>45181</v>
      </c>
      <c r="B700" s="1" t="inlineStr">
        <is>
          <t>ORG_2533</t>
        </is>
      </c>
      <c r="C700" s="1" t="b">
        <v>1</v>
      </c>
      <c r="D700" s="1" t="inlineStr">
        <is>
          <t>WiKIT</t>
        </is>
      </c>
      <c r="E700" s="10" t="inlineStr">
        <is>
          <t>www.wikit.no</t>
        </is>
      </c>
      <c r="F700" t="inlineStr">
        <is>
          <t>wikit.no</t>
        </is>
      </c>
      <c r="G700" s="1" t="inlineStr">
        <is>
          <t>A university spin-out supporting EdTech companies to be evidence-based.</t>
        </is>
      </c>
      <c r="H700" s="1" t="inlineStr">
        <is>
          <t>I'm not part of any EdTech association</t>
        </is>
      </c>
      <c r="I700" s="1" t="n"/>
      <c r="J700" s="1" t="inlineStr">
        <is>
          <t>Sandnes</t>
        </is>
      </c>
      <c r="K700" t="inlineStr">
        <is>
          <t>Sandnes</t>
        </is>
      </c>
      <c r="L700" t="inlineStr">
        <is>
          <t>Sandnes, Norway</t>
        </is>
      </c>
      <c r="M700" t="n">
        <v>58.9831321</v>
      </c>
      <c r="N700" t="n">
        <v>6.394641</v>
      </c>
      <c r="O700" s="1" t="inlineStr">
        <is>
          <t>Norway</t>
        </is>
      </c>
      <c r="P700" s="1" t="inlineStr">
        <is>
          <t>Finland, Germany, Norway, United Kingdom</t>
        </is>
      </c>
      <c r="Q700" s="1" t="inlineStr">
        <is>
          <t>0 to 2</t>
        </is>
      </c>
      <c r="R700" t="inlineStr">
        <is>
          <t>Solo entrepreneur</t>
        </is>
      </c>
      <c r="S700" s="1" t="inlineStr">
        <is>
          <t>Business to Business, Business to Consumer</t>
        </is>
      </c>
      <c r="T700" s="1" t="inlineStr">
        <is>
          <t>Early childhood development (0-5 years), Primary Education, Secondary Education, Corporate Training, Lifelong learning/Adult education, Vocational Education and Training (VET), Higher Education</t>
        </is>
      </c>
      <c r="U700" s="1" t="inlineStr">
        <is>
          <t>System/Administrative, Student interfacing</t>
        </is>
      </c>
      <c r="V700" s="1" t="inlineStr">
        <is>
          <t>Support with Evidence and Impact measurements</t>
        </is>
      </c>
      <c r="W700" s="1" t="inlineStr">
        <is>
          <t>https://drive.google.com/uc?export=view&amp;id=1FAZOQHiO9IquKJx9QLw5NUhuHjwksvIG</t>
        </is>
      </c>
      <c r="X700" s="1" t="inlineStr">
        <is>
          <t>Mentorship &amp; workshops in EdTech Evidence Evaluations</t>
        </is>
      </c>
      <c r="Y700" t="inlineStr">
        <is>
          <t>https://drive.google.com/uc?export=view&amp;id=1FAZOQHiO9IquKJx9QLw5NUhuHjwksvIG</t>
        </is>
      </c>
      <c r="Z700" s="1" t="inlineStr">
        <is>
          <t>https://drive.google.com/uc?export=view&amp;id=1FAZOQHiO9IquKJx9QLw5NUhuHjwksvIG</t>
        </is>
      </c>
      <c r="AA700" s="1" t="inlineStr">
        <is>
          <t>Unverified</t>
        </is>
      </c>
      <c r="AB700" s="1" t="n"/>
      <c r="AC700" s="1" t="n"/>
      <c r="AD700" s="10" t="n"/>
      <c r="AE700" s="1" t="n"/>
      <c r="AF700" t="inlineStr">
        <is>
          <t>No</t>
        </is>
      </c>
    </row>
    <row r="701" ht="12.5" customHeight="1">
      <c r="A701" s="6" t="n">
        <v>45181</v>
      </c>
      <c r="B701" s="1" t="inlineStr">
        <is>
          <t>ORG_2048</t>
        </is>
      </c>
      <c r="C701" s="1" t="b">
        <v>1</v>
      </c>
      <c r="D701" s="1" t="inlineStr">
        <is>
          <t>nu.Education</t>
        </is>
      </c>
      <c r="E701" s="10" t="inlineStr">
        <is>
          <t>https://nu.education/en/</t>
        </is>
      </c>
      <c r="F701" t="inlineStr">
        <is>
          <t>nu.education/en</t>
        </is>
      </c>
      <c r="G701" s="1" t="inlineStr">
        <is>
          <t>nu. is an AI-based learning platform that combines cutting-edge technology with educational expertise to create an unparalleled learning environment. The comprehensive cloud-based platform harnesses the power of artificial intelligence to deliver a transformative learning experience through real-time data analytics, progress tracking, and adaptive content. Whether you're a student, educator, educational institution or organization, nu. offers a comprehensive suite of features and enhances personalized learning paths, AI-powered interactive content creation, collaboration tools and real-time progress tracking to help learners reach their full potential. Experience the future of learning with nu.</t>
        </is>
      </c>
      <c r="H701" s="1" t="inlineStr">
        <is>
          <t>Swiss EdTech Collider</t>
        </is>
      </c>
      <c r="I701" s="1" t="n"/>
      <c r="J701" s="1" t="inlineStr">
        <is>
          <t>Zurich</t>
        </is>
      </c>
      <c r="K701" t="inlineStr">
        <is>
          <t>Zurich</t>
        </is>
      </c>
      <c r="L701" t="inlineStr">
        <is>
          <t>Zurich, Switzerland</t>
        </is>
      </c>
      <c r="M701" t="n">
        <v>47.3744489</v>
      </c>
      <c r="N701" t="n">
        <v>8.5410422</v>
      </c>
      <c r="O701" s="1" t="inlineStr">
        <is>
          <t>Switzerland</t>
        </is>
      </c>
      <c r="P701" s="1" t="inlineStr">
        <is>
          <t>Austria, Germany, Switzerland</t>
        </is>
      </c>
      <c r="Q701" s="1" t="inlineStr">
        <is>
          <t>11 to 50</t>
        </is>
      </c>
      <c r="R701" t="inlineStr">
        <is>
          <t>Small</t>
        </is>
      </c>
      <c r="S701" s="1" t="inlineStr">
        <is>
          <t>Business to Business, Business to Government, Business to Schools</t>
        </is>
      </c>
      <c r="T701" s="1" t="inlineStr">
        <is>
          <t>Secondary Education, Corporate Training, Lifelong learning/Adult education, Vocational Education and Training (VET), Higher Education</t>
        </is>
      </c>
      <c r="U701" s="1" t="inlineStr">
        <is>
          <t>System/Administrative, Student interfacing, Teacher interfacing</t>
        </is>
      </c>
      <c r="V701" s="1" t="inlineStr">
        <is>
          <t>nu.Learning &amp; nu.Assessment</t>
        </is>
      </c>
      <c r="W701" s="1" t="inlineStr">
        <is>
          <t>nu.Education is a competence-oriented learning platform, which was developed together with experts from the education sector. It supports teachers in the creation of their digital lessons and relieves them significantly on administrative tasks, leaving more time for the essentials - teaching.
Our Learning Management System (LMS) offers a scalable interface and comprehensive features. It is designed to adapt to the latest requirements of educational institutions and to continuously evolve according to needs.
With our exam tool, learners can successfully complete their exams on any device - laptop, tablet, or smartphone. Our biometric authentication ensures that only authenticated learners can access the exam.</t>
        </is>
      </c>
      <c r="X701" s="10" t="inlineStr">
        <is>
          <t>nu.SkillManager</t>
        </is>
      </c>
      <c r="Y701" t="inlineStr">
        <is>
          <t>Our Skill Manager is directly connected to the LMS and optimally supports competency-based learning. The skills acquired by the learners are evaluated, analyzed and later compared with selected professional profiles.</t>
        </is>
      </c>
      <c r="Z701" s="1" t="inlineStr">
        <is>
          <t>https://drive.google.com/uc?export=view&amp;id=1lZ1yoKy6bYNndybS86Zq6okGiGBwPDFp</t>
        </is>
      </c>
      <c r="AA701" s="1" t="inlineStr">
        <is>
          <t>Unverified</t>
        </is>
      </c>
      <c r="AB701" s="1" t="n"/>
      <c r="AC701" s="1" t="n"/>
      <c r="AD701" s="10" t="n"/>
      <c r="AE701" s="1" t="n"/>
      <c r="AF701" t="inlineStr">
        <is>
          <t>Yes</t>
        </is>
      </c>
      <c r="AG701" t="inlineStr">
        <is>
          <t>NU Technology AG</t>
        </is>
      </c>
      <c r="AH701" t="inlineStr">
        <is>
          <t>NU Technology AG</t>
        </is>
      </c>
      <c r="AI701" t="inlineStr">
        <is>
          <t>https://ch.linkedin.com/company/nutechnologyag</t>
        </is>
      </c>
    </row>
    <row r="702" ht="12.5" customHeight="1">
      <c r="A702" s="6" t="n">
        <v>45181</v>
      </c>
      <c r="B702" s="1" t="inlineStr">
        <is>
          <t>ORG_1748</t>
        </is>
      </c>
      <c r="C702" s="1" t="b">
        <v>1</v>
      </c>
      <c r="D702" s="1" t="inlineStr">
        <is>
          <t>ITonlinelearning</t>
        </is>
      </c>
      <c r="E702" s="10" t="inlineStr">
        <is>
          <t>https://www.itonlinelearning.com/</t>
        </is>
      </c>
      <c r="F702" t="inlineStr">
        <is>
          <t>itonlinelearning.com</t>
        </is>
      </c>
      <c r="G702" s="1" t="inlineStr">
        <is>
          <t>The UK's leading provider of project management, business analysis, and IT training courses.</t>
        </is>
      </c>
      <c r="H702" s="1" t="inlineStr">
        <is>
          <t>I'm not part of any EdTech association</t>
        </is>
      </c>
      <c r="I702" s="1" t="n"/>
      <c r="J702" s="1" t="inlineStr">
        <is>
          <t>Sittingbourne</t>
        </is>
      </c>
      <c r="K702" t="inlineStr">
        <is>
          <t>Sittingbourne</t>
        </is>
      </c>
      <c r="L702" t="inlineStr">
        <is>
          <t>Sittingbourne, United Kingdom</t>
        </is>
      </c>
      <c r="M702" t="n">
        <v>51.3397366</v>
      </c>
      <c r="N702" t="n">
        <v>0.7342319</v>
      </c>
      <c r="O702" s="1" t="inlineStr">
        <is>
          <t>United Kingdom</t>
        </is>
      </c>
      <c r="P702" s="1" t="inlineStr">
        <is>
          <t>United Kingdom</t>
        </is>
      </c>
      <c r="Q702" s="1" t="inlineStr">
        <is>
          <t>11 to 50</t>
        </is>
      </c>
      <c r="R702" t="inlineStr">
        <is>
          <t>Small</t>
        </is>
      </c>
      <c r="S702" s="1" t="inlineStr">
        <is>
          <t>Business to Business, Business to Consumer</t>
        </is>
      </c>
      <c r="T702" s="1" t="inlineStr">
        <is>
          <t>Higher Education, Corporate Training, Lifelong learning/Adult education</t>
        </is>
      </c>
      <c r="U702" s="1" t="inlineStr">
        <is>
          <t>Student interfacing, System/Administrative</t>
        </is>
      </c>
      <c r="V702" s="1" t="n"/>
      <c r="W702" s="1" t="inlineStr">
        <is>
          <t>https://drive.google.com/uc?export=view&amp;id=1fSIgWrBfJVoZRdiFw-kIUiW97k6ySVQU</t>
        </is>
      </c>
      <c r="X702" s="1" t="inlineStr">
        <is>
          <t>https://drive.google.com/uc?export=view&amp;id=1fSIgWrBfJVoZRdiFw-kIUiW97k6ySVQU</t>
        </is>
      </c>
      <c r="Y702" t="inlineStr">
        <is>
          <t>https://drive.google.com/uc?export=view&amp;id=1fSIgWrBfJVoZRdiFw-kIUiW97k6ySVQU</t>
        </is>
      </c>
      <c r="Z702" s="1" t="inlineStr">
        <is>
          <t>https://drive.google.com/uc?export=view&amp;id=1fSIgWrBfJVoZRdiFw-kIUiW97k6ySVQU</t>
        </is>
      </c>
      <c r="AA702" s="1" t="inlineStr">
        <is>
          <t>Unverified</t>
        </is>
      </c>
      <c r="AB702" s="1" t="n"/>
      <c r="AC702" s="1" t="n"/>
      <c r="AD702" s="10" t="n"/>
      <c r="AE702" s="1" t="n"/>
      <c r="AF702" t="inlineStr">
        <is>
          <t>No</t>
        </is>
      </c>
    </row>
    <row r="703" ht="12.5" customHeight="1">
      <c r="A703" s="6" t="n">
        <v>45181</v>
      </c>
      <c r="B703" s="1" t="inlineStr">
        <is>
          <t>ORG_1704</t>
        </is>
      </c>
      <c r="C703" s="1" t="b">
        <v>1</v>
      </c>
      <c r="D703" s="1" t="inlineStr">
        <is>
          <t>ICS Learn</t>
        </is>
      </c>
      <c r="E703" s="10" t="inlineStr">
        <is>
          <t>https://www.icslearn.co.uk/</t>
        </is>
      </c>
      <c r="F703" t="inlineStr">
        <is>
          <t>icslearn.co.uk</t>
        </is>
      </c>
      <c r="G703" s="1" t="inlineStr">
        <is>
          <t>ICS Learn is one of the UK's longest established providers of e-learning courses for learners who are looking to develop their professional skills.</t>
        </is>
      </c>
      <c r="H703" s="1" t="inlineStr">
        <is>
          <t>I'm not part of any EdTech association</t>
        </is>
      </c>
      <c r="I703" s="1" t="n"/>
      <c r="J703" s="1" t="inlineStr">
        <is>
          <t>Glasgow</t>
        </is>
      </c>
      <c r="K703" t="inlineStr">
        <is>
          <t>Glasgow</t>
        </is>
      </c>
      <c r="L703" t="inlineStr">
        <is>
          <t>Glasgow, United Kingdom</t>
        </is>
      </c>
      <c r="M703" t="n">
        <v>55.861155</v>
      </c>
      <c r="N703" t="n">
        <v>-4.2501687</v>
      </c>
      <c r="O703" s="1" t="inlineStr">
        <is>
          <t>United Kingdom</t>
        </is>
      </c>
      <c r="P703" s="1" t="inlineStr">
        <is>
          <t>United Kingdom</t>
        </is>
      </c>
      <c r="Q703" s="1" t="inlineStr">
        <is>
          <t>100+</t>
        </is>
      </c>
      <c r="R703" t="inlineStr">
        <is>
          <t>Medium or Large (unspecified)</t>
        </is>
      </c>
      <c r="S703" s="1" t="inlineStr">
        <is>
          <t>Business to Business, Business to Consumer</t>
        </is>
      </c>
      <c r="T703" s="1" t="inlineStr">
        <is>
          <t>Higher Education, Corporate Training, Lifelong learning/Adult education</t>
        </is>
      </c>
      <c r="U703" s="1" t="inlineStr">
        <is>
          <t>Student interfacing, System/Administrative</t>
        </is>
      </c>
      <c r="V703" s="1" t="n"/>
      <c r="W703" s="1" t="inlineStr">
        <is>
          <t>https://drive.google.com/uc?export=view&amp;id=1aAj9hyIAjm9CsSy_hITU-vPOjjcjfUYo</t>
        </is>
      </c>
      <c r="X703" s="1" t="inlineStr">
        <is>
          <t>https://drive.google.com/uc?export=view&amp;id=1aAj9hyIAjm9CsSy_hITU-vPOjjcjfUYo</t>
        </is>
      </c>
      <c r="Y703" t="inlineStr">
        <is>
          <t>https://drive.google.com/uc?export=view&amp;id=1aAj9hyIAjm9CsSy_hITU-vPOjjcjfUYo</t>
        </is>
      </c>
      <c r="Z703" s="1" t="inlineStr">
        <is>
          <t>https://drive.google.com/uc?export=view&amp;id=1aAj9hyIAjm9CsSy_hITU-vPOjjcjfUYo</t>
        </is>
      </c>
      <c r="AA703" s="1" t="inlineStr">
        <is>
          <t>Unverified</t>
        </is>
      </c>
      <c r="AB703" s="1" t="n"/>
      <c r="AC703" s="1" t="n"/>
      <c r="AD703" s="10" t="n"/>
      <c r="AE703" s="1" t="n"/>
      <c r="AF703" t="inlineStr">
        <is>
          <t>No</t>
        </is>
      </c>
    </row>
    <row r="704" ht="12.5" customHeight="1">
      <c r="A704" s="6" t="n">
        <v>45181</v>
      </c>
      <c r="B704" s="1" t="inlineStr">
        <is>
          <t>ORG_2376</t>
        </is>
      </c>
      <c r="C704" s="1" t="b">
        <v>1</v>
      </c>
      <c r="D704" s="1" t="inlineStr">
        <is>
          <t>teamazing</t>
        </is>
      </c>
      <c r="E704" s="10" t="inlineStr">
        <is>
          <t>www.teamazing.com</t>
        </is>
      </c>
      <c r="F704" t="inlineStr">
        <is>
          <t>teamazing.com</t>
        </is>
      </c>
      <c r="G704" s="1" t="inlineStr">
        <is>
          <t>teamazing is an innovative service and IT scaleup in the field of team development, specializing in remote work and gamification. Customers like Google, Microsoft, TikTok and IBM trust in teamazing's solutions.</t>
        </is>
      </c>
      <c r="H704" s="1" t="inlineStr">
        <is>
          <t>EdTech Austria</t>
        </is>
      </c>
      <c r="I704" s="1" t="n"/>
      <c r="J704" s="1" t="inlineStr">
        <is>
          <t>Graz</t>
        </is>
      </c>
      <c r="K704" t="inlineStr">
        <is>
          <t>Graz</t>
        </is>
      </c>
      <c r="L704" t="inlineStr">
        <is>
          <t>Graz, Austria</t>
        </is>
      </c>
      <c r="M704" t="n">
        <v>47.0708678</v>
      </c>
      <c r="N704" t="n">
        <v>15.4382786</v>
      </c>
      <c r="O704" s="1" t="inlineStr">
        <is>
          <t>Austria</t>
        </is>
      </c>
      <c r="P704" s="1" t="inlineStr">
        <is>
          <t>Austria, Belarus, Belgium, Bosnia and Herzegovina, Bulgaria, Croatia, Cyprus, Czechia, Denmark, Estonia, Finland, France, Germany, Greece, Hungary, Iceland, Ireland, Italy, Latvia, Liechtenstein, Lithuania, Luxembourg, Malta, Montenegro, Netherlands, Norway, Poland, Portugal, Romania, Serbia, Slovakia, Slovenia, Spain, Sweden, Switzerland, Turkey, Ukraine, United Kingdom</t>
        </is>
      </c>
      <c r="Q704" s="1" t="inlineStr">
        <is>
          <t>11 to 50</t>
        </is>
      </c>
      <c r="R704" t="inlineStr">
        <is>
          <t>Small</t>
        </is>
      </c>
      <c r="S704" s="1" t="inlineStr">
        <is>
          <t>Business to Business</t>
        </is>
      </c>
      <c r="T704" s="1" t="inlineStr">
        <is>
          <t>Higher Education, Corporate Training</t>
        </is>
      </c>
      <c r="U704" s="1" t="inlineStr">
        <is>
          <t>System/Administrative</t>
        </is>
      </c>
      <c r="V704" s="10" t="inlineStr">
        <is>
          <t>Online Team Building</t>
        </is>
      </c>
      <c r="W704" s="10" t="inlineStr">
        <is>
          <t>We build your team. You play. ♥️
We create extraordinary Virtual Team Building Events to celebrate team culture. Be part of the Spaceship-Crew, travel the world in our Team Travel Quiz, or master the mini-games in the Online Team Challenge.</t>
        </is>
      </c>
      <c r="X704" s="10" t="inlineStr">
        <is>
          <t>Remote Workspace</t>
        </is>
      </c>
      <c r="Y704" t="inlineStr">
        <is>
          <t>Use Remote or Hybrid Work to your advantage and implement proven tactics to make it natural. It is not just about the tools, it’s about how and when you use them. Especially in an online context, there is a need for a well-running remote system. Together, we find and implement bullet-proof solutions from and for industry experts.
Evaluation: Together we examine your current state and potential improvements.
Advisory: We advise and consult on the improvements and plan the next steps.
Set-Up: We take the hassle and get everything ready depending on your needs.
Implementation: We roll out needed solutions and make them fit.
Acceptance: We bring acceptance to your employees and guide them.
Feedback: We measure what matters, adapt and improve.</t>
        </is>
      </c>
      <c r="Z704" s="1" t="inlineStr">
        <is>
          <t>https://drive.google.com/uc?export=view&amp;id=19swaHVvHb3WCDVuIiIn7Kp016RE0o_Sc</t>
        </is>
      </c>
      <c r="AA704" s="1" t="inlineStr">
        <is>
          <t>Unverified</t>
        </is>
      </c>
      <c r="AB704" s="1" t="n"/>
      <c r="AC704" s="1" t="n"/>
      <c r="AD704" s="10" t="n"/>
      <c r="AE704" s="1" t="n"/>
      <c r="AF704" s="1" t="inlineStr">
        <is>
          <t>Yes</t>
        </is>
      </c>
      <c r="AG704" s="1" t="inlineStr">
        <is>
          <t>https://www.instagram.com/teamazing.events/</t>
        </is>
      </c>
      <c r="AH704" s="1" t="inlineStr">
        <is>
          <t>https://twitter.com/teamazing_com</t>
        </is>
      </c>
      <c r="AI704" t="inlineStr">
        <is>
          <t>https://www.linkedin.com/company/teamazing-gmbh</t>
        </is>
      </c>
    </row>
    <row r="705" ht="12.5" customHeight="1">
      <c r="A705" s="6" t="n">
        <v>45181</v>
      </c>
      <c r="B705" s="1" t="inlineStr">
        <is>
          <t>ORG_1077</t>
        </is>
      </c>
      <c r="C705" s="1" t="b">
        <v>1</v>
      </c>
      <c r="D705" s="1" t="inlineStr">
        <is>
          <t>Anue</t>
        </is>
      </c>
      <c r="E705" s="1" t="inlineStr">
        <is>
          <t>anue.eu</t>
        </is>
      </c>
      <c r="F705" t="inlineStr">
        <is>
          <t>anue.eu</t>
        </is>
      </c>
      <c r="G705" s="1" t="inlineStr">
        <is>
          <t>Anue is the machete that helps prospective students through the dense jungle of information on their way to life as a student. Thanks to our algorithmic matching mechanism we identify the perfect degree, environment and university for each one of our tens of thousands of users.
No need to scour through dozens of less than well designed university websites. With Anue all you need is a phone and 10 minutes of time to find the educational path that is right for you.</t>
        </is>
      </c>
      <c r="H705" s="1" t="inlineStr">
        <is>
          <t>I'm not part of any EdTech association</t>
        </is>
      </c>
      <c r="I705" s="1" t="n"/>
      <c r="J705" s="1" t="inlineStr">
        <is>
          <t>Berlin</t>
        </is>
      </c>
      <c r="K705" t="inlineStr">
        <is>
          <t>Berlin</t>
        </is>
      </c>
      <c r="L705" t="inlineStr">
        <is>
          <t>Berlin, Germany</t>
        </is>
      </c>
      <c r="M705" t="n">
        <v>52.5173885</v>
      </c>
      <c r="N705" t="n">
        <v>13.3951309</v>
      </c>
      <c r="O705" s="1" t="inlineStr">
        <is>
          <t>Germany</t>
        </is>
      </c>
      <c r="P705" s="1" t="inlineStr">
        <is>
          <t>Germany</t>
        </is>
      </c>
      <c r="Q705" s="1" t="inlineStr">
        <is>
          <t>0 to 10</t>
        </is>
      </c>
      <c r="R705" t="inlineStr">
        <is>
          <t>Micro</t>
        </is>
      </c>
      <c r="S705" s="1" t="inlineStr">
        <is>
          <t>Business to Business</t>
        </is>
      </c>
      <c r="T705" s="1" t="inlineStr">
        <is>
          <t>Higher Education</t>
        </is>
      </c>
      <c r="U705" s="1" t="inlineStr">
        <is>
          <t>System/Administrative, Student interfacing, Teacher interfacing</t>
        </is>
      </c>
      <c r="V705" s="1" t="n"/>
      <c r="W705" s="1" t="inlineStr">
        <is>
          <t>https://drive.google.com/uc?export=view&amp;id=1-R51MtZHmElVVSgiZnftLpeFicoOSzFZ</t>
        </is>
      </c>
      <c r="X705" s="1" t="inlineStr">
        <is>
          <t>https://drive.google.com/uc?export=view&amp;id=1-R51MtZHmElVVSgiZnftLpeFicoOSzFZ</t>
        </is>
      </c>
      <c r="Y705" t="inlineStr">
        <is>
          <t>https://drive.google.com/uc?export=view&amp;id=1-R51MtZHmElVVSgiZnftLpeFicoOSzFZ</t>
        </is>
      </c>
      <c r="Z705" s="1" t="inlineStr">
        <is>
          <t>https://drive.google.com/uc?export=view&amp;id=1-R51MtZHmElVVSgiZnftLpeFicoOSzFZ</t>
        </is>
      </c>
      <c r="AA705" s="1" t="inlineStr">
        <is>
          <t>Unverified</t>
        </is>
      </c>
      <c r="AB705" s="1" t="n"/>
      <c r="AC705" s="1" t="n"/>
      <c r="AD705" s="10" t="n"/>
      <c r="AE705" s="1" t="n"/>
      <c r="AF705" s="1" t="inlineStr">
        <is>
          <t>No</t>
        </is>
      </c>
      <c r="AG705" s="1" t="n"/>
      <c r="AH705" s="1" t="n"/>
    </row>
    <row r="706" ht="12.5" customHeight="1">
      <c r="A706" s="6" t="n">
        <v>45181</v>
      </c>
      <c r="B706" s="1" t="inlineStr">
        <is>
          <t>ORG_1348</t>
        </is>
      </c>
      <c r="C706" s="1" t="b">
        <v>1</v>
      </c>
      <c r="D706" s="1" t="inlineStr">
        <is>
          <t>Didask</t>
        </is>
      </c>
      <c r="E706" s="10" t="inlineStr">
        <is>
          <t>https://www.didask.com</t>
        </is>
      </c>
      <c r="F706" t="inlineStr">
        <is>
          <t>didask.com</t>
        </is>
      </c>
      <c r="G706" s="1" t="inlineStr">
        <is>
          <t>Didask is the LMS which takes into account the real challenges of learning and allows to create 10 x faster impactful eLearning!
A complete platform, Didask draws its pedagogical effectiveness from its expertise in cognitive sciences. Its methodology takes into account the cognitive challenges of learners to propose the most effective teaching methods for each context.
Didask joins the 1st pedagogical Artificial Intelligence. In just a few minutes, it makes it possible to transform raw content into an efficient eLearning module, ready to use without any formatting work. Each time, she selects the most appropriate teaching methods and then personalizes the experience for each learner (adaptive learning).
Didask is accessible as a complete LMS platform (design, distribution, administration) or as an extension of an existing LMS.</t>
        </is>
      </c>
      <c r="H706" s="1" t="inlineStr">
        <is>
          <t>EdTech France</t>
        </is>
      </c>
      <c r="I706" s="1" t="n"/>
      <c r="J706" s="1" t="inlineStr">
        <is>
          <t>Bagnolet</t>
        </is>
      </c>
      <c r="K706" t="inlineStr">
        <is>
          <t>Bagnolet</t>
        </is>
      </c>
      <c r="L706" t="inlineStr">
        <is>
          <t>Bagnolet, France</t>
        </is>
      </c>
      <c r="M706" t="n">
        <v>48.8688199</v>
      </c>
      <c r="N706" t="n">
        <v>2.4173658</v>
      </c>
      <c r="O706" s="1" t="inlineStr">
        <is>
          <t>France</t>
        </is>
      </c>
      <c r="P706" s="1" t="inlineStr">
        <is>
          <t>France, Switzerland</t>
        </is>
      </c>
      <c r="Q706" s="1" t="inlineStr">
        <is>
          <t>11 to 50</t>
        </is>
      </c>
      <c r="R706" t="inlineStr">
        <is>
          <t>Small</t>
        </is>
      </c>
      <c r="S706" s="1" t="inlineStr">
        <is>
          <t>Business to Business, Business to Consumer, Business to Schools</t>
        </is>
      </c>
      <c r="T706" s="1" t="inlineStr">
        <is>
          <t>Higher Education, Corporate Training, Lifelong learning/Adult education</t>
        </is>
      </c>
      <c r="U706" s="1" t="inlineStr">
        <is>
          <t>System/Administrative</t>
        </is>
      </c>
      <c r="V706" s="10" t="inlineStr">
        <is>
          <t>LMS Didask</t>
        </is>
      </c>
      <c r="W706" s="10" t="inlineStr">
        <is>
          <t>The full eLearning platform with integrated educational artificial intelligence, to design, disseminate and administer all its eLearning.
Also available as an extension for LMS.</t>
        </is>
      </c>
      <c r="X706" s="10" t="inlineStr">
        <is>
          <t>https://drive.google.com/uc?export=view&amp;id=1xUgM2EG9A1C7zxL4RD9iOPBD7r3cBsQs</t>
        </is>
      </c>
      <c r="Y706" t="inlineStr">
        <is>
          <t>https://drive.google.com/uc?export=view&amp;id=1xUgM2EG9A1C7zxL4RD9iOPBD7r3cBsQs</t>
        </is>
      </c>
      <c r="Z706" s="1" t="inlineStr">
        <is>
          <t>https://drive.google.com/uc?export=view&amp;id=1xUgM2EG9A1C7zxL4RD9iOPBD7r3cBsQs</t>
        </is>
      </c>
      <c r="AA706" s="1" t="inlineStr">
        <is>
          <t>Unverified</t>
        </is>
      </c>
      <c r="AB706" s="1" t="n"/>
      <c r="AC706" s="1" t="n"/>
      <c r="AD706" s="10" t="n"/>
      <c r="AE706" s="1" t="n"/>
      <c r="AF706" s="1" t="inlineStr">
        <is>
          <t>Yes</t>
        </is>
      </c>
      <c r="AG706" s="1" t="inlineStr">
        <is>
          <t>https://www.instagram.com/didask_learning/</t>
        </is>
      </c>
      <c r="AH706" s="1" t="inlineStr">
        <is>
          <t>https://twitter.com/Didask</t>
        </is>
      </c>
      <c r="AI706" t="inlineStr">
        <is>
          <t>https://www.linkedin.com/company/didask/</t>
        </is>
      </c>
    </row>
    <row r="707" ht="12.5" customHeight="1">
      <c r="A707" s="6" t="n">
        <v>45181</v>
      </c>
      <c r="B707" s="1" t="inlineStr">
        <is>
          <t>ORG_1871</t>
        </is>
      </c>
      <c r="C707" s="1" t="b">
        <v>1</v>
      </c>
      <c r="D707" s="1" t="inlineStr">
        <is>
          <t>LIFE Foundation</t>
        </is>
      </c>
      <c r="E707" s="10" t="inlineStr">
        <is>
          <t>LIFE.dk</t>
        </is>
      </c>
      <c r="F707" t="inlineStr">
        <is>
          <t>life.dk</t>
        </is>
      </c>
      <c r="G707" s="1" t="inlineStr">
        <is>
          <t>The LIFE Foundation is a Danish non-profit foundation with corporate interests. The foundation’s purpose is to strengthen scientific learning, education and research as well as promoting motivation among children and adolescents to engage themselves in natural science. 
The LIFE Foundation develops and offers enquiry-based science education courses free of charge for schools across all of Denmark. In a LIFE teaching course, the school class works hands-on with real-life cases that are developed together with businesses and research institutions. 
The LIFE Foundation is supported by the Novo Nordisk Foundation.</t>
        </is>
      </c>
      <c r="H707" s="1" t="inlineStr">
        <is>
          <t>EdTech Denmark</t>
        </is>
      </c>
      <c r="I707" s="1" t="n"/>
      <c r="J707" s="1" t="inlineStr">
        <is>
          <t>Kongens Lyngby</t>
        </is>
      </c>
      <c r="K707" t="inlineStr">
        <is>
          <t>Kongens Lyngby</t>
        </is>
      </c>
      <c r="L707" t="inlineStr">
        <is>
          <t>Kongens Lyngby, Denmark</t>
        </is>
      </c>
      <c r="M707" t="n">
        <v>55.7718649</v>
      </c>
      <c r="N707" t="n">
        <v>12.5051413</v>
      </c>
      <c r="O707" s="1" t="inlineStr">
        <is>
          <t>Denmark</t>
        </is>
      </c>
      <c r="P707" s="1" t="inlineStr">
        <is>
          <t>Denmark</t>
        </is>
      </c>
      <c r="Q707" s="1" t="inlineStr">
        <is>
          <t>51 to 100</t>
        </is>
      </c>
      <c r="R707" t="inlineStr">
        <is>
          <t>Medium</t>
        </is>
      </c>
      <c r="S707" s="1" t="inlineStr">
        <is>
          <t>Business to Schools</t>
        </is>
      </c>
      <c r="T707" s="1" t="inlineStr">
        <is>
          <t>Primary Education, Secondary Education</t>
        </is>
      </c>
      <c r="U707" s="1" t="inlineStr">
        <is>
          <t>Student interfacing, Teacher interfacing</t>
        </is>
      </c>
      <c r="V707" s="10" t="inlineStr">
        <is>
          <t>LIFE Courses</t>
        </is>
      </c>
      <c r="W707" s="10" t="inlineStr">
        <is>
          <t>We develop enquiry-based education courses and offer them free of charge to public and private schools throughout Denmark.
School classes work on LIFE natural science courses for up to 5 weeks before visiting (or being visited by) our labs.
In all LIFE natural science courses, school classes address and examine current societal challenges in ways that support the UN Sustainable Development Goals. 
All LIFE courses meet the schools’ learning objectives.
​
In the development of LIFE natural science courses, we cooperate with schools, companies and research institutions in order to work on real-life cases.</t>
        </is>
      </c>
      <c r="X707" s="10" t="inlineStr">
        <is>
          <t>https://drive.google.com/uc?export=view&amp;id=1-1qRhU9UQZAsKOszo-QFcgvJmxNLPkLH</t>
        </is>
      </c>
      <c r="Y707" t="inlineStr">
        <is>
          <t>https://drive.google.com/uc?export=view&amp;id=1-1qRhU9UQZAsKOszo-QFcgvJmxNLPkLH</t>
        </is>
      </c>
      <c r="Z707" s="1" t="inlineStr">
        <is>
          <t>https://drive.google.com/uc?export=view&amp;id=1-1qRhU9UQZAsKOszo-QFcgvJmxNLPkLH</t>
        </is>
      </c>
      <c r="AA707" s="1" t="inlineStr">
        <is>
          <t>Unverified</t>
        </is>
      </c>
      <c r="AB707" s="1" t="n"/>
      <c r="AC707" s="1" t="n"/>
      <c r="AD707" s="10" t="n"/>
      <c r="AE707" s="1" t="n"/>
      <c r="AF707" t="inlineStr">
        <is>
          <t>Yes</t>
        </is>
      </c>
      <c r="AG707" t="inlineStr">
        <is>
          <t>https://www.instagram.com/life_fonden/</t>
        </is>
      </c>
      <c r="AH707" t="inlineStr">
        <is>
          <t>https://twitter.com/LIFEFonden</t>
        </is>
      </c>
      <c r="AI707" t="inlineStr">
        <is>
          <t>https://www.linkedin.com/company/life-fonden/mycompany/</t>
        </is>
      </c>
    </row>
    <row r="708" ht="12.5" customHeight="1">
      <c r="A708" s="6" t="n">
        <v>45181</v>
      </c>
      <c r="B708" s="1" t="inlineStr">
        <is>
          <t>ORG_1019</t>
        </is>
      </c>
      <c r="C708" s="1" t="b">
        <v>1</v>
      </c>
      <c r="D708" s="1" t="inlineStr">
        <is>
          <t>A-Maze ApS</t>
        </is>
      </c>
      <c r="E708" s="10" t="inlineStr">
        <is>
          <t>http://a-mazego.dk/</t>
        </is>
      </c>
      <c r="F708" t="inlineStr">
        <is>
          <t>a-mazego.dk</t>
        </is>
      </c>
      <c r="G708" s="1" t="inlineStr">
        <is>
          <t>A-Maze promotes learning through movement with a timesaving, digital, and evidencebased plug'n'play game/platform.</t>
        </is>
      </c>
      <c r="H708" s="1" t="inlineStr">
        <is>
          <t>EdTech Denmark</t>
        </is>
      </c>
      <c r="I708" s="1" t="n"/>
      <c r="J708" s="1" t="inlineStr">
        <is>
          <t>Odense C</t>
        </is>
      </c>
      <c r="K708" t="inlineStr">
        <is>
          <t>Odense C</t>
        </is>
      </c>
      <c r="L708" t="inlineStr">
        <is>
          <t>Odense C, Denmark</t>
        </is>
      </c>
      <c r="M708" t="n">
        <v>55.3987262</v>
      </c>
      <c r="N708" t="n">
        <v>10.390772</v>
      </c>
      <c r="O708" s="1" t="inlineStr">
        <is>
          <t>Denmark</t>
        </is>
      </c>
      <c r="P708" s="1" t="inlineStr">
        <is>
          <t>Denmark</t>
        </is>
      </c>
      <c r="Q708" s="1" t="inlineStr">
        <is>
          <t>0 to 10</t>
        </is>
      </c>
      <c r="R708" t="inlineStr">
        <is>
          <t>Micro</t>
        </is>
      </c>
      <c r="S708" s="1" t="inlineStr">
        <is>
          <t>Business to Consumer, Business to Government</t>
        </is>
      </c>
      <c r="T708" s="1" t="inlineStr">
        <is>
          <t>Primary Education</t>
        </is>
      </c>
      <c r="U708" s="1" t="inlineStr">
        <is>
          <t>Student interfacing, Teacher interfacing</t>
        </is>
      </c>
      <c r="V708" s="1" t="inlineStr">
        <is>
          <t>A-Maze</t>
        </is>
      </c>
      <c r="W708" s="1" t="inlineStr">
        <is>
          <t>A-Maze promotes learning through movement with a timesaving, digital, and evidencebased plug'n'play game/platform.</t>
        </is>
      </c>
      <c r="X708" s="10" t="inlineStr">
        <is>
          <t>https://drive.google.com/uc?export=view&amp;id=1v9ikIee_AhwJ1kr-o8x42TE2LQq9Pge6</t>
        </is>
      </c>
      <c r="Y708" t="inlineStr">
        <is>
          <t>https://drive.google.com/uc?export=view&amp;id=1v9ikIee_AhwJ1kr-o8x42TE2LQq9Pge6</t>
        </is>
      </c>
      <c r="Z708" s="1" t="inlineStr">
        <is>
          <t>https://drive.google.com/uc?export=view&amp;id=1v9ikIee_AhwJ1kr-o8x42TE2LQq9Pge6</t>
        </is>
      </c>
      <c r="AA708" s="1" t="inlineStr">
        <is>
          <t>Unverified</t>
        </is>
      </c>
      <c r="AB708" s="1" t="n"/>
      <c r="AC708" s="1" t="n"/>
      <c r="AD708" s="10" t="n"/>
      <c r="AE708" s="1" t="n"/>
      <c r="AF708" t="inlineStr">
        <is>
          <t>Yes</t>
        </is>
      </c>
      <c r="AG708" t="inlineStr">
        <is>
          <t>https://www.linkedin.com/company/a-mazeaps/</t>
        </is>
      </c>
      <c r="AH708" t="inlineStr">
        <is>
          <t>https://www.linkedin.com/company/a-mazeaps/</t>
        </is>
      </c>
      <c r="AI708" t="inlineStr">
        <is>
          <t>https://www.linkedin.com/company/a-mazeaps/</t>
        </is>
      </c>
    </row>
    <row r="709" ht="12.5" customHeight="1">
      <c r="A709" s="6" t="n">
        <v>45181</v>
      </c>
      <c r="B709" s="1" t="inlineStr">
        <is>
          <t>ORG_1618</t>
        </is>
      </c>
      <c r="C709" s="1" t="b">
        <v>1</v>
      </c>
      <c r="D709" s="1" t="inlineStr">
        <is>
          <t>GeoGebra GmbH</t>
        </is>
      </c>
      <c r="E709" s="10" t="inlineStr">
        <is>
          <t>https://www.geogebra.org/</t>
        </is>
      </c>
      <c r="F709" t="inlineStr">
        <is>
          <t>geogebra.org</t>
        </is>
      </c>
      <c r="G709" s="1" t="inlineStr">
        <is>
          <t>GeoGebra is a dynamic mathematics software that offers innovative and engaging tools for teaching and learning mathematics. With its user-friendly interface and extensive features, GeoGebra empowers students and educators to explore and visualize mathematical concepts in a more interactive and intuitive way.
GeoGebra's products range from the classic GeoGebra Graphing Calculator to the advanced GeoGebra Math Apps, which include Geometry, Algebra, 3D Calculator, and more. These tools are available for desktop, tablet, and mobile devices, making it easy for eyerone to access and use them anytime, anywhere.
GeoGebra is trusted by millions of users around the world, from K-12 schools to universities and beyond. Its comprehensive and versatile suite of products has been used in various settings, from traditional classrooms to remote learning environments.</t>
        </is>
      </c>
      <c r="H709" s="1" t="inlineStr">
        <is>
          <t>I'm not part of any EdTech association</t>
        </is>
      </c>
      <c r="I709" s="1" t="n"/>
      <c r="J709" s="1" t="inlineStr">
        <is>
          <t>Linz</t>
        </is>
      </c>
      <c r="K709" t="inlineStr">
        <is>
          <t>Linz</t>
        </is>
      </c>
      <c r="L709" t="inlineStr">
        <is>
          <t>Linz, Austria</t>
        </is>
      </c>
      <c r="M709" t="n">
        <v>48.3059078</v>
      </c>
      <c r="N709" t="n">
        <v>14.286198</v>
      </c>
      <c r="O709" s="1" t="inlineStr">
        <is>
          <t>Austria</t>
        </is>
      </c>
      <c r="P709" s="1" t="inlineStr">
        <is>
          <t>Andorra, Austria, Belgium, Bosnia and Herzegovina, Bulgaria, Croatia, Cyprus, Czechia, Denmark, Finland, France, Germany, Hungary, Ireland, Italy, Kazakhstan, Lithuania, Luxembourg, North Macedonia, Norway, Poland, Portugal, Romania, Russia, Serbia, Slovenia, Spain, Sweden, Switzerland, Turkey, United Kingdom</t>
        </is>
      </c>
      <c r="Q709" s="1" t="inlineStr">
        <is>
          <t>11 to 50</t>
        </is>
      </c>
      <c r="R709" t="inlineStr">
        <is>
          <t>Small</t>
        </is>
      </c>
      <c r="S709" s="1" t="inlineStr">
        <is>
          <t>Business to Business</t>
        </is>
      </c>
      <c r="T709" s="1" t="inlineStr">
        <is>
          <t>Primary Education, Secondary Education, Lifelong learning/Adult education</t>
        </is>
      </c>
      <c r="U709" s="1" t="inlineStr">
        <is>
          <t>Teacher interfacing, System/Administrative</t>
        </is>
      </c>
      <c r="V709" s="1" t="n"/>
      <c r="W709" s="1" t="inlineStr">
        <is>
          <t>https://drive.google.com/uc?export=view&amp;id=1sjPEoqb7PgiNAYPPz44P1ZXCykQXm9r2</t>
        </is>
      </c>
      <c r="X709" s="1" t="inlineStr">
        <is>
          <t>https://drive.google.com/uc?export=view&amp;id=1sjPEoqb7PgiNAYPPz44P1ZXCykQXm9r2</t>
        </is>
      </c>
      <c r="Y709" t="inlineStr">
        <is>
          <t>https://drive.google.com/uc?export=view&amp;id=1sjPEoqb7PgiNAYPPz44P1ZXCykQXm9r2</t>
        </is>
      </c>
      <c r="Z709" s="1" t="inlineStr">
        <is>
          <t>https://drive.google.com/uc?export=view&amp;id=1sjPEoqb7PgiNAYPPz44P1ZXCykQXm9r2</t>
        </is>
      </c>
      <c r="AA709" s="1" t="inlineStr">
        <is>
          <t>Unverified</t>
        </is>
      </c>
      <c r="AB709" s="1" t="n"/>
      <c r="AC709" s="1" t="n"/>
      <c r="AD709" s="10" t="n"/>
      <c r="AE709" s="1" t="n"/>
      <c r="AF709" t="inlineStr">
        <is>
          <t>No</t>
        </is>
      </c>
    </row>
    <row r="710" ht="12.5" customHeight="1">
      <c r="A710" s="6" t="n">
        <v>45181</v>
      </c>
      <c r="B710" s="1" t="inlineStr">
        <is>
          <t>ORG_1792</t>
        </is>
      </c>
      <c r="C710" s="1" t="b">
        <v>1</v>
      </c>
      <c r="D710" s="1" t="inlineStr">
        <is>
          <t>KUMUBOX</t>
        </is>
      </c>
      <c r="E710" s="10" t="inlineStr">
        <is>
          <t>https://app.kumubox.com/</t>
        </is>
      </c>
      <c r="F710" t="inlineStr">
        <is>
          <t>app.kumubox.com</t>
        </is>
      </c>
      <c r="G710" s="1" t="inlineStr">
        <is>
          <t>Kumubox is a unique educational platform where you can find training, didactic resources, and innovative tools to make your classroom education the most advanced. With over 1000 downloadable resources and more than 40 practical courses created by active teachers, Kumubox offers a highly visual platform that makes courses easily consumable, almost like a streaming service. With Kumubox, you can access a wide range of resources and courses to help you enhance your teaching skills and improve your students' learning experience.</t>
        </is>
      </c>
      <c r="H710" s="1" t="inlineStr">
        <is>
          <t>I'm not part of any EdTech association</t>
        </is>
      </c>
      <c r="I710" s="1" t="inlineStr">
        <is>
          <t>Spanish</t>
        </is>
      </c>
      <c r="J710" s="1" t="inlineStr">
        <is>
          <t>Madrid</t>
        </is>
      </c>
      <c r="K710" t="inlineStr">
        <is>
          <t>Madrid</t>
        </is>
      </c>
      <c r="L710" t="inlineStr">
        <is>
          <t>Madrid, Spain</t>
        </is>
      </c>
      <c r="M710" t="n">
        <v>40.416782</v>
      </c>
      <c r="N710" t="n">
        <v>-3.703507</v>
      </c>
      <c r="O710" s="1" t="inlineStr">
        <is>
          <t>Spain</t>
        </is>
      </c>
      <c r="P710" s="1" t="inlineStr">
        <is>
          <t>Spain</t>
        </is>
      </c>
      <c r="Q710" s="1" t="inlineStr">
        <is>
          <t>3 to 5</t>
        </is>
      </c>
      <c r="R710" t="inlineStr">
        <is>
          <t>Micro</t>
        </is>
      </c>
      <c r="S710" s="1" t="inlineStr">
        <is>
          <t>Business to Business, Business to Consumer, Business to Government, Business to Schools</t>
        </is>
      </c>
      <c r="T710" s="1" t="inlineStr">
        <is>
          <t>Early childhood development (0-5 years)</t>
        </is>
      </c>
      <c r="U710" s="1" t="inlineStr">
        <is>
          <t>Teacher interfacing</t>
        </is>
      </c>
      <c r="V710" s="10" t="inlineStr">
        <is>
          <t>Kumubox Premium Mensual</t>
        </is>
      </c>
      <c r="W710" s="10" t="inlineStr">
        <is>
          <t>Kumubox Premium Monthly is perfect for teachers seeking high-quality resources and training. It provides unlimited access to practical courses and top-notch educational materials. With this monthly subscription, educators can consistently enhance their skills and enrich their lessons, all on an intuitive and user-friendly platform.</t>
        </is>
      </c>
      <c r="X710" s="10" t="inlineStr">
        <is>
          <t>Kumubox Premium Anual</t>
        </is>
      </c>
      <c r="Y710" t="inlineStr">
        <is>
          <t>Kumubox Premium Anual is perfect for teachers seeking high-quality resources and training. It provides unlimited access to practical courses and top-notch educational materials. With this monthly subscription, educators can consistently enhance their skills and enrich their lessons, all on an intuitive and user-friendly platform.</t>
        </is>
      </c>
      <c r="Z710" s="1" t="inlineStr">
        <is>
          <t>https://drive.google.com/uc?export=view&amp;id=1DwzkIMY5C7nuEFTNy9EHXRwJVbp4aWFK</t>
        </is>
      </c>
      <c r="AA710" s="1" t="inlineStr">
        <is>
          <t>Unverified</t>
        </is>
      </c>
      <c r="AB710" s="1" t="n"/>
      <c r="AC710" s="1" t="n"/>
      <c r="AD710" s="10" t="n"/>
      <c r="AE710" s="1" t="n"/>
      <c r="AF710" t="inlineStr">
        <is>
          <t>Yes</t>
        </is>
      </c>
      <c r="AG710" t="inlineStr">
        <is>
          <t>https://www.instagram.com/kumubox/</t>
        </is>
      </c>
      <c r="AH710" t="inlineStr">
        <is>
          <t>https://twitter.com/kumuboxoficial</t>
        </is>
      </c>
      <c r="AI710" t="inlineStr">
        <is>
          <t>https://es.linkedin.com/company/kumubox</t>
        </is>
      </c>
    </row>
    <row r="711" ht="12.5" customHeight="1">
      <c r="A711" s="6" t="n">
        <v>45181</v>
      </c>
      <c r="B711" s="1" t="inlineStr">
        <is>
          <t>ORG_2443</t>
        </is>
      </c>
      <c r="C711" s="1" t="b">
        <v>1</v>
      </c>
      <c r="D711" s="1" t="inlineStr">
        <is>
          <t>tutory</t>
        </is>
      </c>
      <c r="E711" s="10" t="inlineStr">
        <is>
          <t>https://www.tutory.de/</t>
        </is>
      </c>
      <c r="F711" t="inlineStr">
        <is>
          <t>tutory.de</t>
        </is>
      </c>
      <c r="G711" s="1" t="inlineStr">
        <is>
          <t>Tutory is an online editor for creating analoge and digital worksheets. It supports teachers in creating visually appealing educational materials in the shortest time. Tutory works with tiles that can be dragged and dropped onto the worksheet, where they can be customized. For each tile added to the sheet, users can provide solutions. Worksheets may be downloaded as PDF or be filled out by students digitally. If documents are published they are available as Open Educational Resources.
The clean design of the documents created with tutory makes them ideal for secondary schools and further education.
Data is stored in JSON format, tagged with a content license and maybe accessed via simple APIs. Tutory whitelabels its technology to publishers, universities and other content projects.</t>
        </is>
      </c>
      <c r="H711" s="1" t="inlineStr">
        <is>
          <t>EDUvation</t>
        </is>
      </c>
      <c r="I711" s="1" t="n"/>
      <c r="J711" s="1" t="inlineStr">
        <is>
          <t>Leipzig</t>
        </is>
      </c>
      <c r="K711" t="inlineStr">
        <is>
          <t>Leipzig</t>
        </is>
      </c>
      <c r="L711" t="inlineStr">
        <is>
          <t>Leipzig, Germany</t>
        </is>
      </c>
      <c r="M711" t="n">
        <v>51.3406321</v>
      </c>
      <c r="N711" t="n">
        <v>12.3747329</v>
      </c>
      <c r="O711" s="1" t="inlineStr">
        <is>
          <t>Germany</t>
        </is>
      </c>
      <c r="P711" s="1" t="inlineStr">
        <is>
          <t>Austria, France, Germany, Italy, Luxembourg, Switzerland</t>
        </is>
      </c>
      <c r="Q711" s="1" t="inlineStr">
        <is>
          <t>0 to 10</t>
        </is>
      </c>
      <c r="R711" t="inlineStr">
        <is>
          <t>Micro</t>
        </is>
      </c>
      <c r="S711" s="1" t="inlineStr">
        <is>
          <t>Business to Consumer, Business to Schools</t>
        </is>
      </c>
      <c r="T711" s="1" t="inlineStr">
        <is>
          <t>Secondary Education, Higher Education</t>
        </is>
      </c>
      <c r="U711" s="1" t="inlineStr">
        <is>
          <t>Teacher interfacing, System/Administrative</t>
        </is>
      </c>
      <c r="V711" s="10" t="inlineStr">
        <is>
          <t>tutory-FREE</t>
        </is>
      </c>
      <c r="W711" s="10" t="inlineStr">
        <is>
          <t>tutory-FREE is available to everybody without additional costs. It allows users to indefinitely use the basic tutory editor functions for up to 6 privately saved worksheets. All our products cater the needs of teachers in secondary and further education.</t>
        </is>
      </c>
      <c r="X711" s="10" t="inlineStr">
        <is>
          <t>tutory-BASIC</t>
        </is>
      </c>
      <c r="Y711" t="inlineStr">
        <is>
          <t>tutory-BASIC adds more functions to our FREE tier. More tiles, more fonts, more functions. It targets teachers that use tutory on a regular basis and want to use it's potential for normal educational purposes.</t>
        </is>
      </c>
      <c r="Z711" s="1" t="inlineStr">
        <is>
          <t>https://drive.google.com/uc?export=view&amp;id=1dlvNSdxBDXg9oikLKHhICwf02gHN12Of</t>
        </is>
      </c>
      <c r="AA711" s="1" t="inlineStr">
        <is>
          <t>Unverified</t>
        </is>
      </c>
      <c r="AB711" s="1" t="n"/>
      <c r="AC711" s="1" t="n"/>
      <c r="AD711" s="10" t="n"/>
      <c r="AE711" s="1" t="n"/>
      <c r="AF711" t="inlineStr">
        <is>
          <t>Yes</t>
        </is>
      </c>
      <c r="AG711" t="inlineStr">
        <is>
          <t>https://www.instagram.com/tutoryde/</t>
        </is>
      </c>
      <c r="AH711" t="inlineStr">
        <is>
          <t>https://twitter.com/tutoryde</t>
        </is>
      </c>
      <c r="AI711" t="inlineStr">
        <is>
          <t>https://www.linkedin.com/company/tutory-de/</t>
        </is>
      </c>
    </row>
    <row r="712" ht="12.5" customHeight="1">
      <c r="A712" s="6" t="n">
        <v>45181</v>
      </c>
      <c r="B712" s="1" t="inlineStr">
        <is>
          <t>ORG_1881</t>
        </is>
      </c>
      <c r="C712" s="1" t="b">
        <v>1</v>
      </c>
      <c r="D712" s="1" t="inlineStr">
        <is>
          <t>Lingobo</t>
        </is>
      </c>
      <c r="E712" s="10" t="inlineStr">
        <is>
          <t>https://lingobo.com</t>
        </is>
      </c>
      <c r="F712" t="inlineStr">
        <is>
          <t>lingobo.com</t>
        </is>
      </c>
      <c r="G712" s="1" t="inlineStr">
        <is>
          <t>Lingobo is a B2B e-learning company that helps business teams master English through daily conversations with an AI</t>
        </is>
      </c>
      <c r="H712" s="1" t="inlineStr">
        <is>
          <t>EdTech Estonia</t>
        </is>
      </c>
      <c r="I712" s="1" t="n"/>
      <c r="J712" s="1" t="inlineStr">
        <is>
          <t>Tallinn</t>
        </is>
      </c>
      <c r="K712" t="inlineStr">
        <is>
          <t>Tallinn</t>
        </is>
      </c>
      <c r="L712" t="inlineStr">
        <is>
          <t>Tallinn, Estonia</t>
        </is>
      </c>
      <c r="M712" t="n">
        <v>59.437242</v>
      </c>
      <c r="N712" t="n">
        <v>24.7572693</v>
      </c>
      <c r="O712" s="1" t="inlineStr">
        <is>
          <t>Estonia</t>
        </is>
      </c>
      <c r="P712" s="1" t="inlineStr">
        <is>
          <t>Spain</t>
        </is>
      </c>
      <c r="Q712" s="1" t="inlineStr">
        <is>
          <t>0 to 10</t>
        </is>
      </c>
      <c r="R712" t="inlineStr">
        <is>
          <t>Micro</t>
        </is>
      </c>
      <c r="S712" s="1" t="inlineStr">
        <is>
          <t>Business to Business</t>
        </is>
      </c>
      <c r="T712" s="1" t="inlineStr">
        <is>
          <t>Corporate Training</t>
        </is>
      </c>
      <c r="U712" s="1" t="inlineStr">
        <is>
          <t>System/Administrative</t>
        </is>
      </c>
      <c r="V712" s="1" t="inlineStr">
        <is>
          <t>Lingobo</t>
        </is>
      </c>
      <c r="W712" s="10" t="inlineStr">
        <is>
          <t>Lingobo enables businesses to upskill their teams in English communication quickly and cost-effectively. Our AI-powered platform provides interactive and personalized learning experiences that help employees gain the confidence they need to succeed in their roles. By leveraging state-of-the-art technology, Lingobo eliminates the need for expensive, time-consuming language classes and provides employees with the tools and skills they need to communicate more effectively with colleagues, customers, and partners.</t>
        </is>
      </c>
      <c r="X712" s="10" t="inlineStr">
        <is>
          <t>https://drive.google.com/uc?export=view&amp;id=1FqRpqAOWuDawLl4PIUbcgmY3N6nnHPuE</t>
        </is>
      </c>
      <c r="Y712" t="inlineStr">
        <is>
          <t>https://drive.google.com/uc?export=view&amp;id=1FqRpqAOWuDawLl4PIUbcgmY3N6nnHPuE</t>
        </is>
      </c>
      <c r="Z712" s="1" t="inlineStr">
        <is>
          <t>https://drive.google.com/uc?export=view&amp;id=1FqRpqAOWuDawLl4PIUbcgmY3N6nnHPuE</t>
        </is>
      </c>
      <c r="AA712" s="1" t="inlineStr">
        <is>
          <t>Unverified</t>
        </is>
      </c>
      <c r="AB712" s="1" t="n"/>
      <c r="AC712" s="1" t="n"/>
      <c r="AD712" s="10" t="n"/>
      <c r="AE712" s="1" t="n"/>
      <c r="AF712" t="inlineStr">
        <is>
          <t>Yes</t>
        </is>
      </c>
      <c r="AG712" t="inlineStr">
        <is>
          <t>https://twitter.com/lingobo_es</t>
        </is>
      </c>
      <c r="AH712" t="inlineStr">
        <is>
          <t>https://twitter.com/lingobo_es</t>
        </is>
      </c>
      <c r="AI712" t="inlineStr">
        <is>
          <t>https://www.linkedin.com/company/lingobo</t>
        </is>
      </c>
    </row>
    <row r="713" ht="12.5" customHeight="1">
      <c r="A713" s="6" t="n">
        <v>45181</v>
      </c>
      <c r="B713" s="1" t="inlineStr">
        <is>
          <t>ORG_1503</t>
        </is>
      </c>
      <c r="C713" s="1" t="b">
        <v>1</v>
      </c>
      <c r="D713" s="1" t="inlineStr">
        <is>
          <t>EO Space</t>
        </is>
      </c>
      <c r="E713" s="10" t="inlineStr">
        <is>
          <t>eo-space.com</t>
        </is>
      </c>
      <c r="F713" t="inlineStr">
        <is>
          <t>eo-space.com</t>
        </is>
      </c>
      <c r="G713" s="1" t="inlineStr">
        <is>
          <t>EO space is an educational environment for 6-12 years that helps young students master skills in math complemented with acquiring soft skills like critical thinking, problem-solving, and decision-making. 
We have 3 core product which collected into the ecosystem:
1. Adventure Math Lessons offers an interactive, story-based approach to math learning that combines classroom teaching with an online practice web-based application. 
2. StemJam is a large-scale educational festival to increase children's interest in mathematics and STEM. It is a stress-free and fun event where children can choose the difficulty level of tasks and spend earned points on workshops, science experiments, and other activities after the competition part. 
3. EO Space is a community-based math game with real-world challenges.
Our team is creating a new school concept. Our priority target is to make children love to learn in an emotionally involved environment.</t>
        </is>
      </c>
      <c r="H713" s="1" t="inlineStr">
        <is>
          <t>I'm not part of any EdTech association</t>
        </is>
      </c>
      <c r="I713" s="1" t="n"/>
      <c r="J713" s="1" t="inlineStr">
        <is>
          <t>Helsinki</t>
        </is>
      </c>
      <c r="K713" t="inlineStr">
        <is>
          <t>Helsinki</t>
        </is>
      </c>
      <c r="L713" t="inlineStr">
        <is>
          <t>Helsinki, Finland</t>
        </is>
      </c>
      <c r="M713" t="n">
        <v>60.1666204</v>
      </c>
      <c r="N713" t="n">
        <v>24.9435408</v>
      </c>
      <c r="O713" s="1" t="inlineStr">
        <is>
          <t>Finland</t>
        </is>
      </c>
      <c r="P713" s="1" t="inlineStr">
        <is>
          <t>Finland, United Kingdom</t>
        </is>
      </c>
      <c r="Q713" s="1" t="inlineStr">
        <is>
          <t>0 to 10</t>
        </is>
      </c>
      <c r="R713" t="inlineStr">
        <is>
          <t>Micro</t>
        </is>
      </c>
      <c r="S713" s="1" t="inlineStr">
        <is>
          <t>Business to Business, Business to Schools</t>
        </is>
      </c>
      <c r="T713" s="1" t="inlineStr">
        <is>
          <t>Primary Education</t>
        </is>
      </c>
      <c r="U713" s="1" t="inlineStr">
        <is>
          <t>Teacher interfacing</t>
        </is>
      </c>
      <c r="V713" s="1" t="n"/>
      <c r="W713" s="1" t="inlineStr">
        <is>
          <t>https://drive.google.com/uc?export=view&amp;id=1qB6GzmSy5oPKKHQoOGmIo-8pjQA5Jefk</t>
        </is>
      </c>
      <c r="X713" s="1" t="inlineStr">
        <is>
          <t>https://drive.google.com/uc?export=view&amp;id=1qB6GzmSy5oPKKHQoOGmIo-8pjQA5Jefk</t>
        </is>
      </c>
      <c r="Y713" t="inlineStr">
        <is>
          <t>https://drive.google.com/uc?export=view&amp;id=1qB6GzmSy5oPKKHQoOGmIo-8pjQA5Jefk</t>
        </is>
      </c>
      <c r="Z713" s="1" t="inlineStr">
        <is>
          <t>https://drive.google.com/uc?export=view&amp;id=1qB6GzmSy5oPKKHQoOGmIo-8pjQA5Jefk</t>
        </is>
      </c>
      <c r="AA713" s="1" t="inlineStr">
        <is>
          <t>Unverified</t>
        </is>
      </c>
      <c r="AB713" s="1" t="n"/>
      <c r="AC713" s="1" t="n"/>
      <c r="AD713" s="10" t="n"/>
      <c r="AE713" s="1" t="n"/>
      <c r="AF713" t="inlineStr">
        <is>
          <t>No</t>
        </is>
      </c>
    </row>
    <row r="714" ht="12.5" customHeight="1">
      <c r="A714" s="6" t="n">
        <v>45181</v>
      </c>
      <c r="B714" s="1" t="inlineStr">
        <is>
          <t>ORG_2320</t>
        </is>
      </c>
      <c r="C714" s="1" t="b">
        <v>1</v>
      </c>
      <c r="D714" s="1" t="inlineStr">
        <is>
          <t>STE.education</t>
        </is>
      </c>
      <c r="E714" s="10" t="inlineStr">
        <is>
          <t>https://ste.education/en/</t>
        </is>
      </c>
      <c r="F714" t="inlineStr">
        <is>
          <t>ste.education/en</t>
        </is>
      </c>
      <c r="G714" s="1" t="inlineStr">
        <is>
          <t>STE.education (trade name) operates to improve Estonian education by raising digital competence and using the BYOD principle, and all this is ensured through teacher training, the creation of new digital learning materials, and the adoption of software in accordance with the Estonian school curriculum.
We are sure that digital learning tools and ready-made materials would allow teachers to be more effective in lesson preparation and more visual in a complex phenomena explanation. The study process for students should go through examples and practical assignments. That's why we prepare bandles, which include devices, software, materials for teachers and students + online training. Even if we specialize in the local market we are sure, that our reach experience could be used for international collaborations.</t>
        </is>
      </c>
      <c r="H714" s="1" t="inlineStr">
        <is>
          <t>I'm not part of any EdTech association</t>
        </is>
      </c>
      <c r="I714" s="1" t="n"/>
      <c r="J714" s="1" t="inlineStr">
        <is>
          <t>Tallinn</t>
        </is>
      </c>
      <c r="K714" t="inlineStr">
        <is>
          <t>Tallinn</t>
        </is>
      </c>
      <c r="L714" t="inlineStr">
        <is>
          <t>Tallinn, Estonia</t>
        </is>
      </c>
      <c r="M714" t="n">
        <v>59.437242</v>
      </c>
      <c r="N714" t="n">
        <v>24.7572693</v>
      </c>
      <c r="O714" s="1" t="inlineStr">
        <is>
          <t>Estonia</t>
        </is>
      </c>
      <c r="P714" s="1" t="inlineStr">
        <is>
          <t>Estonia, Finland, Latvia, Lithuania</t>
        </is>
      </c>
      <c r="Q714" s="1" t="inlineStr">
        <is>
          <t>0 to 10</t>
        </is>
      </c>
      <c r="R714" t="inlineStr">
        <is>
          <t>Micro</t>
        </is>
      </c>
      <c r="S714" s="1" t="inlineStr">
        <is>
          <t>Business to Business, Business to Government, Business to Schools</t>
        </is>
      </c>
      <c r="T714" s="1" t="inlineStr">
        <is>
          <t>Early childhood development (0-5 years), Primary Education, Higher Education</t>
        </is>
      </c>
      <c r="U714" s="1" t="inlineStr">
        <is>
          <t>Teacher interfacing, System/Administrative, Student interfacing</t>
        </is>
      </c>
      <c r="V714" s="1" t="n"/>
      <c r="W714" s="1" t="inlineStr">
        <is>
          <t>https://drive.google.com/uc?export=view&amp;id=1vSmmNno_c5HxQ47ga4u-uBObAzbA7_S_</t>
        </is>
      </c>
      <c r="X714" s="1" t="inlineStr">
        <is>
          <t>https://drive.google.com/uc?export=view&amp;id=1vSmmNno_c5HxQ47ga4u-uBObAzbA7_S_</t>
        </is>
      </c>
      <c r="Y714" t="inlineStr">
        <is>
          <t>https://drive.google.com/uc?export=view&amp;id=1vSmmNno_c5HxQ47ga4u-uBObAzbA7_S_</t>
        </is>
      </c>
      <c r="Z714" s="1" t="inlineStr">
        <is>
          <t>https://drive.google.com/uc?export=view&amp;id=1vSmmNno_c5HxQ47ga4u-uBObAzbA7_S_</t>
        </is>
      </c>
      <c r="AA714" s="1" t="inlineStr">
        <is>
          <t>Unverified</t>
        </is>
      </c>
      <c r="AB714" s="1" t="n"/>
      <c r="AC714" s="1" t="n"/>
      <c r="AD714" s="10" t="n"/>
      <c r="AE714" s="1" t="n"/>
      <c r="AF714" s="1" t="inlineStr">
        <is>
          <t>No</t>
        </is>
      </c>
      <c r="AG714" s="1" t="n"/>
      <c r="AH714" s="1" t="n"/>
    </row>
    <row r="715" ht="12.5" customHeight="1">
      <c r="A715" s="6" t="n">
        <v>45181</v>
      </c>
      <c r="B715" s="1" t="inlineStr">
        <is>
          <t>ORG_1423</t>
        </is>
      </c>
      <c r="C715" s="1" t="b">
        <v>1</v>
      </c>
      <c r="D715" s="1" t="inlineStr">
        <is>
          <t>Educabiz</t>
        </is>
      </c>
      <c r="E715" s="10" t="inlineStr">
        <is>
          <t>www.educabiz.com</t>
        </is>
      </c>
      <c r="F715" t="inlineStr">
        <is>
          <t>educabiz.com</t>
        </is>
      </c>
      <c r="G715" s="1" t="inlineStr">
        <is>
          <t>Educabiz is a SaaS management software specifically tailored for kindergartens and nurseries.
Created out of the idea that management should be simple and intuitive, Educabiz was built to address two specific issues: empowering schools with a tool that can simplify their daily management and create enhanced capabilities to communicate with parents.</t>
        </is>
      </c>
      <c r="H715" s="1" t="inlineStr">
        <is>
          <t>I'm not part of any EdTech association</t>
        </is>
      </c>
      <c r="I715" s="1" t="n"/>
      <c r="J715" s="1" t="inlineStr">
        <is>
          <t>Porto</t>
        </is>
      </c>
      <c r="K715" t="inlineStr">
        <is>
          <t>Porto</t>
        </is>
      </c>
      <c r="L715" t="inlineStr">
        <is>
          <t>Porto, Portugal</t>
        </is>
      </c>
      <c r="M715" t="n">
        <v>41.1502195</v>
      </c>
      <c r="N715" t="n">
        <v>-8.6103497</v>
      </c>
      <c r="O715" s="1" t="inlineStr">
        <is>
          <t>Portugal</t>
        </is>
      </c>
      <c r="P715" s="1" t="inlineStr">
        <is>
          <t>Portugal</t>
        </is>
      </c>
      <c r="Q715" s="1" t="inlineStr">
        <is>
          <t>11 to 50</t>
        </is>
      </c>
      <c r="R715" t="inlineStr">
        <is>
          <t>Small</t>
        </is>
      </c>
      <c r="S715" s="1" t="inlineStr">
        <is>
          <t>Business to Business</t>
        </is>
      </c>
      <c r="T715" s="1" t="inlineStr">
        <is>
          <t>Early childhood development (0-5 years)</t>
        </is>
      </c>
      <c r="U715" s="1" t="inlineStr">
        <is>
          <t>Teacher interfacing, System/Administrative</t>
        </is>
      </c>
      <c r="V715" s="1" t="n"/>
      <c r="W715" s="1" t="inlineStr">
        <is>
          <t>https://drive.google.com/uc?export=view&amp;id=1oYZENRaok24WudfC6n64pfNaHsjoMDhQ</t>
        </is>
      </c>
      <c r="X715" s="1" t="inlineStr">
        <is>
          <t>https://drive.google.com/uc?export=view&amp;id=1oYZENRaok24WudfC6n64pfNaHsjoMDhQ</t>
        </is>
      </c>
      <c r="Y715" t="inlineStr">
        <is>
          <t>https://drive.google.com/uc?export=view&amp;id=1oYZENRaok24WudfC6n64pfNaHsjoMDhQ</t>
        </is>
      </c>
      <c r="Z715" s="1" t="inlineStr">
        <is>
          <t>https://drive.google.com/uc?export=view&amp;id=1oYZENRaok24WudfC6n64pfNaHsjoMDhQ</t>
        </is>
      </c>
      <c r="AA715" s="1" t="inlineStr">
        <is>
          <t>Unverified</t>
        </is>
      </c>
      <c r="AB715" s="1" t="n"/>
      <c r="AC715" s="1" t="n"/>
      <c r="AD715" s="10" t="n"/>
      <c r="AE715" s="1" t="n"/>
      <c r="AF715" t="inlineStr">
        <is>
          <t>No</t>
        </is>
      </c>
    </row>
    <row r="716" ht="12.5" customHeight="1">
      <c r="A716" s="6" t="n">
        <v>45181</v>
      </c>
      <c r="B716" s="1" t="inlineStr">
        <is>
          <t>ORG_2267</t>
        </is>
      </c>
      <c r="C716" s="1" t="b">
        <v>1</v>
      </c>
      <c r="D716" s="1" t="inlineStr">
        <is>
          <t>Skolen Fri</t>
        </is>
      </c>
      <c r="E716" s="10" t="inlineStr">
        <is>
          <t>www.skolenfri.dk</t>
        </is>
      </c>
      <c r="F716" t="inlineStr">
        <is>
          <t>skolenfri.dk</t>
        </is>
      </c>
      <c r="G716" s="1" t="inlineStr">
        <is>
          <t>We help children with a safe, exciting, motivating online schooling
framework that can include everyone. It is done with exclusively
seminar-educated teachers to ensure high quality. School Free is for
children of primary school age, but also other young people who need a safe environment place to upgrade your qualifications. We help both children and young people who have school challenges, diagnoses etc. but also children without. Helpfulness, freedom and a good mood are the basic starting points for getting together. This provides good well-being, high self-esteem and security for all the school's children.</t>
        </is>
      </c>
      <c r="H716" s="1" t="inlineStr">
        <is>
          <t>EdTech Denmark</t>
        </is>
      </c>
      <c r="I716" s="1" t="inlineStr">
        <is>
          <t>Danish</t>
        </is>
      </c>
      <c r="J716" s="1" t="inlineStr">
        <is>
          <t>Nibe</t>
        </is>
      </c>
      <c r="K716" t="inlineStr">
        <is>
          <t>Nibe</t>
        </is>
      </c>
      <c r="L716" t="inlineStr">
        <is>
          <t>Nibe, Denmark</t>
        </is>
      </c>
      <c r="M716" t="n">
        <v>56.9823812</v>
      </c>
      <c r="N716" t="n">
        <v>9.6428712</v>
      </c>
      <c r="O716" s="1" t="inlineStr">
        <is>
          <t>Denmark</t>
        </is>
      </c>
      <c r="P716" s="1" t="inlineStr">
        <is>
          <t>Denmark</t>
        </is>
      </c>
      <c r="Q716" s="1" t="inlineStr">
        <is>
          <t>3 to 5</t>
        </is>
      </c>
      <c r="R716" t="inlineStr">
        <is>
          <t>Micro</t>
        </is>
      </c>
      <c r="S716" s="1" t="inlineStr">
        <is>
          <t>Business to Consumer, Business to Government, Business to Schools</t>
        </is>
      </c>
      <c r="T716" s="1" t="inlineStr">
        <is>
          <t>Early childhood development (0-5 years), Primary Education</t>
        </is>
      </c>
      <c r="U716" s="1" t="inlineStr">
        <is>
          <t>System/Administrative, Student interfacing, Teacher interfacing</t>
        </is>
      </c>
      <c r="V716" s="10" t="inlineStr">
        <is>
          <t>Skolen Fri</t>
        </is>
      </c>
      <c r="W716" s="1" t="inlineStr">
        <is>
          <t>We help children with a safe, exciting, motivating online schooling
framework that can include everyone. It is done with exclusively
seminar-educated teachers to ensure high quality. School Free is for
children of primary school age, but also other young people who need a safe environment place to upgrade your qualifications. We help both children and young people who have school challenges, diagnoses etc. but also children without. Helpfulness, freedom and a good mood are the basic starting points for getting together. This provides good well-being, high self-esteem and security for all the school's children.</t>
        </is>
      </c>
      <c r="X716" s="10" t="inlineStr">
        <is>
          <t>https://drive.google.com/uc?export=view&amp;id=1cZFJB9wD_vCk1pSkTLsHiWVtW4_ZvYTd</t>
        </is>
      </c>
      <c r="Y716" t="inlineStr">
        <is>
          <t>https://drive.google.com/uc?export=view&amp;id=1cZFJB9wD_vCk1pSkTLsHiWVtW4_ZvYTd</t>
        </is>
      </c>
      <c r="Z716" s="1" t="inlineStr">
        <is>
          <t>https://drive.google.com/uc?export=view&amp;id=1cZFJB9wD_vCk1pSkTLsHiWVtW4_ZvYTd</t>
        </is>
      </c>
      <c r="AA716" s="1" t="inlineStr">
        <is>
          <t>Unverified</t>
        </is>
      </c>
      <c r="AB716" s="1" t="n"/>
      <c r="AC716" s="1" t="n"/>
      <c r="AD716" s="10" t="n"/>
      <c r="AE716" s="1" t="n"/>
      <c r="AF716" t="inlineStr">
        <is>
          <t>Yes</t>
        </is>
      </c>
      <c r="AG716" t="inlineStr">
        <is>
          <t>https://www.instagram.com/skolenfri/</t>
        </is>
      </c>
      <c r="AH716" t="inlineStr">
        <is>
          <t>https://www.linkedin.com/company/77617145</t>
        </is>
      </c>
      <c r="AI716" t="inlineStr">
        <is>
          <t>https://www.linkedin.com/company/77617145</t>
        </is>
      </c>
    </row>
    <row r="717" ht="12.5" customHeight="1">
      <c r="A717" s="6" t="n">
        <v>45181</v>
      </c>
      <c r="B717" s="1" t="inlineStr">
        <is>
          <t>ORG_1053</t>
        </is>
      </c>
      <c r="C717" s="1" t="b">
        <v>1</v>
      </c>
      <c r="D717" s="1" t="inlineStr">
        <is>
          <t>Allcourses</t>
        </is>
      </c>
      <c r="E717" s="10" t="inlineStr">
        <is>
          <t>https://allcourses.ie/</t>
        </is>
      </c>
      <c r="F717" t="inlineStr">
        <is>
          <t>allcourses.ie</t>
        </is>
      </c>
      <c r="G717" s="1" t="inlineStr">
        <is>
          <t>Allcourses is a new course comparison website launched by Candlefox, which looks to help learners within Ireland connect with learning courses provided by training providers from across Ireland and the UK. These courses aim to help learners develop their employable skills and earn industry qualifications, through which they can take the next step up in their careers.</t>
        </is>
      </c>
      <c r="H717" s="1" t="inlineStr">
        <is>
          <t>I'm not part of any EdTech association</t>
        </is>
      </c>
      <c r="I717" s="1" t="n"/>
      <c r="J717" s="1" t="inlineStr">
        <is>
          <t>London</t>
        </is>
      </c>
      <c r="K717" t="inlineStr">
        <is>
          <t>London</t>
        </is>
      </c>
      <c r="L717" t="inlineStr">
        <is>
          <t>London, United Kingdom</t>
        </is>
      </c>
      <c r="M717" t="n">
        <v>51.5074456</v>
      </c>
      <c r="N717" t="n">
        <v>-0.1277653</v>
      </c>
      <c r="O717" s="1" t="inlineStr">
        <is>
          <t>United Kingdom</t>
        </is>
      </c>
      <c r="P717" s="1" t="inlineStr">
        <is>
          <t>Ireland</t>
        </is>
      </c>
      <c r="Q717" s="1" t="inlineStr">
        <is>
          <t>11 to 50</t>
        </is>
      </c>
      <c r="R717" t="inlineStr">
        <is>
          <t>Small</t>
        </is>
      </c>
      <c r="S717" s="1" t="inlineStr">
        <is>
          <t>Business to Business, Business to Consumer</t>
        </is>
      </c>
      <c r="T717" s="1" t="inlineStr">
        <is>
          <t>Higher Education, Corporate Training, Lifelong learning/Adult education</t>
        </is>
      </c>
      <c r="U717" s="1" t="inlineStr">
        <is>
          <t>Student interfacing, System/Administrative</t>
        </is>
      </c>
      <c r="V717" s="1" t="n"/>
      <c r="W717" s="1" t="inlineStr">
        <is>
          <t>https://drive.google.com/uc?export=view&amp;id=15Q4zvPfU_0Vq87tD9zJWNfQyKKlir97p</t>
        </is>
      </c>
      <c r="X717" s="1" t="inlineStr">
        <is>
          <t>https://drive.google.com/uc?export=view&amp;id=15Q4zvPfU_0Vq87tD9zJWNfQyKKlir97p</t>
        </is>
      </c>
      <c r="Y717" t="inlineStr">
        <is>
          <t>https://drive.google.com/uc?export=view&amp;id=15Q4zvPfU_0Vq87tD9zJWNfQyKKlir97p</t>
        </is>
      </c>
      <c r="Z717" s="1" t="inlineStr">
        <is>
          <t>https://drive.google.com/uc?export=view&amp;id=15Q4zvPfU_0Vq87tD9zJWNfQyKKlir97p</t>
        </is>
      </c>
      <c r="AA717" s="1" t="inlineStr">
        <is>
          <t>Unverified</t>
        </is>
      </c>
      <c r="AB717" s="1" t="n"/>
      <c r="AC717" s="1" t="n"/>
      <c r="AD717" s="10" t="n"/>
      <c r="AE717" s="1" t="n"/>
      <c r="AF717" t="inlineStr">
        <is>
          <t>No</t>
        </is>
      </c>
    </row>
    <row r="718" ht="12.5" customHeight="1">
      <c r="A718" s="6" t="n">
        <v>45181</v>
      </c>
      <c r="B718" s="1" t="inlineStr">
        <is>
          <t>ORG_2193</t>
        </is>
      </c>
      <c r="C718" s="1" t="b">
        <v>1</v>
      </c>
      <c r="D718" s="1" t="inlineStr">
        <is>
          <t>Robot Emil</t>
        </is>
      </c>
      <c r="E718" s="10" t="inlineStr">
        <is>
          <t>www.robotemil.com</t>
        </is>
      </c>
      <c r="F718" t="inlineStr">
        <is>
          <t>robotemil.com</t>
        </is>
      </c>
      <c r="G718" s="1" t="inlineStr">
        <is>
          <t>Emil is a unique method of teaching computing in schools in years 1-5 – from early primary years, for every learner in the class, for the joy of exploring, creating, and learning. Based on our educational research and many years of working with teachers and pupils in several countries, it implements the idea of modern computing education as a complex and systematic learning process in regular and formal classes in primary schools. Emil is amusing but not just for a while. Pupils gradually learn all the important constructs of programming in a playful way.
Emil draws on international experience in teaching computing and programming, grounded in recent learning theories. At the same time, it also meets the requirements of the new and developing national curricula. Instead of merely teaching how to program, Emil brings into the classroom exploration, algorithmic and mathematical thinking development, problem solving, and collaboration between subjects. It teaches pupils to live and work responsibly in a digital environment, to learn about the world and how to change it. Computing with Emil offers an evidence-based complex method for several primary years, comprising its own pedagogy, software programming environments, workbooks for pupils, teacher materials, and professional development content.</t>
        </is>
      </c>
      <c r="H718" s="1" t="inlineStr">
        <is>
          <t>I'm not part of any EdTech association</t>
        </is>
      </c>
      <c r="I718" s="1" t="n"/>
      <c r="J718" s="1" t="inlineStr">
        <is>
          <t>Bratislava</t>
        </is>
      </c>
      <c r="K718" t="inlineStr">
        <is>
          <t>Bratislava</t>
        </is>
      </c>
      <c r="L718" t="inlineStr">
        <is>
          <t>Bratislava, Slovakia</t>
        </is>
      </c>
      <c r="M718" t="n">
        <v>48.1359085</v>
      </c>
      <c r="N718" t="n">
        <v>17.1597441</v>
      </c>
      <c r="O718" s="1" t="inlineStr">
        <is>
          <t>Slovakia</t>
        </is>
      </c>
      <c r="P718" s="1" t="inlineStr">
        <is>
          <t>Czechia, Norway, Slovakia, United Kingdom</t>
        </is>
      </c>
      <c r="Q718" s="1" t="inlineStr">
        <is>
          <t>0 to 10</t>
        </is>
      </c>
      <c r="R718" t="inlineStr">
        <is>
          <t>Micro</t>
        </is>
      </c>
      <c r="S718" s="1" t="inlineStr">
        <is>
          <t>Business to Schools</t>
        </is>
      </c>
      <c r="T718" s="1" t="inlineStr">
        <is>
          <t>Early childhood development (0-5 years), Primary Education</t>
        </is>
      </c>
      <c r="U718" s="1" t="inlineStr">
        <is>
          <t>Teacher interfacing, System/Administrative</t>
        </is>
      </c>
      <c r="V718" s="1" t="n"/>
      <c r="W718" s="1" t="inlineStr">
        <is>
          <t>https://drive.google.com/uc?export=view&amp;id=1Ihn_2r98TvoY226YqSIpj8D3EBCRS4VZ</t>
        </is>
      </c>
      <c r="X718" s="1" t="inlineStr">
        <is>
          <t>https://drive.google.com/uc?export=view&amp;id=1Ihn_2r98TvoY226YqSIpj8D3EBCRS4VZ</t>
        </is>
      </c>
      <c r="Y718" t="inlineStr">
        <is>
          <t>https://drive.google.com/uc?export=view&amp;id=1Ihn_2r98TvoY226YqSIpj8D3EBCRS4VZ</t>
        </is>
      </c>
      <c r="Z718" s="1" t="inlineStr">
        <is>
          <t>https://drive.google.com/uc?export=view&amp;id=1Ihn_2r98TvoY226YqSIpj8D3EBCRS4VZ</t>
        </is>
      </c>
      <c r="AA718" s="1" t="inlineStr">
        <is>
          <t>Unverified</t>
        </is>
      </c>
      <c r="AB718" s="1" t="n"/>
      <c r="AC718" s="1" t="n"/>
      <c r="AD718" s="10" t="n"/>
      <c r="AE718" s="1" t="n"/>
      <c r="AF718" t="inlineStr">
        <is>
          <t>No</t>
        </is>
      </c>
    </row>
    <row r="719" ht="12.5" customHeight="1">
      <c r="A719" s="6" t="n">
        <v>45181</v>
      </c>
      <c r="B719" s="1" t="inlineStr">
        <is>
          <t>ORG_1650</t>
        </is>
      </c>
      <c r="C719" s="1" t="b">
        <v>1</v>
      </c>
      <c r="D719" s="1" t="inlineStr">
        <is>
          <t>Grupo Vértice</t>
        </is>
      </c>
      <c r="E719" s="10" t="inlineStr">
        <is>
          <t>https://grupovertice.com/</t>
        </is>
      </c>
      <c r="F719" t="inlineStr">
        <is>
          <t>grupovertice.com</t>
        </is>
      </c>
      <c r="G719" s="1" t="inlineStr">
        <is>
          <t>Creamos soluciones eLearning a medida y ecosistemas de aprendizaje colaborativo que permiten el desembarco profesional y global en el mundo de la formación online.</t>
        </is>
      </c>
      <c r="H719" s="1" t="inlineStr">
        <is>
          <t>I'm not part of any EdTech association</t>
        </is>
      </c>
      <c r="I719" s="1" t="n"/>
      <c r="J719" s="1" t="inlineStr">
        <is>
          <t>Málaga</t>
        </is>
      </c>
      <c r="K719" t="inlineStr">
        <is>
          <t>Málaga</t>
        </is>
      </c>
      <c r="L719" t="inlineStr">
        <is>
          <t>Málaga, Spain</t>
        </is>
      </c>
      <c r="M719" t="n">
        <v>36.7647913</v>
      </c>
      <c r="N719" t="n">
        <v>-4.4422005</v>
      </c>
      <c r="O719" s="1" t="inlineStr">
        <is>
          <t>Spain</t>
        </is>
      </c>
      <c r="P719" s="1" t="inlineStr">
        <is>
          <t>Spain</t>
        </is>
      </c>
      <c r="Q719" s="1" t="inlineStr">
        <is>
          <t>100+</t>
        </is>
      </c>
      <c r="R719" t="inlineStr">
        <is>
          <t>Medium or Large (unspecified)</t>
        </is>
      </c>
      <c r="S719" s="1" t="inlineStr">
        <is>
          <t>Business to Business, Business to Government, Business to Schools</t>
        </is>
      </c>
      <c r="T719" s="1" t="inlineStr">
        <is>
          <t>Higher Education, Corporate Training, Lifelong learning/Adult education</t>
        </is>
      </c>
      <c r="U719" s="1" t="inlineStr">
        <is>
          <t>Student interfacing, Teacher interfacing, System/Administrative</t>
        </is>
      </c>
      <c r="V719" s="1" t="n"/>
      <c r="W719" s="1" t="inlineStr">
        <is>
          <t>https://drive.google.com/uc?export=view&amp;id=1mJy8rh0q7nBZlB9qjdMAiLpZbJixleeU</t>
        </is>
      </c>
      <c r="X719" s="1" t="inlineStr">
        <is>
          <t>https://drive.google.com/uc?export=view&amp;id=1mJy8rh0q7nBZlB9qjdMAiLpZbJixleeU</t>
        </is>
      </c>
      <c r="Y719" t="inlineStr">
        <is>
          <t>https://drive.google.com/uc?export=view&amp;id=1mJy8rh0q7nBZlB9qjdMAiLpZbJixleeU</t>
        </is>
      </c>
      <c r="Z719" s="1" t="inlineStr">
        <is>
          <t>https://drive.google.com/uc?export=view&amp;id=1mJy8rh0q7nBZlB9qjdMAiLpZbJixleeU</t>
        </is>
      </c>
      <c r="AA719" s="1" t="inlineStr">
        <is>
          <t>Unverified</t>
        </is>
      </c>
      <c r="AB719" s="1" t="n"/>
      <c r="AC719" s="1" t="n"/>
      <c r="AD719" s="10" t="n"/>
      <c r="AE719" s="1" t="n"/>
      <c r="AF719" s="1" t="inlineStr">
        <is>
          <t>No</t>
        </is>
      </c>
      <c r="AG719" s="1" t="n"/>
      <c r="AH719" s="1" t="n"/>
    </row>
    <row r="720" ht="12.5" customHeight="1">
      <c r="A720" s="6" t="n">
        <v>45181</v>
      </c>
      <c r="B720" s="1" t="inlineStr">
        <is>
          <t>ORG_1606</t>
        </is>
      </c>
      <c r="C720" s="1" t="b">
        <v>1</v>
      </c>
      <c r="D720" s="1" t="inlineStr">
        <is>
          <t>Gamoteca</t>
        </is>
      </c>
      <c r="E720" s="10" t="inlineStr">
        <is>
          <t>https://www.gamoteca.com/</t>
        </is>
      </c>
      <c r="F720" t="inlineStr">
        <is>
          <t>gamoteca.com</t>
        </is>
      </c>
      <c r="G720" s="1" t="inlineStr">
        <is>
          <t>Gamoteca is a collaborative platform for trainers to easily create and publish micro-learning experiences that use real-time learner-to-learner and facilitator-to-learner interactions, e.g. coaching &amp; feedback.
Gamoteca provides an open access platform to thousands of learners and trainers, while providing bespoke design consultancy services on game-based learning and other emerging educational technologies to organisations.</t>
        </is>
      </c>
      <c r="H720" s="1" t="inlineStr">
        <is>
          <t>I'm not part of any EdTech association</t>
        </is>
      </c>
      <c r="I720" s="1" t="n"/>
      <c r="J720" s="1" t="inlineStr">
        <is>
          <t>London</t>
        </is>
      </c>
      <c r="K720" t="inlineStr">
        <is>
          <t>London</t>
        </is>
      </c>
      <c r="L720" t="inlineStr">
        <is>
          <t>London, United Kingdom</t>
        </is>
      </c>
      <c r="M720" t="n">
        <v>51.5074456</v>
      </c>
      <c r="N720" t="n">
        <v>-0.1277653</v>
      </c>
      <c r="O720" s="1" t="inlineStr">
        <is>
          <t>United Kingdom</t>
        </is>
      </c>
      <c r="P720" s="1" t="inlineStr">
        <is>
          <t>France, Germany, Hungary, Italy, Spain, Switzerland, United Kingdom</t>
        </is>
      </c>
      <c r="Q720" s="1" t="inlineStr">
        <is>
          <t>0 to 10</t>
        </is>
      </c>
      <c r="R720" t="inlineStr">
        <is>
          <t>Micro</t>
        </is>
      </c>
      <c r="S720" s="1" t="inlineStr">
        <is>
          <t>Business to Business</t>
        </is>
      </c>
      <c r="T720" s="1" t="inlineStr">
        <is>
          <t>Higher Education, Corporate Training, Lifelong learning/Adult education</t>
        </is>
      </c>
      <c r="U720" s="1" t="inlineStr">
        <is>
          <t>Teacher interfacing, Student interfacing, System/Administrative</t>
        </is>
      </c>
      <c r="V720" s="1" t="n"/>
      <c r="W720" s="1" t="inlineStr">
        <is>
          <t>https://drive.google.com/uc?export=view&amp;id=1YIY0K40cGnCUUtZ0HtjuShn51_07dz5D</t>
        </is>
      </c>
      <c r="X720" s="1" t="inlineStr">
        <is>
          <t>https://drive.google.com/uc?export=view&amp;id=1YIY0K40cGnCUUtZ0HtjuShn51_07dz5D</t>
        </is>
      </c>
      <c r="Y720" t="inlineStr">
        <is>
          <t>https://drive.google.com/uc?export=view&amp;id=1YIY0K40cGnCUUtZ0HtjuShn51_07dz5D</t>
        </is>
      </c>
      <c r="Z720" s="1" t="inlineStr">
        <is>
          <t>https://drive.google.com/uc?export=view&amp;id=1YIY0K40cGnCUUtZ0HtjuShn51_07dz5D</t>
        </is>
      </c>
      <c r="AA720" s="1" t="inlineStr">
        <is>
          <t>Unverified</t>
        </is>
      </c>
      <c r="AB720" s="1" t="n"/>
      <c r="AC720" s="1" t="n"/>
      <c r="AD720" s="10" t="n"/>
      <c r="AE720" s="1" t="n"/>
      <c r="AF720" s="1" t="inlineStr">
        <is>
          <t>No</t>
        </is>
      </c>
      <c r="AG720" s="1" t="n"/>
      <c r="AH720" s="1" t="n"/>
    </row>
    <row r="721" ht="12.5" customHeight="1">
      <c r="A721" s="6" t="n">
        <v>45181</v>
      </c>
      <c r="B721" s="1" t="inlineStr">
        <is>
          <t>ORG_2410</t>
        </is>
      </c>
      <c r="C721" s="1" t="b">
        <v>1</v>
      </c>
      <c r="D721" s="1" t="inlineStr">
        <is>
          <t>Three Cubes</t>
        </is>
      </c>
      <c r="E721" s="10" t="inlineStr">
        <is>
          <t>https://three-cubes.net/</t>
        </is>
      </c>
      <c r="F721" t="inlineStr">
        <is>
          <t>three-cubes.net</t>
        </is>
      </c>
      <c r="G721" s="1" t="inlineStr">
        <is>
          <t>“Three Cubes” startup is the leading game-based learning organization for K12 in the Baltic States. We are already ahead of the global education shift — we are automating soft skills education, while gaining knowledge and enabling teachers to be facilitators of the self-driven educational play of students.
In 2020, we were selected as one of the 16 best digital solutions in Europe (Young Innovators category) in the international World Summit Awards.
Markets we have launched in:
200+ organizations have used and uses our programmes;
30,000+ children have gone through our learning platform;
6+ years in Lithuanian market;
Piloting in U.K. and U.S. market.</t>
        </is>
      </c>
      <c r="H721" s="1" t="inlineStr">
        <is>
          <t>EdTech Lithuania</t>
        </is>
      </c>
      <c r="I721" s="1" t="n"/>
      <c r="J721" s="1" t="inlineStr">
        <is>
          <t>Vilnius</t>
        </is>
      </c>
      <c r="K721" t="inlineStr">
        <is>
          <t>Vilnius</t>
        </is>
      </c>
      <c r="L721" t="inlineStr">
        <is>
          <t>Vilnius, Lithuania</t>
        </is>
      </c>
      <c r="M721" t="n">
        <v>54.6870458</v>
      </c>
      <c r="N721" t="n">
        <v>25.2829111</v>
      </c>
      <c r="O721" s="1" t="inlineStr">
        <is>
          <t>Lithuania</t>
        </is>
      </c>
      <c r="P721" s="1" t="inlineStr">
        <is>
          <t>Lithuania, United Kingdom</t>
        </is>
      </c>
      <c r="Q721" s="1" t="inlineStr">
        <is>
          <t>11 to 50</t>
        </is>
      </c>
      <c r="R721" t="inlineStr">
        <is>
          <t>Small</t>
        </is>
      </c>
      <c r="S721" s="1" t="inlineStr">
        <is>
          <t>Business to Business</t>
        </is>
      </c>
      <c r="T721" s="1" t="inlineStr">
        <is>
          <t>Primary Education, Secondary Education</t>
        </is>
      </c>
      <c r="U721" s="1" t="inlineStr">
        <is>
          <t>System/Administrative, Student interfacing, Teacher interfacing</t>
        </is>
      </c>
      <c r="V721" s="10" t="inlineStr">
        <is>
          <t>Game-based learning platform</t>
        </is>
      </c>
      <c r="W721" s="1" t="inlineStr">
        <is>
          <t>"Three Cubes" team of experts create formal and informal lessons in a virtual game world and provide this immersive educational learning platform to schools. Our content is integrated into the schools’ curriculum. Our target group is 2nd to 12th grade school students. The monthly subscription buyers of lessons are their parents or schools. Our game-based lessons are easily scalable — the content can be translated into different languages and used all over the world.</t>
        </is>
      </c>
      <c r="X721" s="10" t="inlineStr">
        <is>
          <t>https://drive.google.com/uc?export=view&amp;id=1mmzOosgg2TkNlKmk7kFidY7TZjMHTJNL</t>
        </is>
      </c>
      <c r="Y721" t="inlineStr">
        <is>
          <t>https://drive.google.com/uc?export=view&amp;id=1mmzOosgg2TkNlKmk7kFidY7TZjMHTJNL</t>
        </is>
      </c>
      <c r="Z721" s="1" t="inlineStr">
        <is>
          <t>https://drive.google.com/uc?export=view&amp;id=1mmzOosgg2TkNlKmk7kFidY7TZjMHTJNL</t>
        </is>
      </c>
      <c r="AA721" s="1" t="inlineStr">
        <is>
          <t>Unverified</t>
        </is>
      </c>
      <c r="AB721" s="1" t="n"/>
      <c r="AC721" s="1" t="n"/>
      <c r="AD721" s="10" t="n"/>
      <c r="AE721" s="1" t="n"/>
      <c r="AF721" s="1" t="inlineStr">
        <is>
          <t>Yes</t>
        </is>
      </c>
      <c r="AG721" s="1" t="inlineStr">
        <is>
          <t>https://www.instagram.com/threecubescompany/</t>
        </is>
      </c>
      <c r="AH721" s="1" t="inlineStr">
        <is>
          <t>https://www.linkedin.com/company/three-cubes/</t>
        </is>
      </c>
      <c r="AI721" t="inlineStr">
        <is>
          <t>https://www.linkedin.com/company/three-cubes/</t>
        </is>
      </c>
    </row>
    <row r="722" ht="12.5" customHeight="1">
      <c r="A722" s="6" t="n">
        <v>45181</v>
      </c>
      <c r="B722" s="1" t="inlineStr">
        <is>
          <t>ORG_2412</t>
        </is>
      </c>
      <c r="C722" s="1" t="b">
        <v>1</v>
      </c>
      <c r="D722" s="1" t="inlineStr">
        <is>
          <t>Timelinefy</t>
        </is>
      </c>
      <c r="E722" s="10" t="inlineStr">
        <is>
          <t>www.timelinefy.com</t>
        </is>
      </c>
      <c r="F722" t="inlineStr">
        <is>
          <t>timelinefy.com</t>
        </is>
      </c>
      <c r="G722" s="1" t="inlineStr">
        <is>
          <t>Timelinefy is an edtech startup that aims to help students learn more efficiently and easily. We understand that supports are crucial for the learning process. Paper is an example of a support that can help us do math or design a piece of equipment. We want to offer a digital support to help people think about issues that require reflection and analysis of a large amount of information, and that benefits from considering different perspectives. Our tool is a digital timeline, which offers an intuitive and interactive graphical interface. With it, users can in a way "visualize" and "manipulate" time, making connections and relationships between relevant events visible, in order to think about issues from economic theory to wars or climate change.</t>
        </is>
      </c>
      <c r="H722" s="1" t="inlineStr">
        <is>
          <t>I'm not part of any EdTech association</t>
        </is>
      </c>
      <c r="I722" s="1" t="n"/>
      <c r="J722" s="1" t="inlineStr">
        <is>
          <t>Cascais</t>
        </is>
      </c>
      <c r="K722" t="inlineStr">
        <is>
          <t>Cascais</t>
        </is>
      </c>
      <c r="L722" t="inlineStr">
        <is>
          <t>Cascais, Portugal</t>
        </is>
      </c>
      <c r="M722" t="n">
        <v>38.6968919</v>
      </c>
      <c r="N722" t="n">
        <v>-9.4204495</v>
      </c>
      <c r="O722" s="1" t="inlineStr">
        <is>
          <t>Portugal</t>
        </is>
      </c>
      <c r="P722" s="1" t="inlineStr">
        <is>
          <t>Portugal</t>
        </is>
      </c>
      <c r="Q722" s="1" t="inlineStr">
        <is>
          <t>0 to 10</t>
        </is>
      </c>
      <c r="R722" t="inlineStr">
        <is>
          <t>Micro</t>
        </is>
      </c>
      <c r="S722" s="1" t="inlineStr">
        <is>
          <t>Business to Business</t>
        </is>
      </c>
      <c r="T722" s="1" t="inlineStr">
        <is>
          <t>Secondary Education</t>
        </is>
      </c>
      <c r="U722" s="1" t="inlineStr">
        <is>
          <t>Student interfacing, Teacher interfacing</t>
        </is>
      </c>
      <c r="V722" s="1" t="n"/>
      <c r="W722" s="1" t="inlineStr">
        <is>
          <t>https://drive.google.com/uc?export=view&amp;id=1ff7ez4UHFj29d0-3cukPQCjUBR309QEp</t>
        </is>
      </c>
      <c r="X722" s="1" t="inlineStr">
        <is>
          <t>https://drive.google.com/uc?export=view&amp;id=1ff7ez4UHFj29d0-3cukPQCjUBR309QEp</t>
        </is>
      </c>
      <c r="Y722" t="inlineStr">
        <is>
          <t>https://drive.google.com/uc?export=view&amp;id=1ff7ez4UHFj29d0-3cukPQCjUBR309QEp</t>
        </is>
      </c>
      <c r="Z722" s="1" t="inlineStr">
        <is>
          <t>https://drive.google.com/uc?export=view&amp;id=1ff7ez4UHFj29d0-3cukPQCjUBR309QEp</t>
        </is>
      </c>
      <c r="AA722" s="1" t="inlineStr">
        <is>
          <t>Unverified</t>
        </is>
      </c>
      <c r="AB722" s="1" t="n"/>
      <c r="AC722" s="1" t="n"/>
      <c r="AD722" s="10" t="n"/>
      <c r="AE722" s="1" t="n"/>
      <c r="AF722" t="inlineStr">
        <is>
          <t>No</t>
        </is>
      </c>
    </row>
    <row r="723" ht="12.5" customHeight="1">
      <c r="A723" s="6" t="n">
        <v>45181</v>
      </c>
      <c r="B723" s="1" t="inlineStr">
        <is>
          <t>ORG_2468</t>
        </is>
      </c>
      <c r="C723" s="1" t="b">
        <v>1</v>
      </c>
      <c r="D723" s="1" t="inlineStr">
        <is>
          <t>UNIwise</t>
        </is>
      </c>
      <c r="E723" s="10" t="inlineStr">
        <is>
          <t>www.uniwise.co.uk</t>
        </is>
      </c>
      <c r="F723" t="inlineStr">
        <is>
          <t>uniwise.co.uk</t>
        </is>
      </c>
      <c r="G723" s="1" t="inlineStr">
        <is>
          <t>UNIwise supports educational institutions to take advantage of the power of digital assessment. WISEflow, our digital assessment platform, manages the complete assessment and feedback lifecycle across a wide range of assessment types and formats. While working in higher education, our founders identified the need for digital assessment, using their experience in research and management to develop WISEflow is a platform that meets both teaching and learning and administrative needs. As a result, WISEflow helps universities to streamline the assessment process, ensure consistency, improve feedback and raise student satisfaction. UNIwise employees are specialists from within higher education, and our expertise is now trusted by more than 100 institutions across Europe to improve their students’ learning and transform education.</t>
        </is>
      </c>
      <c r="H723" s="1" t="inlineStr">
        <is>
          <t>EdTech Denmark</t>
        </is>
      </c>
      <c r="I723" s="1" t="n"/>
      <c r="J723" s="1" t="inlineStr">
        <is>
          <t>Aarhus</t>
        </is>
      </c>
      <c r="K723" t="inlineStr">
        <is>
          <t>Aarhus</t>
        </is>
      </c>
      <c r="L723" t="inlineStr">
        <is>
          <t>Aarhus, Denmark</t>
        </is>
      </c>
      <c r="M723" t="n">
        <v>56.1496278</v>
      </c>
      <c r="N723" t="n">
        <v>10.2134046</v>
      </c>
      <c r="O723" s="1" t="inlineStr">
        <is>
          <t>Denmark</t>
        </is>
      </c>
      <c r="P723" s="1" t="inlineStr">
        <is>
          <t>Austria, Belgium, Denmark, Finland, France, Germany, Iceland, Malta, Netherlands, Norway, Portugal, Sweden, Switzerland, United Kingdom</t>
        </is>
      </c>
      <c r="Q723" s="1" t="inlineStr">
        <is>
          <t>51 to 100</t>
        </is>
      </c>
      <c r="R723" t="inlineStr">
        <is>
          <t>Medium</t>
        </is>
      </c>
      <c r="S723" s="1" t="inlineStr">
        <is>
          <t>Business to Business, Business to Consumer, Business to Government, Business to Schools</t>
        </is>
      </c>
      <c r="T723" s="1" t="inlineStr">
        <is>
          <t>Higher Education, Corporate Training</t>
        </is>
      </c>
      <c r="U723" s="1" t="inlineStr">
        <is>
          <t>Teacher interfacing, System/Administrative</t>
        </is>
      </c>
      <c r="V723" s="1" t="inlineStr">
        <is>
          <t>WISEflow</t>
        </is>
      </c>
      <c r="W723" s="10" t="inlineStr">
        <is>
          <t>WISEflow is a digital assessment platform that manages the complete assessment and feedback lifecycle across a wide range of assessment types and formats. WISEflow helps universities to streamline the assessment process, ensure consistency, improve feedback and raise student satisfaction.</t>
        </is>
      </c>
      <c r="X723" s="10" t="inlineStr">
        <is>
          <t>https://drive.google.com/uc?export=view&amp;id=1RVBCyR6pERkc5iarVMl1p5lLI-sQr6I3</t>
        </is>
      </c>
      <c r="Y723" t="inlineStr">
        <is>
          <t>https://drive.google.com/uc?export=view&amp;id=1RVBCyR6pERkc5iarVMl1p5lLI-sQr6I3</t>
        </is>
      </c>
      <c r="Z723" s="1" t="inlineStr">
        <is>
          <t>https://drive.google.com/uc?export=view&amp;id=1RVBCyR6pERkc5iarVMl1p5lLI-sQr6I3</t>
        </is>
      </c>
      <c r="AA723" s="1" t="inlineStr">
        <is>
          <t>Unverified</t>
        </is>
      </c>
      <c r="AB723" s="1" t="n"/>
      <c r="AC723" s="1" t="n"/>
      <c r="AD723" s="10" t="n"/>
      <c r="AE723" s="1" t="n"/>
      <c r="AF723" t="inlineStr">
        <is>
          <t>Yes</t>
        </is>
      </c>
      <c r="AG723" t="inlineStr">
        <is>
          <t>https://twitter.com/UNIwiseDK</t>
        </is>
      </c>
      <c r="AH723" t="inlineStr">
        <is>
          <t>https://twitter.com/UNIwiseDK</t>
        </is>
      </c>
      <c r="AI723" t="inlineStr">
        <is>
          <t>https://www.linkedin.com/company/uniwise-aps/</t>
        </is>
      </c>
    </row>
    <row r="724" ht="12.5" customHeight="1">
      <c r="A724" s="6" t="n">
        <v>45181</v>
      </c>
      <c r="B724" s="1" t="inlineStr">
        <is>
          <t>ORG_2277</t>
        </is>
      </c>
      <c r="C724" s="1" t="b">
        <v>1</v>
      </c>
      <c r="D724" s="1" t="inlineStr">
        <is>
          <t>SmartCoding</t>
        </is>
      </c>
      <c r="E724" s="10" t="inlineStr">
        <is>
          <t>http://smartcoding.se</t>
        </is>
      </c>
      <c r="F724" t="inlineStr">
        <is>
          <t>smartcoding.se</t>
        </is>
      </c>
      <c r="G724" s="1" t="inlineStr">
        <is>
          <t>SmartCoding brings a complex solution to the “women in IT” challenge by offering niche education programs which combine hands-on learning, mentoring, career coaching and connecting graduates with the job market, and the entire program is free of charge for participants! During the intensive courses we simulate a real IT work environment and the students work on real IT projects provided by our partners – companies or startups. That model of education allows students to practice their new skills with the engaging hands-on learning experience, and also helps them build their real projects’ portfolio to show to the potential employer.</t>
        </is>
      </c>
      <c r="H724" s="1" t="inlineStr">
        <is>
          <t>I'm not part of any EdTech association</t>
        </is>
      </c>
      <c r="I724" s="1" t="n"/>
      <c r="J724" s="1" t="inlineStr">
        <is>
          <t>Stockholm</t>
        </is>
      </c>
      <c r="K724" t="inlineStr">
        <is>
          <t>Stockholm</t>
        </is>
      </c>
      <c r="L724" t="inlineStr">
        <is>
          <t>Stockholm, Sweden</t>
        </is>
      </c>
      <c r="M724" t="n">
        <v>59.3251172</v>
      </c>
      <c r="N724" t="n">
        <v>18.0710935</v>
      </c>
      <c r="O724" s="1" t="inlineStr">
        <is>
          <t>Sweden</t>
        </is>
      </c>
      <c r="P724" s="1" t="inlineStr">
        <is>
          <t>Sweden</t>
        </is>
      </c>
      <c r="Q724" s="1" t="inlineStr">
        <is>
          <t>0 to 10</t>
        </is>
      </c>
      <c r="R724" t="inlineStr">
        <is>
          <t>Micro</t>
        </is>
      </c>
      <c r="S724" s="1" t="inlineStr">
        <is>
          <t>Business to Business, Business to Consumer</t>
        </is>
      </c>
      <c r="T724" s="1" t="inlineStr">
        <is>
          <t>Corporate Training, Lifelong learning/Adult education</t>
        </is>
      </c>
      <c r="U724" s="1" t="inlineStr">
        <is>
          <t>Student interfacing, System/Administrative</t>
        </is>
      </c>
      <c r="V724" s="1" t="n"/>
      <c r="W724" s="1" t="inlineStr">
        <is>
          <t>https://drive.google.com/uc?export=view&amp;id=1s4hOjStIwnkt_0F89dQIv8a4e4gy3RLi</t>
        </is>
      </c>
      <c r="X724" s="1" t="inlineStr">
        <is>
          <t>https://drive.google.com/uc?export=view&amp;id=1s4hOjStIwnkt_0F89dQIv8a4e4gy3RLi</t>
        </is>
      </c>
      <c r="Y724" t="inlineStr">
        <is>
          <t>https://drive.google.com/uc?export=view&amp;id=1s4hOjStIwnkt_0F89dQIv8a4e4gy3RLi</t>
        </is>
      </c>
      <c r="Z724" s="1" t="inlineStr">
        <is>
          <t>https://drive.google.com/uc?export=view&amp;id=1s4hOjStIwnkt_0F89dQIv8a4e4gy3RLi</t>
        </is>
      </c>
      <c r="AA724" s="1" t="inlineStr">
        <is>
          <t>Unverified</t>
        </is>
      </c>
      <c r="AB724" s="1" t="n"/>
      <c r="AC724" s="1" t="n"/>
      <c r="AD724" s="10" t="n"/>
      <c r="AE724" s="1" t="n"/>
      <c r="AF724" t="inlineStr">
        <is>
          <t>No</t>
        </is>
      </c>
    </row>
    <row r="725" ht="12.5" customHeight="1">
      <c r="A725" s="6" t="n">
        <v>45181</v>
      </c>
      <c r="B725" s="1" t="inlineStr">
        <is>
          <t>ORG_2050</t>
        </is>
      </c>
      <c r="C725" s="1" t="b">
        <v>1</v>
      </c>
      <c r="D725" s="1" t="inlineStr">
        <is>
          <t>Nualang</t>
        </is>
      </c>
      <c r="E725" s="10" t="inlineStr">
        <is>
          <t>https://nualang.com</t>
        </is>
      </c>
      <c r="F725" t="inlineStr">
        <is>
          <t>nualang.com</t>
        </is>
      </c>
      <c r="G725" s="1" t="inlineStr">
        <is>
          <t>An innovative language learning platform built with teachers, students, and publishers in mind. Teachers can supplement their lesson plans and teaching methods with customisable content on Nualang. Likewise, Publishers can complement their print media with interactive digital activities. Nualang focuses on building students' confidence in speaking their target language with instant feedback across all exercises. A fun, new solution to learning a new language.</t>
        </is>
      </c>
      <c r="H725" s="1" t="inlineStr">
        <is>
          <t>I'm not part of any EdTech association</t>
        </is>
      </c>
      <c r="I725" s="1" t="n"/>
      <c r="J725" s="1" t="inlineStr">
        <is>
          <t>Dublin 2</t>
        </is>
      </c>
      <c r="K725" t="inlineStr">
        <is>
          <t>Dublin</t>
        </is>
      </c>
      <c r="L725" t="inlineStr">
        <is>
          <t>Dublin, Ireland</t>
        </is>
      </c>
      <c r="M725" t="n">
        <v>53.3493795</v>
      </c>
      <c r="N725" t="n">
        <v>-6.2605593</v>
      </c>
      <c r="O725" s="1" t="inlineStr">
        <is>
          <t>Ireland</t>
        </is>
      </c>
      <c r="P725" s="1" t="inlineStr">
        <is>
          <t>France, Germany, Ireland, Italy, Portugal, Spain, United Kingdom</t>
        </is>
      </c>
      <c r="Q725" s="1" t="inlineStr">
        <is>
          <t>11 to 50</t>
        </is>
      </c>
      <c r="R725" t="inlineStr">
        <is>
          <t>Small</t>
        </is>
      </c>
      <c r="S725" s="1" t="inlineStr">
        <is>
          <t>Business to Business, Business to Consumer, Business to Schools</t>
        </is>
      </c>
      <c r="T725" s="1" t="inlineStr">
        <is>
          <t>Primary Education, Secondary Education, Higher Education</t>
        </is>
      </c>
      <c r="U725" s="1" t="inlineStr">
        <is>
          <t>Teacher interfacing</t>
        </is>
      </c>
      <c r="V725" s="1" t="n"/>
      <c r="W725" s="1" t="inlineStr">
        <is>
          <t>https://drive.google.com/uc?export=view&amp;id=1dj0dmjDlliLUhJQUJCyjWPAxFZlp8_Zn</t>
        </is>
      </c>
      <c r="X725" s="1" t="inlineStr">
        <is>
          <t>https://drive.google.com/uc?export=view&amp;id=1dj0dmjDlliLUhJQUJCyjWPAxFZlp8_Zn</t>
        </is>
      </c>
      <c r="Y725" t="inlineStr">
        <is>
          <t>https://drive.google.com/uc?export=view&amp;id=1dj0dmjDlliLUhJQUJCyjWPAxFZlp8_Zn</t>
        </is>
      </c>
      <c r="Z725" s="1" t="inlineStr">
        <is>
          <t>https://drive.google.com/uc?export=view&amp;id=1dj0dmjDlliLUhJQUJCyjWPAxFZlp8_Zn</t>
        </is>
      </c>
      <c r="AA725" s="1" t="inlineStr">
        <is>
          <t>Unverified</t>
        </is>
      </c>
      <c r="AB725" s="1" t="n"/>
      <c r="AC725" s="1" t="n"/>
      <c r="AD725" s="10" t="n"/>
      <c r="AE725" s="1" t="n"/>
      <c r="AF725" t="inlineStr">
        <is>
          <t>No</t>
        </is>
      </c>
    </row>
    <row r="726" ht="12.5" customHeight="1">
      <c r="A726" s="6" t="n">
        <v>45181</v>
      </c>
      <c r="B726" s="1" t="inlineStr">
        <is>
          <t>ORG_1330</t>
        </is>
      </c>
      <c r="C726" s="1" t="b">
        <v>1</v>
      </c>
      <c r="D726" s="1" t="inlineStr">
        <is>
          <t>Datorium</t>
        </is>
      </c>
      <c r="E726" s="10" t="inlineStr">
        <is>
          <t>https://datorium.eu</t>
        </is>
      </c>
      <c r="F726" t="inlineStr">
        <is>
          <t>datorium.eu</t>
        </is>
      </c>
      <c r="G726" s="1" t="inlineStr">
        <is>
          <t>We are actively developing EdTech solutions for online student engagement, real-time performance assessment and study process gamification. Our solutions are used by 70 schools and we are conducting teaching activities with our innovative technologies for more than 4500 students.</t>
        </is>
      </c>
      <c r="H726" s="1" t="inlineStr">
        <is>
          <t>I'm not part of any EdTech association</t>
        </is>
      </c>
      <c r="I726" s="1" t="n"/>
      <c r="J726" s="1" t="inlineStr">
        <is>
          <t>Riga</t>
        </is>
      </c>
      <c r="K726" t="inlineStr">
        <is>
          <t>Riga</t>
        </is>
      </c>
      <c r="L726" t="inlineStr">
        <is>
          <t>Riga, Latvia</t>
        </is>
      </c>
      <c r="M726" t="n">
        <v>56.9493977</v>
      </c>
      <c r="N726" t="n">
        <v>24.1051846</v>
      </c>
      <c r="O726" s="1" t="inlineStr">
        <is>
          <t>Latvia</t>
        </is>
      </c>
      <c r="P726" s="1" t="inlineStr">
        <is>
          <t>Czechia, Estonia, Finland, Latvia, Lithuania, Poland, Sweden</t>
        </is>
      </c>
      <c r="Q726" s="1" t="inlineStr">
        <is>
          <t>11 to 50</t>
        </is>
      </c>
      <c r="R726" t="inlineStr">
        <is>
          <t>Small</t>
        </is>
      </c>
      <c r="S726" s="1" t="inlineStr">
        <is>
          <t>Business to Business, Business to Government, Business to Schools</t>
        </is>
      </c>
      <c r="T726" s="1" t="inlineStr">
        <is>
          <t>Secondary Education, Higher Education, Corporate Training</t>
        </is>
      </c>
      <c r="U726" s="1" t="inlineStr">
        <is>
          <t>Student interfacing, Teacher interfacing, System/Administrative</t>
        </is>
      </c>
      <c r="V726" s="1" t="n"/>
      <c r="W726" s="1" t="inlineStr">
        <is>
          <t>https://drive.google.com/uc?export=view&amp;id=1ATH7fBNgzG5jtccR774xWsOpHAYYtFqk</t>
        </is>
      </c>
      <c r="X726" s="1" t="inlineStr">
        <is>
          <t>https://drive.google.com/uc?export=view&amp;id=1ATH7fBNgzG5jtccR774xWsOpHAYYtFqk</t>
        </is>
      </c>
      <c r="Y726" t="inlineStr">
        <is>
          <t>https://drive.google.com/uc?export=view&amp;id=1ATH7fBNgzG5jtccR774xWsOpHAYYtFqk</t>
        </is>
      </c>
      <c r="Z726" s="1" t="inlineStr">
        <is>
          <t>https://drive.google.com/uc?export=view&amp;id=1ATH7fBNgzG5jtccR774xWsOpHAYYtFqk</t>
        </is>
      </c>
      <c r="AA726" s="1" t="inlineStr">
        <is>
          <t>Unverified</t>
        </is>
      </c>
      <c r="AB726" s="1" t="n"/>
      <c r="AC726" s="1" t="n"/>
      <c r="AD726" s="10" t="n"/>
      <c r="AE726" s="1" t="n"/>
      <c r="AF726" t="inlineStr">
        <is>
          <t>No</t>
        </is>
      </c>
    </row>
    <row r="727" ht="12.5" customHeight="1">
      <c r="A727" s="6" t="n">
        <v>45181</v>
      </c>
      <c r="B727" s="1" t="inlineStr">
        <is>
          <t>ORG_2028</t>
        </is>
      </c>
      <c r="C727" s="1" t="b">
        <v>1</v>
      </c>
      <c r="D727" s="1" t="inlineStr">
        <is>
          <t>Neotica</t>
        </is>
      </c>
      <c r="E727" s="10" t="inlineStr">
        <is>
          <t>neotica.net</t>
        </is>
      </c>
      <c r="F727" t="inlineStr">
        <is>
          <t>neotica.net</t>
        </is>
      </c>
      <c r="G727" s="1" t="inlineStr">
        <is>
          <t>Neotica was born in 2006 as a consultancy specialized in Information and Communication Technologies (ICT).
We offer technological services and solutions for Infrastructures, Communications and Information Security. We deploy services based on agile methodologies and good industry practices.
“We prioritize simplicity and flexibility. We promote technological minimalism”
Computer security is our priority and is present when defining architecture, systems integration, applications and services.</t>
        </is>
      </c>
      <c r="H727" s="1" t="inlineStr">
        <is>
          <t>EduTech Cluster Spain</t>
        </is>
      </c>
      <c r="I727" s="1" t="n"/>
      <c r="J727" s="1" t="inlineStr">
        <is>
          <t>Terrassa</t>
        </is>
      </c>
      <c r="K727" t="inlineStr">
        <is>
          <t>Terrassa</t>
        </is>
      </c>
      <c r="L727" t="inlineStr">
        <is>
          <t>Terrassa, Spain</t>
        </is>
      </c>
      <c r="M727" t="n">
        <v>41.5629623</v>
      </c>
      <c r="N727" t="n">
        <v>2.0100492</v>
      </c>
      <c r="O727" s="1" t="inlineStr">
        <is>
          <t>Spain</t>
        </is>
      </c>
      <c r="P727" s="1" t="inlineStr">
        <is>
          <t>Andorra, Portugal, Spain</t>
        </is>
      </c>
      <c r="Q727" s="1" t="inlineStr">
        <is>
          <t>0 to 10</t>
        </is>
      </c>
      <c r="R727" t="inlineStr">
        <is>
          <t>Micro</t>
        </is>
      </c>
      <c r="S727" s="1" t="inlineStr">
        <is>
          <t>Business to Business, Business to Government, Business to Schools</t>
        </is>
      </c>
      <c r="T727" s="1" t="inlineStr">
        <is>
          <t>Primary Education, Secondary Education, Corporate Training, Lifelong learning/Adult education</t>
        </is>
      </c>
      <c r="U727" s="1" t="inlineStr">
        <is>
          <t>Teacher interfacing, Student interfacing, System/Administrative</t>
        </is>
      </c>
      <c r="V727" s="1" t="inlineStr">
        <is>
          <t>autenticae</t>
        </is>
      </c>
      <c r="W727" s="10" t="inlineStr">
        <is>
          <t>At a school we seek to solve problems in the easiest, most efficient and safest way possible. With the rise of new technologies, recent years have meant that more and more students and teachers enter a classroom with devices that connect to the school's WiFi networks. If we count mobile phones, tablets and laptops, it is relatively easy for each user to have two or more devices connected to the Wi-Fi network. A reality for which few organizations are prepared and that can lead to a slowdown in the performance of the tasks that are indeed their objective. For all this, autenticae has designed an ideal proposal to solve this type of problem and guarantee the good work of this type of connections, guaranteeing a correct performance of the connection in an efficient and secure way.</t>
        </is>
      </c>
      <c r="X727" s="10" t="inlineStr">
        <is>
          <t>https://drive.google.com/uc?export=view&amp;id=1FzK_HWgbHCWMc0pGFQ0LefHahvhx2-6v</t>
        </is>
      </c>
      <c r="Y727" t="inlineStr">
        <is>
          <t>https://drive.google.com/uc?export=view&amp;id=1FzK_HWgbHCWMc0pGFQ0LefHahvhx2-6v</t>
        </is>
      </c>
      <c r="Z727" s="1" t="inlineStr">
        <is>
          <t>https://drive.google.com/uc?export=view&amp;id=1FzK_HWgbHCWMc0pGFQ0LefHahvhx2-6v</t>
        </is>
      </c>
      <c r="AA727" s="1" t="inlineStr">
        <is>
          <t>Unverified</t>
        </is>
      </c>
      <c r="AB727" s="1" t="n"/>
      <c r="AC727" s="1" t="n"/>
      <c r="AD727" s="10" t="n"/>
      <c r="AE727" s="1" t="n"/>
      <c r="AF727" t="inlineStr">
        <is>
          <t>Yes</t>
        </is>
      </c>
      <c r="AG727" t="inlineStr">
        <is>
          <t>https://twitter.com/neoticasolution?s=20&amp;t=Ok5IOuFs3PMviPFZ2PDQvQ</t>
        </is>
      </c>
      <c r="AH727" t="inlineStr">
        <is>
          <t>https://twitter.com/neoticasolution?s=20&amp;t=Ok5IOuFs3PMviPFZ2PDQvQ</t>
        </is>
      </c>
      <c r="AI727" t="inlineStr">
        <is>
          <t>https://www.linkedin.com/company/neotica-solutions/</t>
        </is>
      </c>
    </row>
    <row r="728" ht="12.5" customHeight="1">
      <c r="A728" s="6" t="n">
        <v>45181</v>
      </c>
      <c r="B728" s="1" t="inlineStr">
        <is>
          <t>ORG_2360</t>
        </is>
      </c>
      <c r="C728" s="1" t="b">
        <v>1</v>
      </c>
      <c r="D728" s="1" t="inlineStr">
        <is>
          <t>Synergetics Education</t>
        </is>
      </c>
      <c r="E728" s="10" t="inlineStr">
        <is>
          <t>https://synergetics.us</t>
        </is>
      </c>
      <c r="F728" t="inlineStr">
        <is>
          <t>synergetics.us</t>
        </is>
      </c>
      <c r="G728" s="1" t="inlineStr">
        <is>
          <t>Synergetics Education creates a dynamic flow between content, language, technology, and impact so that 'thinking' systems emerge synergistically to provide value as each human actor in the network emerges in conscious 'thought.' As a result, we open new ways of financing and measuring education, support various economic segments, use smart contract and distributed ledger technology to synergize various parts of education into a greater whole.</t>
        </is>
      </c>
      <c r="H728" s="1" t="inlineStr">
        <is>
          <t>I'm not part of any EdTech association</t>
        </is>
      </c>
      <c r="I728" s="1" t="n"/>
      <c r="J728" s="1" t="inlineStr">
        <is>
          <t>Vienna</t>
        </is>
      </c>
      <c r="K728" t="inlineStr">
        <is>
          <t>Vienna</t>
        </is>
      </c>
      <c r="L728" t="inlineStr">
        <is>
          <t>Vienna, Austria</t>
        </is>
      </c>
      <c r="M728" t="n">
        <v>48.2083537</v>
      </c>
      <c r="N728" t="n">
        <v>16.3725042</v>
      </c>
      <c r="O728" s="1" t="inlineStr">
        <is>
          <t>Austria</t>
        </is>
      </c>
      <c r="P728" s="1" t="inlineStr">
        <is>
          <t>Austria, Belgium, France, Germany, Italy, Lithuania, Malta, Netherlands, Poland, Serbia, Spain, United Kingdom</t>
        </is>
      </c>
      <c r="Q728" s="1" t="inlineStr">
        <is>
          <t>0 to 10</t>
        </is>
      </c>
      <c r="R728" t="inlineStr">
        <is>
          <t>Micro</t>
        </is>
      </c>
      <c r="S728" s="1" t="inlineStr">
        <is>
          <t>Business to Business, Business to Government</t>
        </is>
      </c>
      <c r="T728" s="1" t="inlineStr">
        <is>
          <t>Corporate Training, Lifelong learning/Adult education</t>
        </is>
      </c>
      <c r="U728" s="1" t="inlineStr">
        <is>
          <t>Student interfacing, System/Administrative</t>
        </is>
      </c>
      <c r="V728" s="1" t="n"/>
      <c r="W728" s="1" t="inlineStr">
        <is>
          <t>https://drive.google.com/uc?export=view&amp;id=1yN8Yrn7LtfYhqQudK2RC_Q9QESOLmIkJ</t>
        </is>
      </c>
      <c r="X728" s="1" t="inlineStr">
        <is>
          <t>https://drive.google.com/uc?export=view&amp;id=1yN8Yrn7LtfYhqQudK2RC_Q9QESOLmIkJ</t>
        </is>
      </c>
      <c r="Y728" t="inlineStr">
        <is>
          <t>https://drive.google.com/uc?export=view&amp;id=1yN8Yrn7LtfYhqQudK2RC_Q9QESOLmIkJ</t>
        </is>
      </c>
      <c r="Z728" s="1" t="inlineStr">
        <is>
          <t>https://drive.google.com/uc?export=view&amp;id=1yN8Yrn7LtfYhqQudK2RC_Q9QESOLmIkJ</t>
        </is>
      </c>
      <c r="AA728" s="1" t="inlineStr">
        <is>
          <t>Unverified</t>
        </is>
      </c>
      <c r="AB728" s="1" t="n"/>
      <c r="AC728" s="1" t="n"/>
      <c r="AD728" s="10" t="n"/>
      <c r="AE728" s="1" t="n"/>
      <c r="AF728" t="inlineStr">
        <is>
          <t>No</t>
        </is>
      </c>
    </row>
    <row r="729" ht="12.5" customHeight="1">
      <c r="A729" s="6" t="n">
        <v>45181</v>
      </c>
      <c r="B729" s="1" t="inlineStr">
        <is>
          <t>ORG_2305</t>
        </is>
      </c>
      <c r="C729" s="1" t="b">
        <v>1</v>
      </c>
      <c r="D729" s="10" t="inlineStr">
        <is>
          <t>spatium.bg</t>
        </is>
      </c>
      <c r="E729" s="10" t="inlineStr">
        <is>
          <t>https://spatium.bg/</t>
        </is>
      </c>
      <c r="F729" t="inlineStr">
        <is>
          <t>spatium.bg</t>
        </is>
      </c>
      <c r="G729" s="1" t="inlineStr">
        <is>
          <t>We adamantly pursue our mission to give everyone access to trustworthy information by creating exceptional, state of the art dynamic maps!
Our aim is to digitaze history &amp; geography education by creating digital dynamic maps with change over time and also geographic maps with unique features.</t>
        </is>
      </c>
      <c r="H729" s="1" t="inlineStr">
        <is>
          <t>I'm not part of any EdTech association</t>
        </is>
      </c>
      <c r="I729" s="1" t="n"/>
      <c r="J729" s="1" t="inlineStr">
        <is>
          <t>Sofia</t>
        </is>
      </c>
      <c r="K729" t="inlineStr">
        <is>
          <t>Sofia</t>
        </is>
      </c>
      <c r="L729" t="inlineStr">
        <is>
          <t>Sofia, Bulgaria</t>
        </is>
      </c>
      <c r="M729" t="n">
        <v>42.6977028</v>
      </c>
      <c r="N729" t="n">
        <v>23.3217359</v>
      </c>
      <c r="O729" s="1" t="inlineStr">
        <is>
          <t>Bulgaria</t>
        </is>
      </c>
      <c r="P729" s="1" t="inlineStr">
        <is>
          <t>Bulgaria</t>
        </is>
      </c>
      <c r="Q729" s="1" t="inlineStr">
        <is>
          <t>0 to 10</t>
        </is>
      </c>
      <c r="R729" t="inlineStr">
        <is>
          <t>Micro</t>
        </is>
      </c>
      <c r="S729" s="1" t="inlineStr">
        <is>
          <t>Business to Consumer, Business to Government</t>
        </is>
      </c>
      <c r="T729" s="1" t="inlineStr">
        <is>
          <t>Primary Education, Secondary Education, Higher Education</t>
        </is>
      </c>
      <c r="U729" s="1" t="inlineStr">
        <is>
          <t>System/Administrative, Student interfacing, Teacher interfacing</t>
        </is>
      </c>
      <c r="V729" s="1" t="n"/>
      <c r="W729" s="1" t="inlineStr">
        <is>
          <t>https://drive.google.com/uc?export=view&amp;id=1kgLR5bh9rN9D5WI8QqgWZhahGMXUGaar</t>
        </is>
      </c>
      <c r="X729" s="1" t="inlineStr">
        <is>
          <t>https://drive.google.com/uc?export=view&amp;id=1kgLR5bh9rN9D5WI8QqgWZhahGMXUGaar</t>
        </is>
      </c>
      <c r="Y729" t="inlineStr">
        <is>
          <t>https://drive.google.com/uc?export=view&amp;id=1kgLR5bh9rN9D5WI8QqgWZhahGMXUGaar</t>
        </is>
      </c>
      <c r="Z729" s="1" t="inlineStr">
        <is>
          <t>https://drive.google.com/uc?export=view&amp;id=1kgLR5bh9rN9D5WI8QqgWZhahGMXUGaar</t>
        </is>
      </c>
      <c r="AA729" s="1" t="inlineStr">
        <is>
          <t>Unverified</t>
        </is>
      </c>
      <c r="AB729" s="1" t="n"/>
      <c r="AC729" s="1" t="n"/>
      <c r="AD729" s="10" t="n"/>
      <c r="AE729" s="1" t="n"/>
      <c r="AF729" t="inlineStr">
        <is>
          <t>No</t>
        </is>
      </c>
    </row>
    <row r="730" ht="12.5" customHeight="1">
      <c r="A730" s="6" t="n">
        <v>45181</v>
      </c>
      <c r="B730" s="1" t="inlineStr">
        <is>
          <t>ORG_2422</t>
        </is>
      </c>
      <c r="C730" s="1" t="b">
        <v>1</v>
      </c>
      <c r="D730" s="1" t="inlineStr">
        <is>
          <t>TopTutors</t>
        </is>
      </c>
      <c r="E730" s="10" t="inlineStr">
        <is>
          <t>https://toptutors.dk/</t>
        </is>
      </c>
      <c r="F730" t="inlineStr">
        <is>
          <t>toptutors.dk</t>
        </is>
      </c>
      <c r="G730" s="1" t="inlineStr">
        <is>
          <t>Online tutoring platform for school kids.</t>
        </is>
      </c>
      <c r="H730" s="1" t="inlineStr">
        <is>
          <t>I'm not part of any EdTech association</t>
        </is>
      </c>
      <c r="I730" s="1" t="n"/>
      <c r="J730" s="1" t="inlineStr">
        <is>
          <t>Frederiksberg</t>
        </is>
      </c>
      <c r="K730" t="inlineStr">
        <is>
          <t>Frederiksberg</t>
        </is>
      </c>
      <c r="L730" t="inlineStr">
        <is>
          <t>Frederiksberg, Denmark</t>
        </is>
      </c>
      <c r="M730" t="n">
        <v>55.678016</v>
      </c>
      <c r="N730" t="n">
        <v>12.5326186</v>
      </c>
      <c r="O730" s="1" t="inlineStr">
        <is>
          <t>Denmark</t>
        </is>
      </c>
      <c r="P730" s="1" t="inlineStr">
        <is>
          <t>Denmark</t>
        </is>
      </c>
      <c r="Q730" s="1" t="inlineStr">
        <is>
          <t>0 to 10</t>
        </is>
      </c>
      <c r="R730" t="inlineStr">
        <is>
          <t>Micro</t>
        </is>
      </c>
      <c r="S730" s="1" t="inlineStr">
        <is>
          <t>Business to Consumer</t>
        </is>
      </c>
      <c r="T730" s="1" t="inlineStr">
        <is>
          <t>Primary Education, Secondary Education</t>
        </is>
      </c>
      <c r="U730" s="1" t="inlineStr">
        <is>
          <t>System/Administrative, Student interfacing</t>
        </is>
      </c>
      <c r="V730" s="1" t="n"/>
      <c r="W730" s="1" t="inlineStr">
        <is>
          <t>https://drive.google.com/uc?export=view&amp;id=1c_RUpubaZy_QmHPx46iXQhy5rUoL92dJ</t>
        </is>
      </c>
      <c r="X730" s="1" t="inlineStr">
        <is>
          <t>https://drive.google.com/uc?export=view&amp;id=1c_RUpubaZy_QmHPx46iXQhy5rUoL92dJ</t>
        </is>
      </c>
      <c r="Y730" t="inlineStr">
        <is>
          <t>https://drive.google.com/uc?export=view&amp;id=1c_RUpubaZy_QmHPx46iXQhy5rUoL92dJ</t>
        </is>
      </c>
      <c r="Z730" s="1" t="inlineStr">
        <is>
          <t>https://drive.google.com/uc?export=view&amp;id=1c_RUpubaZy_QmHPx46iXQhy5rUoL92dJ</t>
        </is>
      </c>
      <c r="AA730" s="1" t="inlineStr">
        <is>
          <t>Unverified</t>
        </is>
      </c>
      <c r="AB730" s="1" t="n"/>
      <c r="AC730" s="1" t="n"/>
      <c r="AD730" s="10" t="n"/>
      <c r="AE730" s="1" t="n"/>
      <c r="AF730" t="inlineStr">
        <is>
          <t>No</t>
        </is>
      </c>
    </row>
    <row r="731" ht="12.5" customHeight="1">
      <c r="A731" s="6" t="n">
        <v>45181</v>
      </c>
      <c r="B731" s="1" t="inlineStr">
        <is>
          <t>ORG_1046</t>
        </is>
      </c>
      <c r="C731" s="1" t="b">
        <v>1</v>
      </c>
      <c r="D731" s="1" t="inlineStr">
        <is>
          <t>AktivTime ApS</t>
        </is>
      </c>
      <c r="E731" s="10" t="inlineStr">
        <is>
          <t>https://aktivtime.dk/</t>
        </is>
      </c>
      <c r="F731" t="inlineStr">
        <is>
          <t>aktivtime.dk</t>
        </is>
      </c>
      <c r="G731" s="1" t="inlineStr">
        <is>
          <t>Make learning awesome
We believe that movement strengthens children and youngsters learning and motivation
Several studies show that movement counteracts restlessness and helps with concentration. With Aktiv Time you can easily activate your students, optimize their learning and secure their well-being.</t>
        </is>
      </c>
      <c r="H731" s="1" t="inlineStr">
        <is>
          <t>EdTech Denmark</t>
        </is>
      </c>
      <c r="I731" s="1" t="n"/>
      <c r="J731" s="1" t="inlineStr">
        <is>
          <t>Viborg</t>
        </is>
      </c>
      <c r="K731" t="inlineStr">
        <is>
          <t>Viborg</t>
        </is>
      </c>
      <c r="L731" t="inlineStr">
        <is>
          <t>Viborg, Denmark</t>
        </is>
      </c>
      <c r="M731" t="n">
        <v>56.4469128</v>
      </c>
      <c r="N731" t="n">
        <v>9.405935400000001</v>
      </c>
      <c r="O731" s="1" t="inlineStr">
        <is>
          <t>Denmark</t>
        </is>
      </c>
      <c r="P731" s="1" t="inlineStr">
        <is>
          <t>Denmark, Germany, Ireland, Malta, Netherlands, Norway, Sweden, United Kingdom</t>
        </is>
      </c>
      <c r="Q731" s="1" t="inlineStr">
        <is>
          <t>0 to 10</t>
        </is>
      </c>
      <c r="R731" t="inlineStr">
        <is>
          <t>Micro</t>
        </is>
      </c>
      <c r="S731" s="1" t="inlineStr">
        <is>
          <t>Business to Business, Business to Consumer, Business to Government, Business to Schools</t>
        </is>
      </c>
      <c r="T731" s="1" t="inlineStr">
        <is>
          <t>Early childhood development (0-5 years), Primary Education, Secondary Education, Higher Education, Corporate Training, Lifelong learning/Adult education</t>
        </is>
      </c>
      <c r="U731" s="1" t="inlineStr">
        <is>
          <t>System/Administrative, Student interfacing, Teacher interfacing</t>
        </is>
      </c>
      <c r="V731" s="10" t="inlineStr">
        <is>
          <t>AktivTime.dk</t>
        </is>
      </c>
      <c r="W731" s="1" t="inlineStr">
        <is>
          <t>Make learning awesome
We believe that movement strengthens children and youngsters learning and motivation
Several studies show that movement counteracts restlessness and helps with concentration. With Aktiv Time you can easily activate your students, optimize their learning and secure their well-being.</t>
        </is>
      </c>
      <c r="X731" s="10" t="inlineStr">
        <is>
          <t>https://drive.google.com/uc?export=view&amp;id=1pi4VHV5nWHpT34pZO0fytTJQxq8COk0q</t>
        </is>
      </c>
      <c r="Y731" t="inlineStr">
        <is>
          <t>https://drive.google.com/uc?export=view&amp;id=1pi4VHV5nWHpT34pZO0fytTJQxq8COk0q</t>
        </is>
      </c>
      <c r="Z731" s="10" t="inlineStr">
        <is>
          <t>https://drive.google.com/uc?export=view&amp;id=1pi4VHV5nWHpT34pZO0fytTJQxq8COk0q</t>
        </is>
      </c>
      <c r="AA731" s="1" t="inlineStr">
        <is>
          <t>Unverified</t>
        </is>
      </c>
      <c r="AB731" s="1" t="n"/>
      <c r="AC731" s="1" t="n"/>
      <c r="AD731" s="10" t="n"/>
      <c r="AE731" s="1" t="n"/>
      <c r="AF731" t="inlineStr">
        <is>
          <t>Yes</t>
        </is>
      </c>
      <c r="AG731" t="inlineStr">
        <is>
          <t>https://www.instagram.com/aktivtime.dk/</t>
        </is>
      </c>
      <c r="AH731" t="inlineStr">
        <is>
          <t>AktivTime ApS</t>
        </is>
      </c>
      <c r="AI731" t="inlineStr">
        <is>
          <t>https://www.linkedin.com/company/aktivtime/</t>
        </is>
      </c>
    </row>
    <row r="732" ht="12.5" customHeight="1">
      <c r="A732" s="6" t="n">
        <v>45181</v>
      </c>
      <c r="B732" s="1" t="inlineStr">
        <is>
          <t>ORG_1754</t>
        </is>
      </c>
      <c r="C732" s="1" t="b">
        <v>1</v>
      </c>
      <c r="D732" s="1" t="inlineStr">
        <is>
          <t>Jeulin</t>
        </is>
      </c>
      <c r="E732" s="10" t="inlineStr">
        <is>
          <t>www.jeulin.com</t>
        </is>
      </c>
      <c r="F732" t="inlineStr">
        <is>
          <t>jeulin.com</t>
        </is>
      </c>
      <c r="G732" s="1" t="inlineStr">
        <is>
          <t>Jeulin is a long experience French EdTech company, publisher of teaching online resources and supplier of teaching materials serving scientific and technical education. Jeulin designs, manufactures and markets teaching tools for experimental sciences (Physics, Chemistry, Biology and Earth Sciences) and Technology in primary, secondary and higher education.</t>
        </is>
      </c>
      <c r="H732" s="1" t="inlineStr">
        <is>
          <t>AFINEF</t>
        </is>
      </c>
      <c r="I732" s="1" t="inlineStr">
        <is>
          <t>English</t>
        </is>
      </c>
      <c r="J732" s="1" t="inlineStr">
        <is>
          <t>Evreux</t>
        </is>
      </c>
      <c r="K732" t="inlineStr">
        <is>
          <t>Evreux</t>
        </is>
      </c>
      <c r="L732" t="inlineStr">
        <is>
          <t>Evreux, France</t>
        </is>
      </c>
      <c r="M732" t="n">
        <v>49.0268903</v>
      </c>
      <c r="N732" t="n">
        <v>1.1510164</v>
      </c>
      <c r="O732" s="1" t="inlineStr">
        <is>
          <t>France</t>
        </is>
      </c>
      <c r="P732" s="1" t="inlineStr">
        <is>
          <t>Albania, Andorra, Austria, Belgium, Bosnia and Herzegovina, Bulgaria, Croatia, Cyprus, Czechia, Denmark, Estonia, Finland, France, Germany, Greece, Hungary, Ireland, Italy, Liechtenstein, Lithuania, Luxembourg, Malta, Monaco, Montenegro, Netherlands, North Macedonia, Norway, Poland, Portugal, Romania, San Marino, Serbia, Slovakia, Slovenia, Spain, Sweden, Switzerland, United Kingdom</t>
        </is>
      </c>
      <c r="Q732" s="1" t="inlineStr">
        <is>
          <t>101 to 500</t>
        </is>
      </c>
      <c r="R732" t="inlineStr">
        <is>
          <t>Medium or Large (unspecified)</t>
        </is>
      </c>
      <c r="S732" s="1" t="inlineStr">
        <is>
          <t>Business to Consumer, Business to Schools</t>
        </is>
      </c>
      <c r="T732" s="1" t="inlineStr">
        <is>
          <t>Primary Education, Secondary Education, Higher Education</t>
        </is>
      </c>
      <c r="U732" s="1" t="inlineStr">
        <is>
          <t>Student interfacing, Teacher interfacing</t>
        </is>
      </c>
      <c r="V732" s="1" t="inlineStr">
        <is>
          <t>Jeulin online learning platform</t>
        </is>
      </c>
      <c r="W732" s="10" t="inlineStr">
        <is>
          <t>Access to Jeulin online learning platform (www.plateformenum.jeulin.fr) and discover a wide range of teaching resources (online softwares, applications, experiments guides, videos, images, posters, ...) dedicated to Science. These resources are designed to be used in a hybrid way, either in full autonomy by students. They adapt to any type of device: computer, tablet and smartphone.</t>
        </is>
      </c>
      <c r="X732" s="1" t="inlineStr">
        <is>
          <t>https://drive.google.com/uc?export=view&amp;id=1FqYCzcmA-BNTHznSnWftxBwydxXdgce1</t>
        </is>
      </c>
      <c r="Y732" t="inlineStr">
        <is>
          <t>https://drive.google.com/uc?export=view&amp;id=1FqYCzcmA-BNTHznSnWftxBwydxXdgce1</t>
        </is>
      </c>
      <c r="Z732" s="1" t="inlineStr">
        <is>
          <t>https://drive.google.com/uc?export=view&amp;id=1FqYCzcmA-BNTHznSnWftxBwydxXdgce1</t>
        </is>
      </c>
      <c r="AA732" s="1" t="inlineStr">
        <is>
          <t>Unverified</t>
        </is>
      </c>
      <c r="AB732" s="1" t="n"/>
      <c r="AC732" s="1" t="n"/>
      <c r="AD732" s="10" t="n"/>
      <c r="AE732" s="1" t="n"/>
      <c r="AF732" t="inlineStr">
        <is>
          <t>Yes</t>
        </is>
      </c>
      <c r="AG732" t="inlineStr">
        <is>
          <t>https://twitter.com/Jeulin_fr</t>
        </is>
      </c>
      <c r="AH732" t="inlineStr">
        <is>
          <t>https://twitter.com/Jeulin_fr</t>
        </is>
      </c>
    </row>
    <row r="733" ht="12.5" customHeight="1">
      <c r="A733" s="6" t="n">
        <v>45181</v>
      </c>
      <c r="B733" s="1" t="inlineStr">
        <is>
          <t>ORG_1149</t>
        </is>
      </c>
      <c r="C733" s="1" t="b">
        <v>1</v>
      </c>
      <c r="D733" s="1" t="inlineStr">
        <is>
          <t>BeeSpeaker</t>
        </is>
      </c>
      <c r="E733" s="10" t="inlineStr">
        <is>
          <t>https://beespeaker.com</t>
        </is>
      </c>
      <c r="F733" t="inlineStr">
        <is>
          <t>beespeaker.com</t>
        </is>
      </c>
      <c r="G733" s="1" t="inlineStr">
        <is>
          <t>BeeSpeaker is an AI-powered Digital Language Tutor app for learning foreign languages naturally with interactive AI-tutor.</t>
        </is>
      </c>
      <c r="H733" s="1" t="inlineStr">
        <is>
          <t>I'm not part of any EdTech association</t>
        </is>
      </c>
      <c r="I733" s="1" t="inlineStr">
        <is>
          <t>Polish, Spanish, English, Russian, German, French, Italian</t>
        </is>
      </c>
      <c r="J733" s="1" t="inlineStr">
        <is>
          <t>Stockholm</t>
        </is>
      </c>
      <c r="K733" t="inlineStr">
        <is>
          <t>Stockholm</t>
        </is>
      </c>
      <c r="L733" t="inlineStr">
        <is>
          <t>Stockholm, Sweden</t>
        </is>
      </c>
      <c r="M733" t="n">
        <v>59.3251172</v>
      </c>
      <c r="N733" t="n">
        <v>18.0710935</v>
      </c>
      <c r="O733" s="1" t="inlineStr">
        <is>
          <t>Sweden</t>
        </is>
      </c>
      <c r="P733" s="1" t="inlineStr">
        <is>
          <t>Czechia, Germany, Ireland, Italy, Poland, Slovakia, Spain, Sweden, Switzerland, United Kingdom</t>
        </is>
      </c>
      <c r="Q733" s="1" t="inlineStr">
        <is>
          <t>6 to 10</t>
        </is>
      </c>
      <c r="R733" t="inlineStr">
        <is>
          <t>Micro</t>
        </is>
      </c>
      <c r="S733" s="1" t="inlineStr">
        <is>
          <t>Business to Consumer</t>
        </is>
      </c>
      <c r="T733" s="1" t="inlineStr">
        <is>
          <t>Lifelong learning/Adult education</t>
        </is>
      </c>
      <c r="U733" s="1" t="inlineStr">
        <is>
          <t>System/Administrative, Student interfacing</t>
        </is>
      </c>
      <c r="V733" s="10" t="inlineStr">
        <is>
          <t>BeeSpeaker</t>
        </is>
      </c>
      <c r="W733" s="1" t="inlineStr">
        <is>
          <t>BeeSpeaker is an AI-powered language tutor.</t>
        </is>
      </c>
      <c r="X733" s="10" t="inlineStr">
        <is>
          <t>https://drive.google.com/uc?export=view&amp;id=15IOuQQnvl-ZT9cjW7hRqwiuDbMY6L4st</t>
        </is>
      </c>
      <c r="Y733" t="inlineStr">
        <is>
          <t>https://drive.google.com/uc?export=view&amp;id=15IOuQQnvl-ZT9cjW7hRqwiuDbMY6L4st</t>
        </is>
      </c>
      <c r="Z733" s="1" t="inlineStr">
        <is>
          <t>https://drive.google.com/uc?export=view&amp;id=15IOuQQnvl-ZT9cjW7hRqwiuDbMY6L4st</t>
        </is>
      </c>
      <c r="AA733" s="1" t="inlineStr">
        <is>
          <t>Unverified</t>
        </is>
      </c>
      <c r="AB733" s="1" t="n"/>
      <c r="AC733" s="1" t="n"/>
      <c r="AD733" s="10" t="n"/>
      <c r="AE733" s="1" t="n"/>
      <c r="AF733" t="inlineStr">
        <is>
          <t>Yes</t>
        </is>
      </c>
      <c r="AG733" t="inlineStr">
        <is>
          <t>https://www.instagram.com/beespeakerapp</t>
        </is>
      </c>
      <c r="AH733" t="inlineStr">
        <is>
          <t>https://www.linkedin.com/company/beespeaker/</t>
        </is>
      </c>
      <c r="AI733" t="inlineStr">
        <is>
          <t>https://www.linkedin.com/company/beespeaker/</t>
        </is>
      </c>
    </row>
    <row r="734" ht="12.5" customHeight="1">
      <c r="A734" s="6" t="n">
        <v>45181</v>
      </c>
      <c r="B734" s="1" t="inlineStr">
        <is>
          <t>ORG_1103</t>
        </is>
      </c>
      <c r="C734" s="1" t="b">
        <v>1</v>
      </c>
      <c r="D734" s="1" t="inlineStr">
        <is>
          <t>Artologik</t>
        </is>
      </c>
      <c r="E734" s="10" t="inlineStr">
        <is>
          <t>https://www.artologik.com/en/survey-report/solutions/schools-universities</t>
        </is>
      </c>
      <c r="F734" t="inlineStr">
        <is>
          <t>artologik.com/en/survey-report/solutions/schools-universities</t>
        </is>
      </c>
      <c r="G734" s="1" t="inlineStr">
        <is>
          <t>We at Artisan Global Media provide survey solutions that support schools and universities in their work to provide opportunities for lifelong learning.
With our survey tool Artologik Survey&amp;Report, schools and universities can gather and evaluate feedback from students and teachers to improve quality, equity and learning.
The survey tool is easy to integrate with learning platforms, such as Canvas, Blackboard and Moodle, which allows students to give feedback in the tools they use on a daily basis. This also benefits teachers, who can create and administer course evaluations directly in their LMS tool.
Both Swedish and European schools and universities trust and use the software. In Sweden, over 50% of all higher education institutions use our survey tool via the computer network of Swedish universities, SUNET. 
Our company and data centre are ISO 27001 certified and located in Sweden, and our surveys are WCAG 2.1 AA compliant.</t>
        </is>
      </c>
      <c r="H734" s="1" t="inlineStr">
        <is>
          <t>Swedish EdTech Industry</t>
        </is>
      </c>
      <c r="I734" s="1" t="n"/>
      <c r="J734" s="1" t="inlineStr">
        <is>
          <t>Framtidsvägen 12 B</t>
        </is>
      </c>
      <c r="L734" t="inlineStr">
        <is>
          <t>Framtidsvägen 12 B, Sweden</t>
        </is>
      </c>
      <c r="O734" s="1" t="inlineStr">
        <is>
          <t>Sweden</t>
        </is>
      </c>
      <c r="P734" s="1" t="inlineStr">
        <is>
          <t>Andorra, Austria, Belgium, Denmark, Finland, France, Germany, Iceland, Ireland, Luxembourg, Monaco, Netherlands, Norway, Spain, Sweden, Switzerland, United Kingdom</t>
        </is>
      </c>
      <c r="Q734" s="1" t="inlineStr">
        <is>
          <t>11 to 50</t>
        </is>
      </c>
      <c r="R734" t="inlineStr">
        <is>
          <t>Small</t>
        </is>
      </c>
      <c r="S734" s="1" t="inlineStr">
        <is>
          <t>Business to Business, Business to Government, Business to Schools</t>
        </is>
      </c>
      <c r="T734" s="1" t="inlineStr">
        <is>
          <t>Early childhood development (0-5 years), Primary Education, Secondary Education, Higher Education, Corporate Training, Lifelong learning/Adult education</t>
        </is>
      </c>
      <c r="U734" s="1" t="inlineStr">
        <is>
          <t>Teacher interfacing, System/Administrative, Student interfacing</t>
        </is>
      </c>
      <c r="V734" s="1" t="inlineStr">
        <is>
          <t>Artologik Survey&amp;Report</t>
        </is>
      </c>
      <c r="W734" s="1" t="inlineStr">
        <is>
          <t>Artologik Survey&amp;Report is a highly flexible survey tool suitable for many different purposes. You use the tool to construct, design and distribute professional course evaluations, subject assessments and other school surveys.
The intuitive and secure survey tool lets you follow up on results in real time and generate reports automatically based on predefined templates. With its learning platform integration, the survey tool is the perfect solution for schools and universities since it allows students and teachers to work directly on their LMS.</t>
        </is>
      </c>
      <c r="X734" s="10" t="inlineStr">
        <is>
          <t>https://drive.google.com/uc?export=view&amp;id=1svAe06Bmq8_eIcLyFaIV2yCER4w-aSw2</t>
        </is>
      </c>
      <c r="Y734" t="inlineStr">
        <is>
          <t>https://drive.google.com/uc?export=view&amp;id=1svAe06Bmq8_eIcLyFaIV2yCER4w-aSw2</t>
        </is>
      </c>
      <c r="Z734" s="1" t="inlineStr">
        <is>
          <t>https://drive.google.com/uc?export=view&amp;id=1svAe06Bmq8_eIcLyFaIV2yCER4w-aSw2</t>
        </is>
      </c>
      <c r="AA734" s="1" t="inlineStr">
        <is>
          <t>Unverified</t>
        </is>
      </c>
      <c r="AB734" s="1" t="n"/>
      <c r="AC734" s="1" t="n"/>
      <c r="AD734" s="10" t="n"/>
      <c r="AE734" s="1" t="n"/>
      <c r="AF734" t="inlineStr">
        <is>
          <t>Yes</t>
        </is>
      </c>
      <c r="AG734" t="inlineStr">
        <is>
          <t>https://www.linkedin.com/company/artologik</t>
        </is>
      </c>
      <c r="AH734" t="inlineStr">
        <is>
          <t>https://www.linkedin.com/company/artologik</t>
        </is>
      </c>
      <c r="AI734" t="inlineStr">
        <is>
          <t>https://www.linkedin.com/company/artologik</t>
        </is>
      </c>
    </row>
    <row r="735" ht="12.5" customHeight="1">
      <c r="A735" s="6" t="n">
        <v>45181</v>
      </c>
      <c r="B735" s="1" t="inlineStr">
        <is>
          <t>ORG_1129</t>
        </is>
      </c>
      <c r="C735" s="1" t="b">
        <v>1</v>
      </c>
      <c r="D735" s="1" t="inlineStr">
        <is>
          <t>Avetica</t>
        </is>
      </c>
      <c r="E735" s="10" t="inlineStr">
        <is>
          <t>https://avetica.nl/</t>
        </is>
      </c>
      <c r="F735" t="inlineStr">
        <is>
          <t>avetica.nl</t>
        </is>
      </c>
      <c r="G735" s="1" t="inlineStr">
        <is>
          <t>Avetica is the dedicated Premium Moodle Partner in the Netherlands and Belgium. We offers full Moodle Workplace services for corporate companies, non-profit, higher education as well as small business.</t>
        </is>
      </c>
      <c r="H735" s="1" t="inlineStr">
        <is>
          <t>I'm not part of any EdTech association</t>
        </is>
      </c>
      <c r="I735" s="1" t="n"/>
      <c r="J735" s="1" t="inlineStr">
        <is>
          <t>Maasdam</t>
        </is>
      </c>
      <c r="K735" t="inlineStr">
        <is>
          <t>Maasdam</t>
        </is>
      </c>
      <c r="L735" t="inlineStr">
        <is>
          <t>Maasdam, The Netherlands</t>
        </is>
      </c>
      <c r="M735" t="n">
        <v>51.7954048</v>
      </c>
      <c r="N735" t="n">
        <v>4.5556144</v>
      </c>
      <c r="O735" s="1" t="inlineStr">
        <is>
          <t>The Netherlands</t>
        </is>
      </c>
      <c r="P735" s="1" t="inlineStr">
        <is>
          <t>Belgium, Netherlands</t>
        </is>
      </c>
      <c r="Q735" s="1" t="inlineStr">
        <is>
          <t>11 to 50</t>
        </is>
      </c>
      <c r="R735" t="inlineStr">
        <is>
          <t>Small</t>
        </is>
      </c>
      <c r="S735" s="1" t="inlineStr">
        <is>
          <t>Business to Business, Business to Government, Business to Schools</t>
        </is>
      </c>
      <c r="T735" s="1" t="inlineStr">
        <is>
          <t>Higher Education, Corporate Training</t>
        </is>
      </c>
      <c r="U735" s="1" t="inlineStr">
        <is>
          <t>Teacher interfacing, System/Administrative</t>
        </is>
      </c>
      <c r="V735" s="1" t="n"/>
      <c r="W735" s="1" t="inlineStr">
        <is>
          <t>https://drive.google.com/uc?export=view&amp;id=1e-Ep0bWYs2lPGR4xKiPT9HqvutJayA8o</t>
        </is>
      </c>
      <c r="X735" s="1" t="inlineStr">
        <is>
          <t>https://drive.google.com/uc?export=view&amp;id=1e-Ep0bWYs2lPGR4xKiPT9HqvutJayA8o</t>
        </is>
      </c>
      <c r="Y735" t="inlineStr">
        <is>
          <t>https://drive.google.com/uc?export=view&amp;id=1e-Ep0bWYs2lPGR4xKiPT9HqvutJayA8o</t>
        </is>
      </c>
      <c r="Z735" s="1" t="inlineStr">
        <is>
          <t>https://drive.google.com/uc?export=view&amp;id=1e-Ep0bWYs2lPGR4xKiPT9HqvutJayA8o</t>
        </is>
      </c>
      <c r="AA735" s="1" t="inlineStr">
        <is>
          <t>Unverified</t>
        </is>
      </c>
      <c r="AB735" s="1" t="n"/>
      <c r="AC735" s="1" t="n"/>
      <c r="AD735" s="10" t="n"/>
      <c r="AE735" s="1" t="n"/>
      <c r="AF735" t="inlineStr">
        <is>
          <t>No</t>
        </is>
      </c>
    </row>
    <row r="736" ht="12.5" customHeight="1">
      <c r="A736" s="6" t="n">
        <v>45181</v>
      </c>
      <c r="B736" s="1" t="inlineStr">
        <is>
          <t>ORG_2145</t>
        </is>
      </c>
      <c r="C736" s="1" t="b">
        <v>1</v>
      </c>
      <c r="D736" s="1" t="inlineStr">
        <is>
          <t>Questa Kids</t>
        </is>
      </c>
      <c r="E736" s="10" t="inlineStr">
        <is>
          <t>www.questakids.com</t>
        </is>
      </c>
      <c r="F736" t="inlineStr">
        <is>
          <t>questakids.com</t>
        </is>
      </c>
      <c r="G736" s="1" t="inlineStr">
        <is>
          <t>Questa is an online learning platform helping kids aged 6-12 explore the cultures of the world, via an immersive learning quest through the histories and traditions of different countries, with a strong emphasis on the perspectives and stories of women.
Questa works hard to include the voices missing from mainstream history, with a particular focus on the women of the world. Exploring history from the perspective of women allows children to consider different views, explore the ideas of others, and challenge the notion of one simple narrative of history and culture. Despite the focus on female perspectives, Questa works for children of any gender.</t>
        </is>
      </c>
      <c r="H736" s="1" t="inlineStr">
        <is>
          <t>I'm not part of any EdTech association</t>
        </is>
      </c>
      <c r="I736" s="1" t="n"/>
      <c r="J736" s="1" t="inlineStr">
        <is>
          <t>Manchester</t>
        </is>
      </c>
      <c r="K736" t="inlineStr">
        <is>
          <t>Manchester</t>
        </is>
      </c>
      <c r="L736" t="inlineStr">
        <is>
          <t>Manchester, United Kingdom</t>
        </is>
      </c>
      <c r="M736" t="n">
        <v>53.4794892</v>
      </c>
      <c r="N736" t="n">
        <v>-2.2451148</v>
      </c>
      <c r="O736" s="1" t="inlineStr">
        <is>
          <t>United Kingdom</t>
        </is>
      </c>
      <c r="P736" s="1" t="inlineStr">
        <is>
          <t>United Kingdom</t>
        </is>
      </c>
      <c r="Q736" s="1" t="inlineStr">
        <is>
          <t>0 to 10</t>
        </is>
      </c>
      <c r="R736" t="inlineStr">
        <is>
          <t>Micro</t>
        </is>
      </c>
      <c r="S736" s="1" t="inlineStr">
        <is>
          <t>Business to Business</t>
        </is>
      </c>
      <c r="T736" s="1" t="inlineStr">
        <is>
          <t>Primary Education</t>
        </is>
      </c>
      <c r="U736" s="1" t="inlineStr">
        <is>
          <t>System/Administrative, Student interfacing, Teacher interfacing</t>
        </is>
      </c>
      <c r="V736" s="1" t="n"/>
      <c r="W736" s="1" t="inlineStr">
        <is>
          <t>https://drive.google.com/uc?export=view&amp;id=1klwF-uxPHZzKB5UC-syrd0iZpu66XB06</t>
        </is>
      </c>
      <c r="X736" s="1" t="inlineStr">
        <is>
          <t>https://drive.google.com/uc?export=view&amp;id=1klwF-uxPHZzKB5UC-syrd0iZpu66XB06</t>
        </is>
      </c>
      <c r="Y736" t="inlineStr">
        <is>
          <t>https://drive.google.com/uc?export=view&amp;id=1klwF-uxPHZzKB5UC-syrd0iZpu66XB06</t>
        </is>
      </c>
      <c r="Z736" s="1" t="inlineStr">
        <is>
          <t>https://drive.google.com/uc?export=view&amp;id=1klwF-uxPHZzKB5UC-syrd0iZpu66XB06</t>
        </is>
      </c>
      <c r="AA736" s="1" t="inlineStr">
        <is>
          <t>Unverified</t>
        </is>
      </c>
      <c r="AB736" s="1" t="n"/>
      <c r="AC736" s="1" t="n"/>
      <c r="AD736" s="10" t="n"/>
      <c r="AE736" s="1" t="n"/>
      <c r="AF736" t="inlineStr">
        <is>
          <t>No</t>
        </is>
      </c>
    </row>
    <row r="737" ht="12.5" customHeight="1">
      <c r="A737" s="6" t="n">
        <v>45181</v>
      </c>
      <c r="B737" s="1" t="inlineStr">
        <is>
          <t>ORG_2465</t>
        </is>
      </c>
      <c r="C737" s="1" t="b">
        <v>1</v>
      </c>
      <c r="D737" s="1" t="inlineStr">
        <is>
          <t>Unitz IT</t>
        </is>
      </c>
      <c r="E737" s="10" t="inlineStr">
        <is>
          <t>https://unitz.biz/en/</t>
        </is>
      </c>
      <c r="F737" t="inlineStr">
        <is>
          <t>unitz.biz/en</t>
        </is>
      </c>
      <c r="G737" s="1" t="inlineStr">
        <is>
          <t>We provide an stress-free, fun and easy-to-use learning platform for adult education, with an encouraging environment where students can grow and develop. Our platform is innovative, interactive, and has a focus on providing all users involved a better learning experience. Our platform is innovative, interactive, and has a focus on providing a better learning experience.
Our target group are all organisations in the adult education sector. So our current customers are for example a language center, a driving school, as well as different types of adult education centres.
We provide school administration with an interface that shows them everything they need to know about the teachers, the students, the classes that are going on. This overview dashboard provides on time automatic reporting for attendance and evaluation for every single lesson or course. Furthermore, it allows teachers to request the substitute if they are sick, or for the school admins to assign another teachers for the class. 
We provide teachers a stress free, all-in-one solution with automatic attendance reports. In addition, we created an easy to use timetable for teachers as well as for students. Our focus is on the well-being of all the people involved in the learning process.
For students, we provide a working space with worksheets, learning games, group work and a lot of interaction to take place. Additionally, we're providing a chat box for teachers and students to communicate during the lesson. Our multi-tool classroom aims to provide an engaging and interactive learning environment for all the different learning types. We encourage personal development of the learners by providing a wide range of learning tools.</t>
        </is>
      </c>
      <c r="H737" s="1" t="inlineStr">
        <is>
          <t>I'm not part of any EdTech association</t>
        </is>
      </c>
      <c r="I737" s="1" t="n"/>
      <c r="J737" s="1" t="inlineStr">
        <is>
          <t>Berlin</t>
        </is>
      </c>
      <c r="K737" t="inlineStr">
        <is>
          <t>Berlin</t>
        </is>
      </c>
      <c r="L737" t="inlineStr">
        <is>
          <t>Berlin, Germany</t>
        </is>
      </c>
      <c r="M737" t="n">
        <v>52.5173885</v>
      </c>
      <c r="N737" t="n">
        <v>13.3951309</v>
      </c>
      <c r="O737" s="1" t="inlineStr">
        <is>
          <t>Germany</t>
        </is>
      </c>
      <c r="P737" s="1" t="inlineStr">
        <is>
          <t>Germany</t>
        </is>
      </c>
      <c r="Q737" s="1" t="inlineStr">
        <is>
          <t>0 to 10</t>
        </is>
      </c>
      <c r="R737" t="inlineStr">
        <is>
          <t>Micro</t>
        </is>
      </c>
      <c r="S737" s="1" t="inlineStr">
        <is>
          <t>Business to Consumer</t>
        </is>
      </c>
      <c r="T737" s="1" t="inlineStr">
        <is>
          <t>Primary Education, Secondary Education, Higher Education, Corporate Training, Lifelong learning/Adult education</t>
        </is>
      </c>
      <c r="U737" s="1" t="inlineStr">
        <is>
          <t>Student interfacing, Teacher interfacing, System/Administrative</t>
        </is>
      </c>
      <c r="V737" s="1" t="n"/>
      <c r="W737" s="1" t="inlineStr">
        <is>
          <t>https://drive.google.com/uc?export=view&amp;id=1sOPDuWAwgDwEzDsTp2C24jlkxJ--8PTH</t>
        </is>
      </c>
      <c r="X737" s="1" t="inlineStr">
        <is>
          <t>https://drive.google.com/uc?export=view&amp;id=1sOPDuWAwgDwEzDsTp2C24jlkxJ--8PTH</t>
        </is>
      </c>
      <c r="Y737" t="inlineStr">
        <is>
          <t>https://drive.google.com/uc?export=view&amp;id=1sOPDuWAwgDwEzDsTp2C24jlkxJ--8PTH</t>
        </is>
      </c>
      <c r="Z737" s="1" t="inlineStr">
        <is>
          <t>https://drive.google.com/uc?export=view&amp;id=1sOPDuWAwgDwEzDsTp2C24jlkxJ--8PTH</t>
        </is>
      </c>
      <c r="AA737" s="1" t="inlineStr">
        <is>
          <t>Unverified</t>
        </is>
      </c>
      <c r="AB737" s="1" t="n"/>
      <c r="AC737" s="1" t="n"/>
      <c r="AD737" s="10" t="n"/>
      <c r="AE737" s="1" t="n"/>
      <c r="AF737" t="inlineStr">
        <is>
          <t>No</t>
        </is>
      </c>
    </row>
    <row r="738" ht="12.5" customHeight="1">
      <c r="A738" s="6" t="n">
        <v>45181</v>
      </c>
      <c r="B738" s="1" t="inlineStr">
        <is>
          <t>ORG_1419</t>
        </is>
      </c>
      <c r="C738" s="1" t="b">
        <v>1</v>
      </c>
      <c r="D738" s="1" t="inlineStr">
        <is>
          <t>Edtech Conference &amp; Hackathon</t>
        </is>
      </c>
      <c r="E738" s="10" t="inlineStr">
        <is>
          <t>https://www.vuhackathon.lt/</t>
        </is>
      </c>
      <c r="F738" t="inlineStr">
        <is>
          <t>vuhackathon.lt</t>
        </is>
      </c>
      <c r="G738" s="1" t="inlineStr">
        <is>
          <t>An annual Edtech event series with a dedicated international and open Conference and hackathon that brings together top tier innovators and futurists together with educators to present bright and tech savy future of education. Each year different subtopics are chosen. 2019 - general Edtech, 2020 - solutions to fight Covid in education, 2021 - hack hybrid learning &amp; future of work, 2021 - Education inside Metaverse.</t>
        </is>
      </c>
      <c r="H738" s="1" t="inlineStr">
        <is>
          <t>I'm not part of any EdTech association</t>
        </is>
      </c>
      <c r="I738" s="1" t="n"/>
      <c r="J738" s="1" t="inlineStr">
        <is>
          <t>Vilnius</t>
        </is>
      </c>
      <c r="K738" t="inlineStr">
        <is>
          <t>Vilnius</t>
        </is>
      </c>
      <c r="L738" t="inlineStr">
        <is>
          <t>Vilnius, Lithuania</t>
        </is>
      </c>
      <c r="M738" t="n">
        <v>54.6870458</v>
      </c>
      <c r="N738" t="n">
        <v>25.2829111</v>
      </c>
      <c r="O738" s="1" t="inlineStr">
        <is>
          <t>Lithuania</t>
        </is>
      </c>
      <c r="P738" s="1" t="inlineStr">
        <is>
          <t>Azerbaijan, Estonia, Georgia, Latvia, Lithuania, Poland, Sweden, United Kingdom</t>
        </is>
      </c>
      <c r="Q738" s="1" t="inlineStr">
        <is>
          <t>0 to 10</t>
        </is>
      </c>
      <c r="R738" t="inlineStr">
        <is>
          <t>Micro</t>
        </is>
      </c>
      <c r="S738" s="1" t="inlineStr">
        <is>
          <t>Business to Schools</t>
        </is>
      </c>
      <c r="T738" s="1" t="inlineStr">
        <is>
          <t>Primary Education, Secondary Education, Higher Education, Corporate Training</t>
        </is>
      </c>
      <c r="U738" s="1" t="inlineStr">
        <is>
          <t>Teacher interfacing, System/Administrative, Student interfacing</t>
        </is>
      </c>
      <c r="V738" s="1" t="n"/>
      <c r="W738" s="1" t="inlineStr">
        <is>
          <t>https://drive.google.com/uc?export=view&amp;id=1s9AKJ65DnEN5R8ezeRU2-Rwsow5S84mg</t>
        </is>
      </c>
      <c r="X738" s="1" t="inlineStr">
        <is>
          <t>https://drive.google.com/uc?export=view&amp;id=1s9AKJ65DnEN5R8ezeRU2-Rwsow5S84mg</t>
        </is>
      </c>
      <c r="Y738" t="inlineStr">
        <is>
          <t>https://drive.google.com/uc?export=view&amp;id=1s9AKJ65DnEN5R8ezeRU2-Rwsow5S84mg</t>
        </is>
      </c>
      <c r="Z738" s="1" t="inlineStr">
        <is>
          <t>https://drive.google.com/uc?export=view&amp;id=1s9AKJ65DnEN5R8ezeRU2-Rwsow5S84mg</t>
        </is>
      </c>
      <c r="AA738" s="1" t="inlineStr">
        <is>
          <t>Unverified</t>
        </is>
      </c>
      <c r="AB738" s="1" t="n"/>
      <c r="AC738" s="1" t="n"/>
      <c r="AD738" s="10" t="n"/>
      <c r="AE738" s="1" t="n"/>
      <c r="AF738" t="inlineStr">
        <is>
          <t>No</t>
        </is>
      </c>
    </row>
    <row r="739" ht="12.5" customHeight="1">
      <c r="A739" s="6" t="n">
        <v>45181</v>
      </c>
      <c r="B739" s="1" t="inlineStr">
        <is>
          <t>ORG_1338</t>
        </is>
      </c>
      <c r="C739" s="1" t="b">
        <v>1</v>
      </c>
      <c r="D739" s="1" t="inlineStr">
        <is>
          <t>Designing Education Project Lab</t>
        </is>
      </c>
      <c r="E739" s="10" t="inlineStr">
        <is>
          <t>https://designingeducationprojectlab.notion.site/</t>
        </is>
      </c>
      <c r="F739" t="inlineStr">
        <is>
          <t>designingeducationprojectlab.notion.site</t>
        </is>
      </c>
      <c r="G739" s="1" t="inlineStr">
        <is>
          <t>The Designing Education Project Lab is a challenge-based EdTech maker space in Berlin.
Students develop technology-driven solutions in independent projects to contribute to global educational challenges in higher education and the labor market.
The starting point are real world education challenges from university and corporate partners.
The prototyping process is supported by impulse lectures from experts, as well as expert interviews recorded by the students as a podcast.</t>
        </is>
      </c>
      <c r="H739" s="1" t="inlineStr">
        <is>
          <t>I'm not part of any EdTech association</t>
        </is>
      </c>
      <c r="I739" s="1" t="n"/>
      <c r="J739" s="1" t="inlineStr">
        <is>
          <t>Berlin</t>
        </is>
      </c>
      <c r="K739" t="inlineStr">
        <is>
          <t>Berlin</t>
        </is>
      </c>
      <c r="L739" t="inlineStr">
        <is>
          <t>Berlin, Germany</t>
        </is>
      </c>
      <c r="M739" t="n">
        <v>52.5173885</v>
      </c>
      <c r="N739" t="n">
        <v>13.3951309</v>
      </c>
      <c r="O739" s="1" t="inlineStr">
        <is>
          <t>Germany</t>
        </is>
      </c>
      <c r="P739" s="1" t="inlineStr">
        <is>
          <t>Germany</t>
        </is>
      </c>
      <c r="Q739" s="1" t="inlineStr">
        <is>
          <t>0 to 10</t>
        </is>
      </c>
      <c r="R739" t="inlineStr">
        <is>
          <t>Micro</t>
        </is>
      </c>
      <c r="S739" s="1" t="inlineStr">
        <is>
          <t>Business to Business</t>
        </is>
      </c>
      <c r="T739" s="1" t="inlineStr">
        <is>
          <t>Higher Education, Corporate Training, Lifelong learning/Adult education</t>
        </is>
      </c>
      <c r="U739" s="1" t="inlineStr">
        <is>
          <t>Student interfacing, Teacher interfacing, System/Administrative</t>
        </is>
      </c>
      <c r="V739" s="1" t="n"/>
      <c r="W739" s="1" t="inlineStr">
        <is>
          <t>https://drive.google.com/uc?export=view&amp;id=1Lh5meoBuGuN7jFEGCkmQNLVVgf5ReHuN</t>
        </is>
      </c>
      <c r="X739" s="1" t="inlineStr">
        <is>
          <t>https://drive.google.com/uc?export=view&amp;id=1Lh5meoBuGuN7jFEGCkmQNLVVgf5ReHuN</t>
        </is>
      </c>
      <c r="Y739" t="inlineStr">
        <is>
          <t>https://drive.google.com/uc?export=view&amp;id=1Lh5meoBuGuN7jFEGCkmQNLVVgf5ReHuN</t>
        </is>
      </c>
      <c r="Z739" s="1" t="inlineStr">
        <is>
          <t>https://drive.google.com/uc?export=view&amp;id=1Lh5meoBuGuN7jFEGCkmQNLVVgf5ReHuN</t>
        </is>
      </c>
      <c r="AA739" s="1" t="inlineStr">
        <is>
          <t>Unverified</t>
        </is>
      </c>
      <c r="AB739" s="1" t="n"/>
      <c r="AC739" s="1" t="n"/>
      <c r="AD739" s="10" t="n"/>
      <c r="AE739" s="1" t="n"/>
      <c r="AF739" s="1" t="inlineStr">
        <is>
          <t>No</t>
        </is>
      </c>
      <c r="AG739" s="1" t="n"/>
      <c r="AH739" s="1" t="n"/>
    </row>
    <row r="740" ht="12.5" customHeight="1">
      <c r="A740" s="6" t="n">
        <v>45181</v>
      </c>
      <c r="B740" s="1" t="inlineStr">
        <is>
          <t>ORG_2297</t>
        </is>
      </c>
      <c r="C740" s="1" t="b">
        <v>1</v>
      </c>
      <c r="D740" s="1" t="inlineStr">
        <is>
          <t>Sourcer</t>
        </is>
      </c>
      <c r="E740" s="10" t="inlineStr">
        <is>
          <t>https://getsourcer.com</t>
        </is>
      </c>
      <c r="F740" t="inlineStr">
        <is>
          <t>getsourcer.com</t>
        </is>
      </c>
      <c r="G740" s="1" t="inlineStr">
        <is>
          <t>Sourcer is an easy-to-use browser extension that aims to educate users on media literacy and make their process of reading news more efficient. We do that by providing insight that broadens readers’ knowledge in a time-saving manner.
We aim to help academia educate students  on media literacy, give them tools to supplement their research, and ultimately contribute to creating a more  open-minded society.</t>
        </is>
      </c>
      <c r="H740" s="1" t="inlineStr">
        <is>
          <t>Dutch EdTech</t>
        </is>
      </c>
      <c r="I740" s="1" t="n"/>
      <c r="J740" s="1" t="inlineStr">
        <is>
          <t>Delft</t>
        </is>
      </c>
      <c r="K740" t="inlineStr">
        <is>
          <t>Delft</t>
        </is>
      </c>
      <c r="L740" t="inlineStr">
        <is>
          <t>Delft, The Netherlands</t>
        </is>
      </c>
      <c r="M740" t="n">
        <v>52.0016196</v>
      </c>
      <c r="N740" t="n">
        <v>4.3680178</v>
      </c>
      <c r="O740" s="1" t="inlineStr">
        <is>
          <t>The Netherlands</t>
        </is>
      </c>
      <c r="P740" s="1" t="inlineStr">
        <is>
          <t>Netherlands</t>
        </is>
      </c>
      <c r="Q740" s="1" t="inlineStr">
        <is>
          <t>0 to 10</t>
        </is>
      </c>
      <c r="R740" t="inlineStr">
        <is>
          <t>Micro</t>
        </is>
      </c>
      <c r="S740" s="1" t="inlineStr">
        <is>
          <t>Business to Business</t>
        </is>
      </c>
      <c r="T740" s="1" t="inlineStr">
        <is>
          <t>Higher Education</t>
        </is>
      </c>
      <c r="U740" s="1" t="inlineStr">
        <is>
          <t>Student interfacing, Teacher interfacing, System/Administrative</t>
        </is>
      </c>
      <c r="V740" s="1" t="inlineStr">
        <is>
          <t>Sourcer Browser Extension</t>
        </is>
      </c>
      <c r="W740" s="1" t="inlineStr">
        <is>
          <t>Sourcer is an easy-to-use browser extension that aims to educate users on media literacy and make their process of reading news more efficient. We do that by providing insight that broadens readers’ knowledge in a time-saving manner.
We aim to help academia educate students  on media literacy, give them tools to supplement their research, and ultimately contribute to creating a more  open-minded society.</t>
        </is>
      </c>
      <c r="X740" s="10" t="inlineStr">
        <is>
          <t>https://drive.google.com/uc?export=view&amp;id=1TlwrCKAKn1Iwb5U1q9tav-XBPir2n1VS</t>
        </is>
      </c>
      <c r="Y740" t="inlineStr">
        <is>
          <t>https://drive.google.com/uc?export=view&amp;id=1TlwrCKAKn1Iwb5U1q9tav-XBPir2n1VS</t>
        </is>
      </c>
      <c r="Z740" s="1" t="inlineStr">
        <is>
          <t>https://drive.google.com/uc?export=view&amp;id=1TlwrCKAKn1Iwb5U1q9tav-XBPir2n1VS</t>
        </is>
      </c>
      <c r="AA740" s="1" t="inlineStr">
        <is>
          <t>Unverified</t>
        </is>
      </c>
      <c r="AB740" s="1" t="n"/>
      <c r="AC740" s="1" t="n"/>
      <c r="AD740" s="10" t="n"/>
      <c r="AE740" s="1" t="n"/>
      <c r="AF740" t="inlineStr">
        <is>
          <t>Yes</t>
        </is>
      </c>
      <c r="AG740" t="inlineStr">
        <is>
          <t>https://www.linkedin.com/company/getsourcer</t>
        </is>
      </c>
      <c r="AH740" t="inlineStr">
        <is>
          <t>https://www.linkedin.com/company/getsourcer</t>
        </is>
      </c>
      <c r="AI740" t="inlineStr">
        <is>
          <t>https://www.linkedin.com/company/getsourcer</t>
        </is>
      </c>
    </row>
    <row r="741" ht="12.5" customHeight="1">
      <c r="A741" s="6" t="n">
        <v>45181</v>
      </c>
      <c r="B741" s="1" t="inlineStr">
        <is>
          <t>ORG_1237</t>
        </is>
      </c>
      <c r="C741" s="1" t="b">
        <v>1</v>
      </c>
      <c r="D741" s="1" t="inlineStr">
        <is>
          <t>chunkx</t>
        </is>
      </c>
      <c r="E741" s="10" t="inlineStr">
        <is>
          <t>https://chunkx.net/</t>
        </is>
      </c>
      <c r="F741" t="inlineStr">
        <is>
          <t>chunkx.net</t>
        </is>
      </c>
      <c r="G741" s="1" t="inlineStr">
        <is>
          <t>Continuous microlearning for all the company's learning measure!
Our microlearning solution chunkx connects all your learning activities into user-specific learning feeds. For this, our content team creates continuous follow-ups and updates for your existing courses, whether eLearning, webinars, face-to-face training, or third-party learning content, at no extra cost. Your employees benefit via email from repetitions adaptively selected for them, regular contributions, and recommendations of the latest articles on relevant learning topics. By doing so, chunkx reinforces its existing measures and ensures a sustainable transfer of learning on the job. Via LTI and REST APIs, chunkx can be connected to your LMS / LXP and can also be used as a stand-alone solution for new content developed by hand or with the support of our AI.</t>
        </is>
      </c>
      <c r="H741" s="1" t="inlineStr">
        <is>
          <t>I'm not part of any EdTech association</t>
        </is>
      </c>
      <c r="I741" s="1" t="n"/>
      <c r="J741" s="1" t="inlineStr">
        <is>
          <t>Eindhoven</t>
        </is>
      </c>
      <c r="K741" t="inlineStr">
        <is>
          <t>Eindhoven</t>
        </is>
      </c>
      <c r="L741" t="inlineStr">
        <is>
          <t>Eindhoven, The Netherlands</t>
        </is>
      </c>
      <c r="M741" t="n">
        <v>51.4105222</v>
      </c>
      <c r="N741" t="n">
        <v>5.457494</v>
      </c>
      <c r="O741" s="1" t="inlineStr">
        <is>
          <t>The Netherlands</t>
        </is>
      </c>
      <c r="P741" s="1" t="inlineStr">
        <is>
          <t>Austria, Belgium, Germany, Netherlands</t>
        </is>
      </c>
      <c r="Q741" s="1" t="inlineStr">
        <is>
          <t>0 to 10</t>
        </is>
      </c>
      <c r="R741" t="inlineStr">
        <is>
          <t>Micro</t>
        </is>
      </c>
      <c r="S741" s="1" t="inlineStr">
        <is>
          <t>Business to Business</t>
        </is>
      </c>
      <c r="T741" s="1" t="inlineStr">
        <is>
          <t>Higher Education, Corporate Training, Lifelong learning/Adult education</t>
        </is>
      </c>
      <c r="U741" s="1" t="inlineStr">
        <is>
          <t>System/Administrative</t>
        </is>
      </c>
      <c r="V741" s="1" t="n"/>
      <c r="W741" s="1" t="inlineStr">
        <is>
          <t>https://drive.google.com/uc?export=view&amp;id=1KYncQoy4JP9bbNFEFNqcgXOuMDMnoqEU</t>
        </is>
      </c>
      <c r="X741" s="1" t="inlineStr">
        <is>
          <t>https://drive.google.com/uc?export=view&amp;id=1KYncQoy4JP9bbNFEFNqcgXOuMDMnoqEU</t>
        </is>
      </c>
      <c r="Y741" t="inlineStr">
        <is>
          <t>https://drive.google.com/uc?export=view&amp;id=1KYncQoy4JP9bbNFEFNqcgXOuMDMnoqEU</t>
        </is>
      </c>
      <c r="Z741" s="1" t="inlineStr">
        <is>
          <t>https://drive.google.com/uc?export=view&amp;id=1KYncQoy4JP9bbNFEFNqcgXOuMDMnoqEU</t>
        </is>
      </c>
      <c r="AA741" s="1" t="inlineStr">
        <is>
          <t>Unverified</t>
        </is>
      </c>
      <c r="AB741" s="1" t="n"/>
      <c r="AC741" s="1" t="n"/>
      <c r="AD741" s="10" t="n"/>
      <c r="AE741" s="1" t="n"/>
      <c r="AF741" s="1" t="inlineStr">
        <is>
          <t>No</t>
        </is>
      </c>
      <c r="AG741" s="1" t="n"/>
      <c r="AH741" s="1" t="n"/>
    </row>
    <row r="742" ht="12.5" customHeight="1">
      <c r="A742" s="6" t="n">
        <v>45181</v>
      </c>
      <c r="B742" s="1" t="inlineStr">
        <is>
          <t>ORG_2292</t>
        </is>
      </c>
      <c r="C742" s="1" t="b">
        <v>1</v>
      </c>
      <c r="D742" s="1" t="inlineStr">
        <is>
          <t>Solutio</t>
        </is>
      </c>
      <c r="E742" s="10" t="inlineStr">
        <is>
          <t>www.solutio.app</t>
        </is>
      </c>
      <c r="F742" t="inlineStr">
        <is>
          <t>solutio.app</t>
        </is>
      </c>
      <c r="G742" s="1" t="inlineStr">
        <is>
          <t>By leveraging a proprietary management tool specifically designed for tutors and plug-and-play units of small-scale social entrepreneurship, Solutio minimizes the financial gap between the tutee's cost and the tutor's compensation. At Solutio, we believe in qualitative tutoring available for all without the need for an excessive price tag.</t>
        </is>
      </c>
      <c r="H742" s="1" t="inlineStr">
        <is>
          <t>edtechstation</t>
        </is>
      </c>
      <c r="I742" s="1" t="n"/>
      <c r="J742" s="1" t="inlineStr">
        <is>
          <t>Overijse</t>
        </is>
      </c>
      <c r="K742" t="inlineStr">
        <is>
          <t>Overijse</t>
        </is>
      </c>
      <c r="L742" t="inlineStr">
        <is>
          <t>Overijse, Belgium</t>
        </is>
      </c>
      <c r="M742" t="n">
        <v>50.7701622</v>
      </c>
      <c r="N742" t="n">
        <v>4.5351806</v>
      </c>
      <c r="O742" s="1" t="inlineStr">
        <is>
          <t>Belgium</t>
        </is>
      </c>
      <c r="P742" s="1" t="inlineStr">
        <is>
          <t>Belgium, Netherlands</t>
        </is>
      </c>
      <c r="Q742" s="1" t="inlineStr">
        <is>
          <t>3 to 5</t>
        </is>
      </c>
      <c r="R742" t="inlineStr">
        <is>
          <t>Micro</t>
        </is>
      </c>
      <c r="S742" s="1" t="inlineStr">
        <is>
          <t>Business to Business</t>
        </is>
      </c>
      <c r="T742" s="1" t="inlineStr">
        <is>
          <t>Primary Education, Secondary Education</t>
        </is>
      </c>
      <c r="U742" s="1" t="inlineStr">
        <is>
          <t>System/Administrative, Student interfacing</t>
        </is>
      </c>
      <c r="V742" s="10" t="inlineStr">
        <is>
          <t>Solutio Web App</t>
        </is>
      </c>
      <c r="W742" s="1" t="inlineStr">
        <is>
          <t>The proprietary Solutio Web App has three interfaces:
1. For small-scale tutoring companies, called Tribes, to expand their clientele, track their performances, and manage their finances. 
2. For parents and tutees to find suitable tutoring and track their expenses. 
3. For tutors to track their hours and track their earnings. 
Only the first group pays for access to the application.</t>
        </is>
      </c>
      <c r="X742" s="10" t="inlineStr">
        <is>
          <t>https://drive.google.com/uc?export=view&amp;id=1OI7k7ncHnZSEM4NQe69jWfgTV9E8tQC2</t>
        </is>
      </c>
      <c r="Y742" t="inlineStr">
        <is>
          <t>https://drive.google.com/uc?export=view&amp;id=1OI7k7ncHnZSEM4NQe69jWfgTV9E8tQC2</t>
        </is>
      </c>
      <c r="Z742" s="1" t="inlineStr">
        <is>
          <t>https://drive.google.com/uc?export=view&amp;id=1OI7k7ncHnZSEM4NQe69jWfgTV9E8tQC2</t>
        </is>
      </c>
      <c r="AA742" s="1" t="inlineStr">
        <is>
          <t>Unverified</t>
        </is>
      </c>
      <c r="AB742" s="1" t="n"/>
      <c r="AC742" s="1" t="n"/>
      <c r="AD742" s="10" t="n"/>
      <c r="AE742" s="1" t="n"/>
      <c r="AF742" s="1" t="inlineStr">
        <is>
          <t>Yes</t>
        </is>
      </c>
      <c r="AG742" s="1" t="inlineStr">
        <is>
          <t>https://www.instagram.com/solutio.app</t>
        </is>
      </c>
      <c r="AH742" s="1" t="inlineStr">
        <is>
          <t>https://www.linkedin.com/company/solutio-app/</t>
        </is>
      </c>
      <c r="AI742" t="inlineStr">
        <is>
          <t>https://www.linkedin.com/company/solutio-app/</t>
        </is>
      </c>
    </row>
    <row r="743" ht="12.5" customHeight="1">
      <c r="A743" s="6" t="n">
        <v>45181</v>
      </c>
      <c r="B743" s="1" t="inlineStr">
        <is>
          <t>ORG_2315</t>
        </is>
      </c>
      <c r="C743" s="1" t="b">
        <v>1</v>
      </c>
      <c r="D743" s="1" t="inlineStr">
        <is>
          <t>Squidll</t>
        </is>
      </c>
      <c r="E743" s="10" t="inlineStr">
        <is>
          <t>https://www.squidll.com/</t>
        </is>
      </c>
      <c r="F743" t="inlineStr">
        <is>
          <t>squidll.com</t>
        </is>
      </c>
      <c r="G743" s="1" t="inlineStr">
        <is>
          <t>We are Squidll and we believe in life-long learning. Our objective is to support professionals in reaching their language goals, whatever they might be. 
We offer online on-demand language coaching and support by experienced business language coaches. Focus during your online session on more than just grammar and vocabulary, but on the business skills you really need in your job. Immerse yourself in real life topics so you learn to speak with confidence in other languages. Choose your coach and book an online session whenever your want (24/7).</t>
        </is>
      </c>
      <c r="H743" s="1" t="inlineStr">
        <is>
          <t>edtechstation</t>
        </is>
      </c>
      <c r="I743" s="1" t="inlineStr">
        <is>
          <t>English, French, German, Dutch</t>
        </is>
      </c>
      <c r="J743" s="1" t="inlineStr">
        <is>
          <t>Kortrijk</t>
        </is>
      </c>
      <c r="K743" t="inlineStr">
        <is>
          <t>Kortrijk</t>
        </is>
      </c>
      <c r="L743" t="inlineStr">
        <is>
          <t>Kortrijk, Belgium</t>
        </is>
      </c>
      <c r="M743" t="n">
        <v>50.8178422</v>
      </c>
      <c r="N743" t="n">
        <v>3.2782582</v>
      </c>
      <c r="O743" s="1" t="inlineStr">
        <is>
          <t>Belgium</t>
        </is>
      </c>
      <c r="P743" s="1" t="inlineStr">
        <is>
          <t>Belgium, France, Germany, Italy, Luxembourg, Netherlands, Turkey</t>
        </is>
      </c>
      <c r="Q743" s="1" t="inlineStr">
        <is>
          <t>3 to 5</t>
        </is>
      </c>
      <c r="R743" t="inlineStr">
        <is>
          <t>Micro</t>
        </is>
      </c>
      <c r="S743" s="1" t="inlineStr">
        <is>
          <t>Business to Business, Business to Consumer</t>
        </is>
      </c>
      <c r="T743" s="1" t="inlineStr">
        <is>
          <t>Corporate Training</t>
        </is>
      </c>
      <c r="U743" s="1" t="inlineStr">
        <is>
          <t>System/Administrative, Student interfacing</t>
        </is>
      </c>
      <c r="V743" s="10" t="inlineStr">
        <is>
          <t>Boost your business English</t>
        </is>
      </c>
      <c r="W743" s="1" t="inlineStr">
        <is>
          <t>Do you need targeted help with a specific topic? Do you have a business appointment our presentation coming up in English and you need to practice? Or, do you need structured and extensive support to master your English and reach your goals? Our experienced business language coaches help you overcome language barriers so you perform at your best in English as well.</t>
        </is>
      </c>
      <c r="X743" s="10" t="inlineStr">
        <is>
          <t>Boost your business Dutch</t>
        </is>
      </c>
      <c r="Y743" t="inlineStr">
        <is>
          <t>Do you need targeted help with a specific topic? Do you have a business appointment our presentation coming up in Dutch and you need to practice? Or, do you need structured and extensive support to master your Dutch and reach your goals? Our experienced business language coaches help you overcome language barriers so you perform at your best in Dutch as well.</t>
        </is>
      </c>
      <c r="Z743" s="1" t="inlineStr">
        <is>
          <t>https://drive.google.com/uc?export=view&amp;id=1l1Fkx4JqoycVDfhVajMOaqh0pkImtsM0</t>
        </is>
      </c>
      <c r="AA743" s="1" t="inlineStr">
        <is>
          <t>Unverified</t>
        </is>
      </c>
      <c r="AB743" s="1" t="n"/>
      <c r="AC743" s="1" t="n"/>
      <c r="AD743" s="10" t="n"/>
      <c r="AE743" s="1" t="n"/>
      <c r="AF743" s="1" t="inlineStr">
        <is>
          <t>Yes</t>
        </is>
      </c>
      <c r="AG743" s="1" t="inlineStr">
        <is>
          <t>https://www.instagram.com/squidll_languagelearning/</t>
        </is>
      </c>
      <c r="AH743" s="1" t="inlineStr">
        <is>
          <t>https://www.linkedin.com/company/squidll</t>
        </is>
      </c>
      <c r="AI743" s="1" t="inlineStr">
        <is>
          <t>https://www.linkedin.com/company/squidll</t>
        </is>
      </c>
      <c r="AJ743" s="1" t="n"/>
    </row>
    <row r="744" ht="12.5" customHeight="1">
      <c r="A744" s="6" t="n">
        <v>45181</v>
      </c>
      <c r="B744" s="1" t="inlineStr">
        <is>
          <t>ORG_1187</t>
        </is>
      </c>
      <c r="C744" s="1" t="b">
        <v>1</v>
      </c>
      <c r="D744" s="1" t="inlineStr">
        <is>
          <t>BookWidgets</t>
        </is>
      </c>
      <c r="E744" s="10" t="inlineStr">
        <is>
          <t>www.bookwidgets.com</t>
        </is>
      </c>
      <c r="F744" t="inlineStr">
        <is>
          <t>bookwidgets.com</t>
        </is>
      </c>
      <c r="G744" s="1" t="inlineStr">
        <is>
          <t>BookWidgets is a content creation tool allowing teachers to create over 40 types of interactive exercises and auto-graded assignments with over 35 different question types. BookWidgets can be used for any subject and for students of all ages. 
Teachers can easily integrate BookWidgets inside platforms like Google Classroom, Microsoft Teams, Moodle, itslearning... These integrations enable teachers to follow student progress in real-time when they are working on a BookWidgets assignment. This way, teachers can quickly guide their students in the right direction when they need help.
BookWidgets is being used by teachers all over the world for both summative and formative evaluation. The grading dashboard allows teachers to review student work efficiently and easily give comprehensive feedback.
The company's head quarter is based in Belgium and a second office in the US was opened in January 2022.</t>
        </is>
      </c>
      <c r="H744" s="1" t="inlineStr">
        <is>
          <t>edtechstation</t>
        </is>
      </c>
      <c r="I744" s="1" t="n"/>
      <c r="J744" s="1" t="inlineStr">
        <is>
          <t>Lummen</t>
        </is>
      </c>
      <c r="K744" t="inlineStr">
        <is>
          <t>Lummen</t>
        </is>
      </c>
      <c r="L744" t="inlineStr">
        <is>
          <t>Lummen, Belgium</t>
        </is>
      </c>
      <c r="M744" t="n">
        <v>51.0028177</v>
      </c>
      <c r="N744" t="n">
        <v>5.1977226</v>
      </c>
      <c r="O744" s="1" t="inlineStr">
        <is>
          <t>Belgium</t>
        </is>
      </c>
      <c r="P744" s="1" t="inlineStr">
        <is>
          <t>Austria, Belarus, Belgium, Bulgaria, Croatia, Czechia, Denmark, Estonia, Finland, France, Georgia, Germany, Greece, Hungary, Iceland, Ireland, Italy, Latvia, Lithuania, Luxembourg, Montenegro, Netherlands, North Macedonia, Norway, Poland, Portugal, Romania, Russia, Serbia, Slovakia, Slovenia, Spain, Sweden, Switzerland, Turkey, Ukraine, United Kingdom</t>
        </is>
      </c>
      <c r="Q744" s="1" t="inlineStr">
        <is>
          <t>11 to 50</t>
        </is>
      </c>
      <c r="R744" t="inlineStr">
        <is>
          <t>Small</t>
        </is>
      </c>
      <c r="S744" s="1" t="inlineStr">
        <is>
          <t>Business to Business, Business to Consumer, Business to Government, Business to Schools</t>
        </is>
      </c>
      <c r="T744" s="1" t="inlineStr">
        <is>
          <t>Primary Education, Secondary Education, Higher Education</t>
        </is>
      </c>
      <c r="U744" s="1" t="inlineStr">
        <is>
          <t>Teacher interfacing</t>
        </is>
      </c>
      <c r="V744" s="1" t="inlineStr">
        <is>
          <t>BookWidgets</t>
        </is>
      </c>
      <c r="W744" s="10" t="inlineStr">
        <is>
          <t>With BookWidgets, teachers can create over 40 interactive exercises and auto-graded assignments with over 30 different question types. All teachers from all courses can use BookWidgets.
Teachers can easily integrate BookWidgets inside Google Classroom. The integration enables teachers to follow student progress in realtime when they are working on a BookWidgets assignment. This way, teachers can quickly guide their students in the right direction when they need help.</t>
        </is>
      </c>
      <c r="X744" s="10" t="inlineStr">
        <is>
          <t>https://drive.google.com/uc?export=view&amp;id=1vPHJvs5pKCIy1msQFUKEn1CP0ZOjfLVY</t>
        </is>
      </c>
      <c r="Y744" t="inlineStr">
        <is>
          <t>https://drive.google.com/uc?export=view&amp;id=1vPHJvs5pKCIy1msQFUKEn1CP0ZOjfLVY</t>
        </is>
      </c>
      <c r="Z744" s="1" t="inlineStr">
        <is>
          <t>https://drive.google.com/uc?export=view&amp;id=1vPHJvs5pKCIy1msQFUKEn1CP0ZOjfLVY</t>
        </is>
      </c>
      <c r="AA744" s="1" t="inlineStr">
        <is>
          <t>Unverified</t>
        </is>
      </c>
      <c r="AB744" s="1" t="n"/>
      <c r="AC744" s="1" t="n"/>
      <c r="AD744" s="10" t="n"/>
      <c r="AE744" s="1" t="n"/>
      <c r="AF744" s="1" t="inlineStr">
        <is>
          <t>Yes</t>
        </is>
      </c>
      <c r="AG744" s="1" t="inlineStr">
        <is>
          <t>https://twitter.com/ibookwidgets</t>
        </is>
      </c>
      <c r="AH744" s="1" t="inlineStr">
        <is>
          <t>https://twitter.com/ibookwidgets</t>
        </is>
      </c>
      <c r="AI744" s="1" t="inlineStr">
        <is>
          <t>https://www.linkedin.com/company/bookwidgets/</t>
        </is>
      </c>
      <c r="AJ744" s="1" t="n"/>
    </row>
    <row r="745" ht="12.5" customHeight="1">
      <c r="A745" s="6" t="n">
        <v>45181</v>
      </c>
      <c r="B745" s="1" t="inlineStr">
        <is>
          <t>ORG_1328</t>
        </is>
      </c>
      <c r="C745" s="1" t="b">
        <v>1</v>
      </c>
      <c r="D745" s="1" t="inlineStr">
        <is>
          <t>Danberg Micro-credentials</t>
        </is>
      </c>
      <c r="E745" s="10" t="inlineStr">
        <is>
          <t>https://www.danberg.org/</t>
        </is>
      </c>
      <c r="F745" t="inlineStr">
        <is>
          <t>danberg.org</t>
        </is>
      </c>
      <c r="G745" s="1" t="inlineStr">
        <is>
          <t>Danberg develops future-proof re-skilling and up-skilling Micro-credentials for business management professionals in the corporate world. Danberg is a Danish firm backed by Scandinavian values and the latest knowledge. Danberg was established in 2020 in Copenhagen.
University lecturers, business leaders, and hiring managers are involved in designing all courses in Danberg Micro-credentials. 
Danberg Micro-credentials are powered by gamified business simulations, where you can take strategic decisions and manage the business virtually as the c-suite leader.</t>
        </is>
      </c>
      <c r="H745" s="1" t="inlineStr">
        <is>
          <t>EdTech Denmark</t>
        </is>
      </c>
      <c r="I745" s="1" t="n"/>
      <c r="J745" s="1" t="inlineStr">
        <is>
          <t>Hillerød</t>
        </is>
      </c>
      <c r="K745" t="inlineStr">
        <is>
          <t>Hillerød</t>
        </is>
      </c>
      <c r="L745" t="inlineStr">
        <is>
          <t>Hillerød, Denmark</t>
        </is>
      </c>
      <c r="M745" t="n">
        <v>55.9285735</v>
      </c>
      <c r="N745" t="n">
        <v>12.3063909</v>
      </c>
      <c r="O745" s="1" t="inlineStr">
        <is>
          <t>Denmark</t>
        </is>
      </c>
      <c r="P745" s="1" t="inlineStr">
        <is>
          <t>Denmark</t>
        </is>
      </c>
      <c r="Q745" s="1" t="inlineStr">
        <is>
          <t>0 to 10</t>
        </is>
      </c>
      <c r="R745" t="inlineStr">
        <is>
          <t>Micro</t>
        </is>
      </c>
      <c r="S745" s="1" t="inlineStr">
        <is>
          <t>Business to Business</t>
        </is>
      </c>
      <c r="T745" s="1" t="inlineStr">
        <is>
          <t>Corporate Training, Lifelong learning/Adult education</t>
        </is>
      </c>
      <c r="U745" s="1" t="inlineStr">
        <is>
          <t>Teacher interfacing, System/Administrative</t>
        </is>
      </c>
      <c r="V745" s="1" t="inlineStr">
        <is>
          <t>Danberg Mini MBA</t>
        </is>
      </c>
      <c r="W745" s="1" t="inlineStr">
        <is>
          <t>Danberg Mini-MBA is a practical and cost-effective way to reach your next career goal and boost your employment profile. 
Danberg Mini MBA is powered by gamified business simulations, where you can take strategic decisions and manage the business virtually as the c-suite leader. 
Industry experts develop Danberg Mini MBA to equip you with practical management skills that you can apply to work immediately and improve your performance.
Danberg Mini MBA focusing on crucial management areas such as strategy, marketing, finance, and human resources will also give you a clear advantage to perform in a volatile global business environment.</t>
        </is>
      </c>
      <c r="X745" s="10" t="inlineStr">
        <is>
          <t>https://drive.google.com/uc?export=view&amp;id=1aIoPSmLQI1jDjZbZPZfFD-3O0wGIs-Rj</t>
        </is>
      </c>
      <c r="Y745" t="inlineStr">
        <is>
          <t>https://drive.google.com/uc?export=view&amp;id=1aIoPSmLQI1jDjZbZPZfFD-3O0wGIs-Rj</t>
        </is>
      </c>
      <c r="Z745" s="1" t="inlineStr">
        <is>
          <t>https://drive.google.com/uc?export=view&amp;id=1aIoPSmLQI1jDjZbZPZfFD-3O0wGIs-Rj</t>
        </is>
      </c>
      <c r="AA745" s="1" t="inlineStr">
        <is>
          <t>Unverified</t>
        </is>
      </c>
      <c r="AB745" s="1" t="n"/>
      <c r="AC745" s="1" t="n"/>
      <c r="AD745" s="10" t="n"/>
      <c r="AE745" s="1" t="n"/>
      <c r="AF745" t="inlineStr">
        <is>
          <t>Yes</t>
        </is>
      </c>
      <c r="AG745" t="inlineStr">
        <is>
          <t>https://www.linkedin.com/company/82704373/</t>
        </is>
      </c>
      <c r="AH745" t="inlineStr">
        <is>
          <t>https://www.linkedin.com/company/82704373/</t>
        </is>
      </c>
      <c r="AI745" t="inlineStr">
        <is>
          <t>https://www.linkedin.com/company/82704373/</t>
        </is>
      </c>
    </row>
    <row r="746" ht="12.5" customHeight="1">
      <c r="A746" s="6" t="n">
        <v>45181</v>
      </c>
      <c r="B746" s="1" t="inlineStr">
        <is>
          <t>ORG_2309</t>
        </is>
      </c>
      <c r="C746" s="1" t="b">
        <v>1</v>
      </c>
      <c r="D746" s="1" t="inlineStr">
        <is>
          <t>SplendEd</t>
        </is>
      </c>
      <c r="E746" s="10" t="inlineStr">
        <is>
          <t>https://splended.co</t>
        </is>
      </c>
      <c r="F746" t="inlineStr">
        <is>
          <t>splended.co</t>
        </is>
      </c>
      <c r="G746" s="1" t="inlineStr">
        <is>
          <t>High School students currently waste 70% of their time on inadequate learning tasks, accounting for 306.5 Billion wasted hours. SplendEd empowers student growth and transforming education by creating an interactive learning toolbox that aids in fostering student-teacher relationships where students gain access to personalized and scientifically proven methods. SplendEd works closely with (IB) International Schools and will launch its first product pilot testing in November 2022. Get in touch with us at info@splended.co to learn more about our journey!</t>
        </is>
      </c>
      <c r="H746" s="1" t="inlineStr">
        <is>
          <t>I'm not part of any EdTech association</t>
        </is>
      </c>
      <c r="I746" s="1" t="n"/>
      <c r="J746" s="1" t="inlineStr">
        <is>
          <t>Berlin</t>
        </is>
      </c>
      <c r="K746" t="inlineStr">
        <is>
          <t>Berlin</t>
        </is>
      </c>
      <c r="L746" t="inlineStr">
        <is>
          <t>Berlin, Germany</t>
        </is>
      </c>
      <c r="M746" t="n">
        <v>52.5173885</v>
      </c>
      <c r="N746" t="n">
        <v>13.3951309</v>
      </c>
      <c r="O746" s="1" t="inlineStr">
        <is>
          <t>Germany</t>
        </is>
      </c>
      <c r="P746" s="1" t="inlineStr">
        <is>
          <t>Denmark, Germany</t>
        </is>
      </c>
      <c r="Q746" s="1" t="inlineStr">
        <is>
          <t>0 to 10</t>
        </is>
      </c>
      <c r="R746" t="inlineStr">
        <is>
          <t>Micro</t>
        </is>
      </c>
      <c r="S746" s="1" t="inlineStr">
        <is>
          <t>Business to Schools</t>
        </is>
      </c>
      <c r="T746" s="1" t="inlineStr">
        <is>
          <t>Secondary Education</t>
        </is>
      </c>
      <c r="U746" s="1" t="inlineStr">
        <is>
          <t>Student interfacing, Teacher interfacing</t>
        </is>
      </c>
      <c r="V746" s="1" t="n"/>
      <c r="W746" s="1" t="inlineStr">
        <is>
          <t>https://drive.google.com/uc?export=view&amp;id=1fC6OGmsfLLIUZAVqd0JYpl6TYWWHTdHb</t>
        </is>
      </c>
      <c r="X746" s="1" t="inlineStr">
        <is>
          <t>https://drive.google.com/uc?export=view&amp;id=1fC6OGmsfLLIUZAVqd0JYpl6TYWWHTdHb</t>
        </is>
      </c>
      <c r="Y746" t="inlineStr">
        <is>
          <t>https://drive.google.com/uc?export=view&amp;id=1fC6OGmsfLLIUZAVqd0JYpl6TYWWHTdHb</t>
        </is>
      </c>
      <c r="Z746" s="1" t="inlineStr">
        <is>
          <t>https://drive.google.com/uc?export=view&amp;id=1fC6OGmsfLLIUZAVqd0JYpl6TYWWHTdHb</t>
        </is>
      </c>
      <c r="AA746" s="1" t="inlineStr">
        <is>
          <t>Unverified</t>
        </is>
      </c>
      <c r="AB746" s="1" t="n"/>
      <c r="AC746" s="1" t="n"/>
      <c r="AD746" s="10" t="n"/>
      <c r="AE746" s="1" t="n"/>
      <c r="AF746" s="1" t="inlineStr">
        <is>
          <t>No</t>
        </is>
      </c>
      <c r="AG746" s="1" t="n"/>
      <c r="AH746" s="1" t="n"/>
    </row>
    <row r="747" ht="12.5" customHeight="1">
      <c r="A747" s="6" t="n">
        <v>45181</v>
      </c>
      <c r="B747" s="1" t="inlineStr">
        <is>
          <t>ORG_2425</t>
        </is>
      </c>
      <c r="C747" s="1" t="b">
        <v>1</v>
      </c>
      <c r="D747" s="1" t="inlineStr">
        <is>
          <t>TotalYmage</t>
        </is>
      </c>
      <c r="E747" s="10" t="inlineStr">
        <is>
          <t>https://www.totalymage.com</t>
        </is>
      </c>
      <c r="F747" t="inlineStr">
        <is>
          <t>totalymage.com</t>
        </is>
      </c>
      <c r="G747" s="1" t="inlineStr">
        <is>
          <t>Created in 2013 at the EPFL Innovation Park, Time2Market is a Swiss technology company, operating in France, Spain, Canada and Singapore.
Time2Market developed 360° video twin globally patented technologies: the quickest way to reconstruct complex facilities in real images, and enrich them with 3D-positioned digital content.
Time2Market publishes the TotalYmage software video twin platform, available on the cloud and on-premises.</t>
        </is>
      </c>
      <c r="H747" s="1" t="inlineStr">
        <is>
          <t>Swiss EdTech Collider</t>
        </is>
      </c>
      <c r="I747" s="1" t="n"/>
      <c r="J747" s="1" t="inlineStr">
        <is>
          <t>Ecublens</t>
        </is>
      </c>
      <c r="K747" t="inlineStr">
        <is>
          <t>Ecublens</t>
        </is>
      </c>
      <c r="L747" t="inlineStr">
        <is>
          <t>Ecublens, Switzerland</t>
        </is>
      </c>
      <c r="M747" t="n">
        <v>46.5258</v>
      </c>
      <c r="N747" t="n">
        <v>6.5621137</v>
      </c>
      <c r="O747" s="1" t="inlineStr">
        <is>
          <t>Switzerland</t>
        </is>
      </c>
      <c r="P747" s="1" t="inlineStr">
        <is>
          <t>France, Norway, Spain, Switzerland, United Kingdom</t>
        </is>
      </c>
      <c r="Q747" s="1" t="inlineStr">
        <is>
          <t>0 to 10</t>
        </is>
      </c>
      <c r="R747" t="inlineStr">
        <is>
          <t>Micro</t>
        </is>
      </c>
      <c r="S747" s="1" t="inlineStr">
        <is>
          <t>Business to Business</t>
        </is>
      </c>
      <c r="T747" s="1" t="inlineStr">
        <is>
          <t>Corporate Training</t>
        </is>
      </c>
      <c r="U747" s="1" t="inlineStr">
        <is>
          <t>System/Administrative</t>
        </is>
      </c>
      <c r="V747" s="1" t="inlineStr">
        <is>
          <t>TotalYmage</t>
        </is>
      </c>
      <c r="W747" s="1" t="inlineStr">
        <is>
          <t>The TotalYmage software platform allows corporate companies to create training environments of their distant, complex and difficult to access facilities, in a few hours.
Learners access the virtual (in real images) environments from their own devices, and learn from the geopositioned content.
Training becomes safe, gives a total understanding of the processes and facilities in which they will operate.
No-code, quick and intuitive, economic.</t>
        </is>
      </c>
      <c r="X747" s="10" t="inlineStr">
        <is>
          <t>Realigned</t>
        </is>
      </c>
      <c r="Y747" t="inlineStr">
        <is>
          <t>The Realigned software platform gives robotics hardware manufacturers (robot, drone) new tools to capture on-site sensor-based data and 360° images, analyse them and report 3D-localized measurements, issues and regulatory checks.
Used for inspections in complex and difficult to access environments.
Reports in 2D, 3D, 360° reports, csv</t>
        </is>
      </c>
      <c r="Z747" s="1" t="inlineStr">
        <is>
          <t>https://drive.google.com/uc?export=view&amp;id=1lH1ewN-scErwQ5D4ISMxj-LuCIvbPSI5</t>
        </is>
      </c>
      <c r="AA747" s="1" t="inlineStr">
        <is>
          <t>Unverified</t>
        </is>
      </c>
      <c r="AB747" s="1" t="n"/>
      <c r="AC747" s="1" t="n"/>
      <c r="AD747" s="10" t="n"/>
      <c r="AE747" s="1" t="n"/>
      <c r="AF747" s="1" t="inlineStr">
        <is>
          <t>Yes</t>
        </is>
      </c>
      <c r="AG747" s="1" t="inlineStr">
        <is>
          <t>https://www.linkedin.com/company/totalymage/</t>
        </is>
      </c>
      <c r="AH747" s="1" t="inlineStr">
        <is>
          <t>https://www.linkedin.com/company/totalymage/</t>
        </is>
      </c>
      <c r="AI747" t="inlineStr">
        <is>
          <t>https://www.linkedin.com/company/totalymage/</t>
        </is>
      </c>
    </row>
    <row r="748" ht="12.5" customHeight="1">
      <c r="A748" s="6" t="n">
        <v>45181</v>
      </c>
      <c r="B748" s="1" t="inlineStr">
        <is>
          <t>ORG_1157</t>
        </is>
      </c>
      <c r="C748" s="1" t="b">
        <v>1</v>
      </c>
      <c r="D748" s="1" t="inlineStr">
        <is>
          <t>BetterStudy Online Training in Accounting</t>
        </is>
      </c>
      <c r="E748" s="10" t="inlineStr">
        <is>
          <t>https://betterstudy.ch</t>
        </is>
      </c>
      <c r="F748" t="inlineStr">
        <is>
          <t>betterstudy.ch</t>
        </is>
      </c>
      <c r="G748" s="1" t="inlineStr">
        <is>
          <t>Founded in January 2015, BetterStudy is the only 100% online vocational training institute in accounting and HR in Switzerland.
BetterStudy delivers its own certificates and offer programs preparation with the skills needed to pass external State exams, until the level of Specialist in Accounting and Finance. 
BetterStudy developed a platform with custom questions and a unique learning method allowing our learners to complete their training 20% ​​to 30% faster (on average), and their exam pass rates are also above average.
The company is profitable and cash positive.</t>
        </is>
      </c>
      <c r="H748" s="1" t="inlineStr">
        <is>
          <t>Swiss EdTech Collider</t>
        </is>
      </c>
      <c r="I748" s="1" t="n"/>
      <c r="J748" s="1" t="inlineStr">
        <is>
          <t>Petit-Lancy</t>
        </is>
      </c>
      <c r="K748" t="inlineStr">
        <is>
          <t>Petit-Lancy</t>
        </is>
      </c>
      <c r="L748" t="inlineStr">
        <is>
          <t>Petit-Lancy, Switzerland</t>
        </is>
      </c>
      <c r="M748" t="n">
        <v>46.1899458</v>
      </c>
      <c r="N748" t="n">
        <v>6.1190366</v>
      </c>
      <c r="O748" s="1" t="inlineStr">
        <is>
          <t>Switzerland</t>
        </is>
      </c>
      <c r="P748" s="1" t="inlineStr">
        <is>
          <t>France, Switzerland</t>
        </is>
      </c>
      <c r="Q748" s="1" t="inlineStr">
        <is>
          <t>0 to 10</t>
        </is>
      </c>
      <c r="R748" t="inlineStr">
        <is>
          <t>Micro</t>
        </is>
      </c>
      <c r="S748" s="1" t="inlineStr">
        <is>
          <t>Business to Business, Business to Consumer</t>
        </is>
      </c>
      <c r="T748" s="1" t="inlineStr">
        <is>
          <t>Higher Education, Corporate Training, Lifelong learning/Adult education</t>
        </is>
      </c>
      <c r="U748" s="1" t="inlineStr">
        <is>
          <t>Student interfacing, System/Administrative</t>
        </is>
      </c>
      <c r="V748" s="10" t="inlineStr">
        <is>
          <t>Different courses in accounting and HR</t>
        </is>
      </c>
      <c r="W748" s="1" t="inlineStr">
        <is>
          <t>13 trainings programs, most of them leading to a professional certificate, from the entry level in accounting to specialist level. 
Vidéos, texts, interactives questions.
A team of trainers is available to answer the learners' questions.</t>
        </is>
      </c>
      <c r="X748" s="10" t="inlineStr">
        <is>
          <t>https://drive.google.com/uc?export=view&amp;id=153eeYwOMnR9XiUKtTshubB1yRtrXy5zv</t>
        </is>
      </c>
      <c r="Y748" t="inlineStr">
        <is>
          <t>https://drive.google.com/uc?export=view&amp;id=153eeYwOMnR9XiUKtTshubB1yRtrXy5zv</t>
        </is>
      </c>
      <c r="Z748" s="1" t="inlineStr">
        <is>
          <t>https://drive.google.com/uc?export=view&amp;id=153eeYwOMnR9XiUKtTshubB1yRtrXy5zv</t>
        </is>
      </c>
      <c r="AA748" s="1" t="inlineStr">
        <is>
          <t>Unverified</t>
        </is>
      </c>
      <c r="AB748" s="1" t="n"/>
      <c r="AC748" s="1" t="n"/>
      <c r="AD748" s="10" t="n"/>
      <c r="AE748" s="1" t="n"/>
      <c r="AF748" s="1" t="inlineStr">
        <is>
          <t>Yes</t>
        </is>
      </c>
      <c r="AG748" s="1" t="inlineStr">
        <is>
          <t>https://www.instagram.com/betterstudy_online_course</t>
        </is>
      </c>
      <c r="AH748" s="1" t="inlineStr">
        <is>
          <t>https://www.linkedin.com/school/betterstudy-cours-en-ligne/</t>
        </is>
      </c>
      <c r="AI748" t="inlineStr">
        <is>
          <t>https://www.linkedin.com/school/betterstudy-cours-en-ligne/</t>
        </is>
      </c>
    </row>
    <row r="749" ht="12.5" customHeight="1">
      <c r="A749" s="6" t="n">
        <v>45181</v>
      </c>
      <c r="B749" s="1" t="inlineStr">
        <is>
          <t>ORG_2429</t>
        </is>
      </c>
      <c r="C749" s="1" t="b">
        <v>1</v>
      </c>
      <c r="D749" s="1" t="inlineStr">
        <is>
          <t>TRALALERE</t>
        </is>
      </c>
      <c r="E749" s="10" t="inlineStr">
        <is>
          <t>https://www.tralalere.com</t>
        </is>
      </c>
      <c r="F749" t="inlineStr">
        <is>
          <t>tralalere.com</t>
        </is>
      </c>
      <c r="G749" s="1" t="inlineStr">
        <is>
          <t>Digital edutainer, TRALALERE is a leading French producer of engaging resources for K12 education. This center for innovation is the operator of the French “Safer Internet France” program, on the outlook for changes in digital usages. TRALALERE disseminates cross-media educational programs (serious games, not-so-silly games, audiovisual series, pedagogical platforms) for learners and teachers to scale up good practice and develop youth digital skills.</t>
        </is>
      </c>
      <c r="H749" s="1" t="inlineStr">
        <is>
          <t>EdTech France</t>
        </is>
      </c>
      <c r="I749" s="1" t="n"/>
      <c r="J749" s="1" t="inlineStr">
        <is>
          <t>Paris</t>
        </is>
      </c>
      <c r="K749" t="inlineStr">
        <is>
          <t>Paris</t>
        </is>
      </c>
      <c r="L749" t="inlineStr">
        <is>
          <t>Paris, France</t>
        </is>
      </c>
      <c r="M749" t="n">
        <v>48.8534951</v>
      </c>
      <c r="N749" t="n">
        <v>2.3483915</v>
      </c>
      <c r="O749" s="1" t="inlineStr">
        <is>
          <t>France</t>
        </is>
      </c>
      <c r="P749" s="1" t="inlineStr">
        <is>
          <t>France, Germany, Ireland, Italy, Spain, Switzerland</t>
        </is>
      </c>
      <c r="Q749" s="1" t="inlineStr">
        <is>
          <t>11 to 50</t>
        </is>
      </c>
      <c r="R749" t="inlineStr">
        <is>
          <t>Small</t>
        </is>
      </c>
      <c r="S749" s="1" t="inlineStr">
        <is>
          <t>Business to Business, Business to Government</t>
        </is>
      </c>
      <c r="T749" s="1" t="inlineStr">
        <is>
          <t>Primary Education, Secondary Education</t>
        </is>
      </c>
      <c r="U749" s="1" t="inlineStr">
        <is>
          <t>System/Administrative, Student interfacing, Teacher interfacing</t>
        </is>
      </c>
      <c r="V749" s="10" t="inlineStr">
        <is>
          <t>CitizenCode</t>
        </is>
      </c>
      <c r="W749" s="10" t="inlineStr">
        <is>
          <t>Citizen Code is a new format of turnkey digital interactive workshops to introduce kids (9 to 77) to coding and digital culture (from digital citizenship to digital jobs). 
Using CitizenCode for classroom activities, workshops or home learning, kids become actors (rather than consumers) in their digital life: they code, create, understand key digital stakes.</t>
        </is>
      </c>
      <c r="X749" s="10" t="inlineStr">
        <is>
          <t>Safer Internet suite</t>
        </is>
      </c>
      <c r="Y749" t="inlineStr">
        <is>
          <t>A collection of digital resources to help youth master digital life and prevent risks
- FamiNum, a platform to help families with digital parenting
- InfoHunter, an interactive tool to organise media literacy workshops, to question perception of media and learn how to decrypt information
- Stopviolence, a serious game to tackle cyber bullying with junior highschool students
- Vinz and Lou, a series to tackle societal challenges for 7-11 year olds</t>
        </is>
      </c>
      <c r="Z749" s="1" t="inlineStr">
        <is>
          <t>https://drive.google.com/uc?export=view&amp;id=1v82qqWW9-G2zQOb-ebl6_0VEWMR2-Trs</t>
        </is>
      </c>
      <c r="AA749" s="1" t="inlineStr">
        <is>
          <t>Unverified</t>
        </is>
      </c>
      <c r="AB749" s="1" t="n"/>
      <c r="AC749" s="1" t="n"/>
      <c r="AD749" s="10" t="n"/>
      <c r="AE749" s="1" t="n"/>
      <c r="AF749" s="1" t="inlineStr">
        <is>
          <t>Yes</t>
        </is>
      </c>
      <c r="AG749" s="1" t="inlineStr">
        <is>
          <t>https://www.instagram.com/internetsanscrainte/</t>
        </is>
      </c>
      <c r="AH749" s="1" t="inlineStr">
        <is>
          <t>https://twitter.com/tralalere</t>
        </is>
      </c>
      <c r="AI749" s="1" t="inlineStr">
        <is>
          <t>https://linkedin.com/showcase/tralalere</t>
        </is>
      </c>
      <c r="AJ749" s="1" t="n"/>
    </row>
    <row r="750" ht="12.5" customHeight="1">
      <c r="A750" s="6" t="n">
        <v>45181</v>
      </c>
      <c r="B750" s="1" t="inlineStr">
        <is>
          <t>ORG_2564</t>
        </is>
      </c>
      <c r="C750" s="1" t="b">
        <v>1</v>
      </c>
      <c r="D750" s="1" t="inlineStr">
        <is>
          <t>Youni</t>
        </is>
      </c>
      <c r="E750" s="10" t="inlineStr">
        <is>
          <t>younichoice.com</t>
        </is>
      </c>
      <c r="F750" t="inlineStr">
        <is>
          <t>younichoice.com</t>
        </is>
      </c>
      <c r="G750" s="1" t="inlineStr">
        <is>
          <t>Youni is an international educational platform for applying to universities worldwide. For high schools, Youni is the students’ educational counsellor &amp; advisor</t>
        </is>
      </c>
      <c r="H750" s="1" t="inlineStr">
        <is>
          <t>I'm not part of any EdTech association</t>
        </is>
      </c>
      <c r="I750" s="1" t="inlineStr">
        <is>
          <t>English, Romanian, Russian</t>
        </is>
      </c>
      <c r="J750" s="1" t="inlineStr">
        <is>
          <t>Bucharest</t>
        </is>
      </c>
      <c r="K750" t="inlineStr">
        <is>
          <t>Bucharest</t>
        </is>
      </c>
      <c r="L750" t="inlineStr">
        <is>
          <t>Bucharest, Romania</t>
        </is>
      </c>
      <c r="M750" t="n">
        <v>44.4361414</v>
      </c>
      <c r="N750" t="n">
        <v>26.102684</v>
      </c>
      <c r="O750" s="1" t="inlineStr">
        <is>
          <t>Romania</t>
        </is>
      </c>
      <c r="P750" s="1" t="inlineStr">
        <is>
          <t>Bulgaria, Czechia, France, Germany, Italy, Kazakhstan, Netherlands, Poland, Romania, Spain, Switzerland</t>
        </is>
      </c>
      <c r="Q750" s="1" t="inlineStr">
        <is>
          <t>11 to 50</t>
        </is>
      </c>
      <c r="R750" t="inlineStr">
        <is>
          <t>Small</t>
        </is>
      </c>
      <c r="S750" s="1" t="inlineStr">
        <is>
          <t>Business to Business</t>
        </is>
      </c>
      <c r="T750" s="1" t="inlineStr">
        <is>
          <t>Secondary Education, Corporate Training, Lifelong learning/Adult education, Vocational Education and Training (VET), Higher Education</t>
        </is>
      </c>
      <c r="U750" s="1" t="inlineStr">
        <is>
          <t>System/Administrative, Student interfacing</t>
        </is>
      </c>
      <c r="V750" s="10" t="inlineStr">
        <is>
          <t>Younichoice</t>
        </is>
      </c>
      <c r="W750" s="1" t="inlineStr">
        <is>
          <t>Primarily, our users are students, ranging from teenagers gearing up for their undergrad to professionals eyeing postgraduate courses or a career shift. Additionally, educational institutions and organizations looking to tap into student insights and preferences also benefit immensely from our platform, making their offerings more aligned and effective.
Many students, regardless of age or background, grapple with several persistent issues when considering higher education and career paths:
Overwhelming Choices: The sheer number of universities and career paths available can be daunting, often leading to confusion and, at times, suboptimal choices.
Mismatched Aspirations and Opportunities: Frequently, students find themselves pursuing courses or careers that don't align with their innate interests or strengths. This misalignment can lead to dissatisfaction and reduced performance.
Financial Constraints: Higher education, especially in reputed institutions, can be prohibitively expensive. Many students are unaware of financial aids or scholarships they might be eligible for.
Lack of Comprehensive Information: In the age of information, the challenge is often finding relevant, accurate, and comprehensive information all in one place.
Isolation in Decision Making: Many students feel isolated in their journey, lacking a community or peer group for sharing concerns, asking questions, or gaining insights.
Uninformed Decision-making: Without a system that understands individual profiles and preferences, students often make decisions based on generic advice or superficial research.
Inadequate Preparation: Many students are unaware of the preparatory resources, certifications, or exams required to secure admission to their desired courses or institutions.
How Our Product Solves These Problems:
AI-Powered Guidance: With the AI Search and Recommendation System, students receive curated suggestions on universities, careers, and resources tailored to their profile. This personalized guidance reduces the overwhelming number of choices to a more manageable and relevant set.
Strategic University and Career Selection: By connecting students to over 500 universities globally and utilizing AI for best-fit recommendations, we ensure students' aspirations match their chosen paths.
Democratizing Education with Financial Aids: Our platform actively scans and suggests scholarships and awards, making education financially accessible to a wider audience.
Centralized Information Hub: By consolidating resources like admission exams, preparatory materials, and certifications, we address the problem of scattered information. Everything a student needs is available in one intuitive space.
Building a Community: The Social Component fosters a community where students can engage with peers, share experiences, and even find mentors, ensuring they're not isolated in their journey.
Tailored Insights with "Shout-Eye" System: Institutions can now understand students' needs and pain points in real-time, ensuring that offerings are continuously optimized to student requirements.
Streamlined Preparatory Path: With the AI search function highlighting relevant certifications and prep resources, students are better equipped to prepare for their academic pursuits.</t>
        </is>
      </c>
      <c r="X750" s="10" t="inlineStr">
        <is>
          <t>https://drive.google.com/uc?export=view&amp;id=1P-OeIhNlALtw_mWRRoqF63w8Darlee_0</t>
        </is>
      </c>
      <c r="Y750" t="inlineStr">
        <is>
          <t>https://drive.google.com/uc?export=view&amp;id=1P-OeIhNlALtw_mWRRoqF63w8Darlee_0</t>
        </is>
      </c>
      <c r="Z750" s="1" t="inlineStr">
        <is>
          <t>https://drive.google.com/uc?export=view&amp;id=1P-OeIhNlALtw_mWRRoqF63w8Darlee_0</t>
        </is>
      </c>
      <c r="AA750" s="1" t="inlineStr">
        <is>
          <t>Unverified</t>
        </is>
      </c>
      <c r="AB750" s="1" t="n"/>
      <c r="AC750" s="1" t="n"/>
      <c r="AD750" s="10" t="n"/>
      <c r="AE750" s="1" t="n"/>
      <c r="AF750" s="1" t="inlineStr">
        <is>
          <t>Yes</t>
        </is>
      </c>
      <c r="AG750" s="1" t="inlineStr">
        <is>
          <t>https://instagram.com/younichoice?igshid=MzRlODBiNWFlZA==</t>
        </is>
      </c>
      <c r="AH750" s="1" t="inlineStr">
        <is>
          <t>https://www.linkedin.com/company/younichoice</t>
        </is>
      </c>
      <c r="AI750" s="1" t="inlineStr">
        <is>
          <t>https://www.linkedin.com/company/younichoice</t>
        </is>
      </c>
      <c r="AJ750" s="1" t="n"/>
    </row>
    <row r="751" ht="12.5" customHeight="1">
      <c r="A751" s="6" t="n">
        <v>45181</v>
      </c>
      <c r="B751" s="1" t="inlineStr">
        <is>
          <t>ORG_1873</t>
        </is>
      </c>
      <c r="C751" s="1" t="b">
        <v>1</v>
      </c>
      <c r="D751" s="1" t="inlineStr">
        <is>
          <t>LifeTeachUs</t>
        </is>
      </c>
      <c r="E751" s="10" t="inlineStr">
        <is>
          <t>https://lifeteachus.org/</t>
        </is>
      </c>
      <c r="F751" t="inlineStr">
        <is>
          <t>lifeteachus.org</t>
        </is>
      </c>
      <c r="G751" s="1" t="inlineStr">
        <is>
          <t>What do we do?
We bring people from all walks of life to school whenever classes are cancelled. In this way, we expand the educational offering to include inspiring people outside the usual environment. With a million hours of downtime per week in Germany, we have plenty of time to do this.
How do we do it?
We have developed an app that schools use to indicate short- and long-term lesson cancellations, and in real time we find suitable people who bring valuable life knowledge and life experience to school in 45 minutes. We test and qualify these people beforehand as so-called LifeTeachers.</t>
        </is>
      </c>
      <c r="H751" s="1" t="inlineStr">
        <is>
          <t>I'm not part of any EdTech association</t>
        </is>
      </c>
      <c r="I751" s="1" t="n"/>
      <c r="J751" s="1" t="inlineStr">
        <is>
          <t>München</t>
        </is>
      </c>
      <c r="K751" t="inlineStr">
        <is>
          <t>München</t>
        </is>
      </c>
      <c r="L751" t="inlineStr">
        <is>
          <t>München, Germany</t>
        </is>
      </c>
      <c r="M751" t="n">
        <v>48.1371079</v>
      </c>
      <c r="N751" t="n">
        <v>11.5753822</v>
      </c>
      <c r="O751" s="1" t="inlineStr">
        <is>
          <t>Germany</t>
        </is>
      </c>
      <c r="P751" s="1" t="inlineStr">
        <is>
          <t>Austria, Germany</t>
        </is>
      </c>
      <c r="Q751" s="1" t="inlineStr">
        <is>
          <t>0 to 10</t>
        </is>
      </c>
      <c r="R751" t="inlineStr">
        <is>
          <t>Micro</t>
        </is>
      </c>
      <c r="S751" s="1" t="inlineStr">
        <is>
          <t>Business to Business, Business to Consumer</t>
        </is>
      </c>
      <c r="T751" s="1" t="inlineStr">
        <is>
          <t>Secondary Education</t>
        </is>
      </c>
      <c r="U751" s="1" t="inlineStr">
        <is>
          <t>Student interfacing</t>
        </is>
      </c>
      <c r="V751" s="1" t="n"/>
      <c r="W751" s="1" t="inlineStr">
        <is>
          <t>https://drive.google.com/uc?export=view&amp;id=1EgXqwnz-Uen_Iza8AA1gRlpjCkD5zSvW</t>
        </is>
      </c>
      <c r="X751" s="1" t="inlineStr">
        <is>
          <t>https://drive.google.com/uc?export=view&amp;id=1EgXqwnz-Uen_Iza8AA1gRlpjCkD5zSvW</t>
        </is>
      </c>
      <c r="Y751" t="inlineStr">
        <is>
          <t>https://drive.google.com/uc?export=view&amp;id=1EgXqwnz-Uen_Iza8AA1gRlpjCkD5zSvW</t>
        </is>
      </c>
      <c r="Z751" s="1" t="inlineStr">
        <is>
          <t>https://drive.google.com/uc?export=view&amp;id=1EgXqwnz-Uen_Iza8AA1gRlpjCkD5zSvW</t>
        </is>
      </c>
      <c r="AA751" s="1" t="inlineStr">
        <is>
          <t>Unverified</t>
        </is>
      </c>
      <c r="AB751" s="1" t="n"/>
      <c r="AC751" s="1" t="n"/>
      <c r="AD751" s="10" t="n"/>
      <c r="AE751" s="1" t="n"/>
      <c r="AF751" s="1" t="inlineStr">
        <is>
          <t>No</t>
        </is>
      </c>
      <c r="AG751" s="1" t="n"/>
      <c r="AH751" s="1" t="n"/>
    </row>
    <row r="752" ht="12.5" customHeight="1">
      <c r="A752" s="6" t="n">
        <v>45181</v>
      </c>
      <c r="B752" s="1" t="inlineStr">
        <is>
          <t>ORG_2408</t>
        </is>
      </c>
      <c r="C752" s="1" t="b">
        <v>1</v>
      </c>
      <c r="D752" s="1" t="inlineStr">
        <is>
          <t>thing.online</t>
        </is>
      </c>
      <c r="E752" s="10" t="inlineStr">
        <is>
          <t>https://www.thing.online</t>
        </is>
      </c>
      <c r="F752" t="inlineStr">
        <is>
          <t>thing.online</t>
        </is>
      </c>
      <c r="G752" s="1" t="inlineStr">
        <is>
          <t>hing.online enables organizations and teams to run effortless virtual workshops, achieving high-quality results in structured conversations. The web application supports moderators to structure the flow of virtual meetings and allows participants to have engaging conversations and collaborate. It assists with meeting flow control, so facilitators can refocus on group dynamics and guide participants to valuable outcomes. thing.online significantly reduces the barriers to well-structured meetings, hence enabling more organizations to be prepared for a hybrid future of work.</t>
        </is>
      </c>
      <c r="H752" s="1" t="inlineStr">
        <is>
          <t>I'm not part of any EdTech association</t>
        </is>
      </c>
      <c r="I752" s="1" t="n"/>
      <c r="J752" s="1" t="inlineStr">
        <is>
          <t>Karlsruhe</t>
        </is>
      </c>
      <c r="K752" t="inlineStr">
        <is>
          <t>Karlsruhe</t>
        </is>
      </c>
      <c r="L752" t="inlineStr">
        <is>
          <t>Karlsruhe, Germany</t>
        </is>
      </c>
      <c r="M752" t="n">
        <v>49.0068705</v>
      </c>
      <c r="N752" t="n">
        <v>8.4034195</v>
      </c>
      <c r="O752" s="1" t="inlineStr">
        <is>
          <t>Germany</t>
        </is>
      </c>
      <c r="P75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752" s="1" t="inlineStr">
        <is>
          <t>0 to 10</t>
        </is>
      </c>
      <c r="R752" t="inlineStr">
        <is>
          <t>Micro</t>
        </is>
      </c>
      <c r="S752" s="1" t="inlineStr">
        <is>
          <t>Business to Business, Business to Government, Business to Schools</t>
        </is>
      </c>
      <c r="T752" s="1" t="inlineStr">
        <is>
          <t>Higher Education, Corporate Training, Lifelong learning/Adult education</t>
        </is>
      </c>
      <c r="U752" s="1" t="inlineStr">
        <is>
          <t>Student interfacing, Teacher interfacing, System/Administrative</t>
        </is>
      </c>
      <c r="V752" s="1" t="n"/>
      <c r="W752" s="1" t="inlineStr">
        <is>
          <t>https://drive.google.com/uc?export=view&amp;id=1nsjh1wzdW1WIepT09Jxoiu0WGloOL0We</t>
        </is>
      </c>
      <c r="X752" s="1" t="inlineStr">
        <is>
          <t>https://drive.google.com/uc?export=view&amp;id=1nsjh1wzdW1WIepT09Jxoiu0WGloOL0We</t>
        </is>
      </c>
      <c r="Y752" t="inlineStr">
        <is>
          <t>https://drive.google.com/uc?export=view&amp;id=1nsjh1wzdW1WIepT09Jxoiu0WGloOL0We</t>
        </is>
      </c>
      <c r="Z752" s="1" t="inlineStr">
        <is>
          <t>https://drive.google.com/uc?export=view&amp;id=1nsjh1wzdW1WIepT09Jxoiu0WGloOL0We</t>
        </is>
      </c>
      <c r="AA752" s="1" t="inlineStr">
        <is>
          <t>Unverified</t>
        </is>
      </c>
      <c r="AB752" s="1" t="n"/>
      <c r="AC752" s="1" t="n"/>
      <c r="AD752" s="10" t="n"/>
      <c r="AE752" s="1" t="n"/>
      <c r="AF752" t="inlineStr">
        <is>
          <t>No</t>
        </is>
      </c>
    </row>
    <row r="753" ht="12.5" customHeight="1">
      <c r="A753" s="6" t="n">
        <v>45181</v>
      </c>
      <c r="B753" s="1" t="inlineStr">
        <is>
          <t>ORG_1621</t>
        </is>
      </c>
      <c r="C753" s="1" t="b">
        <v>1</v>
      </c>
      <c r="D753" s="1" t="inlineStr">
        <is>
          <t>Gility</t>
        </is>
      </c>
      <c r="E753" s="10" t="inlineStr">
        <is>
          <t>www.gility.it</t>
        </is>
      </c>
      <c r="F753" t="inlineStr">
        <is>
          <t>gility.it</t>
        </is>
      </c>
      <c r="G753" s="1" t="inlineStr">
        <is>
          <t>Gility is the education technology founded by BPER and CDP Venture Capital focused on upskilling and reskilling of Italian small medium enterprises.</t>
        </is>
      </c>
      <c r="H753" s="1" t="inlineStr">
        <is>
          <t>EdTech Italia, edtechstation</t>
        </is>
      </c>
      <c r="I753" s="1" t="n"/>
      <c r="J753" s="1" t="inlineStr">
        <is>
          <t>Milano</t>
        </is>
      </c>
      <c r="K753" t="inlineStr">
        <is>
          <t>Milano</t>
        </is>
      </c>
      <c r="L753" t="inlineStr">
        <is>
          <t>Milano, Italy</t>
        </is>
      </c>
      <c r="M753" t="n">
        <v>45.4641943</v>
      </c>
      <c r="N753" t="n">
        <v>9.1896346</v>
      </c>
      <c r="O753" s="1" t="inlineStr">
        <is>
          <t>Italy</t>
        </is>
      </c>
      <c r="P753" s="1" t="inlineStr">
        <is>
          <t>Italy</t>
        </is>
      </c>
      <c r="Q753" s="1" t="inlineStr">
        <is>
          <t>0 to 10</t>
        </is>
      </c>
      <c r="R753" t="inlineStr">
        <is>
          <t>Micro</t>
        </is>
      </c>
      <c r="S753" s="1" t="inlineStr">
        <is>
          <t>Business to Business, Business to Consumer</t>
        </is>
      </c>
      <c r="T753" s="1" t="inlineStr">
        <is>
          <t>Corporate Training</t>
        </is>
      </c>
      <c r="U753" s="1" t="inlineStr">
        <is>
          <t>System/Administrative</t>
        </is>
      </c>
      <c r="V753" s="1" t="inlineStr">
        <is>
          <t>Gility</t>
        </is>
      </c>
      <c r="W753" s="1" t="inlineStr">
        <is>
          <t>Digital Learning Platform aimed at upskilling and reskilling of SMEs employees</t>
        </is>
      </c>
      <c r="X753" s="10" t="inlineStr">
        <is>
          <t>https://drive.google.com/uc?export=view&amp;id=11F5SD1J0H2Gegp816nHzTfnQhjUuiGU2</t>
        </is>
      </c>
      <c r="Y753" t="inlineStr">
        <is>
          <t>https://drive.google.com/uc?export=view&amp;id=11F5SD1J0H2Gegp816nHzTfnQhjUuiGU2</t>
        </is>
      </c>
      <c r="Z753" s="1" t="inlineStr">
        <is>
          <t>https://drive.google.com/uc?export=view&amp;id=11F5SD1J0H2Gegp816nHzTfnQhjUuiGU2</t>
        </is>
      </c>
      <c r="AA753" s="1" t="inlineStr">
        <is>
          <t>Unverified</t>
        </is>
      </c>
      <c r="AB753" s="1" t="n"/>
      <c r="AC753" s="1" t="n"/>
      <c r="AD753" s="10" t="n"/>
      <c r="AE753" s="1" t="n"/>
      <c r="AF753" t="inlineStr">
        <is>
          <t>Yes</t>
        </is>
      </c>
      <c r="AG753" t="inlineStr">
        <is>
          <t>Società di Reskilling s.r.l</t>
        </is>
      </c>
      <c r="AH753" t="inlineStr">
        <is>
          <t>Società di Reskilling s.r.l</t>
        </is>
      </c>
      <c r="AI753" t="inlineStr">
        <is>
          <t>https://www.linkedin.com/company/gility-italia/</t>
        </is>
      </c>
    </row>
    <row r="754" ht="12.5" customHeight="1">
      <c r="A754" s="6" t="n">
        <v>45181</v>
      </c>
      <c r="B754" s="1" t="inlineStr">
        <is>
          <t>ORG_1521</t>
        </is>
      </c>
      <c r="C754" s="1" t="b">
        <v>1</v>
      </c>
      <c r="D754" s="1" t="inlineStr">
        <is>
          <t>eTutee</t>
        </is>
      </c>
      <c r="E754" s="10" t="inlineStr">
        <is>
          <t>http://etutee.eu</t>
        </is>
      </c>
      <c r="F754" t="inlineStr">
        <is>
          <t>etutee.eu</t>
        </is>
      </c>
      <c r="G754" s="1" t="inlineStr">
        <is>
          <t>We are an online tutoring company specialized in personalized tutoring for our customers.</t>
        </is>
      </c>
      <c r="H754" s="1" t="inlineStr">
        <is>
          <t>I'm not part of any EdTech association</t>
        </is>
      </c>
      <c r="I754" s="1" t="n"/>
      <c r="J754" s="1" t="inlineStr">
        <is>
          <t>Graz</t>
        </is>
      </c>
      <c r="K754" t="inlineStr">
        <is>
          <t>Graz</t>
        </is>
      </c>
      <c r="L754" t="inlineStr">
        <is>
          <t>Graz, Austria</t>
        </is>
      </c>
      <c r="M754" t="n">
        <v>47.0708678</v>
      </c>
      <c r="N754" t="n">
        <v>15.4382786</v>
      </c>
      <c r="O754" s="1" t="inlineStr">
        <is>
          <t>Austria</t>
        </is>
      </c>
      <c r="P754" s="1" t="inlineStr">
        <is>
          <t>Austria, Croatia, Slovenia</t>
        </is>
      </c>
      <c r="Q754" s="1" t="inlineStr">
        <is>
          <t>0 to 10</t>
        </is>
      </c>
      <c r="R754" t="inlineStr">
        <is>
          <t>Micro</t>
        </is>
      </c>
      <c r="S754" s="1" t="inlineStr">
        <is>
          <t>Business to Business, Business to Consumer</t>
        </is>
      </c>
      <c r="T754" s="1" t="inlineStr">
        <is>
          <t>Primary Education, Secondary Education, Higher Education, Corporate Training</t>
        </is>
      </c>
      <c r="U754" s="1" t="inlineStr">
        <is>
          <t>System/Administrative, Student interfacing</t>
        </is>
      </c>
      <c r="V754" s="1" t="n"/>
      <c r="W754" s="1" t="inlineStr">
        <is>
          <t>https://drive.google.com/uc?export=view&amp;id=1QY2kDuDqae0K8W4vr5ifz1-7Zs5qoGh7</t>
        </is>
      </c>
      <c r="X754" s="1" t="inlineStr">
        <is>
          <t>https://drive.google.com/uc?export=view&amp;id=1QY2kDuDqae0K8W4vr5ifz1-7Zs5qoGh7</t>
        </is>
      </c>
      <c r="Y754" t="inlineStr">
        <is>
          <t>https://drive.google.com/uc?export=view&amp;id=1QY2kDuDqae0K8W4vr5ifz1-7Zs5qoGh7</t>
        </is>
      </c>
      <c r="Z754" s="1" t="inlineStr">
        <is>
          <t>https://drive.google.com/uc?export=view&amp;id=1QY2kDuDqae0K8W4vr5ifz1-7Zs5qoGh7</t>
        </is>
      </c>
      <c r="AA754" s="1" t="inlineStr">
        <is>
          <t>Unverified</t>
        </is>
      </c>
      <c r="AB754" s="1" t="n"/>
      <c r="AC754" s="1" t="n"/>
      <c r="AD754" s="10" t="n"/>
      <c r="AE754" s="1" t="n"/>
      <c r="AF754" t="inlineStr">
        <is>
          <t>No</t>
        </is>
      </c>
    </row>
    <row r="755" ht="12.5" customHeight="1">
      <c r="A755" s="6" t="n">
        <v>45181</v>
      </c>
      <c r="B755" s="1" t="inlineStr">
        <is>
          <t>ORG_1459</t>
        </is>
      </c>
      <c r="C755" s="1" t="b">
        <v>1</v>
      </c>
      <c r="D755" s="1" t="inlineStr">
        <is>
          <t>Edusearch GmbH</t>
        </is>
      </c>
      <c r="E755" s="10" t="inlineStr">
        <is>
          <t>http://www.edcompass.net/</t>
        </is>
      </c>
      <c r="F755" t="inlineStr">
        <is>
          <t>edcompass.net</t>
        </is>
      </c>
      <c r="G755" s="1" t="inlineStr">
        <is>
          <t>Edusearch is a Berlin based company focused on search in educational space. The company was founded by Ferdinand Habsburg and Joseph Millogo. Our initial product, Edcompass, is a metasearch engine which helps teachers finding the best educational content for class preparation.</t>
        </is>
      </c>
      <c r="H755" s="1" t="inlineStr">
        <is>
          <t>I'm not part of any EdTech association</t>
        </is>
      </c>
      <c r="I755" s="1" t="n"/>
      <c r="J755" s="1" t="inlineStr">
        <is>
          <t>Berlin</t>
        </is>
      </c>
      <c r="K755" t="inlineStr">
        <is>
          <t>Berlin</t>
        </is>
      </c>
      <c r="L755" t="inlineStr">
        <is>
          <t>Berlin, Germany</t>
        </is>
      </c>
      <c r="M755" t="n">
        <v>52.5173885</v>
      </c>
      <c r="N755" t="n">
        <v>13.3951309</v>
      </c>
      <c r="O755" s="1" t="inlineStr">
        <is>
          <t>Germany</t>
        </is>
      </c>
      <c r="P755" s="1" t="inlineStr">
        <is>
          <t>United Kingdom</t>
        </is>
      </c>
      <c r="Q755" s="1" t="inlineStr">
        <is>
          <t>0 to 10</t>
        </is>
      </c>
      <c r="R755" t="inlineStr">
        <is>
          <t>Micro</t>
        </is>
      </c>
      <c r="S755" s="1" t="inlineStr">
        <is>
          <t>Business to Business</t>
        </is>
      </c>
      <c r="T755" s="1" t="inlineStr">
        <is>
          <t>Secondary Education</t>
        </is>
      </c>
      <c r="U755" s="1" t="inlineStr">
        <is>
          <t>Teacher interfacing</t>
        </is>
      </c>
      <c r="V755" s="1" t="n"/>
      <c r="W755" s="1" t="inlineStr">
        <is>
          <t>https://drive.google.com/uc?export=view&amp;id=1bQD0qP6x513BjDXMQs71GVHkAXz4oXwQ</t>
        </is>
      </c>
      <c r="X755" s="1" t="inlineStr">
        <is>
          <t>https://drive.google.com/uc?export=view&amp;id=1bQD0qP6x513BjDXMQs71GVHkAXz4oXwQ</t>
        </is>
      </c>
      <c r="Y755" t="inlineStr">
        <is>
          <t>https://drive.google.com/uc?export=view&amp;id=1bQD0qP6x513BjDXMQs71GVHkAXz4oXwQ</t>
        </is>
      </c>
      <c r="Z755" s="1" t="inlineStr">
        <is>
          <t>https://drive.google.com/uc?export=view&amp;id=1bQD0qP6x513BjDXMQs71GVHkAXz4oXwQ</t>
        </is>
      </c>
      <c r="AA755" s="1" t="inlineStr">
        <is>
          <t>Unverified</t>
        </is>
      </c>
      <c r="AB755" s="1" t="n"/>
      <c r="AC755" s="1" t="n"/>
      <c r="AD755" s="10" t="n"/>
      <c r="AE755" s="1" t="n"/>
      <c r="AF755" t="inlineStr">
        <is>
          <t>No</t>
        </is>
      </c>
    </row>
    <row r="756" ht="12.5" customHeight="1">
      <c r="A756" s="6" t="n">
        <v>45181</v>
      </c>
      <c r="B756" s="1" t="inlineStr">
        <is>
          <t>ORG_1355</t>
        </is>
      </c>
      <c r="C756" s="1" t="b">
        <v>1</v>
      </c>
      <c r="D756" s="1" t="inlineStr">
        <is>
          <t>Digiscovery GmbH</t>
        </is>
      </c>
      <c r="E756" s="10" t="inlineStr">
        <is>
          <t>https://digiscovery.de/</t>
        </is>
      </c>
      <c r="F756" t="inlineStr">
        <is>
          <t>digiscovery.de</t>
        </is>
      </c>
      <c r="G756" s="1" t="inlineStr">
        <is>
          <t>Digiscovery treibt das zukunftsorientierte digitale Lernen an Schulen und Universitäten voran, unterstützt durch State-of-the-Art-Lerntechnologien. Schülerinnen und Schüler sowie Studierende brauchen innovative digitale Lerntechnologien, die sie unterstützen, individuell zu lernen und ihre Talente und ihr Potenzial maximal auszuschöpfen.
Symby ist die innovativste Lösung für smarte und sichere Wissensvermittlung in Schule oder Uni.</t>
        </is>
      </c>
      <c r="H756" s="1" t="inlineStr">
        <is>
          <t>I'm not part of any EdTech association</t>
        </is>
      </c>
      <c r="I756" s="1" t="n"/>
      <c r="J756" s="1" t="inlineStr">
        <is>
          <t>Wiesloch</t>
        </is>
      </c>
      <c r="K756" t="inlineStr">
        <is>
          <t>Wiesloch</t>
        </is>
      </c>
      <c r="L756" t="inlineStr">
        <is>
          <t>Wiesloch, Germany</t>
        </is>
      </c>
      <c r="M756" t="n">
        <v>49.2942599</v>
      </c>
      <c r="N756" t="n">
        <v>8.698707000000001</v>
      </c>
      <c r="O756" s="1" t="inlineStr">
        <is>
          <t>Germany</t>
        </is>
      </c>
      <c r="P756" s="1" t="inlineStr">
        <is>
          <t>Austria, Germany, Switzerland</t>
        </is>
      </c>
      <c r="Q756" s="1" t="inlineStr">
        <is>
          <t>0 to 10</t>
        </is>
      </c>
      <c r="R756" t="inlineStr">
        <is>
          <t>Micro</t>
        </is>
      </c>
      <c r="S756" s="1" t="inlineStr">
        <is>
          <t>Business to Business, Business to Consumer, Business to Schools</t>
        </is>
      </c>
      <c r="T756" s="1" t="inlineStr">
        <is>
          <t>Secondary Education, Higher Education, Lifelong learning/Adult education</t>
        </is>
      </c>
      <c r="U756" s="1" t="inlineStr">
        <is>
          <t>Student interfacing, Teacher interfacing, System/Administrative</t>
        </is>
      </c>
      <c r="V756" s="1" t="n"/>
      <c r="W756" s="1" t="inlineStr">
        <is>
          <t>https://drive.google.com/uc?export=view&amp;id=1iYfS9PxvLej3mZuLJLo_X1YeLkY84BNe</t>
        </is>
      </c>
      <c r="X756" s="1" t="inlineStr">
        <is>
          <t>https://drive.google.com/uc?export=view&amp;id=1iYfS9PxvLej3mZuLJLo_X1YeLkY84BNe</t>
        </is>
      </c>
      <c r="Y756" t="inlineStr">
        <is>
          <t>https://drive.google.com/uc?export=view&amp;id=1iYfS9PxvLej3mZuLJLo_X1YeLkY84BNe</t>
        </is>
      </c>
      <c r="Z756" s="1" t="inlineStr">
        <is>
          <t>https://drive.google.com/uc?export=view&amp;id=1iYfS9PxvLej3mZuLJLo_X1YeLkY84BNe</t>
        </is>
      </c>
      <c r="AA756" s="1" t="inlineStr">
        <is>
          <t>Unverified</t>
        </is>
      </c>
      <c r="AB756" s="1" t="n"/>
      <c r="AC756" s="1" t="n"/>
      <c r="AD756" s="10" t="n"/>
      <c r="AE756" s="1" t="n"/>
      <c r="AF756" t="inlineStr">
        <is>
          <t>No</t>
        </is>
      </c>
    </row>
    <row r="757" ht="12.5" customHeight="1">
      <c r="A757" s="6" t="n">
        <v>45181</v>
      </c>
      <c r="B757" s="1" t="inlineStr">
        <is>
          <t>ORG_1027</t>
        </is>
      </c>
      <c r="C757" s="1" t="b">
        <v>1</v>
      </c>
      <c r="D757" s="1" t="inlineStr">
        <is>
          <t>Acceleralia</t>
        </is>
      </c>
      <c r="E757" s="10" t="inlineStr">
        <is>
          <t>www.acceleralia.com</t>
        </is>
      </c>
      <c r="F757" t="inlineStr">
        <is>
          <t>acceleralia.com</t>
        </is>
      </c>
      <c r="G757" s="1" t="inlineStr">
        <is>
          <t>We are a deep Edtech company that use AI and Machine learning gathering 2 sectors: Education and Acceleration. Transforming knowledge to tangible results.
What do we do?
For corporates: We digitalize training solutions, developing customized digital academies.
For clusters or public administrations: We create smart digital ecosystems with experts incubating / accelerating projects.
For Universities:
We organize academic digital innovation ecosystems/hubs increasing international synergies.
Products: -Challenge solvers: Inlab -Customized Academies -Acceleralia Platform for incubation and Acceleration
Certifications: -CDTI -Enisa -Innovative SME Our mission is to transform education into tangible results through action, bringing together education and acceleration. :rocket: We support corporations, enterprises, educational institutions, public administrations, accelerators, and incubators to transform ideas into tangible reality.</t>
        </is>
      </c>
      <c r="H757" s="1" t="inlineStr">
        <is>
          <t>I'm not part of any EdTech association</t>
        </is>
      </c>
      <c r="I757" s="1" t="n"/>
      <c r="J757" s="1" t="inlineStr">
        <is>
          <t>Barcelona</t>
        </is>
      </c>
      <c r="K757" t="inlineStr">
        <is>
          <t>Barcelona</t>
        </is>
      </c>
      <c r="L757" t="inlineStr">
        <is>
          <t>Barcelona, Spain</t>
        </is>
      </c>
      <c r="M757" t="n">
        <v>41.3825802</v>
      </c>
      <c r="N757" t="n">
        <v>2.177073</v>
      </c>
      <c r="O757" s="1" t="inlineStr">
        <is>
          <t>Spain</t>
        </is>
      </c>
      <c r="P757" s="1" t="inlineStr">
        <is>
          <t>Spain</t>
        </is>
      </c>
      <c r="Q757" s="1" t="inlineStr">
        <is>
          <t>11 to 50</t>
        </is>
      </c>
      <c r="R757" t="inlineStr">
        <is>
          <t>Small</t>
        </is>
      </c>
      <c r="S757" s="1" t="inlineStr">
        <is>
          <t>Business to Business</t>
        </is>
      </c>
      <c r="T757" s="1" t="inlineStr">
        <is>
          <t>Secondary Education, Higher Education, Corporate Training, Lifelong learning/Adult education</t>
        </is>
      </c>
      <c r="U757" s="1" t="inlineStr">
        <is>
          <t>Teacher interfacing, Student interfacing, System/Administrative</t>
        </is>
      </c>
      <c r="V757" s="1" t="n"/>
      <c r="W757" s="1" t="inlineStr">
        <is>
          <t>https://drive.google.com/uc?export=view&amp;id=1tFPGwgBx9Y5O9LhRqwdc9Na_NFucrdCs</t>
        </is>
      </c>
      <c r="X757" s="1" t="inlineStr">
        <is>
          <t>https://drive.google.com/uc?export=view&amp;id=1tFPGwgBx9Y5O9LhRqwdc9Na_NFucrdCs</t>
        </is>
      </c>
      <c r="Y757" t="inlineStr">
        <is>
          <t>https://drive.google.com/uc?export=view&amp;id=1tFPGwgBx9Y5O9LhRqwdc9Na_NFucrdCs</t>
        </is>
      </c>
      <c r="Z757" s="1" t="inlineStr">
        <is>
          <t>https://drive.google.com/uc?export=view&amp;id=1tFPGwgBx9Y5O9LhRqwdc9Na_NFucrdCs</t>
        </is>
      </c>
      <c r="AA757" s="1" t="inlineStr">
        <is>
          <t>Unverified</t>
        </is>
      </c>
      <c r="AB757" s="1" t="n"/>
      <c r="AC757" s="1" t="n"/>
      <c r="AD757" s="10" t="n"/>
      <c r="AE757" s="1" t="n"/>
      <c r="AF757" s="1" t="inlineStr">
        <is>
          <t>No</t>
        </is>
      </c>
      <c r="AG757" s="1" t="n"/>
      <c r="AI757" s="1" t="n"/>
      <c r="AJ757" s="1" t="n"/>
    </row>
    <row r="758" ht="12.5" customHeight="1">
      <c r="A758" s="6" t="n">
        <v>45181</v>
      </c>
      <c r="B758" s="1" t="inlineStr">
        <is>
          <t>ORG_1164</t>
        </is>
      </c>
      <c r="C758" s="1" t="b">
        <v>1</v>
      </c>
      <c r="D758" s="1" t="inlineStr">
        <is>
          <t>bidi</t>
        </is>
      </c>
      <c r="E758" s="10" t="inlineStr">
        <is>
          <t>www.bidi.one</t>
        </is>
      </c>
      <c r="F758" t="inlineStr">
        <is>
          <t>bidi.one</t>
        </is>
      </c>
      <c r="G758" s="1" t="inlineStr">
        <is>
          <t>bidi provides inclusive access to high quality, and 1on1 tutoring sessions for school students. Within our digital environment, students can learn and connect with qualified and motivated tutors. With the partnerships of many schools, the tutoring sessions can be subsidized in order to support families with low income. This provides for all students a fair chance to achieve good results in their educational journey, and is a true innovative impact for the German and European school system.</t>
        </is>
      </c>
      <c r="H758" s="1" t="inlineStr">
        <is>
          <t>I'm not part of any EdTech association</t>
        </is>
      </c>
      <c r="I758" s="1" t="n"/>
      <c r="J758" s="1" t="inlineStr">
        <is>
          <t>Dresden</t>
        </is>
      </c>
      <c r="K758" t="inlineStr">
        <is>
          <t>Dresden</t>
        </is>
      </c>
      <c r="L758" t="inlineStr">
        <is>
          <t>Dresden, Germany</t>
        </is>
      </c>
      <c r="M758" t="n">
        <v>51.0493286</v>
      </c>
      <c r="N758" t="n">
        <v>13.7381437</v>
      </c>
      <c r="O758" s="1" t="inlineStr">
        <is>
          <t>Germany</t>
        </is>
      </c>
      <c r="P758" s="1" t="inlineStr">
        <is>
          <t>Austria, Germany</t>
        </is>
      </c>
      <c r="Q758" s="1" t="inlineStr">
        <is>
          <t>11 to 50</t>
        </is>
      </c>
      <c r="R758" t="inlineStr">
        <is>
          <t>Small</t>
        </is>
      </c>
      <c r="S758" s="1" t="inlineStr">
        <is>
          <t>Business to Business</t>
        </is>
      </c>
      <c r="T758" s="1" t="inlineStr">
        <is>
          <t>Primary Education, Secondary Education</t>
        </is>
      </c>
      <c r="U758" s="1" t="inlineStr">
        <is>
          <t>System/Administrative, Student interfacing, Teacher interfacing</t>
        </is>
      </c>
      <c r="V758" s="1" t="n"/>
      <c r="W758" s="1" t="inlineStr">
        <is>
          <t>https://drive.google.com/uc?export=view&amp;id=1U4yjI2otexzgkvLalSVRamXMfm2s8fVO</t>
        </is>
      </c>
      <c r="X758" s="1" t="inlineStr">
        <is>
          <t>https://drive.google.com/uc?export=view&amp;id=1U4yjI2otexzgkvLalSVRamXMfm2s8fVO</t>
        </is>
      </c>
      <c r="Y758" t="inlineStr">
        <is>
          <t>https://drive.google.com/uc?export=view&amp;id=1U4yjI2otexzgkvLalSVRamXMfm2s8fVO</t>
        </is>
      </c>
      <c r="Z758" s="1" t="inlineStr">
        <is>
          <t>https://drive.google.com/uc?export=view&amp;id=1U4yjI2otexzgkvLalSVRamXMfm2s8fVO</t>
        </is>
      </c>
      <c r="AA758" s="1" t="inlineStr">
        <is>
          <t>Unverified</t>
        </is>
      </c>
      <c r="AB758" s="1" t="n"/>
      <c r="AC758" s="1" t="n"/>
      <c r="AD758" s="10" t="n"/>
      <c r="AE758" s="1" t="n"/>
      <c r="AF758" s="1" t="inlineStr">
        <is>
          <t>No</t>
        </is>
      </c>
      <c r="AG758" s="1" t="n"/>
      <c r="AI758" s="1" t="n"/>
      <c r="AJ758" s="1" t="n"/>
    </row>
    <row r="759" ht="12.5" customHeight="1">
      <c r="A759" s="6" t="n">
        <v>45181</v>
      </c>
      <c r="B759" s="1" t="inlineStr">
        <is>
          <t>ORG_1329</t>
        </is>
      </c>
      <c r="C759" s="1" t="b">
        <v>1</v>
      </c>
      <c r="D759" s="1" t="inlineStr">
        <is>
          <t>Data Booster</t>
        </is>
      </c>
      <c r="E759" s="10" t="inlineStr">
        <is>
          <t>https://www.databooster.io</t>
        </is>
      </c>
      <c r="F759" t="inlineStr">
        <is>
          <t>databooster.io</t>
        </is>
      </c>
      <c r="G759" s="1" t="inlineStr">
        <is>
          <t>At Data Booster it's our mission to enable data-driven decision making in your organization. With our customized data fluency courses we help every professional to make great decisions fast.</t>
        </is>
      </c>
      <c r="H759" s="1" t="inlineStr">
        <is>
          <t>Dutch EdTech</t>
        </is>
      </c>
      <c r="I759" s="1" t="n"/>
      <c r="J759" s="1" t="inlineStr">
        <is>
          <t>Teleportboulevard 130</t>
        </is>
      </c>
      <c r="L759" t="inlineStr">
        <is>
          <t>Teleportboulevard 130, The Netherlands</t>
        </is>
      </c>
      <c r="O759" s="1" t="inlineStr">
        <is>
          <t>The Netherlands</t>
        </is>
      </c>
      <c r="P759" s="1" t="inlineStr">
        <is>
          <t>Austria, Belgium, Czechia, Denmark, Finland, France, Germany, Greece, Hungary, Ireland, Italy, Netherlands, Norway, Poland, Portugal, Romania, Slovakia, Spain, Sweden, Switzerland, Turkey, United Kingdom</t>
        </is>
      </c>
      <c r="Q759" s="1" t="inlineStr">
        <is>
          <t>0 to 10</t>
        </is>
      </c>
      <c r="R759" t="inlineStr">
        <is>
          <t>Micro</t>
        </is>
      </c>
      <c r="S759" s="1" t="inlineStr">
        <is>
          <t>Business to Consumer, Business to Government, Business to Schools</t>
        </is>
      </c>
      <c r="T759" s="1" t="inlineStr">
        <is>
          <t>Corporate Training, Lifelong learning/Adult education</t>
        </is>
      </c>
      <c r="U759" s="1" t="inlineStr">
        <is>
          <t>System/Administrative</t>
        </is>
      </c>
      <c r="V759" s="1" t="inlineStr">
        <is>
          <t>Data Booster</t>
        </is>
      </c>
      <c r="W759" s="1" t="inlineStr">
        <is>
          <t>At Data Booster it's our mission to enable data-driven decision making in your organization. With our customized data fluency courses we help every professional to make great decisions fast.</t>
        </is>
      </c>
      <c r="X759" s="10" t="inlineStr">
        <is>
          <t>https://drive.google.com/uc?export=view&amp;id=1hxKq_gy7X4i88hHpk9PkL-HZfgDVFPAk</t>
        </is>
      </c>
      <c r="Y759" t="inlineStr">
        <is>
          <t>https://drive.google.com/uc?export=view&amp;id=1hxKq_gy7X4i88hHpk9PkL-HZfgDVFPAk</t>
        </is>
      </c>
      <c r="Z759" s="1" t="inlineStr">
        <is>
          <t>https://drive.google.com/uc?export=view&amp;id=1hxKq_gy7X4i88hHpk9PkL-HZfgDVFPAk</t>
        </is>
      </c>
      <c r="AA759" s="1" t="inlineStr">
        <is>
          <t>Unverified</t>
        </is>
      </c>
      <c r="AB759" s="1" t="n"/>
      <c r="AC759" s="1" t="n"/>
      <c r="AD759" s="10" t="n"/>
      <c r="AE759" s="1" t="n"/>
      <c r="AF759" s="1" t="inlineStr">
        <is>
          <t>Yes</t>
        </is>
      </c>
      <c r="AG759" s="1" t="inlineStr">
        <is>
          <t>Data Booster</t>
        </is>
      </c>
      <c r="AH759" s="1" t="inlineStr">
        <is>
          <t>Data Booster</t>
        </is>
      </c>
      <c r="AI759" t="inlineStr">
        <is>
          <t>https://www.linkedin.com/company/data-booster</t>
        </is>
      </c>
    </row>
    <row r="760" ht="12.5" customHeight="1">
      <c r="A760" s="6" t="n">
        <v>45181</v>
      </c>
      <c r="B760" s="1" t="inlineStr">
        <is>
          <t>ORG_1352</t>
        </is>
      </c>
      <c r="C760" s="1" t="b">
        <v>1</v>
      </c>
      <c r="D760" s="1" t="inlineStr">
        <is>
          <t>Digi-EP</t>
        </is>
      </c>
      <c r="E760" s="10" t="inlineStr">
        <is>
          <t>digiep.com</t>
        </is>
      </c>
      <c r="F760" t="inlineStr">
        <is>
          <t>digiep.com</t>
        </is>
      </c>
      <c r="G760" s="1" t="inlineStr">
        <is>
          <t>We öfter digital adventure education (Erlebnispädagogik in German), in order to support social work and allow pupils to have more contact to the beneficial effects of adventure education.</t>
        </is>
      </c>
      <c r="H760" s="1" t="inlineStr">
        <is>
          <t>I'm not part of any EdTech association</t>
        </is>
      </c>
      <c r="I760" s="1" t="n"/>
      <c r="J760" s="1" t="inlineStr">
        <is>
          <t>Köln</t>
        </is>
      </c>
      <c r="K760" t="inlineStr">
        <is>
          <t>Köln</t>
        </is>
      </c>
      <c r="L760" t="inlineStr">
        <is>
          <t>Köln, Germany</t>
        </is>
      </c>
      <c r="M760" t="n">
        <v>50.938361</v>
      </c>
      <c r="N760" t="n">
        <v>6.959974</v>
      </c>
      <c r="O760" s="1" t="inlineStr">
        <is>
          <t>Germany</t>
        </is>
      </c>
      <c r="P760" s="1" t="inlineStr">
        <is>
          <t>Germany</t>
        </is>
      </c>
      <c r="Q760" s="1" t="inlineStr">
        <is>
          <t>0 to 10</t>
        </is>
      </c>
      <c r="R760" t="inlineStr">
        <is>
          <t>Micro</t>
        </is>
      </c>
      <c r="S760" s="1" t="inlineStr">
        <is>
          <t>Business to Business, Business to Consumer, Business to Government, Business to Schools</t>
        </is>
      </c>
      <c r="T760" s="1" t="inlineStr">
        <is>
          <t>Secondary Education</t>
        </is>
      </c>
      <c r="U760" s="1" t="inlineStr">
        <is>
          <t>Student interfacing, Teacher interfacing</t>
        </is>
      </c>
      <c r="V760" s="1" t="n"/>
      <c r="W760" s="1" t="inlineStr">
        <is>
          <t>https://drive.google.com/uc?export=view&amp;id=1DA84O7PM3aTBbui_L9NIFttaWsYRQRuB</t>
        </is>
      </c>
      <c r="X760" s="1" t="inlineStr">
        <is>
          <t>https://drive.google.com/uc?export=view&amp;id=1DA84O7PM3aTBbui_L9NIFttaWsYRQRuB</t>
        </is>
      </c>
      <c r="Y760" t="inlineStr">
        <is>
          <t>https://drive.google.com/uc?export=view&amp;id=1DA84O7PM3aTBbui_L9NIFttaWsYRQRuB</t>
        </is>
      </c>
      <c r="Z760" s="1" t="inlineStr">
        <is>
          <t>https://drive.google.com/uc?export=view&amp;id=1DA84O7PM3aTBbui_L9NIFttaWsYRQRuB</t>
        </is>
      </c>
      <c r="AA760" s="1" t="inlineStr">
        <is>
          <t>Unverified</t>
        </is>
      </c>
      <c r="AB760" s="1" t="n"/>
      <c r="AC760" s="1" t="n"/>
      <c r="AD760" s="10" t="n"/>
      <c r="AE760" s="1" t="n"/>
      <c r="AF760" t="inlineStr">
        <is>
          <t>No</t>
        </is>
      </c>
    </row>
    <row r="761" ht="12.5" customHeight="1">
      <c r="A761" s="6" t="n">
        <v>45181</v>
      </c>
      <c r="B761" s="1" t="inlineStr">
        <is>
          <t>ORG_1524</t>
        </is>
      </c>
      <c r="C761" s="1" t="b">
        <v>1</v>
      </c>
      <c r="D761" s="1" t="inlineStr">
        <is>
          <t>European Centre for Career Education</t>
        </is>
      </c>
      <c r="E761" s="10" t="inlineStr">
        <is>
          <t>www.eccedu.net</t>
        </is>
      </c>
      <c r="F761" t="inlineStr">
        <is>
          <t>eccedu.net</t>
        </is>
      </c>
      <c r="G761" s="1" t="inlineStr">
        <is>
          <t>European Centre for Career Education (ECCEDU) solves the lasting problem of students and young professionals not being truly ready for their careers and not understanding what their fields are about in the real world. 
Our focus is primarily on developing practical skills and sharing experience via short-term intensive offline and online educational programs. Having support from more than 500 companies from all European countries, the USA and the UAE allows us to design practical programs in any given field. Our main focus is on architecture, business, law, IT, art, economy, engineering, and sustainability programs. 
ECCEDU represents the vision of focused learning of skills and knowledge needed for life after university and supports it with internships and very intensive cooperation with key players in described sectors.</t>
        </is>
      </c>
      <c r="H761" s="1" t="inlineStr">
        <is>
          <t>I'm not part of any EdTech association</t>
        </is>
      </c>
      <c r="I761" s="1" t="n"/>
      <c r="J761" s="1" t="inlineStr">
        <is>
          <t>Prague 2</t>
        </is>
      </c>
      <c r="K761" t="inlineStr">
        <is>
          <t>Prague</t>
        </is>
      </c>
      <c r="L761" t="inlineStr">
        <is>
          <t>Prague, Czech Republic</t>
        </is>
      </c>
      <c r="M761" t="n">
        <v>50.0864234</v>
      </c>
      <c r="N761" t="n">
        <v>14.4156772</v>
      </c>
      <c r="O761" s="1" t="inlineStr">
        <is>
          <t>Czech Republic</t>
        </is>
      </c>
      <c r="P761" s="1" t="inlineStr">
        <is>
          <t>Austria, Belgium, Bosnia and Herzegovina, Bulgaria, Croatia, Cyprus, Czechia, Denmark, Estonia, Finland, France, Germany, Greece, Hungary, Ireland, Italy, Kazakhstan, Latvia, Lithuania, Netherlands, Norway, Poland, Portugal, Romania, Russia, Serbia, Slovakia, Slovenia, Spain, Sweden, Switzerland, Turkey, Ukraine, United Kingdom</t>
        </is>
      </c>
      <c r="Q761" s="1" t="inlineStr">
        <is>
          <t>11 to 50</t>
        </is>
      </c>
      <c r="R761" t="inlineStr">
        <is>
          <t>Small</t>
        </is>
      </c>
      <c r="S761" s="1" t="inlineStr">
        <is>
          <t>Business to Government, Business to Schools</t>
        </is>
      </c>
      <c r="T761" s="1" t="inlineStr">
        <is>
          <t>Higher Education, Corporate Training</t>
        </is>
      </c>
      <c r="U761" s="1" t="inlineStr">
        <is>
          <t>System/Administrative, Student interfacing, Teacher interfacing</t>
        </is>
      </c>
      <c r="V761" s="1" t="n"/>
      <c r="W761" s="1" t="inlineStr">
        <is>
          <t>https://drive.google.com/uc?export=view&amp;id=1doh5HeaKMY1-T140TCP40egIw-z1sba9</t>
        </is>
      </c>
      <c r="X761" s="1" t="inlineStr">
        <is>
          <t>https://drive.google.com/uc?export=view&amp;id=1doh5HeaKMY1-T140TCP40egIw-z1sba9</t>
        </is>
      </c>
      <c r="Y761" t="inlineStr">
        <is>
          <t>https://drive.google.com/uc?export=view&amp;id=1doh5HeaKMY1-T140TCP40egIw-z1sba9</t>
        </is>
      </c>
      <c r="Z761" s="1" t="inlineStr">
        <is>
          <t>https://drive.google.com/uc?export=view&amp;id=1doh5HeaKMY1-T140TCP40egIw-z1sba9</t>
        </is>
      </c>
      <c r="AA761" s="1" t="inlineStr">
        <is>
          <t>Unverified</t>
        </is>
      </c>
      <c r="AB761" s="1" t="n"/>
      <c r="AC761" s="1" t="n"/>
      <c r="AD761" s="10" t="n"/>
      <c r="AE761" s="1" t="n"/>
      <c r="AF761" t="inlineStr">
        <is>
          <t>No</t>
        </is>
      </c>
    </row>
    <row r="762" ht="12.5" customHeight="1">
      <c r="A762" s="6" t="n">
        <v>45181</v>
      </c>
      <c r="B762" s="1" t="inlineStr">
        <is>
          <t>ORG_1850</t>
        </is>
      </c>
      <c r="C762" s="1" t="b">
        <v>1</v>
      </c>
      <c r="D762" s="1" t="inlineStr">
        <is>
          <t>Lektionsakuten</t>
        </is>
      </c>
      <c r="E762" s="10" t="inlineStr">
        <is>
          <t>www.lektionsakuten.com</t>
        </is>
      </c>
      <c r="F762" t="inlineStr">
        <is>
          <t>lektionsakuten.com</t>
        </is>
      </c>
      <c r="G762" s="1" t="inlineStr">
        <is>
          <t>Lektionsakuten offers pre-recorded lessons online performed by certified teachers:
- for competence supply
- to enable support for students, and
- to support new teachers and help employers become more attractive.</t>
        </is>
      </c>
      <c r="H762" s="1" t="inlineStr">
        <is>
          <t>Swedish EdTech Industry</t>
        </is>
      </c>
      <c r="I762" s="1" t="n"/>
      <c r="J762" s="1" t="inlineStr">
        <is>
          <t>Luleå</t>
        </is>
      </c>
      <c r="K762" t="inlineStr">
        <is>
          <t>Luleå</t>
        </is>
      </c>
      <c r="L762" t="inlineStr">
        <is>
          <t>Luleå, Sweden</t>
        </is>
      </c>
      <c r="M762" t="n">
        <v>65.5831187</v>
      </c>
      <c r="N762" t="n">
        <v>22.1459535</v>
      </c>
      <c r="O762" s="1" t="inlineStr">
        <is>
          <t>Sweden</t>
        </is>
      </c>
      <c r="P762" s="1" t="inlineStr">
        <is>
          <t>Sweden</t>
        </is>
      </c>
      <c r="Q762" s="1" t="inlineStr">
        <is>
          <t>0 to 10</t>
        </is>
      </c>
      <c r="R762" t="inlineStr">
        <is>
          <t>Micro</t>
        </is>
      </c>
      <c r="S762" s="1" t="inlineStr">
        <is>
          <t>Business to Business, Business to Government, Business to Schools</t>
        </is>
      </c>
      <c r="T762" s="1" t="inlineStr">
        <is>
          <t>Secondary Education, Lifelong learning/Adult education</t>
        </is>
      </c>
      <c r="U762" s="1" t="inlineStr">
        <is>
          <t>Student interfacing, Teacher interfacing, System/Administrative</t>
        </is>
      </c>
      <c r="V762" s="10" t="inlineStr">
        <is>
          <t>Lektionsakuten</t>
        </is>
      </c>
      <c r="W762" s="1" t="inlineStr">
        <is>
          <t>We offer pre-recorded lessons online for schools to subscribe. All lessons are created by certified teachers. We offer: 
- Competence supply 
- Study support for students 
- Support for recent graduated teachers
The value it brings for schools: 
- better work environment for school staff: teachers, principles, students
- a possibility to offer support so that more students reach an exam
- a larger possibility to keep recent graduated teachers by offering them real support</t>
        </is>
      </c>
      <c r="X762" s="10" t="inlineStr">
        <is>
          <t>Pluggoteket</t>
        </is>
      </c>
      <c r="Y762" t="inlineStr">
        <is>
          <t>Filmed lessons and self-correcting tests to use in order to reach higher grades, for repetition as study support.</t>
        </is>
      </c>
      <c r="Z762" s="1" t="inlineStr">
        <is>
          <t>https://drive.google.com/uc?export=view&amp;id=175VQOERsSyJ0yPCPlyRlFA21REzdD0ad</t>
        </is>
      </c>
      <c r="AA762" s="1" t="inlineStr">
        <is>
          <t>Unverified</t>
        </is>
      </c>
      <c r="AB762" s="1" t="n"/>
      <c r="AC762" s="1" t="n"/>
      <c r="AD762" s="10" t="n"/>
      <c r="AE762" s="1" t="n"/>
      <c r="AF762" t="inlineStr">
        <is>
          <t>Yes</t>
        </is>
      </c>
      <c r="AG762" t="inlineStr">
        <is>
          <t>www.instagram.com/lektionsakuten_sverige</t>
        </is>
      </c>
      <c r="AH762" t="inlineStr">
        <is>
          <t>https://www.linkedin.com/company/lektionsakuten/</t>
        </is>
      </c>
      <c r="AI762" t="inlineStr">
        <is>
          <t>https://www.linkedin.com/company/lektionsakuten/</t>
        </is>
      </c>
    </row>
    <row r="763" ht="12.5" customHeight="1">
      <c r="A763" s="6" t="n">
        <v>45181</v>
      </c>
      <c r="B763" s="1" t="inlineStr">
        <is>
          <t>ORG_2252</t>
        </is>
      </c>
      <c r="C763" s="1" t="b">
        <v>1</v>
      </c>
      <c r="D763" s="1" t="inlineStr">
        <is>
          <t>skillbest</t>
        </is>
      </c>
      <c r="E763" s="10" t="inlineStr">
        <is>
          <t>https://skillbest.com/</t>
        </is>
      </c>
      <c r="F763" t="inlineStr">
        <is>
          <t>skillbest.com</t>
        </is>
      </c>
      <c r="G763" s="1" t="inlineStr">
        <is>
          <t>Thoroughly learned instead of just participated!
We are an Austrian e-learning company with the focus on individual course development to put the learning success in the foreground. Whatever trainings area you want to cover, we deliver you the best package. Here you will receive technical and didactic know-how that will lead to your perfect e-learning product.</t>
        </is>
      </c>
      <c r="H763" s="1" t="inlineStr">
        <is>
          <t>EdTech Austria</t>
        </is>
      </c>
      <c r="I763" s="1" t="n"/>
      <c r="J763" s="1" t="inlineStr">
        <is>
          <t>Graz</t>
        </is>
      </c>
      <c r="K763" t="inlineStr">
        <is>
          <t>Graz</t>
        </is>
      </c>
      <c r="L763" t="inlineStr">
        <is>
          <t>Graz, Austria</t>
        </is>
      </c>
      <c r="M763" t="n">
        <v>47.0708678</v>
      </c>
      <c r="N763" t="n">
        <v>15.4382786</v>
      </c>
      <c r="O763" s="1" t="inlineStr">
        <is>
          <t>Austria</t>
        </is>
      </c>
      <c r="P763" s="1" t="inlineStr">
        <is>
          <t>Austria, Croatia, Finland, France, Germany, Hungary, Italy, Norway, Poland, Portugal, Slovenia, Spain, Sweden, Switzerland, United Kingdom</t>
        </is>
      </c>
      <c r="Q763" s="1" t="inlineStr">
        <is>
          <t>0 to 10</t>
        </is>
      </c>
      <c r="R763" t="inlineStr">
        <is>
          <t>Micro</t>
        </is>
      </c>
      <c r="S763" s="1" t="inlineStr">
        <is>
          <t>Business to Business, Business to Schools</t>
        </is>
      </c>
      <c r="T763" s="1" t="inlineStr">
        <is>
          <t>Corporate Training, Lifelong learning/Adult education</t>
        </is>
      </c>
      <c r="U763" s="1" t="inlineStr">
        <is>
          <t>Student interfacing, System/Administrative</t>
        </is>
      </c>
      <c r="V763" s="1" t="inlineStr">
        <is>
          <t>Interactive learning videos</t>
        </is>
      </c>
      <c r="W763" s="1" t="inlineStr">
        <is>
          <t>With skillvid you use an e-learning format that can simulate real situations. The learning content is presented in the form of an interview and is perfect for training courses that focus on social skills – such as sales training or negotiation skills.</t>
        </is>
      </c>
      <c r="X763" s="10" t="inlineStr">
        <is>
          <t>Digital factory and company presentations</t>
        </is>
      </c>
      <c r="Y763" t="inlineStr">
        <is>
          <t>Whether you are a global player or have a corporate location; With a combination of different media, skilltour enables you not only to present your company in the best possible way to newcomers, but also to your customers. Start the big tour!</t>
        </is>
      </c>
      <c r="Z763" s="1" t="inlineStr">
        <is>
          <t>https://drive.google.com/uc?export=view&amp;id=1Hn3ZnqEZa2Bw3qfxP5c2Kr3SYAZkdmOe</t>
        </is>
      </c>
      <c r="AA763" s="1" t="inlineStr">
        <is>
          <t>Unverified</t>
        </is>
      </c>
      <c r="AB763" s="1" t="n"/>
      <c r="AC763" s="1" t="n"/>
      <c r="AD763" s="10" t="n"/>
      <c r="AE763" s="1" t="n"/>
      <c r="AF763" t="inlineStr">
        <is>
          <t>Yes</t>
        </is>
      </c>
      <c r="AG763" t="inlineStr">
        <is>
          <t>https://www.linkedin.com/company/skillbest/</t>
        </is>
      </c>
      <c r="AH763" t="inlineStr">
        <is>
          <t>https://www.linkedin.com/company/skillbest/</t>
        </is>
      </c>
      <c r="AI763" t="inlineStr">
        <is>
          <t>https://www.linkedin.com/company/skillbest/</t>
        </is>
      </c>
    </row>
    <row r="764" ht="12.5" customHeight="1">
      <c r="A764" s="6" t="n">
        <v>45181</v>
      </c>
      <c r="B764" s="1" t="inlineStr">
        <is>
          <t>ORG_2540</t>
        </is>
      </c>
      <c r="C764" s="1" t="b">
        <v>1</v>
      </c>
      <c r="D764" s="1" t="inlineStr">
        <is>
          <t>WiseShot</t>
        </is>
      </c>
      <c r="E764" s="10" t="inlineStr">
        <is>
          <t>https://www.wiseshot.io/</t>
        </is>
      </c>
      <c r="F764" t="inlineStr">
        <is>
          <t>wiseshot.io</t>
        </is>
      </c>
      <c r="G764" s="1" t="inlineStr">
        <is>
          <t>WiseShot is a platform that helps learners follow expert-curated learning paths for developing new skills.</t>
        </is>
      </c>
      <c r="H764" s="1" t="inlineStr">
        <is>
          <t>I'm not part of any EdTech association</t>
        </is>
      </c>
      <c r="I764" s="1" t="n"/>
      <c r="J764" s="1" t="inlineStr">
        <is>
          <t>Porto</t>
        </is>
      </c>
      <c r="K764" t="inlineStr">
        <is>
          <t>Porto</t>
        </is>
      </c>
      <c r="L764" t="inlineStr">
        <is>
          <t>Porto, Portugal</t>
        </is>
      </c>
      <c r="M764" t="n">
        <v>41.1502195</v>
      </c>
      <c r="N764" t="n">
        <v>-8.6103497</v>
      </c>
      <c r="O764" s="1" t="inlineStr">
        <is>
          <t>Portugal</t>
        </is>
      </c>
      <c r="P764" s="1" t="inlineStr">
        <is>
          <t>Belgium, Finland, France, Germany, Italy, Netherlands</t>
        </is>
      </c>
      <c r="Q764" s="1" t="inlineStr">
        <is>
          <t>0 to 10</t>
        </is>
      </c>
      <c r="R764" t="inlineStr">
        <is>
          <t>Micro</t>
        </is>
      </c>
      <c r="S764" s="1" t="inlineStr">
        <is>
          <t>Business to Consumer</t>
        </is>
      </c>
      <c r="T764" s="1" t="inlineStr">
        <is>
          <t>Higher Education</t>
        </is>
      </c>
      <c r="U764" s="1" t="inlineStr">
        <is>
          <t>Teacher interfacing, System/Administrative</t>
        </is>
      </c>
      <c r="V764" s="1" t="n"/>
      <c r="W764" s="1" t="inlineStr">
        <is>
          <t>https://drive.google.com/uc?export=view&amp;id=123X7fO-nyjH0zdgvZ2zirwR7egkYcXsW</t>
        </is>
      </c>
      <c r="X764" s="1" t="inlineStr">
        <is>
          <t>https://drive.google.com/uc?export=view&amp;id=123X7fO-nyjH0zdgvZ2zirwR7egkYcXsW</t>
        </is>
      </c>
      <c r="Y764" t="inlineStr">
        <is>
          <t>https://drive.google.com/uc?export=view&amp;id=123X7fO-nyjH0zdgvZ2zirwR7egkYcXsW</t>
        </is>
      </c>
      <c r="Z764" s="1" t="inlineStr">
        <is>
          <t>https://drive.google.com/uc?export=view&amp;id=123X7fO-nyjH0zdgvZ2zirwR7egkYcXsW</t>
        </is>
      </c>
      <c r="AA764" s="1" t="inlineStr">
        <is>
          <t>Unverified</t>
        </is>
      </c>
      <c r="AB764" s="1" t="n"/>
      <c r="AC764" s="1" t="n"/>
      <c r="AD764" s="10" t="n"/>
      <c r="AE764" s="1" t="n"/>
      <c r="AF764" t="inlineStr">
        <is>
          <t>No</t>
        </is>
      </c>
    </row>
    <row r="765" ht="12.5" customHeight="1">
      <c r="A765" s="6" t="n">
        <v>45181</v>
      </c>
      <c r="B765" s="1" t="inlineStr">
        <is>
          <t>ORG_2221</t>
        </is>
      </c>
      <c r="C765" s="1" t="b">
        <v>1</v>
      </c>
      <c r="D765" s="1" t="inlineStr">
        <is>
          <t>Scorion</t>
        </is>
      </c>
      <c r="E765" s="10" t="inlineStr">
        <is>
          <t>scorionportfolio.com</t>
        </is>
      </c>
      <c r="F765" t="inlineStr">
        <is>
          <t>scorionportfolio.com</t>
        </is>
      </c>
      <c r="G765" s="1" t="inlineStr">
        <is>
          <t>Scorion: The portfolio tool for programmatic assessment and flexible education</t>
        </is>
      </c>
      <c r="H765" s="1" t="inlineStr">
        <is>
          <t>Dutch EdTech</t>
        </is>
      </c>
      <c r="I765" s="1" t="n"/>
      <c r="J765" s="1" t="inlineStr">
        <is>
          <t>Deventer</t>
        </is>
      </c>
      <c r="K765" t="inlineStr">
        <is>
          <t>Deventer</t>
        </is>
      </c>
      <c r="L765" t="inlineStr">
        <is>
          <t>Deventer, The Netherlands</t>
        </is>
      </c>
      <c r="M765" t="n">
        <v>52.2535255</v>
      </c>
      <c r="N765" t="n">
        <v>6.1595748</v>
      </c>
      <c r="O765" s="1" t="inlineStr">
        <is>
          <t>The Netherlands</t>
        </is>
      </c>
      <c r="P765" s="1" t="inlineStr">
        <is>
          <t>Belgium, Germany, Netherlands</t>
        </is>
      </c>
      <c r="Q765" s="1" t="inlineStr">
        <is>
          <t>11 to 50</t>
        </is>
      </c>
      <c r="R765" t="inlineStr">
        <is>
          <t>Small</t>
        </is>
      </c>
      <c r="S765" s="1" t="inlineStr">
        <is>
          <t>Business to Business, Business to Schools</t>
        </is>
      </c>
      <c r="T765" s="1" t="inlineStr">
        <is>
          <t>Higher Education, Corporate Training, Lifelong learning/Adult education</t>
        </is>
      </c>
      <c r="U765" s="1" t="inlineStr">
        <is>
          <t>Student interfacing, Teacher interfacing, System/Administrative</t>
        </is>
      </c>
      <c r="V765" s="1" t="inlineStr">
        <is>
          <t>Scorion</t>
        </is>
      </c>
      <c r="W765" s="1" t="inlineStr">
        <is>
          <t>Scorion: The portfolio tool for programmatic assessment and flexible education</t>
        </is>
      </c>
      <c r="X765" s="10" t="inlineStr">
        <is>
          <t>https://drive.google.com/uc?export=view&amp;id=1REP-C_d6joDzOtJ3t0tg0tkoyHk1rh_Y</t>
        </is>
      </c>
      <c r="Y765" t="inlineStr">
        <is>
          <t>https://drive.google.com/uc?export=view&amp;id=1REP-C_d6joDzOtJ3t0tg0tkoyHk1rh_Y</t>
        </is>
      </c>
      <c r="Z765" s="1" t="inlineStr">
        <is>
          <t>https://drive.google.com/uc?export=view&amp;id=1REP-C_d6joDzOtJ3t0tg0tkoyHk1rh_Y</t>
        </is>
      </c>
      <c r="AA765" s="1" t="inlineStr">
        <is>
          <t>Unverified</t>
        </is>
      </c>
      <c r="AB765" s="1" t="n"/>
      <c r="AC765" s="1" t="n"/>
      <c r="AD765" s="10" t="n"/>
      <c r="AE765" s="1" t="n"/>
      <c r="AF765" t="inlineStr">
        <is>
          <t>Yes</t>
        </is>
      </c>
      <c r="AG765" t="inlineStr">
        <is>
          <t>https://www.linkedin.com/showcase/scorion-nederland/</t>
        </is>
      </c>
      <c r="AH765" t="inlineStr">
        <is>
          <t>@parantion</t>
        </is>
      </c>
      <c r="AI765" t="inlineStr">
        <is>
          <t>https://www.linkedin.com/showcase/scorion-nederland/</t>
        </is>
      </c>
    </row>
    <row r="766" ht="12.5" customHeight="1">
      <c r="A766" s="6" t="n">
        <v>45181</v>
      </c>
      <c r="B766" s="1" t="inlineStr">
        <is>
          <t>ORG_1647</t>
        </is>
      </c>
      <c r="C766" s="1" t="b">
        <v>1</v>
      </c>
      <c r="D766" s="1" t="inlineStr">
        <is>
          <t>Growify</t>
        </is>
      </c>
      <c r="E766" s="10" t="inlineStr">
        <is>
          <t>https://www.growify.de/</t>
        </is>
      </c>
      <c r="F766" t="inlineStr">
        <is>
          <t>growify.de</t>
        </is>
      </c>
      <c r="G766" s="1" t="inlineStr">
        <is>
          <t>Growify is a software platform for building sustainable personnel development in companies. It is based on the three building blocks: skill mapping, skill (gap) analysis and skill development. Through various elements of appreciation and gamification, employees are motivated and a learning culture is promoted.</t>
        </is>
      </c>
      <c r="H766" s="1" t="inlineStr">
        <is>
          <t>I'm not part of any EdTech association</t>
        </is>
      </c>
      <c r="I766" s="1" t="n"/>
      <c r="J766" s="1" t="inlineStr">
        <is>
          <t>Berlin</t>
        </is>
      </c>
      <c r="K766" t="inlineStr">
        <is>
          <t>Berlin</t>
        </is>
      </c>
      <c r="L766" t="inlineStr">
        <is>
          <t>Berlin, Germany</t>
        </is>
      </c>
      <c r="M766" t="n">
        <v>52.5173885</v>
      </c>
      <c r="N766" t="n">
        <v>13.3951309</v>
      </c>
      <c r="O766" s="1" t="inlineStr">
        <is>
          <t>Germany</t>
        </is>
      </c>
      <c r="P766" s="1" t="inlineStr">
        <is>
          <t>Germany</t>
        </is>
      </c>
      <c r="Q766" s="1" t="inlineStr">
        <is>
          <t>11 to 50</t>
        </is>
      </c>
      <c r="R766" t="inlineStr">
        <is>
          <t>Small</t>
        </is>
      </c>
      <c r="S766" s="1" t="inlineStr">
        <is>
          <t>Business to Business</t>
        </is>
      </c>
      <c r="T766" s="1" t="inlineStr">
        <is>
          <t>Lifelong learning/Adult education</t>
        </is>
      </c>
      <c r="U766" s="1" t="inlineStr">
        <is>
          <t>Student interfacing, System/Administrative</t>
        </is>
      </c>
      <c r="V766" s="1" t="n"/>
      <c r="W766" s="1" t="inlineStr">
        <is>
          <t>https://drive.google.com/uc?export=view&amp;id=1Q8NtsauMey7bHakZonsAAiQPemAVU3Gd</t>
        </is>
      </c>
      <c r="X766" s="1" t="inlineStr">
        <is>
          <t>https://drive.google.com/uc?export=view&amp;id=1Q8NtsauMey7bHakZonsAAiQPemAVU3Gd</t>
        </is>
      </c>
      <c r="Y766" t="inlineStr">
        <is>
          <t>https://drive.google.com/uc?export=view&amp;id=1Q8NtsauMey7bHakZonsAAiQPemAVU3Gd</t>
        </is>
      </c>
      <c r="Z766" s="1" t="inlineStr">
        <is>
          <t>https://drive.google.com/uc?export=view&amp;id=1Q8NtsauMey7bHakZonsAAiQPemAVU3Gd</t>
        </is>
      </c>
      <c r="AA766" s="1" t="inlineStr">
        <is>
          <t>Unverified</t>
        </is>
      </c>
      <c r="AB766" s="1" t="n"/>
      <c r="AC766" s="1" t="n"/>
      <c r="AD766" s="10" t="n"/>
      <c r="AE766" s="1" t="n"/>
      <c r="AF766" t="inlineStr">
        <is>
          <t>No</t>
        </is>
      </c>
    </row>
    <row r="767" ht="12.5" customHeight="1">
      <c r="A767" s="6" t="n">
        <v>45181</v>
      </c>
      <c r="B767" s="1" t="inlineStr">
        <is>
          <t>ORG_1376</t>
        </is>
      </c>
      <c r="C767" s="1" t="b">
        <v>1</v>
      </c>
      <c r="D767" s="1" t="inlineStr">
        <is>
          <t>Doqua</t>
        </is>
      </c>
      <c r="E767" s="10" t="inlineStr">
        <is>
          <t>www.doquagroup.com</t>
        </is>
      </c>
      <c r="F767" t="inlineStr">
        <is>
          <t>doquagroup.com</t>
        </is>
      </c>
      <c r="G767" s="1" t="inlineStr">
        <is>
          <t>We offer solutions to teachers, either through training, materials, or a reading comprehension tool for schools.</t>
        </is>
      </c>
      <c r="H767" s="1" t="inlineStr">
        <is>
          <t>EduTech Cluster Spain</t>
        </is>
      </c>
      <c r="I767" s="1" t="n"/>
      <c r="J767" s="1" t="inlineStr">
        <is>
          <t>Lleida</t>
        </is>
      </c>
      <c r="K767" t="inlineStr">
        <is>
          <t>Lleida</t>
        </is>
      </c>
      <c r="L767" t="inlineStr">
        <is>
          <t>Lleida, Spain</t>
        </is>
      </c>
      <c r="M767" t="n">
        <v>41.6147605</v>
      </c>
      <c r="N767" t="n">
        <v>0.6267842</v>
      </c>
      <c r="O767" s="1" t="inlineStr">
        <is>
          <t>Spain</t>
        </is>
      </c>
      <c r="P767" s="1" t="inlineStr">
        <is>
          <t>Spain</t>
        </is>
      </c>
      <c r="Q767" s="1" t="inlineStr">
        <is>
          <t>11 to 50</t>
        </is>
      </c>
      <c r="R767" t="inlineStr">
        <is>
          <t>Small</t>
        </is>
      </c>
      <c r="S767" s="1" t="inlineStr">
        <is>
          <t>Business to Schools</t>
        </is>
      </c>
      <c r="T767" s="1" t="inlineStr">
        <is>
          <t>Primary Education, Secondary Education</t>
        </is>
      </c>
      <c r="U767" s="1" t="inlineStr">
        <is>
          <t>Student interfacing, Teacher interfacing</t>
        </is>
      </c>
      <c r="V767" s="1" t="inlineStr">
        <is>
          <t>dllengua</t>
        </is>
      </c>
      <c r="W767" s="1" t="inlineStr">
        <is>
          <t>Gamified tool to improve the reading comprehension of students at school. We seek the individualization of learning taking into account the diversity in the classroom.
The goal is to ensure that the teacher is the guide of the student. The application will facilitate teaching and the teacher can dedicate time to those students who need it most.</t>
        </is>
      </c>
      <c r="X767" s="10" t="inlineStr">
        <is>
          <t>https://drive.google.com/uc?export=view&amp;id=1yYT_VWAC63ZZmDc1bQkFfzDXVJudcZj6</t>
        </is>
      </c>
      <c r="Y767" t="inlineStr">
        <is>
          <t>https://drive.google.com/uc?export=view&amp;id=1yYT_VWAC63ZZmDc1bQkFfzDXVJudcZj6</t>
        </is>
      </c>
      <c r="Z767" s="1" t="inlineStr">
        <is>
          <t>https://drive.google.com/uc?export=view&amp;id=1yYT_VWAC63ZZmDc1bQkFfzDXVJudcZj6</t>
        </is>
      </c>
      <c r="AA767" s="1" t="inlineStr">
        <is>
          <t>Unverified</t>
        </is>
      </c>
      <c r="AB767" s="1" t="n"/>
      <c r="AC767" s="1" t="n"/>
      <c r="AD767" s="10" t="n"/>
      <c r="AE767" s="1" t="n"/>
      <c r="AF767" t="inlineStr">
        <is>
          <t>Yes</t>
        </is>
      </c>
      <c r="AG767" t="inlineStr">
        <is>
          <t>doqua_edu</t>
        </is>
      </c>
      <c r="AH767" t="inlineStr">
        <is>
          <t>@doqua_</t>
        </is>
      </c>
      <c r="AI767" t="inlineStr">
        <is>
          <t>https://es.linkedin.com/company/doqua</t>
        </is>
      </c>
    </row>
    <row r="768" ht="12.5" customHeight="1">
      <c r="A768" s="6" t="n">
        <v>45181</v>
      </c>
      <c r="B768" s="1" t="inlineStr">
        <is>
          <t>ORG_2067</t>
        </is>
      </c>
      <c r="C768" s="1" t="b">
        <v>1</v>
      </c>
      <c r="D768" s="1" t="inlineStr">
        <is>
          <t>Online Kids Academy</t>
        </is>
      </c>
      <c r="E768" s="10" t="inlineStr">
        <is>
          <t>https://onlinekidsacademy.org</t>
        </is>
      </c>
      <c r="F768" t="inlineStr">
        <is>
          <t>onlinekidsacademy.org</t>
        </is>
      </c>
      <c r="G768" s="1" t="inlineStr">
        <is>
          <t>In light of recent research and cutting-edge technology in education, Almina Online Kids Academy created a unique and innovative self-study platform targeting fluent and accurate use of language: The Online Kids Academy Language Learning Platform. 
Providing a virtual environment for permanent self-study learning for children at home, the Platform is the only solution in the educational market, guaranteeing a Cambridge Pre-A1 Starters level of English. The Platform has many speaking and pronunciation activities to quickly develop the kid’s speaking skills and achieve the pre-A1 requirements. The “Record your voice and the playback” feature creates a solid foundation for their fluent and accurate use of English throughout their learning. The significance of skills development by doing at a young age indeed leads the learners to speak the foreign language accurately and fluently. Parents instantly monitor their children’s achievements through the sophisticated and easy-to-understand dashboard. Thus, parents, as well, who do not speak English can check their children’s progress simply by accessing the Online Kids Academy Dynamic Language Learning Platform Progress Dashboard. The successful completion indicates that children have achieved the skill level required by the Cambridge Pre-A1 Starters on that topic. To explore all the features of the Online Kids Academy Language Learning Platform, please click https://onlinekidsacademy.org/oka/interactive_presentation/story.html for the Interactive Presentation to start.</t>
        </is>
      </c>
      <c r="H768" s="1" t="inlineStr">
        <is>
          <t>I'm not part of any EdTech association</t>
        </is>
      </c>
      <c r="I768" s="1" t="n"/>
      <c r="J768" s="1" t="inlineStr">
        <is>
          <t>Amsterdam</t>
        </is>
      </c>
      <c r="K768" t="inlineStr">
        <is>
          <t>Amsterdam</t>
        </is>
      </c>
      <c r="L768" t="inlineStr">
        <is>
          <t>Amsterdam, The Netherlands</t>
        </is>
      </c>
      <c r="M768" t="n">
        <v>52.3701984</v>
      </c>
      <c r="N768" t="n">
        <v>4.892168</v>
      </c>
      <c r="O768" s="1" t="inlineStr">
        <is>
          <t>The Netherlands</t>
        </is>
      </c>
      <c r="P768"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768" s="1" t="inlineStr">
        <is>
          <t>0 to 10</t>
        </is>
      </c>
      <c r="R768" t="inlineStr">
        <is>
          <t>Micro</t>
        </is>
      </c>
      <c r="S768" s="1" t="inlineStr">
        <is>
          <t>Business to Consumer</t>
        </is>
      </c>
      <c r="T768" s="1" t="inlineStr">
        <is>
          <t>Primary Education</t>
        </is>
      </c>
      <c r="U768" s="1" t="inlineStr">
        <is>
          <t>System/Administrative</t>
        </is>
      </c>
      <c r="V768" s="1" t="n"/>
      <c r="W768" s="1" t="inlineStr">
        <is>
          <t>https://drive.google.com/uc?export=view&amp;id=1mPLWBnUGuuxQmVcLFbMi6IpEJvNP0nCg</t>
        </is>
      </c>
      <c r="X768" s="1" t="inlineStr">
        <is>
          <t>https://drive.google.com/uc?export=view&amp;id=1mPLWBnUGuuxQmVcLFbMi6IpEJvNP0nCg</t>
        </is>
      </c>
      <c r="Y768" t="inlineStr">
        <is>
          <t>https://drive.google.com/uc?export=view&amp;id=1mPLWBnUGuuxQmVcLFbMi6IpEJvNP0nCg</t>
        </is>
      </c>
      <c r="Z768" s="1" t="inlineStr">
        <is>
          <t>https://drive.google.com/uc?export=view&amp;id=1mPLWBnUGuuxQmVcLFbMi6IpEJvNP0nCg</t>
        </is>
      </c>
      <c r="AA768" s="1" t="inlineStr">
        <is>
          <t>Unverified</t>
        </is>
      </c>
      <c r="AB768" s="1" t="n"/>
      <c r="AC768" s="1" t="n"/>
      <c r="AD768" s="10" t="n"/>
      <c r="AE768" s="1" t="n"/>
      <c r="AF768" t="inlineStr">
        <is>
          <t>No</t>
        </is>
      </c>
    </row>
    <row r="769" ht="12.5" customHeight="1">
      <c r="A769" s="6" t="n">
        <v>45181</v>
      </c>
      <c r="B769" s="1" t="inlineStr">
        <is>
          <t>ORG_1304</t>
        </is>
      </c>
      <c r="C769" s="1" t="b">
        <v>1</v>
      </c>
      <c r="D769" s="1" t="inlineStr">
        <is>
          <t>CoursesOnline</t>
        </is>
      </c>
      <c r="E769" s="10" t="inlineStr">
        <is>
          <t>https://www.coursesonline.co.uk/</t>
        </is>
      </c>
      <c r="F769" t="inlineStr">
        <is>
          <t>coursesonline.co.uk</t>
        </is>
      </c>
      <c r="G769" s="1" t="inlineStr">
        <is>
          <t>CoursesOnline helps connect training providers with those individuals and teams who are looking to develop their skills and broader their knowledge. We list online learning courses from providers from across the UK, with offerings covering all sorts of subjects and industries.</t>
        </is>
      </c>
      <c r="H769" s="1" t="inlineStr">
        <is>
          <t>I'm not part of any EdTech association</t>
        </is>
      </c>
      <c r="I769" s="1" t="n"/>
      <c r="J769" s="1" t="inlineStr">
        <is>
          <t>London</t>
        </is>
      </c>
      <c r="K769" t="inlineStr">
        <is>
          <t>London</t>
        </is>
      </c>
      <c r="L769" t="inlineStr">
        <is>
          <t>London, United Kingdom</t>
        </is>
      </c>
      <c r="M769" t="n">
        <v>51.5074456</v>
      </c>
      <c r="N769" t="n">
        <v>-0.1277653</v>
      </c>
      <c r="O769" s="1" t="inlineStr">
        <is>
          <t>United Kingdom</t>
        </is>
      </c>
      <c r="P769" s="1" t="inlineStr">
        <is>
          <t>United Kingdom</t>
        </is>
      </c>
      <c r="Q769" s="1" t="inlineStr">
        <is>
          <t>0 to 10</t>
        </is>
      </c>
      <c r="R769" t="inlineStr">
        <is>
          <t>Micro</t>
        </is>
      </c>
      <c r="S769" s="1" t="inlineStr">
        <is>
          <t>Business to Business, Business to Consumer</t>
        </is>
      </c>
      <c r="T769" s="1" t="inlineStr">
        <is>
          <t>Higher Education, Corporate Training, Lifelong learning/Adult education</t>
        </is>
      </c>
      <c r="U769" s="1" t="inlineStr">
        <is>
          <t>Teacher interfacing, Student interfacing, System/Administrative</t>
        </is>
      </c>
      <c r="V769" s="1" t="n"/>
      <c r="W769" s="1" t="inlineStr">
        <is>
          <t>https://drive.google.com/uc?export=view&amp;id=1aS02suLdlUJJPOfa7xXW1WubJLAMHsEl</t>
        </is>
      </c>
      <c r="X769" s="1" t="inlineStr">
        <is>
          <t>https://drive.google.com/uc?export=view&amp;id=1aS02suLdlUJJPOfa7xXW1WubJLAMHsEl</t>
        </is>
      </c>
      <c r="Y769" t="inlineStr">
        <is>
          <t>https://drive.google.com/uc?export=view&amp;id=1aS02suLdlUJJPOfa7xXW1WubJLAMHsEl</t>
        </is>
      </c>
      <c r="Z769" s="1" t="inlineStr">
        <is>
          <t>https://drive.google.com/uc?export=view&amp;id=1aS02suLdlUJJPOfa7xXW1WubJLAMHsEl</t>
        </is>
      </c>
      <c r="AA769" s="1" t="inlineStr">
        <is>
          <t>Unverified</t>
        </is>
      </c>
      <c r="AB769" s="1" t="n"/>
      <c r="AC769" s="1" t="n"/>
      <c r="AD769" s="10" t="n"/>
      <c r="AE769" s="1" t="n"/>
      <c r="AF769" t="inlineStr">
        <is>
          <t>No</t>
        </is>
      </c>
    </row>
    <row r="770" ht="12.5" customHeight="1">
      <c r="A770" s="6" t="n">
        <v>45181</v>
      </c>
      <c r="B770" s="1" t="inlineStr">
        <is>
          <t>ORG_1274</t>
        </is>
      </c>
      <c r="C770" s="1" t="b">
        <v>1</v>
      </c>
      <c r="D770" s="1" t="inlineStr">
        <is>
          <t>Codum</t>
        </is>
      </c>
      <c r="E770" s="10" t="inlineStr">
        <is>
          <t>https://www.codum.cc</t>
        </is>
      </c>
      <c r="F770" t="inlineStr">
        <is>
          <t>codum.cc</t>
        </is>
      </c>
      <c r="G770" s="1" t="inlineStr">
        <is>
          <t>Codum is a goal-achievement platform for aspiring coders that are teaching themselves to code without any teacher or institution.</t>
        </is>
      </c>
      <c r="H770" s="1" t="inlineStr">
        <is>
          <t>I'm not part of any EdTech association</t>
        </is>
      </c>
      <c r="I770" s="1" t="n"/>
      <c r="J770" s="1" t="inlineStr">
        <is>
          <t>Ebenhausen-Schäftlarn</t>
        </is>
      </c>
      <c r="K770" t="inlineStr">
        <is>
          <t>Ebenhausen-Schäftlarn</t>
        </is>
      </c>
      <c r="L770" t="inlineStr">
        <is>
          <t>Ebenhausen-Schäftlarn, Germany</t>
        </is>
      </c>
      <c r="M770" t="n">
        <v>47.9787164</v>
      </c>
      <c r="N770" t="n">
        <v>11.4537042</v>
      </c>
      <c r="O770" s="1" t="inlineStr">
        <is>
          <t>Germany</t>
        </is>
      </c>
      <c r="P770" s="1" t="inlineStr">
        <is>
          <t>France, Germany, Switzerland, United Kingdom</t>
        </is>
      </c>
      <c r="Q770" s="1" t="inlineStr">
        <is>
          <t>0 to 10</t>
        </is>
      </c>
      <c r="R770" t="inlineStr">
        <is>
          <t>Micro</t>
        </is>
      </c>
      <c r="S770" s="1" t="inlineStr">
        <is>
          <t>Business to Business, Business to Consumer</t>
        </is>
      </c>
      <c r="T770" s="1" t="inlineStr">
        <is>
          <t>Lifelong learning/Adult education</t>
        </is>
      </c>
      <c r="U770" s="1" t="inlineStr">
        <is>
          <t>Student interfacing, System/Administrative</t>
        </is>
      </c>
      <c r="V770" s="1" t="n"/>
      <c r="W770" s="1" t="inlineStr">
        <is>
          <t>https://drive.google.com/uc?export=view&amp;id=16VgmG-LhxpKU8UEk-7q3_kjq2Ye6wq-T</t>
        </is>
      </c>
      <c r="X770" s="1" t="inlineStr">
        <is>
          <t>https://drive.google.com/uc?export=view&amp;id=16VgmG-LhxpKU8UEk-7q3_kjq2Ye6wq-T</t>
        </is>
      </c>
      <c r="Y770" t="inlineStr">
        <is>
          <t>https://drive.google.com/uc?export=view&amp;id=16VgmG-LhxpKU8UEk-7q3_kjq2Ye6wq-T</t>
        </is>
      </c>
      <c r="Z770" s="1" t="inlineStr">
        <is>
          <t>https://drive.google.com/uc?export=view&amp;id=16VgmG-LhxpKU8UEk-7q3_kjq2Ye6wq-T</t>
        </is>
      </c>
      <c r="AA770" s="1" t="inlineStr">
        <is>
          <t>Unverified</t>
        </is>
      </c>
      <c r="AB770" s="1" t="n"/>
      <c r="AC770" s="1" t="n"/>
      <c r="AD770" s="10" t="n"/>
      <c r="AE770" s="1" t="n"/>
      <c r="AF770" s="1" t="inlineStr">
        <is>
          <t>No</t>
        </is>
      </c>
      <c r="AG770" s="1" t="n"/>
      <c r="AH770" s="1" t="n"/>
    </row>
    <row r="771" ht="12.5" customHeight="1">
      <c r="A771" s="6" t="n">
        <v>45181</v>
      </c>
      <c r="B771" s="1" t="inlineStr">
        <is>
          <t>ORG_2189</t>
        </is>
      </c>
      <c r="C771" s="1" t="b">
        <v>1</v>
      </c>
      <c r="D771" s="1" t="inlineStr">
        <is>
          <t>Robocodeuk</t>
        </is>
      </c>
      <c r="E771" s="10" t="inlineStr">
        <is>
          <t>Robocode.uk</t>
        </is>
      </c>
      <c r="F771" t="inlineStr">
        <is>
          <t>robocode.uk</t>
        </is>
      </c>
      <c r="G771" s="1" t="inlineStr">
        <is>
          <t>We offer robotics and coding courses to schools and the local community tailoring our solutions to their needs.</t>
        </is>
      </c>
      <c r="H771" s="1" t="inlineStr">
        <is>
          <t>I'm not part of any EdTech association</t>
        </is>
      </c>
      <c r="I771" s="1" t="n"/>
      <c r="J771" s="1" t="inlineStr">
        <is>
          <t>Birmingham</t>
        </is>
      </c>
      <c r="K771" t="inlineStr">
        <is>
          <t>Birmingham</t>
        </is>
      </c>
      <c r="L771" t="inlineStr">
        <is>
          <t>Birmingham, United Kingdom</t>
        </is>
      </c>
      <c r="M771" t="n">
        <v>52.4948994</v>
      </c>
      <c r="N771" t="n">
        <v>-1.8518439</v>
      </c>
      <c r="O771" s="1" t="inlineStr">
        <is>
          <t>United Kingdom</t>
        </is>
      </c>
      <c r="P771" s="1" t="inlineStr">
        <is>
          <t>United Kingdom</t>
        </is>
      </c>
      <c r="Q771" s="1" t="inlineStr">
        <is>
          <t>0 to 10</t>
        </is>
      </c>
      <c r="R771" t="inlineStr">
        <is>
          <t>Micro</t>
        </is>
      </c>
      <c r="S771" s="1" t="inlineStr">
        <is>
          <t>Business to Consumer, Business to Schools</t>
        </is>
      </c>
      <c r="T771" s="1" t="inlineStr">
        <is>
          <t>Primary Education, Secondary Education</t>
        </is>
      </c>
      <c r="U771" s="1" t="inlineStr">
        <is>
          <t>Student interfacing, Teacher interfacing</t>
        </is>
      </c>
      <c r="V771" s="1" t="n"/>
      <c r="W771" s="1" t="inlineStr">
        <is>
          <t>https://drive.google.com/uc?export=view&amp;id=1Em-Y7aLAXPQRKmo0L6qBJ7U67KuxIZya</t>
        </is>
      </c>
      <c r="X771" s="1" t="inlineStr">
        <is>
          <t>https://drive.google.com/uc?export=view&amp;id=1Em-Y7aLAXPQRKmo0L6qBJ7U67KuxIZya</t>
        </is>
      </c>
      <c r="Y771" t="inlineStr">
        <is>
          <t>https://drive.google.com/uc?export=view&amp;id=1Em-Y7aLAXPQRKmo0L6qBJ7U67KuxIZya</t>
        </is>
      </c>
      <c r="Z771" s="1" t="inlineStr">
        <is>
          <t>https://drive.google.com/uc?export=view&amp;id=1Em-Y7aLAXPQRKmo0L6qBJ7U67KuxIZya</t>
        </is>
      </c>
      <c r="AA771" s="1" t="inlineStr">
        <is>
          <t>Unverified</t>
        </is>
      </c>
      <c r="AB771" s="1" t="n"/>
      <c r="AC771" s="1" t="n"/>
      <c r="AD771" s="10" t="n"/>
      <c r="AE771" s="1" t="n"/>
      <c r="AF771" s="1" t="inlineStr">
        <is>
          <t>No</t>
        </is>
      </c>
      <c r="AG771" s="1" t="n"/>
      <c r="AH771" s="1" t="n"/>
    </row>
    <row r="772" ht="12.5" customHeight="1">
      <c r="A772" s="6" t="n">
        <v>45181</v>
      </c>
      <c r="B772" s="1" t="inlineStr">
        <is>
          <t>ORG_2219</t>
        </is>
      </c>
      <c r="C772" s="1" t="b">
        <v>1</v>
      </c>
      <c r="D772" s="1" t="inlineStr">
        <is>
          <t>Scoolsy</t>
        </is>
      </c>
      <c r="E772" s="10" t="inlineStr">
        <is>
          <t>https://scoolsy.com/</t>
        </is>
      </c>
      <c r="F772" t="inlineStr">
        <is>
          <t>scoolsy.com</t>
        </is>
      </c>
      <c r="G772" s="1" t="inlineStr">
        <is>
          <t>Scoolsy - empowers teachers to easily personalize learning for their students by providing tools, content, training and support all the way! It helps to:
1. Increase student engagement - students stay more engaged, motivated and focused;
2. Improve academic outcomes - various studies show that personalized learning approach to education improve academic results by up to 35%;
3. Reduce achievement gaps - with personalized learning journey each student receives support needed to identify and reduce possible learning gaps in time;
4. Prepare students better for universities and careers. With Scoolsy students take ownership and responsibility of their learning providing them an opportunity to choose how they learn with content in different formats and multiple assessment possibilities. This approach helps students to develop self-regulation and other soft skills to become successful life-long learners.</t>
        </is>
      </c>
      <c r="H772" s="1" t="inlineStr">
        <is>
          <t>I'm not part of any EdTech association</t>
        </is>
      </c>
      <c r="I772" s="1" t="inlineStr">
        <is>
          <t>Lithuanian, English</t>
        </is>
      </c>
      <c r="J772" s="1" t="inlineStr">
        <is>
          <t>Vilnius</t>
        </is>
      </c>
      <c r="K772" t="inlineStr">
        <is>
          <t>Vilnius</t>
        </is>
      </c>
      <c r="L772" t="inlineStr">
        <is>
          <t>Vilnius, Lithuania</t>
        </is>
      </c>
      <c r="M772" t="n">
        <v>54.6870458</v>
      </c>
      <c r="N772" t="n">
        <v>25.2829111</v>
      </c>
      <c r="O772" s="1" t="inlineStr">
        <is>
          <t>Lithuania</t>
        </is>
      </c>
      <c r="P772" s="1" t="inlineStr">
        <is>
          <t>Lithuania</t>
        </is>
      </c>
      <c r="Q772" s="1" t="inlineStr">
        <is>
          <t>6 to 10</t>
        </is>
      </c>
      <c r="R772" t="inlineStr">
        <is>
          <t>Micro</t>
        </is>
      </c>
      <c r="S772" s="1" t="inlineStr">
        <is>
          <t>Business to Schools</t>
        </is>
      </c>
      <c r="T772" s="1" t="inlineStr">
        <is>
          <t>Secondary Education</t>
        </is>
      </c>
      <c r="U772" s="1" t="inlineStr">
        <is>
          <t>Student interfacing, Teacher interfacing</t>
        </is>
      </c>
      <c r="V772" s="1" t="inlineStr">
        <is>
          <t>Scoolsy</t>
        </is>
      </c>
      <c r="W772" s="1" t="inlineStr">
        <is>
          <t>Scoolsy is an online solution for teachers and learners which helps to manage personalized learning at any school. Scoolsy has:
1. subject matrixes that help to see the whole curriculum scope. Learning goals from basic to advanced level in each subject;
2. diagnostics where student's knowledge in each subject might have gapped or exceeded the requirements;
3. personalized learning plans with personal learning goals;
4. a way to empower students to learn independently or in a group in the way suitable for them by providing content in different formats and multiple assessment possibilities;
5. automated tracking of individual learner progress.</t>
        </is>
      </c>
      <c r="X772" s="10" t="inlineStr">
        <is>
          <t>https://drive.google.com/uc?export=view&amp;id=1KFPffP8UrrwcWkA2pybECVI3ZfRJ_mBL</t>
        </is>
      </c>
      <c r="Y772" t="inlineStr">
        <is>
          <t>https://drive.google.com/uc?export=view&amp;id=1KFPffP8UrrwcWkA2pybECVI3ZfRJ_mBL</t>
        </is>
      </c>
      <c r="Z772" s="1" t="inlineStr">
        <is>
          <t>https://drive.google.com/uc?export=view&amp;id=1KFPffP8UrrwcWkA2pybECVI3ZfRJ_mBL</t>
        </is>
      </c>
      <c r="AA772" s="1" t="inlineStr">
        <is>
          <t>Unverified</t>
        </is>
      </c>
      <c r="AB772" s="1" t="n"/>
      <c r="AC772" s="1" t="n"/>
      <c r="AD772" s="10" t="n"/>
      <c r="AE772" s="1" t="n"/>
      <c r="AF772" t="inlineStr">
        <is>
          <t>Yes</t>
        </is>
      </c>
      <c r="AG772" t="inlineStr">
        <is>
          <t>https://www.linkedin.com/company/scoolsy</t>
        </is>
      </c>
      <c r="AH772" t="inlineStr">
        <is>
          <t>https://www.linkedin.com/company/scoolsy</t>
        </is>
      </c>
      <c r="AI772" t="inlineStr">
        <is>
          <t>https://www.linkedin.com/company/scoolsy</t>
        </is>
      </c>
    </row>
    <row r="773" ht="12.5" customHeight="1">
      <c r="A773" s="6" t="n">
        <v>45181</v>
      </c>
      <c r="B773" s="1" t="inlineStr">
        <is>
          <t>ORG_2155</t>
        </is>
      </c>
      <c r="C773" s="1" t="b">
        <v>1</v>
      </c>
      <c r="D773" s="1" t="inlineStr">
        <is>
          <t>Raisingfreekids</t>
        </is>
      </c>
      <c r="E773" s="1" t="inlineStr">
        <is>
          <t>Raisingfreekids.com, raisingfinanciallyfreekids.com</t>
        </is>
      </c>
      <c r="F773" t="inlineStr">
        <is>
          <t>raisingfreekids.com, raisingfinanciallyfreekids.com</t>
        </is>
      </c>
      <c r="G773" s="1" t="inlineStr">
        <is>
          <t>Raisingfreekids helps busy parents raise financially free kids by providing standardized online course solutions</t>
        </is>
      </c>
      <c r="H773" s="1" t="inlineStr">
        <is>
          <t>I'm not part of any EdTech association</t>
        </is>
      </c>
      <c r="I773" s="1" t="n"/>
      <c r="J773" s="1" t="inlineStr">
        <is>
          <t>Versmiu 123</t>
        </is>
      </c>
      <c r="L773" t="inlineStr">
        <is>
          <t>Versmiu 123, Lithuania</t>
        </is>
      </c>
      <c r="O773" s="1" t="inlineStr">
        <is>
          <t>Lithuania</t>
        </is>
      </c>
      <c r="P773" s="1" t="inlineStr">
        <is>
          <t>Austria, Belgium, Bulgaria, Croatia, Cyprus, Czechia, Denmark, Estonia, Finland, France, Germany, Greece, Hungary, Iceland, Ireland, Italy, Latvia, Liechtenstein, Lithuania, Luxembourg, Malta, Netherlands, Norway, Poland, Portugal, Romania, Slovakia, Slovenia, Spain, Sweden, Switzerland, Turkey, United Kingdom</t>
        </is>
      </c>
      <c r="Q773" s="1" t="inlineStr">
        <is>
          <t>0 to 10</t>
        </is>
      </c>
      <c r="R773" t="inlineStr">
        <is>
          <t>Micro</t>
        </is>
      </c>
      <c r="S773" s="1" t="inlineStr">
        <is>
          <t>Business to Consumer</t>
        </is>
      </c>
      <c r="T773" s="1" t="inlineStr">
        <is>
          <t>Lifelong learning/Adult education</t>
        </is>
      </c>
      <c r="U773" s="1" t="inlineStr">
        <is>
          <t>System/Administrative</t>
        </is>
      </c>
      <c r="V773" s="1" t="n"/>
      <c r="W773" s="1" t="inlineStr">
        <is>
          <t>https://drive.google.com/uc?export=view&amp;id=12We5N84tGGc6F_1TB6b_TdW6liFeBBuf</t>
        </is>
      </c>
      <c r="X773" s="1" t="inlineStr">
        <is>
          <t>https://drive.google.com/uc?export=view&amp;id=12We5N84tGGc6F_1TB6b_TdW6liFeBBuf</t>
        </is>
      </c>
      <c r="Y773" t="inlineStr">
        <is>
          <t>https://drive.google.com/uc?export=view&amp;id=12We5N84tGGc6F_1TB6b_TdW6liFeBBuf</t>
        </is>
      </c>
      <c r="Z773" s="1" t="inlineStr">
        <is>
          <t>https://drive.google.com/uc?export=view&amp;id=12We5N84tGGc6F_1TB6b_TdW6liFeBBuf</t>
        </is>
      </c>
      <c r="AA773" s="1" t="inlineStr">
        <is>
          <t>Unverified</t>
        </is>
      </c>
      <c r="AB773" s="1" t="n"/>
      <c r="AC773" s="1" t="n"/>
      <c r="AD773" s="10" t="n"/>
      <c r="AE773" s="1" t="n"/>
      <c r="AF773" t="inlineStr">
        <is>
          <t>No</t>
        </is>
      </c>
    </row>
    <row r="774" ht="12.5" customHeight="1">
      <c r="A774" s="6" t="n">
        <v>45181</v>
      </c>
      <c r="B774" s="1" t="inlineStr">
        <is>
          <t>ORG_2153</t>
        </is>
      </c>
      <c r="C774" s="1" t="b">
        <v>1</v>
      </c>
      <c r="D774" s="1" t="inlineStr">
        <is>
          <t>RADICAL HR</t>
        </is>
      </c>
      <c r="E774" s="10" t="inlineStr">
        <is>
          <t>https://radicalhr.it/</t>
        </is>
      </c>
      <c r="F774" t="inlineStr">
        <is>
          <t>radicalhr.it</t>
        </is>
      </c>
      <c r="G774" s="1" t="inlineStr">
        <is>
          <t>RADICAL HR is the new perspective on the future of work, the enabler of HR and organizations to drive and accelerate the people transformation.
RADICAL HR is the first Italian edtech company fully dedicated to the corporate learning strategy.
We design the future of work together!</t>
        </is>
      </c>
      <c r="H774" s="1" t="inlineStr">
        <is>
          <t>EdTech Italia</t>
        </is>
      </c>
      <c r="I774" s="1" t="n"/>
      <c r="J774" s="1" t="inlineStr">
        <is>
          <t>Milan</t>
        </is>
      </c>
      <c r="K774" t="inlineStr">
        <is>
          <t>Milan</t>
        </is>
      </c>
      <c r="L774" t="inlineStr">
        <is>
          <t>Milan, Italy</t>
        </is>
      </c>
      <c r="M774" t="n">
        <v>45.4641943</v>
      </c>
      <c r="N774" t="n">
        <v>9.1896346</v>
      </c>
      <c r="O774" s="1" t="inlineStr">
        <is>
          <t>Italy</t>
        </is>
      </c>
      <c r="P774" s="1" t="inlineStr">
        <is>
          <t>Italy</t>
        </is>
      </c>
      <c r="Q774" s="1" t="inlineStr">
        <is>
          <t>11 to 50</t>
        </is>
      </c>
      <c r="R774" t="inlineStr">
        <is>
          <t>Small</t>
        </is>
      </c>
      <c r="S774" s="1" t="inlineStr">
        <is>
          <t>Business to Business, Business to Consumer</t>
        </is>
      </c>
      <c r="T774" s="1" t="inlineStr">
        <is>
          <t>Corporate Training, Lifelong learning/Adult education</t>
        </is>
      </c>
      <c r="U774" s="1" t="inlineStr">
        <is>
          <t>System/Administrative, Student interfacing</t>
        </is>
      </c>
      <c r="V774" s="10" t="inlineStr">
        <is>
          <t>https://www.linkedin.com/school/radicalhr/?viewAsMember=true</t>
        </is>
      </c>
      <c r="W774" s="1" t="inlineStr">
        <is>
          <t>https://drive.google.com/uc?export=view&amp;id=15ywo_F2QF6oy5jvXPf0W5yN_1ihPwwQT</t>
        </is>
      </c>
      <c r="X774" s="10" t="inlineStr">
        <is>
          <t>https://drive.google.com/uc?export=view&amp;id=15ywo_F2QF6oy5jvXPf0W5yN_1ihPwwQT</t>
        </is>
      </c>
      <c r="Y774" t="inlineStr">
        <is>
          <t>https://drive.google.com/uc?export=view&amp;id=15ywo_F2QF6oy5jvXPf0W5yN_1ihPwwQT</t>
        </is>
      </c>
      <c r="Z774" s="1" t="inlineStr">
        <is>
          <t>https://drive.google.com/uc?export=view&amp;id=15ywo_F2QF6oy5jvXPf0W5yN_1ihPwwQT</t>
        </is>
      </c>
      <c r="AA774" s="1" t="inlineStr">
        <is>
          <t>Unverified</t>
        </is>
      </c>
      <c r="AB774" s="1" t="n"/>
      <c r="AC774" s="1" t="n"/>
      <c r="AD774" s="10" t="n"/>
      <c r="AE774" s="1" t="n"/>
      <c r="AF774" t="inlineStr">
        <is>
          <t>Yes</t>
        </is>
      </c>
      <c r="AG774" t="inlineStr">
        <is>
          <t>https://www.instagram.com/radical_hr/</t>
        </is>
      </c>
      <c r="AH774" t="inlineStr">
        <is>
          <t>https://www.linkedin.com/school/radicalhr/?viewAsMember=true</t>
        </is>
      </c>
      <c r="AI774" t="inlineStr">
        <is>
          <t>https://www.linkedin.com/school/radicalhr/?viewAsMember=true</t>
        </is>
      </c>
    </row>
    <row r="775" ht="12.5" customHeight="1">
      <c r="A775" s="6" t="n">
        <v>45181</v>
      </c>
      <c r="B775" s="1" t="inlineStr">
        <is>
          <t>ORG_2261</t>
        </is>
      </c>
      <c r="C775" s="1" t="b">
        <v>1</v>
      </c>
      <c r="D775" s="1" t="inlineStr">
        <is>
          <t>SkillsTown</t>
        </is>
      </c>
      <c r="E775" s="1" t="inlineStr">
        <is>
          <t>www.skillstown.com www.skillstown.com</t>
        </is>
      </c>
      <c r="F775" t="inlineStr">
        <is>
          <t>skillstown.com www.skillstown.com</t>
        </is>
      </c>
      <c r="G775" s="1" t="inlineStr">
        <is>
          <t>SkillsTown is the online educator for professionals. With our innovative online learning platform, we help you to get the best out of your organisation and employees.</t>
        </is>
      </c>
      <c r="H775" s="1" t="inlineStr">
        <is>
          <t>Dutch EdTech</t>
        </is>
      </c>
      <c r="I775" s="1" t="n"/>
      <c r="J775" s="1" t="inlineStr">
        <is>
          <t>Eindhoven</t>
        </is>
      </c>
      <c r="K775" t="inlineStr">
        <is>
          <t>Eindhoven</t>
        </is>
      </c>
      <c r="L775" t="inlineStr">
        <is>
          <t>Eindhoven, The Netherlands</t>
        </is>
      </c>
      <c r="M775" t="n">
        <v>51.4105222</v>
      </c>
      <c r="N775" t="n">
        <v>5.457494</v>
      </c>
      <c r="O775" s="1" t="inlineStr">
        <is>
          <t>The Netherlands</t>
        </is>
      </c>
      <c r="P775" s="1" t="inlineStr">
        <is>
          <t>Belgium, Netherlands, United Kingdom</t>
        </is>
      </c>
      <c r="Q775" s="1" t="inlineStr">
        <is>
          <t>51 to 100</t>
        </is>
      </c>
      <c r="R775" t="inlineStr">
        <is>
          <t>Medium</t>
        </is>
      </c>
      <c r="S775" s="1" t="inlineStr">
        <is>
          <t>Business to Business, Business to Consumer</t>
        </is>
      </c>
      <c r="T775" s="1" t="inlineStr">
        <is>
          <t>Primary Education, Secondary Education, Higher Education, Corporate Training, Lifelong learning/Adult education</t>
        </is>
      </c>
      <c r="U775" s="1" t="inlineStr">
        <is>
          <t>Student interfacing, Teacher interfacing, System/Administrative</t>
        </is>
      </c>
      <c r="V775" s="1" t="inlineStr">
        <is>
          <t>Online learning platform</t>
        </is>
      </c>
      <c r="W775" s="1" t="inlineStr">
        <is>
          <t>Innovative learning platform to help achieve your employees their learning needs;
Build-in authoring tool;
Learning record store</t>
        </is>
      </c>
      <c r="X775" s="10" t="inlineStr">
        <is>
          <t>Content</t>
        </is>
      </c>
      <c r="Y775" t="inlineStr">
        <is>
          <t>Large library in Dutch, English, Spanish and French with 8 different learning methods. Soon German as well.</t>
        </is>
      </c>
      <c r="Z775" s="1" t="inlineStr">
        <is>
          <t>https://drive.google.com/uc?export=view&amp;id=1cdFaS1LdnPlz1j8V6gV_2FYEhjsSetf1</t>
        </is>
      </c>
      <c r="AA775" s="1" t="inlineStr">
        <is>
          <t>Unverified</t>
        </is>
      </c>
      <c r="AB775" s="1" t="n"/>
      <c r="AC775" s="1" t="n"/>
      <c r="AD775" s="10" t="n"/>
      <c r="AE775" s="1" t="n"/>
      <c r="AF775" t="inlineStr">
        <is>
          <t>Yes</t>
        </is>
      </c>
      <c r="AG775" t="inlineStr">
        <is>
          <t>https://www.linkedin.com/company/skillstown/</t>
        </is>
      </c>
      <c r="AH775" t="inlineStr">
        <is>
          <t>https://www.linkedin.com/company/skillstown/</t>
        </is>
      </c>
      <c r="AI775" t="inlineStr">
        <is>
          <t>https://www.linkedin.com/company/skillstown/</t>
        </is>
      </c>
    </row>
    <row r="776" ht="12.5" customHeight="1">
      <c r="A776" s="6" t="n">
        <v>45181</v>
      </c>
      <c r="B776" s="1" t="inlineStr">
        <is>
          <t>ORG_2333</t>
        </is>
      </c>
      <c r="C776" s="1" t="b">
        <v>1</v>
      </c>
      <c r="D776" s="1" t="inlineStr">
        <is>
          <t>StudentLINK</t>
        </is>
      </c>
      <c r="E776" s="10" t="inlineStr">
        <is>
          <t>www.studentlink.it</t>
        </is>
      </c>
      <c r="F776" t="inlineStr">
        <is>
          <t>studentlink.it</t>
        </is>
      </c>
      <c r="G776" s="1" t="inlineStr">
        <is>
          <t>StudentLINK is identified as an aggregator of services and functions useful to the student in order to speed up the integration process and have all the information he or she needs, instantly, finding a real point of reference.</t>
        </is>
      </c>
      <c r="H776" s="1" t="inlineStr">
        <is>
          <t>EdTech Italia</t>
        </is>
      </c>
      <c r="I776" s="1" t="n"/>
      <c r="J776" s="1" t="inlineStr">
        <is>
          <t>Legnano</t>
        </is>
      </c>
      <c r="K776" t="inlineStr">
        <is>
          <t>Legnano</t>
        </is>
      </c>
      <c r="L776" t="inlineStr">
        <is>
          <t>Legnano, Italy</t>
        </is>
      </c>
      <c r="M776" t="n">
        <v>45.5946464</v>
      </c>
      <c r="N776" t="n">
        <v>8.918162499999999</v>
      </c>
      <c r="O776" s="1" t="inlineStr">
        <is>
          <t>Italy</t>
        </is>
      </c>
      <c r="P776" s="1" t="inlineStr">
        <is>
          <t>Italy</t>
        </is>
      </c>
      <c r="Q776" s="1" t="inlineStr">
        <is>
          <t>0 to 10</t>
        </is>
      </c>
      <c r="R776" t="inlineStr">
        <is>
          <t>Micro</t>
        </is>
      </c>
      <c r="S776" s="1" t="inlineStr">
        <is>
          <t>Business to Business, Business to Consumer, Business to Government, Business to Schools</t>
        </is>
      </c>
      <c r="T776" s="1" t="inlineStr">
        <is>
          <t>Secondary Education, Higher Education</t>
        </is>
      </c>
      <c r="U776" s="1" t="inlineStr">
        <is>
          <t>Student interfacing, System/Administrative</t>
        </is>
      </c>
      <c r="V776" s="10" t="inlineStr">
        <is>
          <t>StudentLINK</t>
        </is>
      </c>
      <c r="W776" s="1" t="inlineStr">
        <is>
          <t>StudentLINK is a social network that aims to go to meet the needs and requirements that characterize the student from entry to exit from the university world. The main features are:
o Content Dashboard
o Free Sharing of Learning Materials
o Tutoring and Support
o Real Estate Network and Interactive Map
o Car Pooling
o Social Events
o Alumni Section</t>
        </is>
      </c>
      <c r="X776" s="10" t="inlineStr">
        <is>
          <t>https://drive.google.com/uc?export=view&amp;id=1Q_s-CMGEQWUlgcRM2GpSqqCb-EILYK-L</t>
        </is>
      </c>
      <c r="Y776" t="inlineStr">
        <is>
          <t>https://drive.google.com/uc?export=view&amp;id=1Q_s-CMGEQWUlgcRM2GpSqqCb-EILYK-L</t>
        </is>
      </c>
      <c r="Z776" s="1" t="inlineStr">
        <is>
          <t>https://drive.google.com/uc?export=view&amp;id=1Q_s-CMGEQWUlgcRM2GpSqqCb-EILYK-L</t>
        </is>
      </c>
      <c r="AA776" s="1" t="inlineStr">
        <is>
          <t>Unverified</t>
        </is>
      </c>
      <c r="AB776" s="1" t="n"/>
      <c r="AC776" s="1" t="n"/>
      <c r="AD776" s="10" t="n"/>
      <c r="AE776" s="1" t="n"/>
      <c r="AF776" t="inlineStr">
        <is>
          <t>Yes</t>
        </is>
      </c>
      <c r="AG776" t="inlineStr">
        <is>
          <t>https://www.instagram.com/studentlink_ita/</t>
        </is>
      </c>
      <c r="AH776" t="inlineStr">
        <is>
          <t>https://www.linkedin.com/company/studentlinkita/?viewAsMember=true</t>
        </is>
      </c>
      <c r="AI776" t="inlineStr">
        <is>
          <t>https://www.linkedin.com/company/studentlinkita/?viewAsMember=true</t>
        </is>
      </c>
    </row>
    <row r="777" ht="12.5" customHeight="1">
      <c r="A777" s="6" t="n">
        <v>45181</v>
      </c>
      <c r="B777" s="1" t="inlineStr">
        <is>
          <t>ORG_2062</t>
        </is>
      </c>
      <c r="C777" s="1" t="b">
        <v>1</v>
      </c>
      <c r="D777" s="1" t="inlineStr">
        <is>
          <t>Omniscol</t>
        </is>
      </c>
      <c r="E777" s="10" t="inlineStr">
        <is>
          <t>www.omniscol.com</t>
        </is>
      </c>
      <c r="F777" t="inlineStr">
        <is>
          <t>omniscol.com</t>
        </is>
      </c>
      <c r="G777" s="1" t="inlineStr">
        <is>
          <t>Omniscol provides schools with a unique fully online tool to generate and manage timetables and absences. It's simple and intuitive, yet very powerful. Our fast algorithm can solve and optimize the most complex scheduling problems. Our user interface allows dealing with conflicts or teacher availabilities, and show you available teachers and rooms for daily management. Advanced statistics facilitate the supervision of your school. We deal with all sorts of timetables, for K12, higher education, or training centers (as a calendar). It's very easy to integrate into your current information system, to export (and import) to Excel or iCal.</t>
        </is>
      </c>
      <c r="H777" s="1" t="inlineStr">
        <is>
          <t>EdTech France</t>
        </is>
      </c>
      <c r="I777" s="1" t="n"/>
      <c r="J777" s="1" t="inlineStr">
        <is>
          <t>Paris</t>
        </is>
      </c>
      <c r="K777" t="inlineStr">
        <is>
          <t>Paris</t>
        </is>
      </c>
      <c r="L777" t="inlineStr">
        <is>
          <t>Paris, France</t>
        </is>
      </c>
      <c r="M777" t="n">
        <v>48.8534951</v>
      </c>
      <c r="N777" t="n">
        <v>2.3483915</v>
      </c>
      <c r="O777" s="1" t="inlineStr">
        <is>
          <t>France</t>
        </is>
      </c>
      <c r="P777" s="1" t="inlineStr">
        <is>
          <t>France, Italy, Kazakhstan, Norway, United Kingdom</t>
        </is>
      </c>
      <c r="Q777" s="1" t="inlineStr">
        <is>
          <t>0 to 10</t>
        </is>
      </c>
      <c r="R777" t="inlineStr">
        <is>
          <t>Micro</t>
        </is>
      </c>
      <c r="S777" s="1" t="inlineStr">
        <is>
          <t>Business to Business, Business to Government, Business to Schools</t>
        </is>
      </c>
      <c r="T777" s="1" t="inlineStr">
        <is>
          <t>Early childhood development (0-5 years), Primary Education, Secondary Education, Higher Education, Corporate Training, Lifelong learning/Adult education</t>
        </is>
      </c>
      <c r="U777" s="1" t="inlineStr">
        <is>
          <t>System/Administrative, Student interfacing, Teacher interfacing</t>
        </is>
      </c>
      <c r="V777" s="10" t="inlineStr">
        <is>
          <t>Omniscol</t>
        </is>
      </c>
      <c r="W777" s="10" t="inlineStr">
        <is>
          <t>Timetable software, fully online, intuitive &amp; powerful, for all kinds of schools or training centers, and all kinds of schedules.</t>
        </is>
      </c>
      <c r="X777" s="10" t="inlineStr">
        <is>
          <t>https://drive.google.com/uc?export=view&amp;id=1UmzTkbJ0pht1WtBI2g4ZfTpKn9m__Fgd</t>
        </is>
      </c>
      <c r="Y777" t="inlineStr">
        <is>
          <t>https://drive.google.com/uc?export=view&amp;id=1UmzTkbJ0pht1WtBI2g4ZfTpKn9m__Fgd</t>
        </is>
      </c>
      <c r="Z777" s="1" t="inlineStr">
        <is>
          <t>https://drive.google.com/uc?export=view&amp;id=1UmzTkbJ0pht1WtBI2g4ZfTpKn9m__Fgd</t>
        </is>
      </c>
      <c r="AA777" s="1" t="inlineStr">
        <is>
          <t>Unverified</t>
        </is>
      </c>
      <c r="AB777" s="1" t="n"/>
      <c r="AC777" s="1" t="n"/>
      <c r="AD777" s="10" t="n"/>
      <c r="AE777" s="1" t="n"/>
      <c r="AF777" t="inlineStr">
        <is>
          <t>Yes</t>
        </is>
      </c>
      <c r="AG777" t="inlineStr">
        <is>
          <t>https://www.instagram.com/omniscol/</t>
        </is>
      </c>
      <c r="AH777" t="inlineStr">
        <is>
          <t>https://twitter.com/omniscol</t>
        </is>
      </c>
      <c r="AI777" t="inlineStr">
        <is>
          <t>https://www.linkedin.com/company/omniscol</t>
        </is>
      </c>
    </row>
    <row r="778" ht="12.5" customHeight="1">
      <c r="A778" s="6" t="n">
        <v>45181</v>
      </c>
      <c r="B778" s="1" t="inlineStr">
        <is>
          <t>ORG_1969</t>
        </is>
      </c>
      <c r="C778" s="1" t="b">
        <v>1</v>
      </c>
      <c r="D778" s="1" t="inlineStr">
        <is>
          <t>MinnaLearn</t>
        </is>
      </c>
      <c r="E778" s="10" t="inlineStr">
        <is>
          <t>https://www.minnalearn.com/</t>
        </is>
      </c>
      <c r="F778" t="inlineStr">
        <is>
          <t>minnalearn.com</t>
        </is>
      </c>
      <c r="G778" s="1" t="inlineStr">
        <is>
          <t>MinnaLearn equips people for the future of work with the most useful online learning. From AI to entrepreneurship to agile methods, our educational tools guide nations, citizens, companies, and employees towards a more equitable, skilled, and enjoyable future. Our Learning Groups combine the scalability of online training with the engagement of classrooms. MinnaLearn is known especially for the award winning Elements of AI online course conducted together with the University of Helsinki.</t>
        </is>
      </c>
      <c r="H778" s="1" t="inlineStr">
        <is>
          <t>EdTech Finland</t>
        </is>
      </c>
      <c r="I778" s="1" t="n"/>
      <c r="J778" s="1" t="inlineStr">
        <is>
          <t>Helsinki</t>
        </is>
      </c>
      <c r="K778" t="inlineStr">
        <is>
          <t>Helsinki</t>
        </is>
      </c>
      <c r="L778" t="inlineStr">
        <is>
          <t>Helsinki, Finland</t>
        </is>
      </c>
      <c r="M778" t="n">
        <v>60.1666204</v>
      </c>
      <c r="N778" t="n">
        <v>24.9435408</v>
      </c>
      <c r="O778" s="1" t="inlineStr">
        <is>
          <t>Finland</t>
        </is>
      </c>
      <c r="P778" s="1" t="inlineStr">
        <is>
          <t>Austria, Belgium, Croatia, Czechia, Denmark, Estonia, Finland, France, Germany, Greece, Hungary, Iceland, Ireland, Italy, Latvia, Lithuania, Malta, Netherlands, Norway, Poland, Portugal, Slovakia, Slovenia, Spain, Sweden, Switzerland</t>
        </is>
      </c>
      <c r="Q778" s="1" t="inlineStr">
        <is>
          <t>11 to 50</t>
        </is>
      </c>
      <c r="R778" t="inlineStr">
        <is>
          <t>Small</t>
        </is>
      </c>
      <c r="S778" s="1" t="inlineStr">
        <is>
          <t>Business to Business, Business to Consumer, Business to Government</t>
        </is>
      </c>
      <c r="T778" s="1" t="inlineStr">
        <is>
          <t>Higher Education, Corporate Training, Lifelong learning/Adult education</t>
        </is>
      </c>
      <c r="U778" s="1" t="inlineStr">
        <is>
          <t>Student interfacing, System/Administrative</t>
        </is>
      </c>
      <c r="V778" s="1" t="n"/>
      <c r="W778" s="1" t="inlineStr">
        <is>
          <t>https://drive.google.com/uc?export=view&amp;id=1LWlcMZcH8IAHVrH__vqdI-qNvyWHZZPd</t>
        </is>
      </c>
      <c r="X778" s="1" t="inlineStr">
        <is>
          <t>https://drive.google.com/uc?export=view&amp;id=1LWlcMZcH8IAHVrH__vqdI-qNvyWHZZPd</t>
        </is>
      </c>
      <c r="Y778" t="inlineStr">
        <is>
          <t>https://drive.google.com/uc?export=view&amp;id=1LWlcMZcH8IAHVrH__vqdI-qNvyWHZZPd</t>
        </is>
      </c>
      <c r="Z778" s="1" t="inlineStr">
        <is>
          <t>https://drive.google.com/uc?export=view&amp;id=1LWlcMZcH8IAHVrH__vqdI-qNvyWHZZPd</t>
        </is>
      </c>
      <c r="AA778" s="1" t="inlineStr">
        <is>
          <t>Unverified</t>
        </is>
      </c>
      <c r="AB778" s="1" t="n"/>
      <c r="AC778" s="1" t="n"/>
      <c r="AD778" s="10" t="n"/>
      <c r="AE778" s="1" t="n"/>
      <c r="AF778" t="inlineStr">
        <is>
          <t>No</t>
        </is>
      </c>
    </row>
    <row r="779" ht="12.5" customHeight="1">
      <c r="A779" s="6" t="n">
        <v>45181</v>
      </c>
      <c r="B779" s="1" t="inlineStr">
        <is>
          <t>ORG_1990</t>
        </is>
      </c>
      <c r="C779" s="1" t="b">
        <v>1</v>
      </c>
      <c r="D779" s="1" t="inlineStr">
        <is>
          <t>Motivum Games</t>
        </is>
      </c>
      <c r="E779" s="10" t="inlineStr">
        <is>
          <t>https://www.linkedin.com/company/motivum-games/</t>
        </is>
      </c>
      <c r="F779" t="inlineStr">
        <is>
          <t>linkedin.com/company/motivum-games</t>
        </is>
      </c>
      <c r="G779" s="1" t="inlineStr">
        <is>
          <t>Motivum Games is developing an exergaming app called PAWS. The aim is to provide context and extra motivation for the users in order to increase their physical activity level and thereby have a positive impact on their health.</t>
        </is>
      </c>
      <c r="H779" s="1" t="inlineStr">
        <is>
          <t>EdTech Estonia</t>
        </is>
      </c>
      <c r="I779" s="1" t="n"/>
      <c r="J779" s="1" t="inlineStr">
        <is>
          <t>Tartu</t>
        </is>
      </c>
      <c r="K779" t="inlineStr">
        <is>
          <t>Tartu</t>
        </is>
      </c>
      <c r="L779" t="inlineStr">
        <is>
          <t>Tartu, Estonia</t>
        </is>
      </c>
      <c r="M779" t="n">
        <v>58.3779528</v>
      </c>
      <c r="N779" t="n">
        <v>26.7290023</v>
      </c>
      <c r="O779" s="1" t="inlineStr">
        <is>
          <t>Estonia</t>
        </is>
      </c>
      <c r="P779" s="1" t="inlineStr">
        <is>
          <t>Estonia</t>
        </is>
      </c>
      <c r="Q779" s="1" t="inlineStr">
        <is>
          <t>0 to 10</t>
        </is>
      </c>
      <c r="R779" t="inlineStr">
        <is>
          <t>Micro</t>
        </is>
      </c>
      <c r="S779" s="1" t="inlineStr">
        <is>
          <t>Business to Business</t>
        </is>
      </c>
      <c r="T779" s="1" t="inlineStr">
        <is>
          <t>Primary Education, Secondary Education, Higher Education, Corporate Training, Lifelong learning/Adult education</t>
        </is>
      </c>
      <c r="U779" s="1" t="inlineStr">
        <is>
          <t>System/Administrative, Student interfacing, Teacher interfacing</t>
        </is>
      </c>
      <c r="V779" s="1" t="n"/>
      <c r="W779" s="1" t="inlineStr">
        <is>
          <t>https://drive.google.com/uc?export=view&amp;id=1YGz0APIElIvSE_Sdt7u6RVXgkTwOW__j</t>
        </is>
      </c>
      <c r="X779" s="1" t="inlineStr">
        <is>
          <t>https://drive.google.com/uc?export=view&amp;id=1YGz0APIElIvSE_Sdt7u6RVXgkTwOW__j</t>
        </is>
      </c>
      <c r="Y779" t="inlineStr">
        <is>
          <t>https://drive.google.com/uc?export=view&amp;id=1YGz0APIElIvSE_Sdt7u6RVXgkTwOW__j</t>
        </is>
      </c>
      <c r="Z779" s="1" t="inlineStr">
        <is>
          <t>https://drive.google.com/uc?export=view&amp;id=1YGz0APIElIvSE_Sdt7u6RVXgkTwOW__j</t>
        </is>
      </c>
      <c r="AA779" s="1" t="inlineStr">
        <is>
          <t>Unverified</t>
        </is>
      </c>
      <c r="AB779" s="1" t="n"/>
      <c r="AC779" s="1" t="n"/>
      <c r="AD779" s="10" t="n"/>
      <c r="AE779" s="1" t="n"/>
      <c r="AF779" t="inlineStr">
        <is>
          <t>No</t>
        </is>
      </c>
    </row>
    <row r="780" ht="12.5" customHeight="1">
      <c r="A780" s="6" t="n">
        <v>45181</v>
      </c>
      <c r="B780" s="1" t="inlineStr">
        <is>
          <t>ORG_2030</t>
        </is>
      </c>
      <c r="C780" s="1" t="b">
        <v>1</v>
      </c>
      <c r="D780" s="1" t="inlineStr">
        <is>
          <t>NeuKurs Microlearning</t>
        </is>
      </c>
      <c r="E780" s="10" t="inlineStr">
        <is>
          <t>www.neukurs.com</t>
        </is>
      </c>
      <c r="F780" t="inlineStr">
        <is>
          <t>neukurs.com</t>
        </is>
      </c>
      <c r="G780" s="1" t="inlineStr">
        <is>
          <t>NeuKurs - the microlearning company 
NeuKurs activates your knowledge for effective trainings and powerful sales. 
NeuKurs delivers methodically and didactically optimal trainings for your target group: microlearning videos, audios and on high quality paper.
Our products
LMS Content in Articulate Rise or Storyline
Content library with 90+ ready-to-use eLearnings
Microlearning workshops for internal knowledge building
Software for easy and fast hosting of your content</t>
        </is>
      </c>
      <c r="H780" s="1" t="inlineStr">
        <is>
          <t>EdTech Austria</t>
        </is>
      </c>
      <c r="I780" s="1" t="n"/>
      <c r="J780" s="1" t="inlineStr">
        <is>
          <t>Vienna</t>
        </is>
      </c>
      <c r="K780" t="inlineStr">
        <is>
          <t>Vienna</t>
        </is>
      </c>
      <c r="L780" t="inlineStr">
        <is>
          <t>Vienna, Austria</t>
        </is>
      </c>
      <c r="M780" t="n">
        <v>48.2083537</v>
      </c>
      <c r="N780" t="n">
        <v>16.3725042</v>
      </c>
      <c r="O780" s="1" t="inlineStr">
        <is>
          <t>Austria</t>
        </is>
      </c>
      <c r="P780" s="1" t="inlineStr">
        <is>
          <t>Austria, Czechia, Germany, Poland, Switzerland</t>
        </is>
      </c>
      <c r="Q780" s="1" t="inlineStr">
        <is>
          <t>0 to 10</t>
        </is>
      </c>
      <c r="R780" t="inlineStr">
        <is>
          <t>Micro</t>
        </is>
      </c>
      <c r="S780" s="1" t="inlineStr">
        <is>
          <t>Business to Business, Business to Consumer, Business to Government, Business to Schools</t>
        </is>
      </c>
      <c r="T780" s="1" t="inlineStr">
        <is>
          <t>Higher Education, Corporate Training, Lifelong learning/Adult education</t>
        </is>
      </c>
      <c r="U780" s="1" t="inlineStr">
        <is>
          <t>Teacher interfacing, System/Administrative</t>
        </is>
      </c>
      <c r="V780" s="10" t="inlineStr">
        <is>
          <t>eLearning courses</t>
        </is>
      </c>
      <c r="W780" s="1" t="inlineStr">
        <is>
          <t>Learning videos from top experts
Choose from more than 2,000 microlearnings in different forms: Learning and explainer videos, illustrations, texts, podcasts, and transfer materials.
The high-quality online trainings can be obtained as a license for your LMS or directly via our online learning platform.
On request, you can receive all content as a finished Scorm 1.2 package, including didactic preparation.</t>
        </is>
      </c>
      <c r="X780" s="10" t="inlineStr">
        <is>
          <t>Content Design</t>
        </is>
      </c>
      <c r="Y780" t="inlineStr">
        <is>
          <t>Didactic microlearnings transform content into attractive knowledge nuggets. 
We activate contents with storytelling, memory anchors, attention stimuli and many more tools. This is how we make training attractive and effective.
Microlearning Video, Audio, Podcast</t>
        </is>
      </c>
      <c r="Z780" s="1" t="inlineStr">
        <is>
          <t>https://drive.google.com/uc?export=view&amp;id=1DX0gooIYeIEei_UM52AtLhBtxUMQC6-4</t>
        </is>
      </c>
      <c r="AA780" s="1" t="inlineStr">
        <is>
          <t>Unverified</t>
        </is>
      </c>
      <c r="AB780" s="1" t="n"/>
      <c r="AC780" s="1" t="n"/>
      <c r="AD780" s="10" t="n"/>
      <c r="AE780" s="1" t="n"/>
      <c r="AF780" t="inlineStr">
        <is>
          <t>Yes</t>
        </is>
      </c>
      <c r="AG780" t="inlineStr">
        <is>
          <t>https://www.instagram.com/neukurs/?hl=de</t>
        </is>
      </c>
      <c r="AH780" t="inlineStr">
        <is>
          <t>https://www.linkedin.com/company/neukurs/</t>
        </is>
      </c>
      <c r="AI780" t="inlineStr">
        <is>
          <t>https://www.linkedin.com/company/neukurs/</t>
        </is>
      </c>
    </row>
    <row r="781" ht="12.5" customHeight="1">
      <c r="A781" s="6" t="n">
        <v>45181</v>
      </c>
      <c r="B781" s="1" t="inlineStr">
        <is>
          <t>ORG_1052</t>
        </is>
      </c>
      <c r="C781" s="1" t="b">
        <v>1</v>
      </c>
      <c r="D781" s="1" t="inlineStr">
        <is>
          <t>All Right</t>
        </is>
      </c>
      <c r="E781" s="10" t="inlineStr">
        <is>
          <t>allright.com</t>
        </is>
      </c>
      <c r="F781" t="inlineStr">
        <is>
          <t>allright.com</t>
        </is>
      </c>
      <c r="G781" s="1" t="inlineStr">
        <is>
          <t>All Right is online English school for kids from Ukraine. Our mission is to provide children around the world with access to quality education. We offer our students a personalized gamified program based on the interests of the child. Each student can choose what materials to study - Minecraft, dinosaurs, travel, sports or the academy of magic.
Our program is based on the Cambridge methodology. Lessons take place in an interactive classroom or mobile app. The mobile application also allows students to consolidate the material covered in the lesson, memorize new words in the game format and improve pronunciation.</t>
        </is>
      </c>
      <c r="H781" s="1" t="inlineStr">
        <is>
          <t>I'm not part of any EdTech association</t>
        </is>
      </c>
      <c r="I781" s="1" t="n"/>
      <c r="J781" s="1" t="inlineStr">
        <is>
          <t>Belgrade</t>
        </is>
      </c>
      <c r="K781" t="inlineStr">
        <is>
          <t>Belgrade</t>
        </is>
      </c>
      <c r="L781" t="inlineStr">
        <is>
          <t>Belgrade, Serbia</t>
        </is>
      </c>
      <c r="M781" t="n">
        <v>44.8178131</v>
      </c>
      <c r="N781" t="n">
        <v>20.4568974</v>
      </c>
      <c r="O781" s="1" t="inlineStr">
        <is>
          <t>Serbia</t>
        </is>
      </c>
      <c r="P781" s="1" t="inlineStr">
        <is>
          <t>Czechia, Denmark, France, Germany, Greece, Italy, Poland, Portugal, Romania, Slovakia, Spain, Turkey, Ukraine</t>
        </is>
      </c>
      <c r="Q781" s="1" t="inlineStr">
        <is>
          <t>100+</t>
        </is>
      </c>
      <c r="R781" t="inlineStr">
        <is>
          <t>Medium or Large (unspecified)</t>
        </is>
      </c>
      <c r="S781" s="1" t="inlineStr">
        <is>
          <t>Business to Business</t>
        </is>
      </c>
      <c r="T781" s="1" t="inlineStr">
        <is>
          <t>Early childhood development (0-5 years), Primary Education</t>
        </is>
      </c>
      <c r="U781" s="1" t="inlineStr">
        <is>
          <t>System/Administrative, Student interfacing</t>
        </is>
      </c>
      <c r="V781" s="1" t="n"/>
      <c r="W781" s="1" t="n"/>
      <c r="X781" s="1" t="n"/>
      <c r="Z781" s="1" t="n"/>
      <c r="AA781" s="1" t="inlineStr">
        <is>
          <t>Unverified</t>
        </is>
      </c>
      <c r="AB781" s="1" t="n"/>
      <c r="AC781" s="1" t="n"/>
      <c r="AD781" s="1" t="n"/>
      <c r="AE781" s="1" t="n"/>
      <c r="AF781" t="inlineStr">
        <is>
          <t>No</t>
        </is>
      </c>
    </row>
    <row r="782" ht="12.5" customHeight="1">
      <c r="A782" s="6" t="n">
        <v>45181</v>
      </c>
      <c r="B782" s="1" t="inlineStr">
        <is>
          <t>ORG_2419</t>
        </is>
      </c>
      <c r="C782" s="1" t="b">
        <v>1</v>
      </c>
      <c r="D782" s="1" t="inlineStr">
        <is>
          <t>Tomorrows University of Applied Sciences</t>
        </is>
      </c>
      <c r="E782" s="10" t="inlineStr">
        <is>
          <t>https://www.tomorrow.university/</t>
        </is>
      </c>
      <c r="F782" t="inlineStr">
        <is>
          <t>tomorrow.university</t>
        </is>
      </c>
      <c r="G782" s="1" t="inlineStr">
        <is>
          <t>Tomorrow University of Applied Sciences is the first startup University to be founded in Europe. It was founded in 2020 by serial entrepreneurs Christian Rebernik and Dr. Thomas Funke at the height of the pandemic to drastically change the future of education. The University teaches students the 21st-century skills needed in the areas of sustainability, entrepreneurship, and technology through a revolutionary approach to education using a cutting-edge mobile-app. Apart from the academics and learning experience, there is a dedicated community of students, mentors, and industry experts who are consistently connecting and making an impact in the world and for our future.</t>
        </is>
      </c>
      <c r="H782" s="1" t="inlineStr">
        <is>
          <t>I'm not part of any EdTech association</t>
        </is>
      </c>
      <c r="I782" s="1" t="n"/>
      <c r="J782" s="1" t="inlineStr">
        <is>
          <t>Frankfurt Am Main</t>
        </is>
      </c>
      <c r="K782" t="inlineStr">
        <is>
          <t>Frankfurt Am Main</t>
        </is>
      </c>
      <c r="L782" t="inlineStr">
        <is>
          <t>Frankfurt Am Main, Germany</t>
        </is>
      </c>
      <c r="M782" t="n">
        <v>50.1106444</v>
      </c>
      <c r="N782" t="n">
        <v>8.682091700000001</v>
      </c>
      <c r="O782" s="1" t="inlineStr">
        <is>
          <t>Germany</t>
        </is>
      </c>
      <c r="P782" s="1" t="inlineStr">
        <is>
          <t>Albania, Andorra, Armenia, Austria, Belgium, Bulgaria, Croatia, Cyprus, Czechia, Denmark, Estonia, Finland, France, Georgia, Germany, Greece, Hungary, Iceland, Ireland, Italy, Latvia, Liechtenstein, Lithuania, Luxembourg, Malta, Montenegro, Netherlands, North Macedonia, Norway, Poland, Portugal, Romania, Russia, San Marino, Serbia, Slovakia, Slovenia, Spain, Sweden, Switzerland, Turkey, Ukraine, United Kingdom</t>
        </is>
      </c>
      <c r="Q782" s="1" t="inlineStr">
        <is>
          <t>11 to 50</t>
        </is>
      </c>
      <c r="R782" t="inlineStr">
        <is>
          <t>Small</t>
        </is>
      </c>
      <c r="S782" s="1" t="inlineStr">
        <is>
          <t>Business to Consumer</t>
        </is>
      </c>
      <c r="T782" s="1" t="inlineStr">
        <is>
          <t>Higher Education</t>
        </is>
      </c>
      <c r="U782" s="1" t="inlineStr">
        <is>
          <t>Student interfacing, Teacher interfacing, System/Administrative</t>
        </is>
      </c>
      <c r="V782" s="1" t="n"/>
      <c r="W782" s="1" t="inlineStr">
        <is>
          <t>https://drive.google.com/uc?export=view&amp;id=12MQXfLPoWfWwEsopMf8ey1c-wZ2ZSqF4</t>
        </is>
      </c>
      <c r="X782" s="1" t="inlineStr">
        <is>
          <t>https://drive.google.com/uc?export=view&amp;id=12MQXfLPoWfWwEsopMf8ey1c-wZ2ZSqF4</t>
        </is>
      </c>
      <c r="Y782" t="inlineStr">
        <is>
          <t>https://drive.google.com/uc?export=view&amp;id=12MQXfLPoWfWwEsopMf8ey1c-wZ2ZSqF4</t>
        </is>
      </c>
      <c r="Z782" s="1" t="inlineStr">
        <is>
          <t>https://drive.google.com/uc?export=view&amp;id=12MQXfLPoWfWwEsopMf8ey1c-wZ2ZSqF4</t>
        </is>
      </c>
      <c r="AA782" s="1" t="inlineStr">
        <is>
          <t>Unverified</t>
        </is>
      </c>
      <c r="AB782" s="1" t="n"/>
      <c r="AC782" s="1" t="n"/>
      <c r="AD782" s="10" t="n"/>
      <c r="AE782" s="1" t="n"/>
      <c r="AF782" t="inlineStr">
        <is>
          <t>No</t>
        </is>
      </c>
    </row>
    <row r="783" ht="12.5" customHeight="1">
      <c r="A783" s="6" t="n">
        <v>45181</v>
      </c>
      <c r="B783" s="1" t="inlineStr">
        <is>
          <t>ORG_1132</t>
        </is>
      </c>
      <c r="C783" s="1" t="b">
        <v>1</v>
      </c>
      <c r="D783" s="1" t="inlineStr">
        <is>
          <t>Azumuta</t>
        </is>
      </c>
      <c r="E783" s="10" t="inlineStr">
        <is>
          <t>https://www.azumuta.com/en/how-it-works/learning-management-system/</t>
        </is>
      </c>
      <c r="F783" t="inlineStr">
        <is>
          <t>azumuta.com/en/how-it-works/learning-management-system</t>
        </is>
      </c>
      <c r="G783" s="1" t="inlineStr">
        <is>
          <t>Train your employees with digital work instructions and checklists, using images and video to document processes. Track operator skill level and gain instant visibility into the skill set of your workforce.
Bring employees onboard more efficiently with self-learning and on-the-job learning.</t>
        </is>
      </c>
      <c r="H783" s="1" t="inlineStr">
        <is>
          <t>I'm not part of any EdTech association</t>
        </is>
      </c>
      <c r="I783" s="1" t="n"/>
      <c r="J783" s="1" t="inlineStr">
        <is>
          <t>Ghent</t>
        </is>
      </c>
      <c r="K783" t="inlineStr">
        <is>
          <t>Ghent</t>
        </is>
      </c>
      <c r="L783" t="inlineStr">
        <is>
          <t>Ghent, Belgium</t>
        </is>
      </c>
      <c r="M783" t="n">
        <v>51.0538286</v>
      </c>
      <c r="N783" t="n">
        <v>3.7250121</v>
      </c>
      <c r="O783" s="1" t="inlineStr">
        <is>
          <t>Belgium</t>
        </is>
      </c>
      <c r="P783" s="1" t="inlineStr">
        <is>
          <t>Belgium, Bulgaria, Croatia, Denmark, Finland, France, Germany, Greece, Hungary, Ireland, Italy, Luxembourg, Netherlands, Norway, Poland, Portugal, Slovakia, Slovenia, Spain, Sweden, Switzerland, Turkey, United Kingdom</t>
        </is>
      </c>
      <c r="Q783" s="1" t="inlineStr">
        <is>
          <t>11 to 50</t>
        </is>
      </c>
      <c r="R783" t="inlineStr">
        <is>
          <t>Small</t>
        </is>
      </c>
      <c r="S783" s="1" t="inlineStr">
        <is>
          <t>Business to Business</t>
        </is>
      </c>
      <c r="T783" s="1" t="inlineStr">
        <is>
          <t>Corporate Training, Lifelong learning/Adult education</t>
        </is>
      </c>
      <c r="U783" s="1" t="inlineStr">
        <is>
          <t>Teacher interfacing, Student interfacing, System/Administrative</t>
        </is>
      </c>
      <c r="V783" s="10" t="inlineStr">
        <is>
          <t>Azumuta</t>
        </is>
      </c>
      <c r="W783" s="10" t="inlineStr">
        <is>
          <t>Train your employees with digital work instructions and checklists, using images and video to document processes. Track operator skill level and gain instant visibility into the skill set of your workforce.
Bring employees onboard more efficiently with self-learning and on-the-job learning.</t>
        </is>
      </c>
      <c r="X783" s="10" t="inlineStr">
        <is>
          <t>https://drive.google.com/uc?export=view&amp;id=1c3pBPGmkOwR9Dk3XSQe7ObvfVehdlli9</t>
        </is>
      </c>
      <c r="Y783" t="inlineStr">
        <is>
          <t>https://drive.google.com/uc?export=view&amp;id=1c3pBPGmkOwR9Dk3XSQe7ObvfVehdlli9</t>
        </is>
      </c>
      <c r="Z783" s="1" t="inlineStr">
        <is>
          <t>https://drive.google.com/uc?export=view&amp;id=1c3pBPGmkOwR9Dk3XSQe7ObvfVehdlli9</t>
        </is>
      </c>
      <c r="AA783" s="1" t="inlineStr">
        <is>
          <t>Unverified</t>
        </is>
      </c>
      <c r="AB783" s="1" t="n"/>
      <c r="AC783" s="1" t="n"/>
      <c r="AD783" s="10" t="n"/>
      <c r="AE783" s="1" t="n"/>
      <c r="AF783" t="inlineStr">
        <is>
          <t>Yes</t>
        </is>
      </c>
      <c r="AG783" t="inlineStr">
        <is>
          <t>https://www.instagram.com/azumuta</t>
        </is>
      </c>
      <c r="AH783" t="inlineStr">
        <is>
          <t>https://twitter.com/azumuta</t>
        </is>
      </c>
      <c r="AI783" t="inlineStr">
        <is>
          <t>https://www.linkedin.com/company/azumuta/</t>
        </is>
      </c>
    </row>
    <row r="784" ht="12.5" customHeight="1">
      <c r="A784" s="6" t="n">
        <v>45181</v>
      </c>
      <c r="B784" s="1" t="inlineStr">
        <is>
          <t>ORG_1844</t>
        </is>
      </c>
      <c r="C784" s="1" t="b">
        <v>1</v>
      </c>
      <c r="D784" s="1" t="inlineStr">
        <is>
          <t>LearnWorlds (CY) Ltd</t>
        </is>
      </c>
      <c r="E784" s="10" t="inlineStr">
        <is>
          <t>www.learnworlds.com</t>
        </is>
      </c>
      <c r="F784" t="inlineStr">
        <is>
          <t>learnworlds.com</t>
        </is>
      </c>
      <c r="G784" s="1" t="inlineStr">
        <is>
          <t>LearnWorlds is a powerful, easy-to-use, and reliable training solution for individuals and enterprises.
A fully customizable, white-label solution to train employees and associates, educate customers, or sell online courses to a wide audience. Our cloud-based e-learning platform offers to Professionals, Entrepreneurs &amp; Training Managers a solution tailored to their specific needs and a team of experts to help achieve your goals.</t>
        </is>
      </c>
      <c r="H784" s="1" t="inlineStr">
        <is>
          <t>I'm not part of any EdTech association</t>
        </is>
      </c>
      <c r="I784" s="1" t="n"/>
      <c r="J784" s="1" t="inlineStr">
        <is>
          <t>Limassol</t>
        </is>
      </c>
      <c r="K784" t="inlineStr">
        <is>
          <t>Limassol</t>
        </is>
      </c>
      <c r="L784" t="inlineStr">
        <is>
          <t>Limassol, Cyprus</t>
        </is>
      </c>
      <c r="M784" t="n">
        <v>34.6852901</v>
      </c>
      <c r="N784" t="n">
        <v>33.0332657</v>
      </c>
      <c r="O784" s="1" t="inlineStr">
        <is>
          <t>Cyprus</t>
        </is>
      </c>
      <c r="P78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784" s="1" t="inlineStr">
        <is>
          <t>100+</t>
        </is>
      </c>
      <c r="R784" t="inlineStr">
        <is>
          <t>Medium or Large (unspecified)</t>
        </is>
      </c>
      <c r="S784" s="1" t="inlineStr">
        <is>
          <t>Business to Business, Business to Consumer, Business to Government, Business to Schools</t>
        </is>
      </c>
      <c r="T784" s="1" t="inlineStr">
        <is>
          <t>Early childhood development (0-5 years), Primary Education, Secondary Education, Higher Education, Corporate Training, Lifelong learning/Adult education</t>
        </is>
      </c>
      <c r="U784" s="1" t="inlineStr">
        <is>
          <t>System/Administrative, Student interfacing, Teacher interfacing</t>
        </is>
      </c>
      <c r="V784" s="1" t="n"/>
      <c r="W784" s="1" t="n"/>
      <c r="X784" s="1" t="n"/>
      <c r="Z784" s="1" t="n"/>
      <c r="AA784" s="1" t="inlineStr">
        <is>
          <t>Unverified</t>
        </is>
      </c>
      <c r="AB784" s="1" t="n"/>
      <c r="AC784" s="1" t="n"/>
      <c r="AD784" s="1" t="n"/>
      <c r="AE784" s="1" t="n"/>
      <c r="AF784" t="inlineStr">
        <is>
          <t>No</t>
        </is>
      </c>
    </row>
    <row r="785" ht="12.5" customHeight="1">
      <c r="A785" s="6" t="n">
        <v>45181</v>
      </c>
      <c r="B785" s="1" t="inlineStr">
        <is>
          <t>ORG_1127</t>
        </is>
      </c>
      <c r="C785" s="1" t="b">
        <v>1</v>
      </c>
      <c r="D785" s="1" t="inlineStr">
        <is>
          <t>Automatus</t>
        </is>
      </c>
      <c r="E785" s="10" t="inlineStr">
        <is>
          <t>https://automatus.be/</t>
        </is>
      </c>
      <c r="F785" t="inlineStr">
        <is>
          <t>automatus.be</t>
        </is>
      </c>
      <c r="G785" s="1" t="inlineStr">
        <is>
          <t>Super adaptive &amp; fun exercises for primary school kids that help closing the learning gap</t>
        </is>
      </c>
      <c r="H785" s="1" t="inlineStr">
        <is>
          <t>edtechstation</t>
        </is>
      </c>
      <c r="I785" s="1" t="inlineStr">
        <is>
          <t>Dutch</t>
        </is>
      </c>
      <c r="J785" s="1" t="inlineStr">
        <is>
          <t>Hasselt</t>
        </is>
      </c>
      <c r="K785" t="inlineStr">
        <is>
          <t>Hasselt</t>
        </is>
      </c>
      <c r="L785" t="inlineStr">
        <is>
          <t>Hasselt, Belgium</t>
        </is>
      </c>
      <c r="M785" t="n">
        <v>50.9303735</v>
      </c>
      <c r="N785" t="n">
        <v>5.3378043</v>
      </c>
      <c r="O785" s="1" t="inlineStr">
        <is>
          <t>Belgium</t>
        </is>
      </c>
      <c r="P785" s="1" t="inlineStr">
        <is>
          <t>Belgium, Netherlands</t>
        </is>
      </c>
      <c r="Q785" s="1" t="inlineStr">
        <is>
          <t>0 to 2</t>
        </is>
      </c>
      <c r="R785" t="inlineStr">
        <is>
          <t>Solo entrepreneur</t>
        </is>
      </c>
      <c r="S785" s="1" t="inlineStr">
        <is>
          <t>Business to Schools</t>
        </is>
      </c>
      <c r="T785" s="1" t="inlineStr">
        <is>
          <t>Primary Education</t>
        </is>
      </c>
      <c r="U785" s="1" t="inlineStr">
        <is>
          <t>Teacher interfacing</t>
        </is>
      </c>
      <c r="V785" s="1" t="inlineStr">
        <is>
          <t>Automatus</t>
        </is>
      </c>
      <c r="W785" s="1" t="inlineStr">
        <is>
          <t>Conquer the lands of Automatus together!
Automatus is a new app to train math fluency in a playful way.
The whole class needs to work together to conquer the lands of Automatus.
Through adaptive target times every child can help his class to become the ruler of automatus.
Do you dare to take on this challenge? Start your free trail today!</t>
        </is>
      </c>
      <c r="X785" s="10" t="inlineStr">
        <is>
          <t>https://drive.google.com/uc?export=view&amp;id=1drAXtOuKAjv_fNf8QSXIMGJpttPiRC14</t>
        </is>
      </c>
      <c r="Y785" t="inlineStr">
        <is>
          <t>https://drive.google.com/uc?export=view&amp;id=1drAXtOuKAjv_fNf8QSXIMGJpttPiRC14</t>
        </is>
      </c>
      <c r="Z785" s="1" t="inlineStr">
        <is>
          <t>https://drive.google.com/uc?export=view&amp;id=1drAXtOuKAjv_fNf8QSXIMGJpttPiRC14</t>
        </is>
      </c>
      <c r="AA785" s="1" t="inlineStr">
        <is>
          <t>Unverified</t>
        </is>
      </c>
      <c r="AB785" s="1" t="n"/>
      <c r="AC785" s="1" t="n"/>
      <c r="AD785" s="10" t="n"/>
      <c r="AE785" s="1" t="n"/>
      <c r="AF785" t="inlineStr">
        <is>
          <t>Yes</t>
        </is>
      </c>
      <c r="AG785" t="inlineStr">
        <is>
          <t>https://www.linkedin.com/company/automatus-edu/</t>
        </is>
      </c>
      <c r="AH785" t="inlineStr">
        <is>
          <t>https://www.linkedin.com/company/automatus-edu/</t>
        </is>
      </c>
      <c r="AI785" t="inlineStr">
        <is>
          <t>https://www.linkedin.com/company/automatus-edu/</t>
        </is>
      </c>
    </row>
    <row r="786" ht="12.5" customHeight="1">
      <c r="A786" s="6" t="n">
        <v>45181</v>
      </c>
      <c r="B786" s="1" t="inlineStr">
        <is>
          <t>ORG_1003</t>
        </is>
      </c>
      <c r="C786" s="1" t="b">
        <v>1</v>
      </c>
      <c r="D786" s="1" t="inlineStr">
        <is>
          <t>10 Academy</t>
        </is>
      </c>
      <c r="E786" s="10" t="inlineStr">
        <is>
          <t>10academy.org</t>
        </is>
      </c>
      <c r="F786" t="inlineStr">
        <is>
          <t>10academy.org</t>
        </is>
      </c>
      <c r="G786" s="1" t="inlineStr">
        <is>
          <t>10 Academy is a not-for-profit community-owned initiative that has developed scalable, financially sustainable, and effective training programs to place young Africans into careers for the 4th Industrial Revolution.</t>
        </is>
      </c>
      <c r="H786" s="1" t="inlineStr">
        <is>
          <t>I'm not part of any EdTech association</t>
        </is>
      </c>
      <c r="I786" s="1" t="n"/>
      <c r="J786" s="1" t="inlineStr">
        <is>
          <t>Berlin</t>
        </is>
      </c>
      <c r="K786" t="inlineStr">
        <is>
          <t>Berlin</t>
        </is>
      </c>
      <c r="L786" t="inlineStr">
        <is>
          <t>Berlin, Germany</t>
        </is>
      </c>
      <c r="M786" t="n">
        <v>52.5173885</v>
      </c>
      <c r="N786" t="n">
        <v>13.3951309</v>
      </c>
      <c r="O786" s="1" t="inlineStr">
        <is>
          <t>Germany</t>
        </is>
      </c>
      <c r="P786" s="1" t="inlineStr">
        <is>
          <t>Germany</t>
        </is>
      </c>
      <c r="Q786" s="1" t="inlineStr">
        <is>
          <t>11 to 50</t>
        </is>
      </c>
      <c r="R786" t="inlineStr">
        <is>
          <t>Small</t>
        </is>
      </c>
      <c r="S786" s="1" t="inlineStr">
        <is>
          <t>Business to Consumer</t>
        </is>
      </c>
      <c r="T786" s="1" t="inlineStr">
        <is>
          <t>Higher Education, Corporate Training</t>
        </is>
      </c>
      <c r="U786" s="1" t="inlineStr">
        <is>
          <t>System/Administrative</t>
        </is>
      </c>
      <c r="V786" s="1" t="n"/>
      <c r="W786" s="1" t="inlineStr">
        <is>
          <t>https://drive.google.com/uc?export=view&amp;id=14Li43vYRdPTZpkMIkjsRDYHF43tWKPzV</t>
        </is>
      </c>
      <c r="X786" s="1" t="inlineStr">
        <is>
          <t>https://drive.google.com/uc?export=view&amp;id=14Li43vYRdPTZpkMIkjsRDYHF43tWKPzV</t>
        </is>
      </c>
      <c r="Y786" t="inlineStr">
        <is>
          <t>https://drive.google.com/uc?export=view&amp;id=14Li43vYRdPTZpkMIkjsRDYHF43tWKPzV</t>
        </is>
      </c>
      <c r="Z786" s="1" t="inlineStr">
        <is>
          <t>https://drive.google.com/uc?export=view&amp;id=14Li43vYRdPTZpkMIkjsRDYHF43tWKPzV</t>
        </is>
      </c>
      <c r="AA786" s="1" t="inlineStr">
        <is>
          <t>Unverified</t>
        </is>
      </c>
      <c r="AB786" s="1" t="n"/>
      <c r="AC786" s="1" t="n"/>
      <c r="AD786" s="10" t="n"/>
      <c r="AE786" s="1" t="n"/>
      <c r="AF786" s="1" t="inlineStr">
        <is>
          <t>No</t>
        </is>
      </c>
      <c r="AG786" s="1" t="n"/>
    </row>
    <row r="787" ht="12.5" customHeight="1">
      <c r="A787" s="6" t="n">
        <v>45181</v>
      </c>
      <c r="B787" s="1" t="inlineStr">
        <is>
          <t>ORG_1081</t>
        </is>
      </c>
      <c r="C787" s="1" t="b">
        <v>1</v>
      </c>
      <c r="D787" s="1" t="inlineStr">
        <is>
          <t>AOZ Studio</t>
        </is>
      </c>
      <c r="E787" s="10" t="inlineStr">
        <is>
          <t>www.aoz.studio</t>
        </is>
      </c>
      <c r="F787" t="inlineStr">
        <is>
          <t>aoz.studio</t>
        </is>
      </c>
      <c r="G787" s="1" t="inlineStr">
        <is>
          <t>We are www.aoz.studio with a new and unique creative studio. A development platform to publish any app, game or website you can dream up, with zero coding experience. Zero!
Our goal is that everyone can start from scratch and create a first bug-free program in 15 minutes.
We created AOZ Studio with a mission, to help Kids and grown-ups understand, learn. 
The AOZ Studio team is made of game veterans, ... having founded several successful game and media company.</t>
        </is>
      </c>
      <c r="H787" s="1" t="inlineStr">
        <is>
          <t>EdTech France</t>
        </is>
      </c>
      <c r="I787" s="1" t="inlineStr">
        <is>
          <t>English, French</t>
        </is>
      </c>
      <c r="J787" s="1" t="inlineStr">
        <is>
          <t>Chemin De Favreuse</t>
        </is>
      </c>
      <c r="K787" t="inlineStr">
        <is>
          <t>Chemin De Favreuse</t>
        </is>
      </c>
      <c r="L787" t="inlineStr">
        <is>
          <t>Chemin De Favreuse, France</t>
        </is>
      </c>
      <c r="M787" t="n">
        <v>48.7434841</v>
      </c>
      <c r="N787" t="n">
        <v>2.1884241</v>
      </c>
      <c r="O787" s="1" t="inlineStr">
        <is>
          <t>France</t>
        </is>
      </c>
      <c r="P787" s="1" t="inlineStr">
        <is>
          <t>Belgium, Denmark, France, Germany, Greece, Ireland, Italy, Luxembourg, Monaco, Netherlands, Norway, Poland, Portugal, Spain, Sweden, Switzerland, United Kingdom</t>
        </is>
      </c>
      <c r="Q787" s="1" t="inlineStr">
        <is>
          <t>3 to 5</t>
        </is>
      </c>
      <c r="R787" t="inlineStr">
        <is>
          <t>Micro</t>
        </is>
      </c>
      <c r="S787" s="1" t="inlineStr">
        <is>
          <t>Business to Business, Business to Consumer</t>
        </is>
      </c>
      <c r="T787" s="1" t="inlineStr">
        <is>
          <t>Secondary Education, Corporate Training, Lifelong learning/Adult education</t>
        </is>
      </c>
      <c r="U787" s="1" t="inlineStr">
        <is>
          <t>System/Administrative, Student interfacing, Teacher interfacing</t>
        </is>
      </c>
      <c r="V787" s="10" t="inlineStr">
        <is>
          <t>AOZ STUDIO</t>
        </is>
      </c>
      <c r="W787" s="10" t="inlineStr">
        <is>
          <t>If you remember the BASIC language standard, it was easy to learn and use, we put it on steroids so that everyone can create casual or sophisticated games for PC, Smartphones,… but also Pro applications. 
It is free for kids and educational associations.
Companies such as LOREAL for example uses it even though we are still in beta. The French Ministry of National Education is deploying it in schools, we have a first State organizing a Game Contest, etc ...
Nowadays computer programming should be our second language, the needs are considerable. 
AOZ Studio is the only product to our knowledge that allows this.</t>
        </is>
      </c>
      <c r="X787" s="10" t="inlineStr">
        <is>
          <t>https://drive.google.com/uc?export=view&amp;id=15_IB2EPsBeULnDx-NXyD9JZyj8FnQ81L</t>
        </is>
      </c>
      <c r="Y787" t="inlineStr">
        <is>
          <t>https://drive.google.com/uc?export=view&amp;id=15_IB2EPsBeULnDx-NXyD9JZyj8FnQ81L</t>
        </is>
      </c>
      <c r="Z787" s="1" t="inlineStr">
        <is>
          <t>https://drive.google.com/uc?export=view&amp;id=15_IB2EPsBeULnDx-NXyD9JZyj8FnQ81L</t>
        </is>
      </c>
      <c r="AA787" s="1" t="inlineStr">
        <is>
          <t>Unverified</t>
        </is>
      </c>
      <c r="AB787" s="1" t="n"/>
      <c r="AC787" s="1" t="n"/>
      <c r="AD787" s="10" t="n"/>
      <c r="AE787" s="1" t="n"/>
      <c r="AF787" s="1" t="inlineStr">
        <is>
          <t>Yes</t>
        </is>
      </c>
      <c r="AG787" s="1" t="inlineStr">
        <is>
          <t>https://www.instagram.com/aozstudioofficial/</t>
        </is>
      </c>
      <c r="AH787" s="1" t="inlineStr">
        <is>
          <t>https://twitter.com/aoz_studio</t>
        </is>
      </c>
      <c r="AI787" s="1" t="inlineStr">
        <is>
          <t>https://www.linkedin.com/company/aoz-studio/</t>
        </is>
      </c>
      <c r="AJ787" s="1" t="n"/>
    </row>
    <row r="788" ht="12.5" customHeight="1">
      <c r="A788" s="6" t="n">
        <v>45181</v>
      </c>
      <c r="B788" s="1" t="inlineStr">
        <is>
          <t>ORG_1346</t>
        </is>
      </c>
      <c r="C788" s="1" t="b">
        <v>1</v>
      </c>
      <c r="D788" s="1" t="inlineStr">
        <is>
          <t>Didactech</t>
        </is>
      </c>
      <c r="E788" s="10" t="inlineStr">
        <is>
          <t>https://didactech.nl/</t>
        </is>
      </c>
      <c r="F788" t="inlineStr">
        <is>
          <t>didactech.nl</t>
        </is>
      </c>
      <c r="G788" s="1" t="inlineStr">
        <is>
          <t>We educate the educators about educational technology and media literacy, and build lessons with them.</t>
        </is>
      </c>
      <c r="H788" s="1" t="inlineStr">
        <is>
          <t>Dutch EdTech</t>
        </is>
      </c>
      <c r="I788" s="1" t="n"/>
      <c r="J788" s="1" t="inlineStr">
        <is>
          <t>Losser</t>
        </is>
      </c>
      <c r="K788" t="inlineStr">
        <is>
          <t>Losser</t>
        </is>
      </c>
      <c r="L788" t="inlineStr">
        <is>
          <t>Losser, The Netherlands</t>
        </is>
      </c>
      <c r="M788" t="n">
        <v>52.300289</v>
      </c>
      <c r="N788" t="n">
        <v>6.9881043</v>
      </c>
      <c r="O788" s="1" t="inlineStr">
        <is>
          <t>The Netherlands</t>
        </is>
      </c>
      <c r="P788" s="1" t="inlineStr">
        <is>
          <t>Belgium, Netherlands</t>
        </is>
      </c>
      <c r="Q788" s="1" t="inlineStr">
        <is>
          <t>0 to 10</t>
        </is>
      </c>
      <c r="R788" t="inlineStr">
        <is>
          <t>Micro</t>
        </is>
      </c>
      <c r="S788" s="1" t="inlineStr">
        <is>
          <t>Business to Business, Business to Consumer, Business to Government, Business to Schools</t>
        </is>
      </c>
      <c r="T788" s="1" t="inlineStr">
        <is>
          <t>Primary Education, Secondary Education, Higher Education</t>
        </is>
      </c>
      <c r="U788" s="1" t="inlineStr">
        <is>
          <t>Teacher interfacing, System/Administrative</t>
        </is>
      </c>
      <c r="V788" s="1" t="inlineStr">
        <is>
          <t>Training: Educational Technologist</t>
        </is>
      </c>
      <c r="W788" s="1" t="inlineStr">
        <is>
          <t>In 9 modules we learn teachers about;
- Digital tools
- Multimedia learning
- Graphic design
- Gamification
- Virtual reality
- Augmented reality
- Artificial intelligence
- Computational thinking
and Media literacy and how to use it directly into their lessons.</t>
        </is>
      </c>
      <c r="X788" s="10" t="inlineStr">
        <is>
          <t>Workshops</t>
        </is>
      </c>
      <c r="Y788" t="inlineStr">
        <is>
          <t>We give workshops to teachers about;
- Digital tools
- Multimedia learning
- Graphic design
- Gamification
- Virtual reality
- Augmented reality
- Artificial intelligence
- Computational thinking
- Media literacy 
- Microsoft 365
and Minecraft Education Edition</t>
        </is>
      </c>
      <c r="Z788" s="1" t="inlineStr">
        <is>
          <t>https://drive.google.com/uc?export=view&amp;id=18wr-j_HvN8uM6ZF_ZIQqDsRM3wwulr6J</t>
        </is>
      </c>
      <c r="AA788" s="1" t="inlineStr">
        <is>
          <t>Unverified</t>
        </is>
      </c>
      <c r="AB788" s="1" t="n"/>
      <c r="AC788" s="1" t="n"/>
      <c r="AD788" s="10" t="n"/>
      <c r="AE788" s="1" t="n"/>
      <c r="AF788" t="inlineStr">
        <is>
          <t>Yes</t>
        </is>
      </c>
      <c r="AG788" t="inlineStr">
        <is>
          <t>https://www.linkedin.com/company/didactechnl/</t>
        </is>
      </c>
      <c r="AH788" t="inlineStr">
        <is>
          <t>https://www.linkedin.com/company/didactechnl/</t>
        </is>
      </c>
      <c r="AI788" t="inlineStr">
        <is>
          <t>https://www.linkedin.com/company/didactechnl/</t>
        </is>
      </c>
    </row>
    <row r="789" ht="12.5" customHeight="1">
      <c r="A789" s="6" t="n">
        <v>45181</v>
      </c>
      <c r="B789" s="1" t="inlineStr">
        <is>
          <t>ORG_1001</t>
        </is>
      </c>
      <c r="C789" s="1" t="b">
        <v>1</v>
      </c>
      <c r="D789" s="1" t="inlineStr">
        <is>
          <t>01Talent</t>
        </is>
      </c>
      <c r="E789" s="10" t="inlineStr">
        <is>
          <t>www.01talent.com</t>
        </is>
      </c>
      <c r="F789" t="inlineStr">
        <is>
          <t>01talent.com</t>
        </is>
      </c>
      <c r="G789" s="1" t="inlineStr">
        <is>
          <t>01Talent is both a talent factory and a talent agency in Tech, which aims to identify, develop and connect to the professional world 1 million high-level developers worldwide by 2035 through the combination of a proven pedagogical model and a sustainable and exponential business model.
01Talent is based on 01Edu platform, the ultimate upgrade of the "peer-to-peer" (teacherless) and gamified pedagogical approach developed by Nicolas Sadirac and his team, an active learning platform designed to address the growing shortage of IT developers in the world.
This pedagogical model that develops entrepreneurial spirit, creativity and collective intelligence has already been deployed by our co-founder Nicolas Sadirac and his Alumni in more than 40 countries around the world, training more than 25,000 digital talents over the last 10 years.
Note: "01Talent" is pronounced "Zero one talent" and not "One talent".</t>
        </is>
      </c>
      <c r="H789" s="1" t="inlineStr">
        <is>
          <t>I'm not part of any EdTech association</t>
        </is>
      </c>
      <c r="I789" s="1" t="n"/>
      <c r="J789" s="1" t="inlineStr">
        <is>
          <t>Funchal - Madeira</t>
        </is>
      </c>
      <c r="K789" t="inlineStr">
        <is>
          <t>Funchal - Madeira</t>
        </is>
      </c>
      <c r="L789" t="inlineStr">
        <is>
          <t>Funchal - Madeira, Portugal</t>
        </is>
      </c>
      <c r="M789" t="n">
        <v>32.6496497</v>
      </c>
      <c r="N789" t="n">
        <v>-16.9086783</v>
      </c>
      <c r="O789" s="1" t="inlineStr">
        <is>
          <t>Portugal</t>
        </is>
      </c>
      <c r="P789" s="1" t="inlineStr">
        <is>
          <t>Estonia, Finland, France, Kazakhstan, United Kingdom</t>
        </is>
      </c>
      <c r="Q789" s="1" t="inlineStr">
        <is>
          <t>11 to 50</t>
        </is>
      </c>
      <c r="R789" t="inlineStr">
        <is>
          <t>Small</t>
        </is>
      </c>
      <c r="S789" s="1" t="inlineStr">
        <is>
          <t>Business to Business, Business to Government, Business to Schools</t>
        </is>
      </c>
      <c r="T789" s="1" t="inlineStr">
        <is>
          <t>Secondary Education, Higher Education, Corporate Training</t>
        </is>
      </c>
      <c r="U789" s="1" t="inlineStr">
        <is>
          <t>Student interfacing, System/Administrative</t>
        </is>
      </c>
      <c r="V789" s="1" t="n"/>
      <c r="W789" s="1" t="inlineStr">
        <is>
          <t>https://drive.google.com/uc?export=view&amp;id=1oEcSbcBQHOP5Df81ohvQv1XPasW4uuIb</t>
        </is>
      </c>
      <c r="X789" s="1" t="inlineStr">
        <is>
          <t>https://drive.google.com/uc?export=view&amp;id=1oEcSbcBQHOP5Df81ohvQv1XPasW4uuIb</t>
        </is>
      </c>
      <c r="Y789" t="inlineStr">
        <is>
          <t>https://drive.google.com/uc?export=view&amp;id=1oEcSbcBQHOP5Df81ohvQv1XPasW4uuIb</t>
        </is>
      </c>
      <c r="Z789" s="1" t="inlineStr">
        <is>
          <t>https://drive.google.com/uc?export=view&amp;id=1oEcSbcBQHOP5Df81ohvQv1XPasW4uuIb</t>
        </is>
      </c>
      <c r="AA789" s="1" t="inlineStr">
        <is>
          <t>Unverified</t>
        </is>
      </c>
      <c r="AB789" s="1" t="n"/>
      <c r="AC789" s="1" t="n"/>
      <c r="AD789" s="10" t="n"/>
      <c r="AE789" s="1" t="n"/>
      <c r="AF789" s="1" t="inlineStr">
        <is>
          <t>No</t>
        </is>
      </c>
      <c r="AG789" s="1" t="n"/>
      <c r="AH789" s="1" t="n"/>
      <c r="AI789" s="1" t="n"/>
      <c r="AJ789" s="1" t="n"/>
    </row>
    <row r="790" ht="12.5" customHeight="1">
      <c r="A790" s="6" t="n">
        <v>45181</v>
      </c>
      <c r="B790" s="1" t="inlineStr">
        <is>
          <t>ORG_1744</t>
        </is>
      </c>
      <c r="C790" s="1" t="b">
        <v>1</v>
      </c>
      <c r="D790" s="1" t="inlineStr">
        <is>
          <t>IST Norge AS</t>
        </is>
      </c>
      <c r="E790" s="10" t="inlineStr">
        <is>
          <t>https://www.ist.com/no/</t>
        </is>
      </c>
      <c r="F790" t="inlineStr">
        <is>
          <t>ist.com/no</t>
        </is>
      </c>
      <c r="G790" s="1" t="inlineStr">
        <is>
          <t>Enkle og smarte løsninger utviklet for fremtidens skole. Når du er i læringsbransjen trenger du gode verktøy for å oppnå store ting. Vi sørger for at du får dem. Med digitale løsninger for administrasjon, læring og planlegging gjør vi hverdagen enklere for elever, foresatte, lærere og ledere. Hver dag utgjør våre løsninger en forskjell for millioner av mennesker. Vi bygger fremtiden til EdTech!</t>
        </is>
      </c>
      <c r="H790" s="1" t="inlineStr">
        <is>
          <t>ICT Norway</t>
        </is>
      </c>
      <c r="I790" s="1" t="n"/>
      <c r="J790" s="1" t="inlineStr">
        <is>
          <t>Oslo</t>
        </is>
      </c>
      <c r="K790" t="inlineStr">
        <is>
          <t>Oslo</t>
        </is>
      </c>
      <c r="L790" t="inlineStr">
        <is>
          <t>Oslo, Norway</t>
        </is>
      </c>
      <c r="M790" t="n">
        <v>59.9067935</v>
      </c>
      <c r="N790" t="n">
        <v>10.7610162</v>
      </c>
      <c r="O790" s="1" t="inlineStr">
        <is>
          <t>Norway</t>
        </is>
      </c>
      <c r="P790" s="1" t="inlineStr">
        <is>
          <t>Denmark, Germany, Sweden</t>
        </is>
      </c>
      <c r="Q790" s="1" t="inlineStr">
        <is>
          <t>11 to 50</t>
        </is>
      </c>
      <c r="R790" t="inlineStr">
        <is>
          <t>Small</t>
        </is>
      </c>
      <c r="S790" s="1" t="inlineStr">
        <is>
          <t>Business to Business, Business to Consumer</t>
        </is>
      </c>
      <c r="T790" s="1" t="inlineStr">
        <is>
          <t>Early childhood development (0-5 years), Primary Education, Secondary Education, Higher Education</t>
        </is>
      </c>
      <c r="U790" s="1" t="inlineStr">
        <is>
          <t>System/Administrative, Student interfacing, Teacher interfacing</t>
        </is>
      </c>
      <c r="V790" s="1" t="inlineStr">
        <is>
          <t>IST Administrasjon</t>
        </is>
      </c>
      <c r="W790" s="1" t="inlineStr">
        <is>
          <t>IST Administration er en skybasert løsning som gir et bredt spekter av smarte og effektive verktøy for skoleadministrasjon på alle nivåer. Systemet er brukervennlig, rollebasert og tilbyr støtte gjennom alle prosesser – fra årsplanlegging til daglige administrative oppgaver. Automatiserte rutiner gir raskere og sikrere håndtering av oppgaver. Ved å registrere data sentralt og distribuere dem for lokal bruk, får du en sikker håndtering og høyere kvalitet på data. IST Administration er utviklet både for barnehage, grunnskole, videregående skole og SFO.</t>
        </is>
      </c>
      <c r="X790" s="10" t="n"/>
      <c r="Z790" s="1" t="n"/>
      <c r="AA790" s="1" t="inlineStr">
        <is>
          <t>Unverified</t>
        </is>
      </c>
      <c r="AB790" s="1" t="n"/>
      <c r="AC790" s="1" t="n"/>
      <c r="AD790" s="1" t="n"/>
      <c r="AE790" s="1" t="n"/>
      <c r="AF790" s="1" t="inlineStr">
        <is>
          <t>Yes</t>
        </is>
      </c>
      <c r="AG790" s="1" t="inlineStr">
        <is>
          <t>https://www.linkedin.com/company/509615/admin/</t>
        </is>
      </c>
      <c r="AH790" s="1" t="inlineStr">
        <is>
          <t>https://www.linkedin.com/company/509615/admin/</t>
        </is>
      </c>
      <c r="AI790" s="1" t="inlineStr">
        <is>
          <t>https://www.linkedin.com/company/509615/admin/</t>
        </is>
      </c>
      <c r="AJ790" s="1" t="n"/>
    </row>
    <row r="791" ht="12.5" customHeight="1">
      <c r="A791" s="6" t="n">
        <v>45181</v>
      </c>
      <c r="B791" s="1" t="inlineStr">
        <is>
          <t>ORG_2409</t>
        </is>
      </c>
      <c r="C791" s="1" t="b">
        <v>1</v>
      </c>
      <c r="D791" s="1" t="inlineStr">
        <is>
          <t>THIRDROOM</t>
        </is>
      </c>
      <c r="E791" s="10" t="inlineStr">
        <is>
          <t>thirdroom.org</t>
        </is>
      </c>
      <c r="F791" t="inlineStr">
        <is>
          <t>thirdroom.org</t>
        </is>
      </c>
      <c r="G791" s="1" t="inlineStr">
        <is>
          <t>Thirdroom is a digital community platform based on Nordic Tech principles. Thirdroom specialises in open and collaborative science and innovation from students and researchers to start-ups and corporates with scalable and global solutions, and specialises in AI match-making, networking and collaborative infrastructures.</t>
        </is>
      </c>
      <c r="H791" s="1" t="inlineStr">
        <is>
          <t>EdTech Denmark</t>
        </is>
      </c>
      <c r="I791" s="1" t="n"/>
      <c r="J791" s="1" t="inlineStr">
        <is>
          <t>Copenhagen</t>
        </is>
      </c>
      <c r="K791" t="inlineStr">
        <is>
          <t>Copenhagen</t>
        </is>
      </c>
      <c r="L791" t="inlineStr">
        <is>
          <t>Copenhagen, Denmark</t>
        </is>
      </c>
      <c r="M791" t="n">
        <v>55.6867243</v>
      </c>
      <c r="N791" t="n">
        <v>12.5700724</v>
      </c>
      <c r="O791" s="1" t="inlineStr">
        <is>
          <t>Denmark</t>
        </is>
      </c>
      <c r="P791" s="1" t="inlineStr">
        <is>
          <t>Denmark</t>
        </is>
      </c>
      <c r="Q791" s="1" t="inlineStr">
        <is>
          <t>0 to 10</t>
        </is>
      </c>
      <c r="R791" t="inlineStr">
        <is>
          <t>Micro</t>
        </is>
      </c>
      <c r="S791" s="1" t="inlineStr">
        <is>
          <t>Business to Business, Business to Schools</t>
        </is>
      </c>
      <c r="T791" s="1" t="inlineStr">
        <is>
          <t>Higher Education, Corporate Training, Lifelong learning/Adult education</t>
        </is>
      </c>
      <c r="U791" s="1" t="inlineStr">
        <is>
          <t>Student interfacing, Teacher interfacing, System/Administrative</t>
        </is>
      </c>
      <c r="V791" s="1" t="n"/>
      <c r="W791" s="1" t="inlineStr">
        <is>
          <t>https://drive.google.com/uc?export=view&amp;id=1eJbX5AmZT7uh0wWV-qK3lhTJ6O1YXhg_</t>
        </is>
      </c>
      <c r="X791" s="1" t="inlineStr">
        <is>
          <t>https://drive.google.com/uc?export=view&amp;id=1eJbX5AmZT7uh0wWV-qK3lhTJ6O1YXhg_</t>
        </is>
      </c>
      <c r="Y791" t="inlineStr">
        <is>
          <t>https://drive.google.com/uc?export=view&amp;id=1eJbX5AmZT7uh0wWV-qK3lhTJ6O1YXhg_</t>
        </is>
      </c>
      <c r="Z791" s="1" t="inlineStr">
        <is>
          <t>https://drive.google.com/uc?export=view&amp;id=1eJbX5AmZT7uh0wWV-qK3lhTJ6O1YXhg_</t>
        </is>
      </c>
      <c r="AA791" s="1" t="inlineStr">
        <is>
          <t>Unverified</t>
        </is>
      </c>
      <c r="AB791" s="1" t="n"/>
      <c r="AC791" s="1" t="n"/>
      <c r="AD791" s="10" t="n"/>
      <c r="AE791" s="1" t="n"/>
      <c r="AF791" t="inlineStr">
        <is>
          <t>No</t>
        </is>
      </c>
    </row>
    <row r="792" ht="12.5" customHeight="1">
      <c r="A792" s="6" t="n">
        <v>45181</v>
      </c>
      <c r="B792" s="1" t="inlineStr">
        <is>
          <t>ORG_1372</t>
        </is>
      </c>
      <c r="C792" s="1" t="b">
        <v>1</v>
      </c>
      <c r="D792" s="1" t="inlineStr">
        <is>
          <t>DoctorateHub</t>
        </is>
      </c>
      <c r="E792" s="10" t="inlineStr">
        <is>
          <t>https://www.doctoratehub.com/</t>
        </is>
      </c>
      <c r="F792" t="inlineStr">
        <is>
          <t>doctoratehub.com</t>
        </is>
      </c>
      <c r="G792" s="1" t="inlineStr">
        <is>
          <t>DoctorateHub is an online mentoring community that provides relevant advice to doctoral students on what to do next and how to do it quickly.</t>
        </is>
      </c>
      <c r="H792" s="1" t="inlineStr">
        <is>
          <t>SuperCharger Ventures</t>
        </is>
      </c>
      <c r="I792" s="1" t="n"/>
      <c r="J792" s="1" t="inlineStr">
        <is>
          <t>Vila Nova De Gaia</t>
        </is>
      </c>
      <c r="K792" t="inlineStr">
        <is>
          <t>Vila Nova De Gaia</t>
        </is>
      </c>
      <c r="L792" t="inlineStr">
        <is>
          <t>Vila Nova De Gaia, Portugal</t>
        </is>
      </c>
      <c r="M792" t="n">
        <v>41.1292264</v>
      </c>
      <c r="N792" t="n">
        <v>-8.6057396</v>
      </c>
      <c r="O792" s="1" t="inlineStr">
        <is>
          <t>Portugal</t>
        </is>
      </c>
      <c r="P792" s="1" t="inlineStr">
        <is>
          <t>Denmark, Germany, Ireland, Spain, Switzerland, United Kingdom</t>
        </is>
      </c>
      <c r="Q792" s="1" t="inlineStr">
        <is>
          <t>0 to 10</t>
        </is>
      </c>
      <c r="R792" t="inlineStr">
        <is>
          <t>Micro</t>
        </is>
      </c>
      <c r="S792" s="1" t="inlineStr">
        <is>
          <t>Business to Business, Business to Consumer</t>
        </is>
      </c>
      <c r="T792" s="1" t="inlineStr">
        <is>
          <t>Corporate Training, Lifelong learning/Adult education</t>
        </is>
      </c>
      <c r="U792" s="1" t="inlineStr">
        <is>
          <t>Student interfacing, System/Administrative</t>
        </is>
      </c>
      <c r="V792" s="1" t="n"/>
      <c r="W792" s="1" t="inlineStr">
        <is>
          <t>https://drive.google.com/uc?export=view&amp;id=11HsBW9G0izPFfixDKJ_edT_Q2Kg2YEyN</t>
        </is>
      </c>
      <c r="X792" s="1" t="inlineStr">
        <is>
          <t>https://drive.google.com/uc?export=view&amp;id=11HsBW9G0izPFfixDKJ_edT_Q2Kg2YEyN</t>
        </is>
      </c>
      <c r="Y792" t="inlineStr">
        <is>
          <t>https://drive.google.com/uc?export=view&amp;id=11HsBW9G0izPFfixDKJ_edT_Q2Kg2YEyN</t>
        </is>
      </c>
      <c r="Z792" s="1" t="inlineStr">
        <is>
          <t>https://drive.google.com/uc?export=view&amp;id=11HsBW9G0izPFfixDKJ_edT_Q2Kg2YEyN</t>
        </is>
      </c>
      <c r="AA792" s="1" t="inlineStr">
        <is>
          <t>Unverified</t>
        </is>
      </c>
      <c r="AB792" s="1" t="n"/>
      <c r="AC792" s="1" t="n"/>
      <c r="AD792" s="10" t="n"/>
      <c r="AE792" s="1" t="n"/>
      <c r="AF792" t="inlineStr">
        <is>
          <t>No</t>
        </is>
      </c>
    </row>
    <row r="793" ht="12.5" customHeight="1">
      <c r="A793" s="6" t="n">
        <v>45181</v>
      </c>
      <c r="B793" s="1" t="inlineStr">
        <is>
          <t>ORG_2238</t>
        </is>
      </c>
      <c r="C793" s="1" t="b">
        <v>1</v>
      </c>
      <c r="D793" s="1" t="inlineStr">
        <is>
          <t>Signpost</t>
        </is>
      </c>
      <c r="E793" s="10" t="inlineStr">
        <is>
          <t>www.signpost.eu</t>
        </is>
      </c>
      <c r="F793" t="inlineStr">
        <is>
          <t>signpost.eu</t>
        </is>
      </c>
      <c r="G793" s="1" t="inlineStr">
        <is>
          <t>Signpost is the European ICT Partner for Education.
Our goal is to serve educational institutions, schools, employees, teachers, and students. Education is all we do. We know the sector and its peculiarities very well and take good care of its IT needs.</t>
        </is>
      </c>
      <c r="H793" s="1" t="inlineStr">
        <is>
          <t>I'm not part of any EdTech association</t>
        </is>
      </c>
      <c r="I793" s="1" t="n"/>
      <c r="J793" s="1" t="inlineStr">
        <is>
          <t>Lokeren</t>
        </is>
      </c>
      <c r="K793" t="inlineStr">
        <is>
          <t>Lokeren</t>
        </is>
      </c>
      <c r="L793" t="inlineStr">
        <is>
          <t>Lokeren, Belgium</t>
        </is>
      </c>
      <c r="M793" t="n">
        <v>51.1044488</v>
      </c>
      <c r="N793" t="n">
        <v>3.9898689</v>
      </c>
      <c r="O793" s="1" t="inlineStr">
        <is>
          <t>Belgium</t>
        </is>
      </c>
      <c r="P793" s="1" t="inlineStr">
        <is>
          <t>Belgium, France, Netherlands, Spain</t>
        </is>
      </c>
      <c r="Q793" s="1" t="inlineStr">
        <is>
          <t>100+</t>
        </is>
      </c>
      <c r="R793" t="inlineStr">
        <is>
          <t>Medium or Large (unspecified)</t>
        </is>
      </c>
      <c r="S793" s="1" t="inlineStr">
        <is>
          <t>Business to Business</t>
        </is>
      </c>
      <c r="T793" s="1" t="inlineStr">
        <is>
          <t>Early childhood development (0-5 years), Primary Education, Secondary Education, Higher Education</t>
        </is>
      </c>
      <c r="U793" s="1" t="inlineStr">
        <is>
          <t>Student interfacing, Teacher interfacing</t>
        </is>
      </c>
      <c r="V793" s="1" t="inlineStr">
        <is>
          <t>BYOD projects for schools</t>
        </is>
      </c>
      <c r="W793" s="1" t="inlineStr">
        <is>
          <t>Servicing of schools in laptop projects for students</t>
        </is>
      </c>
      <c r="X793" s="10" t="inlineStr">
        <is>
          <t>https://drive.google.com/uc?export=view&amp;id=15COuXar2WIG37p919rJuC6Q-l5emfWVA</t>
        </is>
      </c>
      <c r="Y793" t="inlineStr">
        <is>
          <t>https://drive.google.com/uc?export=view&amp;id=15COuXar2WIG37p919rJuC6Q-l5emfWVA</t>
        </is>
      </c>
      <c r="Z793" s="1" t="inlineStr">
        <is>
          <t>https://drive.google.com/uc?export=view&amp;id=15COuXar2WIG37p919rJuC6Q-l5emfWVA</t>
        </is>
      </c>
      <c r="AA793" s="1" t="inlineStr">
        <is>
          <t>Unverified</t>
        </is>
      </c>
      <c r="AB793" s="1" t="n"/>
      <c r="AC793" s="1" t="n"/>
      <c r="AD793" s="10" t="n"/>
      <c r="AE793" s="1" t="n"/>
      <c r="AF793" s="1" t="inlineStr">
        <is>
          <t>Yes</t>
        </is>
      </c>
      <c r="AG793" s="1" t="inlineStr">
        <is>
          <t>https://www.linkedin.com/company/1739838/admin/notifications/all/</t>
        </is>
      </c>
      <c r="AH793" s="1" t="inlineStr">
        <is>
          <t>https://www.linkedin.com/company/1739838/admin/notifications/all/</t>
        </is>
      </c>
      <c r="AI793" s="1" t="inlineStr">
        <is>
          <t>https://www.linkedin.com/company/1739838/admin/notifications/all/</t>
        </is>
      </c>
      <c r="AJ793" s="1" t="n"/>
    </row>
    <row r="794" ht="12.5" customHeight="1">
      <c r="A794" s="6" t="n">
        <v>45181</v>
      </c>
      <c r="B794" s="1" t="inlineStr">
        <is>
          <t>ORG_1092</t>
        </is>
      </c>
      <c r="C794" s="1" t="b">
        <v>1</v>
      </c>
      <c r="D794" s="1" t="inlineStr">
        <is>
          <t>Arduino Education</t>
        </is>
      </c>
      <c r="E794" s="10" t="inlineStr">
        <is>
          <t>https://www.arduino.cc/education</t>
        </is>
      </c>
      <c r="F794" t="inlineStr">
        <is>
          <t>arduino.cc/education</t>
        </is>
      </c>
      <c r="G794" s="1" t="inlineStr">
        <is>
          <t>Arduino Education is committed to empowering the scientists, engineers and artists of the future by providing them with the best set of tools to learn, grow and innovate. Arduino Education's learning solutions help students progress through STEAM from middle school to university, increasing in complexity to challenge them as they develop their skills.</t>
        </is>
      </c>
      <c r="H794" s="1" t="inlineStr">
        <is>
          <t>I'm not part of any EdTech association</t>
        </is>
      </c>
      <c r="I794" s="1" t="n"/>
      <c r="J794" s="1" t="inlineStr">
        <is>
          <t>Malmö</t>
        </is>
      </c>
      <c r="K794" t="inlineStr">
        <is>
          <t>Malmö</t>
        </is>
      </c>
      <c r="L794" t="inlineStr">
        <is>
          <t>Malmö, Sweden</t>
        </is>
      </c>
      <c r="M794" t="n">
        <v>55.6052931</v>
      </c>
      <c r="N794" t="n">
        <v>13.0001566</v>
      </c>
      <c r="O794" s="1" t="inlineStr">
        <is>
          <t>Sweden</t>
        </is>
      </c>
      <c r="P79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794" s="1" t="inlineStr">
        <is>
          <t>100+</t>
        </is>
      </c>
      <c r="R794" t="inlineStr">
        <is>
          <t>Medium or Large (unspecified)</t>
        </is>
      </c>
      <c r="S794" s="1" t="inlineStr">
        <is>
          <t>Business to Business, Business to Consumer, Business to Government, Business to Schools</t>
        </is>
      </c>
      <c r="T794" s="1" t="inlineStr">
        <is>
          <t>Secondary Education, Higher Education, Corporate Training, Lifelong learning/Adult education</t>
        </is>
      </c>
      <c r="U794" s="1" t="inlineStr">
        <is>
          <t>System/Administrative, Student interfacing, Teacher interfacing</t>
        </is>
      </c>
      <c r="V794" s="1" t="n"/>
      <c r="W794" s="1" t="inlineStr">
        <is>
          <t>https://drive.google.com/uc?export=view&amp;id=1YMDsleMIZD80Z5fzMbzy1uDV335yitYZ</t>
        </is>
      </c>
      <c r="X794" s="1" t="inlineStr">
        <is>
          <t>https://drive.google.com/uc?export=view&amp;id=1YMDsleMIZD80Z5fzMbzy1uDV335yitYZ</t>
        </is>
      </c>
      <c r="Y794" t="inlineStr">
        <is>
          <t>https://drive.google.com/uc?export=view&amp;id=1YMDsleMIZD80Z5fzMbzy1uDV335yitYZ</t>
        </is>
      </c>
      <c r="Z794" s="1" t="inlineStr">
        <is>
          <t>https://drive.google.com/uc?export=view&amp;id=1YMDsleMIZD80Z5fzMbzy1uDV335yitYZ</t>
        </is>
      </c>
      <c r="AA794" s="1" t="inlineStr">
        <is>
          <t>Unverified</t>
        </is>
      </c>
      <c r="AB794" s="1" t="n"/>
      <c r="AC794" s="1" t="n"/>
      <c r="AD794" s="10" t="n"/>
      <c r="AE794" s="1" t="n"/>
      <c r="AF794" s="1" t="inlineStr">
        <is>
          <t>No</t>
        </is>
      </c>
      <c r="AG794" s="1" t="n"/>
      <c r="AH794" s="1" t="n"/>
    </row>
    <row r="795" ht="12.5" customHeight="1">
      <c r="A795" s="6" t="n">
        <v>45181</v>
      </c>
      <c r="B795" s="1" t="inlineStr">
        <is>
          <t>ORG_1580</t>
        </is>
      </c>
      <c r="C795" s="1" t="b">
        <v>1</v>
      </c>
      <c r="D795" s="1" t="inlineStr">
        <is>
          <t>FoxEducation Services SAS</t>
        </is>
      </c>
      <c r="E795" s="10" t="inlineStr">
        <is>
          <t>https://foxeducation.com/fr</t>
        </is>
      </c>
      <c r="F795" t="inlineStr">
        <is>
          <t>foxeducation.com/fr</t>
        </is>
      </c>
      <c r="G795" s="1" t="inlineStr">
        <is>
          <t>FoxEducation helps every educational institution taking the next step into the digital world. As a reliable partner to thousands of schools, daycare centers, boards and municipalities, we support your digitisation at every stage.</t>
        </is>
      </c>
      <c r="H795" s="1" t="inlineStr">
        <is>
          <t>EdTech France</t>
        </is>
      </c>
      <c r="I795" s="1" t="n"/>
      <c r="J795" s="1" t="inlineStr">
        <is>
          <t>Vienna</t>
        </is>
      </c>
      <c r="K795" t="inlineStr">
        <is>
          <t>Vienna</t>
        </is>
      </c>
      <c r="L795" t="inlineStr">
        <is>
          <t>Vienna, Austria</t>
        </is>
      </c>
      <c r="M795" t="n">
        <v>48.2083537</v>
      </c>
      <c r="N795" t="n">
        <v>16.3725042</v>
      </c>
      <c r="O795" s="1" t="inlineStr">
        <is>
          <t>Austria</t>
        </is>
      </c>
      <c r="P795" s="1" t="inlineStr">
        <is>
          <t>Austria, France, Germany, Italy, Spain, Switzerland, Turkey</t>
        </is>
      </c>
      <c r="Q795" s="1" t="inlineStr">
        <is>
          <t>0 to 10</t>
        </is>
      </c>
      <c r="R795" t="inlineStr">
        <is>
          <t>Micro</t>
        </is>
      </c>
      <c r="S795" s="1" t="inlineStr">
        <is>
          <t>Business to Business, Business to Government</t>
        </is>
      </c>
      <c r="T795" s="1" t="inlineStr">
        <is>
          <t>Early childhood development (0-5 years), Primary Education, Secondary Education, Higher Education</t>
        </is>
      </c>
      <c r="U795" s="1" t="inlineStr">
        <is>
          <t>Teacher interfacing</t>
        </is>
      </c>
      <c r="V795" s="10" t="inlineStr">
        <is>
          <t>SchoolFox</t>
        </is>
      </c>
      <c r="W795" s="1" t="inlineStr">
        <is>
          <t>SchoolFox is an integrated messenger, organiser and LMS. With file storage, group chats and video lessons. For all school types and age groups. This is how school works from anywhere!</t>
        </is>
      </c>
      <c r="X795" s="10" t="inlineStr">
        <is>
          <t>KidsFox</t>
        </is>
      </c>
      <c r="Y795" t="inlineStr">
        <is>
          <t>The Daycare-Messenger 3 in 1: Messenger, digital assistant and organisation. With cloud storage, video conference &amp; group chats. Especially for daycare centers and kindergartens.</t>
        </is>
      </c>
      <c r="Z795" s="1" t="inlineStr">
        <is>
          <t>https://drive.google.com/uc?export=view&amp;id=1q_3SDTgatc_qWNB_MCxUNABrcAe9dBjz</t>
        </is>
      </c>
      <c r="AA795" s="1" t="inlineStr">
        <is>
          <t>Unverified</t>
        </is>
      </c>
      <c r="AB795" s="1" t="n"/>
      <c r="AC795" s="1" t="n"/>
      <c r="AD795" s="10" t="n"/>
      <c r="AE795" s="1" t="n"/>
      <c r="AF795" s="1" t="inlineStr">
        <is>
          <t>Yes</t>
        </is>
      </c>
      <c r="AG795" s="1" t="inlineStr">
        <is>
          <t>https://www.instagram.com/foxeducation_fr/</t>
        </is>
      </c>
      <c r="AH795" s="1" t="inlineStr">
        <is>
          <t>https://www.linkedin.com/company/foxeducation-france/</t>
        </is>
      </c>
      <c r="AI795" s="1" t="inlineStr">
        <is>
          <t>https://www.linkedin.com/company/foxeducation-france/</t>
        </is>
      </c>
      <c r="AJ795" s="1" t="n"/>
    </row>
    <row r="796" ht="12.5" customHeight="1">
      <c r="A796" s="6" t="n">
        <v>45181</v>
      </c>
      <c r="B796" s="1" t="inlineStr">
        <is>
          <t>ORG_1687</t>
        </is>
      </c>
      <c r="C796" s="1" t="b">
        <v>1</v>
      </c>
      <c r="D796" s="1" t="inlineStr">
        <is>
          <t>HP-appen</t>
        </is>
      </c>
      <c r="E796" s="10" t="inlineStr">
        <is>
          <t>Hpappen.se</t>
        </is>
      </c>
      <c r="F796" t="inlineStr">
        <is>
          <t>hpappen.se</t>
        </is>
      </c>
      <c r="G796" s="1" t="inlineStr">
        <is>
          <t>HP-appen is an upcoming learning platform where student can prepare for the SweSAT exam (Högskoleprovet), a Swedish university admission exam with 100k test takers yearly.</t>
        </is>
      </c>
      <c r="H796" s="1" t="inlineStr">
        <is>
          <t>I'm not part of any EdTech association</t>
        </is>
      </c>
      <c r="I796" s="1" t="n"/>
      <c r="J796" s="1" t="inlineStr">
        <is>
          <t>Handen</t>
        </is>
      </c>
      <c r="K796" t="inlineStr">
        <is>
          <t>Handen</t>
        </is>
      </c>
      <c r="L796" t="inlineStr">
        <is>
          <t>Handen, Sweden</t>
        </is>
      </c>
      <c r="M796" t="n">
        <v>59.1676451</v>
      </c>
      <c r="N796" t="n">
        <v>18.1409008</v>
      </c>
      <c r="O796" s="1" t="inlineStr">
        <is>
          <t>Sweden</t>
        </is>
      </c>
      <c r="P796" s="1" t="inlineStr">
        <is>
          <t>Sweden</t>
        </is>
      </c>
      <c r="Q796" s="1" t="inlineStr">
        <is>
          <t>0 to 10</t>
        </is>
      </c>
      <c r="R796" t="inlineStr">
        <is>
          <t>Micro</t>
        </is>
      </c>
      <c r="S796" s="1" t="inlineStr">
        <is>
          <t>Business to Consumer</t>
        </is>
      </c>
      <c r="T796" s="1" t="inlineStr">
        <is>
          <t>Higher Education</t>
        </is>
      </c>
      <c r="U796" s="1" t="inlineStr">
        <is>
          <t>Student interfacing</t>
        </is>
      </c>
      <c r="V796" s="1" t="n"/>
      <c r="W796" s="1" t="inlineStr">
        <is>
          <t>https://drive.google.com/uc?export=view&amp;id=1NQnIfzFykDi1DSvhIjBsyUJng4L8bkFI</t>
        </is>
      </c>
      <c r="X796" s="1" t="inlineStr">
        <is>
          <t>https://drive.google.com/uc?export=view&amp;id=1NQnIfzFykDi1DSvhIjBsyUJng4L8bkFI</t>
        </is>
      </c>
      <c r="Y796" t="inlineStr">
        <is>
          <t>https://drive.google.com/uc?export=view&amp;id=1NQnIfzFykDi1DSvhIjBsyUJng4L8bkFI</t>
        </is>
      </c>
      <c r="Z796" s="1" t="inlineStr">
        <is>
          <t>https://drive.google.com/uc?export=view&amp;id=1NQnIfzFykDi1DSvhIjBsyUJng4L8bkFI</t>
        </is>
      </c>
      <c r="AA796" s="1" t="inlineStr">
        <is>
          <t>Unverified</t>
        </is>
      </c>
      <c r="AB796" s="1" t="n"/>
      <c r="AC796" s="1" t="n"/>
      <c r="AD796" s="10" t="n"/>
      <c r="AE796" s="1" t="n"/>
      <c r="AF796" s="1" t="inlineStr">
        <is>
          <t>No</t>
        </is>
      </c>
      <c r="AG796" s="1" t="n"/>
      <c r="AH796" s="1" t="n"/>
      <c r="AI796" s="1" t="n"/>
      <c r="AJ796" s="1" t="n"/>
    </row>
    <row r="797" ht="12.5" customHeight="1">
      <c r="A797" s="6" t="n">
        <v>45181</v>
      </c>
      <c r="B797" s="1" t="inlineStr">
        <is>
          <t>ORG_1975</t>
        </is>
      </c>
      <c r="C797" s="1" t="b">
        <v>1</v>
      </c>
      <c r="D797" s="1" t="inlineStr">
        <is>
          <t>Mobile Learning Labs</t>
        </is>
      </c>
      <c r="E797" s="10" t="inlineStr">
        <is>
          <t>www.ml-labs.com</t>
        </is>
      </c>
      <c r="F797" t="inlineStr">
        <is>
          <t>ml-labs.com</t>
        </is>
      </c>
      <c r="G797" s="1" t="inlineStr">
        <is>
          <t>Quizzer® is the perfect complement to seminars or web-based training when it comes to turning information into lasting knowledge. Other practical applications include employer branding.
The "learning is fun" approach of Quizzer® ensures high acceptance among employees and, although it is an optional training tool, encourages intensive use.
Quizzer is offered as a whitelabel solution and each customer uses individual apps and customised systems.
Quizzer® has been used for years in companies of various sizes, including associations, schools, training providers and also various DAX companies.</t>
        </is>
      </c>
      <c r="H797" s="1" t="inlineStr">
        <is>
          <t>I'm not part of any EdTech association</t>
        </is>
      </c>
      <c r="I797" s="1" t="n"/>
      <c r="J797" s="1" t="inlineStr">
        <is>
          <t>Berlin</t>
        </is>
      </c>
      <c r="K797" t="inlineStr">
        <is>
          <t>Berlin</t>
        </is>
      </c>
      <c r="L797" t="inlineStr">
        <is>
          <t>Berlin, Germany</t>
        </is>
      </c>
      <c r="M797" t="n">
        <v>52.5173885</v>
      </c>
      <c r="N797" t="n">
        <v>13.3951309</v>
      </c>
      <c r="O797" s="1" t="inlineStr">
        <is>
          <t>Germany</t>
        </is>
      </c>
      <c r="P797" s="1" t="inlineStr">
        <is>
          <t>Austria, Germany, Italy, Switzerland</t>
        </is>
      </c>
      <c r="Q797" s="1" t="inlineStr">
        <is>
          <t>0 to 10</t>
        </is>
      </c>
      <c r="R797" t="inlineStr">
        <is>
          <t>Micro</t>
        </is>
      </c>
      <c r="S797" s="1" t="inlineStr">
        <is>
          <t>Business to Business</t>
        </is>
      </c>
      <c r="T797" s="1" t="inlineStr">
        <is>
          <t>Primary Education, Secondary Education, Higher Education, Corporate Training, Lifelong learning/Adult education</t>
        </is>
      </c>
      <c r="U797" s="1" t="inlineStr">
        <is>
          <t>Student interfacing, System/Administrative</t>
        </is>
      </c>
      <c r="V797" s="1" t="n"/>
      <c r="W797" s="1" t="inlineStr">
        <is>
          <t>https://drive.google.com/uc?export=view&amp;id=1hQpW_3yEuyVf-D2tWTHeTVB_6ovLHOum</t>
        </is>
      </c>
      <c r="X797" s="1" t="inlineStr">
        <is>
          <t>https://drive.google.com/uc?export=view&amp;id=1hQpW_3yEuyVf-D2tWTHeTVB_6ovLHOum</t>
        </is>
      </c>
      <c r="Y797" t="inlineStr">
        <is>
          <t>https://drive.google.com/uc?export=view&amp;id=1hQpW_3yEuyVf-D2tWTHeTVB_6ovLHOum</t>
        </is>
      </c>
      <c r="Z797" s="1" t="inlineStr">
        <is>
          <t>https://drive.google.com/uc?export=view&amp;id=1hQpW_3yEuyVf-D2tWTHeTVB_6ovLHOum</t>
        </is>
      </c>
      <c r="AA797" s="1" t="inlineStr">
        <is>
          <t>Unverified</t>
        </is>
      </c>
      <c r="AB797" s="1" t="n"/>
      <c r="AC797" s="1" t="n"/>
      <c r="AD797" s="10" t="n"/>
      <c r="AE797" s="1" t="n"/>
      <c r="AF797" s="1" t="inlineStr">
        <is>
          <t>No</t>
        </is>
      </c>
      <c r="AG797" s="1" t="n"/>
      <c r="AH797" s="1" t="n"/>
    </row>
    <row r="798" ht="12.5" customHeight="1">
      <c r="A798" s="6" t="n">
        <v>45181</v>
      </c>
      <c r="B798" s="1" t="inlineStr">
        <is>
          <t>ORG_1035</t>
        </is>
      </c>
      <c r="C798" s="1" t="b">
        <v>1</v>
      </c>
      <c r="D798" s="1" t="inlineStr">
        <is>
          <t>Adaptiv Me</t>
        </is>
      </c>
      <c r="E798" s="10" t="inlineStr">
        <is>
          <t>https://www.adaptiv.me/</t>
        </is>
      </c>
      <c r="F798" t="inlineStr">
        <is>
          <t>adaptiv.me</t>
        </is>
      </c>
      <c r="G798" s="1" t="inlineStr">
        <is>
          <t>A full-stack career intelligence platform that helps students and young professionals achieve their professional goals by providing them AI-generated career recipes mapped to tailor-made micro-courses.</t>
        </is>
      </c>
      <c r="H798" s="1" t="inlineStr">
        <is>
          <t>I'm not part of any EdTech association</t>
        </is>
      </c>
      <c r="I798" s="1" t="inlineStr">
        <is>
          <t>English</t>
        </is>
      </c>
      <c r="J798" s="1" t="inlineStr">
        <is>
          <t>Meylan</t>
        </is>
      </c>
      <c r="K798" t="inlineStr">
        <is>
          <t>Meylan</t>
        </is>
      </c>
      <c r="L798" t="inlineStr">
        <is>
          <t>Meylan, France</t>
        </is>
      </c>
      <c r="M798" t="n">
        <v>45.2097372</v>
      </c>
      <c r="N798" t="n">
        <v>5.778361</v>
      </c>
      <c r="O798" s="1" t="inlineStr">
        <is>
          <t>France</t>
        </is>
      </c>
      <c r="P798" s="1" t="inlineStr">
        <is>
          <t>Belgium, Denmark, France, Germany, Ireland, Italy, Luxembourg, Monaco, Netherlands, Spain, Sweden, Switzerland, United Kingdom</t>
        </is>
      </c>
      <c r="Q798" s="1" t="inlineStr">
        <is>
          <t>3 to 5</t>
        </is>
      </c>
      <c r="R798" t="inlineStr">
        <is>
          <t>Micro</t>
        </is>
      </c>
      <c r="S798" s="1" t="inlineStr">
        <is>
          <t>Business to Consumer</t>
        </is>
      </c>
      <c r="T798" s="1" t="inlineStr">
        <is>
          <t>Lifelong learning/Adult education</t>
        </is>
      </c>
      <c r="U798" s="1" t="inlineStr">
        <is>
          <t>Student interfacing</t>
        </is>
      </c>
      <c r="V798" s="10" t="inlineStr">
        <is>
          <t>Adaptiv Me</t>
        </is>
      </c>
      <c r="W798" s="10" t="inlineStr">
        <is>
          <t>Users can rely on the algorithms of Ada, the AI-powered career mentor to get career recipes generated for our users based on their professional goals, skills and interests by Ada’s AI. They can explore career recipes generated for other users, or chat with Ada about their current skills, passions and career objectives, to get a tailor-made career recipe generated.</t>
        </is>
      </c>
      <c r="X798" s="10" t="inlineStr">
        <is>
          <t>https://drive.google.com/uc?export=view&amp;id=1ZvKT6Z_QgF3m-ji_Emh35Iw1TWAZW2Sf</t>
        </is>
      </c>
      <c r="Y798" t="inlineStr">
        <is>
          <t>https://drive.google.com/uc?export=view&amp;id=1ZvKT6Z_QgF3m-ji_Emh35Iw1TWAZW2Sf</t>
        </is>
      </c>
      <c r="Z798" s="1" t="inlineStr">
        <is>
          <t>https://drive.google.com/uc?export=view&amp;id=1ZvKT6Z_QgF3m-ji_Emh35Iw1TWAZW2Sf</t>
        </is>
      </c>
      <c r="AA798" s="1" t="inlineStr">
        <is>
          <t>Unverified</t>
        </is>
      </c>
      <c r="AB798" s="1" t="n"/>
      <c r="AC798" s="1" t="n"/>
      <c r="AD798" s="10" t="n"/>
      <c r="AE798" s="1" t="n"/>
      <c r="AF798" s="1" t="inlineStr">
        <is>
          <t>Yes</t>
        </is>
      </c>
      <c r="AG798" s="1" t="inlineStr">
        <is>
          <t>https://www.instagram.com/adaptiv.me/</t>
        </is>
      </c>
      <c r="AH798" s="1" t="inlineStr">
        <is>
          <t>https://twitter.com/adaptiv_me</t>
        </is>
      </c>
      <c r="AI798" s="1" t="inlineStr">
        <is>
          <t>https://www.linkedin.com/company/adaptiv-me</t>
        </is>
      </c>
      <c r="AJ798" s="1" t="n"/>
    </row>
    <row r="799" ht="12.5" customHeight="1">
      <c r="A799" s="6" t="n">
        <v>45181</v>
      </c>
      <c r="B799" s="1" t="inlineStr">
        <is>
          <t>ORG_1217</t>
        </is>
      </c>
      <c r="C799" s="1" t="b">
        <v>1</v>
      </c>
      <c r="D799" s="1" t="inlineStr">
        <is>
          <t>Capitan Pomelo</t>
        </is>
      </c>
      <c r="E799" s="10" t="inlineStr">
        <is>
          <t>www.capitanpomelo.com</t>
        </is>
      </c>
      <c r="F799" t="inlineStr">
        <is>
          <t>capitanpomelo.com</t>
        </is>
      </c>
      <c r="G799" s="1" t="inlineStr">
        <is>
          <t>Our company loves communication and intercultural projects. We believe each individual has power to change and make their community better 
Capitan Pomelo empower kids and teens using comunication in different languages to think, create and understand cultural differences being part of the same community. 
Its main pillars are students, gamification and tech tools to make each experience unique and out of this world.</t>
        </is>
      </c>
      <c r="H799" s="1" t="inlineStr">
        <is>
          <t>EduTech Cluster Spain</t>
        </is>
      </c>
      <c r="I799" s="1" t="n"/>
      <c r="J799" s="1" t="inlineStr">
        <is>
          <t>Murcia</t>
        </is>
      </c>
      <c r="K799" t="inlineStr">
        <is>
          <t>Murcia</t>
        </is>
      </c>
      <c r="L799" t="inlineStr">
        <is>
          <t>Murcia, Spain</t>
        </is>
      </c>
      <c r="M799" t="n">
        <v>37.9923795</v>
      </c>
      <c r="N799" t="n">
        <v>-1.1305431</v>
      </c>
      <c r="O799" s="1" t="inlineStr">
        <is>
          <t>Spain</t>
        </is>
      </c>
      <c r="P799" s="1" t="inlineStr">
        <is>
          <t>Spain</t>
        </is>
      </c>
      <c r="Q799" s="1" t="inlineStr">
        <is>
          <t>0 to 10</t>
        </is>
      </c>
      <c r="R799" t="inlineStr">
        <is>
          <t>Micro</t>
        </is>
      </c>
      <c r="S799" s="1" t="inlineStr">
        <is>
          <t>Business to Consumer</t>
        </is>
      </c>
      <c r="T799" s="1" t="inlineStr">
        <is>
          <t>Primary Education, Secondary Education</t>
        </is>
      </c>
      <c r="U799" s="1" t="inlineStr">
        <is>
          <t>System/Administrative, Student interfacing</t>
        </is>
      </c>
      <c r="V799" s="10" t="inlineStr">
        <is>
          <t>Pack Pro: Kids</t>
        </is>
      </c>
      <c r="W799" s="1" t="inlineStr">
        <is>
          <t>3-month packs
Age: 6 to 10
How long: 2 28' sessions per week.
How?: individual sessions.
Methodology: communication and gamification
Progress: measure CEFL
AIM: create the habit of having conversation feeling in control from an early age</t>
        </is>
      </c>
      <c r="X799" s="10" t="inlineStr">
        <is>
          <t>Pack Mix: Teens</t>
        </is>
      </c>
      <c r="Y799" t="inlineStr">
        <is>
          <t>3-month packs
Age: 11 to 18
How long: 2 28' sessions per week.
How?: 1 individual &amp; 1 in a group.
Methodology: communication and developing personal professional and intercultural skills
Progress: measure CEFL
AIM: create the habit of active listening with an open mindset, using critical thinking, and practical tools that could help them to collaborate with others and solve problems both at work and life.</t>
        </is>
      </c>
      <c r="Z799" s="1" t="inlineStr">
        <is>
          <t>https://drive.google.com/uc?export=view&amp;id=1ZxTAqVCIHAu44PZoSP1D462Ebi4Se1Dk</t>
        </is>
      </c>
      <c r="AA799" s="1" t="inlineStr">
        <is>
          <t>Unverified</t>
        </is>
      </c>
      <c r="AB799" s="1" t="n"/>
      <c r="AC799" s="1" t="n"/>
      <c r="AD799" s="10" t="n"/>
      <c r="AE799" s="1" t="n"/>
      <c r="AF799" t="inlineStr">
        <is>
          <t>Yes</t>
        </is>
      </c>
      <c r="AG799" t="inlineStr">
        <is>
          <t>https://www.instagram.com/capitan.pomelo/</t>
        </is>
      </c>
      <c r="AH799" t="inlineStr">
        <is>
          <t>https://www.linkedin.com/in/sanda-luca-939b32140/</t>
        </is>
      </c>
      <c r="AI799" t="inlineStr">
        <is>
          <t>https://www.linkedin.com/in/sanda-luca-939b32140/</t>
        </is>
      </c>
    </row>
    <row r="800" ht="12.5" customHeight="1">
      <c r="A800" s="6" t="n">
        <v>45181</v>
      </c>
      <c r="B800" s="1" t="inlineStr">
        <is>
          <t>ORG_1565</t>
        </is>
      </c>
      <c r="C800" s="1" t="b">
        <v>1</v>
      </c>
      <c r="D800" s="1" t="inlineStr">
        <is>
          <t>Find My Programme</t>
        </is>
      </c>
      <c r="E800" s="10" t="inlineStr">
        <is>
          <t>www.findmyprogramme.com</t>
        </is>
      </c>
      <c r="F800" t="inlineStr">
        <is>
          <t>findmyprogramme.com</t>
        </is>
      </c>
      <c r="G800" s="1" t="inlineStr">
        <is>
          <t>In Find My Programme we believe that education can be life-changing and everybody should have access to it. We know first-hand how transformational higher education can be. That’s why we’ve joined forces to create an educational portal where prospective students can browse and compare university programmes to find the best fit for them. 
Our aim is to help prospect students to make the right study choice for their future. We’re inspired by the many stories we’ve heard from students, who have furthered their own success and helped their communities through education.
We realize that decision about education is a very important step in everybody's life and we want to help with making this decision a little easier.</t>
        </is>
      </c>
      <c r="H800" s="1" t="inlineStr">
        <is>
          <t>Dutch EdTech</t>
        </is>
      </c>
      <c r="I800" s="1" t="n"/>
      <c r="J800" s="1" t="inlineStr">
        <is>
          <t>Amstelveen</t>
        </is>
      </c>
      <c r="K800" t="inlineStr">
        <is>
          <t>Amstelveen</t>
        </is>
      </c>
      <c r="L800" t="inlineStr">
        <is>
          <t>Amstelveen, The Netherlands</t>
        </is>
      </c>
      <c r="M800" t="n">
        <v>52.2991284</v>
      </c>
      <c r="N800" t="n">
        <v>4.8618135</v>
      </c>
      <c r="O800" s="1" t="inlineStr">
        <is>
          <t>The Netherlands</t>
        </is>
      </c>
      <c r="P800"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800" s="1" t="inlineStr">
        <is>
          <t>0 to 10</t>
        </is>
      </c>
      <c r="R800" t="inlineStr">
        <is>
          <t>Micro</t>
        </is>
      </c>
      <c r="S800" s="1" t="inlineStr">
        <is>
          <t>Business to Schools</t>
        </is>
      </c>
      <c r="T800" s="1" t="inlineStr">
        <is>
          <t>Higher Education, Corporate Training, Lifelong learning/Adult education</t>
        </is>
      </c>
      <c r="U800" s="1" t="inlineStr">
        <is>
          <t>System/Administrative, Student interfacing</t>
        </is>
      </c>
      <c r="V800" s="1" t="n"/>
      <c r="W800" s="1" t="inlineStr">
        <is>
          <t>https://drive.google.com/uc?export=view&amp;id=1slKGj5SF0KLAUM7kFDXa-957HEIIRA4v</t>
        </is>
      </c>
      <c r="X800" s="1" t="inlineStr">
        <is>
          <t>https://drive.google.com/uc?export=view&amp;id=1slKGj5SF0KLAUM7kFDXa-957HEIIRA4v</t>
        </is>
      </c>
      <c r="Y800" t="inlineStr">
        <is>
          <t>https://drive.google.com/uc?export=view&amp;id=1slKGj5SF0KLAUM7kFDXa-957HEIIRA4v</t>
        </is>
      </c>
      <c r="Z800" s="1" t="inlineStr">
        <is>
          <t>https://drive.google.com/uc?export=view&amp;id=1slKGj5SF0KLAUM7kFDXa-957HEIIRA4v</t>
        </is>
      </c>
      <c r="AA800" s="1" t="inlineStr">
        <is>
          <t>Unverified</t>
        </is>
      </c>
      <c r="AB800" s="1" t="n"/>
      <c r="AC800" s="1" t="n"/>
      <c r="AD800" s="10" t="n"/>
      <c r="AE800" s="1" t="n"/>
      <c r="AF800" t="inlineStr">
        <is>
          <t>No</t>
        </is>
      </c>
    </row>
    <row r="801" ht="12.5" customHeight="1">
      <c r="A801" s="6" t="n">
        <v>45181</v>
      </c>
      <c r="B801" s="1" t="inlineStr">
        <is>
          <t>ORG_1225</t>
        </is>
      </c>
      <c r="C801" s="1" t="b">
        <v>1</v>
      </c>
      <c r="D801" s="1" t="inlineStr">
        <is>
          <t>Cephalus AI</t>
        </is>
      </c>
      <c r="E801" s="10" t="inlineStr">
        <is>
          <t>https://cephalus.ai/</t>
        </is>
      </c>
      <c r="F801" t="inlineStr">
        <is>
          <t>cephalus.ai</t>
        </is>
      </c>
      <c r="G801" s="1" t="inlineStr">
        <is>
          <t>Cephalus AI is a mentorship platform, having real insight into employees’ potentials and capabilities observed directly from real tasks employees are performing in the company.
Cephalus AI system is doing sophisticated analysis and provides guidance and assistance in creating an optimal career path for every employee.</t>
        </is>
      </c>
      <c r="H801" s="1" t="inlineStr">
        <is>
          <t>I'm not part of any EdTech association</t>
        </is>
      </c>
      <c r="I801" s="1" t="n"/>
      <c r="J801" s="1" t="inlineStr">
        <is>
          <t>Brno</t>
        </is>
      </c>
      <c r="K801" t="inlineStr">
        <is>
          <t>Brno</t>
        </is>
      </c>
      <c r="L801" t="inlineStr">
        <is>
          <t>Brno, Czech Republic</t>
        </is>
      </c>
      <c r="M801" t="n">
        <v>49.2052271</v>
      </c>
      <c r="N801" t="n">
        <v>16.6021742</v>
      </c>
      <c r="O801" s="1" t="inlineStr">
        <is>
          <t>Czech Republic</t>
        </is>
      </c>
      <c r="P801" s="1" t="inlineStr">
        <is>
          <t>Czechia, Serbia</t>
        </is>
      </c>
      <c r="Q801" s="1" t="inlineStr">
        <is>
          <t>0 to 10</t>
        </is>
      </c>
      <c r="R801" t="inlineStr">
        <is>
          <t>Micro</t>
        </is>
      </c>
      <c r="S801" s="1" t="inlineStr">
        <is>
          <t>Business to Business, Business to Consumer</t>
        </is>
      </c>
      <c r="T801" s="1" t="inlineStr">
        <is>
          <t>Early childhood development (0-5 years), Primary Education, Secondary Education, Higher Education, Corporate Training, Lifelong learning/Adult education</t>
        </is>
      </c>
      <c r="U801" s="1" t="inlineStr">
        <is>
          <t>Student interfacing, Teacher interfacing, System/Administrative</t>
        </is>
      </c>
      <c r="V801" s="1" t="n"/>
      <c r="W801" s="1" t="inlineStr">
        <is>
          <t>https://drive.google.com/uc?export=view&amp;id=1wSOF2Mndr2rYocRVnCbYYchVfD1Wyefa</t>
        </is>
      </c>
      <c r="X801" s="1" t="inlineStr">
        <is>
          <t>https://drive.google.com/uc?export=view&amp;id=1wSOF2Mndr2rYocRVnCbYYchVfD1Wyefa</t>
        </is>
      </c>
      <c r="Y801" t="inlineStr">
        <is>
          <t>https://drive.google.com/uc?export=view&amp;id=1wSOF2Mndr2rYocRVnCbYYchVfD1Wyefa</t>
        </is>
      </c>
      <c r="Z801" s="1" t="inlineStr">
        <is>
          <t>https://drive.google.com/uc?export=view&amp;id=1wSOF2Mndr2rYocRVnCbYYchVfD1Wyefa</t>
        </is>
      </c>
      <c r="AA801" s="1" t="inlineStr">
        <is>
          <t>Unverified</t>
        </is>
      </c>
      <c r="AB801" s="1" t="n"/>
      <c r="AC801" s="1" t="n"/>
      <c r="AD801" s="10" t="n"/>
      <c r="AE801" s="1" t="n"/>
      <c r="AF801" t="inlineStr">
        <is>
          <t>No</t>
        </is>
      </c>
    </row>
    <row r="802" ht="12.5" customHeight="1">
      <c r="A802" s="6" t="n">
        <v>45181</v>
      </c>
      <c r="B802" s="1" t="inlineStr">
        <is>
          <t>ORG_1751</t>
        </is>
      </c>
      <c r="C802" s="1" t="b">
        <v>1</v>
      </c>
      <c r="D802" s="1" t="inlineStr">
        <is>
          <t>IZZI</t>
        </is>
      </c>
      <c r="E802" s="1" t="inlineStr">
        <is>
          <t>izzi.digital</t>
        </is>
      </c>
      <c r="F802" t="inlineStr">
        <is>
          <t>izzi.digital</t>
        </is>
      </c>
      <c r="G802" s="1" t="inlineStr">
        <is>
          <t>IZZI is a brand name for a set of tools, services and applications for creation and distribution of digital educational content. It was created by Profil Klett, educational publisher from Croatia, EU, which is a part of Klett group – an education company that operates around the world with more than 70 companies in 17 countries.
If you have a need to create digital educational publications, we are here to offer our services, knowledge and experience together with the tool we created to stand out from the outdated solutions present on the market today.</t>
        </is>
      </c>
      <c r="H802" s="1" t="inlineStr">
        <is>
          <t>I'm not part of any EdTech association</t>
        </is>
      </c>
      <c r="I802" s="1" t="n"/>
      <c r="J802" s="1" t="inlineStr">
        <is>
          <t>Zagreb</t>
        </is>
      </c>
      <c r="K802" t="inlineStr">
        <is>
          <t>Zagreb</t>
        </is>
      </c>
      <c r="L802" t="inlineStr">
        <is>
          <t>Zagreb, Croatia</t>
        </is>
      </c>
      <c r="M802" t="n">
        <v>45.8130967</v>
      </c>
      <c r="N802" t="n">
        <v>15.9772795</v>
      </c>
      <c r="O802" s="1" t="inlineStr">
        <is>
          <t>Croatia</t>
        </is>
      </c>
      <c r="P802" s="1" t="inlineStr">
        <is>
          <t>Bosnia and Herzegovina, Bulgaria, Croatia, Czechia, Germany, Montenegro, Poland, Romania, Serbia, Slovakia, Slovenia, Ukraine</t>
        </is>
      </c>
      <c r="Q802" s="1" t="inlineStr">
        <is>
          <t>11 to 50</t>
        </is>
      </c>
      <c r="R802" t="inlineStr">
        <is>
          <t>Small</t>
        </is>
      </c>
      <c r="S802" s="1" t="inlineStr">
        <is>
          <t>Business to Business, Business to Government, Business to Schools</t>
        </is>
      </c>
      <c r="T802" s="1" t="inlineStr">
        <is>
          <t>Primary Education, Secondary Education, Higher Education</t>
        </is>
      </c>
      <c r="U802" s="1" t="inlineStr">
        <is>
          <t>Teacher interfacing, System/Administrative</t>
        </is>
      </c>
      <c r="V802" s="1" t="n"/>
      <c r="W802" s="1" t="inlineStr">
        <is>
          <t>https://drive.google.com/uc?export=view&amp;id=1BT-mXZUoOdNTNUdcbqRuQxQ7oucb1x5m</t>
        </is>
      </c>
      <c r="X802" s="1" t="inlineStr">
        <is>
          <t>https://drive.google.com/uc?export=view&amp;id=1BT-mXZUoOdNTNUdcbqRuQxQ7oucb1x5m</t>
        </is>
      </c>
      <c r="Y802" t="inlineStr">
        <is>
          <t>https://drive.google.com/uc?export=view&amp;id=1BT-mXZUoOdNTNUdcbqRuQxQ7oucb1x5m</t>
        </is>
      </c>
      <c r="Z802" s="1" t="inlineStr">
        <is>
          <t>https://drive.google.com/uc?export=view&amp;id=1BT-mXZUoOdNTNUdcbqRuQxQ7oucb1x5m</t>
        </is>
      </c>
      <c r="AA802" s="1" t="inlineStr">
        <is>
          <t>Unverified</t>
        </is>
      </c>
      <c r="AB802" s="1" t="n"/>
      <c r="AC802" s="1" t="n"/>
      <c r="AD802" s="10" t="n"/>
      <c r="AE802" s="1" t="n"/>
      <c r="AF802" t="inlineStr">
        <is>
          <t>No</t>
        </is>
      </c>
    </row>
    <row r="803" ht="12.5" customHeight="1">
      <c r="A803" s="6" t="n">
        <v>45181</v>
      </c>
      <c r="B803" s="1" t="inlineStr">
        <is>
          <t>ORG_2073</t>
        </is>
      </c>
      <c r="C803" s="1" t="b">
        <v>1</v>
      </c>
      <c r="D803" s="1" t="inlineStr">
        <is>
          <t>OpenBootcamp</t>
        </is>
      </c>
      <c r="E803" s="10" t="inlineStr">
        <is>
          <t>https://open-bootcamp.com/</t>
        </is>
      </c>
      <c r="F803" t="inlineStr">
        <is>
          <t>open-bootcamp.com</t>
        </is>
      </c>
      <c r="G803" s="1" t="inlineStr">
        <is>
          <t>OpenBootcamp is a pioneer Spanish initiative in the education sector that offers continuous quality training for future programmers/developers and a level of employability with real opportunities for professional development, in a unique business model in Spanish, where the cost of training is assumed by the company that hires the student. It is the first free technological training school for developers in Spanish, where the training offer is and always will be totally free for the student. OpenBootcamp aims to promote the development of the technological training most in demand by companies and make it accessible to any citizen free of charge so that, in the future, they can also participate actively and professionally in our digital society, regardless of their socioeconomic conditions. Currently, after reaching 55,000 students, the company has consolidated its position as the largest educational community of Spanish-speaking developers.</t>
        </is>
      </c>
      <c r="H803" s="1" t="inlineStr">
        <is>
          <t>I'm not part of any EdTech association</t>
        </is>
      </c>
      <c r="I803" s="1" t="n"/>
      <c r="J803" s="1" t="inlineStr">
        <is>
          <t>Valencia</t>
        </is>
      </c>
      <c r="K803" t="inlineStr">
        <is>
          <t>Valencia</t>
        </is>
      </c>
      <c r="L803" t="inlineStr">
        <is>
          <t>Valencia, Spain</t>
        </is>
      </c>
      <c r="M803" t="n">
        <v>39.6819591</v>
      </c>
      <c r="N803" t="n">
        <v>-0.7654406</v>
      </c>
      <c r="O803" s="1" t="inlineStr">
        <is>
          <t>Spain</t>
        </is>
      </c>
      <c r="P803" s="1" t="inlineStr">
        <is>
          <t>Andorra, Spain</t>
        </is>
      </c>
      <c r="Q803" s="1" t="inlineStr">
        <is>
          <t>11 to 50</t>
        </is>
      </c>
      <c r="R803" t="inlineStr">
        <is>
          <t>Small</t>
        </is>
      </c>
      <c r="S803" s="1" t="inlineStr">
        <is>
          <t>Business to Business, Business to Schools</t>
        </is>
      </c>
      <c r="T803" s="1" t="inlineStr">
        <is>
          <t>Higher Education, Corporate Training, Lifelong learning/Adult education</t>
        </is>
      </c>
      <c r="U803" s="1" t="inlineStr">
        <is>
          <t>Student interfacing, Teacher interfacing, System/Administrative</t>
        </is>
      </c>
      <c r="V803" s="1" t="n"/>
      <c r="W803" s="1" t="inlineStr">
        <is>
          <t>https://drive.google.com/uc?export=view&amp;id=1OD0nv1m3JInncAGQqVek24VRoCr3Y9IC</t>
        </is>
      </c>
      <c r="X803" s="1" t="inlineStr">
        <is>
          <t>https://drive.google.com/uc?export=view&amp;id=1OD0nv1m3JInncAGQqVek24VRoCr3Y9IC</t>
        </is>
      </c>
      <c r="Y803" t="inlineStr">
        <is>
          <t>https://drive.google.com/uc?export=view&amp;id=1OD0nv1m3JInncAGQqVek24VRoCr3Y9IC</t>
        </is>
      </c>
      <c r="Z803" s="1" t="inlineStr">
        <is>
          <t>https://drive.google.com/uc?export=view&amp;id=1OD0nv1m3JInncAGQqVek24VRoCr3Y9IC</t>
        </is>
      </c>
      <c r="AA803" s="1" t="inlineStr">
        <is>
          <t>Unverified</t>
        </is>
      </c>
      <c r="AB803" s="1" t="n"/>
      <c r="AC803" s="1" t="n"/>
      <c r="AD803" s="10" t="n"/>
      <c r="AE803" s="1" t="n"/>
      <c r="AF803" s="1" t="inlineStr">
        <is>
          <t>No</t>
        </is>
      </c>
      <c r="AG803" s="1" t="n"/>
      <c r="AH803" s="1" t="n"/>
    </row>
    <row r="804" ht="12.5" customHeight="1">
      <c r="A804" s="6" t="n">
        <v>45181</v>
      </c>
      <c r="B804" s="1" t="inlineStr">
        <is>
          <t>ORG_2231</t>
        </is>
      </c>
      <c r="C804" s="1" t="b">
        <v>1</v>
      </c>
      <c r="D804" s="1" t="inlineStr">
        <is>
          <t>Session ApS</t>
        </is>
      </c>
      <c r="E804" s="10" t="inlineStr">
        <is>
          <t>getsession.com</t>
        </is>
      </c>
      <c r="F804" t="inlineStr">
        <is>
          <t>getsession.com</t>
        </is>
      </c>
      <c r="G804" s="1" t="inlineStr">
        <is>
          <t>Session is an online platform, connecting educators with students, coaches with coachees, mentors with mentees. We offer a smooth learning experience, onboarding the clients to the platform and helping them connect with the best teachers, coaches and mentors in the world.
Once on the platform (which can be whitelabelled), you easily book and reschedule sessions, chat with your teacher/coach/mentor/employer, follow the learning journey and track progress. Administrators can easily add and remove students/employees, get an overview of their journey, and all payment is automated.</t>
        </is>
      </c>
      <c r="H804" s="1" t="inlineStr">
        <is>
          <t>EdTech Denmark</t>
        </is>
      </c>
      <c r="I804" s="1" t="n"/>
      <c r="J804" s="1" t="inlineStr">
        <is>
          <t>København K</t>
        </is>
      </c>
      <c r="K804" t="inlineStr">
        <is>
          <t>København K</t>
        </is>
      </c>
      <c r="L804" t="inlineStr">
        <is>
          <t>København K, Denmark</t>
        </is>
      </c>
      <c r="M804" t="n">
        <v>55.6867243</v>
      </c>
      <c r="N804" t="n">
        <v>12.5700724</v>
      </c>
      <c r="O804" s="1" t="inlineStr">
        <is>
          <t>Denmark</t>
        </is>
      </c>
      <c r="P804" s="1" t="inlineStr">
        <is>
          <t>Austria, Belgium, Denmark, Estonia, Finland, France, Germany, Greece, Hungary, Iceland, Ireland, Italy, Netherlands, Norway, Poland, Portugal, Romania, Spain, Sweden, Switzerland, Turkey, Ukraine, United Kingdom</t>
        </is>
      </c>
      <c r="Q804" s="1" t="inlineStr">
        <is>
          <t>0 to 10</t>
        </is>
      </c>
      <c r="R804" t="inlineStr">
        <is>
          <t>Micro</t>
        </is>
      </c>
      <c r="S804" s="1" t="inlineStr">
        <is>
          <t>Business to Consumer, Business to Government, Business to Schools</t>
        </is>
      </c>
      <c r="T804" s="1" t="inlineStr">
        <is>
          <t>Higher Education, Corporate Training, Lifelong learning/Adult education</t>
        </is>
      </c>
      <c r="U804" s="1" t="inlineStr">
        <is>
          <t>Teacher interfacing, System/Administrative</t>
        </is>
      </c>
      <c r="V804" s="10" t="inlineStr">
        <is>
          <t>Online Learning Journeys</t>
        </is>
      </c>
      <c r="W804" s="1" t="inlineStr">
        <is>
          <t>Quick overview of the profile, journey, and coaching/learning needs
Communication through chat
Online booking of sessions - automatic calendar invite
Video sessions held on the platform - online, easy, and flexible</t>
        </is>
      </c>
      <c r="X804" s="10" t="inlineStr">
        <is>
          <t>Scheduling</t>
        </is>
      </c>
      <c r="Y804" t="inlineStr">
        <is>
          <t>Easy and smooth scheduling and rescheduling of sessions with coach/mentor/employer. When you book, a calendar invite is sent directly to the inbox and calendar of the coach-coachee / teacher-student</t>
        </is>
      </c>
      <c r="Z804" s="1" t="inlineStr">
        <is>
          <t>https://drive.google.com/uc?export=view&amp;id=1Hl_NLJ_KaoYgkg17U1QrM-0s9NU6ktHx</t>
        </is>
      </c>
      <c r="AA804" s="1" t="inlineStr">
        <is>
          <t>Unverified</t>
        </is>
      </c>
      <c r="AB804" s="1" t="n"/>
      <c r="AC804" s="1" t="n"/>
      <c r="AD804" s="10" t="n"/>
      <c r="AE804" s="1" t="n"/>
      <c r="AF804" s="1" t="inlineStr">
        <is>
          <t>Yes</t>
        </is>
      </c>
      <c r="AG804" s="1" t="inlineStr">
        <is>
          <t>GetSession.com</t>
        </is>
      </c>
      <c r="AH804" s="1" t="inlineStr">
        <is>
          <t>@sessioncoaching</t>
        </is>
      </c>
      <c r="AI804" s="1" t="inlineStr">
        <is>
          <t>https://www.linkedin.com/company/71248948</t>
        </is>
      </c>
      <c r="AJ804" s="1" t="n"/>
    </row>
    <row r="805" ht="12.5" customHeight="1">
      <c r="A805" s="6" t="n">
        <v>45181</v>
      </c>
      <c r="B805" s="1" t="inlineStr">
        <is>
          <t>ORG_1362</t>
        </is>
      </c>
      <c r="C805" s="1" t="b">
        <v>1</v>
      </c>
      <c r="D805" s="1" t="inlineStr">
        <is>
          <t>Digitalizap</t>
        </is>
      </c>
      <c r="E805" s="10" t="inlineStr">
        <is>
          <t>https://digitalizap.com/</t>
        </is>
      </c>
      <c r="F805" t="inlineStr">
        <is>
          <t>digitalizap.com</t>
        </is>
      </c>
      <c r="G805" s="1" t="inlineStr">
        <is>
          <t>Digitalitzap is an online training service that offers a wide range of content for the digitization of small businesses.
Our vision is supporting businesses in their adaptation to the digital environment.
Digitalizap app and web is a space where you will find online resources to drive a profitable local business.
Every little business has a story, unique and that’s what makes it special.</t>
        </is>
      </c>
      <c r="H805" s="1" t="inlineStr">
        <is>
          <t>EduTech Cluster Spain</t>
        </is>
      </c>
      <c r="I805" s="1" t="n"/>
      <c r="J805" s="1" t="inlineStr">
        <is>
          <t>Barcelona</t>
        </is>
      </c>
      <c r="K805" t="inlineStr">
        <is>
          <t>Barcelona</t>
        </is>
      </c>
      <c r="L805" t="inlineStr">
        <is>
          <t>Barcelona, Spain</t>
        </is>
      </c>
      <c r="M805" t="n">
        <v>41.3825802</v>
      </c>
      <c r="N805" t="n">
        <v>2.177073</v>
      </c>
      <c r="O805" s="1" t="inlineStr">
        <is>
          <t>Spain</t>
        </is>
      </c>
      <c r="P805" s="1" t="inlineStr">
        <is>
          <t>Portugal, Spain</t>
        </is>
      </c>
      <c r="Q805" s="1" t="inlineStr">
        <is>
          <t>0 to 10</t>
        </is>
      </c>
      <c r="R805" t="inlineStr">
        <is>
          <t>Micro</t>
        </is>
      </c>
      <c r="S805" s="1" t="inlineStr">
        <is>
          <t>Business to Business</t>
        </is>
      </c>
      <c r="T805" s="1" t="inlineStr">
        <is>
          <t>Corporate Training, Lifelong learning/Adult education</t>
        </is>
      </c>
      <c r="U805" s="1" t="inlineStr">
        <is>
          <t>System/Administrative</t>
        </is>
      </c>
      <c r="V805" s="10" t="inlineStr">
        <is>
          <t>Digitalizap</t>
        </is>
      </c>
      <c r="W805" s="1" t="inlineStr">
        <is>
          <t>Digitalitzap is an online training service that offers a wide range of content for the digitization of small shops.
Our vision is supporting businesses in their adaptation to the digital environment.
Digitalizap app and web is a space where you will find online resources to drive a profitable local business.
Every little business has a story, unique and that’s what makes it special.</t>
        </is>
      </c>
      <c r="X805" s="10" t="inlineStr">
        <is>
          <t>https://drive.google.com/uc?export=view&amp;id=1g4v0NOlcnSS4t9hK9U70Mare-6IPIe60</t>
        </is>
      </c>
      <c r="Y805" t="inlineStr">
        <is>
          <t>https://drive.google.com/uc?export=view&amp;id=1g4v0NOlcnSS4t9hK9U70Mare-6IPIe60</t>
        </is>
      </c>
      <c r="Z805" s="1" t="inlineStr">
        <is>
          <t>https://drive.google.com/uc?export=view&amp;id=1g4v0NOlcnSS4t9hK9U70Mare-6IPIe60</t>
        </is>
      </c>
      <c r="AA805" s="1" t="inlineStr">
        <is>
          <t>Unverified</t>
        </is>
      </c>
      <c r="AB805" s="1" t="n"/>
      <c r="AC805" s="1" t="n"/>
      <c r="AD805" s="10" t="n"/>
      <c r="AE805" s="1" t="n"/>
      <c r="AF805" s="1" t="inlineStr">
        <is>
          <t>Yes</t>
        </is>
      </c>
      <c r="AG805" s="1" t="inlineStr">
        <is>
          <t>https://www.instagram.com/digitalizap.es/</t>
        </is>
      </c>
      <c r="AH805" s="1" t="inlineStr">
        <is>
          <t>https://www.linkedin.com/company/digitalizap/</t>
        </is>
      </c>
      <c r="AI805" s="1" t="inlineStr">
        <is>
          <t>https://www.linkedin.com/company/digitalizap/</t>
        </is>
      </c>
      <c r="AJ805" s="1" t="n"/>
    </row>
    <row r="806" ht="12.5" customHeight="1">
      <c r="A806" s="6" t="n">
        <v>45181</v>
      </c>
      <c r="B806" s="1" t="inlineStr">
        <is>
          <t>ORG_1421</t>
        </is>
      </c>
      <c r="C806" s="1" t="b">
        <v>1</v>
      </c>
      <c r="D806" s="1" t="inlineStr">
        <is>
          <t>educ8all</t>
        </is>
      </c>
      <c r="E806" s="10" t="inlineStr">
        <is>
          <t>https://educ8all.com</t>
        </is>
      </c>
      <c r="F806" t="inlineStr">
        <is>
          <t>educ8all.com</t>
        </is>
      </c>
      <c r="G806" s="1" t="inlineStr">
        <is>
          <t>At educ8all, students can buy:
-Video lesson courses aligned to exam board specifications
-Related downloadable materials such as revision notes
-Sessions with a tutor</t>
        </is>
      </c>
      <c r="H806" s="1" t="inlineStr">
        <is>
          <t>I'm not part of any EdTech association</t>
        </is>
      </c>
      <c r="I806" s="1" t="n"/>
      <c r="J806" s="1" t="inlineStr">
        <is>
          <t>London</t>
        </is>
      </c>
      <c r="K806" t="inlineStr">
        <is>
          <t>London</t>
        </is>
      </c>
      <c r="L806" t="inlineStr">
        <is>
          <t>London, United Kingdom</t>
        </is>
      </c>
      <c r="M806" t="n">
        <v>51.5074456</v>
      </c>
      <c r="N806" t="n">
        <v>-0.1277653</v>
      </c>
      <c r="O806" s="1" t="inlineStr">
        <is>
          <t>United Kingdom</t>
        </is>
      </c>
      <c r="P806" s="1" t="inlineStr">
        <is>
          <t>United Kingdom</t>
        </is>
      </c>
      <c r="Q806" s="1" t="inlineStr">
        <is>
          <t>0 to 10</t>
        </is>
      </c>
      <c r="R806" t="inlineStr">
        <is>
          <t>Micro</t>
        </is>
      </c>
      <c r="S806" s="1" t="inlineStr">
        <is>
          <t>Business to Consumer</t>
        </is>
      </c>
      <c r="T806" s="1" t="inlineStr">
        <is>
          <t>Secondary Education</t>
        </is>
      </c>
      <c r="U806" s="1" t="inlineStr">
        <is>
          <t>System/Administrative, Student interfacing, Teacher interfacing</t>
        </is>
      </c>
      <c r="V806" s="1" t="n"/>
      <c r="W806" s="1" t="inlineStr">
        <is>
          <t>https://drive.google.com/uc?export=view&amp;id=1xYuFlZ-0FvLfFf1Y5YII4VUiN-teA6-f</t>
        </is>
      </c>
      <c r="X806" s="1" t="inlineStr">
        <is>
          <t>https://drive.google.com/uc?export=view&amp;id=1xYuFlZ-0FvLfFf1Y5YII4VUiN-teA6-f</t>
        </is>
      </c>
      <c r="Y806" t="inlineStr">
        <is>
          <t>https://drive.google.com/uc?export=view&amp;id=1xYuFlZ-0FvLfFf1Y5YII4VUiN-teA6-f</t>
        </is>
      </c>
      <c r="Z806" s="1" t="inlineStr">
        <is>
          <t>https://drive.google.com/uc?export=view&amp;id=1xYuFlZ-0FvLfFf1Y5YII4VUiN-teA6-f</t>
        </is>
      </c>
      <c r="AA806" s="1" t="inlineStr">
        <is>
          <t>Unverified</t>
        </is>
      </c>
      <c r="AB806" s="1" t="n"/>
      <c r="AC806" s="1" t="n"/>
      <c r="AD806" s="10" t="n"/>
      <c r="AE806" s="1" t="n"/>
      <c r="AF806" t="inlineStr">
        <is>
          <t>No</t>
        </is>
      </c>
    </row>
    <row r="807" ht="12.5" customHeight="1">
      <c r="A807" s="6" t="n">
        <v>45181</v>
      </c>
      <c r="B807" s="1" t="inlineStr">
        <is>
          <t>ORG_1732</t>
        </is>
      </c>
      <c r="C807" s="1" t="b">
        <v>1</v>
      </c>
      <c r="D807" s="1" t="inlineStr">
        <is>
          <t>INTO Financial Coaching</t>
        </is>
      </c>
      <c r="E807" s="10" t="inlineStr">
        <is>
          <t>https://www.independent-together.com/</t>
        </is>
      </c>
      <c r="F807" t="inlineStr">
        <is>
          <t>independent-together.com</t>
        </is>
      </c>
      <c r="G807" s="1" t="inlineStr">
        <is>
          <t>INTO democratizes financial well-being. We deeply believe that our behavior and mindset are key when it comes to managing our money in a healthy and thriving manner.
We offer a range of classes using a behavioral group-coaching model that enables independent, self-reliant decision-making. We also hold you accountable to actually act on your learnings and offer a wide range of unique tools that will make your personal money management easy. 
Our members meet regularly online and offline. Together we form an engaging, fun and safe tribe where you can work your own financial well being. Independent yet together with likeminded spirits. 
We promise, if you walk the walk with us, you will be at peace with your money within a couple of months. Do it yourself – supported by a strong tribe!</t>
        </is>
      </c>
      <c r="H807" s="1" t="inlineStr">
        <is>
          <t>I'm not part of any EdTech association</t>
        </is>
      </c>
      <c r="I807" s="1" t="n"/>
      <c r="J807" s="1" t="inlineStr">
        <is>
          <t>Berlin</t>
        </is>
      </c>
      <c r="K807" t="inlineStr">
        <is>
          <t>Berlin</t>
        </is>
      </c>
      <c r="L807" t="inlineStr">
        <is>
          <t>Berlin, Germany</t>
        </is>
      </c>
      <c r="M807" t="n">
        <v>52.5173885</v>
      </c>
      <c r="N807" t="n">
        <v>13.3951309</v>
      </c>
      <c r="O807" s="1" t="inlineStr">
        <is>
          <t>Germany</t>
        </is>
      </c>
      <c r="P807" s="1" t="inlineStr">
        <is>
          <t>Austria, France, Germany, Greece, Ireland, Norway, Poland, Portugal, Spain, Sweden, Switzerland, Ukraine, United Kingdom</t>
        </is>
      </c>
      <c r="Q807" s="1" t="inlineStr">
        <is>
          <t>0 to 10</t>
        </is>
      </c>
      <c r="R807" t="inlineStr">
        <is>
          <t>Micro</t>
        </is>
      </c>
      <c r="S807" s="1" t="inlineStr">
        <is>
          <t>Business to Business, Business to Consumer</t>
        </is>
      </c>
      <c r="T807" s="1" t="inlineStr">
        <is>
          <t>Corporate Training, Lifelong learning/Adult education</t>
        </is>
      </c>
      <c r="U807" s="1" t="inlineStr">
        <is>
          <t>Student interfacing, System/Administrative</t>
        </is>
      </c>
      <c r="V807" s="1" t="n"/>
      <c r="W807" s="1" t="inlineStr">
        <is>
          <t>https://drive.google.com/uc?export=view&amp;id=1PMY6h4jIX_XXvo_ySf4kjH1pKHWXjKR_</t>
        </is>
      </c>
      <c r="X807" s="1" t="inlineStr">
        <is>
          <t>https://drive.google.com/uc?export=view&amp;id=1PMY6h4jIX_XXvo_ySf4kjH1pKHWXjKR_</t>
        </is>
      </c>
      <c r="Y807" t="inlineStr">
        <is>
          <t>https://drive.google.com/uc?export=view&amp;id=1PMY6h4jIX_XXvo_ySf4kjH1pKHWXjKR_</t>
        </is>
      </c>
      <c r="Z807" s="1" t="inlineStr">
        <is>
          <t>https://drive.google.com/uc?export=view&amp;id=1PMY6h4jIX_XXvo_ySf4kjH1pKHWXjKR_</t>
        </is>
      </c>
      <c r="AA807" s="1" t="inlineStr">
        <is>
          <t>Unverified</t>
        </is>
      </c>
      <c r="AB807" s="1" t="n"/>
      <c r="AC807" s="1" t="n"/>
      <c r="AD807" s="10" t="n"/>
      <c r="AE807" s="1" t="n"/>
      <c r="AF807" t="inlineStr">
        <is>
          <t>No</t>
        </is>
      </c>
    </row>
    <row r="808" ht="12.5" customHeight="1">
      <c r="A808" s="6" t="n">
        <v>45181</v>
      </c>
      <c r="B808" s="1" t="inlineStr">
        <is>
          <t>ORG_1581</t>
        </is>
      </c>
      <c r="C808" s="1" t="b">
        <v>1</v>
      </c>
      <c r="D808" s="1" t="inlineStr">
        <is>
          <t>FoxEducation Spain</t>
        </is>
      </c>
      <c r="E808" s="10" t="inlineStr">
        <is>
          <t>https://foxeducation.com/es/</t>
        </is>
      </c>
      <c r="F808" t="inlineStr">
        <is>
          <t>foxeducation.com/es</t>
        </is>
      </c>
      <c r="G808" s="1" t="inlineStr">
        <is>
          <t>FoxEducation helps every educational institution taking the next step into the digital world. As a reliable partner to thousands of schools, daycare centers, boards and municipalities, we support your digitisation at every stage.</t>
        </is>
      </c>
      <c r="H808" s="1" t="inlineStr">
        <is>
          <t>EduTech Cluster Spain</t>
        </is>
      </c>
      <c r="I808" s="1" t="n"/>
      <c r="J808" s="1" t="inlineStr">
        <is>
          <t>Madrid</t>
        </is>
      </c>
      <c r="K808" t="inlineStr">
        <is>
          <t>Madrid</t>
        </is>
      </c>
      <c r="L808" t="inlineStr">
        <is>
          <t>Madrid, Spain</t>
        </is>
      </c>
      <c r="M808" t="n">
        <v>40.416782</v>
      </c>
      <c r="N808" t="n">
        <v>-3.703507</v>
      </c>
      <c r="O808" s="1" t="inlineStr">
        <is>
          <t>Spain</t>
        </is>
      </c>
      <c r="P808" s="1" t="inlineStr">
        <is>
          <t>Spain</t>
        </is>
      </c>
      <c r="Q808" s="1" t="inlineStr">
        <is>
          <t>0 to 10</t>
        </is>
      </c>
      <c r="R808" t="inlineStr">
        <is>
          <t>Micro</t>
        </is>
      </c>
      <c r="S808" s="1" t="inlineStr">
        <is>
          <t>Business to Business</t>
        </is>
      </c>
      <c r="T808" s="1" t="inlineStr">
        <is>
          <t>Primary Education, Secondary Education</t>
        </is>
      </c>
      <c r="U808" s="1" t="inlineStr">
        <is>
          <t>System/Administrative, Teacher interfacing</t>
        </is>
      </c>
      <c r="V808" s="10" t="inlineStr">
        <is>
          <t>SchoolFox</t>
        </is>
      </c>
      <c r="W808" s="1" t="inlineStr">
        <is>
          <t>SchoolFox is an integrated messenger, organiser and LMS. With file storage, group chats and video lessons. For all school types and age groups. This is how school works from anywhere!</t>
        </is>
      </c>
      <c r="X808" s="10" t="inlineStr">
        <is>
          <t>KidsFox</t>
        </is>
      </c>
      <c r="Y808" t="inlineStr">
        <is>
          <t>The Daycare-Messenger 3 in 1: Messenger, digital assistant and organisation. With cloud storage, video conference &amp; group chats. Especially for daycare centers and kindergartens.</t>
        </is>
      </c>
      <c r="Z808" s="1" t="inlineStr">
        <is>
          <t>https://drive.google.com/uc?export=view&amp;id=10jSYGqK0qNd3hBVzcdBQFWbn91Zc8saE</t>
        </is>
      </c>
      <c r="AA808" s="1" t="inlineStr">
        <is>
          <t>Unverified</t>
        </is>
      </c>
      <c r="AB808" s="1" t="n"/>
      <c r="AC808" s="1" t="n"/>
      <c r="AD808" s="10" t="n"/>
      <c r="AE808" s="1" t="n"/>
      <c r="AF808" t="inlineStr">
        <is>
          <t>Yes</t>
        </is>
      </c>
      <c r="AG808" t="inlineStr">
        <is>
          <t>https://www.instagram.com/foxeducation_es/</t>
        </is>
      </c>
      <c r="AH808" t="inlineStr">
        <is>
          <t>https://www.linkedin.com/company/foxeducation-espana</t>
        </is>
      </c>
      <c r="AI808" t="inlineStr">
        <is>
          <t>https://www.linkedin.com/company/foxeducation-espana</t>
        </is>
      </c>
    </row>
    <row r="809" ht="12.5" customHeight="1">
      <c r="A809" s="6" t="n">
        <v>45181</v>
      </c>
      <c r="B809" s="1" t="inlineStr">
        <is>
          <t>ORG_1733</t>
        </is>
      </c>
      <c r="C809" s="1" t="b">
        <v>1</v>
      </c>
      <c r="D809" s="1" t="inlineStr">
        <is>
          <t>Intralíneas</t>
        </is>
      </c>
      <c r="E809" s="10" t="inlineStr">
        <is>
          <t>https://www.intralineas.com/</t>
        </is>
      </c>
      <c r="F809" t="inlineStr">
        <is>
          <t>intralineas.com</t>
        </is>
      </c>
      <c r="G809" s="1" t="inlineStr">
        <is>
          <t>Intralíneas offers a wide selection of texts classified in three levels of dificulty, enriched with questions, notes and tasks to improve reading comprehension, based on best practices in this area; including resources for the explicit teaching of reading comprehension strategies. Teachers can interact with students from the texts, personalise their reading assiggnments and track their performance as a group and individually.</t>
        </is>
      </c>
      <c r="H809" s="1" t="inlineStr">
        <is>
          <t>I'm not part of any EdTech association</t>
        </is>
      </c>
      <c r="I809" s="1" t="n"/>
      <c r="J809" s="1" t="inlineStr">
        <is>
          <t>Madrid</t>
        </is>
      </c>
      <c r="K809" t="inlineStr">
        <is>
          <t>Madrid</t>
        </is>
      </c>
      <c r="L809" t="inlineStr">
        <is>
          <t>Madrid, Spain</t>
        </is>
      </c>
      <c r="M809" t="n">
        <v>40.416782</v>
      </c>
      <c r="N809" t="n">
        <v>-3.703507</v>
      </c>
      <c r="O809" s="1" t="inlineStr">
        <is>
          <t>Spain</t>
        </is>
      </c>
      <c r="P809" s="1" t="inlineStr">
        <is>
          <t>Spain</t>
        </is>
      </c>
      <c r="Q809" s="1" t="inlineStr">
        <is>
          <t>0 to 10</t>
        </is>
      </c>
      <c r="R809" t="inlineStr">
        <is>
          <t>Micro</t>
        </is>
      </c>
      <c r="S809" s="1" t="inlineStr">
        <is>
          <t>Business to Government, Business to Schools</t>
        </is>
      </c>
      <c r="T809" s="1" t="inlineStr">
        <is>
          <t>Primary Education, Secondary Education</t>
        </is>
      </c>
      <c r="U809" s="1" t="inlineStr">
        <is>
          <t>Student interfacing, Teacher interfacing</t>
        </is>
      </c>
      <c r="V809" s="1" t="n"/>
      <c r="W809" s="1" t="inlineStr">
        <is>
          <t>https://drive.google.com/uc?export=view&amp;id=1T-ztAP3TrpHpfeY97B3FssXt2YiScdrZ</t>
        </is>
      </c>
      <c r="X809" s="1" t="inlineStr">
        <is>
          <t>https://drive.google.com/uc?export=view&amp;id=1T-ztAP3TrpHpfeY97B3FssXt2YiScdrZ</t>
        </is>
      </c>
      <c r="Y809" t="inlineStr">
        <is>
          <t>https://drive.google.com/uc?export=view&amp;id=1T-ztAP3TrpHpfeY97B3FssXt2YiScdrZ</t>
        </is>
      </c>
      <c r="Z809" s="1" t="inlineStr">
        <is>
          <t>https://drive.google.com/uc?export=view&amp;id=1T-ztAP3TrpHpfeY97B3FssXt2YiScdrZ</t>
        </is>
      </c>
      <c r="AA809" s="1" t="inlineStr">
        <is>
          <t>Unverified</t>
        </is>
      </c>
      <c r="AB809" s="1" t="n"/>
      <c r="AC809" s="1" t="n"/>
      <c r="AD809" s="10" t="n"/>
      <c r="AE809" s="1" t="n"/>
      <c r="AF809" t="inlineStr">
        <is>
          <t>No</t>
        </is>
      </c>
    </row>
    <row r="810" ht="12.5" customHeight="1">
      <c r="A810" s="6" t="n">
        <v>45181</v>
      </c>
      <c r="B810" s="1" t="inlineStr">
        <is>
          <t>ORG_2244</t>
        </is>
      </c>
      <c r="C810" s="1" t="b">
        <v>1</v>
      </c>
      <c r="D810" s="1" t="inlineStr">
        <is>
          <t>simpleclub</t>
        </is>
      </c>
      <c r="E810" s="10" t="inlineStr">
        <is>
          <t>https://simpleclub.com/</t>
        </is>
      </c>
      <c r="F810" t="inlineStr">
        <is>
          <t>simpleclub.com</t>
        </is>
      </c>
      <c r="G810" s="1" t="inlineStr">
        <is>
          <t>simpleclub is the most loved learning app for students in Germany with over 2M monthly users. The company offers the best digital learning content for secondary school and apprenticeships, powered by state-of-the art technology.
The content consists of learning videos, interactive exercises, summaries, personalised learning plans and flashcards. The learning experience is personalised and engaging by using gamification and an at eye level UX.
Created by experts and used by thousands of teachers, simpleclub is not only a product in the afternoon market but already a replacement for traditional learning material.
The company just raised a 7M€ Series A (backed by investors like HV capital) and will start the international expansion to Spain &amp; LATAM end of this year.</t>
        </is>
      </c>
      <c r="H810" s="1" t="inlineStr">
        <is>
          <t>I'm not part of any EdTech association</t>
        </is>
      </c>
      <c r="I810" s="1" t="n"/>
      <c r="J810" s="1" t="inlineStr">
        <is>
          <t>Gruenwald</t>
        </is>
      </c>
      <c r="K810" t="inlineStr">
        <is>
          <t>Gruenwald</t>
        </is>
      </c>
      <c r="L810" t="inlineStr">
        <is>
          <t>Gruenwald, Germany</t>
        </is>
      </c>
      <c r="M810" t="n">
        <v>48.0486558</v>
      </c>
      <c r="N810" t="n">
        <v>11.5300727</v>
      </c>
      <c r="O810" s="1" t="inlineStr">
        <is>
          <t>Germany</t>
        </is>
      </c>
      <c r="P810" s="1" t="inlineStr">
        <is>
          <t>Austria, Germany, Switzerland</t>
        </is>
      </c>
      <c r="Q810" s="1" t="inlineStr">
        <is>
          <t>51 to 100</t>
        </is>
      </c>
      <c r="R810" t="inlineStr">
        <is>
          <t>Medium</t>
        </is>
      </c>
      <c r="S810" s="1" t="inlineStr">
        <is>
          <t>Business to Business, Business to Consumer</t>
        </is>
      </c>
      <c r="T810" s="1" t="inlineStr">
        <is>
          <t>Secondary Education, Higher Education, Corporate Training</t>
        </is>
      </c>
      <c r="U810" s="1" t="inlineStr">
        <is>
          <t>System/Administrative, Student interfacing, Teacher interfacing</t>
        </is>
      </c>
      <c r="V810" s="1" t="n"/>
      <c r="W810" s="1" t="inlineStr">
        <is>
          <t>https://drive.google.com/uc?export=view&amp;id=1mJ9OZBMs2DTmrPAlAMZ4KyaoGXGXhv3G</t>
        </is>
      </c>
      <c r="X810" s="1" t="inlineStr">
        <is>
          <t>https://drive.google.com/uc?export=view&amp;id=1mJ9OZBMs2DTmrPAlAMZ4KyaoGXGXhv3G</t>
        </is>
      </c>
      <c r="Y810" t="inlineStr">
        <is>
          <t>https://drive.google.com/uc?export=view&amp;id=1mJ9OZBMs2DTmrPAlAMZ4KyaoGXGXhv3G</t>
        </is>
      </c>
      <c r="Z810" s="1" t="inlineStr">
        <is>
          <t>https://drive.google.com/uc?export=view&amp;id=1mJ9OZBMs2DTmrPAlAMZ4KyaoGXGXhv3G</t>
        </is>
      </c>
      <c r="AA810" s="1" t="inlineStr">
        <is>
          <t>Unverified</t>
        </is>
      </c>
      <c r="AB810" s="1" t="n"/>
      <c r="AC810" s="1" t="n"/>
      <c r="AD810" s="10" t="n"/>
      <c r="AE810" s="1" t="n"/>
      <c r="AF810" s="1" t="inlineStr">
        <is>
          <t>No</t>
        </is>
      </c>
      <c r="AG810" s="1" t="n"/>
      <c r="AH810" s="1" t="n"/>
      <c r="AI810" s="1" t="n"/>
      <c r="AJ810" s="1" t="n"/>
    </row>
    <row r="811" ht="12.5" customHeight="1">
      <c r="A811" s="6" t="n">
        <v>45181</v>
      </c>
      <c r="B811" s="1" t="inlineStr">
        <is>
          <t>ORG_1040</t>
        </is>
      </c>
      <c r="C811" s="1" t="b">
        <v>1</v>
      </c>
      <c r="D811" s="1" t="inlineStr">
        <is>
          <t>Aequaland Studio SA</t>
        </is>
      </c>
      <c r="E811" s="10" t="inlineStr">
        <is>
          <t>https://aequaland.com/</t>
        </is>
      </c>
      <c r="F811" t="inlineStr">
        <is>
          <t>aequaland.com</t>
        </is>
      </c>
      <c r="G811" s="1" t="inlineStr">
        <is>
          <t>We are making learning inclusive and fun. Here’s how: we are an impact-driven edtech company building a video game platform on a mission to create meaningful games that inspire positive change in the world. We aim to encourage children to celebrate their uniqueness, foster their differences and pursue their dreams. We offer a fully gamified learning platform to schools for kids 6 to 11 years old. We focus on gaming for empowerment versus entertainment. Our digital and physical games foster metacognition, reinforce learning and enhance 21st-century skills. With over 30 years of experience in the field of games and education; we want to create a better world through the experiences we make to inspire and develop the game-changers of tomorrow. Women-owned-founded-led edtech startup on a mission to disrupt traditional education!</t>
        </is>
      </c>
      <c r="H811" s="1" t="inlineStr">
        <is>
          <t>Swiss EdTech Collider</t>
        </is>
      </c>
      <c r="I811" s="1" t="n"/>
      <c r="J811" s="1" t="inlineStr">
        <is>
          <t>Lausanne</t>
        </is>
      </c>
      <c r="K811" t="inlineStr">
        <is>
          <t>Lausanne</t>
        </is>
      </c>
      <c r="L811" t="inlineStr">
        <is>
          <t>Lausanne, Switzerland</t>
        </is>
      </c>
      <c r="M811" t="n">
        <v>46.5218269</v>
      </c>
      <c r="N811" t="n">
        <v>6.6327025</v>
      </c>
      <c r="O811" s="1" t="inlineStr">
        <is>
          <t>Switzerland</t>
        </is>
      </c>
      <c r="P811" s="1" t="inlineStr">
        <is>
          <t>Switzerland, United Kingdom</t>
        </is>
      </c>
      <c r="Q811" s="1" t="inlineStr">
        <is>
          <t>0 to 10</t>
        </is>
      </c>
      <c r="R811" t="inlineStr">
        <is>
          <t>Micro</t>
        </is>
      </c>
      <c r="S811" s="1" t="inlineStr">
        <is>
          <t>Business to Business, Business to Schools</t>
        </is>
      </c>
      <c r="T811" s="1" t="inlineStr">
        <is>
          <t>Primary Education</t>
        </is>
      </c>
      <c r="U811" s="1" t="inlineStr">
        <is>
          <t>System/Administrative, Student interfacing, Teacher interfacing</t>
        </is>
      </c>
      <c r="V811" s="10" t="inlineStr">
        <is>
          <t>Shivering Slopes</t>
        </is>
      </c>
      <c r="W811" s="10" t="inlineStr">
        <is>
          <t>The first mini-games are set in the North Pole to bring learning about climate change.</t>
        </is>
      </c>
      <c r="X811" s="10" t="inlineStr">
        <is>
          <t>Mellow Meadows</t>
        </is>
      </c>
      <c r="Y811" t="inlineStr">
        <is>
          <t>The second focused on bees and conservation.</t>
        </is>
      </c>
      <c r="Z811" s="1" t="inlineStr">
        <is>
          <t>https://drive.google.com/uc?export=view&amp;id=1N5Ty4o3b_NDTZ_bP-Uk2ycUv0WIg1Jd5</t>
        </is>
      </c>
      <c r="AA811" s="1" t="inlineStr">
        <is>
          <t>Unverified</t>
        </is>
      </c>
      <c r="AB811" s="1" t="n"/>
      <c r="AC811" s="1" t="n"/>
      <c r="AD811" s="10" t="n"/>
      <c r="AE811" s="1" t="n"/>
      <c r="AF811" s="1" t="inlineStr">
        <is>
          <t>Yes</t>
        </is>
      </c>
      <c r="AG811" s="1" t="inlineStr">
        <is>
          <t>https://www.instagram.com/aequaland/</t>
        </is>
      </c>
      <c r="AH811" s="1" t="inlineStr">
        <is>
          <t>https://twitter.com/aequaland</t>
        </is>
      </c>
      <c r="AI811" s="1" t="inlineStr">
        <is>
          <t>https://www.linkedin.com/company/equaland</t>
        </is>
      </c>
      <c r="AJ811" s="1" t="n"/>
    </row>
    <row r="812" ht="12.5" customHeight="1">
      <c r="A812" s="6" t="n">
        <v>45181</v>
      </c>
      <c r="B812" s="1" t="inlineStr">
        <is>
          <t>ORG_1415</t>
        </is>
      </c>
      <c r="C812" s="1" t="b">
        <v>1</v>
      </c>
      <c r="D812" s="1" t="inlineStr">
        <is>
          <t>Edquip</t>
        </is>
      </c>
      <c r="E812" s="10" t="inlineStr">
        <is>
          <t>https://edquip.co/</t>
        </is>
      </c>
      <c r="F812" t="inlineStr">
        <is>
          <t>edquip.co</t>
        </is>
      </c>
      <c r="G812" s="1" t="inlineStr">
        <is>
          <t>Edquip is a B2B marketplace for technical training tools used in vocational training and engineering education. We help customers educate themselves before making purchase decisions, and suppliers to reach a wider audience of decision makers.</t>
        </is>
      </c>
      <c r="H812" s="1" t="inlineStr">
        <is>
          <t>I'm not part of any EdTech association</t>
        </is>
      </c>
      <c r="I812" s="1" t="n"/>
      <c r="J812" s="1" t="inlineStr">
        <is>
          <t>Prague</t>
        </is>
      </c>
      <c r="K812" t="inlineStr">
        <is>
          <t>Prague</t>
        </is>
      </c>
      <c r="L812" t="inlineStr">
        <is>
          <t>Prague, Czech Republic</t>
        </is>
      </c>
      <c r="M812" t="n">
        <v>50.0864234</v>
      </c>
      <c r="N812" t="n">
        <v>14.4156772</v>
      </c>
      <c r="O812" s="1" t="inlineStr">
        <is>
          <t>Czech Republic</t>
        </is>
      </c>
      <c r="P812" s="1" t="inlineStr">
        <is>
          <t>United Kingdom</t>
        </is>
      </c>
      <c r="Q812" s="1" t="inlineStr">
        <is>
          <t>0 to 10</t>
        </is>
      </c>
      <c r="R812" t="inlineStr">
        <is>
          <t>Micro</t>
        </is>
      </c>
      <c r="S812" s="1" t="inlineStr">
        <is>
          <t>Business to Business</t>
        </is>
      </c>
      <c r="T812" s="1" t="inlineStr">
        <is>
          <t>Higher Education, Corporate Training</t>
        </is>
      </c>
      <c r="U812" s="1" t="inlineStr">
        <is>
          <t>Teacher interfacing, System/Administrative</t>
        </is>
      </c>
      <c r="V812" s="1" t="n"/>
      <c r="W812" s="1" t="inlineStr">
        <is>
          <t>https://drive.google.com/uc?export=view&amp;id=1USL7CzgOEfx-k5YxDIm-OI5zYys5ycCD</t>
        </is>
      </c>
      <c r="X812" s="1" t="inlineStr">
        <is>
          <t>https://drive.google.com/uc?export=view&amp;id=1USL7CzgOEfx-k5YxDIm-OI5zYys5ycCD</t>
        </is>
      </c>
      <c r="Y812" t="inlineStr">
        <is>
          <t>https://drive.google.com/uc?export=view&amp;id=1USL7CzgOEfx-k5YxDIm-OI5zYys5ycCD</t>
        </is>
      </c>
      <c r="Z812" s="1" t="inlineStr">
        <is>
          <t>https://drive.google.com/uc?export=view&amp;id=1USL7CzgOEfx-k5YxDIm-OI5zYys5ycCD</t>
        </is>
      </c>
      <c r="AA812" s="1" t="inlineStr">
        <is>
          <t>Unverified</t>
        </is>
      </c>
      <c r="AB812" s="1" t="n"/>
      <c r="AC812" s="1" t="n"/>
      <c r="AD812" s="10" t="n"/>
      <c r="AE812" s="1" t="n"/>
      <c r="AF812" t="inlineStr">
        <is>
          <t>No</t>
        </is>
      </c>
    </row>
    <row r="813" ht="12.5" customHeight="1">
      <c r="A813" s="6" t="n">
        <v>45181</v>
      </c>
      <c r="B813" s="1" t="inlineStr">
        <is>
          <t>ORG_2118</t>
        </is>
      </c>
      <c r="C813" s="1" t="b">
        <v>1</v>
      </c>
      <c r="D813" s="1" t="inlineStr">
        <is>
          <t>Poppins &amp; Wayne</t>
        </is>
      </c>
      <c r="E813" s="10" t="inlineStr">
        <is>
          <t>https://poppinswayne.com/</t>
        </is>
      </c>
      <c r="F813" t="inlineStr">
        <is>
          <t>poppinswayne.com</t>
        </is>
      </c>
      <c r="G813" s="1" t="inlineStr">
        <is>
          <t>When Story meets Technology, Imagination comes to Life.</t>
        </is>
      </c>
      <c r="H813" s="1" t="inlineStr">
        <is>
          <t>I'm not part of any EdTech association</t>
        </is>
      </c>
      <c r="I813" s="1" t="n"/>
      <c r="J813" s="1" t="inlineStr">
        <is>
          <t>Antwerp</t>
        </is>
      </c>
      <c r="K813" t="inlineStr">
        <is>
          <t>Antwerp</t>
        </is>
      </c>
      <c r="L813" t="inlineStr">
        <is>
          <t>Antwerp, Belgium</t>
        </is>
      </c>
      <c r="M813" t="n">
        <v>51.2477367</v>
      </c>
      <c r="N813" t="n">
        <v>4.776576</v>
      </c>
      <c r="O813" s="1" t="inlineStr">
        <is>
          <t>Belgium</t>
        </is>
      </c>
      <c r="P813" s="1" t="inlineStr">
        <is>
          <t>Belgium, Bulgaria, France, Germany, Montenegro, Netherlands, Spain</t>
        </is>
      </c>
      <c r="Q813" s="1" t="inlineStr">
        <is>
          <t>0 to 10</t>
        </is>
      </c>
      <c r="R813" t="inlineStr">
        <is>
          <t>Micro</t>
        </is>
      </c>
      <c r="S813" s="1" t="inlineStr">
        <is>
          <t>Business to Business, Business to Consumer, Business to Government, Business to Schools</t>
        </is>
      </c>
      <c r="T813" s="1" t="inlineStr">
        <is>
          <t>Early childhood development (0-5 years), Primary Education, Secondary Education, Higher Education, Corporate Training</t>
        </is>
      </c>
      <c r="U813" s="1" t="inlineStr">
        <is>
          <t>System/Administrative</t>
        </is>
      </c>
      <c r="V813" s="1" t="n"/>
      <c r="W813" s="1" t="inlineStr">
        <is>
          <t>https://drive.google.com/uc?export=view&amp;id=1tMglr_S9dNwP6dZCCB3vdoet_hyvcijE</t>
        </is>
      </c>
      <c r="X813" s="1" t="inlineStr">
        <is>
          <t>https://drive.google.com/uc?export=view&amp;id=1tMglr_S9dNwP6dZCCB3vdoet_hyvcijE</t>
        </is>
      </c>
      <c r="Y813" t="inlineStr">
        <is>
          <t>https://drive.google.com/uc?export=view&amp;id=1tMglr_S9dNwP6dZCCB3vdoet_hyvcijE</t>
        </is>
      </c>
      <c r="Z813" s="1" t="inlineStr">
        <is>
          <t>https://drive.google.com/uc?export=view&amp;id=1tMglr_S9dNwP6dZCCB3vdoet_hyvcijE</t>
        </is>
      </c>
      <c r="AA813" s="1" t="inlineStr">
        <is>
          <t>Unverified</t>
        </is>
      </c>
      <c r="AB813" s="1" t="n"/>
      <c r="AC813" s="1" t="n"/>
      <c r="AD813" s="10" t="n"/>
      <c r="AE813" s="1" t="n"/>
      <c r="AF813" s="1" t="inlineStr">
        <is>
          <t>No</t>
        </is>
      </c>
      <c r="AG813" s="1" t="n"/>
    </row>
    <row r="814" ht="12.5" customHeight="1">
      <c r="A814" s="6" t="n">
        <v>45181</v>
      </c>
      <c r="B814" s="1" t="inlineStr">
        <is>
          <t>ORG_2233</t>
        </is>
      </c>
      <c r="C814" s="1" t="b">
        <v>1</v>
      </c>
      <c r="D814" s="1" t="inlineStr">
        <is>
          <t>ShareLMS</t>
        </is>
      </c>
      <c r="E814" s="10" t="inlineStr">
        <is>
          <t>https://www.sharelms.com</t>
        </is>
      </c>
      <c r="F814" t="inlineStr">
        <is>
          <t>sharelms.com</t>
        </is>
      </c>
      <c r="G814" s="1" t="inlineStr">
        <is>
          <t>ShareLMS is a next generation lms with innovative modules-made in austria. In Curriculator national and international experts develop and evaluate online a curriculum and can create for activated results together courses with a lot of specific functions. With new curriculator you can also evaluate job descriptions, skills or (political) campaigns. In Clustermodule organizations, schools, universities or companies can built together educational clusters with different roles for users in different instances. For more details and all integrated functions and modules pls. visit our homepage.</t>
        </is>
      </c>
      <c r="H814" s="1" t="inlineStr">
        <is>
          <t>I'm not part of any EdTech association</t>
        </is>
      </c>
      <c r="I814" s="1" t="n"/>
      <c r="J814" s="1" t="inlineStr">
        <is>
          <t>Vienna</t>
        </is>
      </c>
      <c r="K814" t="inlineStr">
        <is>
          <t>Vienna</t>
        </is>
      </c>
      <c r="L814" t="inlineStr">
        <is>
          <t>Vienna, Austria</t>
        </is>
      </c>
      <c r="M814" t="n">
        <v>48.2083537</v>
      </c>
      <c r="N814" t="n">
        <v>16.3725042</v>
      </c>
      <c r="O814" s="1" t="inlineStr">
        <is>
          <t>Austria</t>
        </is>
      </c>
      <c r="P814" s="1" t="inlineStr">
        <is>
          <t>Austria</t>
        </is>
      </c>
      <c r="Q814" s="1" t="inlineStr">
        <is>
          <t>0 to 10</t>
        </is>
      </c>
      <c r="R814" t="inlineStr">
        <is>
          <t>Micro</t>
        </is>
      </c>
      <c r="S814" s="1" t="inlineStr">
        <is>
          <t>Business to Government, Business to Schools</t>
        </is>
      </c>
      <c r="T814" s="1" t="inlineStr">
        <is>
          <t>Secondary Education, Higher Education, Corporate Training, Lifelong learning/Adult education</t>
        </is>
      </c>
      <c r="U814" s="1" t="inlineStr">
        <is>
          <t>Student interfacing, Teacher interfacing, System/Administrative</t>
        </is>
      </c>
      <c r="V814" s="1" t="n"/>
      <c r="W814" s="1" t="inlineStr">
        <is>
          <t>https://drive.google.com/uc?export=view&amp;id=1VFsBa-nQCPhfA_JZKlWRG3wvEG59EOIl</t>
        </is>
      </c>
      <c r="X814" s="1" t="inlineStr">
        <is>
          <t>https://drive.google.com/uc?export=view&amp;id=1VFsBa-nQCPhfA_JZKlWRG3wvEG59EOIl</t>
        </is>
      </c>
      <c r="Y814" t="inlineStr">
        <is>
          <t>https://drive.google.com/uc?export=view&amp;id=1VFsBa-nQCPhfA_JZKlWRG3wvEG59EOIl</t>
        </is>
      </c>
      <c r="Z814" s="1" t="inlineStr">
        <is>
          <t>https://drive.google.com/uc?export=view&amp;id=1VFsBa-nQCPhfA_JZKlWRG3wvEG59EOIl</t>
        </is>
      </c>
      <c r="AA814" s="1" t="inlineStr">
        <is>
          <t>Unverified</t>
        </is>
      </c>
      <c r="AB814" s="1" t="n"/>
      <c r="AC814" s="1" t="n"/>
      <c r="AD814" s="10" t="n"/>
      <c r="AE814" s="1" t="n"/>
      <c r="AF814" s="1" t="inlineStr">
        <is>
          <t>No</t>
        </is>
      </c>
      <c r="AG814" s="1" t="n"/>
    </row>
    <row r="815" ht="12.5" customHeight="1">
      <c r="A815" s="6" t="n">
        <v>45181</v>
      </c>
      <c r="B815" s="1" t="inlineStr">
        <is>
          <t>ORG_2486</t>
        </is>
      </c>
      <c r="C815" s="1" t="b">
        <v>1</v>
      </c>
      <c r="D815" s="1" t="inlineStr">
        <is>
          <t>Veritas</t>
        </is>
      </c>
      <c r="E815" s="10" t="inlineStr">
        <is>
          <t>www.veritas.at</t>
        </is>
      </c>
      <c r="F815" t="inlineStr">
        <is>
          <t>veritas.at</t>
        </is>
      </c>
      <c r="G815" s="1" t="inlineStr">
        <is>
          <t>VERITAS is Austria's largest educational publisher and at the same time a valuable part of a strong international education group. With high-quality, innovative and practice-oriented teaching and learning products, we support teachers, students and parents in achieving the best possible learning success. Our digital portfolio includes products such as E-Book PLUS, VERITAS Mediathek App, VERA or the VERITAS easy App.</t>
        </is>
      </c>
      <c r="H815" s="1" t="inlineStr">
        <is>
          <t>EdTech Austria</t>
        </is>
      </c>
      <c r="I815" s="1" t="n"/>
      <c r="J815" s="1" t="inlineStr">
        <is>
          <t>Linz</t>
        </is>
      </c>
      <c r="K815" t="inlineStr">
        <is>
          <t>Linz</t>
        </is>
      </c>
      <c r="L815" t="inlineStr">
        <is>
          <t>Linz, Austria</t>
        </is>
      </c>
      <c r="M815" t="n">
        <v>48.3059078</v>
      </c>
      <c r="N815" t="n">
        <v>14.286198</v>
      </c>
      <c r="O815" s="1" t="inlineStr">
        <is>
          <t>Austria</t>
        </is>
      </c>
      <c r="P815" s="1" t="inlineStr">
        <is>
          <t>Austria</t>
        </is>
      </c>
      <c r="Q815" s="1" t="inlineStr">
        <is>
          <t>100+</t>
        </is>
      </c>
      <c r="R815" t="inlineStr">
        <is>
          <t>Medium or Large (unspecified)</t>
        </is>
      </c>
      <c r="S815" s="1" t="inlineStr">
        <is>
          <t>Business to Consumer</t>
        </is>
      </c>
      <c r="T815" s="1" t="inlineStr">
        <is>
          <t>Primary Education, Secondary Education</t>
        </is>
      </c>
      <c r="U815" s="1" t="inlineStr">
        <is>
          <t>System/Administrative, Student interfacing, Teacher interfacing</t>
        </is>
      </c>
      <c r="V815" s="1" t="inlineStr">
        <is>
          <t>E-Book PLUS</t>
        </is>
      </c>
      <c r="W815" s="1" t="inlineStr">
        <is>
          <t>Digital textbook, enhanced with digital exercises and assessments.</t>
        </is>
      </c>
      <c r="X815" s="1" t="inlineStr">
        <is>
          <t>VERA</t>
        </is>
      </c>
      <c r="Y815" t="inlineStr">
        <is>
          <t>Digital platform that enables teachers to generate and individually combine different assignments for assessments or tests.</t>
        </is>
      </c>
      <c r="Z815" s="1" t="inlineStr">
        <is>
          <t>https://drive.google.com/uc?export=view&amp;id=1LTMtc24WebgNhkVQ2QEN8BCCgK4tL_dV</t>
        </is>
      </c>
      <c r="AA815" s="1" t="inlineStr">
        <is>
          <t>Unverified</t>
        </is>
      </c>
      <c r="AB815" s="1" t="n"/>
      <c r="AC815" s="1" t="n"/>
      <c r="AD815" s="10" t="n"/>
      <c r="AE815" s="1" t="n"/>
      <c r="AF815" t="inlineStr">
        <is>
          <t>No</t>
        </is>
      </c>
    </row>
    <row r="816" ht="12.5" customHeight="1">
      <c r="A816" s="6" t="n">
        <v>45181</v>
      </c>
      <c r="B816" s="1" t="inlineStr">
        <is>
          <t>ORG_2431</t>
        </is>
      </c>
      <c r="C816" s="1" t="b">
        <v>1</v>
      </c>
      <c r="D816" s="1" t="inlineStr">
        <is>
          <t>Tribel</t>
        </is>
      </c>
      <c r="E816" s="10" t="inlineStr">
        <is>
          <t>www.mytribel.com</t>
        </is>
      </c>
      <c r="F816" t="inlineStr">
        <is>
          <t>mytribel.com</t>
        </is>
      </c>
      <c r="G816" s="1" t="inlineStr">
        <is>
          <t>UK businesses waste a combined £10,000 per employee every single year on soft skill training that doesn't work because it doesn’t include any follow up or any tangible proof that learning happened. Tribel is a simple 3 step process to ensure you understand what you learn, remember it when you need it and practice it where appropriate. We help users understand by getting to the point quickly in a 40 min podcast, we follow up with a suite of memory retention tools and provide a digital portfolio to allow users to choose a time and place to deliberately practice their new knowledge.</t>
        </is>
      </c>
      <c r="H816" s="1" t="inlineStr">
        <is>
          <t>I'm not part of any EdTech association</t>
        </is>
      </c>
      <c r="I816" s="1" t="n"/>
      <c r="J816" s="1" t="inlineStr">
        <is>
          <t>Tramore</t>
        </is>
      </c>
      <c r="K816" t="inlineStr">
        <is>
          <t>Tramore</t>
        </is>
      </c>
      <c r="L816" t="inlineStr">
        <is>
          <t>Tramore, Ireland</t>
        </is>
      </c>
      <c r="M816" t="n">
        <v>51.8784283</v>
      </c>
      <c r="N816" t="n">
        <v>-8.4601285</v>
      </c>
      <c r="O816" s="1" t="inlineStr">
        <is>
          <t>Ireland</t>
        </is>
      </c>
      <c r="P816" s="1" t="inlineStr">
        <is>
          <t>Ireland, United Kingdom</t>
        </is>
      </c>
      <c r="Q816" s="1" t="inlineStr">
        <is>
          <t>0 to 10</t>
        </is>
      </c>
      <c r="R816" t="inlineStr">
        <is>
          <t>Micro</t>
        </is>
      </c>
      <c r="S816" s="1" t="inlineStr">
        <is>
          <t>Business to Business</t>
        </is>
      </c>
      <c r="T816" s="1" t="inlineStr">
        <is>
          <t>Corporate Training, Lifelong learning/Adult education</t>
        </is>
      </c>
      <c r="U816" s="1" t="inlineStr">
        <is>
          <t>Student interfacing, System/Administrative</t>
        </is>
      </c>
      <c r="V816" s="10" t="inlineStr">
        <is>
          <t>Podcast+</t>
        </is>
      </c>
      <c r="W816" s="10" t="inlineStr">
        <is>
          <t>A library of podcasts discussing the key takeaways from the best business books with follow on tools to aid retention of content and space to measure and track your progress with deliberate practice.</t>
        </is>
      </c>
      <c r="X816" s="10" t="inlineStr">
        <is>
          <t>https://drive.google.com/uc?export=view&amp;id=1Sb8xQ6F2UwQGU1XyS5BpxS7vWnJX7ye6</t>
        </is>
      </c>
      <c r="Y816" t="inlineStr">
        <is>
          <t>https://drive.google.com/uc?export=view&amp;id=1Sb8xQ6F2UwQGU1XyS5BpxS7vWnJX7ye6</t>
        </is>
      </c>
      <c r="Z816" s="1" t="inlineStr">
        <is>
          <t>https://drive.google.com/uc?export=view&amp;id=1Sb8xQ6F2UwQGU1XyS5BpxS7vWnJX7ye6</t>
        </is>
      </c>
      <c r="AA816" s="1" t="inlineStr">
        <is>
          <t>Unverified</t>
        </is>
      </c>
      <c r="AB816" s="1" t="n"/>
      <c r="AC816" s="1" t="n"/>
      <c r="AD816" s="10" t="n"/>
      <c r="AE816" s="1" t="n"/>
      <c r="AF816" t="inlineStr">
        <is>
          <t>Yes</t>
        </is>
      </c>
      <c r="AG816" t="inlineStr">
        <is>
          <t>https://www.instagram.com/mytribel/</t>
        </is>
      </c>
      <c r="AH816" t="inlineStr">
        <is>
          <t>https://twitter.com/mytribel</t>
        </is>
      </c>
      <c r="AI816" t="inlineStr">
        <is>
          <t>https://www.linkedin.com/company/mytribel/</t>
        </is>
      </c>
    </row>
    <row r="817" ht="12.5" customHeight="1">
      <c r="A817" s="6" t="n">
        <v>45181</v>
      </c>
      <c r="B817" s="1" t="inlineStr">
        <is>
          <t>ORG_1515</t>
        </is>
      </c>
      <c r="C817" s="1" t="b">
        <v>1</v>
      </c>
      <c r="D817" s="10" t="inlineStr">
        <is>
          <t>eSkills.ch</t>
        </is>
      </c>
      <c r="E817" s="10" t="inlineStr">
        <is>
          <t>www.eskills.ch</t>
        </is>
      </c>
      <c r="F817" t="inlineStr">
        <is>
          <t>eskills.ch</t>
        </is>
      </c>
      <c r="G817" s="1" t="inlineStr">
        <is>
          <t>eSkills is a Digital Learning agency. We design and develop digital training courses in a blended mode: e-Learning modules, educational videos, MOOCS, interactive scenarios, tutorials, etc. 
Our bespoke e-Learning solutions are tailored to our clients' needs. To improve learner performance, we seek to define the best pedagogical approach for each project.
We are well known for our efficiency. 
Our multidisciplinary team manages everything from A to Z: instructional design, graphics, sound, video, illustrations, development with Articulate Storyline, Rise, Camtesia, and more. 
Since 2012, we have been putting our passion for pedagogy, technology, and quality "made in Switzerland" at the service of leading companies. Our clients include multinationals, public administrations, international organizations, NGOs, banks, etc.</t>
        </is>
      </c>
      <c r="H817" s="1" t="inlineStr">
        <is>
          <t>Swiss EdTech Collider</t>
        </is>
      </c>
      <c r="I817" s="1" t="n"/>
      <c r="J817" s="1" t="inlineStr">
        <is>
          <t>Geneva</t>
        </is>
      </c>
      <c r="K817" t="inlineStr">
        <is>
          <t>Geneva</t>
        </is>
      </c>
      <c r="L817" t="inlineStr">
        <is>
          <t>Geneva, Switzerland</t>
        </is>
      </c>
      <c r="M817" t="n">
        <v>46.2017559</v>
      </c>
      <c r="N817" t="n">
        <v>6.1466014</v>
      </c>
      <c r="O817" s="1" t="inlineStr">
        <is>
          <t>Switzerland</t>
        </is>
      </c>
      <c r="P817" s="1" t="inlineStr">
        <is>
          <t>Switzerland</t>
        </is>
      </c>
      <c r="Q817" s="1" t="inlineStr">
        <is>
          <t>0 to 10</t>
        </is>
      </c>
      <c r="R817" t="inlineStr">
        <is>
          <t>Micro</t>
        </is>
      </c>
      <c r="S817" s="1" t="inlineStr">
        <is>
          <t>Business to Business</t>
        </is>
      </c>
      <c r="T817" s="1" t="inlineStr">
        <is>
          <t>Primary Education, Secondary Education, Higher Education, Corporate Training</t>
        </is>
      </c>
      <c r="U817" s="1" t="inlineStr">
        <is>
          <t>Student interfacing, Teacher interfacing, System/Administrative</t>
        </is>
      </c>
      <c r="V817" s="1" t="inlineStr">
        <is>
          <t>Bespoke e-Learning solutions</t>
        </is>
      </c>
      <c r="W817" s="1" t="inlineStr">
        <is>
          <t>e-learning modules, branching scenarios, mobile learning, micro-learning.
We develop impactful solutions, thanks to our expertise in instructional design, our storytelling techniques, our sense of aesthetics, our gamification tools and our attention to detail. 
Favorite development tool: Articulate 360 (Storyline and Rise)</t>
        </is>
      </c>
      <c r="X817" s="10" t="inlineStr">
        <is>
          <t>Educational videos</t>
        </is>
      </c>
      <c r="Y817" t="inlineStr">
        <is>
          <t>Motion design, interviews, skit, tutorials, 360 videos. 
You collaborate with a multidisciplinary, effective and experienced team, at every stage of the project: from script to voiceover, including storyboard, shooting and editing.
You are advised by professionals who adapt to your needs, your budget and your target.
You are only involved at key stages and receive the expected result within the set deadlines.</t>
        </is>
      </c>
      <c r="Z817" s="1" t="inlineStr">
        <is>
          <t>https://drive.google.com/uc?export=view&amp;id=1WWC2109rosuyV4AZjIuexozy9AUr9tjo</t>
        </is>
      </c>
      <c r="AA817" s="1" t="inlineStr">
        <is>
          <t>Unverified</t>
        </is>
      </c>
      <c r="AB817" s="1" t="n"/>
      <c r="AC817" s="1" t="n"/>
      <c r="AD817" s="10" t="n"/>
      <c r="AE817" s="1" t="n"/>
      <c r="AF817" t="inlineStr">
        <is>
          <t>Yes</t>
        </is>
      </c>
      <c r="AG817" t="inlineStr">
        <is>
          <t>https://www.linkedin.com/company/eskills-ch/</t>
        </is>
      </c>
      <c r="AH817" t="inlineStr">
        <is>
          <t>https://www.linkedin.com/company/eskills-ch/</t>
        </is>
      </c>
      <c r="AI817" t="inlineStr">
        <is>
          <t>https://www.linkedin.com/company/eskills-ch/</t>
        </is>
      </c>
    </row>
    <row r="818" ht="12.5" customHeight="1">
      <c r="A818" s="6" t="n">
        <v>45181</v>
      </c>
      <c r="B818" s="1" t="inlineStr">
        <is>
          <t>ORG_1667</t>
        </is>
      </c>
      <c r="C818" s="1" t="b">
        <v>1</v>
      </c>
      <c r="D818" s="1" t="inlineStr">
        <is>
          <t>Headstart Technology Limited</t>
        </is>
      </c>
      <c r="E818" s="10" t="inlineStr">
        <is>
          <t>www.headstart.technology</t>
        </is>
      </c>
      <c r="F818" t="inlineStr">
        <is>
          <t>headstart.technology</t>
        </is>
      </c>
      <c r="G818" s="1" t="inlineStr">
        <is>
          <t>Headstart Technology Ltd is an edtech solution consultancy and training provider. We specialize in helping educational institutions address the challenge of digital transformation in a holistic way, while keeping to our primary mission that we want to provide all education stakeholders with the best resources and pedagogies for 21st century learning. We work closely with some of the best edtech companies in the world, and are proud to be Microsoft Global Training partners and part of the TA network of companies around the world. Our particular focus areas are education transformation, AR/VR/MR, coding, technology and game based learning.</t>
        </is>
      </c>
      <c r="H818" s="1" t="inlineStr">
        <is>
          <t>I'm not part of any EdTech association</t>
        </is>
      </c>
      <c r="I818" s="1" t="n"/>
      <c r="J818" s="1" t="inlineStr">
        <is>
          <t>Balzan</t>
        </is>
      </c>
      <c r="K818" t="inlineStr">
        <is>
          <t>Balzan</t>
        </is>
      </c>
      <c r="L818" t="inlineStr">
        <is>
          <t>Balzan, Malta</t>
        </is>
      </c>
      <c r="M818" t="n">
        <v>35.8986113</v>
      </c>
      <c r="N818" t="n">
        <v>14.4510172</v>
      </c>
      <c r="O818" s="1" t="inlineStr">
        <is>
          <t>Malta</t>
        </is>
      </c>
      <c r="P818" s="1" t="inlineStr">
        <is>
          <t>Austria, Cyprus, Germany, Italy, Malta, United Kingdom</t>
        </is>
      </c>
      <c r="Q818" s="1" t="inlineStr">
        <is>
          <t>0 to 10</t>
        </is>
      </c>
      <c r="R818" t="inlineStr">
        <is>
          <t>Micro</t>
        </is>
      </c>
      <c r="S818" s="1" t="inlineStr">
        <is>
          <t>Business to Business</t>
        </is>
      </c>
      <c r="T818" s="1" t="inlineStr">
        <is>
          <t>Early childhood development (0-5 years), Primary Education, Secondary Education, Higher Education, Corporate Training, Lifelong learning/Adult education</t>
        </is>
      </c>
      <c r="U818" s="1" t="inlineStr">
        <is>
          <t>System/Administrative, Student interfacing, Teacher interfacing</t>
        </is>
      </c>
      <c r="V818" s="1" t="n"/>
      <c r="W818" s="1" t="inlineStr">
        <is>
          <t>https://drive.google.com/uc?export=view&amp;id=1qjOEOlz_VoTxML5M-t7UjwZTbHgNi195</t>
        </is>
      </c>
      <c r="X818" s="1" t="inlineStr">
        <is>
          <t>https://drive.google.com/uc?export=view&amp;id=1qjOEOlz_VoTxML5M-t7UjwZTbHgNi195</t>
        </is>
      </c>
      <c r="Y818" t="inlineStr">
        <is>
          <t>https://drive.google.com/uc?export=view&amp;id=1qjOEOlz_VoTxML5M-t7UjwZTbHgNi195</t>
        </is>
      </c>
      <c r="Z818" s="1" t="inlineStr">
        <is>
          <t>https://drive.google.com/uc?export=view&amp;id=1qjOEOlz_VoTxML5M-t7UjwZTbHgNi195</t>
        </is>
      </c>
      <c r="AA818" s="1" t="inlineStr">
        <is>
          <t>Unverified</t>
        </is>
      </c>
      <c r="AB818" s="1" t="n"/>
      <c r="AC818" s="1" t="n"/>
      <c r="AD818" s="10" t="n"/>
      <c r="AE818" s="1" t="n"/>
      <c r="AF818" t="inlineStr">
        <is>
          <t>No</t>
        </is>
      </c>
    </row>
    <row r="819" ht="12.5" customHeight="1">
      <c r="A819" s="6" t="n">
        <v>45181</v>
      </c>
      <c r="B819" s="1" t="inlineStr">
        <is>
          <t>ORG_1675</t>
        </is>
      </c>
      <c r="C819" s="1" t="b">
        <v>1</v>
      </c>
      <c r="D819" s="1" t="inlineStr">
        <is>
          <t>Hi e-learning</t>
        </is>
      </c>
      <c r="E819" s="10" t="inlineStr">
        <is>
          <t>https://hielearning.com/</t>
        </is>
      </c>
      <c r="F819" t="inlineStr">
        <is>
          <t>hielearning.com</t>
        </is>
      </c>
      <c r="G819" s="1" t="inlineStr">
        <is>
          <t>Hi e-learning is one of the leading e-learning companies in Istanbul/Turkey. Our human-centered corporate e-learning solutions include LMS (Scorm), gamification, simulation, motion graphics learning videos, off-the-shelf content, and customized learning materials. We put excessive emphasis on using state of art technologies by creating our visual world in our learning videos to keep learners' attention always high.
Mercedes-Benz, Unilever, eBay, Bosch, and Ford are some of our references on a global scale.
We can translate&amp;localize our all solutions to different languages you prefer. We care about micro-learning, mobile responders, and interactivity in our projects.</t>
        </is>
      </c>
      <c r="H819" s="1" t="inlineStr">
        <is>
          <t>I'm not part of any EdTech association</t>
        </is>
      </c>
      <c r="I819" s="1" t="n"/>
      <c r="J819" s="1" t="inlineStr">
        <is>
          <t>Dumlupinar Mah. Yumurtaci Abdi Bey Cad. Teknik Yapi Concord Sitesi 1. Etap A1-192 34720 / Kadikoy</t>
        </is>
      </c>
      <c r="K819" t="inlineStr">
        <is>
          <t>Istanbul</t>
        </is>
      </c>
      <c r="L819" t="inlineStr">
        <is>
          <t>Istanbul, Turkiye</t>
        </is>
      </c>
      <c r="M819" t="n">
        <v>41.006381</v>
      </c>
      <c r="N819" t="n">
        <v>28.9758715</v>
      </c>
      <c r="O819" s="1" t="inlineStr">
        <is>
          <t>Turkiye</t>
        </is>
      </c>
      <c r="P819" s="1" t="inlineStr">
        <is>
          <t>Denmark, Estonia, Finland, France, Germany, Ireland, Italy, Lithuania, Malta, Netherlands, Norway, Poland, Portugal, Russia, Slovakia, Slovenia, Spain, Sweden, Switzerland, Turkey, United Kingdom</t>
        </is>
      </c>
      <c r="Q819" s="1" t="inlineStr">
        <is>
          <t>11 to 50</t>
        </is>
      </c>
      <c r="R819" t="inlineStr">
        <is>
          <t>Small</t>
        </is>
      </c>
      <c r="S819" s="1" t="inlineStr">
        <is>
          <t>Business to Business, Business to Consumer, Business to Government, Business to Schools</t>
        </is>
      </c>
      <c r="T819" s="1" t="inlineStr">
        <is>
          <t>Corporate Training, Lifelong learning/Adult education</t>
        </is>
      </c>
      <c r="U819" s="1" t="inlineStr">
        <is>
          <t>Student interfacing, System/Administrative</t>
        </is>
      </c>
      <c r="V819" s="1" t="n"/>
      <c r="W819" s="1" t="inlineStr">
        <is>
          <t>https://drive.google.com/uc?export=view&amp;id=1aYTlUjwC-bAGUDScsQdbRWKeB4WMIwHM</t>
        </is>
      </c>
      <c r="X819" s="1" t="inlineStr">
        <is>
          <t>https://drive.google.com/uc?export=view&amp;id=1aYTlUjwC-bAGUDScsQdbRWKeB4WMIwHM</t>
        </is>
      </c>
      <c r="Y819" t="inlineStr">
        <is>
          <t>https://drive.google.com/uc?export=view&amp;id=1aYTlUjwC-bAGUDScsQdbRWKeB4WMIwHM</t>
        </is>
      </c>
      <c r="Z819" s="1" t="inlineStr">
        <is>
          <t>https://drive.google.com/uc?export=view&amp;id=1aYTlUjwC-bAGUDScsQdbRWKeB4WMIwHM</t>
        </is>
      </c>
      <c r="AA819" s="1" t="inlineStr">
        <is>
          <t>Unverified</t>
        </is>
      </c>
      <c r="AB819" s="1" t="n"/>
      <c r="AC819" s="1" t="n"/>
      <c r="AD819" s="10" t="n"/>
      <c r="AE819" s="1" t="n"/>
      <c r="AF819" t="inlineStr">
        <is>
          <t>No</t>
        </is>
      </c>
    </row>
    <row r="820" ht="12.5" customHeight="1">
      <c r="A820" s="6" t="n">
        <v>45181</v>
      </c>
      <c r="B820" s="1" t="inlineStr">
        <is>
          <t>ORG_2552</t>
        </is>
      </c>
      <c r="C820" s="1" t="b">
        <v>1</v>
      </c>
      <c r="D820" s="1" t="inlineStr">
        <is>
          <t>Writefull</t>
        </is>
      </c>
      <c r="E820" s="10" t="inlineStr">
        <is>
          <t>https://www.writefull.com/</t>
        </is>
      </c>
      <c r="F820" t="inlineStr">
        <is>
          <t>writefull.com</t>
        </is>
      </c>
      <c r="G820" s="1" t="inlineStr">
        <is>
          <t>Writefull uses AI and big data to help students and researchers with their academic writing. It offers a range of tools that facilitate the writing process: It automatically copyedits texts, paraphrases sentences, writes abstracts, generates titles, checks for missing citations, and more. All of these language support services use AI-based models that have been trained on published papers, meaning that the outputs are tailored to academic writing. Writefull can be used in the browser, Microsoft Word, and Overleaf. It is used by individuals, institutions, scientific publishers, and author services providers.</t>
        </is>
      </c>
      <c r="H820" s="1" t="inlineStr">
        <is>
          <t>I'm not part of any EdTech association</t>
        </is>
      </c>
      <c r="I820" s="1" t="n"/>
      <c r="J820" s="1" t="inlineStr">
        <is>
          <t>Amsterdam</t>
        </is>
      </c>
      <c r="K820" t="inlineStr">
        <is>
          <t>Amsterdam</t>
        </is>
      </c>
      <c r="L820" t="inlineStr">
        <is>
          <t>Amsterdam, The Netherlands</t>
        </is>
      </c>
      <c r="M820" t="n">
        <v>52.3701984</v>
      </c>
      <c r="N820" t="n">
        <v>4.892168</v>
      </c>
      <c r="O820" s="1" t="inlineStr">
        <is>
          <t>The Netherlands</t>
        </is>
      </c>
      <c r="P820" s="1" t="inlineStr">
        <is>
          <t>Albania, Andorra, Armenia, Austria, Azerbaijan, Belarus, Belgium,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820" s="1" t="inlineStr">
        <is>
          <t>0 to 10</t>
        </is>
      </c>
      <c r="R820" t="inlineStr">
        <is>
          <t>Micro</t>
        </is>
      </c>
      <c r="S820" s="1" t="inlineStr">
        <is>
          <t>Business to Business, Business to Consumer, Business to Schools</t>
        </is>
      </c>
      <c r="T820" s="1" t="inlineStr">
        <is>
          <t>Secondary Education, Higher Education, Corporate Training</t>
        </is>
      </c>
      <c r="U820" s="1" t="inlineStr">
        <is>
          <t>Student interfacing, Teacher interfacing, System/Administrative</t>
        </is>
      </c>
      <c r="V820" s="1" t="n"/>
      <c r="W820" s="1" t="inlineStr">
        <is>
          <t>https://drive.google.com/uc?export=view&amp;id=1AyeajYUNfakKsLpSY3MM0t-YfPfLMuaz</t>
        </is>
      </c>
      <c r="X820" s="1" t="inlineStr">
        <is>
          <t>https://drive.google.com/uc?export=view&amp;id=1AyeajYUNfakKsLpSY3MM0t-YfPfLMuaz</t>
        </is>
      </c>
      <c r="Y820" t="inlineStr">
        <is>
          <t>https://drive.google.com/uc?export=view&amp;id=1AyeajYUNfakKsLpSY3MM0t-YfPfLMuaz</t>
        </is>
      </c>
      <c r="Z820" s="1" t="inlineStr">
        <is>
          <t>https://drive.google.com/uc?export=view&amp;id=1AyeajYUNfakKsLpSY3MM0t-YfPfLMuaz</t>
        </is>
      </c>
      <c r="AA820" s="1" t="inlineStr">
        <is>
          <t>Unverified</t>
        </is>
      </c>
      <c r="AB820" s="1" t="n"/>
      <c r="AC820" s="1" t="n"/>
      <c r="AD820" s="10" t="n"/>
      <c r="AE820" s="1" t="n"/>
      <c r="AF820" t="inlineStr">
        <is>
          <t>No</t>
        </is>
      </c>
    </row>
    <row r="821" ht="12.5" customHeight="1">
      <c r="A821" s="6" t="n">
        <v>45181</v>
      </c>
      <c r="B821" s="1" t="inlineStr">
        <is>
          <t>ORG_1610</t>
        </is>
      </c>
      <c r="C821" s="1" t="b">
        <v>1</v>
      </c>
      <c r="D821" s="1" t="inlineStr">
        <is>
          <t>Gar Ninja</t>
        </is>
      </c>
      <c r="E821" s="10" t="inlineStr">
        <is>
          <t>https://gar.ninja/</t>
        </is>
      </c>
      <c r="F821" t="inlineStr">
        <is>
          <t>gar.ninja</t>
        </is>
      </c>
      <c r="G821" s="1" t="inlineStr">
        <is>
          <t>GarNinja is a pioneering company that specialises in helping publishers to dock their ressource to the GAR.
Highly involved in the industry, GarNinja co-animates AFINEF's acculturation workshops and technical workshops about the GAR. 
GarNinja offers publishers an end-to-end solution for docking to GAR. Ninjas experts will accompany you from filling in the registration up to the point your resource is into production.
GarNinja also offers post-docking NinjaConnect is a subscription that includes a range of services and a software suite for the commercial management of your resource.
A 10% discount is offered to AFINEF members.
Proud of its strong web experience, GarNinja also offers à la carte consultancy, for development or support in docking with other connectors (Lumni, Canotech, etc.).
Translated with www.DeepL.com/Translator (free version)</t>
        </is>
      </c>
      <c r="H821" s="1" t="inlineStr">
        <is>
          <t>AFINEF</t>
        </is>
      </c>
      <c r="I821" s="1" t="n"/>
      <c r="J821" s="1" t="inlineStr">
        <is>
          <t>Trebrivan</t>
        </is>
      </c>
      <c r="K821" t="inlineStr">
        <is>
          <t>Trebrivan</t>
        </is>
      </c>
      <c r="L821" t="inlineStr">
        <is>
          <t>Trebrivan, France</t>
        </is>
      </c>
      <c r="M821" t="n">
        <v>48.3083639</v>
      </c>
      <c r="N821" t="n">
        <v>-3.4749139</v>
      </c>
      <c r="O821" s="1" t="inlineStr">
        <is>
          <t>France</t>
        </is>
      </c>
      <c r="P821" s="1" t="inlineStr">
        <is>
          <t>France</t>
        </is>
      </c>
      <c r="Q821" s="1" t="inlineStr">
        <is>
          <t>0 to 10</t>
        </is>
      </c>
      <c r="R821" t="inlineStr">
        <is>
          <t>Micro</t>
        </is>
      </c>
      <c r="S821" s="1" t="inlineStr">
        <is>
          <t>Business to Business</t>
        </is>
      </c>
      <c r="T821" s="1" t="inlineStr">
        <is>
          <t>Early childhood development (0-5 years), Primary Education, Secondary Education</t>
        </is>
      </c>
      <c r="U821" s="1" t="inlineStr">
        <is>
          <t>System/Administrative</t>
        </is>
      </c>
      <c r="V821" s="1" t="inlineStr">
        <is>
          <t>Gar Ninja : docking to the GAR assistance</t>
        </is>
      </c>
      <c r="W821" s="10" t="inlineStr">
        <is>
          <t>* administrative support
* study and advice on the compliance of the resource publisher
* filling in the declaration of conformity
* support in setting up the SSO
* drafting of the ScoLOMFR manual(s)
* support for the implementation of the GAR API
* management of interactions with the GAR</t>
        </is>
      </c>
      <c r="X821" s="10" t="inlineStr">
        <is>
          <t>Ninja connect : subscription offer for consulting and post-docking software suite</t>
        </is>
      </c>
      <c r="Y821" t="inlineStr">
        <is>
          <t>* Subscriptions management interface (via API GAR)
* update of notices (DCP change, curriculum change...)
* integration with LDE and EMLS
* promotion of publishers (Educatec-Educatice, website, linkedIn...)
* advice and support for your support or evolution issues
* management of exchanges with the GAR
* software suite in constant evolution: record management interface, implementation of new GAR services, dedicated OAI warehouse, etc.</t>
        </is>
      </c>
      <c r="Z821" s="1" t="inlineStr">
        <is>
          <t>https://drive.google.com/uc?export=view&amp;id=1yIBqi5xEOThUapSO6uN0TSBW8CPCNIN2</t>
        </is>
      </c>
      <c r="AA821" s="1" t="inlineStr">
        <is>
          <t>Unverified</t>
        </is>
      </c>
      <c r="AB821" s="1" t="n"/>
      <c r="AC821" s="1" t="n"/>
      <c r="AD821" s="10" t="n"/>
      <c r="AE821" s="1" t="n"/>
      <c r="AF821" t="inlineStr">
        <is>
          <t>Yes</t>
        </is>
      </c>
      <c r="AG821" t="inlineStr">
        <is>
          <t>https://twitter.com/gar_ninja</t>
        </is>
      </c>
      <c r="AH821" t="inlineStr">
        <is>
          <t>https://twitter.com/gar_ninja</t>
        </is>
      </c>
      <c r="AI821" t="inlineStr">
        <is>
          <t>https://www.linkedin.com/company/gar-ninja/</t>
        </is>
      </c>
    </row>
    <row r="822" ht="12.5" customHeight="1">
      <c r="A822" s="6" t="n">
        <v>45181</v>
      </c>
      <c r="B822" s="1" t="inlineStr">
        <is>
          <t>ORG_2142</t>
        </is>
      </c>
      <c r="C822" s="1" t="b">
        <v>1</v>
      </c>
      <c r="D822" s="1" t="inlineStr">
        <is>
          <t>Quarterfall</t>
        </is>
      </c>
      <c r="E822" s="10" t="inlineStr">
        <is>
          <t>https://www.quarterfall.com/</t>
        </is>
      </c>
      <c r="F822" t="inlineStr">
        <is>
          <t>quarterfall.com</t>
        </is>
      </c>
      <c r="G822" s="1" t="inlineStr">
        <is>
          <t>Quarterfall offers a flexible cloud-based platform that helps streamline Computer Science education.
Built by ICT teachers for ICT teachers, learning is at the core of who we are. Since 2019, our mission is to help improve higher education for students and teachers.</t>
        </is>
      </c>
      <c r="H822" s="1" t="inlineStr">
        <is>
          <t>Dutch EdTech</t>
        </is>
      </c>
      <c r="I822" s="1" t="n"/>
      <c r="J822" s="1" t="inlineStr">
        <is>
          <t>Bilthoven</t>
        </is>
      </c>
      <c r="K822" t="inlineStr">
        <is>
          <t>Bilthoven</t>
        </is>
      </c>
      <c r="L822" t="inlineStr">
        <is>
          <t>Bilthoven, The Netherlands</t>
        </is>
      </c>
      <c r="M822" t="n">
        <v>52.1186518</v>
      </c>
      <c r="N822" t="n">
        <v>5.1890807</v>
      </c>
      <c r="O822" s="1" t="inlineStr">
        <is>
          <t>The Netherlands</t>
        </is>
      </c>
      <c r="P822" s="1" t="inlineStr">
        <is>
          <t>Netherlands</t>
        </is>
      </c>
      <c r="Q822" s="1" t="inlineStr">
        <is>
          <t>0 to 10</t>
        </is>
      </c>
      <c r="R822" t="inlineStr">
        <is>
          <t>Micro</t>
        </is>
      </c>
      <c r="S822" s="1" t="inlineStr">
        <is>
          <t>Business to Business</t>
        </is>
      </c>
      <c r="T822" s="1" t="inlineStr">
        <is>
          <t>Higher Education</t>
        </is>
      </c>
      <c r="U822" s="1" t="inlineStr">
        <is>
          <t>Student interfacing, Teacher interfacing</t>
        </is>
      </c>
      <c r="V822" s="1" t="inlineStr">
        <is>
          <t>Quarterfall</t>
        </is>
      </c>
      <c r="W822" s="1" t="inlineStr">
        <is>
          <t>Quarterfall offers a flexible cloud-based platform that helps streamline Computer Science education.
Our cloud-based platform offers
- A flexible assignment creation process with a Markdown interface and built-in code editor
- Centralized teaching and learning materials
- Automatic feedback by testing students' code
- Mathematical formulas and diagrams support
- GDPR compliance</t>
        </is>
      </c>
      <c r="X822" s="10" t="inlineStr">
        <is>
          <t>https://drive.google.com/uc?export=view&amp;id=1EYpFOzxS-rRqxa0Qgi7fq4llOIRJboe-</t>
        </is>
      </c>
      <c r="Y822" t="inlineStr">
        <is>
          <t>https://drive.google.com/uc?export=view&amp;id=1EYpFOzxS-rRqxa0Qgi7fq4llOIRJboe-</t>
        </is>
      </c>
      <c r="Z822" s="1" t="inlineStr">
        <is>
          <t>https://drive.google.com/uc?export=view&amp;id=1EYpFOzxS-rRqxa0Qgi7fq4llOIRJboe-</t>
        </is>
      </c>
      <c r="AA822" s="1" t="inlineStr">
        <is>
          <t>Unverified</t>
        </is>
      </c>
      <c r="AB822" s="1" t="n"/>
      <c r="AC822" s="1" t="n"/>
      <c r="AD822" s="10" t="n"/>
      <c r="AE822" s="1" t="n"/>
      <c r="AF822" s="1" t="inlineStr">
        <is>
          <t>Yes</t>
        </is>
      </c>
      <c r="AG822" s="1" t="inlineStr">
        <is>
          <t>https://www.linkedin.com/company/quarterfall</t>
        </is>
      </c>
      <c r="AH822" t="inlineStr">
        <is>
          <t>https://www.linkedin.com/company/quarterfall</t>
        </is>
      </c>
      <c r="AI822" t="inlineStr">
        <is>
          <t>https://www.linkedin.com/company/quarterfall</t>
        </is>
      </c>
    </row>
    <row r="823" ht="12.5" customHeight="1">
      <c r="A823" s="6" t="n">
        <v>45181</v>
      </c>
      <c r="B823" s="1" t="inlineStr">
        <is>
          <t>ORG_1508</t>
        </is>
      </c>
      <c r="C823" s="1" t="b">
        <v>1</v>
      </c>
      <c r="D823" s="1" t="inlineStr">
        <is>
          <t>eQualifai</t>
        </is>
      </c>
      <c r="E823" s="10" t="inlineStr">
        <is>
          <t>https://equalifai.com</t>
        </is>
      </c>
      <c r="F823" t="inlineStr">
        <is>
          <t>equalifai.com</t>
        </is>
      </c>
      <c r="G823" s="1" t="inlineStr">
        <is>
          <t>Students find their favourite tutors!
Equalifai is designed to make education easier and more transparent. We make sure that caring professional teachers and interested students find each other, schedule lessons and actually have them in a rich video-based learning environment. We provide school subjects, hobbies and personal development. So simple. So efficient.</t>
        </is>
      </c>
      <c r="H823" s="1" t="inlineStr">
        <is>
          <t>I'm not part of any EdTech association</t>
        </is>
      </c>
      <c r="I823" s="1" t="inlineStr">
        <is>
          <t>Romanian, English, Ukrainian</t>
        </is>
      </c>
      <c r="J823" s="1" t="inlineStr">
        <is>
          <t>Cluj-Napoca</t>
        </is>
      </c>
      <c r="K823" t="inlineStr">
        <is>
          <t>Cluj-Napoca</t>
        </is>
      </c>
      <c r="L823" t="inlineStr">
        <is>
          <t>Cluj-Napoca, Romania</t>
        </is>
      </c>
      <c r="M823" t="n">
        <v>46.769379</v>
      </c>
      <c r="N823" t="n">
        <v>23.5899542</v>
      </c>
      <c r="O823" s="1" t="inlineStr">
        <is>
          <t>Romania</t>
        </is>
      </c>
      <c r="P823" s="1" t="inlineStr">
        <is>
          <t>Romania, Ukraine, United Kingdom</t>
        </is>
      </c>
      <c r="Q823" s="1" t="inlineStr">
        <is>
          <t>0 to 2</t>
        </is>
      </c>
      <c r="R823" t="inlineStr">
        <is>
          <t>Solo entrepreneur</t>
        </is>
      </c>
      <c r="S823" s="1" t="inlineStr">
        <is>
          <t>Business to Consumer</t>
        </is>
      </c>
      <c r="T823" s="1" t="inlineStr">
        <is>
          <t>Primary Education, Secondary Education, Lifelong learning/Adult education, Vocational Education and Training (VET), Higher Education</t>
        </is>
      </c>
      <c r="U823" s="1" t="inlineStr">
        <is>
          <t>System/Administrative, Student interfacing, Teacher interfacing</t>
        </is>
      </c>
      <c r="V823" s="10" t="inlineStr">
        <is>
          <t>https://ro.linkedin.com/company/equalifai</t>
        </is>
      </c>
      <c r="W823" s="1" t="inlineStr">
        <is>
          <t>https://drive.google.com/uc?export=view&amp;id=1pdNh4NdBID3v8lfHWHLfzAx98_17mnIJ</t>
        </is>
      </c>
      <c r="X823" s="10" t="inlineStr">
        <is>
          <t>https://drive.google.com/uc?export=view&amp;id=1pdNh4NdBID3v8lfHWHLfzAx98_17mnIJ</t>
        </is>
      </c>
      <c r="Y823" t="inlineStr">
        <is>
          <t>https://drive.google.com/uc?export=view&amp;id=1pdNh4NdBID3v8lfHWHLfzAx98_17mnIJ</t>
        </is>
      </c>
      <c r="Z823" s="1" t="inlineStr">
        <is>
          <t>https://drive.google.com/uc?export=view&amp;id=1pdNh4NdBID3v8lfHWHLfzAx98_17mnIJ</t>
        </is>
      </c>
      <c r="AA823" s="1" t="inlineStr">
        <is>
          <t>Unverified</t>
        </is>
      </c>
      <c r="AB823" s="1" t="n"/>
      <c r="AC823" s="1" t="n"/>
      <c r="AD823" s="10" t="n"/>
      <c r="AE823" s="1" t="n"/>
      <c r="AF823" t="inlineStr">
        <is>
          <t>Yes</t>
        </is>
      </c>
      <c r="AG823" t="inlineStr">
        <is>
          <t>https://www.instagram.com/equalifai.ro/</t>
        </is>
      </c>
      <c r="AH823" t="inlineStr">
        <is>
          <t>https://ro.linkedin.com/company/equalifai</t>
        </is>
      </c>
      <c r="AI823" t="inlineStr">
        <is>
          <t>https://ro.linkedin.com/company/equalifai</t>
        </is>
      </c>
    </row>
    <row r="824" ht="12.5" customHeight="1">
      <c r="A824" s="6" t="n">
        <v>45181</v>
      </c>
      <c r="B824" s="1" t="inlineStr">
        <is>
          <t>ORG_2394</t>
        </is>
      </c>
      <c r="C824" s="1" t="b">
        <v>1</v>
      </c>
      <c r="D824" s="1" t="inlineStr">
        <is>
          <t>The Code to Change</t>
        </is>
      </c>
      <c r="E824" s="10" t="inlineStr">
        <is>
          <t>https://codetochange.org/</t>
        </is>
      </c>
      <c r="F824" t="inlineStr">
        <is>
          <t>codetochange.org</t>
        </is>
      </c>
      <c r="G824" s="1" t="inlineStr">
        <is>
          <t>The Code To Change is a diversity and Inclusion organization, working to connect high potential employees with leaders in the technology world.
The Code to Change is aimed at reducing the skills gap and associated gender divide in the ICT sector. We inspire and teach women essential skills to succeed in the job market. 
The Code to Change is creating an ecosystem for a diverse and inclusive tech sector through reskilling and upskilling underrepresented groups from diverse backgrounds.</t>
        </is>
      </c>
      <c r="H824" s="1" t="inlineStr">
        <is>
          <t>Dutch EdTech</t>
        </is>
      </c>
      <c r="I824" s="1" t="n"/>
      <c r="J824" s="1" t="inlineStr">
        <is>
          <t>Amsterdam</t>
        </is>
      </c>
      <c r="K824" t="inlineStr">
        <is>
          <t>Amsterdam</t>
        </is>
      </c>
      <c r="L824" t="inlineStr">
        <is>
          <t>Amsterdam, The Netherlands</t>
        </is>
      </c>
      <c r="M824" t="n">
        <v>52.3701984</v>
      </c>
      <c r="N824" t="n">
        <v>4.892168</v>
      </c>
      <c r="O824" s="1" t="inlineStr">
        <is>
          <t>The Netherlands</t>
        </is>
      </c>
      <c r="P824" s="1" t="inlineStr">
        <is>
          <t>Belgium, Bulgaria, Czechia, Germany, Greece, Italy, Netherlands</t>
        </is>
      </c>
      <c r="Q824" s="1" t="inlineStr">
        <is>
          <t>0 to 10</t>
        </is>
      </c>
      <c r="R824" t="inlineStr">
        <is>
          <t>Micro</t>
        </is>
      </c>
      <c r="S824" s="1" t="inlineStr">
        <is>
          <t>Business to Business, Business to Consumer, Business to Government, Business to Schools</t>
        </is>
      </c>
      <c r="T824" s="1" t="inlineStr">
        <is>
          <t>Corporate Training, Lifelong learning/Adult education</t>
        </is>
      </c>
      <c r="U824" s="1" t="inlineStr">
        <is>
          <t>System/Administrative, Student interfacing, Teacher interfacing</t>
        </is>
      </c>
      <c r="V824" s="1" t="n"/>
      <c r="W824" s="1" t="inlineStr">
        <is>
          <t>https://drive.google.com/uc?export=view&amp;id=1XB6mtDEvoe3lFMcxEqYI8IXVFljm5bRD</t>
        </is>
      </c>
      <c r="X824" s="1" t="inlineStr">
        <is>
          <t>https://drive.google.com/uc?export=view&amp;id=1XB6mtDEvoe3lFMcxEqYI8IXVFljm5bRD</t>
        </is>
      </c>
      <c r="Y824" t="inlineStr">
        <is>
          <t>https://drive.google.com/uc?export=view&amp;id=1XB6mtDEvoe3lFMcxEqYI8IXVFljm5bRD</t>
        </is>
      </c>
      <c r="Z824" s="1" t="inlineStr">
        <is>
          <t>https://drive.google.com/uc?export=view&amp;id=1XB6mtDEvoe3lFMcxEqYI8IXVFljm5bRD</t>
        </is>
      </c>
      <c r="AA824" s="1" t="inlineStr">
        <is>
          <t>Unverified</t>
        </is>
      </c>
      <c r="AB824" s="1" t="n"/>
      <c r="AC824" s="1" t="n"/>
      <c r="AD824" s="10" t="n"/>
      <c r="AE824" s="1" t="n"/>
      <c r="AF824" t="inlineStr">
        <is>
          <t>No</t>
        </is>
      </c>
    </row>
    <row r="825" ht="12.5" customHeight="1">
      <c r="A825" s="6" t="n">
        <v>45181</v>
      </c>
      <c r="B825" s="1" t="inlineStr">
        <is>
          <t>ORG_1629</t>
        </is>
      </c>
      <c r="C825" s="1" t="b">
        <v>1</v>
      </c>
      <c r="D825" s="1" t="inlineStr">
        <is>
          <t>Go Fenix</t>
        </is>
      </c>
      <c r="E825" s="10" t="inlineStr">
        <is>
          <t>gofenix.io</t>
        </is>
      </c>
      <c r="F825" t="inlineStr">
        <is>
          <t>gofenix.io</t>
        </is>
      </c>
      <c r="G825" s="1" t="inlineStr">
        <is>
          <t>For active workers looking to get into tech, we provide a guided journey to chat with tech experts, find a relevant course and meet local employers.</t>
        </is>
      </c>
      <c r="H825" s="1" t="inlineStr">
        <is>
          <t>I'm not part of any EdTech association</t>
        </is>
      </c>
      <c r="I825" s="1" t="n"/>
      <c r="J825" s="1" t="inlineStr">
        <is>
          <t>Paris</t>
        </is>
      </c>
      <c r="K825" t="inlineStr">
        <is>
          <t>Paris</t>
        </is>
      </c>
      <c r="L825" t="inlineStr">
        <is>
          <t>Paris, France</t>
        </is>
      </c>
      <c r="M825" t="n">
        <v>48.8534951</v>
      </c>
      <c r="N825" t="n">
        <v>2.3483915</v>
      </c>
      <c r="O825" s="1" t="inlineStr">
        <is>
          <t>France</t>
        </is>
      </c>
      <c r="P825" s="1" t="inlineStr">
        <is>
          <t>France</t>
        </is>
      </c>
      <c r="Q825" s="1" t="inlineStr">
        <is>
          <t>0 to 10</t>
        </is>
      </c>
      <c r="R825" t="inlineStr">
        <is>
          <t>Micro</t>
        </is>
      </c>
      <c r="S825" s="1" t="inlineStr">
        <is>
          <t>Business to Business, Business to Schools</t>
        </is>
      </c>
      <c r="T825" s="1" t="inlineStr">
        <is>
          <t>Lifelong learning/Adult education</t>
        </is>
      </c>
      <c r="U825" s="1" t="inlineStr">
        <is>
          <t>Student interfacing, System/Administrative</t>
        </is>
      </c>
      <c r="V825" s="1" t="n"/>
      <c r="W825" s="1" t="inlineStr">
        <is>
          <t>https://drive.google.com/uc?export=view&amp;id=1cZItaRMVPLUreEGj4-cOHlV544sCCZ5r</t>
        </is>
      </c>
      <c r="X825" s="1" t="inlineStr">
        <is>
          <t>https://drive.google.com/uc?export=view&amp;id=1cZItaRMVPLUreEGj4-cOHlV544sCCZ5r</t>
        </is>
      </c>
      <c r="Y825" t="inlineStr">
        <is>
          <t>https://drive.google.com/uc?export=view&amp;id=1cZItaRMVPLUreEGj4-cOHlV544sCCZ5r</t>
        </is>
      </c>
      <c r="Z825" s="1" t="inlineStr">
        <is>
          <t>https://drive.google.com/uc?export=view&amp;id=1cZItaRMVPLUreEGj4-cOHlV544sCCZ5r</t>
        </is>
      </c>
      <c r="AA825" s="1" t="inlineStr">
        <is>
          <t>Unverified</t>
        </is>
      </c>
      <c r="AB825" s="1" t="n"/>
      <c r="AC825" s="1" t="n"/>
      <c r="AD825" s="10" t="n"/>
      <c r="AE825" s="1" t="n"/>
      <c r="AF825" t="inlineStr">
        <is>
          <t>No</t>
        </is>
      </c>
    </row>
    <row r="826" ht="12.5" customHeight="1">
      <c r="A826" s="6" t="n">
        <v>45181</v>
      </c>
      <c r="B826" s="1" t="inlineStr">
        <is>
          <t>ORG_1363</t>
        </is>
      </c>
      <c r="C826" s="1" t="b">
        <v>1</v>
      </c>
      <c r="D826" s="1" t="inlineStr">
        <is>
          <t>DigitalKidZ</t>
        </is>
      </c>
      <c r="E826" s="10" t="inlineStr">
        <is>
          <t>https://digitalkidz.school/</t>
        </is>
      </c>
      <c r="F826" t="inlineStr">
        <is>
          <t>digitalkidz.school</t>
        </is>
      </c>
      <c r="G826" s="1" t="inlineStr">
        <is>
          <t>DigitalKidZ is an edutainment to help elementary children become digital heroes and develop their full brain potential. This helps them to thrive in the educational system and set up for success.
It’s an online platform that improves the digital literacy of the children and helps them think BETTER, communicate BETTER, design, and engage BETTER in the world around. And it provides neuroscience-based reports to their parents to improve child’s performance and save money from private tutoring.</t>
        </is>
      </c>
      <c r="H826" s="1" t="inlineStr">
        <is>
          <t>I'm not part of any EdTech association</t>
        </is>
      </c>
      <c r="I826" s="1" t="n"/>
      <c r="J826" s="1" t="inlineStr">
        <is>
          <t>Sofia</t>
        </is>
      </c>
      <c r="K826" t="inlineStr">
        <is>
          <t>Sofia</t>
        </is>
      </c>
      <c r="L826" t="inlineStr">
        <is>
          <t>Sofia, Bulgaria</t>
        </is>
      </c>
      <c r="M826" t="n">
        <v>42.6977028</v>
      </c>
      <c r="N826" t="n">
        <v>23.3217359</v>
      </c>
      <c r="O826" s="1" t="inlineStr">
        <is>
          <t>Bulgaria</t>
        </is>
      </c>
      <c r="P826" s="1" t="inlineStr">
        <is>
          <t>Austria, Bulgaria, Kosovo, Serbia</t>
        </is>
      </c>
      <c r="Q826" s="1" t="inlineStr">
        <is>
          <t>0 to 10</t>
        </is>
      </c>
      <c r="R826" t="inlineStr">
        <is>
          <t>Micro</t>
        </is>
      </c>
      <c r="S826" s="1" t="inlineStr">
        <is>
          <t>Business to Business</t>
        </is>
      </c>
      <c r="T826" s="1" t="inlineStr">
        <is>
          <t>Secondary Education</t>
        </is>
      </c>
      <c r="U826" s="1" t="inlineStr">
        <is>
          <t>System/Administrative, Student interfacing</t>
        </is>
      </c>
      <c r="V826" s="1" t="n"/>
      <c r="W826" s="1" t="inlineStr">
        <is>
          <t>https://drive.google.com/uc?export=view&amp;id=13ng1Gy2F3FycAh_nAOljjTlIZ974jZwP</t>
        </is>
      </c>
      <c r="X826" s="1" t="inlineStr">
        <is>
          <t>https://drive.google.com/uc?export=view&amp;id=13ng1Gy2F3FycAh_nAOljjTlIZ974jZwP</t>
        </is>
      </c>
      <c r="Y826" t="inlineStr">
        <is>
          <t>https://drive.google.com/uc?export=view&amp;id=13ng1Gy2F3FycAh_nAOljjTlIZ974jZwP</t>
        </is>
      </c>
      <c r="Z826" s="1" t="inlineStr">
        <is>
          <t>https://drive.google.com/uc?export=view&amp;id=13ng1Gy2F3FycAh_nAOljjTlIZ974jZwP</t>
        </is>
      </c>
      <c r="AA826" s="1" t="inlineStr">
        <is>
          <t>Unverified</t>
        </is>
      </c>
      <c r="AB826" s="1" t="n"/>
      <c r="AC826" s="1" t="n"/>
      <c r="AD826" s="10" t="n"/>
      <c r="AE826" s="1" t="n"/>
      <c r="AF826" t="inlineStr">
        <is>
          <t>No</t>
        </is>
      </c>
    </row>
    <row r="827" ht="12.5" customHeight="1">
      <c r="A827" s="6" t="n">
        <v>45181</v>
      </c>
      <c r="B827" s="1" t="inlineStr">
        <is>
          <t>ORG_1965</t>
        </is>
      </c>
      <c r="C827" s="1" t="b">
        <v>1</v>
      </c>
      <c r="D827" s="1" t="inlineStr">
        <is>
          <t>Millionroads</t>
        </is>
      </c>
      <c r="E827" s="10" t="inlineStr">
        <is>
          <t>https://www.millionroads.com/</t>
        </is>
      </c>
      <c r="F827" t="inlineStr">
        <is>
          <t>millionroads.com</t>
        </is>
      </c>
      <c r="G827" s="1" t="inlineStr">
        <is>
          <t>Millionroads is an Edtech company that collects and analyses tens of millions of educational and professional backgrounds and develop business intelligence tools enabling education actors to better manage their activities, with solutions designed to reinvent career guidance and integration thanks to the combined power of Big data and IA.</t>
        </is>
      </c>
      <c r="H827" s="1" t="inlineStr">
        <is>
          <t>AFINEF</t>
        </is>
      </c>
      <c r="I827" s="1" t="n"/>
      <c r="J827" s="1" t="inlineStr">
        <is>
          <t>Avignon</t>
        </is>
      </c>
      <c r="K827" t="inlineStr">
        <is>
          <t>Avignon</t>
        </is>
      </c>
      <c r="L827" t="inlineStr">
        <is>
          <t>Avignon, France</t>
        </is>
      </c>
      <c r="M827" t="n">
        <v>43.9492493</v>
      </c>
      <c r="N827" t="n">
        <v>4.8059012</v>
      </c>
      <c r="O827" s="1" t="inlineStr">
        <is>
          <t>France</t>
        </is>
      </c>
      <c r="P827" s="1" t="inlineStr">
        <is>
          <t>France</t>
        </is>
      </c>
      <c r="Q827" s="1" t="inlineStr">
        <is>
          <t>11 to 50</t>
        </is>
      </c>
      <c r="R827" t="inlineStr">
        <is>
          <t>Small</t>
        </is>
      </c>
      <c r="S827" s="1" t="inlineStr">
        <is>
          <t>Business to Consumer, Business to Government, Business to Schools</t>
        </is>
      </c>
      <c r="T827" s="1" t="inlineStr">
        <is>
          <t>Secondary Education, Higher Education</t>
        </is>
      </c>
      <c r="U827" s="1" t="inlineStr">
        <is>
          <t>Student interfacing</t>
        </is>
      </c>
      <c r="V827" s="1" t="n"/>
      <c r="W827" s="1" t="inlineStr">
        <is>
          <t>https://drive.google.com/uc?export=view&amp;id=1FLLz6eloWGc0PASWNw0OUkydyJ3N-Zhu</t>
        </is>
      </c>
      <c r="X827" s="1" t="inlineStr">
        <is>
          <t>https://drive.google.com/uc?export=view&amp;id=1FLLz6eloWGc0PASWNw0OUkydyJ3N-Zhu</t>
        </is>
      </c>
      <c r="Y827" t="inlineStr">
        <is>
          <t>https://drive.google.com/uc?export=view&amp;id=1FLLz6eloWGc0PASWNw0OUkydyJ3N-Zhu</t>
        </is>
      </c>
      <c r="Z827" s="1" t="inlineStr">
        <is>
          <t>https://drive.google.com/uc?export=view&amp;id=1FLLz6eloWGc0PASWNw0OUkydyJ3N-Zhu</t>
        </is>
      </c>
      <c r="AA827" s="1" t="inlineStr">
        <is>
          <t>Unverified</t>
        </is>
      </c>
      <c r="AB827" s="1" t="n"/>
      <c r="AC827" s="1" t="n"/>
      <c r="AD827" s="10" t="n"/>
      <c r="AE827" s="1" t="n"/>
      <c r="AF827" s="1" t="inlineStr">
        <is>
          <t>No</t>
        </is>
      </c>
      <c r="AG827" s="1" t="n"/>
      <c r="AH827" s="1" t="n"/>
    </row>
    <row r="828" ht="12.5" customHeight="1">
      <c r="A828" s="6" t="n">
        <v>45181</v>
      </c>
      <c r="B828" s="1" t="inlineStr">
        <is>
          <t>ORG_1932</t>
        </is>
      </c>
      <c r="C828" s="1" t="b">
        <v>1</v>
      </c>
      <c r="D828" s="1" t="inlineStr">
        <is>
          <t>Matific</t>
        </is>
      </c>
      <c r="E828" s="10" t="inlineStr">
        <is>
          <t>https://www.matific.com/es/es/home/</t>
        </is>
      </c>
      <c r="F828" t="inlineStr">
        <is>
          <t>matific.com/es/es/home</t>
        </is>
      </c>
      <c r="G828" s="1" t="inlineStr">
        <is>
          <t>Matific is a digital learning resource that combines a repository of gamified mathematical activities, that develop fluency and conceptual understanding of mathematics in Early Childhood and Primary Education, with a complete suite of tools for teachers. 
Matific provides:
- an attractive environment that sparks the natural curiosity of each child, an environment where maths comes to life as problems are presented in real life contexts.
- an environment that promotes inclusion, where each student can advance at his/her own pace, even in his/her own language.
- more than 2,500 activities aligned with different curriculums and available in more than 40 languages.
- placement tests that serve to identify the weaknesses and strengths of each student.
- detailed reports that allow teachers to easily identify the needs of each student and assign activities in a personalized way to help expand or reinforce different concepts.
- an easy to use interface for teachers that does not require any methodological changes.</t>
        </is>
      </c>
      <c r="H828" s="1" t="inlineStr">
        <is>
          <t>I'm not part of any EdTech association</t>
        </is>
      </c>
      <c r="I828" s="1" t="n"/>
      <c r="J828" s="1" t="inlineStr">
        <is>
          <t>Madrid</t>
        </is>
      </c>
      <c r="K828" t="inlineStr">
        <is>
          <t>Madrid</t>
        </is>
      </c>
      <c r="L828" t="inlineStr">
        <is>
          <t>Madrid, Spain</t>
        </is>
      </c>
      <c r="M828" t="n">
        <v>40.416782</v>
      </c>
      <c r="N828" t="n">
        <v>-3.703507</v>
      </c>
      <c r="O828" s="1" t="inlineStr">
        <is>
          <t>Spain</t>
        </is>
      </c>
      <c r="P828" s="1" t="inlineStr">
        <is>
          <t>Andorra, Belgium, Croatia, Czechia, Estonia, France, Hungary, Ireland, Italy, Malta, Netherlands, Poland, Portugal, Romania, Spain, Switzerland, Turkey, Ukraine, United Kingdom</t>
        </is>
      </c>
      <c r="Q828" s="1" t="inlineStr">
        <is>
          <t>100+</t>
        </is>
      </c>
      <c r="R828" t="inlineStr">
        <is>
          <t>Medium or Large (unspecified)</t>
        </is>
      </c>
      <c r="S828" s="1" t="inlineStr">
        <is>
          <t>Business to Business, Business to Consumer, Business to Government, Business to Schools</t>
        </is>
      </c>
      <c r="T828" s="1" t="inlineStr">
        <is>
          <t>Early childhood development (0-5 years), Primary Education</t>
        </is>
      </c>
      <c r="U828" s="1" t="inlineStr">
        <is>
          <t>System/Administrative, Teacher interfacing</t>
        </is>
      </c>
      <c r="V828" s="1" t="n"/>
      <c r="W828" s="1" t="inlineStr">
        <is>
          <t>https://drive.google.com/uc?export=view&amp;id=19bxGe1V5ozPDxqE-YccVuk9jK0QFNLYF</t>
        </is>
      </c>
      <c r="X828" s="1" t="inlineStr">
        <is>
          <t>https://drive.google.com/uc?export=view&amp;id=19bxGe1V5ozPDxqE-YccVuk9jK0QFNLYF</t>
        </is>
      </c>
      <c r="Y828" t="inlineStr">
        <is>
          <t>https://drive.google.com/uc?export=view&amp;id=19bxGe1V5ozPDxqE-YccVuk9jK0QFNLYF</t>
        </is>
      </c>
      <c r="Z828" s="1" t="inlineStr">
        <is>
          <t>https://drive.google.com/uc?export=view&amp;id=19bxGe1V5ozPDxqE-YccVuk9jK0QFNLYF</t>
        </is>
      </c>
      <c r="AA828" s="1" t="inlineStr">
        <is>
          <t>Unverified</t>
        </is>
      </c>
      <c r="AB828" s="1" t="n"/>
      <c r="AC828" s="1" t="n"/>
      <c r="AD828" s="10" t="n"/>
      <c r="AE828" s="1" t="n"/>
      <c r="AF828" t="inlineStr">
        <is>
          <t>No</t>
        </is>
      </c>
    </row>
    <row r="829" ht="12.5" customHeight="1">
      <c r="A829" s="6" t="n">
        <v>45181</v>
      </c>
      <c r="B829" s="1" t="inlineStr">
        <is>
          <t>ORG_1574</t>
        </is>
      </c>
      <c r="C829" s="1" t="b">
        <v>1</v>
      </c>
      <c r="D829" s="1" t="inlineStr">
        <is>
          <t>Formación Ninja</t>
        </is>
      </c>
      <c r="E829" s="10" t="inlineStr">
        <is>
          <t>https://formacion.ninja</t>
        </is>
      </c>
      <c r="F829" t="inlineStr">
        <is>
          <t>formacion.ninja</t>
        </is>
      </c>
      <c r="G829" s="1" t="inlineStr">
        <is>
          <t>In Formación Ninja we create academies for the preparation of specific civil exams. Our teaching method is based on the use of study techniques to more easily memorize the theoretical content of the exams. Bombero Ninja is the leading academy in its sector, having been born in December 2019.</t>
        </is>
      </c>
      <c r="H829" s="1" t="inlineStr">
        <is>
          <t>SEK Lab</t>
        </is>
      </c>
      <c r="I829" s="1" t="n"/>
      <c r="J829" s="1" t="inlineStr">
        <is>
          <t>Madrid</t>
        </is>
      </c>
      <c r="K829" t="inlineStr">
        <is>
          <t>Madrid</t>
        </is>
      </c>
      <c r="L829" t="inlineStr">
        <is>
          <t>Madrid, Spain</t>
        </is>
      </c>
      <c r="M829" t="n">
        <v>40.416782</v>
      </c>
      <c r="N829" t="n">
        <v>-3.703507</v>
      </c>
      <c r="O829" s="1" t="inlineStr">
        <is>
          <t>Spain</t>
        </is>
      </c>
      <c r="P829" s="1" t="inlineStr">
        <is>
          <t>Spain</t>
        </is>
      </c>
      <c r="Q829" s="1" t="inlineStr">
        <is>
          <t>11 to 50</t>
        </is>
      </c>
      <c r="R829" t="inlineStr">
        <is>
          <t>Small</t>
        </is>
      </c>
      <c r="S829" s="1" t="inlineStr">
        <is>
          <t>Business to Consumer</t>
        </is>
      </c>
      <c r="T829" s="1" t="inlineStr">
        <is>
          <t>Higher Education</t>
        </is>
      </c>
      <c r="U829" s="1" t="inlineStr">
        <is>
          <t>Student interfacing</t>
        </is>
      </c>
      <c r="V829" s="10" t="inlineStr">
        <is>
          <t>Bombero Ninja</t>
        </is>
      </c>
      <c r="W829" s="10" t="inlineStr">
        <is>
          <t>The largest online academy for firefighters in Spain, literally. We prepare firefighters from the Community of Madrid, AENA, the Valencian Community, the Generalitat de Catalunya and many more oppositions.</t>
        </is>
      </c>
      <c r="X829" s="10" t="inlineStr">
        <is>
          <t>Policía Ninja</t>
        </is>
      </c>
      <c r="Y829" t="inlineStr">
        <is>
          <t>It was born in October 2021 and already helps hundreds of students to get their place in Ávila. Currently we are only preparing the National Police Corps, but we are very excited and want to go further, helping opponents of the Civil Guard, local Police...</t>
        </is>
      </c>
      <c r="Z829" s="1" t="inlineStr">
        <is>
          <t>https://drive.google.com/uc?export=view&amp;id=1pIP0FW4HcJazFElBq996xDg5VGtEIa1o</t>
        </is>
      </c>
      <c r="AA829" s="1" t="inlineStr">
        <is>
          <t>Unverified</t>
        </is>
      </c>
      <c r="AB829" s="1" t="n"/>
      <c r="AC829" s="1" t="n"/>
      <c r="AD829" s="10" t="n"/>
      <c r="AE829" s="1" t="n"/>
      <c r="AF829" s="1" t="inlineStr">
        <is>
          <t>Yes</t>
        </is>
      </c>
      <c r="AG829" s="1" t="inlineStr">
        <is>
          <t>https://www.instagram.com/formacion.ninja/</t>
        </is>
      </c>
      <c r="AH829" s="1" t="inlineStr">
        <is>
          <t>https://twitter.com/FormacionNinja</t>
        </is>
      </c>
      <c r="AI829" t="inlineStr">
        <is>
          <t>https://www.linkedin.com/company/formacionninja/</t>
        </is>
      </c>
    </row>
    <row r="830" ht="12.5" customHeight="1">
      <c r="A830" s="6" t="n">
        <v>45181</v>
      </c>
      <c r="B830" s="1" t="inlineStr">
        <is>
          <t>ORG_1874</t>
        </is>
      </c>
      <c r="C830" s="1" t="b">
        <v>1</v>
      </c>
      <c r="D830" s="1" t="inlineStr">
        <is>
          <t>Liga-Roboter</t>
        </is>
      </c>
      <c r="E830" s="10" t="inlineStr">
        <is>
          <t>https://ligaderroboter.de/</t>
        </is>
      </c>
      <c r="F830" t="inlineStr">
        <is>
          <t>ligaderroboter.de</t>
        </is>
      </c>
      <c r="G830" s="1" t="inlineStr">
        <is>
          <t>Liga der Roboter (League of Robots) is the network of robotics schools across Munich and Germany (soon). 
STEM-multidisciplinary approach to education: through robotics we teach mathematics, physics, chemistry, project activities, teamwork and even history and biology.
Up to now we created 192 fascinating lessons, transferring children to the world of discovery; 576 hours of pumping the child's intellect - algorithmic and projected thinking, technical creativity of our students is above the level of peers.</t>
        </is>
      </c>
      <c r="H830" s="1" t="inlineStr">
        <is>
          <t>I'm not part of any EdTech association</t>
        </is>
      </c>
      <c r="I830" s="1" t="n"/>
      <c r="J830" s="1" t="inlineStr">
        <is>
          <t>München</t>
        </is>
      </c>
      <c r="K830" t="inlineStr">
        <is>
          <t>München</t>
        </is>
      </c>
      <c r="L830" t="inlineStr">
        <is>
          <t>München, Germany</t>
        </is>
      </c>
      <c r="M830" t="n">
        <v>48.1371079</v>
      </c>
      <c r="N830" t="n">
        <v>11.5753822</v>
      </c>
      <c r="O830" s="1" t="inlineStr">
        <is>
          <t>Germany</t>
        </is>
      </c>
      <c r="P830" s="1" t="inlineStr">
        <is>
          <t>Germany</t>
        </is>
      </c>
      <c r="Q830" s="1" t="inlineStr">
        <is>
          <t>0 to 10</t>
        </is>
      </c>
      <c r="R830" t="inlineStr">
        <is>
          <t>Micro</t>
        </is>
      </c>
      <c r="S830" s="1" t="inlineStr">
        <is>
          <t>Business to Consumer</t>
        </is>
      </c>
      <c r="T830" s="1" t="inlineStr">
        <is>
          <t>Early childhood development (0-5 years), Primary Education</t>
        </is>
      </c>
      <c r="U830" s="1" t="inlineStr">
        <is>
          <t>Student interfacing</t>
        </is>
      </c>
      <c r="V830" s="1" t="n"/>
      <c r="W830" s="1" t="n"/>
      <c r="X830" s="1" t="n"/>
      <c r="Z830" s="1" t="n"/>
      <c r="AA830" s="1" t="inlineStr">
        <is>
          <t>Unverified</t>
        </is>
      </c>
      <c r="AB830" s="1" t="n"/>
      <c r="AC830" s="1" t="n"/>
      <c r="AD830" s="1" t="n"/>
      <c r="AE830" s="1" t="n"/>
      <c r="AF830" s="1" t="inlineStr">
        <is>
          <t>No</t>
        </is>
      </c>
      <c r="AG830" s="1" t="n"/>
      <c r="AH830" s="1" t="n"/>
    </row>
    <row r="831" ht="12.5" customHeight="1">
      <c r="A831" s="6" t="n">
        <v>45181</v>
      </c>
      <c r="B831" s="1" t="inlineStr">
        <is>
          <t>ORG_2076</t>
        </is>
      </c>
      <c r="C831" s="1" t="b">
        <v>1</v>
      </c>
      <c r="D831" s="1" t="inlineStr">
        <is>
          <t>Opoland</t>
        </is>
      </c>
      <c r="E831" s="10" t="inlineStr">
        <is>
          <t>https://opo.land</t>
        </is>
      </c>
      <c r="F831" t="inlineStr">
        <is>
          <t>opo.land</t>
        </is>
      </c>
      <c r="G831" s="1" t="inlineStr">
        <is>
          <t>Opoland is an online platform for competitive video courses. In Opoland you can register as a teacher and start creating your courses, earning money based on the time your videos are played. In addition, for those people who want to teach and continue to compete, it is a great way to study their syllabus. Likewise, in Opoland, students will find a new way of studying the civil exams since, through subscription, they can access all the content freely and choose different teachers for each of the subjects. Enter now for only €27 per month.</t>
        </is>
      </c>
      <c r="H831" s="1" t="inlineStr">
        <is>
          <t>SEK Lab</t>
        </is>
      </c>
      <c r="I831" s="1" t="n"/>
      <c r="J831" s="1" t="inlineStr">
        <is>
          <t>Madrid</t>
        </is>
      </c>
      <c r="K831" t="inlineStr">
        <is>
          <t>Madrid</t>
        </is>
      </c>
      <c r="L831" t="inlineStr">
        <is>
          <t>Madrid, Spain</t>
        </is>
      </c>
      <c r="M831" t="n">
        <v>40.416782</v>
      </c>
      <c r="N831" t="n">
        <v>-3.703507</v>
      </c>
      <c r="O831" s="1" t="inlineStr">
        <is>
          <t>Spain</t>
        </is>
      </c>
      <c r="P831" s="1" t="inlineStr">
        <is>
          <t>Spain</t>
        </is>
      </c>
      <c r="Q831" s="1" t="inlineStr">
        <is>
          <t>0 to 10</t>
        </is>
      </c>
      <c r="R831" t="inlineStr">
        <is>
          <t>Micro</t>
        </is>
      </c>
      <c r="S831" s="1" t="inlineStr">
        <is>
          <t>Business to Consumer</t>
        </is>
      </c>
      <c r="T831" s="1" t="inlineStr">
        <is>
          <t>Higher Education</t>
        </is>
      </c>
      <c r="U831" s="1" t="inlineStr">
        <is>
          <t>Student interfacing</t>
        </is>
      </c>
      <c r="V831" s="10" t="inlineStr">
        <is>
          <t>Opoland</t>
        </is>
      </c>
      <c r="W831" s="10" t="inlineStr">
        <is>
          <t>Opoland is an online platform for competitive video courses. In Opoland you can register as a teacher and start creating your courses, earning money based on the time your videos are played. In addition, for those people who want to teach and continue to compete, it is a great way to study their syllabus. Likewise, in Opoland, students will find a new way of studying the civil exams since, through subscription, they can access all the content freely and choose different teachers for each of the subjects. Enter now for only €27 per month.</t>
        </is>
      </c>
      <c r="X831" s="10" t="inlineStr">
        <is>
          <t>https://drive.google.com/uc?export=view&amp;id=1X3PDtnknD38ocVPvzQ2zk1I2mVJL8FLo</t>
        </is>
      </c>
      <c r="Y831" t="inlineStr">
        <is>
          <t>https://drive.google.com/uc?export=view&amp;id=1X3PDtnknD38ocVPvzQ2zk1I2mVJL8FLo</t>
        </is>
      </c>
      <c r="Z831" s="1" t="inlineStr">
        <is>
          <t>https://drive.google.com/uc?export=view&amp;id=1X3PDtnknD38ocVPvzQ2zk1I2mVJL8FLo</t>
        </is>
      </c>
      <c r="AA831" s="1" t="inlineStr">
        <is>
          <t>Unverified</t>
        </is>
      </c>
      <c r="AB831" s="1" t="n"/>
      <c r="AC831" s="1" t="n"/>
      <c r="AD831" s="10" t="n"/>
      <c r="AE831" s="1" t="n"/>
      <c r="AF831" t="inlineStr">
        <is>
          <t>Yes</t>
        </is>
      </c>
      <c r="AG831" t="inlineStr">
        <is>
          <t>https://www.instagram.com/opoland_es/</t>
        </is>
      </c>
      <c r="AH831" t="inlineStr">
        <is>
          <t>https://twitter.com/opoland_es</t>
        </is>
      </c>
      <c r="AI831" t="inlineStr">
        <is>
          <t>https://www.linkedin.com/company/opo-land</t>
        </is>
      </c>
    </row>
    <row r="832" ht="12.5" customHeight="1">
      <c r="A832" s="6" t="n">
        <v>45181</v>
      </c>
      <c r="B832" s="1" t="inlineStr">
        <is>
          <t>ORG_1208</t>
        </is>
      </c>
      <c r="C832" s="1" t="b">
        <v>1</v>
      </c>
      <c r="D832" s="1" t="inlineStr">
        <is>
          <t>CABRILOG</t>
        </is>
      </c>
      <c r="E832" s="10" t="inlineStr">
        <is>
          <t>https://cabri.com</t>
        </is>
      </c>
      <c r="F832" t="inlineStr">
        <is>
          <t>cabri.com</t>
        </is>
      </c>
      <c r="G832" s="1" t="inlineStr">
        <is>
          <t>An EdTech located in the heart of the French Alps, Cabrilog designs, develops and markets digital learning resources and apps dedicated to maths and science education. Those are based on the concept of “Try it to learn it”. It is for both K-12 and higher education students and teachers. It features a smart automatic grading for assessment in maths, coding and STEAM.
1. Around 20 Ministries of Education have already deployed Cabri solutions. 
2. The solution has proven to generate a 30% increase in students' grades. Those results come from the world’s largest research on the impact of technology in math education, including more than 15,000 students during 6 years.
3. Based on scientific results in didactics and cognitive science research through key partnerships.
4. The technology has been embedded in Texas Instruments calculators since the 90’s &amp; adopted by leading text-book publishers, such as Mc Graw Hill and Pearson.</t>
        </is>
      </c>
      <c r="H832" s="1" t="inlineStr">
        <is>
          <t>AFINEF</t>
        </is>
      </c>
      <c r="I832" s="1" t="n"/>
      <c r="J832" s="1" t="inlineStr">
        <is>
          <t>Fontaine</t>
        </is>
      </c>
      <c r="K832" t="inlineStr">
        <is>
          <t>Fontaine</t>
        </is>
      </c>
      <c r="L832" t="inlineStr">
        <is>
          <t>Fontaine, France</t>
        </is>
      </c>
      <c r="M832" t="n">
        <v>50.304712</v>
      </c>
      <c r="N832" t="n">
        <v>2.0641039</v>
      </c>
      <c r="O832" s="1" t="inlineStr">
        <is>
          <t>France</t>
        </is>
      </c>
      <c r="P83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832" s="1" t="inlineStr">
        <is>
          <t>11 to 50</t>
        </is>
      </c>
      <c r="R832" t="inlineStr">
        <is>
          <t>Small</t>
        </is>
      </c>
      <c r="S832" s="1" t="inlineStr">
        <is>
          <t>Business to Business, Business to Consumer, Business to Government, Business to Schools</t>
        </is>
      </c>
      <c r="T832" s="1" t="inlineStr">
        <is>
          <t>Primary Education, Secondary Education, Higher Education, Corporate Training, Lifelong learning/Adult education</t>
        </is>
      </c>
      <c r="U832" s="1" t="inlineStr">
        <is>
          <t>System/Administrative, Student interfacing, Teacher interfacing</t>
        </is>
      </c>
      <c r="V832" s="10" t="inlineStr">
        <is>
          <t>Cabri Maths</t>
        </is>
      </c>
      <c r="W832" s="10" t="inlineStr">
        <is>
          <t>CABRI Maths combines several mathematical tools, all integrated into the LMS platform
Cabri for personalized support in learning:
● The Cabri Express tool
● The Smart extension
● Cabri 3D online
The Cabri Express tool allows teachers to create digital resources in line with
to the school programs and in line with the different mathematics themes:
"Numbers and calculations", "Organization and management functions", "Magnitude and measures","Space and geometry". With Cabri Express, students feel involved in mathematics, the digital mathematics, the digital tool captures their attention and attention and makes them actors of their learning. The teacher has the possibility of creating activities in mathematics using Cabri Express: they have access to tools for creating statements (text, expression, numbers, etc.), dynamic geometry in 2D and 3D,
virtual instruments such as the ruler, the compass, the protractor, the calculator, etc.
Cabri 3D is a powerful software for dynamic mathematics in space.
Cabri 3D makes it possible to overcome the difficulties of construction and visualization, and brings the advantages of dynamic geometry. Cabri 3D won the BETT Award 2007
for the best resource in the "Secondary School Core Subjects" category.
3D visualization tools make it possible to exploit the properties of solid geometry and
to understand mathematical constructions that are impossible to reproduce physically. The tool allows students to develop their ability to think in 3D and their mathematical creativity, a skill sought after by companies for problem solving.</t>
        </is>
      </c>
      <c r="X832" s="10" t="inlineStr">
        <is>
          <t>Cabri STEAM</t>
        </is>
      </c>
      <c r="Y832" t="inlineStr">
        <is>
          <t>Cabri STEAM is an extension using the iMuSciCA tools to learn all the STEAM notions. 
iMuSciCA is a European project which focusses on the following : 
motivating students for scientific subjects, even when things get difficult; making connections with the stimulating world of music; stimulating creativity in the different disciplines through art and expression. This is why iMuSciCA proposes an interdisciplinary approach guiding students to solve real problems in a creative manner, a key competence. It is about fostering creativity and enhancing learning science, technology, arts and mathematics skills in science, technology, arts and mathematics through music.
iMuSciCA is a solution developed thanks to the collaboration of five research groups and three enterprises, established in six European countries. 
Each of these actors brings its expertise on topics such as virtual reality, sound and music analysis algorithms, science and mathematics education as part of an interdisciplinary education, the design, customization and production of 3D objects ...</t>
        </is>
      </c>
      <c r="Z832" s="1" t="inlineStr">
        <is>
          <t>https://drive.google.com/uc?export=view&amp;id=1V6uKeA9mVE_k9VmSUWddHTq_byGZF2NA</t>
        </is>
      </c>
      <c r="AA832" s="1" t="inlineStr">
        <is>
          <t>Unverified</t>
        </is>
      </c>
      <c r="AB832" s="1" t="n"/>
      <c r="AC832" s="1" t="n"/>
      <c r="AD832" s="10" t="n"/>
      <c r="AE832" s="1" t="n"/>
      <c r="AF832" t="inlineStr">
        <is>
          <t>Yes</t>
        </is>
      </c>
      <c r="AG832" t="inlineStr">
        <is>
          <t>https://www.instagram.com/cabrilog_/</t>
        </is>
      </c>
      <c r="AH832" t="inlineStr">
        <is>
          <t>https://twitter.com/Cabrilog</t>
        </is>
      </c>
      <c r="AI832" t="inlineStr">
        <is>
          <t>https://www.linkedin.com/company/cabrilog/</t>
        </is>
      </c>
    </row>
    <row r="833" ht="12.5" customHeight="1">
      <c r="A833" s="6" t="n">
        <v>45181</v>
      </c>
      <c r="B833" s="1" t="inlineStr">
        <is>
          <t>ORG_2049</t>
        </is>
      </c>
      <c r="C833" s="1" t="b">
        <v>1</v>
      </c>
      <c r="D833" s="1" t="inlineStr">
        <is>
          <t>NUADU</t>
        </is>
      </c>
      <c r="E833" s="10" t="inlineStr">
        <is>
          <t>https://nuadu.com/</t>
        </is>
      </c>
      <c r="F833" t="inlineStr">
        <is>
          <t>nuadu.com</t>
        </is>
      </c>
      <c r="G833" s="1" t="inlineStr">
        <is>
          <t>NUADU is a data-driven formative, summative, and normative assessment platform with supplementary features that enhance learning. 
1. NUADU Learning - saas platform for education and automatic formative assessment. Solution for schools and learning centres. Flexible and adaptive but teacher-led, housing question banks and digital materials to be used in class or for self-study. 
2. NUADU Exams - saas platform for tests and automatic assessment offering secure online exam delivery. A 360-degree solution for exams online dedicated for test and learning centres, certifying bodies, vocational, educational institutions, schools, universities, and the corporate HR sector. English Language Exams Mock Tests available: IELTS™, TOEIC®, TOEFL ITP®, Young Adults English Test (aligned to Cambridge English Key, Preliminary, First Test) and Young Learners English Test (aligned to Cambridge English Pre A1 Starters, A1 Movers, A2 Flyers Test).</t>
        </is>
      </c>
      <c r="H833" s="1" t="inlineStr">
        <is>
          <t>EdTech Poland</t>
        </is>
      </c>
      <c r="I833" s="1" t="n"/>
      <c r="J833" s="1" t="inlineStr">
        <is>
          <t>Gdynia</t>
        </is>
      </c>
      <c r="K833" t="inlineStr">
        <is>
          <t>Gdynia</t>
        </is>
      </c>
      <c r="L833" t="inlineStr">
        <is>
          <t>Gdynia, Poland</t>
        </is>
      </c>
      <c r="M833" t="n">
        <v>54.5233304</v>
      </c>
      <c r="N833" t="n">
        <v>18.6040279</v>
      </c>
      <c r="O833" s="1" t="inlineStr">
        <is>
          <t>Poland</t>
        </is>
      </c>
      <c r="P833" s="1" t="inlineStr">
        <is>
          <t>Bulgaria, France, Poland</t>
        </is>
      </c>
      <c r="Q833" s="1" t="inlineStr">
        <is>
          <t>11 to 50</t>
        </is>
      </c>
      <c r="R833" t="inlineStr">
        <is>
          <t>Small</t>
        </is>
      </c>
      <c r="S833" s="1" t="inlineStr">
        <is>
          <t>Business to Business, Business to Government, Business to Schools</t>
        </is>
      </c>
      <c r="T833" s="1" t="inlineStr">
        <is>
          <t>Primary Education, Secondary Education, Higher Education, Corporate Training</t>
        </is>
      </c>
      <c r="U833" s="1" t="inlineStr">
        <is>
          <t>Student interfacing, Teacher interfacing, System/Administrative</t>
        </is>
      </c>
      <c r="V833" s="1" t="n"/>
      <c r="W833" s="1" t="inlineStr">
        <is>
          <t>https://drive.google.com/uc?export=view&amp;id=1vE3zxoXfaxMQZm3zTZWZaEOXVmGV9ksp</t>
        </is>
      </c>
      <c r="X833" s="1" t="inlineStr">
        <is>
          <t>https://drive.google.com/uc?export=view&amp;id=1vE3zxoXfaxMQZm3zTZWZaEOXVmGV9ksp</t>
        </is>
      </c>
      <c r="Y833" t="inlineStr">
        <is>
          <t>https://drive.google.com/uc?export=view&amp;id=1vE3zxoXfaxMQZm3zTZWZaEOXVmGV9ksp</t>
        </is>
      </c>
      <c r="Z833" s="1" t="inlineStr">
        <is>
          <t>https://drive.google.com/uc?export=view&amp;id=1vE3zxoXfaxMQZm3zTZWZaEOXVmGV9ksp</t>
        </is>
      </c>
      <c r="AA833" s="1" t="inlineStr">
        <is>
          <t>Unverified</t>
        </is>
      </c>
      <c r="AB833" s="1" t="n"/>
      <c r="AC833" s="1" t="n"/>
      <c r="AD833" s="10" t="n"/>
      <c r="AE833" s="1" t="n"/>
      <c r="AF833" t="inlineStr">
        <is>
          <t>No</t>
        </is>
      </c>
    </row>
    <row r="834" ht="12.5" customHeight="1">
      <c r="A834" s="6" t="n">
        <v>45181</v>
      </c>
      <c r="B834" s="1" t="inlineStr">
        <is>
          <t>ORG_1358</t>
        </is>
      </c>
      <c r="C834" s="1" t="b">
        <v>1</v>
      </c>
      <c r="D834" s="1" t="inlineStr">
        <is>
          <t>Digital Latam - E-Learning Agency</t>
        </is>
      </c>
      <c r="E834" s="10" t="inlineStr">
        <is>
          <t>www.digitallatam.com</t>
        </is>
      </c>
      <c r="F834" t="inlineStr">
        <is>
          <t>digitallatam.com</t>
        </is>
      </c>
      <c r="G834" s="1" t="inlineStr">
        <is>
          <t>Digital Latam is an E-learning agency offering interactive learning solutions like Digital Escape Rooms, Learning nuggets or digital workbooks mainly with a focus on soft skill development for companies. 
Apart from this we provide tailor made learning services for any kind of branch and business with more than 8 years of experience in the international market.</t>
        </is>
      </c>
      <c r="H834" s="1" t="inlineStr">
        <is>
          <t>I'm not part of any EdTech association</t>
        </is>
      </c>
      <c r="I834" s="1" t="n"/>
      <c r="J834" s="1" t="inlineStr">
        <is>
          <t>Berlin</t>
        </is>
      </c>
      <c r="K834" t="inlineStr">
        <is>
          <t>Berlin</t>
        </is>
      </c>
      <c r="L834" t="inlineStr">
        <is>
          <t>Berlin, Germany</t>
        </is>
      </c>
      <c r="M834" t="n">
        <v>52.5173885</v>
      </c>
      <c r="N834" t="n">
        <v>13.3951309</v>
      </c>
      <c r="O834" s="1" t="inlineStr">
        <is>
          <t>Germany</t>
        </is>
      </c>
      <c r="P834" s="1" t="inlineStr">
        <is>
          <t>Austria, Germany, Spain, United Kingdom</t>
        </is>
      </c>
      <c r="Q834" s="1" t="inlineStr">
        <is>
          <t>0 to 10</t>
        </is>
      </c>
      <c r="R834" t="inlineStr">
        <is>
          <t>Micro</t>
        </is>
      </c>
      <c r="S834" s="1" t="inlineStr">
        <is>
          <t>Business to Business</t>
        </is>
      </c>
      <c r="T834" s="1" t="inlineStr">
        <is>
          <t>Corporate Training</t>
        </is>
      </c>
      <c r="U834" s="1" t="inlineStr">
        <is>
          <t>Student interfacing, System/Administrative</t>
        </is>
      </c>
      <c r="V834" s="1" t="n"/>
      <c r="W834" s="1" t="inlineStr">
        <is>
          <t>https://drive.google.com/uc?export=view&amp;id=1tbJjEwJwD_IAsCio2updvtJgsvJdbQLz</t>
        </is>
      </c>
      <c r="X834" s="1" t="inlineStr">
        <is>
          <t>https://drive.google.com/uc?export=view&amp;id=1tbJjEwJwD_IAsCio2updvtJgsvJdbQLz</t>
        </is>
      </c>
      <c r="Y834" t="inlineStr">
        <is>
          <t>https://drive.google.com/uc?export=view&amp;id=1tbJjEwJwD_IAsCio2updvtJgsvJdbQLz</t>
        </is>
      </c>
      <c r="Z834" s="1" t="inlineStr">
        <is>
          <t>https://drive.google.com/uc?export=view&amp;id=1tbJjEwJwD_IAsCio2updvtJgsvJdbQLz</t>
        </is>
      </c>
      <c r="AA834" s="1" t="inlineStr">
        <is>
          <t>Unverified</t>
        </is>
      </c>
      <c r="AB834" s="1" t="n"/>
      <c r="AC834" s="1" t="n"/>
      <c r="AD834" s="10" t="n"/>
      <c r="AE834" s="1" t="n"/>
      <c r="AF834" t="inlineStr">
        <is>
          <t>No</t>
        </is>
      </c>
    </row>
    <row r="835" ht="12.5" customHeight="1">
      <c r="A835" s="6" t="n">
        <v>45181</v>
      </c>
      <c r="B835" s="1" t="inlineStr">
        <is>
          <t>ORG_1738</t>
        </is>
      </c>
      <c r="C835" s="1" t="b">
        <v>1</v>
      </c>
      <c r="D835" s="1" t="inlineStr">
        <is>
          <t>Ironhack</t>
        </is>
      </c>
      <c r="E835" s="10" t="inlineStr">
        <is>
          <t>https://www.ironhack.com/en</t>
        </is>
      </c>
      <c r="F835" t="inlineStr">
        <is>
          <t>ironhack.com/en</t>
        </is>
      </c>
      <c r="G835" s="1" t="inlineStr">
        <is>
          <t>Ironhack is an international school with campuses in Amsterdam, Barcelona, Berlin, Lisbon, Madrid, Mexico City, Miami, Paris and Sao Paulo, that was founded to disrupt the way we learn about technology. It sucks that we’ve been learning the same way since the Industrial Revolution, so we empower students to find meaningful careers in Web Development, UX/UI Design and Data Analytics by offering immersive learning experiences to extremely motivated people.</t>
        </is>
      </c>
      <c r="H835" s="1" t="inlineStr">
        <is>
          <t>I'm not part of any EdTech association</t>
        </is>
      </c>
      <c r="I835" s="1" t="n"/>
      <c r="J835" s="1" t="inlineStr">
        <is>
          <t>Paseo De La Chopera 14</t>
        </is>
      </c>
      <c r="L835" t="inlineStr">
        <is>
          <t>Paseo De La Chopera 14, Spain</t>
        </is>
      </c>
      <c r="O835" s="1" t="inlineStr">
        <is>
          <t>Spain</t>
        </is>
      </c>
      <c r="P835" s="1" t="inlineStr">
        <is>
          <t>Germany, Netherlands, Portugal, Spain, United Kingdom</t>
        </is>
      </c>
      <c r="Q835" s="1" t="inlineStr">
        <is>
          <t>100+</t>
        </is>
      </c>
      <c r="R835" t="inlineStr">
        <is>
          <t>Medium or Large (unspecified)</t>
        </is>
      </c>
      <c r="S835" s="1" t="inlineStr">
        <is>
          <t>Business to Business, Business to Consumer, Business to Government</t>
        </is>
      </c>
      <c r="T835" s="1" t="inlineStr">
        <is>
          <t>Corporate Training</t>
        </is>
      </c>
      <c r="U835" s="1" t="inlineStr">
        <is>
          <t>Student interfacing, System/Administrative</t>
        </is>
      </c>
      <c r="V835" s="1" t="n"/>
      <c r="W835" s="1" t="inlineStr">
        <is>
          <t>https://drive.google.com/uc?export=view&amp;id=11c_KEW7kPmFpXxFE5mXfU9exo2Rgl34f</t>
        </is>
      </c>
      <c r="X835" s="1" t="inlineStr">
        <is>
          <t>https://drive.google.com/uc?export=view&amp;id=11c_KEW7kPmFpXxFE5mXfU9exo2Rgl34f</t>
        </is>
      </c>
      <c r="Y835" t="inlineStr">
        <is>
          <t>https://drive.google.com/uc?export=view&amp;id=11c_KEW7kPmFpXxFE5mXfU9exo2Rgl34f</t>
        </is>
      </c>
      <c r="Z835" s="1" t="inlineStr">
        <is>
          <t>https://drive.google.com/uc?export=view&amp;id=11c_KEW7kPmFpXxFE5mXfU9exo2Rgl34f</t>
        </is>
      </c>
      <c r="AA835" s="1" t="inlineStr">
        <is>
          <t>Unverified</t>
        </is>
      </c>
      <c r="AB835" s="1" t="n"/>
      <c r="AC835" s="1" t="n"/>
      <c r="AD835" s="10" t="n"/>
      <c r="AE835" s="1" t="n"/>
      <c r="AF835" t="inlineStr">
        <is>
          <t>No</t>
        </is>
      </c>
    </row>
    <row r="836" ht="12.5" customHeight="1">
      <c r="A836" s="6" t="n">
        <v>45181</v>
      </c>
      <c r="B836" s="1" t="inlineStr">
        <is>
          <t>ORG_2165</t>
        </is>
      </c>
      <c r="C836" s="1" t="b">
        <v>1</v>
      </c>
      <c r="D836" s="1" t="inlineStr">
        <is>
          <t>Ready Education</t>
        </is>
      </c>
      <c r="E836" s="10" t="inlineStr">
        <is>
          <t>https://www.readyeducation.com/</t>
        </is>
      </c>
      <c r="F836" t="inlineStr">
        <is>
          <t>readyeducation.com</t>
        </is>
      </c>
      <c r="G836" s="1" t="inlineStr">
        <is>
          <t>Trusted by 700+ institutions to build communities and drive retention, Ready Education is the leading mobile student engagement platform on a mission to improve student success in higher education worldwide.</t>
        </is>
      </c>
      <c r="H836" s="1" t="inlineStr">
        <is>
          <t>EdTech France, Swiss EdTech Collider</t>
        </is>
      </c>
      <c r="I836" s="1" t="n"/>
      <c r="J836" s="1" t="inlineStr">
        <is>
          <t>Utrecht</t>
        </is>
      </c>
      <c r="K836" t="inlineStr">
        <is>
          <t>Utrecht</t>
        </is>
      </c>
      <c r="L836" t="inlineStr">
        <is>
          <t>Utrecht, The Netherlands</t>
        </is>
      </c>
      <c r="M836" t="n">
        <v>52.0906195</v>
      </c>
      <c r="N836" t="n">
        <v>5.1119709</v>
      </c>
      <c r="O836" s="1" t="inlineStr">
        <is>
          <t>The Netherlands</t>
        </is>
      </c>
      <c r="P836" s="1" t="inlineStr">
        <is>
          <t>Austria, Belgium, Cyprus, France, Germany, Greece, Ireland, Italy, Netherlands, Norway, Spain, United Kingdom</t>
        </is>
      </c>
      <c r="Q836" s="1" t="inlineStr">
        <is>
          <t>100+</t>
        </is>
      </c>
      <c r="R836" t="inlineStr">
        <is>
          <t>Medium or Large (unspecified)</t>
        </is>
      </c>
      <c r="S836" s="1" t="inlineStr">
        <is>
          <t>Business to Business, Business to Government</t>
        </is>
      </c>
      <c r="T836" s="1" t="inlineStr">
        <is>
          <t>Higher Education</t>
        </is>
      </c>
      <c r="U836" s="1" t="inlineStr">
        <is>
          <t>Student interfacing, Teacher interfacing</t>
        </is>
      </c>
      <c r="V836" s="1" t="inlineStr">
        <is>
          <t>Campus App</t>
        </is>
      </c>
      <c r="W836" s="10" t="inlineStr">
        <is>
          <t>The Student Companion.
Today’s students demand tailored information and content based on their personal interests and needs. Ready uses a recommendation engine with built-in machine learning capability to suggest targeted events, services, and content to students.</t>
        </is>
      </c>
      <c r="X836" s="10" t="inlineStr">
        <is>
          <t>Campus Cloud</t>
        </is>
      </c>
      <c r="Y836" t="inlineStr">
        <is>
          <t>The Admin Dashboard.
Finally, one place to manage all of your campus content, student communications and engagement data. With a broad suite of tools at your disposal, you can create messages, update your campus app or even extract student lists and send to other departments.</t>
        </is>
      </c>
      <c r="Z836" s="1" t="inlineStr">
        <is>
          <t>https://drive.google.com/uc?export=view&amp;id=1k9DzdXfLWVxVMZOIGMd2FQKY3MxSLEvu</t>
        </is>
      </c>
      <c r="AA836" s="1" t="inlineStr">
        <is>
          <t>Unverified</t>
        </is>
      </c>
      <c r="AB836" s="1" t="n"/>
      <c r="AC836" s="1" t="n"/>
      <c r="AD836" s="10" t="n"/>
      <c r="AE836" s="1" t="n"/>
      <c r="AF836" t="inlineStr">
        <is>
          <t>Yes</t>
        </is>
      </c>
      <c r="AG836" t="inlineStr">
        <is>
          <t>https://twitter.com/ReadyEducation</t>
        </is>
      </c>
      <c r="AH836" t="inlineStr">
        <is>
          <t>https://twitter.com/ReadyEducation</t>
        </is>
      </c>
      <c r="AI836" t="inlineStr">
        <is>
          <t>https://www.linkedin.com/company/ready-education</t>
        </is>
      </c>
    </row>
    <row r="837" ht="12.5" customHeight="1">
      <c r="A837" s="6" t="n">
        <v>45181</v>
      </c>
      <c r="B837" s="1" t="inlineStr">
        <is>
          <t>ORG_1061</t>
        </is>
      </c>
      <c r="C837" s="1" t="b">
        <v>1</v>
      </c>
      <c r="D837" s="1" t="inlineStr">
        <is>
          <t>Altissia</t>
        </is>
      </c>
      <c r="E837" s="10" t="inlineStr">
        <is>
          <t>https://www.altissia.org</t>
        </is>
      </c>
      <c r="F837" t="inlineStr">
        <is>
          <t>altissia.org</t>
        </is>
      </c>
      <c r="G837" s="1" t="inlineStr">
        <is>
          <t>Learn more than a language. Open the door to a new culture. 
At Altissia, we believe learning languages brings people closer together by creating harmony and mutual respect. Our goal is to make language learning accessible to all. 
We leverage technology to offer language courses in 25 languages and tests in 28 languages. Our courses and assessments are based on a rigorous academic foundation that ensures quality and efficient learning. We teach not only the language itself, but also the cultural and social aspects required for effective communication. Using technology, we make language learning easier and connect users to our wide range of tools and resources. 
Whether you need to compete in an international business landscape, expand and digitize your organization’s educational offers, assess job candidates, advance your career, or more, Altissia can empower you or your organization to achieve your language goals. 
Teach better. Learn better. Become better.</t>
        </is>
      </c>
      <c r="H837" s="1" t="inlineStr">
        <is>
          <t>I'm not part of any EdTech association</t>
        </is>
      </c>
      <c r="I837" s="1" t="n"/>
      <c r="J837" s="1" t="inlineStr">
        <is>
          <t>Louvain-La-Neuve</t>
        </is>
      </c>
      <c r="K837" t="inlineStr">
        <is>
          <t>Louvain-La-Neuve</t>
        </is>
      </c>
      <c r="L837" t="inlineStr">
        <is>
          <t>Louvain-La-Neuve, Belgium</t>
        </is>
      </c>
      <c r="M837" t="n">
        <v>50.6740673</v>
      </c>
      <c r="N837" t="n">
        <v>4.6138095</v>
      </c>
      <c r="O837" s="1" t="inlineStr">
        <is>
          <t>Belgium</t>
        </is>
      </c>
      <c r="P837" s="1" t="inlineStr">
        <is>
          <t>Austria, Belgium, Denmark, France, Germany, Italy, Luxembourg, Netherlands, Portugal, Spain, Switzerland, Turkey, United Kingdom</t>
        </is>
      </c>
      <c r="Q837" s="1" t="inlineStr">
        <is>
          <t>51 to 100</t>
        </is>
      </c>
      <c r="R837" t="inlineStr">
        <is>
          <t>Medium</t>
        </is>
      </c>
      <c r="S837" s="1" t="inlineStr">
        <is>
          <t>Business to Business</t>
        </is>
      </c>
      <c r="T837" s="1" t="inlineStr">
        <is>
          <t>Higher Education, Corporate Training, Lifelong learning/Adult education</t>
        </is>
      </c>
      <c r="U837" s="1" t="inlineStr">
        <is>
          <t>Student interfacing, Teacher interfacing, System/Administrative</t>
        </is>
      </c>
      <c r="V837" s="1" t="inlineStr">
        <is>
          <t>Language courses</t>
        </is>
      </c>
      <c r="W837" s="10" t="inlineStr">
        <is>
          <t>Altissia offers language courses in 25 languages on our intuitive digital platform. Do you want to improve your organization’s international collaboration, upskill your teams, or more? We can provide the tools you need.</t>
        </is>
      </c>
      <c r="X837" s="10" t="inlineStr">
        <is>
          <t>Language Tests</t>
        </is>
      </c>
      <c r="Y837" t="inlineStr">
        <is>
          <t>Altissia’s language assessments give you a reliable, scalable way to evaluate anyone in 28 languages, so you can choose the best candidate and track employees’ training progress.</t>
        </is>
      </c>
      <c r="Z837" s="1" t="inlineStr">
        <is>
          <t>https://drive.google.com/uc?export=view&amp;id=19_AokzBOZUAKkW6Sbf6XKuY4WIG0uppG</t>
        </is>
      </c>
      <c r="AA837" s="1" t="inlineStr">
        <is>
          <t>Unverified</t>
        </is>
      </c>
      <c r="AB837" s="1" t="n"/>
      <c r="AC837" s="1" t="n"/>
      <c r="AD837" s="10" t="n"/>
      <c r="AE837" s="1" t="n"/>
      <c r="AF837" t="inlineStr">
        <is>
          <t>Yes</t>
        </is>
      </c>
      <c r="AG837" t="inlineStr">
        <is>
          <t>https://twitter.com/Altissia</t>
        </is>
      </c>
      <c r="AH837" t="inlineStr">
        <is>
          <t>https://twitter.com/Altissia</t>
        </is>
      </c>
      <c r="AI837" t="inlineStr">
        <is>
          <t>https://www.linkedin.com/company/altissia/</t>
        </is>
      </c>
    </row>
    <row r="838" ht="12.5" customHeight="1">
      <c r="A838" s="6" t="n">
        <v>45181</v>
      </c>
      <c r="B838" s="1" t="inlineStr">
        <is>
          <t>ORG_1216</t>
        </is>
      </c>
      <c r="C838" s="1" t="b">
        <v>1</v>
      </c>
      <c r="D838" s="1" t="inlineStr">
        <is>
          <t>Cantoo</t>
        </is>
      </c>
      <c r="E838" s="10" t="inlineStr">
        <is>
          <t>https://www.cantoo.fr/</t>
        </is>
      </c>
      <c r="F838" t="inlineStr">
        <is>
          <t>cantoo.fr</t>
        </is>
      </c>
      <c r="G838" s="1" t="inlineStr">
        <is>
          <t>Cantoo Scribe allows all elementary, middle and high school students to grade and manage their lessons with a range of application tools designed specifically for school. Thanks to its intuitive interface and its range of tools for all subjects, students can now experience their digital schooling with ease. Teachers can also prepare, exchange and correct lessons and assignments with them. As part of its commitment to school inclusion, the software includes all the necessary compensation tools for the specific needs of DYS students.</t>
        </is>
      </c>
      <c r="H838" s="1" t="inlineStr">
        <is>
          <t>AFINEF, EdTech France</t>
        </is>
      </c>
      <c r="I838" s="1" t="n"/>
      <c r="J838" s="1" t="inlineStr">
        <is>
          <t>Lille</t>
        </is>
      </c>
      <c r="K838" t="inlineStr">
        <is>
          <t>Lille</t>
        </is>
      </c>
      <c r="L838" t="inlineStr">
        <is>
          <t>Lille, France</t>
        </is>
      </c>
      <c r="M838" t="n">
        <v>50.6365654</v>
      </c>
      <c r="N838" t="n">
        <v>3.0635282</v>
      </c>
      <c r="O838" s="1" t="inlineStr">
        <is>
          <t>France</t>
        </is>
      </c>
      <c r="P838" s="1" t="inlineStr">
        <is>
          <t>Belgium, France, Luxembourg, Switzerland</t>
        </is>
      </c>
      <c r="Q838" s="1" t="inlineStr">
        <is>
          <t>0 to 10</t>
        </is>
      </c>
      <c r="R838" t="inlineStr">
        <is>
          <t>Micro</t>
        </is>
      </c>
      <c r="S838" s="1" t="inlineStr">
        <is>
          <t>Business to Business, Business to Consumer</t>
        </is>
      </c>
      <c r="T838" s="1" t="inlineStr">
        <is>
          <t>Lifelong learning/Adult education</t>
        </is>
      </c>
      <c r="U838" s="1" t="inlineStr">
        <is>
          <t>System/Administrative, Teacher interfacing, Student interfacing</t>
        </is>
      </c>
      <c r="V838" s="1" t="n"/>
      <c r="W838" s="1" t="inlineStr">
        <is>
          <t>https://drive.google.com/uc?export=view&amp;id=1ZwrHCsWAKzqlVcCSkMIMXdFWbsQBFtEf</t>
        </is>
      </c>
      <c r="X838" s="1" t="inlineStr">
        <is>
          <t>https://drive.google.com/uc?export=view&amp;id=1ZwrHCsWAKzqlVcCSkMIMXdFWbsQBFtEf</t>
        </is>
      </c>
      <c r="Y838" t="inlineStr">
        <is>
          <t>https://drive.google.com/uc?export=view&amp;id=1ZwrHCsWAKzqlVcCSkMIMXdFWbsQBFtEf</t>
        </is>
      </c>
      <c r="Z838" s="1" t="inlineStr">
        <is>
          <t>https://drive.google.com/uc?export=view&amp;id=1ZwrHCsWAKzqlVcCSkMIMXdFWbsQBFtEf</t>
        </is>
      </c>
      <c r="AA838" s="1" t="inlineStr">
        <is>
          <t>Unverified</t>
        </is>
      </c>
      <c r="AB838" s="1" t="n"/>
      <c r="AC838" s="1" t="n"/>
      <c r="AD838" s="10" t="n"/>
      <c r="AE838" s="1" t="n"/>
      <c r="AF838" s="1" t="inlineStr">
        <is>
          <t>No</t>
        </is>
      </c>
      <c r="AG838" s="1" t="n"/>
      <c r="AH838" s="1" t="n"/>
    </row>
    <row r="839" ht="12.5" customHeight="1">
      <c r="A839" s="6" t="n">
        <v>45181</v>
      </c>
      <c r="B839" s="1" t="inlineStr">
        <is>
          <t>ORG_1993</t>
        </is>
      </c>
      <c r="C839" s="1" t="b">
        <v>1</v>
      </c>
      <c r="D839" s="1" t="inlineStr">
        <is>
          <t>Mozaik Education</t>
        </is>
      </c>
      <c r="E839" s="10" t="inlineStr">
        <is>
          <t>www.mozaweb.com</t>
        </is>
      </c>
      <c r="F839" t="inlineStr">
        <is>
          <t>mozaweb.com</t>
        </is>
      </c>
      <c r="G839" s="1" t="inlineStr">
        <is>
          <t>Mozaik Education is active for 32 years in the education market (both textbook publishing and digital educational content and software development). It is one of the leading digital content providers worldwide and the largest privately-owned textbook publisher in Hungary, developing everything in-house, from paper-based textbooks to all around digital support and interactive content (3D animations, digital lessons, educational apps and games, videos, LMS, SYS, etc.) for teachers, students, and other international publishers and ministries.</t>
        </is>
      </c>
      <c r="H839" s="1" t="inlineStr">
        <is>
          <t>I'm not part of any EdTech association</t>
        </is>
      </c>
      <c r="I839" s="1" t="n"/>
      <c r="J839" s="1" t="inlineStr">
        <is>
          <t>Szeged</t>
        </is>
      </c>
      <c r="K839" t="inlineStr">
        <is>
          <t>Szeged</t>
        </is>
      </c>
      <c r="L839" t="inlineStr">
        <is>
          <t>Szeged, Hungary</t>
        </is>
      </c>
      <c r="M839" t="n">
        <v>46.2546312</v>
      </c>
      <c r="N839" t="n">
        <v>20.1486016</v>
      </c>
      <c r="O839" s="1" t="inlineStr">
        <is>
          <t>Hungary</t>
        </is>
      </c>
      <c r="P839" s="1" t="inlineStr">
        <is>
          <t>Austria, Belgium, Bosnia and Herzegovina, Bulgaria, Croatia, Cyprus, Czechia, Denmark, Estonia, Finland, France, Germany, Greece, Hungary, Ireland, Italy, Kazakhstan, Kosovo, Latvia, Lithuania, Moldova, Netherlands, Poland, Portugal, Romania, Serbia, Slovakia, Slovenia, Spain, Sweden, Turkey, Ukraine, United Kingdom</t>
        </is>
      </c>
      <c r="Q839" s="1" t="inlineStr">
        <is>
          <t>100+</t>
        </is>
      </c>
      <c r="R839" t="inlineStr">
        <is>
          <t>Medium or Large (unspecified)</t>
        </is>
      </c>
      <c r="S839" s="1" t="inlineStr">
        <is>
          <t>Business to Business, Business to Consumer, Business to Government, Business to Schools</t>
        </is>
      </c>
      <c r="T839" s="1" t="inlineStr">
        <is>
          <t>Primary Education, Secondary Education, Higher Education</t>
        </is>
      </c>
      <c r="U839" s="1" t="inlineStr">
        <is>
          <t>System/Administrative, Student interfacing, Teacher interfacing</t>
        </is>
      </c>
      <c r="V839" s="1" t="n"/>
      <c r="W839" s="1" t="inlineStr">
        <is>
          <t>https://drive.google.com/uc?export=view&amp;id=1wje3Qp5PKzXTlM-zF5X3f-wWO8IkiuES</t>
        </is>
      </c>
      <c r="X839" s="1" t="inlineStr">
        <is>
          <t>https://drive.google.com/uc?export=view&amp;id=1wje3Qp5PKzXTlM-zF5X3f-wWO8IkiuES</t>
        </is>
      </c>
      <c r="Y839" t="inlineStr">
        <is>
          <t>https://drive.google.com/uc?export=view&amp;id=1wje3Qp5PKzXTlM-zF5X3f-wWO8IkiuES</t>
        </is>
      </c>
      <c r="Z839" s="1" t="inlineStr">
        <is>
          <t>https://drive.google.com/uc?export=view&amp;id=1wje3Qp5PKzXTlM-zF5X3f-wWO8IkiuES</t>
        </is>
      </c>
      <c r="AA839" s="1" t="inlineStr">
        <is>
          <t>Unverified</t>
        </is>
      </c>
      <c r="AB839" s="1" t="n"/>
      <c r="AC839" s="1" t="n"/>
      <c r="AD839" s="10" t="n"/>
      <c r="AE839" s="1" t="n"/>
      <c r="AF839" t="inlineStr">
        <is>
          <t>No</t>
        </is>
      </c>
    </row>
    <row r="840" ht="12.5" customHeight="1">
      <c r="A840" s="6" t="n">
        <v>45181</v>
      </c>
      <c r="B840" s="1" t="inlineStr">
        <is>
          <t>ORG_2307</t>
        </is>
      </c>
      <c r="C840" s="1" t="b">
        <v>1</v>
      </c>
      <c r="D840" s="10" t="inlineStr">
        <is>
          <t>SpearCareer.org</t>
        </is>
      </c>
      <c r="E840" s="10" t="inlineStr">
        <is>
          <t>www.spearcareer.org</t>
        </is>
      </c>
      <c r="F840" t="inlineStr">
        <is>
          <t>spearcareer.org</t>
        </is>
      </c>
      <c r="G840" s="1" t="inlineStr">
        <is>
          <t>We offer interactive online tests such as The SpearCareer test of Professional Fit.</t>
        </is>
      </c>
      <c r="H840" s="1" t="inlineStr">
        <is>
          <t>I'm not part of any EdTech association</t>
        </is>
      </c>
      <c r="I840" s="1" t="n"/>
      <c r="J840" s="1" t="inlineStr">
        <is>
          <t>Lidingö</t>
        </is>
      </c>
      <c r="K840" t="inlineStr">
        <is>
          <t>Lidingö</t>
        </is>
      </c>
      <c r="L840" t="inlineStr">
        <is>
          <t>Lidingö, Sweden</t>
        </is>
      </c>
      <c r="M840" t="n">
        <v>59.3643382</v>
      </c>
      <c r="N840" t="n">
        <v>18.1317263</v>
      </c>
      <c r="O840" s="1" t="inlineStr">
        <is>
          <t>Sweden</t>
        </is>
      </c>
      <c r="P840" s="1" t="inlineStr">
        <is>
          <t>Sweden</t>
        </is>
      </c>
      <c r="Q840" s="1" t="inlineStr">
        <is>
          <t>0 to 10</t>
        </is>
      </c>
      <c r="R840" t="inlineStr">
        <is>
          <t>Micro</t>
        </is>
      </c>
      <c r="S840" s="1" t="inlineStr">
        <is>
          <t>Business to Business, Business to Consumer, Business to Government, Business to Schools</t>
        </is>
      </c>
      <c r="T840" s="1" t="inlineStr">
        <is>
          <t>Secondary Education, Higher Education, Lifelong learning/Adult education</t>
        </is>
      </c>
      <c r="U840" s="1" t="inlineStr">
        <is>
          <t>System/Administrative, Student interfacing, Teacher interfacing</t>
        </is>
      </c>
      <c r="V840" s="1" t="n"/>
      <c r="W840" s="1" t="inlineStr">
        <is>
          <t>https://drive.google.com/uc?export=view&amp;id=1cuYdp6j5W5o1I3pGvGpNc3ZUp9ElXoly</t>
        </is>
      </c>
      <c r="X840" s="1" t="inlineStr">
        <is>
          <t>https://drive.google.com/uc?export=view&amp;id=1cuYdp6j5W5o1I3pGvGpNc3ZUp9ElXoly</t>
        </is>
      </c>
      <c r="Y840" t="inlineStr">
        <is>
          <t>https://drive.google.com/uc?export=view&amp;id=1cuYdp6j5W5o1I3pGvGpNc3ZUp9ElXoly</t>
        </is>
      </c>
      <c r="Z840" s="1" t="inlineStr">
        <is>
          <t>https://drive.google.com/uc?export=view&amp;id=1cuYdp6j5W5o1I3pGvGpNc3ZUp9ElXoly</t>
        </is>
      </c>
      <c r="AA840" s="1" t="inlineStr">
        <is>
          <t>Unverified</t>
        </is>
      </c>
      <c r="AB840" s="1" t="n"/>
      <c r="AC840" s="1" t="n"/>
      <c r="AD840" s="10" t="n"/>
      <c r="AE840" s="1" t="n"/>
      <c r="AF840" s="1" t="inlineStr">
        <is>
          <t>No</t>
        </is>
      </c>
      <c r="AG840" s="1" t="n"/>
      <c r="AI840" s="1" t="n"/>
      <c r="AJ840" s="1" t="n"/>
    </row>
    <row r="841" ht="12.5" customHeight="1">
      <c r="A841" s="6" t="n">
        <v>45181</v>
      </c>
      <c r="B841" s="1" t="inlineStr">
        <is>
          <t>ORG_2570</t>
        </is>
      </c>
      <c r="C841" s="1" t="b">
        <v>1</v>
      </c>
      <c r="D841" s="1" t="inlineStr">
        <is>
          <t>Zcooly</t>
        </is>
      </c>
      <c r="E841" s="10" t="inlineStr">
        <is>
          <t>https://zcooly.se</t>
        </is>
      </c>
      <c r="F841" t="inlineStr">
        <is>
          <t>zcooly.se</t>
        </is>
      </c>
      <c r="G841" s="1" t="inlineStr">
        <is>
          <t>Zcooly makes learning fun with an immersive 3D game experience for kids age 5-12. Learn math while you meet Pi the space hamster, brainiac Planita, kooky Alan and the rest of the characters on the evergreen island Sasmandu.</t>
        </is>
      </c>
      <c r="H841" s="1" t="n"/>
      <c r="I841" s="1" t="n"/>
      <c r="J841" s="1" t="inlineStr">
        <is>
          <t>Göteborg</t>
        </is>
      </c>
      <c r="K841" t="inlineStr">
        <is>
          <t>Göteborg</t>
        </is>
      </c>
      <c r="L841" t="inlineStr">
        <is>
          <t>Göteborg, Sweden</t>
        </is>
      </c>
      <c r="M841" t="n">
        <v>57.7072326</v>
      </c>
      <c r="N841" t="n">
        <v>11.9670171</v>
      </c>
      <c r="O841" s="1" t="inlineStr">
        <is>
          <t>Sweden</t>
        </is>
      </c>
      <c r="P841" s="1" t="inlineStr">
        <is>
          <t>Sweden</t>
        </is>
      </c>
      <c r="Q841" s="1" t="inlineStr">
        <is>
          <t>11 to 50</t>
        </is>
      </c>
      <c r="R841" t="inlineStr">
        <is>
          <t>Small</t>
        </is>
      </c>
      <c r="S841" s="1" t="inlineStr">
        <is>
          <t>Business to Business, Business to Consumer, Business to Schools</t>
        </is>
      </c>
      <c r="T841" s="1" t="inlineStr">
        <is>
          <t>Early childhood development (0-5 years), Primary Education, Secondary Education</t>
        </is>
      </c>
      <c r="U841" s="1" t="inlineStr">
        <is>
          <t>System/Administrative, Student interfacing, Teacher interfacing</t>
        </is>
      </c>
      <c r="V841" s="10" t="inlineStr">
        <is>
          <t>Zcooly</t>
        </is>
      </c>
      <c r="W841" s="1" t="inlineStr">
        <is>
          <t>Zcooly is an immersive world of 3D games where children learn math, built by educators and game developers.</t>
        </is>
      </c>
      <c r="X841" s="1" t="inlineStr">
        <is>
          <t>https://drive.google.com/uc?export=view&amp;id=1DAYKfW4i6Vu26fOPJ8eLVY-wOP-KyMXa</t>
        </is>
      </c>
      <c r="Y841" t="inlineStr">
        <is>
          <t>https://drive.google.com/uc?export=view&amp;id=1DAYKfW4i6Vu26fOPJ8eLVY-wOP-KyMXa</t>
        </is>
      </c>
      <c r="Z841" s="1" t="inlineStr">
        <is>
          <t>https://drive.google.com/uc?export=view&amp;id=1DAYKfW4i6Vu26fOPJ8eLVY-wOP-KyMXa</t>
        </is>
      </c>
      <c r="AA841" s="1" t="inlineStr">
        <is>
          <t>Unverified</t>
        </is>
      </c>
      <c r="AB841" s="1" t="n"/>
      <c r="AC841" s="1" t="n"/>
      <c r="AD841" s="10" t="n"/>
      <c r="AE841" s="1" t="n"/>
      <c r="AF841" t="inlineStr">
        <is>
          <t>Yes</t>
        </is>
      </c>
      <c r="AG841" t="inlineStr">
        <is>
          <t>instagram.com/zcooly</t>
        </is>
      </c>
      <c r="AH841" t="inlineStr">
        <is>
          <t>Zcooly</t>
        </is>
      </c>
      <c r="AI841" t="inlineStr">
        <is>
          <t>Zcooly</t>
        </is>
      </c>
    </row>
    <row r="842" ht="12.5" customHeight="1">
      <c r="A842" s="6" t="n">
        <v>45181</v>
      </c>
      <c r="B842" s="1" t="inlineStr">
        <is>
          <t>ORG_1454</t>
        </is>
      </c>
      <c r="C842" s="1" t="b">
        <v>1</v>
      </c>
      <c r="D842" s="1" t="inlineStr">
        <is>
          <t>Eduneon</t>
        </is>
      </c>
      <c r="E842" s="10" t="inlineStr">
        <is>
          <t>https://www.eduneon.de/</t>
        </is>
      </c>
      <c r="F842" t="inlineStr">
        <is>
          <t>eduneon.de</t>
        </is>
      </c>
      <c r="G842" s="1" t="inlineStr">
        <is>
          <t>Eduneon is a digital platform that provides comprehensive support to schools and authorities to systematically ensure for a sustainable digitisation of education. Eduneon aims to realize pedagogically meaningful and high-quality media education in Europe’s schools and empowers schools and authorities to manage and shape the process of digitisation collaboratively. 
The government funds, made available for the development and ongoing updating of digital equipment and infrastructures in schools, will thus be invested in a pedagogically meaningful, fast and unbureaucratic manner in contemporary and sustainable digital education.</t>
        </is>
      </c>
      <c r="H842" s="1" t="inlineStr">
        <is>
          <t>I'm not part of any EdTech association</t>
        </is>
      </c>
      <c r="I842" s="1" t="n"/>
      <c r="J842" s="1" t="inlineStr">
        <is>
          <t>Berlin</t>
        </is>
      </c>
      <c r="K842" t="inlineStr">
        <is>
          <t>Berlin</t>
        </is>
      </c>
      <c r="L842" t="inlineStr">
        <is>
          <t>Berlin, Germany</t>
        </is>
      </c>
      <c r="M842" t="n">
        <v>52.5173885</v>
      </c>
      <c r="N842" t="n">
        <v>13.3951309</v>
      </c>
      <c r="O842" s="1" t="inlineStr">
        <is>
          <t>Germany</t>
        </is>
      </c>
      <c r="P842" s="1" t="inlineStr">
        <is>
          <t>Germany</t>
        </is>
      </c>
      <c r="Q842" s="1" t="inlineStr">
        <is>
          <t>0 to 10</t>
        </is>
      </c>
      <c r="R842" t="inlineStr">
        <is>
          <t>Micro</t>
        </is>
      </c>
      <c r="S842" s="1" t="inlineStr">
        <is>
          <t>Business to Business, Business to Government</t>
        </is>
      </c>
      <c r="T842" s="1" t="inlineStr">
        <is>
          <t>Primary Education, Secondary Education</t>
        </is>
      </c>
      <c r="U842" s="1" t="inlineStr">
        <is>
          <t>System/Administrative, Student interfacing, Teacher interfacing</t>
        </is>
      </c>
      <c r="V842" s="1" t="n"/>
      <c r="W842" s="1" t="inlineStr">
        <is>
          <t>https://drive.google.com/uc?export=view&amp;id=1eI0RhO3i792ytEgC2GiKMEcICeOQqw6R</t>
        </is>
      </c>
      <c r="X842" s="1" t="inlineStr">
        <is>
          <t>https://drive.google.com/uc?export=view&amp;id=1eI0RhO3i792ytEgC2GiKMEcICeOQqw6R</t>
        </is>
      </c>
      <c r="Y842" t="inlineStr">
        <is>
          <t>https://drive.google.com/uc?export=view&amp;id=1eI0RhO3i792ytEgC2GiKMEcICeOQqw6R</t>
        </is>
      </c>
      <c r="Z842" s="1" t="inlineStr">
        <is>
          <t>https://drive.google.com/uc?export=view&amp;id=1eI0RhO3i792ytEgC2GiKMEcICeOQqw6R</t>
        </is>
      </c>
      <c r="AA842" s="1" t="inlineStr">
        <is>
          <t>Unverified</t>
        </is>
      </c>
      <c r="AB842" s="1" t="n"/>
      <c r="AC842" s="1" t="n"/>
      <c r="AD842" s="10" t="n"/>
      <c r="AE842" s="1" t="n"/>
      <c r="AF842" s="1" t="inlineStr">
        <is>
          <t>No</t>
        </is>
      </c>
      <c r="AG842" s="1" t="n"/>
      <c r="AI842" s="1" t="n"/>
      <c r="AJ842" s="1" t="n"/>
    </row>
    <row r="843" ht="12.5" customHeight="1">
      <c r="A843" s="6" t="n">
        <v>45181</v>
      </c>
      <c r="B843" s="1" t="inlineStr">
        <is>
          <t>ORG_1498</t>
        </is>
      </c>
      <c r="C843" s="1" t="b">
        <v>1</v>
      </c>
      <c r="D843" s="1" t="inlineStr">
        <is>
          <t>EnkelEksamen</t>
        </is>
      </c>
      <c r="E843" s="10" t="inlineStr">
        <is>
          <t>https://www.enkeleksamen.no</t>
        </is>
      </c>
      <c r="F843" t="inlineStr">
        <is>
          <t>enkeleksamen.no</t>
        </is>
      </c>
      <c r="G843" s="1" t="inlineStr">
        <is>
          <t>EnkelEksamen has helped more than 25 000 students get better prepared for their exams by creating and delivering high quality compressed exam prep courses. 
We have courses available to Norwegian university level students within the fields of mathematics, finance, accounting, marketing and HR related subjects. Through our intuitive and dynamic learning platform, we're able to help students with video courses, quizzez, progress updates and direct-to-student chat.</t>
        </is>
      </c>
      <c r="H843" s="1" t="inlineStr">
        <is>
          <t>ICT Norway</t>
        </is>
      </c>
      <c r="I843" s="1" t="n"/>
      <c r="J843" s="1" t="inlineStr">
        <is>
          <t>Oslo</t>
        </is>
      </c>
      <c r="K843" t="inlineStr">
        <is>
          <t>Oslo</t>
        </is>
      </c>
      <c r="L843" t="inlineStr">
        <is>
          <t>Oslo, Norway</t>
        </is>
      </c>
      <c r="M843" t="n">
        <v>59.9067935</v>
      </c>
      <c r="N843" t="n">
        <v>10.7610162</v>
      </c>
      <c r="O843" s="1" t="inlineStr">
        <is>
          <t>Norway</t>
        </is>
      </c>
      <c r="P843" s="1" t="inlineStr">
        <is>
          <t>Norway</t>
        </is>
      </c>
      <c r="Q843" s="1" t="inlineStr">
        <is>
          <t>0 to 10</t>
        </is>
      </c>
      <c r="R843" t="inlineStr">
        <is>
          <t>Micro</t>
        </is>
      </c>
      <c r="S843" s="1" t="inlineStr">
        <is>
          <t>Business to Business, Business to Schools</t>
        </is>
      </c>
      <c r="T843" s="1" t="inlineStr">
        <is>
          <t>Higher Education</t>
        </is>
      </c>
      <c r="U843" s="1" t="inlineStr">
        <is>
          <t>Student interfacing</t>
        </is>
      </c>
      <c r="V843" s="10" t="inlineStr">
        <is>
          <t>Video based exam prep courses</t>
        </is>
      </c>
      <c r="W843" s="1" t="inlineStr">
        <is>
          <t>More than 80 courses for university level curriculum within mathematics, finance, accounting, marketing and HR related subjects.</t>
        </is>
      </c>
      <c r="X843" s="10" t="inlineStr">
        <is>
          <t>Quizzez and progress tracking</t>
        </is>
      </c>
      <c r="Y843" t="inlineStr">
        <is>
          <t>Test your own subject comprehension and track your progress with our quizzes and progress tracking tools.</t>
        </is>
      </c>
      <c r="Z843" s="1" t="inlineStr">
        <is>
          <t>https://drive.google.com/uc?export=view&amp;id=14cH94E6EP642ChVg3kCQbfLX61xby-Pt</t>
        </is>
      </c>
      <c r="AA843" s="1" t="inlineStr">
        <is>
          <t>Unverified</t>
        </is>
      </c>
      <c r="AB843" s="1" t="n"/>
      <c r="AC843" s="1" t="n"/>
      <c r="AD843" s="10" t="n"/>
      <c r="AE843" s="1" t="n"/>
      <c r="AF843" s="1" t="inlineStr">
        <is>
          <t>Yes</t>
        </is>
      </c>
      <c r="AG843" s="1" t="inlineStr">
        <is>
          <t>https://www.instagram.com/enkeleksamen.no/</t>
        </is>
      </c>
      <c r="AH843" t="inlineStr">
        <is>
          <t>https://www.linkedin.com/company/enkeleksamen/</t>
        </is>
      </c>
      <c r="AI843" s="1" t="inlineStr">
        <is>
          <t>https://www.linkedin.com/company/enkeleksamen/</t>
        </is>
      </c>
      <c r="AJ843" s="1" t="n"/>
    </row>
    <row r="844" ht="12.5" customHeight="1">
      <c r="A844" s="6" t="n">
        <v>45181</v>
      </c>
      <c r="B844" s="1" t="inlineStr">
        <is>
          <t>ORG_1600</t>
        </is>
      </c>
      <c r="C844" s="1" t="b">
        <v>1</v>
      </c>
      <c r="D844" s="1" t="inlineStr">
        <is>
          <t>Future Ready</t>
        </is>
      </c>
      <c r="E844" s="10" t="inlineStr">
        <is>
          <t>Futureready.no</t>
        </is>
      </c>
      <c r="F844" t="inlineStr">
        <is>
          <t>futureready.no</t>
        </is>
      </c>
      <c r="G844" s="1" t="inlineStr">
        <is>
          <t>Future Ready is a smart learning platform. We find sales and customer care to be somewhat neglected and not valued enough. We believe that everyone deserves a chance to succeed in sales and customer service. With smart technology, we make learning an integrated part of the everyday workflow. We help companies future-proof its workforce by providing employees with the opportunity to learn new skills in their own time, without disrupting their day-to-day routine.</t>
        </is>
      </c>
      <c r="H844" s="1" t="inlineStr">
        <is>
          <t>I'm not part of any EdTech association</t>
        </is>
      </c>
      <c r="I844" s="1" t="n"/>
      <c r="J844" s="1" t="inlineStr">
        <is>
          <t>Høvik</t>
        </is>
      </c>
      <c r="K844" t="inlineStr">
        <is>
          <t>Høvik</t>
        </is>
      </c>
      <c r="L844" t="inlineStr">
        <is>
          <t>Høvik, Norway</t>
        </is>
      </c>
      <c r="M844" t="n">
        <v>59.9009344</v>
      </c>
      <c r="N844" t="n">
        <v>10.5821874</v>
      </c>
      <c r="O844" s="1" t="inlineStr">
        <is>
          <t>Norway</t>
        </is>
      </c>
      <c r="P844" s="1" t="inlineStr">
        <is>
          <t>Ireland, Norway, Sweden, United Kingdom</t>
        </is>
      </c>
      <c r="Q844" s="1" t="inlineStr">
        <is>
          <t>0 to 10</t>
        </is>
      </c>
      <c r="R844" t="inlineStr">
        <is>
          <t>Micro</t>
        </is>
      </c>
      <c r="S844" s="1" t="inlineStr">
        <is>
          <t>Business to Consumer</t>
        </is>
      </c>
      <c r="T844" s="1" t="inlineStr">
        <is>
          <t>Corporate Training</t>
        </is>
      </c>
      <c r="U844" s="1" t="inlineStr">
        <is>
          <t>System/Administrative</t>
        </is>
      </c>
      <c r="V844" s="1" t="n"/>
      <c r="W844" s="1" t="inlineStr">
        <is>
          <t>https://drive.google.com/uc?export=view&amp;id=1GaZ5_9j7i_FcOTfMdIlEVCYrMowCRKe2</t>
        </is>
      </c>
      <c r="X844" s="1" t="inlineStr">
        <is>
          <t>https://drive.google.com/uc?export=view&amp;id=1GaZ5_9j7i_FcOTfMdIlEVCYrMowCRKe2</t>
        </is>
      </c>
      <c r="Y844" t="inlineStr">
        <is>
          <t>https://drive.google.com/uc?export=view&amp;id=1GaZ5_9j7i_FcOTfMdIlEVCYrMowCRKe2</t>
        </is>
      </c>
      <c r="Z844" s="1" t="inlineStr">
        <is>
          <t>https://drive.google.com/uc?export=view&amp;id=1GaZ5_9j7i_FcOTfMdIlEVCYrMowCRKe2</t>
        </is>
      </c>
      <c r="AA844" s="1" t="inlineStr">
        <is>
          <t>Unverified</t>
        </is>
      </c>
      <c r="AB844" s="1" t="n"/>
      <c r="AC844" s="1" t="n"/>
      <c r="AD844" s="10" t="n"/>
      <c r="AE844" s="1" t="n"/>
      <c r="AF844" t="inlineStr">
        <is>
          <t>No</t>
        </is>
      </c>
    </row>
    <row r="845" ht="12.5" customHeight="1">
      <c r="A845" s="6" t="n">
        <v>45181</v>
      </c>
      <c r="B845" s="1" t="inlineStr">
        <is>
          <t>ORG_1808</t>
        </is>
      </c>
      <c r="C845" s="1" t="b">
        <v>1</v>
      </c>
      <c r="D845" s="1" t="inlineStr">
        <is>
          <t>LærIT</t>
        </is>
      </c>
      <c r="E845" s="10" t="inlineStr">
        <is>
          <t>https://laerit.dk</t>
        </is>
      </c>
      <c r="F845" t="inlineStr">
        <is>
          <t>laerit.dk</t>
        </is>
      </c>
      <c r="G845" s="1" t="inlineStr">
        <is>
          <t>At LærIT, we believe that new forms of communication should be a natural part of teaching. We have created Skoletube the most widespread learning tool in DK. We offer 27 web-based tools to higher education through Studietube and we enrich play and learning in daycare institutions through Børnetube.</t>
        </is>
      </c>
      <c r="H845" s="1" t="inlineStr">
        <is>
          <t>EdTech Denmark</t>
        </is>
      </c>
      <c r="I845" s="1" t="n"/>
      <c r="J845" s="1" t="inlineStr">
        <is>
          <t>Holstebro</t>
        </is>
      </c>
      <c r="K845" t="inlineStr">
        <is>
          <t>Holstebro</t>
        </is>
      </c>
      <c r="L845" t="inlineStr">
        <is>
          <t>Holstebro, Denmark</t>
        </is>
      </c>
      <c r="M845" t="n">
        <v>56.3590324</v>
      </c>
      <c r="N845" t="n">
        <v>8.615918799999999</v>
      </c>
      <c r="O845" s="1" t="inlineStr">
        <is>
          <t>Denmark</t>
        </is>
      </c>
      <c r="P845" s="1" t="inlineStr">
        <is>
          <t>Denmark</t>
        </is>
      </c>
      <c r="Q845" s="1" t="inlineStr">
        <is>
          <t>0 to 10</t>
        </is>
      </c>
      <c r="R845" t="inlineStr">
        <is>
          <t>Micro</t>
        </is>
      </c>
      <c r="S845" s="1" t="inlineStr">
        <is>
          <t>Business to Consumer</t>
        </is>
      </c>
      <c r="T845" s="1" t="inlineStr">
        <is>
          <t>Early childhood development (0-5 years), Primary Education, Secondary Education, Higher Education</t>
        </is>
      </c>
      <c r="U845" s="1" t="inlineStr">
        <is>
          <t>Student interfacing, Teacher interfacing</t>
        </is>
      </c>
      <c r="V845" s="1" t="inlineStr">
        <is>
          <t>Skoletube</t>
        </is>
      </c>
      <c r="W845" s="1" t="inlineStr">
        <is>
          <t>Skoletube is a subscription based tools-on-demand platform for K12 / primary school. It offers 27 Web-tools + free upload, streaming and sharing of production made by students and teachers. It is a private platform behind the national danish single sign on UNI-login.</t>
        </is>
      </c>
      <c r="X845" s="1" t="inlineStr">
        <is>
          <t>Studietube</t>
        </is>
      </c>
      <c r="Y845" t="inlineStr">
        <is>
          <t>Skoletube is a subscription based tools-on-demand platform for Higher education like universities and collages. It offers 27 Web-tools + free upload, streaming and sharing of production made by students and teachers. It is a private platform behind the national danish single sign on UNI-login or behind a WAYF-login.</t>
        </is>
      </c>
      <c r="Z845" s="1" t="inlineStr">
        <is>
          <t>https://drive.google.com/uc?export=view&amp;id=12Mh4UW-MRSu98-6sFNkZjAUcY-l6o0Ex</t>
        </is>
      </c>
      <c r="AA845" s="1" t="inlineStr">
        <is>
          <t>Unverified</t>
        </is>
      </c>
      <c r="AB845" s="1" t="n"/>
      <c r="AC845" s="1" t="n"/>
      <c r="AD845" s="10" t="n"/>
      <c r="AE845" s="1" t="n"/>
      <c r="AF845" t="inlineStr">
        <is>
          <t>No</t>
        </is>
      </c>
    </row>
    <row r="846" ht="12.5" customHeight="1">
      <c r="A846" s="6" t="n">
        <v>45181</v>
      </c>
      <c r="B846" s="1" t="inlineStr">
        <is>
          <t>ORG_2346</t>
        </is>
      </c>
      <c r="C846" s="1" t="b">
        <v>1</v>
      </c>
      <c r="D846" s="1" t="inlineStr">
        <is>
          <t>StudyTogether</t>
        </is>
      </c>
      <c r="E846" s="10" t="inlineStr">
        <is>
          <t>www.studytogether.com</t>
        </is>
      </c>
      <c r="F846" t="inlineStr">
        <is>
          <t>studytogether.com</t>
        </is>
      </c>
      <c r="G846" s="1" t="inlineStr">
        <is>
          <t>Study together is a global social learning platform that offers senior high school pupils and university students the perfect study environment to reach their full potential while enjoying the best learning journey. Supported by a 24x7 active community and a gamified study experience that enables a sense of progress, students finally can reach a state of motivation and natural focus - the study flow.</t>
        </is>
      </c>
      <c r="H846" s="1" t="inlineStr">
        <is>
          <t>I'm not part of any EdTech association</t>
        </is>
      </c>
      <c r="I846" s="1" t="n"/>
      <c r="J846" s="1" t="inlineStr">
        <is>
          <t>Berlin</t>
        </is>
      </c>
      <c r="K846" t="inlineStr">
        <is>
          <t>Berlin</t>
        </is>
      </c>
      <c r="L846" t="inlineStr">
        <is>
          <t>Berlin, Germany</t>
        </is>
      </c>
      <c r="M846" t="n">
        <v>52.5173885</v>
      </c>
      <c r="N846" t="n">
        <v>13.3951309</v>
      </c>
      <c r="O846" s="1" t="inlineStr">
        <is>
          <t>Germany</t>
        </is>
      </c>
      <c r="P84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846" s="1" t="inlineStr">
        <is>
          <t>11 to 50</t>
        </is>
      </c>
      <c r="R846" t="inlineStr">
        <is>
          <t>Small</t>
        </is>
      </c>
      <c r="S846" s="1" t="inlineStr">
        <is>
          <t>Business to Consumer, Business to Schools</t>
        </is>
      </c>
      <c r="T846" s="1" t="inlineStr">
        <is>
          <t>Primary Education, Secondary Education, Higher Education</t>
        </is>
      </c>
      <c r="U846" s="1" t="inlineStr">
        <is>
          <t>Student interfacing, System/Administrative</t>
        </is>
      </c>
      <c r="V846" s="1" t="n"/>
      <c r="W846" s="1" t="inlineStr">
        <is>
          <t>https://drive.google.com/uc?export=view&amp;id=1ThSGw85y5wFDVZh-pSvRGJcj8W4o9mWM</t>
        </is>
      </c>
      <c r="X846" s="1" t="inlineStr">
        <is>
          <t>https://drive.google.com/uc?export=view&amp;id=1ThSGw85y5wFDVZh-pSvRGJcj8W4o9mWM</t>
        </is>
      </c>
      <c r="Y846" t="inlineStr">
        <is>
          <t>https://drive.google.com/uc?export=view&amp;id=1ThSGw85y5wFDVZh-pSvRGJcj8W4o9mWM</t>
        </is>
      </c>
      <c r="Z846" s="1" t="inlineStr">
        <is>
          <t>https://drive.google.com/uc?export=view&amp;id=1ThSGw85y5wFDVZh-pSvRGJcj8W4o9mWM</t>
        </is>
      </c>
      <c r="AA846" s="1" t="inlineStr">
        <is>
          <t>Unverified</t>
        </is>
      </c>
      <c r="AB846" s="1" t="n"/>
      <c r="AC846" s="1" t="n"/>
      <c r="AD846" s="10" t="n"/>
      <c r="AE846" s="1" t="n"/>
      <c r="AF846" t="inlineStr">
        <is>
          <t>No</t>
        </is>
      </c>
    </row>
    <row r="847" ht="12.5" customHeight="1">
      <c r="A847" s="6" t="n">
        <v>45181</v>
      </c>
      <c r="B847" s="1" t="inlineStr">
        <is>
          <t>ORG_2444</t>
        </is>
      </c>
      <c r="C847" s="1" t="b">
        <v>1</v>
      </c>
      <c r="D847" s="1" t="inlineStr">
        <is>
          <t>Tuudo Oy</t>
        </is>
      </c>
      <c r="E847" s="10" t="inlineStr">
        <is>
          <t>https://www.tuudo.fi</t>
        </is>
      </c>
      <c r="F847" t="inlineStr">
        <is>
          <t>tuudo.fi</t>
        </is>
      </c>
      <c r="G847" s="1" t="inlineStr">
        <is>
          <t>Tuudo is a free mobile application used by students and a service provider for educational institutions. Tuudo combines the services most often needed by students from the various information systems of educational institution into one place. Tuudo decreases the administrative burden of educational institutions and improves communications by allowing students to easily manage everything related to their studies and student life. Currently Tuudo is used in nearly 30 educational institutions in Finland and we have over 135 000 active users every month. Most educational institutions using Tuudo are universities of applied sciences or universities but we have recently expanded our operations to the upper secondary level as well.</t>
        </is>
      </c>
      <c r="H847" s="1" t="inlineStr">
        <is>
          <t>EdTech Finland</t>
        </is>
      </c>
      <c r="I847" s="1" t="n"/>
      <c r="J847" s="1" t="inlineStr">
        <is>
          <t>Oulu</t>
        </is>
      </c>
      <c r="K847" t="inlineStr">
        <is>
          <t>Oulu</t>
        </is>
      </c>
      <c r="L847" t="inlineStr">
        <is>
          <t>Oulu, Finland</t>
        </is>
      </c>
      <c r="M847" t="n">
        <v>65.01179140000001</v>
      </c>
      <c r="N847" t="n">
        <v>25.4701973</v>
      </c>
      <c r="O847" s="1" t="inlineStr">
        <is>
          <t>Finland</t>
        </is>
      </c>
      <c r="P847" s="1" t="inlineStr">
        <is>
          <t>Finland</t>
        </is>
      </c>
      <c r="Q847" s="1" t="inlineStr">
        <is>
          <t>11 to 50</t>
        </is>
      </c>
      <c r="R847" t="inlineStr">
        <is>
          <t>Small</t>
        </is>
      </c>
      <c r="S847" s="1" t="inlineStr">
        <is>
          <t>Business to Government, Business to Schools</t>
        </is>
      </c>
      <c r="T847" s="1" t="inlineStr">
        <is>
          <t>Higher Education</t>
        </is>
      </c>
      <c r="U847" s="1" t="inlineStr">
        <is>
          <t>Student interfacing, System/Administrative</t>
        </is>
      </c>
      <c r="V847" s="10" t="inlineStr">
        <is>
          <t>Tuudo</t>
        </is>
      </c>
      <c r="W847" s="10" t="inlineStr">
        <is>
          <t>Tuudo app contains a diverse range of services benefiting students, educational institutions and student associations. The service portfolio can be customized to meet the various needs of our partners and customers. The most typical Tuudo package consists of basic services simplifying everyday student life: schedules, courses completed, registration for courses and exams, news feeds, campus maps, jobs and internships suitable for students, restaurant menus and institutional service directories.</t>
        </is>
      </c>
      <c r="X847" s="10" t="inlineStr">
        <is>
          <t>https://drive.google.com/uc?export=view&amp;id=1cQJGR9_vGsoMLfncnbMI9zLCxkaARBX2</t>
        </is>
      </c>
      <c r="Y847" t="inlineStr">
        <is>
          <t>https://drive.google.com/uc?export=view&amp;id=1cQJGR9_vGsoMLfncnbMI9zLCxkaARBX2</t>
        </is>
      </c>
      <c r="Z847" s="1" t="inlineStr">
        <is>
          <t>https://drive.google.com/uc?export=view&amp;id=1cQJGR9_vGsoMLfncnbMI9zLCxkaARBX2</t>
        </is>
      </c>
      <c r="AA847" s="1" t="inlineStr">
        <is>
          <t>Unverified</t>
        </is>
      </c>
      <c r="AB847" s="1" t="n"/>
      <c r="AC847" s="1" t="n"/>
      <c r="AD847" s="10" t="n"/>
      <c r="AE847" s="1" t="n"/>
      <c r="AF847" t="inlineStr">
        <is>
          <t>Yes</t>
        </is>
      </c>
      <c r="AG847" t="inlineStr">
        <is>
          <t>https://www.instagram.com/tuudoapp/?hl=fi</t>
        </is>
      </c>
      <c r="AH847" t="inlineStr">
        <is>
          <t>https://twitter.com/tuudo_app?lang=fi</t>
        </is>
      </c>
      <c r="AI847" t="inlineStr">
        <is>
          <t>https://www.linkedin.com/company/tuudo/</t>
        </is>
      </c>
    </row>
    <row r="848" ht="12.5" customHeight="1">
      <c r="A848" s="6" t="n">
        <v>45181</v>
      </c>
      <c r="B848" s="1" t="inlineStr">
        <is>
          <t>ORG_1575</t>
        </is>
      </c>
      <c r="C848" s="1" t="b">
        <v>1</v>
      </c>
      <c r="D848" s="1" t="inlineStr">
        <is>
          <t>Formations - Allaitement Pour Tous</t>
        </is>
      </c>
      <c r="E848" s="10" t="inlineStr">
        <is>
          <t>https://www.allaitementpourtous.com/</t>
        </is>
      </c>
      <c r="F848" t="inlineStr">
        <is>
          <t>allaitementpourtous.com</t>
        </is>
      </c>
      <c r="G848" s="1" t="inlineStr">
        <is>
          <t>Allaitement Pour Tous propose des formations en allaitement maternel et dans l'allaitement face à des troubles de la succion et d'autres situations complexes. Fruit de plus de 20 d'expérience dans l'accompagnement des allaitements compliqués Charlotte Yonge consultante en lactation IBCLC propose désormais des formations professionnelles 100% en ligne avec des contrôles de connaissances en QCM, des réunions Q/R en directe. Un certificat de connaissances acquises selon les critères d'Allaitement Pour Tous sera octroyé avec la présentation d'un étude de cas illustré, à la fin de la formation. Les formations professionnelles d'Allaitement Pour Tous sont certifiées QUALIOPI, visant les professionnels dans le secteur de la périnatalité.</t>
        </is>
      </c>
      <c r="H848" s="1" t="inlineStr">
        <is>
          <t>I'm not part of any EdTech association</t>
        </is>
      </c>
      <c r="I848" s="1" t="inlineStr">
        <is>
          <t>English</t>
        </is>
      </c>
      <c r="J848" s="1" t="inlineStr">
        <is>
          <t>Paris</t>
        </is>
      </c>
      <c r="K848" t="inlineStr">
        <is>
          <t>Paris</t>
        </is>
      </c>
      <c r="L848" t="inlineStr">
        <is>
          <t>Paris, France</t>
        </is>
      </c>
      <c r="M848" t="n">
        <v>48.8534951</v>
      </c>
      <c r="N848" t="n">
        <v>2.3483915</v>
      </c>
      <c r="O848" s="1" t="inlineStr">
        <is>
          <t>France</t>
        </is>
      </c>
      <c r="P848" s="1" t="inlineStr">
        <is>
          <t>France</t>
        </is>
      </c>
      <c r="Q848" s="1" t="inlineStr">
        <is>
          <t>0 to 2</t>
        </is>
      </c>
      <c r="R848" t="inlineStr">
        <is>
          <t>Solo entrepreneur</t>
        </is>
      </c>
      <c r="S848" s="1" t="inlineStr">
        <is>
          <t>Business to Business, Business to Consumer</t>
        </is>
      </c>
      <c r="T848" s="1" t="inlineStr">
        <is>
          <t>Vocational Education and Training (VET), Higher Education</t>
        </is>
      </c>
      <c r="U848" s="1" t="inlineStr">
        <is>
          <t>System/Administrative, Student interfacing</t>
        </is>
      </c>
      <c r="V848" s="10" t="inlineStr">
        <is>
          <t>Formations en allaitement maternel.</t>
        </is>
      </c>
      <c r="W848" s="1" t="inlineStr">
        <is>
          <t>Charlotte Yonge, consultante en lactation IBCLC propose des formations professionnelles en allaitement maternel, 100% en ligne en mode "blended" avec des cours et contrôles de connaissances en ligne et des réunions d'accompagnement en directe avec les apprenants en ligne.</t>
        </is>
      </c>
      <c r="X848" s="10" t="inlineStr">
        <is>
          <t>Allaiter malgré les troubles de la succion - Des variables dans les restrictions maxillo-oro-faciales</t>
        </is>
      </c>
      <c r="Y848" t="inlineStr">
        <is>
          <t>Objectif principal de la formation : A l’issue de la formation, le stagiaire sera capable d’identifier les indices de restriction liées ou non à un frein buccal qui entravant le bon déroulement de l’allaitement, de démontrer les techniques et approches qui contournent les obstacles en attendant les soins appropriés.</t>
        </is>
      </c>
      <c r="Z848" s="1" t="inlineStr">
        <is>
          <t>https://drive.google.com/uc?export=view&amp;id=1EVtU8Bo_08vPAfmzHNYM1NI3f4xZ6L1X</t>
        </is>
      </c>
      <c r="AA848" s="1" t="inlineStr">
        <is>
          <t>Unverified</t>
        </is>
      </c>
      <c r="AB848" s="1" t="n"/>
      <c r="AC848" s="1" t="n"/>
      <c r="AD848" s="10" t="n"/>
      <c r="AE848" s="1" t="n"/>
      <c r="AF848" s="1" t="inlineStr">
        <is>
          <t>Yes</t>
        </is>
      </c>
      <c r="AG848" s="1" t="inlineStr">
        <is>
          <t>https://www.instagram.com/yongecharlotte/?hl=fr</t>
        </is>
      </c>
      <c r="AH848" s="1" t="inlineStr">
        <is>
          <t>https://www.linkedin.com/in/charlotteyonge/?originalSubdomain=fr</t>
        </is>
      </c>
      <c r="AI848" s="1" t="inlineStr">
        <is>
          <t>https://www.linkedin.com/in/charlotteyonge/?originalSubdomain=fr</t>
        </is>
      </c>
      <c r="AJ848" s="1" t="n"/>
    </row>
    <row r="849" ht="12.5" customHeight="1">
      <c r="A849" s="6" t="n">
        <v>45181</v>
      </c>
      <c r="B849" s="1" t="inlineStr">
        <is>
          <t>ORG_1258</t>
        </is>
      </c>
      <c r="C849" s="1" t="b">
        <v>1</v>
      </c>
      <c r="D849" s="1" t="inlineStr">
        <is>
          <t>Clic Campus</t>
        </is>
      </c>
      <c r="E849" s="10" t="inlineStr">
        <is>
          <t>www.clic-campus.fr</t>
        </is>
      </c>
      <c r="F849" t="inlineStr">
        <is>
          <t>clic-campus.fr</t>
        </is>
      </c>
      <c r="G849" s="1" t="inlineStr">
        <is>
          <t>Clic Campus is an online language learning center focusing on individual training for professionals.</t>
        </is>
      </c>
      <c r="H849" s="1" t="inlineStr">
        <is>
          <t>EdTech France</t>
        </is>
      </c>
      <c r="I849" s="1" t="n"/>
      <c r="J849" s="1" t="inlineStr">
        <is>
          <t>Paris</t>
        </is>
      </c>
      <c r="K849" t="inlineStr">
        <is>
          <t>Paris</t>
        </is>
      </c>
      <c r="L849" t="inlineStr">
        <is>
          <t>Paris, France</t>
        </is>
      </c>
      <c r="M849" t="n">
        <v>48.8534951</v>
      </c>
      <c r="N849" t="n">
        <v>2.3483915</v>
      </c>
      <c r="O849" s="1" t="inlineStr">
        <is>
          <t>France</t>
        </is>
      </c>
      <c r="P849" s="1" t="inlineStr">
        <is>
          <t>Belgium, France, Germany, Greece, Italy, Monaco, Switzerland</t>
        </is>
      </c>
      <c r="Q849" s="1" t="inlineStr">
        <is>
          <t>11 to 50</t>
        </is>
      </c>
      <c r="R849" t="inlineStr">
        <is>
          <t>Small</t>
        </is>
      </c>
      <c r="S849" s="1" t="inlineStr">
        <is>
          <t>Business to Business, Business to Consumer</t>
        </is>
      </c>
      <c r="T849" s="1" t="inlineStr">
        <is>
          <t>Corporate Training, Lifelong learning/Adult education</t>
        </is>
      </c>
      <c r="U849" s="1" t="inlineStr">
        <is>
          <t>System/Administrative, Student interfacing</t>
        </is>
      </c>
      <c r="V849" s="1" t="inlineStr">
        <is>
          <t>English lessons</t>
        </is>
      </c>
      <c r="W849" s="1" t="inlineStr">
        <is>
          <t>For every student our teachers create a tailor made training program based on your current level. Our pedagogy is based on blended learning : a mix of private lessons with a teacher and autonomous learning on an online platform.</t>
        </is>
      </c>
      <c r="X849" s="10" t="inlineStr">
        <is>
          <t>French lessons</t>
        </is>
      </c>
      <c r="Y849" t="inlineStr">
        <is>
          <t>For every student our teachers create a tailor made training program based on your current level. Our pedagogy is based on blended learning : a mix of private lessons with a teacher and autonomous learning on an online platform.</t>
        </is>
      </c>
      <c r="Z849" s="1" t="inlineStr">
        <is>
          <t>https://drive.google.com/uc?export=view&amp;id=1f0biwlJinANNaZhIl_lKLYoA_KkEFSMQ</t>
        </is>
      </c>
      <c r="AA849" s="1" t="inlineStr">
        <is>
          <t>Unverified</t>
        </is>
      </c>
      <c r="AB849" s="1" t="n"/>
      <c r="AC849" s="1" t="n"/>
      <c r="AD849" s="10" t="n"/>
      <c r="AE849" s="1" t="n"/>
      <c r="AF849" s="1" t="inlineStr">
        <is>
          <t>Yes</t>
        </is>
      </c>
      <c r="AG849" s="1" t="inlineStr">
        <is>
          <t>https://www.linkedin.com/company/71545098/admin/</t>
        </is>
      </c>
      <c r="AH849" s="1" t="inlineStr">
        <is>
          <t>https://www.linkedin.com/company/71545098/admin/</t>
        </is>
      </c>
      <c r="AI849" t="inlineStr">
        <is>
          <t>https://www.linkedin.com/company/71545098/admin/</t>
        </is>
      </c>
    </row>
    <row r="850" ht="12.5" customHeight="1">
      <c r="A850" s="6" t="n">
        <v>45181</v>
      </c>
      <c r="B850" s="1" t="inlineStr">
        <is>
          <t>ORG_1434</t>
        </is>
      </c>
      <c r="C850" s="1" t="b">
        <v>1</v>
      </c>
      <c r="D850" s="1" t="inlineStr">
        <is>
          <t>Educational Systems LLC</t>
        </is>
      </c>
      <c r="E850" s="10" t="inlineStr">
        <is>
          <t>https://schools.by</t>
        </is>
      </c>
      <c r="F850" t="inlineStr">
        <is>
          <t>schools.by</t>
        </is>
      </c>
      <c r="G850" s="1" t="inlineStr">
        <is>
          <t>The service of electronic journals and diaries is an innovation in education, which allows translating the relationship between school and family to a higher technological level, allowing participants in the educational process to receive information about curricula, current and final grades, homework, etc. in online mode. Schools.by portal is the largest educational resource in the country, it was created specifically for educational institutions of the Republic of Belarus.</t>
        </is>
      </c>
      <c r="H850" s="1" t="inlineStr">
        <is>
          <t>I'm not part of any EdTech association</t>
        </is>
      </c>
      <c r="I850" s="1" t="n"/>
      <c r="J850" s="1" t="inlineStr">
        <is>
          <t>Minsk</t>
        </is>
      </c>
      <c r="K850" t="inlineStr">
        <is>
          <t>Minsk</t>
        </is>
      </c>
      <c r="L850" t="inlineStr">
        <is>
          <t>Minsk, Belarus</t>
        </is>
      </c>
      <c r="M850" t="n">
        <v>53.9024716</v>
      </c>
      <c r="N850" t="n">
        <v>27.5618225</v>
      </c>
      <c r="O850" s="1" t="inlineStr">
        <is>
          <t>Belarus</t>
        </is>
      </c>
      <c r="P850" s="1" t="inlineStr">
        <is>
          <t>Belarus</t>
        </is>
      </c>
      <c r="Q850" s="1" t="inlineStr">
        <is>
          <t>0 to 10</t>
        </is>
      </c>
      <c r="R850" t="inlineStr">
        <is>
          <t>Micro</t>
        </is>
      </c>
      <c r="S850" s="1" t="inlineStr">
        <is>
          <t>Business to Business, Business to Consumer</t>
        </is>
      </c>
      <c r="T850" s="1" t="inlineStr">
        <is>
          <t>Primary Education, Secondary Education</t>
        </is>
      </c>
      <c r="U850" s="1" t="inlineStr">
        <is>
          <t>System/Administrative, Student interfacing, Teacher interfacing</t>
        </is>
      </c>
      <c r="V850" s="1" t="n"/>
      <c r="W850" s="1" t="inlineStr">
        <is>
          <t>https://drive.google.com/uc?export=view&amp;id=18oqMsNnfnUyHAooOaQh0tTTymZutVUxM</t>
        </is>
      </c>
      <c r="X850" s="1" t="inlineStr">
        <is>
          <t>https://drive.google.com/uc?export=view&amp;id=18oqMsNnfnUyHAooOaQh0tTTymZutVUxM</t>
        </is>
      </c>
      <c r="Y850" t="inlineStr">
        <is>
          <t>https://drive.google.com/uc?export=view&amp;id=18oqMsNnfnUyHAooOaQh0tTTymZutVUxM</t>
        </is>
      </c>
      <c r="Z850" s="1" t="inlineStr">
        <is>
          <t>https://drive.google.com/uc?export=view&amp;id=18oqMsNnfnUyHAooOaQh0tTTymZutVUxM</t>
        </is>
      </c>
      <c r="AA850" s="1" t="inlineStr">
        <is>
          <t>Unverified</t>
        </is>
      </c>
      <c r="AB850" s="1" t="n"/>
      <c r="AC850" s="1" t="n"/>
      <c r="AD850" s="10" t="n"/>
      <c r="AE850" s="1" t="n"/>
      <c r="AF850" s="1" t="inlineStr">
        <is>
          <t>No</t>
        </is>
      </c>
      <c r="AG850" s="1" t="n"/>
      <c r="AH850" s="1" t="n"/>
      <c r="AI850" s="1" t="n"/>
      <c r="AJ850" s="1" t="n"/>
    </row>
    <row r="851" ht="12.5" customHeight="1">
      <c r="A851" s="6" t="n">
        <v>45181</v>
      </c>
      <c r="B851" s="1" t="inlineStr">
        <is>
          <t>ORG_2471</t>
        </is>
      </c>
      <c r="C851" s="1" t="b">
        <v>1</v>
      </c>
      <c r="D851" s="1" t="inlineStr">
        <is>
          <t>Unschooler</t>
        </is>
      </c>
      <c r="E851" s="10" t="inlineStr">
        <is>
          <t>https://unschooler.me/</t>
        </is>
      </c>
      <c r="F851" t="inlineStr">
        <is>
          <t>unschooler.me</t>
        </is>
      </c>
      <c r="G851" s="1" t="inlineStr">
        <is>
          <t>Unschooler is a platform that generates personalized AI video courses. 
We help educators, universities, and colleges set up a school with AI for a few days and generate courses with their own content for a few minutes instead of months. 
People can generate unique learning paths to discover new skills and careers.</t>
        </is>
      </c>
      <c r="H851" s="1" t="inlineStr">
        <is>
          <t>I'm not part of any EdTech association</t>
        </is>
      </c>
      <c r="I851" s="1" t="inlineStr">
        <is>
          <t>English, Swedish, Arabic, Spanish, French, German, Portuguese, Polish, Hindi, Chinese, Russian</t>
        </is>
      </c>
      <c r="J851" s="1" t="inlineStr">
        <is>
          <t>Tallinn</t>
        </is>
      </c>
      <c r="K851" t="inlineStr">
        <is>
          <t>Tallinn</t>
        </is>
      </c>
      <c r="L851" t="inlineStr">
        <is>
          <t>Tallinn, Estonia</t>
        </is>
      </c>
      <c r="M851" t="n">
        <v>59.437242</v>
      </c>
      <c r="N851" t="n">
        <v>24.7572693</v>
      </c>
      <c r="O851" s="1" t="inlineStr">
        <is>
          <t>Estonia</t>
        </is>
      </c>
      <c r="P851" s="1" t="inlineStr">
        <is>
          <t>Cyprus, France, Germany, Ireland, Netherlands, Norway, Poland, Portugal, Sweden, United Kingdom</t>
        </is>
      </c>
      <c r="Q851" s="1" t="inlineStr">
        <is>
          <t>3 to 5</t>
        </is>
      </c>
      <c r="R851" t="inlineStr">
        <is>
          <t>Micro</t>
        </is>
      </c>
      <c r="S851" s="1" t="inlineStr">
        <is>
          <t>Business to Consumer, Business to Schools</t>
        </is>
      </c>
      <c r="T851" s="1" t="inlineStr">
        <is>
          <t>Corporate Training, Lifelong learning/Adult education, Vocational Education and Training (VET)</t>
        </is>
      </c>
      <c r="U851" s="1" t="inlineStr">
        <is>
          <t>Student interfacing, Teacher interfacing, System/Administrative</t>
        </is>
      </c>
      <c r="V851" s="10" t="inlineStr">
        <is>
          <t>Unschooler AI LMS</t>
        </is>
      </c>
      <c r="W851" s="10" t="inlineStr">
        <is>
          <t>We help educators, universities, and colleges set up a school with AI for a few days and generate courses with their own content for a few minutes instead of months.</t>
        </is>
      </c>
      <c r="X851" s="10" t="inlineStr">
        <is>
          <t>Unschooler AI courses</t>
        </is>
      </c>
      <c r="Y851" t="inlineStr">
        <is>
          <t>People can generate unique learning paths to discover new skills and careers.</t>
        </is>
      </c>
      <c r="Z851" s="1" t="inlineStr">
        <is>
          <t>https://drive.google.com/uc?export=view&amp;id=14u08dmQm9LLJ2hvlOzs-I10rM0W8i0gz</t>
        </is>
      </c>
      <c r="AA851" s="1" t="inlineStr">
        <is>
          <t>Unverified</t>
        </is>
      </c>
      <c r="AB851" s="1" t="n"/>
      <c r="AC851" s="1" t="n"/>
      <c r="AD851" s="10" t="n"/>
      <c r="AE851" s="1" t="n"/>
      <c r="AF851" s="1" t="inlineStr">
        <is>
          <t>Yes</t>
        </is>
      </c>
      <c r="AG851" s="1" t="inlineStr">
        <is>
          <t>https://www.instagram.com/unschooler_en/</t>
        </is>
      </c>
      <c r="AH851" s="1" t="inlineStr">
        <is>
          <t>https://twitter.com/unschooler_me</t>
        </is>
      </c>
      <c r="AI851" s="1" t="inlineStr">
        <is>
          <t>https://www.linkedin.com/company/69407492/admin/</t>
        </is>
      </c>
      <c r="AJ851" s="1" t="n"/>
    </row>
    <row r="852" ht="12.5" customHeight="1">
      <c r="A852" s="6" t="n">
        <v>45181</v>
      </c>
      <c r="B852" s="1" t="inlineStr">
        <is>
          <t>ORG_1080</t>
        </is>
      </c>
      <c r="C852" s="1" t="b">
        <v>1</v>
      </c>
      <c r="D852" s="1" t="inlineStr">
        <is>
          <t>Aonia Educación</t>
        </is>
      </c>
      <c r="E852" s="10" t="inlineStr">
        <is>
          <t>www.aonia.es</t>
        </is>
      </c>
      <c r="F852" t="inlineStr">
        <is>
          <t>aonia.es</t>
        </is>
      </c>
      <c r="G852" s="1" t="inlineStr">
        <is>
          <t>Aonia is a consultancy company focused on Education, Digital Transformation and Innovation. We do operate in +40 countries developing projects for Teachers Professional Development, Computational Thinking, Educational Innovation, etc.</t>
        </is>
      </c>
      <c r="H852" s="1" t="inlineStr">
        <is>
          <t>EduTech Cluster Spain</t>
        </is>
      </c>
      <c r="I852" s="1" t="n"/>
      <c r="J852" s="1" t="inlineStr">
        <is>
          <t>Sevilla</t>
        </is>
      </c>
      <c r="K852" t="inlineStr">
        <is>
          <t>Sevilla</t>
        </is>
      </c>
      <c r="L852" t="inlineStr">
        <is>
          <t>Sevilla, Spain</t>
        </is>
      </c>
      <c r="M852" t="n">
        <v>37.3886303</v>
      </c>
      <c r="N852" t="n">
        <v>-5.9953403</v>
      </c>
      <c r="O852" s="1" t="inlineStr">
        <is>
          <t>Spain</t>
        </is>
      </c>
      <c r="P852" s="1" t="inlineStr">
        <is>
          <t>Spain</t>
        </is>
      </c>
      <c r="Q852" s="1" t="inlineStr">
        <is>
          <t>11 to 50</t>
        </is>
      </c>
      <c r="R852" t="inlineStr">
        <is>
          <t>Small</t>
        </is>
      </c>
      <c r="S852" s="1" t="inlineStr">
        <is>
          <t>Business to Business</t>
        </is>
      </c>
      <c r="T852" s="1" t="inlineStr">
        <is>
          <t>Early childhood development (0-5 years), Primary Education, Secondary Education, Higher Education, Corporate Training, Lifelong learning/Adult education</t>
        </is>
      </c>
      <c r="U852" s="1" t="inlineStr">
        <is>
          <t>Teacher interfacing, Student interfacing, System/Administrative</t>
        </is>
      </c>
      <c r="V852" s="1" t="n"/>
      <c r="W852" s="1" t="n"/>
      <c r="X852" s="1" t="n"/>
      <c r="Z852" s="1" t="n"/>
      <c r="AA852" s="1" t="inlineStr">
        <is>
          <t>Unverified</t>
        </is>
      </c>
      <c r="AB852" s="1" t="n"/>
      <c r="AC852" s="1" t="n"/>
      <c r="AD852" s="1" t="n"/>
      <c r="AE852" s="1" t="n"/>
      <c r="AF852" t="inlineStr">
        <is>
          <t>No</t>
        </is>
      </c>
    </row>
    <row r="853" ht="12.5" customHeight="1">
      <c r="A853" s="6" t="n">
        <v>45181</v>
      </c>
      <c r="B853" s="1" t="inlineStr">
        <is>
          <t>ORG_1152</t>
        </is>
      </c>
      <c r="C853" s="1" t="b">
        <v>1</v>
      </c>
      <c r="D853" s="1" t="inlineStr">
        <is>
          <t>BeSolver</t>
        </is>
      </c>
      <c r="E853" s="10" t="inlineStr">
        <is>
          <t>besolver.io</t>
        </is>
      </c>
      <c r="F853" t="inlineStr">
        <is>
          <t>besolver.io</t>
        </is>
      </c>
      <c r="G853" s="1" t="inlineStr">
        <is>
          <t>BeSolver es una plataforma de aprendizaje que guía a docentes y estudiantes en el diseño de ABP y en el desarrollo de las habilidades del siglo XXI.
BeSolver is a learning platform that guides teachers and students in designing PBL and developing 21st century skills.</t>
        </is>
      </c>
      <c r="H853" s="1" t="inlineStr">
        <is>
          <t>I'm not part of any EdTech association</t>
        </is>
      </c>
      <c r="I853" s="1" t="n"/>
      <c r="J853" s="1" t="inlineStr">
        <is>
          <t>C/ Almogavers, 165</t>
        </is>
      </c>
      <c r="L853" t="inlineStr">
        <is>
          <t>C/ Almogavers, 165, Spain</t>
        </is>
      </c>
      <c r="O853" s="1" t="inlineStr">
        <is>
          <t>Spain</t>
        </is>
      </c>
      <c r="P853" s="1" t="inlineStr">
        <is>
          <t>Spain</t>
        </is>
      </c>
      <c r="Q853" s="1" t="inlineStr">
        <is>
          <t>0 to 10</t>
        </is>
      </c>
      <c r="R853" t="inlineStr">
        <is>
          <t>Micro</t>
        </is>
      </c>
      <c r="S853" s="1" t="inlineStr">
        <is>
          <t>Business to Business, Business to Consumer</t>
        </is>
      </c>
      <c r="T853" s="1" t="inlineStr">
        <is>
          <t>Primary Education, Secondary Education, Lifelong learning/Adult education</t>
        </is>
      </c>
      <c r="U853" s="1" t="inlineStr">
        <is>
          <t>Teacher interfacing, System/Administrative</t>
        </is>
      </c>
      <c r="V853" s="1" t="n"/>
      <c r="W853" s="1" t="inlineStr">
        <is>
          <t>https://drive.google.com/uc?export=view&amp;id=1Dlxh2oZGh0bAo2cgbDtE1EC-hgpDy671</t>
        </is>
      </c>
      <c r="X853" s="1" t="inlineStr">
        <is>
          <t>https://drive.google.com/uc?export=view&amp;id=1Dlxh2oZGh0bAo2cgbDtE1EC-hgpDy671</t>
        </is>
      </c>
      <c r="Y853" t="inlineStr">
        <is>
          <t>https://drive.google.com/uc?export=view&amp;id=1Dlxh2oZGh0bAo2cgbDtE1EC-hgpDy671</t>
        </is>
      </c>
      <c r="Z853" s="1" t="inlineStr">
        <is>
          <t>https://drive.google.com/uc?export=view&amp;id=1Dlxh2oZGh0bAo2cgbDtE1EC-hgpDy671</t>
        </is>
      </c>
      <c r="AA853" s="1" t="inlineStr">
        <is>
          <t>Unverified</t>
        </is>
      </c>
      <c r="AB853" s="1" t="n"/>
      <c r="AC853" s="1" t="n"/>
      <c r="AD853" s="10" t="n"/>
      <c r="AE853" s="1" t="n"/>
      <c r="AF853" s="1" t="inlineStr">
        <is>
          <t>No</t>
        </is>
      </c>
      <c r="AG853" s="1" t="n"/>
      <c r="AH853" s="1" t="n"/>
    </row>
    <row r="854" ht="12.5" customHeight="1">
      <c r="A854" s="6" t="n">
        <v>45181</v>
      </c>
      <c r="B854" s="1" t="inlineStr">
        <is>
          <t>ORG_1318</t>
        </is>
      </c>
      <c r="C854" s="1" t="b">
        <v>1</v>
      </c>
      <c r="D854" s="1" t="inlineStr">
        <is>
          <t>Cybeerly</t>
        </is>
      </c>
      <c r="E854" s="10" t="inlineStr">
        <is>
          <t>https://cybeerly.com/</t>
        </is>
      </c>
      <c r="F854" t="inlineStr">
        <is>
          <t>cybeerly.com</t>
        </is>
      </c>
      <c r="G854" s="1" t="inlineStr">
        <is>
          <t>A platform from the future that enables effective virtual lessons</t>
        </is>
      </c>
      <c r="H854" s="1" t="inlineStr">
        <is>
          <t>EdTech Estonia</t>
        </is>
      </c>
      <c r="I854" s="1" t="n"/>
      <c r="J854" s="1" t="inlineStr">
        <is>
          <t>Talli̇n</t>
        </is>
      </c>
      <c r="K854" t="inlineStr">
        <is>
          <t>Talli̇n</t>
        </is>
      </c>
      <c r="L854" t="inlineStr">
        <is>
          <t>Talli̇n, Estonia</t>
        </is>
      </c>
      <c r="M854" t="n">
        <v>59.437242</v>
      </c>
      <c r="N854" t="n">
        <v>24.7572693</v>
      </c>
      <c r="O854" s="1" t="inlineStr">
        <is>
          <t>Estonia</t>
        </is>
      </c>
      <c r="P854" s="1" t="inlineStr">
        <is>
          <t>Russia, Spain, Sweden, Turkey, Ukraine, United Kingdom</t>
        </is>
      </c>
      <c r="Q854" s="1" t="inlineStr">
        <is>
          <t>0 to 10</t>
        </is>
      </c>
      <c r="R854" t="inlineStr">
        <is>
          <t>Micro</t>
        </is>
      </c>
      <c r="S854" s="1" t="inlineStr">
        <is>
          <t>Business to Business, Business to Consumer, Business to Government, Business to Schools</t>
        </is>
      </c>
      <c r="T854" s="1" t="inlineStr">
        <is>
          <t>Early childhood development (0-5 years), Primary Education, Secondary Education, Higher Education, Corporate Training</t>
        </is>
      </c>
      <c r="U854" s="1" t="inlineStr">
        <is>
          <t>Teacher interfacing, System/Administrative</t>
        </is>
      </c>
      <c r="V854" s="1" t="n"/>
      <c r="W854" s="1" t="inlineStr">
        <is>
          <t>https://drive.google.com/uc?export=view&amp;id=1jyM6AWb4T_JqkyUH9dIz6Cx8872G1kqV</t>
        </is>
      </c>
      <c r="X854" s="1" t="inlineStr">
        <is>
          <t>https://drive.google.com/uc?export=view&amp;id=1jyM6AWb4T_JqkyUH9dIz6Cx8872G1kqV</t>
        </is>
      </c>
      <c r="Y854" t="inlineStr">
        <is>
          <t>https://drive.google.com/uc?export=view&amp;id=1jyM6AWb4T_JqkyUH9dIz6Cx8872G1kqV</t>
        </is>
      </c>
      <c r="Z854" s="1" t="inlineStr">
        <is>
          <t>https://drive.google.com/uc?export=view&amp;id=1jyM6AWb4T_JqkyUH9dIz6Cx8872G1kqV</t>
        </is>
      </c>
      <c r="AA854" s="1" t="inlineStr">
        <is>
          <t>Unverified</t>
        </is>
      </c>
      <c r="AB854" s="1" t="n"/>
      <c r="AC854" s="1" t="n"/>
      <c r="AD854" s="10" t="n"/>
      <c r="AE854" s="1" t="n"/>
      <c r="AF854" s="1" t="inlineStr">
        <is>
          <t>No</t>
        </is>
      </c>
      <c r="AG854" s="1" t="n"/>
      <c r="AH854" s="1" t="n"/>
      <c r="AI854" s="1" t="n"/>
      <c r="AJ854" s="1" t="n"/>
    </row>
    <row r="855" ht="12.5" customHeight="1">
      <c r="A855" s="6" t="n">
        <v>45181</v>
      </c>
      <c r="B855" s="1" t="inlineStr">
        <is>
          <t>ORG_1520</t>
        </is>
      </c>
      <c r="C855" s="1" t="b">
        <v>1</v>
      </c>
      <c r="D855" s="1" t="inlineStr">
        <is>
          <t>ETS GLOBAL</t>
        </is>
      </c>
      <c r="E855" s="10" t="inlineStr">
        <is>
          <t>https://www.etsglobal.org</t>
        </is>
      </c>
      <c r="F855" t="inlineStr">
        <is>
          <t>etsglobal.org</t>
        </is>
      </c>
      <c r="G855" s="1" t="inlineStr">
        <is>
          <t>ETS Global B.V., a wholly owned subsidiary of ETS, is the international arm of ETS that brings ETS expertise to educational and business communities around the world.
At ETS Global B.V., we bring expertise to educational and business communities around the world, including companies, language schools, academic institutions and public service organisations. Our teams serve 80 countries across Europe, South America, Asia, the Middle East and Africa. We offer a range of ETS products, services and learning solutions, including English-language assessments, standardized assessments, training and consulting. www.etsglobal.org
About the TOEIC® Tests
With more than 40 years as an industry leader, the TOEIC programme has set the standard for assessing English-language communication skills needed in the workplace. The TOEIC tests are the most widely used around the world. Over 14 000 organisations across more than 160 countries, trust TOEIC scores to inform the decisions that matter. The TOEIC assessment portfolio measures all 4 language skills for a comprehensive understanding of English-language proficiency. Accurate, reliable and comparable scores can help organisations evaluate individuals with the English language skills needed to succeed in the global workplace.
In 2020, ETS Global B.V. has acquired Pipplet, a start-up specialising in language assessment used for recruitment, internal mobility, language audits and skills certification for companies. Since its foundation, Pipplet has allowed recruiters from all over the world to verify candidates’ abilities to work in a foreign language. With assessments in 28 different languages, from English to Vietnamese, Pipplet is speeding up the recruitment process for hundreds of companies, from fast-growing start-ups to large consulting groups.</t>
        </is>
      </c>
      <c r="H855" s="1" t="inlineStr">
        <is>
          <t>AFINEF</t>
        </is>
      </c>
      <c r="I855" s="1" t="n"/>
      <c r="J855" s="1" t="inlineStr">
        <is>
          <t>Amsterdam</t>
        </is>
      </c>
      <c r="K855" t="inlineStr">
        <is>
          <t>Amsterdam</t>
        </is>
      </c>
      <c r="L855" t="inlineStr">
        <is>
          <t>Amsterdam, The Netherlands</t>
        </is>
      </c>
      <c r="M855" t="n">
        <v>52.3701984</v>
      </c>
      <c r="N855" t="n">
        <v>4.892168</v>
      </c>
      <c r="O855" s="1" t="inlineStr">
        <is>
          <t>The Netherlands</t>
        </is>
      </c>
      <c r="P85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t>
        </is>
      </c>
      <c r="Q855" s="1" t="inlineStr">
        <is>
          <t>100+</t>
        </is>
      </c>
      <c r="R855" t="inlineStr">
        <is>
          <t>Medium or Large (unspecified)</t>
        </is>
      </c>
      <c r="S855" s="1" t="inlineStr">
        <is>
          <t>Business to Business, Business to Consumer, Business to Schools</t>
        </is>
      </c>
      <c r="T855" s="1" t="inlineStr">
        <is>
          <t>Primary Education, Secondary Education, Higher Education, Corporate Training, Lifelong learning/Adult education</t>
        </is>
      </c>
      <c r="U855" s="1" t="inlineStr">
        <is>
          <t>System/Administrative, Student interfacing, Teacher interfacing</t>
        </is>
      </c>
      <c r="V855" s="1" t="inlineStr">
        <is>
          <t>the TOEIC® Tests</t>
        </is>
      </c>
      <c r="W855" s="10" t="inlineStr">
        <is>
          <t>With more than 40 years as an industry leader, the TOEIC programme has set the standard for assessing English-language communication skills needed in the workplace. The TOEIC tests are the most widely used around the world. Over 14 000 organisations across more than 160 countries, trust TOEIC scores to inform the decisions that matter. The TOEIC assessment portfolio measures all 4 language skills for a comprehensive understanding of English-language proficiency. Accurate, reliable and comparable scores can help organisations evaluate individuals with the English language skills needed to succeed in the global workplace.</t>
        </is>
      </c>
      <c r="X855" s="10" t="inlineStr">
        <is>
          <t>the TOEFL® Family of Assessments</t>
        </is>
      </c>
      <c r="Y855" t="inlineStr">
        <is>
          <t>Wherever students want to study, the TOEFL® test can help them get there. The TOEFL® Family of Assessments provides trusted and valuable information about students’ English proficiency to help guide decisions that can have a long-term impact on students’ language learning ability and even their academic future. Each TOEFL® test is based on a specific range of English proficiency and academic levels to ensure the information you get back is meaningful and useful. Whether for admissions or for programme placement, advancement or exiting, or monitoring progress, the TOEFL® Family of Assessments provide the information you need to help you make confident decisions.</t>
        </is>
      </c>
      <c r="Z855" s="1" t="inlineStr">
        <is>
          <t>https://drive.google.com/uc?export=view&amp;id=18GM1R_idr4ybNaNOmn5WWE6jKVrKgi6-</t>
        </is>
      </c>
      <c r="AA855" s="1" t="inlineStr">
        <is>
          <t>Unverified</t>
        </is>
      </c>
      <c r="AB855" s="1" t="n"/>
      <c r="AC855" s="1" t="n"/>
      <c r="AD855" s="10" t="n"/>
      <c r="AE855" s="1" t="n"/>
      <c r="AF855" t="inlineStr">
        <is>
          <t>Yes</t>
        </is>
      </c>
      <c r="AG855" t="inlineStr">
        <is>
          <t>https://twitter.com/ETSGlobal</t>
        </is>
      </c>
      <c r="AH855" t="inlineStr">
        <is>
          <t>https://twitter.com/ETSGlobal</t>
        </is>
      </c>
      <c r="AI855" t="inlineStr">
        <is>
          <t>https://fr.linkedin.com/company/ets-global</t>
        </is>
      </c>
    </row>
    <row r="856" ht="12.5" customHeight="1">
      <c r="A856" s="6" t="n">
        <v>45181</v>
      </c>
      <c r="B856" s="1" t="inlineStr">
        <is>
          <t>ORG_1734</t>
        </is>
      </c>
      <c r="C856" s="1" t="b">
        <v>1</v>
      </c>
      <c r="D856" s="1" t="inlineStr">
        <is>
          <t>Intrepid-stars</t>
        </is>
      </c>
      <c r="E856" s="10" t="inlineStr">
        <is>
          <t>https://www.intrepid-stars.club/</t>
        </is>
      </c>
      <c r="F856" t="inlineStr">
        <is>
          <t>intrepid-stars.club</t>
        </is>
      </c>
      <c r="G856" s="1" t="inlineStr">
        <is>
          <t>We empower teenagers through education about RISK LITERACY, simply by leveraging the prevention behaviour as a method to decrease (de)risk and avoid perils. The prevention behaviour might be rewarded - incentivized with a "social token" or earn NFTs as loyalty for achieving RISK LITERACY – during the path of education &amp; achievement of certain prevention habits.
For each type of RISK, teenagers get enrolment and assignments for prevention behaviour that decrease risk (perils).
Achieved prevention will define a scoring - track of teenagers' path to decrease risk (perils).
Game Avatar LIFE PREVENTION
@Discord we present an insurance innovation💡, that is Life PREVENTION #coverage for Game Avatars🥼👔👘👙👜👠👑 {skin}</t>
        </is>
      </c>
      <c r="H856" s="1" t="inlineStr">
        <is>
          <t>I'm not part of any EdTech association</t>
        </is>
      </c>
      <c r="I856" s="1" t="n"/>
      <c r="J856" s="1" t="inlineStr">
        <is>
          <t>Ljubljana</t>
        </is>
      </c>
      <c r="K856" t="inlineStr">
        <is>
          <t>Ljubljana</t>
        </is>
      </c>
      <c r="L856" t="inlineStr">
        <is>
          <t>Ljubljana, Slovenia</t>
        </is>
      </c>
      <c r="M856" t="n">
        <v>46.0500268</v>
      </c>
      <c r="N856" t="n">
        <v>14.5069289</v>
      </c>
      <c r="O856" s="1" t="inlineStr">
        <is>
          <t>Slovenia</t>
        </is>
      </c>
      <c r="P856" s="1" t="inlineStr">
        <is>
          <t>Austria, Germany, Italy, Liechtenstein, Luxembourg, San Marino, Switzerland, United Kingdom</t>
        </is>
      </c>
      <c r="Q856" s="1" t="inlineStr">
        <is>
          <t>0 to 10</t>
        </is>
      </c>
      <c r="R856" t="inlineStr">
        <is>
          <t>Micro</t>
        </is>
      </c>
      <c r="S856" s="1" t="inlineStr">
        <is>
          <t>Business to Business, Business to Consumer, Business to Schools</t>
        </is>
      </c>
      <c r="T856" s="1" t="inlineStr">
        <is>
          <t>Primary Education, Secondary Education, Corporate Training, Lifelong learning/Adult education</t>
        </is>
      </c>
      <c r="U856" s="1" t="inlineStr">
        <is>
          <t>System/Administrative, Student interfacing, Teacher interfacing</t>
        </is>
      </c>
      <c r="V856" s="1" t="n"/>
      <c r="W856" s="1" t="inlineStr">
        <is>
          <t>https://drive.google.com/uc?export=view&amp;id=1Mw8diKUFkYVJ33WWDPU1J5AM7Q9fRVXB</t>
        </is>
      </c>
      <c r="X856" s="1" t="inlineStr">
        <is>
          <t>https://drive.google.com/uc?export=view&amp;id=1Mw8diKUFkYVJ33WWDPU1J5AM7Q9fRVXB</t>
        </is>
      </c>
      <c r="Y856" t="inlineStr">
        <is>
          <t>https://drive.google.com/uc?export=view&amp;id=1Mw8diKUFkYVJ33WWDPU1J5AM7Q9fRVXB</t>
        </is>
      </c>
      <c r="Z856" s="1" t="inlineStr">
        <is>
          <t>https://drive.google.com/uc?export=view&amp;id=1Mw8diKUFkYVJ33WWDPU1J5AM7Q9fRVXB</t>
        </is>
      </c>
      <c r="AA856" s="1" t="inlineStr">
        <is>
          <t>Unverified</t>
        </is>
      </c>
      <c r="AB856" s="1" t="n"/>
      <c r="AC856" s="1" t="n"/>
      <c r="AD856" s="10" t="n"/>
      <c r="AE856" s="1" t="n"/>
      <c r="AF856" s="1" t="inlineStr">
        <is>
          <t>No</t>
        </is>
      </c>
      <c r="AG856" s="1" t="n"/>
      <c r="AH856" s="1" t="n"/>
      <c r="AI856" s="1" t="n"/>
      <c r="AJ856" s="1" t="n"/>
    </row>
    <row r="857" ht="12.5" customHeight="1">
      <c r="A857" s="6" t="n">
        <v>45181</v>
      </c>
      <c r="B857" s="1" t="inlineStr">
        <is>
          <t>ORG_1837</t>
        </is>
      </c>
      <c r="C857" s="1" t="b">
        <v>1</v>
      </c>
      <c r="D857" s="1" t="inlineStr">
        <is>
          <t>LearningTour</t>
        </is>
      </c>
      <c r="E857" s="10" t="inlineStr">
        <is>
          <t>www.learningtour.nl</t>
        </is>
      </c>
      <c r="F857" t="inlineStr">
        <is>
          <t>learningtour.nl</t>
        </is>
      </c>
      <c r="G857" s="1" t="inlineStr">
        <is>
          <t>LearningTour is a developer of niche tool to support learning &amp; performance.
AI for Learning: training, support and tools
Check &amp; Learn tool:
Smart checklists combined with microlearning. 
Log2learn tool:
Tool for collecting &amp; analyzing learning data.</t>
        </is>
      </c>
      <c r="H857" s="1" t="inlineStr">
        <is>
          <t>I'm not part of any EdTech association</t>
        </is>
      </c>
      <c r="I857" s="1" t="inlineStr">
        <is>
          <t>Dutch, English, German</t>
        </is>
      </c>
      <c r="J857" s="1" t="inlineStr">
        <is>
          <t>Westervoort</t>
        </is>
      </c>
      <c r="K857" t="inlineStr">
        <is>
          <t>Westervoort</t>
        </is>
      </c>
      <c r="L857" t="inlineStr">
        <is>
          <t>Westervoort, The Netherlands</t>
        </is>
      </c>
      <c r="M857" t="n">
        <v>51.9597557</v>
      </c>
      <c r="N857" t="n">
        <v>5.9682662</v>
      </c>
      <c r="O857" s="1" t="inlineStr">
        <is>
          <t>The Netherlands</t>
        </is>
      </c>
      <c r="P857" s="1" t="inlineStr">
        <is>
          <t>Belgium, Germany, Netherlands</t>
        </is>
      </c>
      <c r="Q857" s="1" t="inlineStr">
        <is>
          <t>0 to 2</t>
        </is>
      </c>
      <c r="R857" t="inlineStr">
        <is>
          <t>Solo entrepreneur</t>
        </is>
      </c>
      <c r="S857" s="1" t="inlineStr">
        <is>
          <t>Business to Business, Business to Government, Business to Schools</t>
        </is>
      </c>
      <c r="T857" s="1" t="inlineStr">
        <is>
          <t>Primary Education, Secondary Education, Corporate Training, Lifelong learning/Adult education, Vocational Education and Training (VET)</t>
        </is>
      </c>
      <c r="U857" s="1" t="inlineStr">
        <is>
          <t>Student interfacing, Teacher interfacing, System/Administrative</t>
        </is>
      </c>
      <c r="V857" s="1" t="inlineStr">
        <is>
          <t>AI for Learning</t>
        </is>
      </c>
      <c r="W857" s="1" t="inlineStr">
        <is>
          <t>Training, support and tools for practical AI in education and L&amp;D</t>
        </is>
      </c>
      <c r="X857" s="10" t="inlineStr">
        <is>
          <t>https://drive.google.com/uc?export=view&amp;id=1TsDz-8LIchFQs71vbcFg_tanRPwU06q1</t>
        </is>
      </c>
      <c r="Y857" t="inlineStr">
        <is>
          <t>https://drive.google.com/uc?export=view&amp;id=1TsDz-8LIchFQs71vbcFg_tanRPwU06q1</t>
        </is>
      </c>
      <c r="Z857" s="1" t="inlineStr">
        <is>
          <t>https://drive.google.com/uc?export=view&amp;id=1TsDz-8LIchFQs71vbcFg_tanRPwU06q1</t>
        </is>
      </c>
      <c r="AA857" s="1" t="inlineStr">
        <is>
          <t>Unverified</t>
        </is>
      </c>
      <c r="AB857" s="1" t="n"/>
      <c r="AC857" s="1" t="n"/>
      <c r="AD857" s="10" t="n"/>
      <c r="AE857" s="1" t="n"/>
      <c r="AF857" s="1" t="inlineStr">
        <is>
          <t>Yes</t>
        </is>
      </c>
      <c r="AG857" s="1" t="inlineStr">
        <is>
          <t>https://www.linkedin.com/company/learningtour</t>
        </is>
      </c>
      <c r="AH857" s="1" t="inlineStr">
        <is>
          <t>https://www.linkedin.com/company/learningtour</t>
        </is>
      </c>
      <c r="AI857" s="1" t="inlineStr">
        <is>
          <t>https://www.linkedin.com/company/learningtour</t>
        </is>
      </c>
      <c r="AJ857" s="1" t="n"/>
    </row>
    <row r="858" ht="12.5" customHeight="1">
      <c r="A858" s="6" t="n">
        <v>45181</v>
      </c>
      <c r="B858" s="1" t="inlineStr">
        <is>
          <t>ORG_1195</t>
        </is>
      </c>
      <c r="C858" s="1" t="b">
        <v>1</v>
      </c>
      <c r="D858" s="1" t="inlineStr">
        <is>
          <t>Brainix</t>
        </is>
      </c>
      <c r="E858" s="10" t="inlineStr">
        <is>
          <t>www.brainix.org</t>
        </is>
      </c>
      <c r="F858" t="inlineStr">
        <is>
          <t>brainix.org</t>
        </is>
      </c>
      <c r="G858" s="1" t="inlineStr">
        <is>
          <t>Brainix is a holistic learning software for schools in Bavaria, Germany. It is a WebApp and can therefore be accessed via the browser on tablets, laptops and PCs.
At the moment we cover Gymnasium 6th grade Math and English and are developing more curricula.</t>
        </is>
      </c>
      <c r="H858" s="1" t="inlineStr">
        <is>
          <t>I'm not part of any EdTech association</t>
        </is>
      </c>
      <c r="I858" s="1" t="n"/>
      <c r="J858" s="1" t="inlineStr">
        <is>
          <t>Germering</t>
        </is>
      </c>
      <c r="K858" t="inlineStr">
        <is>
          <t>Germering</t>
        </is>
      </c>
      <c r="L858" t="inlineStr">
        <is>
          <t>Germering, Germany</t>
        </is>
      </c>
      <c r="M858" t="n">
        <v>48.1373576</v>
      </c>
      <c r="N858" t="n">
        <v>11.3614338</v>
      </c>
      <c r="O858" s="1" t="inlineStr">
        <is>
          <t>Germany</t>
        </is>
      </c>
      <c r="P858" s="1" t="inlineStr">
        <is>
          <t>Germany</t>
        </is>
      </c>
      <c r="Q858" s="1" t="inlineStr">
        <is>
          <t>0 to 2</t>
        </is>
      </c>
      <c r="R858" t="inlineStr">
        <is>
          <t>Solo entrepreneur</t>
        </is>
      </c>
      <c r="S858" s="1" t="inlineStr">
        <is>
          <t>Business to Business, Business to Consumer, Business to Schools</t>
        </is>
      </c>
      <c r="T858" s="1" t="inlineStr">
        <is>
          <t>Secondary Education</t>
        </is>
      </c>
      <c r="U858" s="1" t="inlineStr">
        <is>
          <t>System/Administrative, Teacher interfacing</t>
        </is>
      </c>
      <c r="V858" s="1" t="n"/>
      <c r="W858" s="1" t="inlineStr">
        <is>
          <t>https://drive.google.com/uc?export=view&amp;id=1vkhIfbLJO8zK4C-O9jo3nalaFb-1dIsL</t>
        </is>
      </c>
      <c r="X858" s="1" t="inlineStr">
        <is>
          <t>https://drive.google.com/uc?export=view&amp;id=1vkhIfbLJO8zK4C-O9jo3nalaFb-1dIsL</t>
        </is>
      </c>
      <c r="Y858" t="inlineStr">
        <is>
          <t>https://drive.google.com/uc?export=view&amp;id=1vkhIfbLJO8zK4C-O9jo3nalaFb-1dIsL</t>
        </is>
      </c>
      <c r="Z858" s="1" t="inlineStr">
        <is>
          <t>https://drive.google.com/uc?export=view&amp;id=1vkhIfbLJO8zK4C-O9jo3nalaFb-1dIsL</t>
        </is>
      </c>
      <c r="AA858" s="1" t="inlineStr">
        <is>
          <t>Unverified</t>
        </is>
      </c>
      <c r="AB858" s="1" t="n"/>
      <c r="AC858" s="1" t="n"/>
      <c r="AD858" s="10" t="n"/>
      <c r="AE858" s="1" t="n"/>
      <c r="AF858" s="1" t="inlineStr">
        <is>
          <t>No</t>
        </is>
      </c>
      <c r="AG858" s="1" t="n"/>
      <c r="AH858" s="1" t="n"/>
    </row>
    <row r="859" ht="12.5" customHeight="1">
      <c r="A859" s="6" t="n">
        <v>45181</v>
      </c>
      <c r="B859" s="1" t="inlineStr">
        <is>
          <t>ORG_1601</t>
        </is>
      </c>
      <c r="C859" s="1" t="b">
        <v>1</v>
      </c>
      <c r="D859" s="1" t="inlineStr">
        <is>
          <t>Fuzu Ltd</t>
        </is>
      </c>
      <c r="E859" s="10" t="inlineStr">
        <is>
          <t>www.fuzu.com</t>
        </is>
      </c>
      <c r="F859" t="inlineStr">
        <is>
          <t>fuzu.com</t>
        </is>
      </c>
      <c r="G859" s="1" t="inlineStr">
        <is>
          <t>Fuzu Limited specializes in career development, recruitment and learning solutions for emerging market organizations and end-users. Fuzu solution caters to both blue-and white-collar talent and helps SME’s, multinational companies and non-profit organizations in identifying and developing talent. Fuzu’s ambition is to become the go-to platform for the emerging market talent and a place to dream, grow and be found.
Fuzu was launched in Kenya in 2015 and has since then been used by more than 14 million users in East Africa. Fuzu has supported more than 1,500 employers across the region in finding talent that matches their needs. The employer partners range from small SME's to multinationals who use Fuzu's talent automation solution for finding better talent faster. In late 2021, Fuzu expanded to Africa's largest economy Nigeria and will continue growing across the continent over the coming 3-5 years.</t>
        </is>
      </c>
      <c r="H859" s="1" t="inlineStr">
        <is>
          <t>EdTech Finland</t>
        </is>
      </c>
      <c r="I859" s="1" t="n"/>
      <c r="J859" s="1" t="inlineStr">
        <is>
          <t>Helsinki</t>
        </is>
      </c>
      <c r="K859" t="inlineStr">
        <is>
          <t>Helsinki</t>
        </is>
      </c>
      <c r="L859" t="inlineStr">
        <is>
          <t>Helsinki, Finland</t>
        </is>
      </c>
      <c r="M859" t="n">
        <v>60.1666204</v>
      </c>
      <c r="N859" t="n">
        <v>24.9435408</v>
      </c>
      <c r="O859" s="1" t="inlineStr">
        <is>
          <t>Finland</t>
        </is>
      </c>
      <c r="P859" s="1" t="inlineStr">
        <is>
          <t>Finland, United Kingdom</t>
        </is>
      </c>
      <c r="Q859" s="1" t="inlineStr">
        <is>
          <t>51 to 100</t>
        </is>
      </c>
      <c r="R859" t="inlineStr">
        <is>
          <t>Medium</t>
        </is>
      </c>
      <c r="S859" s="1" t="inlineStr">
        <is>
          <t>Business to Consumer</t>
        </is>
      </c>
      <c r="T859" s="1" t="inlineStr">
        <is>
          <t>Higher Education, Corporate Training, Lifelong learning/Adult education</t>
        </is>
      </c>
      <c r="U859" s="1" t="inlineStr">
        <is>
          <t>Student interfacing, System/Administrative</t>
        </is>
      </c>
      <c r="V859" s="10" t="inlineStr">
        <is>
          <t>Fuzu Career Builder</t>
        </is>
      </c>
      <c r="W859" s="10" t="inlineStr">
        <is>
          <t>Career builder solution supports Fuzu end users in finding employment opportunities that match their skills and interests and provides access to a wide range of career development services, from online learning to talent testing and coaching.</t>
        </is>
      </c>
      <c r="X859" s="10" t="inlineStr">
        <is>
          <t>Fuzu Employer</t>
        </is>
      </c>
      <c r="Y859" t="inlineStr">
        <is>
          <t>Employer solution helps employers in finding better talent faster by provide employers with an end-to-end solution for reaching out the right candidates and for analyzing, testing and validating talent.</t>
        </is>
      </c>
      <c r="Z859" s="1" t="inlineStr">
        <is>
          <t>https://drive.google.com/uc?export=view&amp;id=1YopbASnpX36MiOheo8pUbw3_nIp8DMjI</t>
        </is>
      </c>
      <c r="AA859" s="1" t="inlineStr">
        <is>
          <t>Unverified</t>
        </is>
      </c>
      <c r="AB859" s="1" t="n"/>
      <c r="AC859" s="1" t="n"/>
      <c r="AD859" s="10" t="n"/>
      <c r="AE859" s="1" t="n"/>
      <c r="AF859" s="1" t="inlineStr">
        <is>
          <t>Yes</t>
        </is>
      </c>
      <c r="AG859" s="1" t="inlineStr">
        <is>
          <t>https://www.instagram.com/fuzukenya/</t>
        </is>
      </c>
      <c r="AH859" s="1" t="inlineStr">
        <is>
          <t>https://twitter.com/fuzukenya</t>
        </is>
      </c>
      <c r="AI859" s="1" t="inlineStr">
        <is>
          <t>https://www.linkedin.com/company/5007486/admin/</t>
        </is>
      </c>
      <c r="AJ859" s="1" t="n"/>
    </row>
    <row r="860" ht="12.5" customHeight="1">
      <c r="A860" s="6" t="n">
        <v>45181</v>
      </c>
      <c r="B860" s="1" t="inlineStr">
        <is>
          <t>ORG_1660</t>
        </is>
      </c>
      <c r="C860" s="1" t="b">
        <v>1</v>
      </c>
      <c r="D860" s="1" t="inlineStr">
        <is>
          <t>Hackworth</t>
        </is>
      </c>
      <c r="E860" s="10" t="inlineStr">
        <is>
          <t>https://www.hackworthltd.uk/</t>
        </is>
      </c>
      <c r="F860" t="inlineStr">
        <is>
          <t>hackworthltd.uk</t>
        </is>
      </c>
      <c r="G860" s="1" t="inlineStr">
        <is>
          <t>We're developing software that'll make functional programming more accessible and relevant to students and young adults, optimised for pedagogy - not professionals.</t>
        </is>
      </c>
      <c r="H860" s="1" t="inlineStr">
        <is>
          <t>I'm not part of any EdTech association</t>
        </is>
      </c>
      <c r="I860" s="1" t="n"/>
      <c r="J860" s="1" t="inlineStr">
        <is>
          <t>London</t>
        </is>
      </c>
      <c r="K860" t="inlineStr">
        <is>
          <t>London</t>
        </is>
      </c>
      <c r="L860" t="inlineStr">
        <is>
          <t>London, United Kingdom</t>
        </is>
      </c>
      <c r="M860" t="n">
        <v>51.5074456</v>
      </c>
      <c r="N860" t="n">
        <v>-0.1277653</v>
      </c>
      <c r="O860" s="1" t="inlineStr">
        <is>
          <t>United Kingdom</t>
        </is>
      </c>
      <c r="P860" s="1" t="inlineStr">
        <is>
          <t>United Kingdom</t>
        </is>
      </c>
      <c r="Q860" s="1" t="inlineStr">
        <is>
          <t>0 to 10</t>
        </is>
      </c>
      <c r="R860" t="inlineStr">
        <is>
          <t>Micro</t>
        </is>
      </c>
      <c r="S860" s="1" t="inlineStr">
        <is>
          <t>Business to Government, Business to Schools</t>
        </is>
      </c>
      <c r="T860" s="1" t="inlineStr">
        <is>
          <t>Secondary Education</t>
        </is>
      </c>
      <c r="U860" s="1" t="inlineStr">
        <is>
          <t>Student interfacing, Teacher interfacing</t>
        </is>
      </c>
      <c r="V860" s="1" t="n"/>
      <c r="W860" s="1" t="inlineStr">
        <is>
          <t>https://drive.google.com/uc?export=view&amp;id=1UF6XJB1eKv2ddV2ioGaCzgesILIZ11rF</t>
        </is>
      </c>
      <c r="X860" s="1" t="inlineStr">
        <is>
          <t>https://drive.google.com/uc?export=view&amp;id=1UF6XJB1eKv2ddV2ioGaCzgesILIZ11rF</t>
        </is>
      </c>
      <c r="Y860" t="inlineStr">
        <is>
          <t>https://drive.google.com/uc?export=view&amp;id=1UF6XJB1eKv2ddV2ioGaCzgesILIZ11rF</t>
        </is>
      </c>
      <c r="Z860" s="1" t="inlineStr">
        <is>
          <t>https://drive.google.com/uc?export=view&amp;id=1UF6XJB1eKv2ddV2ioGaCzgesILIZ11rF</t>
        </is>
      </c>
      <c r="AA860" s="1" t="inlineStr">
        <is>
          <t>Unverified</t>
        </is>
      </c>
      <c r="AB860" s="1" t="n"/>
      <c r="AC860" s="1" t="n"/>
      <c r="AD860" s="10" t="n"/>
      <c r="AE860" s="1" t="n"/>
      <c r="AF860" t="inlineStr">
        <is>
          <t>No</t>
        </is>
      </c>
    </row>
    <row r="861" ht="12.5" customHeight="1">
      <c r="A861" s="6" t="n">
        <v>45181</v>
      </c>
      <c r="B861" s="1" t="inlineStr">
        <is>
          <t>ORG_2341</t>
        </is>
      </c>
      <c r="C861" s="1" t="b">
        <v>1</v>
      </c>
      <c r="D861" s="1" t="inlineStr">
        <is>
          <t>Studyflow B.V.</t>
        </is>
      </c>
      <c r="E861" s="10" t="inlineStr">
        <is>
          <t>https://studyflow.nl/</t>
        </is>
      </c>
      <c r="F861" t="inlineStr">
        <is>
          <t>studyflow.nl</t>
        </is>
      </c>
      <c r="G861" s="1" t="inlineStr">
        <is>
          <t>Studyflow has developed several digital learning methods over the past 10 years. With these methods, Studyflow-Taal to learn the Dutch language and Logisch Rekenen to learn mathematics we serve the Dutch educational market. We also have an editor program, Spark Plus, which offers schools the possibility to write their own lessons.
Our strength is to listen to our customers in order to keep improving our methods as well as the platform on which we offer them.
We believe that with personal attention you can get the best from both student and teacher.</t>
        </is>
      </c>
      <c r="H861" s="1" t="inlineStr">
        <is>
          <t>I'm not part of any EdTech association</t>
        </is>
      </c>
      <c r="I861" s="1" t="n"/>
      <c r="J861" s="1" t="inlineStr">
        <is>
          <t>Amsterdam</t>
        </is>
      </c>
      <c r="K861" t="inlineStr">
        <is>
          <t>Amsterdam</t>
        </is>
      </c>
      <c r="L861" t="inlineStr">
        <is>
          <t>Amsterdam, The Netherlands</t>
        </is>
      </c>
      <c r="M861" t="n">
        <v>52.3701984</v>
      </c>
      <c r="N861" t="n">
        <v>4.892168</v>
      </c>
      <c r="O861" s="1" t="inlineStr">
        <is>
          <t>The Netherlands</t>
        </is>
      </c>
      <c r="P861" s="1" t="inlineStr">
        <is>
          <t>Belgium, Netherlands</t>
        </is>
      </c>
      <c r="Q861" s="1" t="inlineStr">
        <is>
          <t>0 to 10</t>
        </is>
      </c>
      <c r="R861" t="inlineStr">
        <is>
          <t>Micro</t>
        </is>
      </c>
      <c r="S861" s="1" t="inlineStr">
        <is>
          <t>Business to Schools</t>
        </is>
      </c>
      <c r="T861" s="1" t="inlineStr">
        <is>
          <t>Secondary Education</t>
        </is>
      </c>
      <c r="U861" s="1" t="inlineStr">
        <is>
          <t>Teacher interfacing, System/Administrative</t>
        </is>
      </c>
      <c r="V861" s="1" t="n"/>
      <c r="W861" s="1" t="inlineStr">
        <is>
          <t>https://drive.google.com/uc?export=view&amp;id=1Jap9sCQQreLhMgsDrM9zbr11yG4yvJDC</t>
        </is>
      </c>
      <c r="X861" s="1" t="inlineStr">
        <is>
          <t>https://drive.google.com/uc?export=view&amp;id=1Jap9sCQQreLhMgsDrM9zbr11yG4yvJDC</t>
        </is>
      </c>
      <c r="Y861" t="inlineStr">
        <is>
          <t>https://drive.google.com/uc?export=view&amp;id=1Jap9sCQQreLhMgsDrM9zbr11yG4yvJDC</t>
        </is>
      </c>
      <c r="Z861" s="1" t="inlineStr">
        <is>
          <t>https://drive.google.com/uc?export=view&amp;id=1Jap9sCQQreLhMgsDrM9zbr11yG4yvJDC</t>
        </is>
      </c>
      <c r="AA861" s="1" t="inlineStr">
        <is>
          <t>Unverified</t>
        </is>
      </c>
      <c r="AB861" s="1" t="n"/>
      <c r="AC861" s="1" t="n"/>
      <c r="AD861" s="10" t="n"/>
      <c r="AE861" s="1" t="n"/>
      <c r="AF861" t="inlineStr">
        <is>
          <t>No</t>
        </is>
      </c>
    </row>
    <row r="862" ht="12.5" customHeight="1">
      <c r="A862" s="6" t="n">
        <v>45181</v>
      </c>
      <c r="B862" s="1" t="inlineStr">
        <is>
          <t>ORG_2413</t>
        </is>
      </c>
      <c r="C862" s="1" t="b">
        <v>1</v>
      </c>
      <c r="D862" s="1" t="inlineStr">
        <is>
          <t>TinQwise</t>
        </is>
      </c>
      <c r="E862" s="10" t="inlineStr">
        <is>
          <t>www.tinqwise.com</t>
        </is>
      </c>
      <c r="F862" t="inlineStr">
        <is>
          <t>tinqwise.com</t>
        </is>
      </c>
      <c r="G862" s="1" t="inlineStr">
        <is>
          <t>Growth ambitions? Make sure your people are ready to rock! We help scaleups with happy onboarding and setting up their own academy. So that every colleague knows what to do and can contribute to the dream. 
With our data-driven Learning eXperience Platform, personal learning programmes and creative content. Train all your employees, with just a small HR team. Small team, big party!</t>
        </is>
      </c>
      <c r="H862" s="1" t="inlineStr">
        <is>
          <t>I'm not part of any EdTech association</t>
        </is>
      </c>
      <c r="I862" s="1" t="n"/>
      <c r="J862" s="1" t="inlineStr">
        <is>
          <t>Hilversum</t>
        </is>
      </c>
      <c r="K862" t="inlineStr">
        <is>
          <t>Hilversum</t>
        </is>
      </c>
      <c r="L862" t="inlineStr">
        <is>
          <t>Hilversum, The Netherlands</t>
        </is>
      </c>
      <c r="M862" t="n">
        <v>52.2124485</v>
      </c>
      <c r="N862" t="n">
        <v>5.1460384</v>
      </c>
      <c r="O862" s="1" t="inlineStr">
        <is>
          <t>The Netherlands</t>
        </is>
      </c>
      <c r="P862" s="1" t="inlineStr">
        <is>
          <t>Belgium, Denmark, Germany, Netherlands</t>
        </is>
      </c>
      <c r="Q862" s="1" t="inlineStr">
        <is>
          <t>51 to 100</t>
        </is>
      </c>
      <c r="R862" t="inlineStr">
        <is>
          <t>Medium</t>
        </is>
      </c>
      <c r="S862" s="1" t="inlineStr">
        <is>
          <t>Business to Schools</t>
        </is>
      </c>
      <c r="T862" s="1" t="inlineStr">
        <is>
          <t>Corporate Training</t>
        </is>
      </c>
      <c r="U862" s="1" t="inlineStr">
        <is>
          <t>System/Administrative</t>
        </is>
      </c>
      <c r="V862" s="1" t="n"/>
      <c r="W862" s="1" t="inlineStr">
        <is>
          <t>https://drive.google.com/uc?export=view&amp;id=1dXdhCEfUM0FGhnoYSUIT1H7-1d0-CWMa</t>
        </is>
      </c>
      <c r="X862" s="1" t="inlineStr">
        <is>
          <t>https://drive.google.com/uc?export=view&amp;id=1dXdhCEfUM0FGhnoYSUIT1H7-1d0-CWMa</t>
        </is>
      </c>
      <c r="Y862" t="inlineStr">
        <is>
          <t>https://drive.google.com/uc?export=view&amp;id=1dXdhCEfUM0FGhnoYSUIT1H7-1d0-CWMa</t>
        </is>
      </c>
      <c r="Z862" s="1" t="inlineStr">
        <is>
          <t>https://drive.google.com/uc?export=view&amp;id=1dXdhCEfUM0FGhnoYSUIT1H7-1d0-CWMa</t>
        </is>
      </c>
      <c r="AA862" s="1" t="inlineStr">
        <is>
          <t>Unverified</t>
        </is>
      </c>
      <c r="AB862" s="1" t="n"/>
      <c r="AC862" s="1" t="n"/>
      <c r="AD862" s="10" t="n"/>
      <c r="AE862" s="1" t="n"/>
      <c r="AF862" s="1" t="inlineStr">
        <is>
          <t>No</t>
        </is>
      </c>
      <c r="AG862" s="1" t="n"/>
      <c r="AH862" s="1" t="n"/>
    </row>
    <row r="863" ht="12.5" customHeight="1">
      <c r="A863" s="6" t="n">
        <v>45181</v>
      </c>
      <c r="B863" s="1" t="inlineStr">
        <is>
          <t>ORG_1206</t>
        </is>
      </c>
      <c r="C863" s="1" t="b">
        <v>1</v>
      </c>
      <c r="D863" s="1" t="inlineStr">
        <is>
          <t>C Learning Limited</t>
        </is>
      </c>
      <c r="E863" s="10" t="inlineStr">
        <is>
          <t>www.c-learning.net</t>
        </is>
      </c>
      <c r="F863" t="inlineStr">
        <is>
          <t>c-learning.net</t>
        </is>
      </c>
      <c r="G863" s="1" t="inlineStr">
        <is>
          <t>Cloud technology and AI specialists and a leading Google Partner serving several thousand clients in over 30 countries globally, providing hardware, software, consultancy and training.</t>
        </is>
      </c>
      <c r="H863" s="1" t="inlineStr">
        <is>
          <t>I'm not part of any EdTech association</t>
        </is>
      </c>
      <c r="I863" s="1" t="n"/>
      <c r="J863" s="1" t="inlineStr">
        <is>
          <t>Bradford On Avon</t>
        </is>
      </c>
      <c r="K863" t="inlineStr">
        <is>
          <t>Bradford On Avon</t>
        </is>
      </c>
      <c r="L863" t="inlineStr">
        <is>
          <t>Bradford On Avon, United Kingdom</t>
        </is>
      </c>
      <c r="M863" t="n">
        <v>51.346715</v>
      </c>
      <c r="N863" t="n">
        <v>-2.2504329</v>
      </c>
      <c r="O863" s="1" t="inlineStr">
        <is>
          <t>United Kingdom</t>
        </is>
      </c>
      <c r="P863" s="1" t="inlineStr">
        <is>
          <t>Austria, Azerbaijan, Belgium, Bulgaria, Croatia, Denmark, Estonia, Finland, France, Germany, Ireland, Italy, Kazakhstan, Latvia, Liechtenstein, Lithuania, Luxembourg, Malta, Moldova, Monaco, Netherlands, Norway, Poland, Russia, Serbia, Spain, Sweden, Switzerland, Ukraine, United Kingdom</t>
        </is>
      </c>
      <c r="Q863" s="1" t="inlineStr">
        <is>
          <t>11 to 50</t>
        </is>
      </c>
      <c r="R863" t="inlineStr">
        <is>
          <t>Small</t>
        </is>
      </c>
      <c r="S863" s="1" t="inlineStr">
        <is>
          <t>Business to Business, Business to Consumer, Business to Government, Business to Schools</t>
        </is>
      </c>
      <c r="T863" s="1" t="inlineStr">
        <is>
          <t>Early childhood development (0-5 years), Primary Education, Secondary Education, Corporate Training, Lifelong learning/Adult education, Vocational Education and Training (VET), Higher Education</t>
        </is>
      </c>
      <c r="U863" s="1" t="inlineStr">
        <is>
          <t>Teacher interfacing, System/Administrative</t>
        </is>
      </c>
      <c r="V863" s="1" t="inlineStr">
        <is>
          <t>Google Cloud</t>
        </is>
      </c>
      <c r="W863" s="1" t="inlineStr">
        <is>
          <t>Provision of the Google Cloud Platform (GCP).</t>
        </is>
      </c>
      <c r="X863" s="10" t="inlineStr">
        <is>
          <t>Google Workspace</t>
        </is>
      </c>
      <c r="Y863" t="inlineStr">
        <is>
          <t>Google Workspace is the leading productivity suite from Google supporting more than 200 million educators and over 6 million leading companies.</t>
        </is>
      </c>
      <c r="Z863" s="1" t="inlineStr">
        <is>
          <t>https://drive.google.com/uc?export=view&amp;id=1ZSQl1WN1mPJB9s3Wb3N0WRe1fFoOp4dh</t>
        </is>
      </c>
      <c r="AA863" s="1" t="inlineStr">
        <is>
          <t>Unverified</t>
        </is>
      </c>
      <c r="AB863" s="1" t="n"/>
      <c r="AC863" s="1" t="n"/>
      <c r="AD863" s="10" t="n"/>
      <c r="AE863" s="1" t="n"/>
      <c r="AF863" t="inlineStr">
        <is>
          <t>Yes</t>
        </is>
      </c>
      <c r="AG863" t="inlineStr">
        <is>
          <t>https://www.linkedin.com/company/18752801</t>
        </is>
      </c>
      <c r="AH863" t="inlineStr">
        <is>
          <t>@C_learning_net</t>
        </is>
      </c>
      <c r="AI863" t="inlineStr">
        <is>
          <t>https://www.linkedin.com/company/18752801</t>
        </is>
      </c>
    </row>
    <row r="864" ht="12.5" customHeight="1">
      <c r="A864" s="6" t="n">
        <v>45181</v>
      </c>
      <c r="B864" s="1" t="inlineStr">
        <is>
          <t>ORG_1331</t>
        </is>
      </c>
      <c r="C864" s="1" t="b">
        <v>1</v>
      </c>
      <c r="D864" s="1" t="inlineStr">
        <is>
          <t>Daxap</t>
        </is>
      </c>
      <c r="E864" s="10" t="inlineStr">
        <is>
          <t>https://daxap.no</t>
        </is>
      </c>
      <c r="F864" t="inlineStr">
        <is>
          <t>daxap.no</t>
        </is>
      </c>
      <c r="G864" s="1" t="inlineStr">
        <is>
          <t>SOCIAL ENTREPRENEUR IN INFORMATION TECHNOLOGY
For us at DAXAP is to create sustainable solutions
on societal challenges a responsibility and an opportunity.</t>
        </is>
      </c>
      <c r="H864" s="1" t="inlineStr">
        <is>
          <t>I'm not part of any EdTech association</t>
        </is>
      </c>
      <c r="I864" s="1" t="n"/>
      <c r="J864" s="1" t="inlineStr">
        <is>
          <t>Melhus</t>
        </is>
      </c>
      <c r="K864" t="inlineStr">
        <is>
          <t>Melhus</t>
        </is>
      </c>
      <c r="L864" t="inlineStr">
        <is>
          <t>Melhus, Norway</t>
        </is>
      </c>
      <c r="M864" t="n">
        <v>63.1814333</v>
      </c>
      <c r="N864" t="n">
        <v>10.3081345</v>
      </c>
      <c r="O864" s="1" t="inlineStr">
        <is>
          <t>Norway</t>
        </is>
      </c>
      <c r="P864" s="1" t="inlineStr">
        <is>
          <t>Norway</t>
        </is>
      </c>
      <c r="Q864" s="1" t="inlineStr">
        <is>
          <t>0 to 10</t>
        </is>
      </c>
      <c r="R864" t="inlineStr">
        <is>
          <t>Micro</t>
        </is>
      </c>
      <c r="S864" s="1" t="inlineStr">
        <is>
          <t>Business to Business, Business to Consumer, Business to Government, Business to Schools</t>
        </is>
      </c>
      <c r="T864" s="1" t="inlineStr">
        <is>
          <t>Early childhood development (0-5 years), Primary Education, Secondary Education</t>
        </is>
      </c>
      <c r="U864" s="1" t="inlineStr">
        <is>
          <t>System/Administrative</t>
        </is>
      </c>
      <c r="V864" s="1" t="n"/>
      <c r="W864" s="1" t="n"/>
      <c r="X864" s="1" t="n"/>
      <c r="Z864" s="1" t="n"/>
      <c r="AA864" s="1" t="inlineStr">
        <is>
          <t>Unverified</t>
        </is>
      </c>
      <c r="AB864" s="1" t="n"/>
      <c r="AC864" s="1" t="n"/>
      <c r="AD864" s="1" t="n"/>
      <c r="AE864" s="1" t="n"/>
      <c r="AF864" t="inlineStr">
        <is>
          <t>No</t>
        </is>
      </c>
    </row>
    <row r="865" ht="12.5" customHeight="1">
      <c r="A865" s="6" t="n">
        <v>45181</v>
      </c>
      <c r="B865" s="1" t="inlineStr">
        <is>
          <t>ORG_1382</t>
        </is>
      </c>
      <c r="C865" s="1" t="b">
        <v>1</v>
      </c>
      <c r="D865" s="1" t="inlineStr">
        <is>
          <t>Drieam</t>
        </is>
      </c>
      <c r="E865" s="10" t="inlineStr">
        <is>
          <t>www.drieam.com</t>
        </is>
      </c>
      <c r="F865" t="inlineStr">
        <is>
          <t>drieam.com</t>
        </is>
      </c>
      <c r="G865" s="1" t="inlineStr">
        <is>
          <t>As designated Canvas partner we enable higher education institutes, business schools and continuing education departments to deliver the ultimate learning experience. We do this by leveraging the best software out there, including our own solutions which all seamlessly integrate with Canvas LMS. In close collaboration with our customers we build modern and flexible education with a virtual learning environment that facilitates effective blended learning and online teaching, student-ownership and lifelong development possibilities. This way we guide educational institutions towards world-class education and make their students come back for more.</t>
        </is>
      </c>
      <c r="H865" s="1" t="inlineStr">
        <is>
          <t>Dutch EdTech</t>
        </is>
      </c>
      <c r="I865" s="1" t="n"/>
      <c r="J865" s="1" t="inlineStr">
        <is>
          <t>Kw Eindhoven</t>
        </is>
      </c>
      <c r="K865" t="inlineStr">
        <is>
          <t>Kw Eindhoven</t>
        </is>
      </c>
      <c r="L865" t="inlineStr">
        <is>
          <t>Kw Eindhoven, The Netherlands</t>
        </is>
      </c>
      <c r="M865" t="n">
        <v>51.4167627</v>
      </c>
      <c r="N865" t="n">
        <v>5.4900361</v>
      </c>
      <c r="O865" s="1" t="inlineStr">
        <is>
          <t>The Netherlands</t>
        </is>
      </c>
      <c r="P865" s="1" t="inlineStr">
        <is>
          <t>Austria, Belgium, Germany, Ireland, Netherlands, Spain, Switzerland, United Kingdom</t>
        </is>
      </c>
      <c r="Q865" s="1" t="inlineStr">
        <is>
          <t>11 to 50</t>
        </is>
      </c>
      <c r="R865" t="inlineStr">
        <is>
          <t>Small</t>
        </is>
      </c>
      <c r="S865" s="1" t="inlineStr">
        <is>
          <t>Business to Business, Business to Government, Business to Schools</t>
        </is>
      </c>
      <c r="T865" s="1" t="inlineStr">
        <is>
          <t>Secondary Education, Higher Education, Lifelong learning/Adult education</t>
        </is>
      </c>
      <c r="U865" s="1" t="inlineStr">
        <is>
          <t>Teacher interfacing, System/Administrative</t>
        </is>
      </c>
      <c r="V865" s="1" t="inlineStr">
        <is>
          <t>Portfolio</t>
        </is>
      </c>
      <c r="W865" s="10" t="inlineStr">
        <is>
          <t>A student-led development and assessment portfolio with authentic 360° feedback and powerful scaffolding tools, fully integrated in your LMS as a plug-in (LTI app).</t>
        </is>
      </c>
      <c r="X865" s="10" t="inlineStr">
        <is>
          <t>Eduframe</t>
        </is>
      </c>
      <c r="Y865" t="inlineStr">
        <is>
          <t>The Student Information System and eCommerce Platform for Canvas and continuing education. Attract learners and make them come back for more, save time of staff by automating manual work and provide the most engaging online experiences.</t>
        </is>
      </c>
      <c r="Z865" s="1" t="inlineStr">
        <is>
          <t>https://drive.google.com/uc?export=view&amp;id=1URlK7vfUsHHbd1O0v7mNpTkAKtCIdyru</t>
        </is>
      </c>
      <c r="AA865" s="1" t="inlineStr">
        <is>
          <t>Unverified</t>
        </is>
      </c>
      <c r="AB865" s="1" t="n"/>
      <c r="AC865" s="1" t="n"/>
      <c r="AD865" s="10" t="n"/>
      <c r="AE865" s="1" t="n"/>
      <c r="AF865" s="1" t="inlineStr">
        <is>
          <t>Yes</t>
        </is>
      </c>
      <c r="AG865" s="1" t="inlineStr">
        <is>
          <t>https://twitter.com/drieamon?lang=de</t>
        </is>
      </c>
      <c r="AH865" s="1" t="inlineStr">
        <is>
          <t>https://twitter.com/drieamon?lang=de</t>
        </is>
      </c>
      <c r="AI865" s="1" t="inlineStr">
        <is>
          <t>https://www.linkedin.com/company/drieam/</t>
        </is>
      </c>
      <c r="AJ865" s="1" t="n"/>
    </row>
    <row r="866" ht="12.5" customHeight="1">
      <c r="A866" s="6" t="n">
        <v>45181</v>
      </c>
      <c r="B866" s="1" t="inlineStr">
        <is>
          <t>ORG_2132</t>
        </is>
      </c>
      <c r="C866" s="1" t="b">
        <v>1</v>
      </c>
      <c r="D866" s="1" t="inlineStr">
        <is>
          <t>Prowise B.V.</t>
        </is>
      </c>
      <c r="E866" s="10" t="inlineStr">
        <is>
          <t>www.prowise.com</t>
        </is>
      </c>
      <c r="F866" t="inlineStr">
        <is>
          <t>prowise.com</t>
        </is>
      </c>
      <c r="G866" s="1" t="inlineStr">
        <is>
          <t>Prowise is a leading global company that develops innovative, high quality and reliable digital education solutions. Our Touchscreens, personal devices, lift systems and user-friendly Presenter and Central software allow us to make learning easier and more fun. It’s not just hardware, or software, but a 360 degree solution that works in synergy to ensure that information is not just presented, but experienced. To date more than 20.000 schools, 450.000 teachers and hundreds of companies in 27 different countries make use of the solutions of Prowise.</t>
        </is>
      </c>
      <c r="H866" s="1" t="inlineStr">
        <is>
          <t>I'm not part of any EdTech association</t>
        </is>
      </c>
      <c r="I866" s="1" t="n"/>
      <c r="J866" s="1" t="inlineStr">
        <is>
          <t>Budel</t>
        </is>
      </c>
      <c r="K866" t="inlineStr">
        <is>
          <t>Budel</t>
        </is>
      </c>
      <c r="L866" t="inlineStr">
        <is>
          <t>Budel, The Netherlands</t>
        </is>
      </c>
      <c r="M866" t="n">
        <v>52.0749456</v>
      </c>
      <c r="N866" t="n">
        <v>4.2696802</v>
      </c>
      <c r="O866" s="1" t="inlineStr">
        <is>
          <t>The Netherlands</t>
        </is>
      </c>
      <c r="P866" s="1" t="inlineStr">
        <is>
          <t>Austria, Belgium, Czechia, Denmark, Estonia, France, Germany, Hungary, Iceland, Ireland, Italy, Latvia, Lithuania, Netherlands, Norway, Poland, Romania, Slovakia, Spain, Sweden, Switzerland, United Kingdom</t>
        </is>
      </c>
      <c r="Q866" s="1" t="inlineStr">
        <is>
          <t>100+</t>
        </is>
      </c>
      <c r="R866" t="inlineStr">
        <is>
          <t>Medium or Large (unspecified)</t>
        </is>
      </c>
      <c r="S866" s="1" t="inlineStr">
        <is>
          <t>Business to Business, Business to Schools</t>
        </is>
      </c>
      <c r="T866" s="1" t="inlineStr">
        <is>
          <t>Primary Education, Secondary Education, Higher Education, Lifelong learning/Adult education</t>
        </is>
      </c>
      <c r="U866" s="1" t="inlineStr">
        <is>
          <t>Teacher interfacing, System/Administrative</t>
        </is>
      </c>
      <c r="V866" s="1" t="n"/>
      <c r="W866" s="1" t="inlineStr">
        <is>
          <t>https://drive.google.com/uc?export=view&amp;id=1syJzcUP07HK5muKYKGf2KUpW8PDoHgin</t>
        </is>
      </c>
      <c r="X866" s="1" t="inlineStr">
        <is>
          <t>https://drive.google.com/uc?export=view&amp;id=1syJzcUP07HK5muKYKGf2KUpW8PDoHgin</t>
        </is>
      </c>
      <c r="Y866" t="inlineStr">
        <is>
          <t>https://drive.google.com/uc?export=view&amp;id=1syJzcUP07HK5muKYKGf2KUpW8PDoHgin</t>
        </is>
      </c>
      <c r="Z866" s="1" t="inlineStr">
        <is>
          <t>https://drive.google.com/uc?export=view&amp;id=1syJzcUP07HK5muKYKGf2KUpW8PDoHgin</t>
        </is>
      </c>
      <c r="AA866" s="1" t="inlineStr">
        <is>
          <t>Unverified</t>
        </is>
      </c>
      <c r="AB866" s="1" t="n"/>
      <c r="AC866" s="1" t="n"/>
      <c r="AD866" s="10" t="n"/>
      <c r="AE866" s="1" t="n"/>
      <c r="AF866" t="inlineStr">
        <is>
          <t>No</t>
        </is>
      </c>
    </row>
    <row r="867" ht="12.5" customHeight="1">
      <c r="A867" s="6" t="n">
        <v>45181</v>
      </c>
      <c r="B867" s="1" t="inlineStr">
        <is>
          <t>ORG_2575</t>
        </is>
      </c>
      <c r="C867" s="1" t="b">
        <v>1</v>
      </c>
      <c r="D867" s="1" t="inlineStr">
        <is>
          <t>Знай•бай (Znaj.by)</t>
        </is>
      </c>
      <c r="E867" s="10" t="inlineStr">
        <is>
          <t>https://znaj.by/</t>
        </is>
      </c>
      <c r="F867" t="inlineStr">
        <is>
          <t>znaj.by</t>
        </is>
      </c>
      <c r="G867" s="1" t="inlineStr">
        <is>
          <t>Znaj.by is a leading platform of e services for education in Belarus More than 1360
schools have been already connected to the platform 45 of all schools in the country).
Znaj.by provides a platform, which allows automating routine tasks, helps the staff
organize the teaching process, parents to track their children's progress and pupils to
focus on getting knowledge.</t>
        </is>
      </c>
      <c r="H867" s="1" t="inlineStr">
        <is>
          <t>I'm not part of any EdTech association</t>
        </is>
      </c>
      <c r="I867" s="1" t="n"/>
      <c r="J867" s="1" t="inlineStr">
        <is>
          <t>Minsk</t>
        </is>
      </c>
      <c r="K867" t="inlineStr">
        <is>
          <t>Minsk</t>
        </is>
      </c>
      <c r="L867" t="inlineStr">
        <is>
          <t>Minsk, Belarus</t>
        </is>
      </c>
      <c r="M867" t="n">
        <v>53.9024716</v>
      </c>
      <c r="N867" t="n">
        <v>27.5618225</v>
      </c>
      <c r="O867" s="1" t="inlineStr">
        <is>
          <t>Belarus</t>
        </is>
      </c>
      <c r="P867" s="1" t="inlineStr">
        <is>
          <t>Belarus</t>
        </is>
      </c>
      <c r="Q867" s="1" t="inlineStr">
        <is>
          <t>0 to 10</t>
        </is>
      </c>
      <c r="R867" t="inlineStr">
        <is>
          <t>Micro</t>
        </is>
      </c>
      <c r="S867" s="1" t="inlineStr">
        <is>
          <t>Business to Business</t>
        </is>
      </c>
      <c r="T867" s="1" t="inlineStr">
        <is>
          <t>Primary Education, Secondary Education</t>
        </is>
      </c>
      <c r="U867" s="1" t="inlineStr">
        <is>
          <t>System/Administrative, Student interfacing, Teacher interfacing</t>
        </is>
      </c>
      <c r="V867" s="1" t="n"/>
      <c r="W867" s="1" t="inlineStr">
        <is>
          <t>https://drive.google.com/uc?export=view&amp;id=1qKmpOh0qz5tB8e-DCGOQ830A5Rp3zV7G</t>
        </is>
      </c>
      <c r="X867" s="1" t="inlineStr">
        <is>
          <t>https://drive.google.com/uc?export=view&amp;id=1qKmpOh0qz5tB8e-DCGOQ830A5Rp3zV7G</t>
        </is>
      </c>
      <c r="Y867" t="inlineStr">
        <is>
          <t>https://drive.google.com/uc?export=view&amp;id=1qKmpOh0qz5tB8e-DCGOQ830A5Rp3zV7G</t>
        </is>
      </c>
      <c r="Z867" s="1" t="inlineStr">
        <is>
          <t>https://drive.google.com/uc?export=view&amp;id=1qKmpOh0qz5tB8e-DCGOQ830A5Rp3zV7G</t>
        </is>
      </c>
      <c r="AA867" s="1" t="inlineStr">
        <is>
          <t>Unverified</t>
        </is>
      </c>
      <c r="AB867" s="1" t="n"/>
      <c r="AC867" s="1" t="n"/>
      <c r="AD867" s="10" t="n"/>
      <c r="AE867" s="1" t="n"/>
      <c r="AF867" t="inlineStr">
        <is>
          <t>No</t>
        </is>
      </c>
    </row>
    <row r="868" ht="12.5" customHeight="1">
      <c r="A868" s="6" t="n">
        <v>45181</v>
      </c>
      <c r="B868" s="1" t="inlineStr">
        <is>
          <t>ORG_1047</t>
        </is>
      </c>
      <c r="C868" s="1" t="b">
        <v>1</v>
      </c>
      <c r="D868" s="1" t="inlineStr">
        <is>
          <t>Alcor Academy</t>
        </is>
      </c>
      <c r="E868" s="10" t="inlineStr">
        <is>
          <t>https://alcor.academy</t>
        </is>
      </c>
      <c r="F868" t="inlineStr">
        <is>
          <t>alcor.academy</t>
        </is>
      </c>
      <c r="G868" s="1" t="inlineStr">
        <is>
          <t>Agile Methodologies alone are not enough to improve the delivery of software. Teams also need to master Agile Technical Practices to be successful.
We know that learning at scale is hard. Very few people worldwide can offer continuous professional training on these topics.
Alcor Academy's structured learning programme has proven successful for hundreds of developers. Our collaborative and informal lessons make the learning experience unforgettable.
We are software crafters, coaches, international public speakers, and award-winning authors of "Agile Technical Practices Distilled". 
We help Organisations deliver valuable Software with our Innovative Socio-Technical Training on software design.
With half a century of combined professional experience, we are the ideal partner to unleash all the power of real Digital Transformations.</t>
        </is>
      </c>
      <c r="H868" s="1" t="inlineStr">
        <is>
          <t>I'm not part of any EdTech association</t>
        </is>
      </c>
      <c r="I868" s="1" t="n"/>
      <c r="J868" s="1" t="inlineStr">
        <is>
          <t>London</t>
        </is>
      </c>
      <c r="K868" t="inlineStr">
        <is>
          <t>London</t>
        </is>
      </c>
      <c r="L868" t="inlineStr">
        <is>
          <t>London, United Kingdom</t>
        </is>
      </c>
      <c r="M868" t="n">
        <v>51.5074456</v>
      </c>
      <c r="N868" t="n">
        <v>-0.1277653</v>
      </c>
      <c r="O868" s="1" t="inlineStr">
        <is>
          <t>United Kingdom</t>
        </is>
      </c>
      <c r="P868" s="1" t="inlineStr">
        <is>
          <t>Belgium, Germany, Italy, Netherlands, Norway, Switzerland, United Kingdom</t>
        </is>
      </c>
      <c r="Q868" s="1" t="inlineStr">
        <is>
          <t>0 to 10</t>
        </is>
      </c>
      <c r="R868" t="inlineStr">
        <is>
          <t>Micro</t>
        </is>
      </c>
      <c r="S868" s="1" t="inlineStr">
        <is>
          <t>Business to Business</t>
        </is>
      </c>
      <c r="T868" s="1" t="inlineStr">
        <is>
          <t>Corporate Training, Lifelong learning/Adult education</t>
        </is>
      </c>
      <c r="U868" s="1" t="inlineStr">
        <is>
          <t>System/Administrative</t>
        </is>
      </c>
      <c r="V868" s="1" t="n"/>
      <c r="W868" s="1" t="inlineStr">
        <is>
          <t>https://drive.google.com/uc?export=view&amp;id=1FphPkwShRm_z-PDB1y0brdwi2wIyzR26</t>
        </is>
      </c>
      <c r="X868" s="1" t="inlineStr">
        <is>
          <t>https://drive.google.com/uc?export=view&amp;id=1FphPkwShRm_z-PDB1y0brdwi2wIyzR26</t>
        </is>
      </c>
      <c r="Y868" t="inlineStr">
        <is>
          <t>https://drive.google.com/uc?export=view&amp;id=1FphPkwShRm_z-PDB1y0brdwi2wIyzR26</t>
        </is>
      </c>
      <c r="Z868" s="1" t="inlineStr">
        <is>
          <t>https://drive.google.com/uc?export=view&amp;id=1FphPkwShRm_z-PDB1y0brdwi2wIyzR26</t>
        </is>
      </c>
      <c r="AA868" s="1" t="inlineStr">
        <is>
          <t>Unverified</t>
        </is>
      </c>
      <c r="AB868" s="1" t="n"/>
      <c r="AC868" s="1" t="n"/>
      <c r="AD868" s="10" t="n"/>
      <c r="AE868" s="1" t="n"/>
      <c r="AF868" t="inlineStr">
        <is>
          <t>No</t>
        </is>
      </c>
    </row>
    <row r="869" ht="12.5" customHeight="1">
      <c r="A869" s="6" t="n">
        <v>45181</v>
      </c>
      <c r="B869" s="1" t="inlineStr">
        <is>
          <t>ORG_1097</t>
        </is>
      </c>
      <c r="C869" s="1" t="b">
        <v>1</v>
      </c>
      <c r="D869" s="1" t="inlineStr">
        <is>
          <t>Arketiks</t>
        </is>
      </c>
      <c r="E869" s="10" t="inlineStr">
        <is>
          <t>www.arketiks.com</t>
        </is>
      </c>
      <c r="F869" t="inlineStr">
        <is>
          <t>arketiks.com</t>
        </is>
      </c>
      <c r="G869" s="1" t="inlineStr">
        <is>
          <t>Arketiks is a suite of applications dedicated to all digital and distance learning activities. The particularity of our applications and their ergonomics which makes their use very intuitive.</t>
        </is>
      </c>
      <c r="H869" s="1" t="inlineStr">
        <is>
          <t>Swiss EdTech Collider</t>
        </is>
      </c>
      <c r="I869" s="1" t="n"/>
      <c r="J869" s="1" t="inlineStr">
        <is>
          <t>Geneva</t>
        </is>
      </c>
      <c r="K869" t="inlineStr">
        <is>
          <t>Geneva</t>
        </is>
      </c>
      <c r="L869" t="inlineStr">
        <is>
          <t>Geneva, Switzerland</t>
        </is>
      </c>
      <c r="M869" t="n">
        <v>46.2017559</v>
      </c>
      <c r="N869" t="n">
        <v>6.1466014</v>
      </c>
      <c r="O869" s="1" t="inlineStr">
        <is>
          <t>Switzerland</t>
        </is>
      </c>
      <c r="P869" s="1" t="inlineStr">
        <is>
          <t>Liechtenstein, Luxembourg, Switzerland, United Kingdom</t>
        </is>
      </c>
      <c r="Q869" s="1" t="inlineStr">
        <is>
          <t>0 to 10</t>
        </is>
      </c>
      <c r="R869" t="inlineStr">
        <is>
          <t>Micro</t>
        </is>
      </c>
      <c r="S869" s="1" t="inlineStr">
        <is>
          <t>Business to Business, Business to Consumer</t>
        </is>
      </c>
      <c r="T869" s="1" t="inlineStr">
        <is>
          <t>Corporate Training, Lifelong learning/Adult education</t>
        </is>
      </c>
      <c r="U869" s="1" t="inlineStr">
        <is>
          <t>System/Administrative</t>
        </is>
      </c>
      <c r="V869" s="1" t="inlineStr">
        <is>
          <t>Vision</t>
        </is>
      </c>
      <c r="W869" s="1" t="inlineStr">
        <is>
          <t>Training area that allows you to administer and manage your virtual classes.
Vision is a SaaS application designed specifically for virtual classes. Vision is a Training Space where all your virtual classroom training is located, allowing each participant to access his or her training.
Vision has the advantage of integrating all the management of your virtual classes in a single application: an administration area, a training content area and a virtual class area.</t>
        </is>
      </c>
      <c r="X869" s="10" t="inlineStr">
        <is>
          <t>Motion</t>
        </is>
      </c>
      <c r="Y869" t="inlineStr">
        <is>
          <t>Add digital content to your videos to make them interactive.
Motion is a SaaS application that can be accessed anytime and anywhere. This application is specially designed to create attractive video e-learning.
Motion enriches your videos with questions, images, videos, etc.</t>
        </is>
      </c>
      <c r="Z869" s="1" t="inlineStr">
        <is>
          <t>https://drive.google.com/uc?export=view&amp;id=1kZZsy8C0Rbs5Bv52cDwmgrXGYb8w6N5f</t>
        </is>
      </c>
      <c r="AA869" s="1" t="inlineStr">
        <is>
          <t>Unverified</t>
        </is>
      </c>
      <c r="AB869" s="1" t="n"/>
      <c r="AC869" s="1" t="n"/>
      <c r="AD869" s="10" t="n"/>
      <c r="AE869" s="1" t="n"/>
      <c r="AF869" t="inlineStr">
        <is>
          <t>Yes</t>
        </is>
      </c>
      <c r="AG869" t="inlineStr">
        <is>
          <t>https://www.linkedin.com/company/arketiks</t>
        </is>
      </c>
      <c r="AH869" t="inlineStr">
        <is>
          <t>https://www.linkedin.com/company/arketiks</t>
        </is>
      </c>
      <c r="AI869" t="inlineStr">
        <is>
          <t>https://www.linkedin.com/company/arketiks</t>
        </is>
      </c>
    </row>
    <row r="870" ht="12.5" customHeight="1">
      <c r="A870" s="6" t="n">
        <v>45181</v>
      </c>
      <c r="B870" s="1" t="inlineStr">
        <is>
          <t>ORG_1098</t>
        </is>
      </c>
      <c r="C870" s="1" t="b">
        <v>1</v>
      </c>
      <c r="D870" s="1" t="inlineStr">
        <is>
          <t>ArtCat</t>
        </is>
      </c>
      <c r="E870" s="10" t="inlineStr">
        <is>
          <t>www.artcat.dk</t>
        </is>
      </c>
      <c r="F870" t="inlineStr">
        <is>
          <t>artcat.dk</t>
        </is>
      </c>
      <c r="G870" s="1" t="inlineStr">
        <is>
          <t>ArtCat is a new innovative company that through user involvement makes gamification and digital cultural communication in different formations. We create content that lives up to our vision about making dissemination through immersive media in order to inspire our users. Our product sheet contains podcasts, 360 degrees videos, treasure hunts, escape-rooms and much more.</t>
        </is>
      </c>
      <c r="H870" s="1" t="inlineStr">
        <is>
          <t>EdTech Denmark</t>
        </is>
      </c>
      <c r="I870" s="1" t="n"/>
      <c r="J870" s="1" t="inlineStr">
        <is>
          <t>Copenhagen</t>
        </is>
      </c>
      <c r="K870" t="inlineStr">
        <is>
          <t>Copenhagen</t>
        </is>
      </c>
      <c r="L870" t="inlineStr">
        <is>
          <t>Copenhagen, Denmark</t>
        </is>
      </c>
      <c r="M870" t="n">
        <v>55.6867243</v>
      </c>
      <c r="N870" t="n">
        <v>12.5700724</v>
      </c>
      <c r="O870" s="1" t="inlineStr">
        <is>
          <t>Denmark</t>
        </is>
      </c>
      <c r="P870" s="1" t="inlineStr">
        <is>
          <t>Denmark</t>
        </is>
      </c>
      <c r="Q870" s="1" t="inlineStr">
        <is>
          <t>0 to 10</t>
        </is>
      </c>
      <c r="R870" t="inlineStr">
        <is>
          <t>Micro</t>
        </is>
      </c>
      <c r="S870" s="1" t="inlineStr">
        <is>
          <t>Business to Business, Business to Consumer</t>
        </is>
      </c>
      <c r="T870" s="1" t="inlineStr">
        <is>
          <t>Secondary Education, Higher Education, Corporate Training, Lifelong learning/Adult education</t>
        </is>
      </c>
      <c r="U870" s="1" t="inlineStr">
        <is>
          <t>Student interfacing, Teacher interfacing, System/Administrative</t>
        </is>
      </c>
      <c r="V870" s="10" t="inlineStr">
        <is>
          <t>Auditive</t>
        </is>
      </c>
      <c r="W870" s="1" t="inlineStr">
        <is>
          <t>Dive into auditive experiences in a picturesque universe that requires your inner image gallery. We offer podcasts, songs and other sound elements.</t>
        </is>
      </c>
      <c r="X870" s="10" t="inlineStr">
        <is>
          <t>Visual</t>
        </is>
      </c>
      <c r="Y870" t="inlineStr">
        <is>
          <t>Through immersive visual experiences such as virtual reality and augmented reality, the spectator is drawn into a world that opens up both time travel, new perspectives and dimensions. At the same time, we offer classic 2D film productions that in their narrative universe manage to conceptualize and tell the story our customers have.
EX productions:
VR movie from cold war museum Stevns
https://artcat.dk/video-content
VR movie from Roskilde Cathedral:
https://youtu.be/Pfb3h4AfJOA 
Talk/film “Sex in the middleage”
https://artcat.dk/historie-laboratoriet</t>
        </is>
      </c>
      <c r="Z870" s="1" t="inlineStr">
        <is>
          <t>https://drive.google.com/uc?export=view&amp;id=1SYhVXDo9Q0dTVbd95Z0Ue9IcgOVnbSoE</t>
        </is>
      </c>
      <c r="AA870" s="1" t="inlineStr">
        <is>
          <t>Unverified</t>
        </is>
      </c>
      <c r="AB870" s="1" t="n"/>
      <c r="AC870" s="1" t="n"/>
      <c r="AD870" s="10" t="n"/>
      <c r="AE870" s="1" t="n"/>
      <c r="AF870" t="inlineStr">
        <is>
          <t>Yes</t>
        </is>
      </c>
      <c r="AG870" t="inlineStr">
        <is>
          <t>https://www.instagram.com/artcat_dk/?hl=da</t>
        </is>
      </c>
      <c r="AH870" t="inlineStr">
        <is>
          <t>https://www.linkedin.com/company/artcat-aps</t>
        </is>
      </c>
      <c r="AI870" t="inlineStr">
        <is>
          <t>https://www.linkedin.com/company/artcat-aps</t>
        </is>
      </c>
    </row>
    <row r="871" ht="12.5" customHeight="1">
      <c r="A871" s="6" t="n">
        <v>45181</v>
      </c>
      <c r="B871" s="1" t="inlineStr">
        <is>
          <t>ORG_1107</t>
        </is>
      </c>
      <c r="C871" s="1" t="b">
        <v>1</v>
      </c>
      <c r="D871" s="1" t="inlineStr">
        <is>
          <t>Ascendia S.A.</t>
        </is>
      </c>
      <c r="E871" s="10" t="inlineStr">
        <is>
          <t>https://www.ascendia.ro/</t>
        </is>
      </c>
      <c r="F871" t="inlineStr">
        <is>
          <t>ascendia.ro</t>
        </is>
      </c>
      <c r="G871" s="1" t="inlineStr">
        <is>
          <t>Ascendia is an eLearning company founded 15 years ago and is the first eLearning company listed on the Bucharest Stock Exchange. We believe in full transparency and real impact.
We can help you with:
* How to build an eLearning course with the help of the LIVRESQ - Authoring Tool
* How exactly eLearning can benefit your company, a custom analysis
* Get to see some relevant eLearning demos, created by us
* Get the members of your HR department involved in the elearning initiative
* Development of new Learning Management Systems
Our main business lines are:
LIVRESQ - eLearning Authoring Tool - for medium and big companies, publishing houses and teachers. www.livresq.com
Coffee LMS - Learning Management System for companies. Best for helping employees stay engaged in your company. www.coffeelms.com
eJourneys - over 100 off the shelf eLearning courses for companies. Made in partnership with Trend Consult
Bespoke eLearning content for companies - develop custom digital learning modules starting from the current needs of the client.</t>
        </is>
      </c>
      <c r="H871" s="1" t="inlineStr">
        <is>
          <t>I'm not part of any EdTech association</t>
        </is>
      </c>
      <c r="I871" s="1" t="n"/>
      <c r="J871" s="1" t="inlineStr">
        <is>
          <t>Floor 4, Sector 2</t>
        </is>
      </c>
      <c r="L871" t="inlineStr">
        <is>
          <t>Floor 4, Sector 2, Romania</t>
        </is>
      </c>
      <c r="O871" s="1" t="inlineStr">
        <is>
          <t>Romania</t>
        </is>
      </c>
      <c r="P87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871" s="1" t="inlineStr">
        <is>
          <t>11 to 50</t>
        </is>
      </c>
      <c r="R871" t="inlineStr">
        <is>
          <t>Small</t>
        </is>
      </c>
      <c r="S871" s="1" t="inlineStr">
        <is>
          <t>Business to Business, Business to Consumer, Business to Government, Business to Schools</t>
        </is>
      </c>
      <c r="T871" s="1" t="inlineStr">
        <is>
          <t>Early childhood development (0-5 years), Primary Education, Secondary Education, Corporate Training, Lifelong learning/Adult education</t>
        </is>
      </c>
      <c r="U871" s="1" t="inlineStr">
        <is>
          <t>System/Administrative, Student interfacing, Teacher interfacing</t>
        </is>
      </c>
      <c r="V871" s="1" t="n"/>
      <c r="W871" s="1" t="inlineStr">
        <is>
          <t>https://drive.google.com/uc?export=view&amp;id=1R9mfV5J39CnlVSUMk3iZn0z_pKyIsK4G</t>
        </is>
      </c>
      <c r="X871" s="1" t="inlineStr">
        <is>
          <t>https://drive.google.com/uc?export=view&amp;id=1R9mfV5J39CnlVSUMk3iZn0z_pKyIsK4G</t>
        </is>
      </c>
      <c r="Y871" t="inlineStr">
        <is>
          <t>https://drive.google.com/uc?export=view&amp;id=1R9mfV5J39CnlVSUMk3iZn0z_pKyIsK4G</t>
        </is>
      </c>
      <c r="Z871" s="1" t="inlineStr">
        <is>
          <t>https://drive.google.com/uc?export=view&amp;id=1R9mfV5J39CnlVSUMk3iZn0z_pKyIsK4G</t>
        </is>
      </c>
      <c r="AA871" s="1" t="inlineStr">
        <is>
          <t>Unverified</t>
        </is>
      </c>
      <c r="AB871" s="1" t="n"/>
      <c r="AC871" s="1" t="n"/>
      <c r="AD871" s="10" t="n"/>
      <c r="AE871" s="1" t="n"/>
      <c r="AF871" t="inlineStr">
        <is>
          <t>No</t>
        </is>
      </c>
    </row>
    <row r="872" ht="12.5" customHeight="1">
      <c r="A872" s="6" t="n">
        <v>45181</v>
      </c>
      <c r="B872" s="1" t="inlineStr">
        <is>
          <t>ORG_1890</t>
        </is>
      </c>
      <c r="C872" s="1" t="b">
        <v>1</v>
      </c>
      <c r="D872" s="1" t="inlineStr">
        <is>
          <t>LMF NETWORK</t>
        </is>
      </c>
      <c r="E872" s="10" t="inlineStr">
        <is>
          <t>WWW.LMFNETWORK.COM</t>
        </is>
      </c>
      <c r="F872" t="inlineStr">
        <is>
          <t>lmfnetwork.com</t>
        </is>
      </c>
      <c r="G872" s="1" t="inlineStr">
        <is>
          <t>Like Minded Females (LMF Network) is a careers platform and social enterprise founded to build the confidence and careers of women and minority folk through mentoring, life skills workshops and community forums. We work with individuals to build their confidence, universities to ensure the talent of tomorrow has the right capabilities and organisations to enable inclusive careers. Since 2018, we have upskilled 20,000 people, a social following of 50,000 and a monthly organic reach of 100,000 impressions. www.lmfnetwork.com</t>
        </is>
      </c>
      <c r="H872" s="1" t="inlineStr">
        <is>
          <t>I'm not part of any EdTech association</t>
        </is>
      </c>
      <c r="I872" s="1" t="n"/>
      <c r="J872" s="1" t="inlineStr">
        <is>
          <t>London</t>
        </is>
      </c>
      <c r="K872" t="inlineStr">
        <is>
          <t>London</t>
        </is>
      </c>
      <c r="L872" t="inlineStr">
        <is>
          <t>London, United Kingdom</t>
        </is>
      </c>
      <c r="M872" t="n">
        <v>51.5074456</v>
      </c>
      <c r="N872" t="n">
        <v>-0.1277653</v>
      </c>
      <c r="O872" s="1" t="inlineStr">
        <is>
          <t>United Kingdom</t>
        </is>
      </c>
      <c r="P872" s="1" t="inlineStr">
        <is>
          <t>United Kingdom</t>
        </is>
      </c>
      <c r="Q872" s="1" t="inlineStr">
        <is>
          <t>0 to 10</t>
        </is>
      </c>
      <c r="R872" t="inlineStr">
        <is>
          <t>Micro</t>
        </is>
      </c>
      <c r="S872" s="1" t="inlineStr">
        <is>
          <t>Business to Business, Business to Consumer, Business to Government, Business to Schools</t>
        </is>
      </c>
      <c r="T872" s="1" t="inlineStr">
        <is>
          <t>Corporate Training, Lifelong learning/Adult education</t>
        </is>
      </c>
      <c r="U872" s="1" t="inlineStr">
        <is>
          <t>System/Administrative, Student interfacing, Teacher interfacing</t>
        </is>
      </c>
      <c r="V872" s="1" t="n"/>
      <c r="W872" s="1" t="inlineStr">
        <is>
          <t>https://drive.google.com/uc?export=view&amp;id=1XwCkNbP9z7ICAC_eIw5xZbJH099BXy__</t>
        </is>
      </c>
      <c r="X872" s="1" t="inlineStr">
        <is>
          <t>https://drive.google.com/uc?export=view&amp;id=1XwCkNbP9z7ICAC_eIw5xZbJH099BXy__</t>
        </is>
      </c>
      <c r="Y872" t="inlineStr">
        <is>
          <t>https://drive.google.com/uc?export=view&amp;id=1XwCkNbP9z7ICAC_eIw5xZbJH099BXy__</t>
        </is>
      </c>
      <c r="Z872" s="1" t="inlineStr">
        <is>
          <t>https://drive.google.com/uc?export=view&amp;id=1XwCkNbP9z7ICAC_eIw5xZbJH099BXy__</t>
        </is>
      </c>
      <c r="AA872" s="1" t="inlineStr">
        <is>
          <t>Unverified</t>
        </is>
      </c>
      <c r="AB872" s="1" t="n"/>
      <c r="AC872" s="1" t="n"/>
      <c r="AD872" s="10" t="n"/>
      <c r="AE872" s="1" t="n"/>
      <c r="AF872" t="inlineStr">
        <is>
          <t>No</t>
        </is>
      </c>
    </row>
    <row r="873" ht="12.5" customHeight="1">
      <c r="A873" s="6" t="n">
        <v>45181</v>
      </c>
      <c r="B873" s="1" t="inlineStr">
        <is>
          <t>ORG_1002</t>
        </is>
      </c>
      <c r="C873" s="1" t="b">
        <v>1</v>
      </c>
      <c r="D873" s="1" t="inlineStr">
        <is>
          <t>1,2,3 kiD</t>
        </is>
      </c>
      <c r="E873" s="10" t="inlineStr">
        <is>
          <t>www.123kid.org</t>
        </is>
      </c>
      <c r="F873" t="inlineStr">
        <is>
          <t>123kid.org</t>
        </is>
      </c>
      <c r="G873" s="1" t="inlineStr">
        <is>
          <t>1,2,3 kiD is an online platform dedicated to parents with kids between 2 and 12 year-old. We ambition to be the n°1 platform with easy-access to smart and personalised resources for parents to support their children’s well-being and learning journey.</t>
        </is>
      </c>
      <c r="H873" s="1" t="inlineStr">
        <is>
          <t>SuperCharger Ventures, Swiss EdTech Collider</t>
        </is>
      </c>
      <c r="I873" s="1" t="inlineStr">
        <is>
          <t>French</t>
        </is>
      </c>
      <c r="J873" s="1" t="inlineStr">
        <is>
          <t>Lausanne</t>
        </is>
      </c>
      <c r="K873" t="inlineStr">
        <is>
          <t>Lausanne</t>
        </is>
      </c>
      <c r="L873" t="inlineStr">
        <is>
          <t>Lausanne, Switzerland</t>
        </is>
      </c>
      <c r="M873" t="n">
        <v>46.5218269</v>
      </c>
      <c r="N873" t="n">
        <v>6.6327025</v>
      </c>
      <c r="O873" s="1" t="inlineStr">
        <is>
          <t>Switzerland</t>
        </is>
      </c>
      <c r="P873" s="1" t="inlineStr">
        <is>
          <t>Belgium, France, Luxembourg, Switzerland</t>
        </is>
      </c>
      <c r="Q873" s="1" t="inlineStr">
        <is>
          <t>0 to 2</t>
        </is>
      </c>
      <c r="R873" t="inlineStr">
        <is>
          <t>Solo entrepreneur</t>
        </is>
      </c>
      <c r="S873" s="1" t="inlineStr">
        <is>
          <t>Business to Business, Business to Consumer</t>
        </is>
      </c>
      <c r="T873" s="1" t="inlineStr">
        <is>
          <t>Early childhood development (0-5 years)</t>
        </is>
      </c>
      <c r="U873" s="1" t="inlineStr">
        <is>
          <t>System/Administrative</t>
        </is>
      </c>
      <c r="V873" s="10" t="inlineStr">
        <is>
          <t>1,2,3 kiD</t>
        </is>
      </c>
      <c r="W873" s="1" t="inlineStr">
        <is>
          <t>1,2,3 kiD is a an online media for parents with kids between 2 and 12 year-old providing access to games, print&amp;play activities, masterclasses, podcasts and articles.</t>
        </is>
      </c>
      <c r="X873" s="10" t="inlineStr">
        <is>
          <t>App-enfant</t>
        </is>
      </c>
      <c r="Y873" t="inlineStr">
        <is>
          <t>App-enfant is a dedicated platform for digital learning ressources dedicated to kids. It references the best applications and digital resources for kids</t>
        </is>
      </c>
      <c r="Z873" s="1" t="inlineStr">
        <is>
          <t>https://drive.google.com/uc?export=view&amp;id=1DJkAf2MqVdnY90t_aXGH3rz4GdM-Jivd</t>
        </is>
      </c>
      <c r="AA873" s="1" t="inlineStr">
        <is>
          <t>Unverified</t>
        </is>
      </c>
      <c r="AB873" s="1" t="n"/>
      <c r="AC873" s="1" t="n"/>
      <c r="AD873" s="10" t="n"/>
      <c r="AE873" s="1" t="n"/>
      <c r="AF873" t="inlineStr">
        <is>
          <t>Yes</t>
        </is>
      </c>
      <c r="AG873" t="inlineStr">
        <is>
          <t>https://www.instagram.com/123kid.club/</t>
        </is>
      </c>
      <c r="AH873" t="inlineStr">
        <is>
          <t>123 kiD SA</t>
        </is>
      </c>
      <c r="AI873" t="inlineStr">
        <is>
          <t>https://www.linkedin.com/company/123kid/?viewAsMember=true</t>
        </is>
      </c>
    </row>
    <row r="874" ht="12.5" customHeight="1">
      <c r="A874" s="6" t="n">
        <v>45181</v>
      </c>
      <c r="B874" s="1" t="inlineStr">
        <is>
          <t>ORG_1388</t>
        </is>
      </c>
      <c r="C874" s="1" t="b">
        <v>1</v>
      </c>
      <c r="D874" s="1" t="inlineStr">
        <is>
          <t>E-Numeracy</t>
        </is>
      </c>
      <c r="E874" s="10" t="inlineStr">
        <is>
          <t>www.e-numeracy.com</t>
        </is>
      </c>
      <c r="F874" t="inlineStr">
        <is>
          <t>e-numeracy.com</t>
        </is>
      </c>
      <c r="G874" s="1" t="inlineStr">
        <is>
          <t>We have built an online maths learning platform specifically for working age learners who believe they "can't do maths". It rebuilds the confidence they need to improve their numeracy using advanced educational techniques and AI. This 4 minute video shows how: https://youtu.be/oX8DZKVTucM.
This market represents around one third of the global population (around 50% of UK adults do not have the numeracy we expect at primary school, according to UK's National Numeracy). We have combined two areas of expertise - embedding into our software forty years of world-leading research on maths anxiety, and then individualising these principles to each learner with advanced AI and analytic techniques.
Our system operates in self-study mode or can augment classroom or tutor learning, and is sold on a subscription basis to employers, FE colleges and Social Inclusion/Adult Numeracy programmes (government and charitable, such as the UK's £560m/500,000 user Multiply adult numeracy programme). Using our product for a year costs about the same as one hour of traditional tutoring.</t>
        </is>
      </c>
      <c r="H874" s="1" t="inlineStr">
        <is>
          <t>I'm not part of any EdTech association</t>
        </is>
      </c>
      <c r="I874" s="1" t="n"/>
      <c r="J874" s="1" t="inlineStr">
        <is>
          <t>Hemel Hempstead</t>
        </is>
      </c>
      <c r="K874" t="inlineStr">
        <is>
          <t>Hemel Hempstead</t>
        </is>
      </c>
      <c r="L874" t="inlineStr">
        <is>
          <t>Hemel Hempstead, United Kingdom</t>
        </is>
      </c>
      <c r="M874" t="n">
        <v>51.7511784</v>
      </c>
      <c r="N874" t="n">
        <v>-0.472528</v>
      </c>
      <c r="O874" s="1" t="inlineStr">
        <is>
          <t>United Kingdom</t>
        </is>
      </c>
      <c r="P874" s="1" t="inlineStr">
        <is>
          <t>United Kingdom</t>
        </is>
      </c>
      <c r="Q874" s="1" t="inlineStr">
        <is>
          <t>11 to 50</t>
        </is>
      </c>
      <c r="R874" t="inlineStr">
        <is>
          <t>Small</t>
        </is>
      </c>
      <c r="S874" s="1" t="inlineStr">
        <is>
          <t>Business to Business, Business to Consumer</t>
        </is>
      </c>
      <c r="T874" s="1" t="inlineStr">
        <is>
          <t>Higher Education, Corporate Training, Lifelong learning/Adult education</t>
        </is>
      </c>
      <c r="U874" s="1" t="inlineStr">
        <is>
          <t>Teacher interfacing, System/Administrative</t>
        </is>
      </c>
      <c r="V874" s="1" t="n"/>
      <c r="W874" s="1" t="inlineStr">
        <is>
          <t>https://drive.google.com/uc?export=view&amp;id=1plqw43FIAqOA6QGvhY_2jkc6s5q7BOG5</t>
        </is>
      </c>
      <c r="X874" s="1" t="inlineStr">
        <is>
          <t>https://drive.google.com/uc?export=view&amp;id=1plqw43FIAqOA6QGvhY_2jkc6s5q7BOG5</t>
        </is>
      </c>
      <c r="Y874" t="inlineStr">
        <is>
          <t>https://drive.google.com/uc?export=view&amp;id=1plqw43FIAqOA6QGvhY_2jkc6s5q7BOG5</t>
        </is>
      </c>
      <c r="Z874" s="1" t="inlineStr">
        <is>
          <t>https://drive.google.com/uc?export=view&amp;id=1plqw43FIAqOA6QGvhY_2jkc6s5q7BOG5</t>
        </is>
      </c>
      <c r="AA874" s="1" t="inlineStr">
        <is>
          <t>Unverified</t>
        </is>
      </c>
      <c r="AB874" s="1" t="n"/>
      <c r="AC874" s="1" t="n"/>
      <c r="AD874" s="10" t="n"/>
      <c r="AE874" s="1" t="n"/>
      <c r="AF874" t="inlineStr">
        <is>
          <t>No</t>
        </is>
      </c>
    </row>
    <row r="875" ht="12.5" customHeight="1">
      <c r="A875" s="6" t="n">
        <v>45181</v>
      </c>
      <c r="B875" s="1" t="inlineStr">
        <is>
          <t>ORG_1463</t>
        </is>
      </c>
      <c r="C875" s="1" t="b">
        <v>1</v>
      </c>
      <c r="D875" s="1" t="inlineStr">
        <is>
          <t>Eduten Ltd</t>
        </is>
      </c>
      <c r="E875" s="10" t="inlineStr">
        <is>
          <t>www.eduten.com</t>
        </is>
      </c>
      <c r="F875" t="inlineStr">
        <is>
          <t>eduten.com</t>
        </is>
      </c>
      <c r="G875" s="1" t="inlineStr">
        <is>
          <t>Eduten is a gamified learning platform that brings a scientifically proven improvement to learning results, student motivation and teacher happiness. 
Eduten's main product is a mathematics practice tool for students and teachers. It's used by more than 50% of teachers in Finland, and in 65 countries worldwide. More than 1 million students currently use it. 
Eduten's vast content library has been designed and tested alongside Finnish teachers. Its adaptive AI engine helps teachers to differentiate content for each individual student.</t>
        </is>
      </c>
      <c r="H875" s="1" t="inlineStr">
        <is>
          <t>EdTech Finland</t>
        </is>
      </c>
      <c r="I875" s="1" t="n"/>
      <c r="J875" s="1" t="inlineStr">
        <is>
          <t>Turku</t>
        </is>
      </c>
      <c r="K875" t="inlineStr">
        <is>
          <t>Turku</t>
        </is>
      </c>
      <c r="L875" t="inlineStr">
        <is>
          <t>Turku, Finland</t>
        </is>
      </c>
      <c r="M875" t="n">
        <v>60.4515932</v>
      </c>
      <c r="N875" t="n">
        <v>22.2669991</v>
      </c>
      <c r="O875" s="1" t="inlineStr">
        <is>
          <t>Finland</t>
        </is>
      </c>
      <c r="P875" s="1" t="inlineStr">
        <is>
          <t>Belgium, Bosnia and Herzegovina, Bulgaria, Estonia, Finland, France, Greece, Hungary, Italy, Latvia, Lithuania, Netherlands, Poland, Portugal, Spain, Sweden, Ukraine</t>
        </is>
      </c>
      <c r="Q875" s="1" t="inlineStr">
        <is>
          <t>0 to 10</t>
        </is>
      </c>
      <c r="R875" t="inlineStr">
        <is>
          <t>Micro</t>
        </is>
      </c>
      <c r="S875" s="1" t="inlineStr">
        <is>
          <t>Business to Business, Business to Consumer, Business to Government, Business to Schools</t>
        </is>
      </c>
      <c r="T875" s="1" t="inlineStr">
        <is>
          <t>Primary Education, Secondary Education</t>
        </is>
      </c>
      <c r="U875" s="1" t="inlineStr">
        <is>
          <t>Teacher interfacing, System/Administrative</t>
        </is>
      </c>
      <c r="V875" s="10" t="inlineStr">
        <is>
          <t>Eduten</t>
        </is>
      </c>
      <c r="W875" s="10" t="inlineStr">
        <is>
          <t>Eduten is Finland’s #1 learning platform. It brings a scientifically proven improvement to learning results, student motivation and teacher happiness. It's used by teachers in Finland, and in 65 countries worldwide. 
Eduten's adaptive AI engine helps teachers to differentiate content for each individual student. No more marking for hours on end - Eduten does it all for you!
Using Eduten improves mathematics results and helps students understand the importance of mistakes as a path to improvement and discovery. It’s a fun way to learn.</t>
        </is>
      </c>
      <c r="X875" s="10" t="inlineStr">
        <is>
          <t>https://drive.google.com/uc?export=view&amp;id=1d6zckjbsYCjm4_Yk8KppZJ5ojhjWQs5G</t>
        </is>
      </c>
      <c r="Y875" t="inlineStr">
        <is>
          <t>https://drive.google.com/uc?export=view&amp;id=1d6zckjbsYCjm4_Yk8KppZJ5ojhjWQs5G</t>
        </is>
      </c>
      <c r="Z875" s="1" t="inlineStr">
        <is>
          <t>https://drive.google.com/uc?export=view&amp;id=1d6zckjbsYCjm4_Yk8KppZJ5ojhjWQs5G</t>
        </is>
      </c>
      <c r="AA875" s="1" t="inlineStr">
        <is>
          <t>Unverified</t>
        </is>
      </c>
      <c r="AB875" s="1" t="n"/>
      <c r="AC875" s="1" t="n"/>
      <c r="AD875" s="10" t="n"/>
      <c r="AE875" s="1" t="n"/>
      <c r="AF875" t="inlineStr">
        <is>
          <t>Yes</t>
        </is>
      </c>
      <c r="AG875" t="inlineStr">
        <is>
          <t>https://www.instagram.com/edutenofficial/</t>
        </is>
      </c>
      <c r="AH875" t="inlineStr">
        <is>
          <t>https://twitter.com/EdutenOfficial</t>
        </is>
      </c>
      <c r="AI875" t="inlineStr">
        <is>
          <t>https://www.linkedin.com/company/eduten</t>
        </is>
      </c>
    </row>
    <row r="876" ht="12.5" customHeight="1">
      <c r="A876" s="6" t="n">
        <v>45181</v>
      </c>
      <c r="B876" s="1" t="inlineStr">
        <is>
          <t>ORG_1545</t>
        </is>
      </c>
      <c r="C876" s="1" t="b">
        <v>1</v>
      </c>
      <c r="D876" s="1" t="inlineStr">
        <is>
          <t>EyeJustRead</t>
        </is>
      </c>
      <c r="E876" s="10" t="inlineStr">
        <is>
          <t>www.eyejustread.com</t>
        </is>
      </c>
      <c r="F876" t="inlineStr">
        <is>
          <t>eyejustread.com</t>
        </is>
      </c>
      <c r="G876" s="1" t="inlineStr">
        <is>
          <t>Data-driven reading education - Work smarter with your students. EyeJustRead is an award-winning solution use eye and voice data to quickly and easily provide feedback and insights that improve reading education.</t>
        </is>
      </c>
      <c r="H876" s="1" t="inlineStr">
        <is>
          <t>EdTech Denmark</t>
        </is>
      </c>
      <c r="I876" s="1" t="n"/>
      <c r="J876" s="1" t="inlineStr">
        <is>
          <t>Copenhagen</t>
        </is>
      </c>
      <c r="K876" t="inlineStr">
        <is>
          <t>Copenhagen</t>
        </is>
      </c>
      <c r="L876" t="inlineStr">
        <is>
          <t>Copenhagen, Denmark</t>
        </is>
      </c>
      <c r="M876" t="n">
        <v>55.6867243</v>
      </c>
      <c r="N876" t="n">
        <v>12.5700724</v>
      </c>
      <c r="O876" s="1" t="inlineStr">
        <is>
          <t>Denmark</t>
        </is>
      </c>
      <c r="P876" s="1" t="inlineStr">
        <is>
          <t>Denmark, Iceland</t>
        </is>
      </c>
      <c r="Q876" s="1" t="inlineStr">
        <is>
          <t>0 to 10</t>
        </is>
      </c>
      <c r="R876" t="inlineStr">
        <is>
          <t>Micro</t>
        </is>
      </c>
      <c r="S876" s="1" t="inlineStr">
        <is>
          <t>Business to Business, Business to Consumer, Business to Schools</t>
        </is>
      </c>
      <c r="T876" s="1" t="inlineStr">
        <is>
          <t>Primary Education, Secondary Education</t>
        </is>
      </c>
      <c r="U876" s="1" t="inlineStr">
        <is>
          <t>Teacher interfacing, Student interfacing</t>
        </is>
      </c>
      <c r="V876" s="1" t="inlineStr">
        <is>
          <t>EyeJustread</t>
        </is>
      </c>
      <c r="W876" s="1" t="inlineStr">
        <is>
          <t>EyeJustRead is a reading tool for educators that supports challenged readers through a systematic and ongoing process by unboxing what happens while a child reads.
We combine reading data from eyetracking and read-a-loud to enable educators to work smarter with reading education. The system provides tangible feedback and insights allowing for sparring on a new level across students, teachers, parents and others.
Reading educators can provide individual insights and feedback and always keeping track of each student. You can also involve all the people surrounding a struggling reader and save a lot of time on manual processes that are automated in EyeJustRead.</t>
        </is>
      </c>
      <c r="X876" s="10" t="inlineStr">
        <is>
          <t>https://drive.google.com/uc?export=view&amp;id=1PKotzgYYDwWVeWZ-FMwej9N4CrEZ3hXa</t>
        </is>
      </c>
      <c r="Y876" t="inlineStr">
        <is>
          <t>https://drive.google.com/uc?export=view&amp;id=1PKotzgYYDwWVeWZ-FMwej9N4CrEZ3hXa</t>
        </is>
      </c>
      <c r="Z876" s="1" t="inlineStr">
        <is>
          <t>https://drive.google.com/uc?export=view&amp;id=1PKotzgYYDwWVeWZ-FMwej9N4CrEZ3hXa</t>
        </is>
      </c>
      <c r="AA876" s="1" t="inlineStr">
        <is>
          <t>Unverified</t>
        </is>
      </c>
      <c r="AB876" s="1" t="n"/>
      <c r="AC876" s="1" t="n"/>
      <c r="AD876" s="10" t="n"/>
      <c r="AE876" s="1" t="n"/>
      <c r="AF876" t="inlineStr">
        <is>
          <t>Yes</t>
        </is>
      </c>
      <c r="AG876" t="inlineStr">
        <is>
          <t>https://www.linkedin.com/company/eyejustread/</t>
        </is>
      </c>
      <c r="AH876" t="inlineStr">
        <is>
          <t>https://www.linkedin.com/company/eyejustread/</t>
        </is>
      </c>
      <c r="AI876" t="inlineStr">
        <is>
          <t>https://www.linkedin.com/company/eyejustread/</t>
        </is>
      </c>
    </row>
    <row r="877" ht="12.5" customHeight="1">
      <c r="A877" s="6" t="n">
        <v>45181</v>
      </c>
      <c r="B877" s="1" t="inlineStr">
        <is>
          <t>ORG_2109</t>
        </is>
      </c>
      <c r="C877" s="1" t="b">
        <v>1</v>
      </c>
      <c r="D877" s="1" t="inlineStr">
        <is>
          <t>Play Included</t>
        </is>
      </c>
      <c r="E877" s="10" t="inlineStr">
        <is>
          <t>www.playincluded.com</t>
        </is>
      </c>
      <c r="F877" t="inlineStr">
        <is>
          <t>playincluded.com</t>
        </is>
      </c>
      <c r="G877" s="1" t="inlineStr">
        <is>
          <t>Play Included’s mission is to make sure every child has access to positive social experiences and has the chance to make friends through play. The Brick-by-Brick programme is a collaborative play concept where children build LEGO models together in a club called Brick Club. The programme is carefully designed to support young people to have meaningful social opportunities, develop friendships, a sense of belonging and to exercise collaboration, communication and problem-solving skills. Play Included act as a Learning Centre, ensuring young people achieve the best outcomes through professional training, resources, partnerships and research. Launched in March 2021, the Brick-by-Brick® programme offers meaningful social opportunities to neurodivergent children through collaborative LEGO play in Brick Clubs. The Brick-by-Brick programme celebrates and recognises neurodiversity and promotes inclusion. Children get a lot of benefit from Brick Clubs, as they can be themselves, meet children who share an interest in LEGO building, collaborate as a team and develop long-term friendships. Children start to feel less anxious in a group situation, develop many skills and start to have a sense of belonging.</t>
        </is>
      </c>
      <c r="H877" s="1" t="inlineStr">
        <is>
          <t>I'm not part of any EdTech association</t>
        </is>
      </c>
      <c r="I877" s="1" t="n"/>
      <c r="J877" s="1" t="inlineStr">
        <is>
          <t>Duxford</t>
        </is>
      </c>
      <c r="K877" t="inlineStr">
        <is>
          <t>Duxford</t>
        </is>
      </c>
      <c r="L877" t="inlineStr">
        <is>
          <t>Duxford, United Kingdom</t>
        </is>
      </c>
      <c r="M877" t="n">
        <v>52.0947808</v>
      </c>
      <c r="N877" t="n">
        <v>0.1583392</v>
      </c>
      <c r="O877" s="1" t="inlineStr">
        <is>
          <t>United Kingdom</t>
        </is>
      </c>
      <c r="P877" s="1" t="inlineStr">
        <is>
          <t>Denmark, France, Ireland, Malta, Portugal, Spain, United Kingdom</t>
        </is>
      </c>
      <c r="Q877" s="1" t="inlineStr">
        <is>
          <t>0 to 10</t>
        </is>
      </c>
      <c r="R877" t="inlineStr">
        <is>
          <t>Micro</t>
        </is>
      </c>
      <c r="S877" s="1" t="inlineStr">
        <is>
          <t>Business to Business, Business to Government</t>
        </is>
      </c>
      <c r="T877" s="1" t="inlineStr">
        <is>
          <t>Primary Education, Secondary Education, Higher Education</t>
        </is>
      </c>
      <c r="U877" s="1" t="inlineStr">
        <is>
          <t>System/Administrative, Student interfacing, Teacher interfacing</t>
        </is>
      </c>
      <c r="V877" s="1" t="n"/>
      <c r="W877" s="1" t="inlineStr">
        <is>
          <t>https://drive.google.com/uc?export=view&amp;id=1xvCpqv8CTcRUcsEqgHnaTlM2mzWPl5to</t>
        </is>
      </c>
      <c r="X877" s="1" t="inlineStr">
        <is>
          <t>https://drive.google.com/uc?export=view&amp;id=1xvCpqv8CTcRUcsEqgHnaTlM2mzWPl5to</t>
        </is>
      </c>
      <c r="Y877" t="inlineStr">
        <is>
          <t>https://drive.google.com/uc?export=view&amp;id=1xvCpqv8CTcRUcsEqgHnaTlM2mzWPl5to</t>
        </is>
      </c>
      <c r="Z877" s="1" t="inlineStr">
        <is>
          <t>https://drive.google.com/uc?export=view&amp;id=1xvCpqv8CTcRUcsEqgHnaTlM2mzWPl5to</t>
        </is>
      </c>
      <c r="AA877" s="1" t="inlineStr">
        <is>
          <t>Unverified</t>
        </is>
      </c>
      <c r="AB877" s="1" t="n"/>
      <c r="AC877" s="1" t="n"/>
      <c r="AD877" s="10" t="n"/>
      <c r="AE877" s="1" t="n"/>
      <c r="AF877" s="1" t="inlineStr">
        <is>
          <t>No</t>
        </is>
      </c>
      <c r="AG877" s="1" t="n"/>
      <c r="AH877" s="1" t="n"/>
    </row>
    <row r="878" ht="12.5" customHeight="1">
      <c r="A878" s="6" t="n">
        <v>45181</v>
      </c>
      <c r="B878" s="1" t="inlineStr">
        <is>
          <t>ORG_2152</t>
        </is>
      </c>
      <c r="C878" s="1" t="b">
        <v>1</v>
      </c>
      <c r="D878" s="1" t="inlineStr">
        <is>
          <t>Raccoon Dynamics GmbH</t>
        </is>
      </c>
      <c r="E878" s="10" t="inlineStr">
        <is>
          <t>https://www.teachis.net</t>
        </is>
      </c>
      <c r="F878" t="inlineStr">
        <is>
          <t>teachis.net</t>
        </is>
      </c>
      <c r="G878" s="1" t="inlineStr">
        <is>
          <t>Raccoon Dynamics offers services and productions in the education technology area. Our goal is to help teachers of all kind to lower the time spent on administrative task and focus on their core competence: The education of future generations.</t>
        </is>
      </c>
      <c r="H878" s="1" t="inlineStr">
        <is>
          <t>EdTech Austria</t>
        </is>
      </c>
      <c r="I878" s="1" t="n"/>
      <c r="J878" s="1" t="inlineStr">
        <is>
          <t>Linz</t>
        </is>
      </c>
      <c r="K878" t="inlineStr">
        <is>
          <t>Linz</t>
        </is>
      </c>
      <c r="L878" t="inlineStr">
        <is>
          <t>Linz, Austria</t>
        </is>
      </c>
      <c r="M878" t="n">
        <v>48.3059078</v>
      </c>
      <c r="N878" t="n">
        <v>14.286198</v>
      </c>
      <c r="O878" s="1" t="inlineStr">
        <is>
          <t>Austria</t>
        </is>
      </c>
      <c r="P878" s="1" t="inlineStr">
        <is>
          <t>Austria, Germany</t>
        </is>
      </c>
      <c r="Q878" s="1" t="inlineStr">
        <is>
          <t>0 to 10</t>
        </is>
      </c>
      <c r="R878" t="inlineStr">
        <is>
          <t>Micro</t>
        </is>
      </c>
      <c r="S878" s="1" t="inlineStr">
        <is>
          <t>Business to Business, Business to Government</t>
        </is>
      </c>
      <c r="T878" s="1" t="inlineStr">
        <is>
          <t>Primary Education, Secondary Education, Higher Education</t>
        </is>
      </c>
      <c r="U878" s="1" t="inlineStr">
        <is>
          <t>Teacher interfacing, System/Administrative</t>
        </is>
      </c>
      <c r="V878" s="10" t="inlineStr">
        <is>
          <t>TEACHIS</t>
        </is>
      </c>
      <c r="W878" s="10" t="inlineStr">
        <is>
          <t>With TEACHIS, teachers can manage their entire work such as lesson planning and class management. They can write their full annual schedule as well as the daily schedule and take notes and grades of students while teaching the lesson. All information can be used to have an up-to-date view on the level of proficiency of their students and use in scenarios like parent-teacher interviews.</t>
        </is>
      </c>
      <c r="X878" s="10" t="inlineStr">
        <is>
          <t>https://drive.google.com/uc?export=view&amp;id=1XQ9jeYSQMNWPVGfy63hYCc4mxb9PXNll</t>
        </is>
      </c>
      <c r="Y878" t="inlineStr">
        <is>
          <t>https://drive.google.com/uc?export=view&amp;id=1XQ9jeYSQMNWPVGfy63hYCc4mxb9PXNll</t>
        </is>
      </c>
      <c r="Z878" s="1" t="inlineStr">
        <is>
          <t>https://drive.google.com/uc?export=view&amp;id=1XQ9jeYSQMNWPVGfy63hYCc4mxb9PXNll</t>
        </is>
      </c>
      <c r="AA878" s="1" t="inlineStr">
        <is>
          <t>Unverified</t>
        </is>
      </c>
      <c r="AB878" s="1" t="n"/>
      <c r="AC878" s="1" t="n"/>
      <c r="AD878" s="10" t="n"/>
      <c r="AE878" s="1" t="n"/>
      <c r="AF878" s="1" t="inlineStr">
        <is>
          <t>Yes</t>
        </is>
      </c>
      <c r="AG878" s="1" t="inlineStr">
        <is>
          <t>https://www.instagram.com/teachisnet</t>
        </is>
      </c>
      <c r="AH878" s="1" t="inlineStr">
        <is>
          <t>https://twitter.com/TeachisNet</t>
        </is>
      </c>
      <c r="AI878" t="inlineStr">
        <is>
          <t>https://www.linkedin.com/company/teachis/</t>
        </is>
      </c>
    </row>
    <row r="879" ht="12.5" customHeight="1">
      <c r="A879" s="6" t="n">
        <v>45181</v>
      </c>
      <c r="B879" s="1" t="inlineStr">
        <is>
          <t>ORG_2441</t>
        </is>
      </c>
      <c r="C879" s="1" t="b">
        <v>1</v>
      </c>
      <c r="D879" s="1" t="inlineStr">
        <is>
          <t>TUTORize GmbH</t>
        </is>
      </c>
      <c r="E879" s="10" t="inlineStr">
        <is>
          <t>tutorize.com</t>
        </is>
      </c>
      <c r="F879" t="inlineStr">
        <is>
          <t>tutorize.com</t>
        </is>
      </c>
      <c r="G879" s="1" t="inlineStr">
        <is>
          <t>TUTORize is a german software development company providing a state of the art learning management, talent management and knowledge management system. The system is easy to learn, highly secure and available as SaaS and OnPremise. TUTORize also offers prefilled academies with content (e-learning and other content) from many partners in Europe.</t>
        </is>
      </c>
      <c r="H879" s="1" t="inlineStr">
        <is>
          <t>I'm not part of any EdTech association</t>
        </is>
      </c>
      <c r="I879" s="1" t="n"/>
      <c r="J879" s="1" t="inlineStr">
        <is>
          <t>Koblenz</t>
        </is>
      </c>
      <c r="K879" t="inlineStr">
        <is>
          <t>Koblenz</t>
        </is>
      </c>
      <c r="L879" t="inlineStr">
        <is>
          <t>Koblenz, Germany</t>
        </is>
      </c>
      <c r="M879" t="n">
        <v>50.3533278</v>
      </c>
      <c r="N879" t="n">
        <v>7.5943951</v>
      </c>
      <c r="O879" s="1" t="inlineStr">
        <is>
          <t>Germany</t>
        </is>
      </c>
      <c r="P879" s="1" t="inlineStr">
        <is>
          <t>Austria, Denmark, Germany, Ireland, Liechtenstein, Luxembourg, Netherlands, Norway, Sweden, Switzerland, United Kingdom</t>
        </is>
      </c>
      <c r="Q879" s="1" t="inlineStr">
        <is>
          <t>11 to 50</t>
        </is>
      </c>
      <c r="R879" t="inlineStr">
        <is>
          <t>Small</t>
        </is>
      </c>
      <c r="S879" s="1" t="inlineStr">
        <is>
          <t>Business to Business, Business to Government, Business to Schools</t>
        </is>
      </c>
      <c r="T879" s="1" t="inlineStr">
        <is>
          <t>Corporate Training, Lifelong learning/Adult education</t>
        </is>
      </c>
      <c r="U879" s="1" t="inlineStr">
        <is>
          <t>Teacher interfacing, Student interfacing, System/Administrative</t>
        </is>
      </c>
      <c r="V879" s="1" t="n"/>
      <c r="W879" s="1" t="inlineStr">
        <is>
          <t>https://drive.google.com/uc?export=view&amp;id=1blUQhduBnzJsjvccg8bLuERy2PzuYHoO</t>
        </is>
      </c>
      <c r="X879" s="1" t="inlineStr">
        <is>
          <t>https://drive.google.com/uc?export=view&amp;id=1blUQhduBnzJsjvccg8bLuERy2PzuYHoO</t>
        </is>
      </c>
      <c r="Y879" t="inlineStr">
        <is>
          <t>https://drive.google.com/uc?export=view&amp;id=1blUQhduBnzJsjvccg8bLuERy2PzuYHoO</t>
        </is>
      </c>
      <c r="Z879" s="1" t="inlineStr">
        <is>
          <t>https://drive.google.com/uc?export=view&amp;id=1blUQhduBnzJsjvccg8bLuERy2PzuYHoO</t>
        </is>
      </c>
      <c r="AA879" s="1" t="inlineStr">
        <is>
          <t>Unverified</t>
        </is>
      </c>
      <c r="AB879" s="1" t="n"/>
      <c r="AC879" s="1" t="n"/>
      <c r="AD879" s="10" t="n"/>
      <c r="AE879" s="1" t="n"/>
      <c r="AF879" s="1" t="inlineStr">
        <is>
          <t>No</t>
        </is>
      </c>
      <c r="AG879" s="1" t="n"/>
      <c r="AH879" s="1" t="n"/>
    </row>
    <row r="880" ht="12.5" customHeight="1">
      <c r="A880" s="6" t="n">
        <v>45181</v>
      </c>
      <c r="B880" s="1" t="inlineStr">
        <is>
          <t>ORG_1556</t>
        </is>
      </c>
      <c r="C880" s="1" t="b">
        <v>1</v>
      </c>
      <c r="D880" s="1" t="inlineStr">
        <is>
          <t>Featherbed Tales</t>
        </is>
      </c>
      <c r="E880" s="10" t="inlineStr">
        <is>
          <t>https://www.featherbedtales.com/</t>
        </is>
      </c>
      <c r="F880" t="inlineStr">
        <is>
          <t>featherbedtales.com</t>
        </is>
      </c>
      <c r="G880" s="1" t="inlineStr">
        <is>
          <t>Beautiful recordable digital picture books to increase engagement with books for reluctant readers and to support speech and language development along with literacy in early years development. Fun technology and easy recording process for all children. Especially supports children with lower levels of parental engagement and support in reading and families where English is a second language.</t>
        </is>
      </c>
      <c r="H880" s="1" t="inlineStr">
        <is>
          <t>I'm not part of any EdTech association</t>
        </is>
      </c>
      <c r="I880" s="1" t="n"/>
      <c r="J880" s="1" t="inlineStr">
        <is>
          <t>Kidd Road Farm Kidd Road</t>
        </is>
      </c>
      <c r="K880" t="inlineStr">
        <is>
          <t>Kidd Road Farm Kidd Road</t>
        </is>
      </c>
      <c r="L880" t="inlineStr">
        <is>
          <t>Kidd Road Farm Kidd Road, United Kingdom</t>
        </is>
      </c>
      <c r="M880" t="n">
        <v>51.3676184</v>
      </c>
      <c r="N880" t="n">
        <v>-1.9721254</v>
      </c>
      <c r="O880" s="1" t="inlineStr">
        <is>
          <t>United Kingdom</t>
        </is>
      </c>
      <c r="P880" s="1" t="inlineStr">
        <is>
          <t>United Kingdom</t>
        </is>
      </c>
      <c r="Q880" s="1" t="inlineStr">
        <is>
          <t>0 to 10</t>
        </is>
      </c>
      <c r="R880" t="inlineStr">
        <is>
          <t>Micro</t>
        </is>
      </c>
      <c r="S880" s="1" t="inlineStr">
        <is>
          <t>Business to Business</t>
        </is>
      </c>
      <c r="T880" s="1" t="inlineStr">
        <is>
          <t>Early childhood development (0-5 years), Primary Education</t>
        </is>
      </c>
      <c r="U880" s="1" t="inlineStr">
        <is>
          <t>System/Administrative, Student interfacing, Teacher interfacing</t>
        </is>
      </c>
      <c r="V880" s="1" t="n"/>
      <c r="W880" s="1" t="inlineStr">
        <is>
          <t>https://drive.google.com/uc?export=view&amp;id=1zEYMAvtlUZ9hmZN0xo8cyTHTVmvtilx6</t>
        </is>
      </c>
      <c r="X880" s="1" t="inlineStr">
        <is>
          <t>https://drive.google.com/uc?export=view&amp;id=1zEYMAvtlUZ9hmZN0xo8cyTHTVmvtilx6</t>
        </is>
      </c>
      <c r="Y880" t="inlineStr">
        <is>
          <t>https://drive.google.com/uc?export=view&amp;id=1zEYMAvtlUZ9hmZN0xo8cyTHTVmvtilx6</t>
        </is>
      </c>
      <c r="Z880" s="1" t="inlineStr">
        <is>
          <t>https://drive.google.com/uc?export=view&amp;id=1zEYMAvtlUZ9hmZN0xo8cyTHTVmvtilx6</t>
        </is>
      </c>
      <c r="AA880" s="1" t="inlineStr">
        <is>
          <t>Unverified</t>
        </is>
      </c>
      <c r="AB880" s="1" t="n"/>
      <c r="AC880" s="1" t="n"/>
      <c r="AD880" s="10" t="n"/>
      <c r="AE880" s="1" t="n"/>
      <c r="AF880" s="1" t="inlineStr">
        <is>
          <t>No</t>
        </is>
      </c>
      <c r="AG880" s="1" t="n"/>
      <c r="AH880" s="1" t="n"/>
    </row>
    <row r="881" ht="12.5" customHeight="1">
      <c r="A881" s="6" t="n">
        <v>45181</v>
      </c>
      <c r="B881" s="1" t="inlineStr">
        <is>
          <t>ORG_1599</t>
        </is>
      </c>
      <c r="C881" s="1" t="b">
        <v>1</v>
      </c>
      <c r="D881" s="1" t="inlineStr">
        <is>
          <t>Future Instruments SA</t>
        </is>
      </c>
      <c r="E881" s="10" t="inlineStr">
        <is>
          <t>www.kinaps.co</t>
        </is>
      </c>
      <c r="F881" t="inlineStr">
        <is>
          <t>kinaps.co</t>
        </is>
      </c>
      <c r="G881" s="1" t="inlineStr">
        <is>
          <t>New generation of learners
Make a move towards collaborative learning.
Kinaps is a revolutionary technology to enhance the education process through sharing and collaboration. With Kinaps, traditional lessons are turned into highly interactive sessions, boosting students engagement, motivation and productivity. Educational content can be exchanged between teacher and students more simply and intuitively than ever before.
Create greater learning experience and enrich lessons with a wide variety of contents from online or offline sources. Learning can also extend beyond classrooms. With Kinaps, time and distance are not a barrier for creating knowledge.</t>
        </is>
      </c>
      <c r="H881" s="1" t="inlineStr">
        <is>
          <t>Swiss EdTech Collider</t>
        </is>
      </c>
      <c r="I881" s="1" t="n"/>
      <c r="J881" s="1" t="inlineStr">
        <is>
          <t>Lausanne</t>
        </is>
      </c>
      <c r="K881" t="inlineStr">
        <is>
          <t>Lausanne</t>
        </is>
      </c>
      <c r="L881" t="inlineStr">
        <is>
          <t>Lausanne, Switzerland</t>
        </is>
      </c>
      <c r="M881" t="n">
        <v>46.5218269</v>
      </c>
      <c r="N881" t="n">
        <v>6.6327025</v>
      </c>
      <c r="O881" s="1" t="inlineStr">
        <is>
          <t>Switzerland</t>
        </is>
      </c>
      <c r="P881" s="1" t="inlineStr">
        <is>
          <t>Switzerland</t>
        </is>
      </c>
      <c r="Q881" s="1" t="inlineStr">
        <is>
          <t>0 to 10</t>
        </is>
      </c>
      <c r="R881" t="inlineStr">
        <is>
          <t>Micro</t>
        </is>
      </c>
      <c r="S881" s="1" t="inlineStr">
        <is>
          <t>Business to Business, Business to Consumer</t>
        </is>
      </c>
      <c r="T881" s="1" t="inlineStr">
        <is>
          <t>Primary Education, Secondary Education, Higher Education, Corporate Training, Lifelong learning/Adult education</t>
        </is>
      </c>
      <c r="U881" s="1" t="inlineStr">
        <is>
          <t>Teacher interfacing, Student interfacing, System/Administrative</t>
        </is>
      </c>
      <c r="V881" s="1" t="inlineStr">
        <is>
          <t>Kinaps</t>
        </is>
      </c>
      <c r="W881" s="1" t="inlineStr">
        <is>
          <t>New generation of learners
Make a move towards collaborative learning.
Kinaps is a revolutionary technology to enhance the education process through sharing and collaboration. With Kinaps, traditional lessons are turned into highly interactive sessions, boosting students engagement, motivation and productivity. Educational content can be exchanged between teacher and students more simply and intuitively than ever before.
Create greater learning experience and enrich lessons with a wide variety of contents from online or offline sources. Learning can also extend beyond classrooms. With Kinaps, time and distance are not a barrier for creating knowledge.</t>
        </is>
      </c>
      <c r="X881" s="1" t="inlineStr">
        <is>
          <t>https://drive.google.com/uc?export=view&amp;id=1pVoRLjGa2FgSvVPo8zsQ0RmkejF8utfi</t>
        </is>
      </c>
      <c r="Y881" t="inlineStr">
        <is>
          <t>https://drive.google.com/uc?export=view&amp;id=1pVoRLjGa2FgSvVPo8zsQ0RmkejF8utfi</t>
        </is>
      </c>
      <c r="Z881" s="1" t="inlineStr">
        <is>
          <t>https://drive.google.com/uc?export=view&amp;id=1pVoRLjGa2FgSvVPo8zsQ0RmkejF8utfi</t>
        </is>
      </c>
      <c r="AA881" s="1" t="inlineStr">
        <is>
          <t>Unverified</t>
        </is>
      </c>
      <c r="AB881" s="1" t="n"/>
      <c r="AC881" s="1" t="n"/>
      <c r="AD881" s="10" t="n"/>
      <c r="AE881" s="1" t="n"/>
      <c r="AF881" s="1" t="inlineStr">
        <is>
          <t>No</t>
        </is>
      </c>
      <c r="AG881" s="1" t="n"/>
      <c r="AH881" s="1" t="n"/>
    </row>
    <row r="882" ht="12.5" customHeight="1">
      <c r="A882" s="6" t="n">
        <v>45181</v>
      </c>
      <c r="B882" s="1" t="inlineStr">
        <is>
          <t>ORG_1612</t>
        </is>
      </c>
      <c r="C882" s="1" t="b">
        <v>1</v>
      </c>
      <c r="D882" s="1" t="inlineStr">
        <is>
          <t>Geego Kids</t>
        </is>
      </c>
      <c r="E882" s="10" t="inlineStr">
        <is>
          <t>https://www.geegokids.com/</t>
        </is>
      </c>
      <c r="F882" t="inlineStr">
        <is>
          <t>geegokids.com</t>
        </is>
      </c>
      <c r="G882" s="1" t="inlineStr">
        <is>
          <t>Our vision is to be an international learning platform for children's physical activity skills and a concept in a world where the presence and example of adults play an essential role in building a physical lifestyle.
We want every child to feel that they rock!
We put educators and parents in the centre of getting children moving and offer a holistic approach to getting children active. 
Through learning physical skills, we instil in children a lifelong active lifestyle and a healthy lifestyle.
We increase the number of users and the take-up rate of municipal sports infrastructures.
Geego Kids is a Finnish startup founded in 2020. Geego is a pioneer in family activities and has the most innovative and passionate team on the market!</t>
        </is>
      </c>
      <c r="H882" s="1" t="inlineStr">
        <is>
          <t>I'm not part of any EdTech association</t>
        </is>
      </c>
      <c r="I882" s="1" t="n"/>
      <c r="J882" s="1" t="inlineStr">
        <is>
          <t>Hämeenlinna</t>
        </is>
      </c>
      <c r="K882" t="inlineStr">
        <is>
          <t>Hämeenlinna</t>
        </is>
      </c>
      <c r="L882" t="inlineStr">
        <is>
          <t>Hämeenlinna, Finland</t>
        </is>
      </c>
      <c r="M882" t="n">
        <v>60.9966192</v>
      </c>
      <c r="N882" t="n">
        <v>24.465141</v>
      </c>
      <c r="O882" s="1" t="inlineStr">
        <is>
          <t>Finland</t>
        </is>
      </c>
      <c r="P882" s="1" t="inlineStr">
        <is>
          <t>Finland, Sweden</t>
        </is>
      </c>
      <c r="Q882" s="1" t="inlineStr">
        <is>
          <t>0 to 10</t>
        </is>
      </c>
      <c r="R882" t="inlineStr">
        <is>
          <t>Micro</t>
        </is>
      </c>
      <c r="S882" s="1" t="inlineStr">
        <is>
          <t>Business to Business, Business to Consumer, Business to Government, Business to Schools</t>
        </is>
      </c>
      <c r="T882" s="1" t="inlineStr">
        <is>
          <t>Early childhood development (0-5 years), Primary Education</t>
        </is>
      </c>
      <c r="U882" s="1" t="inlineStr">
        <is>
          <t>System/Administrative, Student interfacing, Teacher interfacing</t>
        </is>
      </c>
      <c r="V882" s="10" t="inlineStr">
        <is>
          <t>Geego App</t>
        </is>
      </c>
      <c r="W882" s="1" t="inlineStr">
        <is>
          <t>The app, developed by Geego, allows schools and families to carry out a variety of physical and motor challenges both indoors and outdoors. The app also includes different city challenges that inspire the students and families to explore familiar and unfamiliar routes and complete various physical challenges.</t>
        </is>
      </c>
      <c r="X882" s="10" t="inlineStr">
        <is>
          <t>https://drive.google.com/uc?export=view&amp;id=10a7G3anFZyajIBzXXrue2N8w3uPiZ-n_</t>
        </is>
      </c>
      <c r="Y882" t="inlineStr">
        <is>
          <t>https://drive.google.com/uc?export=view&amp;id=10a7G3anFZyajIBzXXrue2N8w3uPiZ-n_</t>
        </is>
      </c>
      <c r="Z882" s="1" t="inlineStr">
        <is>
          <t>https://drive.google.com/uc?export=view&amp;id=10a7G3anFZyajIBzXXrue2N8w3uPiZ-n_</t>
        </is>
      </c>
      <c r="AA882" s="1" t="inlineStr">
        <is>
          <t>Unverified</t>
        </is>
      </c>
      <c r="AB882" s="1" t="n"/>
      <c r="AC882" s="1" t="n"/>
      <c r="AD882" s="10" t="n"/>
      <c r="AE882" s="1" t="n"/>
      <c r="AF882" t="inlineStr">
        <is>
          <t>Yes</t>
        </is>
      </c>
      <c r="AG882" t="inlineStr">
        <is>
          <t>www.instagram.com/geegokids</t>
        </is>
      </c>
      <c r="AH882" t="inlineStr">
        <is>
          <t>https://www.linkedin.com/company/geegokids</t>
        </is>
      </c>
      <c r="AI882" t="inlineStr">
        <is>
          <t>https://www.linkedin.com/company/geegokids</t>
        </is>
      </c>
    </row>
    <row r="883" ht="12.5" customHeight="1">
      <c r="A883" s="6" t="n">
        <v>45181</v>
      </c>
      <c r="B883" s="1" t="inlineStr">
        <is>
          <t>ORG_1674</t>
        </is>
      </c>
      <c r="C883" s="1" t="b">
        <v>1</v>
      </c>
      <c r="D883" s="1" t="inlineStr">
        <is>
          <t>Hexlet</t>
        </is>
      </c>
      <c r="E883" s="10" t="inlineStr">
        <is>
          <t>https://hexlet.io/</t>
        </is>
      </c>
      <c r="F883" t="inlineStr">
        <is>
          <t>hexlet.io</t>
        </is>
      </c>
      <c r="G883" s="1" t="inlineStr">
        <is>
          <t>Online programming school. Practice with our full-fledged code playgrounds inside your browser, complete learn-by-doing projects, have personalized feedback from our mentors.
Hexlet is made and developed by actual software engineers. We teach what we know and what we are proficient at. And programming is our the only focus.</t>
        </is>
      </c>
      <c r="H883" s="1" t="inlineStr">
        <is>
          <t>I'm not part of any EdTech association</t>
        </is>
      </c>
      <c r="I883" s="1" t="n"/>
      <c r="J883" s="1" t="inlineStr">
        <is>
          <t>Helsinki</t>
        </is>
      </c>
      <c r="K883" t="inlineStr">
        <is>
          <t>Helsinki</t>
        </is>
      </c>
      <c r="L883" t="inlineStr">
        <is>
          <t>Helsinki, Finland</t>
        </is>
      </c>
      <c r="M883" t="n">
        <v>60.1666204</v>
      </c>
      <c r="N883" t="n">
        <v>24.9435408</v>
      </c>
      <c r="O883" s="1" t="inlineStr">
        <is>
          <t>Finland</t>
        </is>
      </c>
      <c r="P883" s="1" t="inlineStr">
        <is>
          <t>Andorra, Armenia, Austria, Azerbaijan, Belarus, Belgium, Bulgaria, Croatia, Cyprus, Czechia, Denmark, Estonia, Finland, France, Georgia, Germany, Greece, Hungary, Iceland, Ireland, Italy, Kazakhstan, Latvia, Liechtenstein, Lithuania, Luxembourg, Malta, Moldova, Monaco, Montenegro, Netherlands, Norway, Poland, Portugal, Romania, Russia, San Marino, Serbia, Slovakia, Slovenia, Spain, Sweden, Switzerland, Turkey, Ukraine, United Kingdom</t>
        </is>
      </c>
      <c r="Q883" s="1" t="inlineStr">
        <is>
          <t>11 to 50</t>
        </is>
      </c>
      <c r="R883" t="inlineStr">
        <is>
          <t>Small</t>
        </is>
      </c>
      <c r="S883" s="1" t="inlineStr">
        <is>
          <t>Business to Business, Business to Consumer, Business to Schools</t>
        </is>
      </c>
      <c r="T883" s="1" t="inlineStr">
        <is>
          <t>Higher Education, Corporate Training</t>
        </is>
      </c>
      <c r="U883" s="1" t="inlineStr">
        <is>
          <t>Student interfacing, System/Administrative</t>
        </is>
      </c>
      <c r="V883" s="1" t="n"/>
      <c r="W883" s="1" t="inlineStr">
        <is>
          <t>https://drive.google.com/uc?export=view&amp;id=1-V4ILeRgAqq75BrZ7oolnHbCgFdHALWi</t>
        </is>
      </c>
      <c r="X883" s="1" t="inlineStr">
        <is>
          <t>https://drive.google.com/uc?export=view&amp;id=1-V4ILeRgAqq75BrZ7oolnHbCgFdHALWi</t>
        </is>
      </c>
      <c r="Y883" t="inlineStr">
        <is>
          <t>https://drive.google.com/uc?export=view&amp;id=1-V4ILeRgAqq75BrZ7oolnHbCgFdHALWi</t>
        </is>
      </c>
      <c r="Z883" s="1" t="inlineStr">
        <is>
          <t>https://drive.google.com/uc?export=view&amp;id=1-V4ILeRgAqq75BrZ7oolnHbCgFdHALWi</t>
        </is>
      </c>
      <c r="AA883" s="1" t="inlineStr">
        <is>
          <t>Unverified</t>
        </is>
      </c>
      <c r="AB883" s="1" t="n"/>
      <c r="AC883" s="1" t="n"/>
      <c r="AD883" s="10" t="n"/>
      <c r="AE883" s="1" t="n"/>
      <c r="AF883" t="inlineStr">
        <is>
          <t>No</t>
        </is>
      </c>
    </row>
    <row r="884" ht="12.5" customHeight="1">
      <c r="A884" s="6" t="n">
        <v>45181</v>
      </c>
      <c r="B884" s="1" t="inlineStr">
        <is>
          <t>ORG_1919</t>
        </is>
      </c>
      <c r="C884" s="1" t="b">
        <v>1</v>
      </c>
      <c r="D884" s="1" t="inlineStr">
        <is>
          <t>MarqLab</t>
        </is>
      </c>
      <c r="E884" s="10" t="inlineStr">
        <is>
          <t>marq.cc</t>
        </is>
      </c>
      <c r="F884" t="inlineStr">
        <is>
          <t>marq.cc</t>
        </is>
      </c>
      <c r="G884" s="1" t="inlineStr">
        <is>
          <t>MarqLab is a mobile app that helps users with keeping their motivation by engaging lessons with virtual assistant. Microlearning chat-based approach allows users to learn on the go and and remember material better. The lessons are provided in the form of a story, where users chat with the character - robot Marq and discuss true to life situations and learn grammar and vocabulary in context and friendly, relaxed atmosphere.</t>
        </is>
      </c>
      <c r="H884" s="1" t="inlineStr">
        <is>
          <t>I'm not part of any EdTech association</t>
        </is>
      </c>
      <c r="I884" s="1" t="n"/>
      <c r="J884" s="1" t="inlineStr">
        <is>
          <t>Tallin</t>
        </is>
      </c>
      <c r="K884" t="inlineStr">
        <is>
          <t>Tallin</t>
        </is>
      </c>
      <c r="L884" t="inlineStr">
        <is>
          <t>Tallin, Estonia</t>
        </is>
      </c>
      <c r="M884" t="n">
        <v>59.437242</v>
      </c>
      <c r="N884" t="n">
        <v>24.7572693</v>
      </c>
      <c r="O884" s="1" t="inlineStr">
        <is>
          <t>Estonia</t>
        </is>
      </c>
      <c r="P884" s="1" t="inlineStr">
        <is>
          <t>Armenia, Belarus, Cyprus, Germany, Kazakhstan, Latvia, Lithuania, Poland, Turkey, Ukraine</t>
        </is>
      </c>
      <c r="Q884" s="1" t="inlineStr">
        <is>
          <t>0 to 10</t>
        </is>
      </c>
      <c r="R884" t="inlineStr">
        <is>
          <t>Micro</t>
        </is>
      </c>
      <c r="S884" s="1" t="inlineStr">
        <is>
          <t>Business to Business, Business to Consumer, Business to Schools</t>
        </is>
      </c>
      <c r="T884" s="1" t="inlineStr">
        <is>
          <t>Lifelong learning/Adult education</t>
        </is>
      </c>
      <c r="U884" s="1" t="inlineStr">
        <is>
          <t>System/Administrative, Student interfacing</t>
        </is>
      </c>
      <c r="V884" s="1" t="n"/>
      <c r="W884" s="1" t="inlineStr">
        <is>
          <t>https://drive.google.com/uc?export=view&amp;id=1KiNv57Pzvt2mH1_2GmN9zMz5Y1OSdHNT</t>
        </is>
      </c>
      <c r="X884" s="1" t="inlineStr">
        <is>
          <t>https://drive.google.com/uc?export=view&amp;id=1KiNv57Pzvt2mH1_2GmN9zMz5Y1OSdHNT</t>
        </is>
      </c>
      <c r="Y884" t="inlineStr">
        <is>
          <t>https://drive.google.com/uc?export=view&amp;id=1KiNv57Pzvt2mH1_2GmN9zMz5Y1OSdHNT</t>
        </is>
      </c>
      <c r="Z884" s="1" t="inlineStr">
        <is>
          <t>https://drive.google.com/uc?export=view&amp;id=1KiNv57Pzvt2mH1_2GmN9zMz5Y1OSdHNT</t>
        </is>
      </c>
      <c r="AA884" s="1" t="inlineStr">
        <is>
          <t>Unverified</t>
        </is>
      </c>
      <c r="AB884" s="1" t="n"/>
      <c r="AC884" s="1" t="n"/>
      <c r="AD884" s="10" t="n"/>
      <c r="AE884" s="1" t="n"/>
      <c r="AF884" t="inlineStr">
        <is>
          <t>No</t>
        </is>
      </c>
    </row>
    <row r="885" ht="12.5" customHeight="1">
      <c r="A885" s="6" t="n">
        <v>45181</v>
      </c>
      <c r="B885" s="1" t="inlineStr">
        <is>
          <t>ORG_2088</t>
        </is>
      </c>
      <c r="C885" s="1" t="b">
        <v>1</v>
      </c>
      <c r="D885" s="1" t="inlineStr">
        <is>
          <t>Parents Booking</t>
        </is>
      </c>
      <c r="E885" s="10" t="inlineStr">
        <is>
          <t>https://parents-booking.com</t>
        </is>
      </c>
      <c r="F885" t="inlineStr">
        <is>
          <t>parents-booking.com</t>
        </is>
      </c>
      <c r="G885" s="1" t="inlineStr">
        <is>
          <t>Thousands of schools around the world trust Parents Booking to help with their in-person and video parent-teacher meetings. Online booking, integrated video meetings, event booking and club sign-ups.</t>
        </is>
      </c>
      <c r="H885" s="1" t="inlineStr">
        <is>
          <t>I'm not part of any EdTech association</t>
        </is>
      </c>
      <c r="I885" s="1" t="n"/>
      <c r="J885" s="1" t="inlineStr">
        <is>
          <t>Kilmuir, North Kessock, Inverness</t>
        </is>
      </c>
      <c r="K885" t="inlineStr">
        <is>
          <t>Inverness</t>
        </is>
      </c>
      <c r="L885" t="inlineStr">
        <is>
          <t>Inverness, United Kingdom</t>
        </is>
      </c>
      <c r="M885" t="n">
        <v>57.4790124</v>
      </c>
      <c r="N885" t="n">
        <v>-4.225739</v>
      </c>
      <c r="O885" s="1" t="inlineStr">
        <is>
          <t>United Kingdom</t>
        </is>
      </c>
      <c r="P885" s="1" t="inlineStr">
        <is>
          <t>France, Germany, Ireland, Italy, Slovakia, Slovenia, Spain, Switzerland, Ukraine, United Kingdom</t>
        </is>
      </c>
      <c r="Q885" s="1" t="inlineStr">
        <is>
          <t>0 to 10</t>
        </is>
      </c>
      <c r="R885" t="inlineStr">
        <is>
          <t>Micro</t>
        </is>
      </c>
      <c r="S885" s="1" t="inlineStr">
        <is>
          <t>Business to Business, Business to Consumer, Business to Schools</t>
        </is>
      </c>
      <c r="T885" s="1" t="inlineStr">
        <is>
          <t>Primary Education, Secondary Education</t>
        </is>
      </c>
      <c r="U885" s="1" t="inlineStr">
        <is>
          <t>System/Administrative, Teacher interfacing</t>
        </is>
      </c>
      <c r="V885" s="1" t="n"/>
      <c r="W885" s="1" t="inlineStr">
        <is>
          <t>https://drive.google.com/uc?export=view&amp;id=10wv-IP1pHe1YJolykJaJwqcCVlRFiCK-</t>
        </is>
      </c>
      <c r="X885" s="1" t="inlineStr">
        <is>
          <t>https://drive.google.com/uc?export=view&amp;id=10wv-IP1pHe1YJolykJaJwqcCVlRFiCK-</t>
        </is>
      </c>
      <c r="Y885" t="inlineStr">
        <is>
          <t>https://drive.google.com/uc?export=view&amp;id=10wv-IP1pHe1YJolykJaJwqcCVlRFiCK-</t>
        </is>
      </c>
      <c r="Z885" s="1" t="inlineStr">
        <is>
          <t>https://drive.google.com/uc?export=view&amp;id=10wv-IP1pHe1YJolykJaJwqcCVlRFiCK-</t>
        </is>
      </c>
      <c r="AA885" s="1" t="inlineStr">
        <is>
          <t>Unverified</t>
        </is>
      </c>
      <c r="AB885" s="1" t="n"/>
      <c r="AC885" s="1" t="n"/>
      <c r="AD885" s="10" t="n"/>
      <c r="AE885" s="1" t="n"/>
      <c r="AF885" t="inlineStr">
        <is>
          <t>No</t>
        </is>
      </c>
    </row>
    <row r="886" ht="12.5" customHeight="1">
      <c r="A886" s="6" t="n">
        <v>45181</v>
      </c>
      <c r="B886" s="1" t="inlineStr">
        <is>
          <t>ORG_2222</t>
        </is>
      </c>
      <c r="C886" s="1" t="b">
        <v>1</v>
      </c>
      <c r="D886" s="1" t="inlineStr">
        <is>
          <t>scoyo</t>
        </is>
      </c>
      <c r="E886" s="10" t="inlineStr">
        <is>
          <t>www.scoyo.de</t>
        </is>
      </c>
      <c r="F886" t="inlineStr">
        <is>
          <t>scoyo.de</t>
        </is>
      </c>
      <c r="G886" s="1" t="inlineStr">
        <is>
          <t>scoyo is Germany's prime online learning platform for kids in primary school.</t>
        </is>
      </c>
      <c r="H886" s="1" t="inlineStr">
        <is>
          <t>I'm not part of any EdTech association</t>
        </is>
      </c>
      <c r="I886" s="1" t="n"/>
      <c r="J886" s="1" t="inlineStr">
        <is>
          <t>Hamburg</t>
        </is>
      </c>
      <c r="K886" t="inlineStr">
        <is>
          <t>Hamburg</t>
        </is>
      </c>
      <c r="L886" t="inlineStr">
        <is>
          <t>Hamburg, Germany</t>
        </is>
      </c>
      <c r="M886" t="n">
        <v>53.5501721</v>
      </c>
      <c r="N886" t="n">
        <v>10.0013165</v>
      </c>
      <c r="O886" s="1" t="inlineStr">
        <is>
          <t>Germany</t>
        </is>
      </c>
      <c r="P886" s="1" t="inlineStr">
        <is>
          <t>Austria, Germany, Switzerland</t>
        </is>
      </c>
      <c r="Q886" s="1" t="inlineStr">
        <is>
          <t>51 to 100</t>
        </is>
      </c>
      <c r="R886" t="inlineStr">
        <is>
          <t>Medium</t>
        </is>
      </c>
      <c r="S886" s="1" t="inlineStr">
        <is>
          <t>Business to Business, Business to Government, Business to Schools</t>
        </is>
      </c>
      <c r="T886" s="1" t="inlineStr">
        <is>
          <t>Primary Education</t>
        </is>
      </c>
      <c r="U886" s="1" t="inlineStr">
        <is>
          <t>System/Administrative, Student interfacing, Teacher interfacing</t>
        </is>
      </c>
      <c r="V886" s="1" t="n"/>
      <c r="W886" s="1" t="inlineStr">
        <is>
          <t>https://drive.google.com/uc?export=view&amp;id=13jx19BsdFrrq2yoe0ElNnWX2wr_J_XNT</t>
        </is>
      </c>
      <c r="X886" s="1" t="inlineStr">
        <is>
          <t>https://drive.google.com/uc?export=view&amp;id=13jx19BsdFrrq2yoe0ElNnWX2wr_J_XNT</t>
        </is>
      </c>
      <c r="Y886" t="inlineStr">
        <is>
          <t>https://drive.google.com/uc?export=view&amp;id=13jx19BsdFrrq2yoe0ElNnWX2wr_J_XNT</t>
        </is>
      </c>
      <c r="Z886" s="1" t="inlineStr">
        <is>
          <t>https://drive.google.com/uc?export=view&amp;id=13jx19BsdFrrq2yoe0ElNnWX2wr_J_XNT</t>
        </is>
      </c>
      <c r="AA886" s="1" t="inlineStr">
        <is>
          <t>Unverified</t>
        </is>
      </c>
      <c r="AB886" s="1" t="n"/>
      <c r="AC886" s="1" t="n"/>
      <c r="AD886" s="10" t="n"/>
      <c r="AE886" s="1" t="n"/>
      <c r="AF886" t="inlineStr">
        <is>
          <t>No</t>
        </is>
      </c>
    </row>
    <row r="887" ht="12.5" customHeight="1">
      <c r="A887" s="6" t="n">
        <v>45181</v>
      </c>
      <c r="B887" s="1" t="inlineStr">
        <is>
          <t>ORG_2296</t>
        </is>
      </c>
      <c r="C887" s="1" t="b">
        <v>1</v>
      </c>
      <c r="D887" s="1" t="inlineStr">
        <is>
          <t>SoundLily AB</t>
        </is>
      </c>
      <c r="E887" s="10" t="inlineStr">
        <is>
          <t>https://soundlily.com</t>
        </is>
      </c>
      <c r="F887" t="inlineStr">
        <is>
          <t>soundlily.com</t>
        </is>
      </c>
      <c r="G887" s="1" t="inlineStr">
        <is>
          <t>SoundLily AB has developed the software SoundLily which greatly facilitates for individuals of how to play a musical instrument.
Within the SoundLily platform the user is given the possibility to play with beautiful backing tracks including instant support in sheet music that follows the music being played.
SoundLily functions as an intelligent feedback loop for practicing the motor skills that generates music.
SoundLily is providing the possibility for the user to vary the pace of the music. It is highly valuable to be able to practice in a calm pace as a beginner, in order to be able to play in a faster pace when the skills for this have been acquired.</t>
        </is>
      </c>
      <c r="H887" s="1" t="inlineStr">
        <is>
          <t>I'm not part of any EdTech association</t>
        </is>
      </c>
      <c r="J887" s="1" t="inlineStr">
        <is>
          <t>Jönköping</t>
        </is>
      </c>
      <c r="K887" t="inlineStr">
        <is>
          <t>Jönköping</t>
        </is>
      </c>
      <c r="L887" t="inlineStr">
        <is>
          <t>Jönköping, Sweden</t>
        </is>
      </c>
      <c r="M887" t="n">
        <v>57.7825634</v>
      </c>
      <c r="N887" t="n">
        <v>14.165719</v>
      </c>
      <c r="O887" s="1" t="inlineStr">
        <is>
          <t>Sweden</t>
        </is>
      </c>
      <c r="P887" s="1" t="inlineStr">
        <is>
          <t>Austria, Belgium, Denmark, Finland, France, Germany, Ireland, Italy, Luxembourg, Netherlands, Norway, Spain, Sweden, Switzerland, United Kingdom</t>
        </is>
      </c>
      <c r="Q887" s="1" t="inlineStr">
        <is>
          <t>0 to 10</t>
        </is>
      </c>
      <c r="R887" t="inlineStr">
        <is>
          <t>Micro</t>
        </is>
      </c>
      <c r="S887" s="1" t="inlineStr">
        <is>
          <t>Business to Business, Business to Government, Business to Schools</t>
        </is>
      </c>
      <c r="T887" s="1" t="inlineStr">
        <is>
          <t>Primary Education, Secondary Education, Lifelong learning/Adult education</t>
        </is>
      </c>
      <c r="U887" s="1" t="inlineStr">
        <is>
          <t>System/Administrative, Student interfacing, Teacher interfacing</t>
        </is>
      </c>
      <c r="V887" s="1" t="n"/>
      <c r="W887" s="1" t="inlineStr">
        <is>
          <t>https://drive.google.com/uc?export=view&amp;id=1tJgPfnI5GoghyByY9Mmkfktih631dFiq</t>
        </is>
      </c>
      <c r="X887" s="1" t="inlineStr">
        <is>
          <t>https://drive.google.com/uc?export=view&amp;id=1tJgPfnI5GoghyByY9Mmkfktih631dFiq</t>
        </is>
      </c>
      <c r="Y887" t="inlineStr">
        <is>
          <t>https://drive.google.com/uc?export=view&amp;id=1tJgPfnI5GoghyByY9Mmkfktih631dFiq</t>
        </is>
      </c>
      <c r="Z887" s="1" t="inlineStr">
        <is>
          <t>https://drive.google.com/uc?export=view&amp;id=1tJgPfnI5GoghyByY9Mmkfktih631dFiq</t>
        </is>
      </c>
      <c r="AA887" s="1" t="inlineStr">
        <is>
          <t>Unverified</t>
        </is>
      </c>
      <c r="AB887" s="1" t="n"/>
      <c r="AC887" s="1" t="n"/>
      <c r="AD887" s="10" t="n"/>
      <c r="AE887" s="1" t="n"/>
      <c r="AF887" t="inlineStr">
        <is>
          <t>No</t>
        </is>
      </c>
    </row>
    <row r="888" ht="12.5" customHeight="1">
      <c r="A888" s="6" t="n">
        <v>45181</v>
      </c>
      <c r="B888" s="1" t="inlineStr">
        <is>
          <t>ORG_2326</t>
        </is>
      </c>
      <c r="C888" s="1" t="b">
        <v>1</v>
      </c>
      <c r="D888" s="1" t="inlineStr">
        <is>
          <t>STEM Studio</t>
        </is>
      </c>
      <c r="E888" s="10" t="inlineStr">
        <is>
          <t>stemstudio.org</t>
        </is>
      </c>
      <c r="F888" t="inlineStr">
        <is>
          <t>stemstudio.org</t>
        </is>
      </c>
      <c r="G888" s="1" t="inlineStr">
        <is>
          <t>A suite of hardware and software tools that students can use to develop core STEM skills in a fun, hands-on way.</t>
        </is>
      </c>
      <c r="H888" s="1" t="inlineStr">
        <is>
          <t>I'm not part of any EdTech association</t>
        </is>
      </c>
      <c r="I888" s="1" t="n"/>
      <c r="J888" s="1" t="inlineStr">
        <is>
          <t>London</t>
        </is>
      </c>
      <c r="K888" t="inlineStr">
        <is>
          <t>London</t>
        </is>
      </c>
      <c r="L888" t="inlineStr">
        <is>
          <t>London, United Kingdom</t>
        </is>
      </c>
      <c r="M888" t="n">
        <v>51.5074456</v>
      </c>
      <c r="N888" t="n">
        <v>-0.1277653</v>
      </c>
      <c r="O888" s="1" t="inlineStr">
        <is>
          <t>United Kingdom</t>
        </is>
      </c>
      <c r="P888" s="1" t="inlineStr">
        <is>
          <t>United Kingdom</t>
        </is>
      </c>
      <c r="Q888" s="1" t="inlineStr">
        <is>
          <t>0 to 10</t>
        </is>
      </c>
      <c r="R888" t="inlineStr">
        <is>
          <t>Micro</t>
        </is>
      </c>
      <c r="S888" s="1" t="inlineStr">
        <is>
          <t>Business to Consumer</t>
        </is>
      </c>
      <c r="T888" s="1" t="inlineStr">
        <is>
          <t>Secondary Education, Lifelong learning/Adult education</t>
        </is>
      </c>
      <c r="U888" s="1" t="inlineStr">
        <is>
          <t>System/Administrative, Student interfacing, Teacher interfacing</t>
        </is>
      </c>
      <c r="V888" s="1" t="n"/>
      <c r="W888" s="1" t="inlineStr">
        <is>
          <t>https://drive.google.com/uc?export=view&amp;id=1jigST2yCipuVtdQbuiq15awQEeBRwwjl</t>
        </is>
      </c>
      <c r="X888" s="1" t="inlineStr">
        <is>
          <t>https://drive.google.com/uc?export=view&amp;id=1jigST2yCipuVtdQbuiq15awQEeBRwwjl</t>
        </is>
      </c>
      <c r="Y888" t="inlineStr">
        <is>
          <t>https://drive.google.com/uc?export=view&amp;id=1jigST2yCipuVtdQbuiq15awQEeBRwwjl</t>
        </is>
      </c>
      <c r="Z888" s="1" t="inlineStr">
        <is>
          <t>https://drive.google.com/uc?export=view&amp;id=1jigST2yCipuVtdQbuiq15awQEeBRwwjl</t>
        </is>
      </c>
      <c r="AA888" s="1" t="inlineStr">
        <is>
          <t>Unverified</t>
        </is>
      </c>
      <c r="AB888" s="1" t="n"/>
      <c r="AC888" s="1" t="n"/>
      <c r="AD888" s="10" t="n"/>
      <c r="AE888" s="1" t="n"/>
      <c r="AF888" s="1" t="inlineStr">
        <is>
          <t>No</t>
        </is>
      </c>
      <c r="AG888" s="1" t="n"/>
      <c r="AH888" s="1" t="n"/>
    </row>
    <row r="889" ht="12.5" customHeight="1">
      <c r="A889" s="6" t="n">
        <v>45181</v>
      </c>
      <c r="B889" s="1" t="inlineStr">
        <is>
          <t>ORG_2354</t>
        </is>
      </c>
      <c r="C889" s="1" t="b">
        <v>1</v>
      </c>
      <c r="D889" s="1" t="inlineStr">
        <is>
          <t>Swiss EdTech Collider</t>
        </is>
      </c>
      <c r="E889" s="10" t="inlineStr">
        <is>
          <t>https://www.edtech-collider.ch</t>
        </is>
      </c>
      <c r="F889" t="inlineStr">
        <is>
          <t>edtech-collider.ch</t>
        </is>
      </c>
      <c r="G889" s="1" t="inlineStr">
        <is>
          <t>The Swiss EdTech Collider is Switzerland’s hub and centre for entrepreneurs and startups that aim to change education and learning through technologies. Based in close proximity to the EPFL University Lausanne, with it's leading learning sciences divisions, we support EdTech startups by offering them physical work space as well as access to a unique network and ecosystem in and around Education and EdTech.</t>
        </is>
      </c>
      <c r="H889" s="1" t="inlineStr">
        <is>
          <t>Swiss EdTech Collider</t>
        </is>
      </c>
      <c r="I889" s="1" t="inlineStr">
        <is>
          <t>German, French, English</t>
        </is>
      </c>
      <c r="J889" s="1" t="inlineStr">
        <is>
          <t>Ecublens Vd</t>
        </is>
      </c>
      <c r="K889" t="inlineStr">
        <is>
          <t>Ecublens Vd</t>
        </is>
      </c>
      <c r="L889" t="inlineStr">
        <is>
          <t>Ecublens Vd, Switzerland</t>
        </is>
      </c>
      <c r="M889" t="n">
        <v>46.5258</v>
      </c>
      <c r="N889" t="n">
        <v>6.5621137</v>
      </c>
      <c r="O889" s="1" t="inlineStr">
        <is>
          <t>Switzerland</t>
        </is>
      </c>
      <c r="P889" s="1" t="inlineStr">
        <is>
          <t>Switzerland</t>
        </is>
      </c>
      <c r="Q889" s="1" t="inlineStr">
        <is>
          <t>3 to 5</t>
        </is>
      </c>
      <c r="R889" t="inlineStr">
        <is>
          <t>Micro</t>
        </is>
      </c>
      <c r="S889" s="1" t="inlineStr">
        <is>
          <t>Business to Consumer</t>
        </is>
      </c>
      <c r="T889" s="1" t="inlineStr">
        <is>
          <t>Early childhood development (0-5 years), Primary Education, Secondary Education, Corporate Training, Lifelong learning/Adult education, Vocational Education and Training (VET), Higher Education</t>
        </is>
      </c>
      <c r="U889" s="1" t="inlineStr">
        <is>
          <t>System/Administrative, Student interfacing, Teacher interfacing</t>
        </is>
      </c>
      <c r="V889" s="10" t="inlineStr">
        <is>
          <t>Swiss EdTech Collider</t>
        </is>
      </c>
      <c r="W889" s="10" t="inlineStr">
        <is>
          <t>We offer a unique network and ecosystem consisting of connections to academic research in learning sciences, investors, public and private schools, political and governmental organisations and decision makers in the field of education and EdTech.</t>
        </is>
      </c>
      <c r="X889" s="10" t="inlineStr">
        <is>
          <t>https://drive.google.com/uc?export=view&amp;id=15ne04hsguRgfh-DsCieNM2FZnEKu-fP0</t>
        </is>
      </c>
      <c r="Y889" t="inlineStr">
        <is>
          <t>https://drive.google.com/uc?export=view&amp;id=15ne04hsguRgfh-DsCieNM2FZnEKu-fP0</t>
        </is>
      </c>
      <c r="Z889" s="1" t="inlineStr">
        <is>
          <t>https://drive.google.com/uc?export=view&amp;id=15ne04hsguRgfh-DsCieNM2FZnEKu-fP0</t>
        </is>
      </c>
      <c r="AA889" s="1" t="inlineStr">
        <is>
          <t>Unverified</t>
        </is>
      </c>
      <c r="AB889" s="1" t="n"/>
      <c r="AC889" s="1" t="n"/>
      <c r="AD889" s="10" t="n"/>
      <c r="AE889" s="1" t="n"/>
      <c r="AF889" s="1" t="inlineStr">
        <is>
          <t>Yes</t>
        </is>
      </c>
      <c r="AG889" s="1" t="inlineStr">
        <is>
          <t>https://www.instagram.com/swiss_edtech_collider/?hl=en</t>
        </is>
      </c>
      <c r="AH889" s="1" t="inlineStr">
        <is>
          <t>https://twitter.com/SwissEdTech</t>
        </is>
      </c>
      <c r="AI889" t="inlineStr">
        <is>
          <t>https://www.linkedin.com/company/swiss-edtech-collider/</t>
        </is>
      </c>
    </row>
    <row r="890" ht="12.5" customHeight="1">
      <c r="A890" s="6" t="n">
        <v>45181</v>
      </c>
      <c r="B890" s="1" t="inlineStr">
        <is>
          <t>ORG_2388</t>
        </is>
      </c>
      <c r="C890" s="1" t="b">
        <v>1</v>
      </c>
      <c r="D890" s="1" t="inlineStr">
        <is>
          <t>TERRA STUDY</t>
        </is>
      </c>
      <c r="E890" s="10" t="inlineStr">
        <is>
          <t>www.terrastudy.com</t>
        </is>
      </c>
      <c r="F890" t="inlineStr">
        <is>
          <t>terrastudy.com</t>
        </is>
      </c>
      <c r="G890" s="1" t="inlineStr">
        <is>
          <t>Terra Study - is an online portal where your can book your language course worldwide for FREE and get and additional discount of 7% of the cost of the course.There are more than 300 schools and about 5,000 different courses in the TERRA STUDY catalogue. Any student, regardless of his language proficiency can quickly choose a language school, read the real opinions, calculate the cost of the chosen program, and finally book selected course. The "tab" of each school contains all the information you need to make the decision: description, online calculator, types of courses, photos, location and video.</t>
        </is>
      </c>
      <c r="H890" s="1" t="inlineStr">
        <is>
          <t>I'm not part of any EdTech association</t>
        </is>
      </c>
      <c r="I890" s="1" t="n"/>
      <c r="J890" s="1" t="inlineStr">
        <is>
          <t>Madrid</t>
        </is>
      </c>
      <c r="K890" t="inlineStr">
        <is>
          <t>Madrid</t>
        </is>
      </c>
      <c r="L890" t="inlineStr">
        <is>
          <t>Madrid, Spain</t>
        </is>
      </c>
      <c r="M890" t="n">
        <v>40.416782</v>
      </c>
      <c r="N890" t="n">
        <v>-3.703507</v>
      </c>
      <c r="O890" s="1" t="inlineStr">
        <is>
          <t>Spain</t>
        </is>
      </c>
      <c r="P890" s="1" t="inlineStr">
        <is>
          <t>Andorra, Armenia, Austria, Belarus, Belgium, Czechia, Estonia, Finland, France, Georgia, Germany, Greece, Hungary, Ireland, Italy, Kazakhstan, Latvia, Lithuania, Luxembourg, Malta, Moldova, Monaco, Montenegro, Netherlands, Norway, Poland, Portugal, Romania, Russia, San Marino, Serbia, Slovakia, Spain, Sweden, Switzerland, Turkey, Ukraine, United Kingdom</t>
        </is>
      </c>
      <c r="Q890" s="1" t="inlineStr">
        <is>
          <t>0 to 10</t>
        </is>
      </c>
      <c r="R890" t="inlineStr">
        <is>
          <t>Micro</t>
        </is>
      </c>
      <c r="S890" s="1" t="inlineStr">
        <is>
          <t>Business to Consumer, Business to Schools</t>
        </is>
      </c>
      <c r="T890" s="1" t="inlineStr">
        <is>
          <t>Higher Education, Corporate Training, Lifelong learning/Adult education</t>
        </is>
      </c>
      <c r="U890" s="1" t="inlineStr">
        <is>
          <t>System/Administrative, Student interfacing</t>
        </is>
      </c>
      <c r="V890" s="1" t="n"/>
      <c r="W890" s="1" t="inlineStr">
        <is>
          <t>https://drive.google.com/uc?export=view&amp;id=1bor2KKz_-hZWQ-1a2ldBFIXKIP7cHRwi</t>
        </is>
      </c>
      <c r="X890" s="1" t="inlineStr">
        <is>
          <t>https://drive.google.com/uc?export=view&amp;id=1bor2KKz_-hZWQ-1a2ldBFIXKIP7cHRwi</t>
        </is>
      </c>
      <c r="Y890" t="inlineStr">
        <is>
          <t>https://drive.google.com/uc?export=view&amp;id=1bor2KKz_-hZWQ-1a2ldBFIXKIP7cHRwi</t>
        </is>
      </c>
      <c r="Z890" s="1" t="inlineStr">
        <is>
          <t>https://drive.google.com/uc?export=view&amp;id=1bor2KKz_-hZWQ-1a2ldBFIXKIP7cHRwi</t>
        </is>
      </c>
      <c r="AA890" s="1" t="inlineStr">
        <is>
          <t>Unverified</t>
        </is>
      </c>
      <c r="AB890" s="1" t="n"/>
      <c r="AC890" s="1" t="n"/>
      <c r="AD890" s="10" t="n"/>
      <c r="AE890" s="1" t="n"/>
      <c r="AF890" t="inlineStr">
        <is>
          <t>No</t>
        </is>
      </c>
    </row>
    <row r="891" ht="12.5" customHeight="1">
      <c r="A891" s="6" t="n">
        <v>45181</v>
      </c>
      <c r="B891" s="1" t="inlineStr">
        <is>
          <t>ORG_2437</t>
        </is>
      </c>
      <c r="C891" s="1" t="b">
        <v>1</v>
      </c>
      <c r="D891" s="1" t="inlineStr">
        <is>
          <t>Tutor Platform</t>
        </is>
      </c>
      <c r="E891" s="10" t="inlineStr">
        <is>
          <t>www.tutor-platform.com</t>
        </is>
      </c>
      <c r="F891" t="inlineStr">
        <is>
          <t>tutor-platform.com</t>
        </is>
      </c>
      <c r="G891" s="1" t="inlineStr">
        <is>
          <t>Tutor Platform is a learning experience hub, designed to manage all the teaching and learning processes and to save your time for creative outbursts. We offer all the solutions and tools that an educational organization needs to innovate education.</t>
        </is>
      </c>
      <c r="H891" s="1" t="inlineStr">
        <is>
          <t>I'm not part of any EdTech association</t>
        </is>
      </c>
      <c r="I891" s="1" t="n"/>
      <c r="J891" s="1" t="inlineStr">
        <is>
          <t>Berlin</t>
        </is>
      </c>
      <c r="K891" t="inlineStr">
        <is>
          <t>Berlin</t>
        </is>
      </c>
      <c r="L891" t="inlineStr">
        <is>
          <t>Berlin, Germany</t>
        </is>
      </c>
      <c r="M891" t="n">
        <v>52.5173885</v>
      </c>
      <c r="N891" t="n">
        <v>13.3951309</v>
      </c>
      <c r="O891" s="1" t="inlineStr">
        <is>
          <t>Germany</t>
        </is>
      </c>
      <c r="P891" s="1" t="inlineStr">
        <is>
          <t>Armenia, Estonia, Finland, France, Germany, Latvia, Norway, Sweden, Switzerland, United Kingdom</t>
        </is>
      </c>
      <c r="Q891" s="1" t="inlineStr">
        <is>
          <t>11 to 50</t>
        </is>
      </c>
      <c r="R891" t="inlineStr">
        <is>
          <t>Small</t>
        </is>
      </c>
      <c r="S891" s="1" t="inlineStr">
        <is>
          <t>Business to Government</t>
        </is>
      </c>
      <c r="T891" s="1" t="inlineStr">
        <is>
          <t>Higher Education, Corporate Training, Lifelong learning/Adult education</t>
        </is>
      </c>
      <c r="U891" s="1" t="inlineStr">
        <is>
          <t>System/Administrative</t>
        </is>
      </c>
      <c r="V891" s="1" t="inlineStr">
        <is>
          <t>Tutuor Platform</t>
        </is>
      </c>
      <c r="W891" s="1" t="inlineStr">
        <is>
          <t>Tutor Platform is designed to manage all the teaching and learning processes and to save your time for creative outbursts. We offer all the solutions and tools that an educational organization, a university or a private school that needs to innovate education.</t>
        </is>
      </c>
      <c r="X891" s="10" t="inlineStr">
        <is>
          <t>https://drive.google.com/uc?export=view&amp;id=1ADYkK0OyR9tPQXcl3gmgPjrvVVaA5h19</t>
        </is>
      </c>
      <c r="Y891" t="inlineStr">
        <is>
          <t>https://drive.google.com/uc?export=view&amp;id=1ADYkK0OyR9tPQXcl3gmgPjrvVVaA5h19</t>
        </is>
      </c>
      <c r="Z891" s="1" t="inlineStr">
        <is>
          <t>https://drive.google.com/uc?export=view&amp;id=1ADYkK0OyR9tPQXcl3gmgPjrvVVaA5h19</t>
        </is>
      </c>
      <c r="AA891" s="1" t="inlineStr">
        <is>
          <t>Unverified</t>
        </is>
      </c>
      <c r="AB891" s="1" t="n"/>
      <c r="AC891" s="1" t="n"/>
      <c r="AD891" s="10" t="n"/>
      <c r="AE891" s="1" t="n"/>
      <c r="AF891" t="inlineStr">
        <is>
          <t>Yes</t>
        </is>
      </c>
      <c r="AG891" t="inlineStr">
        <is>
          <t>https://www.linkedin.com/company/tutor-platform/mycompany/</t>
        </is>
      </c>
      <c r="AH891" t="inlineStr">
        <is>
          <t>https://www.linkedin.com/company/tutor-platform/mycompany/</t>
        </is>
      </c>
      <c r="AI891" t="inlineStr">
        <is>
          <t>https://www.linkedin.com/company/tutor-platform/mycompany/</t>
        </is>
      </c>
    </row>
    <row r="892" ht="12.5" customHeight="1">
      <c r="A892" s="6" t="n">
        <v>45181</v>
      </c>
      <c r="B892" s="1" t="inlineStr">
        <is>
          <t>ORG_2460</t>
        </is>
      </c>
      <c r="C892" s="1" t="b">
        <v>1</v>
      </c>
      <c r="D892" s="1" t="inlineStr">
        <is>
          <t>UNIFIT</t>
        </is>
      </c>
      <c r="E892" s="10" t="inlineStr">
        <is>
          <t>https://unifit.es/</t>
        </is>
      </c>
      <c r="F892" t="inlineStr">
        <is>
          <t>unifit.es</t>
        </is>
      </c>
      <c r="G892" s="1" t="inlineStr">
        <is>
          <t>Unifit is a company that began its journey in 2018, creating a set of SaaS APP/web platforms for university centers.
The objective of the UNIFIT platforms is to offer an academic and social communication channel for the students of the centers.
UNIFIT currently offers solutions adapted to all stages of a student's life cycle.
UNIFIT already has numerous internationally renowned university centers that are successfully using its tools among their students, improving rates such as student engagement, communication and their participation in the day-to-day running of the center.</t>
        </is>
      </c>
      <c r="H892" s="1" t="inlineStr">
        <is>
          <t>I'm not part of any EdTech association</t>
        </is>
      </c>
      <c r="I892" s="1" t="n"/>
      <c r="J892" s="1" t="inlineStr">
        <is>
          <t>Barcelona</t>
        </is>
      </c>
      <c r="K892" t="inlineStr">
        <is>
          <t>Barcelona</t>
        </is>
      </c>
      <c r="L892" t="inlineStr">
        <is>
          <t>Barcelona, Spain</t>
        </is>
      </c>
      <c r="M892" t="n">
        <v>41.3825802</v>
      </c>
      <c r="N892" t="n">
        <v>2.177073</v>
      </c>
      <c r="O892" s="1" t="inlineStr">
        <is>
          <t>Spain</t>
        </is>
      </c>
      <c r="P892" s="1" t="inlineStr">
        <is>
          <t>Spain</t>
        </is>
      </c>
      <c r="Q892" s="1" t="inlineStr">
        <is>
          <t>0 to 10</t>
        </is>
      </c>
      <c r="R892" t="inlineStr">
        <is>
          <t>Micro</t>
        </is>
      </c>
      <c r="S892" s="1" t="inlineStr">
        <is>
          <t>Business to Schools</t>
        </is>
      </c>
      <c r="T892" s="1" t="inlineStr">
        <is>
          <t>Higher Education, Corporate Training</t>
        </is>
      </c>
      <c r="U892" s="1" t="inlineStr">
        <is>
          <t>System/Administrative</t>
        </is>
      </c>
      <c r="V892" s="1" t="inlineStr">
        <is>
          <t>UNIFIT PRELIFE</t>
        </is>
      </c>
      <c r="W892" s="1" t="inlineStr">
        <is>
          <t>APP to improve the experience and the relationship with the Pre-students.
A platform to maintain a much more direct and up-to-date communication channel with the students and families interested in the center during their decision process.</t>
        </is>
      </c>
      <c r="X892" s="10" t="inlineStr">
        <is>
          <t>UNIFIT LIFE</t>
        </is>
      </c>
      <c r="Y892" t="inlineStr">
        <is>
          <t>APP for the daily academic and social life of students. A reference platform for them where they can unify all the center's communication.
It currently has more than 20 customizable features.
The tool also allows savings between 5 and 10% of costs in internal processes of the center.</t>
        </is>
      </c>
      <c r="Z892" s="1" t="inlineStr">
        <is>
          <t>https://drive.google.com/uc?export=view&amp;id=14Gw89oiQ_Id00qEPyT1jrDjd0E2KfPmV</t>
        </is>
      </c>
      <c r="AA892" s="1" t="inlineStr">
        <is>
          <t>Unverified</t>
        </is>
      </c>
      <c r="AB892" s="1" t="n"/>
      <c r="AC892" s="1" t="n"/>
      <c r="AD892" s="10" t="n"/>
      <c r="AE892" s="1" t="n"/>
      <c r="AF892" t="inlineStr">
        <is>
          <t>Yes</t>
        </is>
      </c>
      <c r="AG892" t="inlineStr">
        <is>
          <t>https://www.linkedin.com/company/unifit-sl/?viewAsMember=true</t>
        </is>
      </c>
      <c r="AH892" t="inlineStr">
        <is>
          <t>https://www.linkedin.com/company/unifit-sl/?viewAsMember=true</t>
        </is>
      </c>
      <c r="AI892" t="inlineStr">
        <is>
          <t>https://www.linkedin.com/company/unifit-sl/?viewAsMember=true</t>
        </is>
      </c>
    </row>
    <row r="893" ht="12.5" customHeight="1">
      <c r="A893" s="6" t="n">
        <v>45181</v>
      </c>
      <c r="B893" s="1" t="inlineStr">
        <is>
          <t>ORG_1297</t>
        </is>
      </c>
      <c r="C893" s="1" t="b">
        <v>1</v>
      </c>
      <c r="D893" s="1" t="inlineStr">
        <is>
          <t>Corneille</t>
        </is>
      </c>
      <c r="E893" s="10" t="inlineStr">
        <is>
          <t>http://corneille.io/</t>
        </is>
      </c>
      <c r="F893" t="inlineStr">
        <is>
          <t>corneille.io</t>
        </is>
      </c>
      <c r="G893" s="1" t="inlineStr">
        <is>
          <t>Leading education platform for early childhood French literacy and language learning where parents subscribe to a vast and constantly updated collection of interactive stories and games for their children age 3 to 8.</t>
        </is>
      </c>
      <c r="H893" s="1" t="inlineStr">
        <is>
          <t>AFINEF, EdTech France</t>
        </is>
      </c>
      <c r="I893" s="1" t="inlineStr">
        <is>
          <t>English</t>
        </is>
      </c>
      <c r="J893" s="1" t="inlineStr">
        <is>
          <t>Marcq En Baroeul</t>
        </is>
      </c>
      <c r="K893" t="inlineStr">
        <is>
          <t>Marcq En Baroeul</t>
        </is>
      </c>
      <c r="L893" t="inlineStr">
        <is>
          <t>Marcq En Baroeul, France</t>
        </is>
      </c>
      <c r="M893" t="n">
        <v>50.6767018</v>
      </c>
      <c r="N893" t="n">
        <v>3.1043032</v>
      </c>
      <c r="O893" s="1" t="inlineStr">
        <is>
          <t>France</t>
        </is>
      </c>
      <c r="P893" s="1" t="inlineStr">
        <is>
          <t>Belgium, France, Germany, United Kingdom</t>
        </is>
      </c>
      <c r="Q893" s="1" t="inlineStr">
        <is>
          <t>3 to 5</t>
        </is>
      </c>
      <c r="R893" t="inlineStr">
        <is>
          <t>Micro</t>
        </is>
      </c>
      <c r="S893" s="1" t="inlineStr">
        <is>
          <t>Business to Business, Business to Consumer</t>
        </is>
      </c>
      <c r="T893" s="1" t="inlineStr">
        <is>
          <t>Early childhood development (0-5 years), Primary Education</t>
        </is>
      </c>
      <c r="U893" s="1" t="inlineStr">
        <is>
          <t>System/Administrative, Student interfacing, Teacher interfacing</t>
        </is>
      </c>
      <c r="V893" s="10" t="inlineStr">
        <is>
          <t>Corneille app</t>
        </is>
      </c>
      <c r="W893" s="10" t="inlineStr">
        <is>
          <t>Corneille creates smart screen time by teaching kids French.
As a fun and educational game for children aged 3 to 8, Corneille makes learning French easy: discovering letters, learning new words, identifying sounds in words, discovering numbers, playing memory games.
Corneille boosts confidence with real French-language books that children love : fun facts, fantasy and classical stories. The progressive reading method inspired by Oxford
Tree is presented in a readaloud module where children gain confidence and can share their readings with adults.
Developed for parent’s sensitive to the content children are exposed to on screens and developed by reading experts (teachers and language experts) based on the latest cognitive studies. Corneille will take your child into a fantastic adventure of reading in French.</t>
        </is>
      </c>
      <c r="X893" s="10" t="inlineStr">
        <is>
          <t>https://drive.google.com/uc?export=view&amp;id=19LWCgVCGFIkSiKjVemA072ityh1CTwyw</t>
        </is>
      </c>
      <c r="Y893" t="inlineStr">
        <is>
          <t>https://drive.google.com/uc?export=view&amp;id=19LWCgVCGFIkSiKjVemA072ityh1CTwyw</t>
        </is>
      </c>
      <c r="Z893" s="1" t="inlineStr">
        <is>
          <t>https://drive.google.com/uc?export=view&amp;id=19LWCgVCGFIkSiKjVemA072ityh1CTwyw</t>
        </is>
      </c>
      <c r="AA893" s="1" t="inlineStr">
        <is>
          <t>Unverified</t>
        </is>
      </c>
      <c r="AB893" s="1" t="n"/>
      <c r="AC893" s="1" t="n"/>
      <c r="AD893" s="10" t="n"/>
      <c r="AE893" s="1" t="n"/>
      <c r="AF893" s="1" t="inlineStr">
        <is>
          <t>Yes</t>
        </is>
      </c>
      <c r="AG893" s="1" t="inlineStr">
        <is>
          <t>https://www.instagram.com/appcorneille/</t>
        </is>
      </c>
      <c r="AH893" s="1" t="inlineStr">
        <is>
          <t>https://twitter.com/AppCorneille</t>
        </is>
      </c>
      <c r="AI893" t="inlineStr">
        <is>
          <t>https://www.linkedin.com/company/appcorneille/</t>
        </is>
      </c>
    </row>
    <row r="894" ht="12.5" customHeight="1">
      <c r="A894" s="6" t="n">
        <v>45181</v>
      </c>
      <c r="B894" s="1" t="inlineStr">
        <is>
          <t>ORG_1317</t>
        </is>
      </c>
      <c r="C894" s="1" t="b">
        <v>1</v>
      </c>
      <c r="D894" s="1" t="inlineStr">
        <is>
          <t>Curiose</t>
        </is>
      </c>
      <c r="E894" s="10" t="inlineStr">
        <is>
          <t>https://www.curiose.fr</t>
        </is>
      </c>
      <c r="F894" t="inlineStr">
        <is>
          <t>curiose.fr</t>
        </is>
      </c>
      <c r="G894" s="1" t="inlineStr">
        <is>
          <t>Curiose is not only a web app, it's a societal project that aims at empowering young generations and giving them the tools to build a future aligned with themselves.</t>
        </is>
      </c>
      <c r="H894" s="1" t="inlineStr">
        <is>
          <t>EdTech France</t>
        </is>
      </c>
      <c r="I894" s="1" t="n"/>
      <c r="J894" s="1" t="inlineStr">
        <is>
          <t>Lyon</t>
        </is>
      </c>
      <c r="K894" t="inlineStr">
        <is>
          <t>Lyon</t>
        </is>
      </c>
      <c r="L894" t="inlineStr">
        <is>
          <t>Lyon, France</t>
        </is>
      </c>
      <c r="M894" t="n">
        <v>45.7578137</v>
      </c>
      <c r="N894" t="n">
        <v>4.8320114</v>
      </c>
      <c r="O894" s="1" t="inlineStr">
        <is>
          <t>France</t>
        </is>
      </c>
      <c r="P894" s="1" t="inlineStr">
        <is>
          <t>France</t>
        </is>
      </c>
      <c r="Q894" s="1" t="inlineStr">
        <is>
          <t>0 to 10</t>
        </is>
      </c>
      <c r="R894" t="inlineStr">
        <is>
          <t>Micro</t>
        </is>
      </c>
      <c r="S894" s="1" t="inlineStr">
        <is>
          <t>Business to Business, Business to Consumer</t>
        </is>
      </c>
      <c r="T894" s="1" t="inlineStr">
        <is>
          <t>Secondary Education</t>
        </is>
      </c>
      <c r="U894" s="1" t="inlineStr">
        <is>
          <t>System/Administrative, Student interfacing</t>
        </is>
      </c>
      <c r="V894" s="1" t="inlineStr">
        <is>
          <t>Curiose app</t>
        </is>
      </c>
      <c r="W894" s="1" t="inlineStr">
        <is>
          <t>Curiose is a web app intended for highschool and uni students that helps them to build their professional project, through 3 phases : introspection (the student gets to know more about his values, interests and modus operandi), exploration (the app matches jobs with the student profile, provides with resources, and organizes an encounter with professional), and action (the app displays the right training course for the student, according to different criteria).</t>
        </is>
      </c>
      <c r="X894" s="10" t="inlineStr">
        <is>
          <t>https://drive.google.com/uc?export=view&amp;id=1sFyw71bNVYimApdQP_0SCpr2Cisz6aJl</t>
        </is>
      </c>
      <c r="Y894" t="inlineStr">
        <is>
          <t>https://drive.google.com/uc?export=view&amp;id=1sFyw71bNVYimApdQP_0SCpr2Cisz6aJl</t>
        </is>
      </c>
      <c r="Z894" s="1" t="inlineStr">
        <is>
          <t>https://drive.google.com/uc?export=view&amp;id=1sFyw71bNVYimApdQP_0SCpr2Cisz6aJl</t>
        </is>
      </c>
      <c r="AA894" s="1" t="inlineStr">
        <is>
          <t>Unverified</t>
        </is>
      </c>
      <c r="AB894" s="1" t="n"/>
      <c r="AC894" s="1" t="n"/>
      <c r="AD894" s="10" t="n"/>
      <c r="AE894" s="1" t="n"/>
      <c r="AF894" s="1" t="inlineStr">
        <is>
          <t>Yes</t>
        </is>
      </c>
      <c r="AG894" s="1" t="inlineStr">
        <is>
          <t>@wearecuriose</t>
        </is>
      </c>
      <c r="AH894" s="1" t="inlineStr">
        <is>
          <t>https://www.linkedin.com/company/curiose/?viewAsMember=true</t>
        </is>
      </c>
      <c r="AI894" t="inlineStr">
        <is>
          <t>https://www.linkedin.com/company/curiose/?viewAsMember=true</t>
        </is>
      </c>
    </row>
    <row r="895" ht="12.5" customHeight="1">
      <c r="A895" s="6" t="n">
        <v>45181</v>
      </c>
      <c r="B895" s="1" t="inlineStr">
        <is>
          <t>ORG_1480</t>
        </is>
      </c>
      <c r="C895" s="1" t="b">
        <v>1</v>
      </c>
      <c r="D895" s="1" t="inlineStr">
        <is>
          <t>Elbrus Coding Bootcamp</t>
        </is>
      </c>
      <c r="E895" s="10" t="inlineStr">
        <is>
          <t>https://elbrusboot.camp/</t>
        </is>
      </c>
      <c r="F895" t="inlineStr">
        <is>
          <t>elbrusboot.camp</t>
        </is>
      </c>
      <c r="G895" s="1" t="inlineStr">
        <is>
          <t>Elbrus coding bootcamp is the first intensive training course for IT specialists in Russia. The students focus on web development and surround themselves with code for 9 hours during 12 weeks. We offer fast intensive retraining where our students obtain a new profession and portfolio for employment in IT. Career coaches teach students to write resumes and sail through job interviews.</t>
        </is>
      </c>
      <c r="H895" s="1" t="inlineStr">
        <is>
          <t>I'm not part of any EdTech association</t>
        </is>
      </c>
      <c r="I895" s="1" t="n"/>
      <c r="J895" s="1" t="inlineStr">
        <is>
          <t>Moscow</t>
        </is>
      </c>
      <c r="K895" t="inlineStr">
        <is>
          <t>Moscow</t>
        </is>
      </c>
      <c r="L895" t="inlineStr">
        <is>
          <t>Moscow, Russia</t>
        </is>
      </c>
      <c r="M895" t="n">
        <v>55.625578</v>
      </c>
      <c r="N895" t="n">
        <v>37.6063916</v>
      </c>
      <c r="O895" s="1" t="inlineStr">
        <is>
          <t>Russia</t>
        </is>
      </c>
      <c r="P895" s="1" t="inlineStr">
        <is>
          <t>Armenia, Georgia, Germany, Ireland, Russia, Serbia, Slovakia, Spain, Sweden</t>
        </is>
      </c>
      <c r="Q895" s="1" t="inlineStr">
        <is>
          <t>11 to 50</t>
        </is>
      </c>
      <c r="R895" t="inlineStr">
        <is>
          <t>Small</t>
        </is>
      </c>
      <c r="S895" s="1" t="inlineStr">
        <is>
          <t>Business to Business, Business to Consumer, Business to Government, Business to Schools</t>
        </is>
      </c>
      <c r="T895" s="1" t="inlineStr">
        <is>
          <t>Lifelong learning/Adult education</t>
        </is>
      </c>
      <c r="U895" s="1" t="inlineStr">
        <is>
          <t>Student interfacing, System/Administrative</t>
        </is>
      </c>
      <c r="V895" s="1" t="n"/>
      <c r="W895" s="1" t="inlineStr">
        <is>
          <t>https://drive.google.com/uc?export=view&amp;id=1UPiI7jnF0ATRfi8b0HiYCv_cNYdPzNo8</t>
        </is>
      </c>
      <c r="X895" s="1" t="inlineStr">
        <is>
          <t>https://drive.google.com/uc?export=view&amp;id=1UPiI7jnF0ATRfi8b0HiYCv_cNYdPzNo8</t>
        </is>
      </c>
      <c r="Y895" t="inlineStr">
        <is>
          <t>https://drive.google.com/uc?export=view&amp;id=1UPiI7jnF0ATRfi8b0HiYCv_cNYdPzNo8</t>
        </is>
      </c>
      <c r="Z895" s="1" t="inlineStr">
        <is>
          <t>https://drive.google.com/uc?export=view&amp;id=1UPiI7jnF0ATRfi8b0HiYCv_cNYdPzNo8</t>
        </is>
      </c>
      <c r="AA895" s="1" t="inlineStr">
        <is>
          <t>Unverified</t>
        </is>
      </c>
      <c r="AB895" s="1" t="n"/>
      <c r="AC895" s="1" t="n"/>
      <c r="AD895" s="10" t="n"/>
      <c r="AE895" s="1" t="n"/>
      <c r="AF895" t="inlineStr">
        <is>
          <t>No</t>
        </is>
      </c>
    </row>
    <row r="896" ht="12.5" customHeight="1">
      <c r="A896" s="6" t="n">
        <v>45181</v>
      </c>
      <c r="B896" s="1" t="inlineStr">
        <is>
          <t>ORG_1551</t>
        </is>
      </c>
      <c r="C896" s="1" t="b">
        <v>1</v>
      </c>
      <c r="D896" s="1" t="inlineStr">
        <is>
          <t>Faculty of Skills, TrainTool</t>
        </is>
      </c>
      <c r="E896" s="10" t="inlineStr">
        <is>
          <t>www.faculty.nl</t>
        </is>
      </c>
      <c r="F896" t="inlineStr">
        <is>
          <t>faculty.nl</t>
        </is>
      </c>
      <c r="G896" s="1" t="inlineStr">
        <is>
          <t>Faculty of Skills is a training agency specialized in developing communication skills. We are also the creators of TrainTool, a unique online tool with which you can practice skills in online video roleplays. Our goal is to let you, as an ambitious professional or student, communicate better. This way, you will have more impact, you will reach your goals faster and you will be able to work well together with everyone you meet. We work for large companies and higher education, yearly 20.000+ participants.</t>
        </is>
      </c>
      <c r="H896" s="1" t="inlineStr">
        <is>
          <t>Dutch EdTech</t>
        </is>
      </c>
      <c r="I896" s="1" t="n"/>
      <c r="J896" s="1" t="inlineStr">
        <is>
          <t>Utrecht</t>
        </is>
      </c>
      <c r="K896" t="inlineStr">
        <is>
          <t>Utrecht</t>
        </is>
      </c>
      <c r="L896" t="inlineStr">
        <is>
          <t>Utrecht, The Netherlands</t>
        </is>
      </c>
      <c r="M896" t="n">
        <v>52.0906195</v>
      </c>
      <c r="N896" t="n">
        <v>5.1119709</v>
      </c>
      <c r="O896" s="1" t="inlineStr">
        <is>
          <t>The Netherlands</t>
        </is>
      </c>
      <c r="P896" s="1" t="inlineStr">
        <is>
          <t>Austria, Belgium, Denmark, Estonia, Finland, France, Germany, Greece, Hungary, Iceland, Ireland, Italy, Luxembourg, Monaco, Netherlands, Norway, Poland, Portugal, Spain, Sweden, Switzerland, Turkey, United Kingdom</t>
        </is>
      </c>
      <c r="Q896" s="1" t="inlineStr">
        <is>
          <t>11 to 50</t>
        </is>
      </c>
      <c r="R896" t="inlineStr">
        <is>
          <t>Small</t>
        </is>
      </c>
      <c r="S896" s="1" t="inlineStr">
        <is>
          <t>Business to Business, Business to Consumer, Business to Schools</t>
        </is>
      </c>
      <c r="T896" s="1" t="inlineStr">
        <is>
          <t>Higher Education, Corporate Training, Lifelong learning/Adult education</t>
        </is>
      </c>
      <c r="U896" s="1" t="inlineStr">
        <is>
          <t>Teacher interfacing, System/Administrative</t>
        </is>
      </c>
      <c r="V896" s="1" t="n"/>
      <c r="W896" s="1" t="inlineStr">
        <is>
          <t>https://drive.google.com/uc?export=view&amp;id=1l-7LfDCZTFLfN3OIWMmSCcLYpD0sERY7</t>
        </is>
      </c>
      <c r="X896" s="1" t="inlineStr">
        <is>
          <t>https://drive.google.com/uc?export=view&amp;id=1l-7LfDCZTFLfN3OIWMmSCcLYpD0sERY7</t>
        </is>
      </c>
      <c r="Y896" t="inlineStr">
        <is>
          <t>https://drive.google.com/uc?export=view&amp;id=1l-7LfDCZTFLfN3OIWMmSCcLYpD0sERY7</t>
        </is>
      </c>
      <c r="Z896" s="1" t="inlineStr">
        <is>
          <t>https://drive.google.com/uc?export=view&amp;id=1l-7LfDCZTFLfN3OIWMmSCcLYpD0sERY7</t>
        </is>
      </c>
      <c r="AA896" s="1" t="inlineStr">
        <is>
          <t>Unverified</t>
        </is>
      </c>
      <c r="AB896" s="1" t="n"/>
      <c r="AC896" s="1" t="n"/>
      <c r="AD896" s="10" t="n"/>
      <c r="AE896" s="1" t="n"/>
      <c r="AF896" t="inlineStr">
        <is>
          <t>No</t>
        </is>
      </c>
    </row>
    <row r="897" ht="12.5" customHeight="1">
      <c r="A897" s="6" t="n">
        <v>45181</v>
      </c>
      <c r="B897" s="1" t="inlineStr">
        <is>
          <t>ORG_1699</t>
        </is>
      </c>
      <c r="C897" s="1" t="b">
        <v>1</v>
      </c>
      <c r="D897" s="1" t="inlineStr">
        <is>
          <t>I Save Lives</t>
        </is>
      </c>
      <c r="E897" s="10" t="inlineStr">
        <is>
          <t>https://isavelives.nl/</t>
        </is>
      </c>
      <c r="F897" t="inlineStr">
        <is>
          <t>isavelives.nl</t>
        </is>
      </c>
      <c r="G897" s="1" t="inlineStr">
        <is>
          <t>Cardiac arrest is the biggest killer worldwide. If a bystander knows what to do when it occurs the number of lethal cases can be drastically reduced. The serious game we have developed makes it fun and effective to learn quality CPR in under 30 minutes. To provide an interactive learning experience learners practice on a manikin that is connected to our game. Through minigames and direct feedback, we have gamified the learning experience from start to finish. Our game is currently being used by secondary school teachers to learn their students how to save a life and we are researching further target groups.</t>
        </is>
      </c>
      <c r="H897" s="1" t="inlineStr">
        <is>
          <t>I'm not part of any EdTech association</t>
        </is>
      </c>
      <c r="I897" s="1" t="n"/>
      <c r="J897" s="1" t="inlineStr">
        <is>
          <t>Amsterdam</t>
        </is>
      </c>
      <c r="K897" t="inlineStr">
        <is>
          <t>Amsterdam</t>
        </is>
      </c>
      <c r="L897" t="inlineStr">
        <is>
          <t>Amsterdam, The Netherlands</t>
        </is>
      </c>
      <c r="M897" t="n">
        <v>52.3701984</v>
      </c>
      <c r="N897" t="n">
        <v>4.892168</v>
      </c>
      <c r="O897" s="1" t="inlineStr">
        <is>
          <t>The Netherlands</t>
        </is>
      </c>
      <c r="P897" s="1" t="inlineStr">
        <is>
          <t>Belgium, Netherlands</t>
        </is>
      </c>
      <c r="Q897" s="1" t="inlineStr">
        <is>
          <t>0 to 10</t>
        </is>
      </c>
      <c r="R897" t="inlineStr">
        <is>
          <t>Micro</t>
        </is>
      </c>
      <c r="S897" s="1" t="inlineStr">
        <is>
          <t>Business to Business, Business to Government, Business to Schools</t>
        </is>
      </c>
      <c r="T897" s="1" t="inlineStr">
        <is>
          <t>Secondary Education, Higher Education, Corporate Training</t>
        </is>
      </c>
      <c r="U897" s="1" t="inlineStr">
        <is>
          <t>Student interfacing, Teacher interfacing, System/Administrative</t>
        </is>
      </c>
      <c r="V897" s="1" t="n"/>
      <c r="W897" s="1" t="inlineStr">
        <is>
          <t>https://drive.google.com/uc?export=view&amp;id=1X-iOPTK12k75PUxxms4SnHTeV6EEKP3O</t>
        </is>
      </c>
      <c r="X897" s="1" t="inlineStr">
        <is>
          <t>https://drive.google.com/uc?export=view&amp;id=1X-iOPTK12k75PUxxms4SnHTeV6EEKP3O</t>
        </is>
      </c>
      <c r="Y897" t="inlineStr">
        <is>
          <t>https://drive.google.com/uc?export=view&amp;id=1X-iOPTK12k75PUxxms4SnHTeV6EEKP3O</t>
        </is>
      </c>
      <c r="Z897" s="1" t="inlineStr">
        <is>
          <t>https://drive.google.com/uc?export=view&amp;id=1X-iOPTK12k75PUxxms4SnHTeV6EEKP3O</t>
        </is>
      </c>
      <c r="AA897" s="1" t="inlineStr">
        <is>
          <t>Unverified</t>
        </is>
      </c>
      <c r="AB897" s="1" t="n"/>
      <c r="AC897" s="1" t="n"/>
      <c r="AD897" s="10" t="n"/>
      <c r="AE897" s="1" t="n"/>
      <c r="AF897" t="inlineStr">
        <is>
          <t>No</t>
        </is>
      </c>
    </row>
    <row r="898" ht="12.5" customHeight="1">
      <c r="A898" s="6" t="n">
        <v>45181</v>
      </c>
      <c r="B898" s="1" t="inlineStr">
        <is>
          <t>ORG_2089</t>
        </is>
      </c>
      <c r="C898" s="1" t="b">
        <v>1</v>
      </c>
      <c r="D898" s="1" t="inlineStr">
        <is>
          <t>Parlangi</t>
        </is>
      </c>
      <c r="E898" s="10" t="inlineStr">
        <is>
          <t>https://parlangi.net</t>
        </is>
      </c>
      <c r="F898" t="inlineStr">
        <is>
          <t>parlangi.net</t>
        </is>
      </c>
      <c r="G898" s="1" t="inlineStr">
        <is>
          <t>Parlangi connects language learners to native speaking mentors via a matching, video chat and impact reporting application. We build bridges between people from different generations, nationalities, cultures and backgrounds. We believe in the strength of social contact: it supports learning languages and it increase the health of participants. Together with municipalities, governments and other organisations (such as schools and universities) we organise social learning projects. For example: in Belgian cities we connect foreign language speaking newcomers to native speaking mentors. Via the Parlangi application organisations can manage projects, view reports and messure impact while participants can find conversation partners, schedule appointments and video chat safely and easily.</t>
        </is>
      </c>
      <c r="H898" s="1" t="inlineStr">
        <is>
          <t>I'm not part of any EdTech association</t>
        </is>
      </c>
      <c r="I898" s="1" t="n"/>
      <c r="J898" s="1" t="inlineStr">
        <is>
          <t>Nijlen</t>
        </is>
      </c>
      <c r="K898" t="inlineStr">
        <is>
          <t>Nijlen</t>
        </is>
      </c>
      <c r="L898" t="inlineStr">
        <is>
          <t>Nijlen, Belgium</t>
        </is>
      </c>
      <c r="M898" t="n">
        <v>51.1611887</v>
      </c>
      <c r="N898" t="n">
        <v>4.6709517</v>
      </c>
      <c r="O898" s="1" t="inlineStr">
        <is>
          <t>Belgium</t>
        </is>
      </c>
      <c r="P898" s="1" t="inlineStr">
        <is>
          <t>Belgium</t>
        </is>
      </c>
      <c r="Q898" s="1" t="inlineStr">
        <is>
          <t>0 to 10</t>
        </is>
      </c>
      <c r="R898" t="inlineStr">
        <is>
          <t>Micro</t>
        </is>
      </c>
      <c r="S898" s="1" t="inlineStr">
        <is>
          <t>Business to Business, Business to Schools</t>
        </is>
      </c>
      <c r="T898" s="1" t="inlineStr">
        <is>
          <t>Secondary Education, Higher Education, Corporate Training, Lifelong learning/Adult education</t>
        </is>
      </c>
      <c r="U898" s="1" t="inlineStr">
        <is>
          <t>Student interfacing, Teacher interfacing, System/Administrative</t>
        </is>
      </c>
      <c r="V898" s="1" t="n"/>
      <c r="W898" s="1" t="inlineStr">
        <is>
          <t>https://drive.google.com/uc?export=view&amp;id=1aJJpTRoE-4wQSGynhdTE3v1bOwghMRCr</t>
        </is>
      </c>
      <c r="X898" s="1" t="inlineStr">
        <is>
          <t>https://drive.google.com/uc?export=view&amp;id=1aJJpTRoE-4wQSGynhdTE3v1bOwghMRCr</t>
        </is>
      </c>
      <c r="Y898" t="inlineStr">
        <is>
          <t>https://drive.google.com/uc?export=view&amp;id=1aJJpTRoE-4wQSGynhdTE3v1bOwghMRCr</t>
        </is>
      </c>
      <c r="Z898" s="1" t="inlineStr">
        <is>
          <t>https://drive.google.com/uc?export=view&amp;id=1aJJpTRoE-4wQSGynhdTE3v1bOwghMRCr</t>
        </is>
      </c>
      <c r="AA898" s="1" t="inlineStr">
        <is>
          <t>Unverified</t>
        </is>
      </c>
      <c r="AB898" s="1" t="n"/>
      <c r="AC898" s="1" t="n"/>
      <c r="AD898" s="10" t="n"/>
      <c r="AE898" s="1" t="n"/>
      <c r="AF898" t="inlineStr">
        <is>
          <t>No</t>
        </is>
      </c>
    </row>
    <row r="899" ht="12.5" customHeight="1">
      <c r="A899" s="6" t="n">
        <v>45181</v>
      </c>
      <c r="B899" s="1" t="inlineStr">
        <is>
          <t>ORG_2256</t>
        </is>
      </c>
      <c r="C899" s="1" t="b">
        <v>1</v>
      </c>
      <c r="D899" s="1" t="inlineStr">
        <is>
          <t>SkillMapper</t>
        </is>
      </c>
      <c r="E899" s="10" t="inlineStr">
        <is>
          <t>www.skillmapper.com</t>
        </is>
      </c>
      <c r="F899" t="inlineStr">
        <is>
          <t>skillmapper.com</t>
        </is>
      </c>
      <c r="G899" s="1" t="inlineStr">
        <is>
          <t>SkillMapper is a global learning hub that leverages proprietary AI to guide young professionals toward finding the best online education sources while streamlining their job-hunting process. Within SkillMapper's set of solutions, young professionals can identify their skill gaps in their job while finding the most efficient ways to upskill and reskill themselves. SkillMapper bridges the gap between education and employability.</t>
        </is>
      </c>
      <c r="H899" s="1" t="inlineStr">
        <is>
          <t>I'm not part of any EdTech association</t>
        </is>
      </c>
      <c r="I899" s="1" t="n"/>
      <c r="J899" s="1" t="inlineStr">
        <is>
          <t>Paris 18</t>
        </is>
      </c>
      <c r="K899" t="inlineStr">
        <is>
          <t>Paris</t>
        </is>
      </c>
      <c r="L899" t="inlineStr">
        <is>
          <t>Paris, France</t>
        </is>
      </c>
      <c r="M899" t="n">
        <v>48.8534951</v>
      </c>
      <c r="N899" t="n">
        <v>2.3483915</v>
      </c>
      <c r="O899" s="1" t="inlineStr">
        <is>
          <t>France</t>
        </is>
      </c>
      <c r="P899" s="1" t="inlineStr">
        <is>
          <t>Austria, Belgium, Denmark, France, Germany, Ireland, Norway, Poland, Portugal, Spain, United Kingdom</t>
        </is>
      </c>
      <c r="Q899" s="1" t="inlineStr">
        <is>
          <t>11 to 50</t>
        </is>
      </c>
      <c r="R899" t="inlineStr">
        <is>
          <t>Small</t>
        </is>
      </c>
      <c r="S899" s="1" t="inlineStr">
        <is>
          <t>Business to Business, Business to Schools</t>
        </is>
      </c>
      <c r="T899" s="1" t="inlineStr">
        <is>
          <t>Lifelong learning/Adult education</t>
        </is>
      </c>
      <c r="U899" s="1" t="inlineStr">
        <is>
          <t>Student interfacing</t>
        </is>
      </c>
      <c r="V899" s="1" t="n"/>
      <c r="W899" s="1" t="inlineStr">
        <is>
          <t>https://drive.google.com/uc?export=view&amp;id=1D7YA-7w9SYQiMcEO6WP0t1OjK5sYVADE</t>
        </is>
      </c>
      <c r="X899" s="1" t="inlineStr">
        <is>
          <t>https://drive.google.com/uc?export=view&amp;id=1D7YA-7w9SYQiMcEO6WP0t1OjK5sYVADE</t>
        </is>
      </c>
      <c r="Y899" t="inlineStr">
        <is>
          <t>https://drive.google.com/uc?export=view&amp;id=1D7YA-7w9SYQiMcEO6WP0t1OjK5sYVADE</t>
        </is>
      </c>
      <c r="Z899" s="1" t="inlineStr">
        <is>
          <t>https://drive.google.com/uc?export=view&amp;id=1D7YA-7w9SYQiMcEO6WP0t1OjK5sYVADE</t>
        </is>
      </c>
      <c r="AA899" s="1" t="inlineStr">
        <is>
          <t>Unverified</t>
        </is>
      </c>
      <c r="AB899" s="1" t="n"/>
      <c r="AC899" s="1" t="n"/>
      <c r="AD899" s="10" t="n"/>
      <c r="AE899" s="1" t="n"/>
      <c r="AF899" t="inlineStr">
        <is>
          <t>No</t>
        </is>
      </c>
    </row>
    <row r="900" ht="12.5" customHeight="1">
      <c r="A900" s="6" t="n">
        <v>45181</v>
      </c>
      <c r="B900" s="1" t="inlineStr">
        <is>
          <t>ORG_2262</t>
        </is>
      </c>
      <c r="C900" s="1" t="b">
        <v>1</v>
      </c>
      <c r="D900" s="1" t="inlineStr">
        <is>
          <t>SkillsUp Training and Research Services</t>
        </is>
      </c>
      <c r="E900" s="10" t="inlineStr">
        <is>
          <t>www.skillsuptraining.org</t>
        </is>
      </c>
      <c r="F900" t="inlineStr">
        <is>
          <t>skillsuptraining.org</t>
        </is>
      </c>
      <c r="G900" s="1" t="inlineStr">
        <is>
          <t>SkillsUp Training and Research Services was established aiming to offer easy access to education opportunities to a wide number of people who are not able to attend a face-to-face program/courses, due to geographical, health, professional, family or other constraints, through EdTech and the use of the internet. In this way, SkillsUp responds to the current and growing needs of our society for learning, through alternative education programs and promotes equal opportunity in education. At the same time, we participate in research project related to education and ICT (Horizon, Erasmus+, as well as project with local businesses and the government)</t>
        </is>
      </c>
      <c r="H900" s="1" t="inlineStr">
        <is>
          <t>I'm not part of any EdTech association</t>
        </is>
      </c>
      <c r="I900" s="1" t="n"/>
      <c r="J900" s="1" t="inlineStr">
        <is>
          <t>Amsterdam</t>
        </is>
      </c>
      <c r="K900" t="inlineStr">
        <is>
          <t>Amsterdam</t>
        </is>
      </c>
      <c r="L900" t="inlineStr">
        <is>
          <t>Amsterdam, The Netherlands</t>
        </is>
      </c>
      <c r="M900" t="n">
        <v>52.3701984</v>
      </c>
      <c r="N900" t="n">
        <v>4.892168</v>
      </c>
      <c r="O900" s="1" t="inlineStr">
        <is>
          <t>The Netherlands</t>
        </is>
      </c>
      <c r="P900" s="1" t="inlineStr">
        <is>
          <t>Belgium, Cyprus, Germany, Greece, Italy, Netherlands, Poland, Romania, Spain, Sweden</t>
        </is>
      </c>
      <c r="Q900" s="1" t="inlineStr">
        <is>
          <t>0 to 10</t>
        </is>
      </c>
      <c r="R900" t="inlineStr">
        <is>
          <t>Micro</t>
        </is>
      </c>
      <c r="S900" s="1" t="inlineStr">
        <is>
          <t>Business to Consumer</t>
        </is>
      </c>
      <c r="T900" s="1" t="inlineStr">
        <is>
          <t>Primary Education, Secondary Education, Higher Education, Corporate Training, Lifelong learning/Adult education</t>
        </is>
      </c>
      <c r="U900" s="1" t="inlineStr">
        <is>
          <t>Teacher interfacing, Student interfacing, System/Administrative</t>
        </is>
      </c>
      <c r="V900" s="1" t="n"/>
      <c r="W900" s="1" t="inlineStr">
        <is>
          <t>https://drive.google.com/uc?export=view&amp;id=1iF38OdNi1lc_JnMIhYf7bYqIlUVHXpp_</t>
        </is>
      </c>
      <c r="X900" s="1" t="inlineStr">
        <is>
          <t>https://drive.google.com/uc?export=view&amp;id=1iF38OdNi1lc_JnMIhYf7bYqIlUVHXpp_</t>
        </is>
      </c>
      <c r="Y900" t="inlineStr">
        <is>
          <t>https://drive.google.com/uc?export=view&amp;id=1iF38OdNi1lc_JnMIhYf7bYqIlUVHXpp_</t>
        </is>
      </c>
      <c r="Z900" s="1" t="inlineStr">
        <is>
          <t>https://drive.google.com/uc?export=view&amp;id=1iF38OdNi1lc_JnMIhYf7bYqIlUVHXpp_</t>
        </is>
      </c>
      <c r="AA900" s="1" t="inlineStr">
        <is>
          <t>Unverified</t>
        </is>
      </c>
      <c r="AB900" s="1" t="n"/>
      <c r="AC900" s="1" t="n"/>
      <c r="AD900" s="10" t="n"/>
      <c r="AE900" s="1" t="n"/>
      <c r="AF900" t="inlineStr">
        <is>
          <t>No</t>
        </is>
      </c>
    </row>
    <row r="901" ht="12.5" customHeight="1">
      <c r="A901" s="6" t="n">
        <v>45181</v>
      </c>
      <c r="B901" s="1" t="inlineStr">
        <is>
          <t>ORG_2352</t>
        </is>
      </c>
      <c r="C901" s="1" t="b">
        <v>1</v>
      </c>
      <c r="D901" s="1" t="inlineStr">
        <is>
          <t>Sustainability Unlocked</t>
        </is>
      </c>
      <c r="E901" s="10" t="inlineStr">
        <is>
          <t>https://sustainabilityunlocked.com</t>
        </is>
      </c>
      <c r="F901" t="inlineStr">
        <is>
          <t>sustainabilityunlocked.com</t>
        </is>
      </c>
      <c r="G901" s="1" t="inlineStr">
        <is>
          <t>Sustainability Unlocked provides firm-wide foundational sustainability education to businesses through our innovative on-demand video platform. Our mission with Sustainability Unlocked is to empower change through education by embedding sustainability education into the culture of global organisations.</t>
        </is>
      </c>
      <c r="H901" s="1" t="inlineStr">
        <is>
          <t>I'm not part of any EdTech association</t>
        </is>
      </c>
      <c r="I901" s="1" t="n"/>
      <c r="J901" s="1" t="inlineStr">
        <is>
          <t>London</t>
        </is>
      </c>
      <c r="K901" t="inlineStr">
        <is>
          <t>London</t>
        </is>
      </c>
      <c r="L901" t="inlineStr">
        <is>
          <t>London, United Kingdom</t>
        </is>
      </c>
      <c r="M901" t="n">
        <v>51.5074456</v>
      </c>
      <c r="N901" t="n">
        <v>-0.1277653</v>
      </c>
      <c r="O901" s="1" t="inlineStr">
        <is>
          <t>United Kingdom</t>
        </is>
      </c>
      <c r="P901" s="1" t="inlineStr">
        <is>
          <t>Andorra, Armenia, Austria, Bulgaria, Croatia, Cyprus, Czechia, Denmark, Finland, France, Georgia, Germany, Greece, Hungary, Iceland, Ireland, Italy, Luxembourg, Malta, Moldova, Monaco, Montenegro, Netherlands, North Macedonia, Norway, Poland, Portugal, Romania, San Marino, Spain, Sweden, Switzerland, Turkey, Ukraine, United Kingdom</t>
        </is>
      </c>
      <c r="Q901" s="1" t="inlineStr">
        <is>
          <t>11 to 50</t>
        </is>
      </c>
      <c r="R901" t="inlineStr">
        <is>
          <t>Small</t>
        </is>
      </c>
      <c r="S901" s="1" t="inlineStr">
        <is>
          <t>Business to Consumer, Business to Government, Business to Schools</t>
        </is>
      </c>
      <c r="T901" s="1" t="inlineStr">
        <is>
          <t>Corporate Training, Lifelong learning/Adult education</t>
        </is>
      </c>
      <c r="U901" s="1" t="inlineStr">
        <is>
          <t>Student interfacing, System/Administrative</t>
        </is>
      </c>
      <c r="V901" s="1" t="n"/>
      <c r="W901" s="1" t="inlineStr">
        <is>
          <t>https://drive.google.com/uc?export=view&amp;id=1pwVzxfhCv2CmeZEZzwPWzP8w9_d9kPTa</t>
        </is>
      </c>
      <c r="X901" s="1" t="inlineStr">
        <is>
          <t>https://drive.google.com/uc?export=view&amp;id=1pwVzxfhCv2CmeZEZzwPWzP8w9_d9kPTa</t>
        </is>
      </c>
      <c r="Y901" t="inlineStr">
        <is>
          <t>https://drive.google.com/uc?export=view&amp;id=1pwVzxfhCv2CmeZEZzwPWzP8w9_d9kPTa</t>
        </is>
      </c>
      <c r="Z901" s="1" t="inlineStr">
        <is>
          <t>https://drive.google.com/uc?export=view&amp;id=1pwVzxfhCv2CmeZEZzwPWzP8w9_d9kPTa</t>
        </is>
      </c>
      <c r="AA901" s="1" t="inlineStr">
        <is>
          <t>Unverified</t>
        </is>
      </c>
      <c r="AB901" s="1" t="n"/>
      <c r="AC901" s="1" t="n"/>
      <c r="AD901" s="10" t="n"/>
      <c r="AE901" s="1" t="n"/>
      <c r="AF901" t="inlineStr">
        <is>
          <t>No</t>
        </is>
      </c>
    </row>
    <row r="902" ht="12.5" customHeight="1">
      <c r="A902" s="6" t="n">
        <v>45181</v>
      </c>
      <c r="B902" s="1" t="inlineStr">
        <is>
          <t>ORG_1031</t>
        </is>
      </c>
      <c r="C902" s="1" t="b">
        <v>1</v>
      </c>
      <c r="D902" s="1" t="inlineStr">
        <is>
          <t>Acta</t>
        </is>
      </c>
      <c r="E902" s="10" t="inlineStr">
        <is>
          <t>www.getacta.com</t>
        </is>
      </c>
      <c r="F902" t="inlineStr">
        <is>
          <t>getacta.com</t>
        </is>
      </c>
      <c r="G902" s="1" t="inlineStr">
        <is>
          <t>Acta makes it easy for exam owners to manage their examiners, anywhere in the world, and pay them on time. 
Exam owners and test sponsors struggle to find great examiners and graders With Acta, exam owners can access 1000's of vetted expert examiners to grow their business. Examiners and graders spend less time finding new work, signing up, and chasing unpaid invoices. Acta is a modern, secure, frictionless, and efficient service for exam professionals. 
Sign up today at www.getacta.com</t>
        </is>
      </c>
      <c r="H902" s="1" t="inlineStr">
        <is>
          <t>I'm not part of any EdTech association</t>
        </is>
      </c>
      <c r="I902" s="1" t="n"/>
      <c r="J902" s="1" t="inlineStr">
        <is>
          <t>London</t>
        </is>
      </c>
      <c r="K902" t="inlineStr">
        <is>
          <t>London</t>
        </is>
      </c>
      <c r="L902" t="inlineStr">
        <is>
          <t>London, United Kingdom</t>
        </is>
      </c>
      <c r="M902" t="n">
        <v>51.5074456</v>
      </c>
      <c r="N902" t="n">
        <v>-0.1277653</v>
      </c>
      <c r="O902" s="1" t="inlineStr">
        <is>
          <t>United Kingdom</t>
        </is>
      </c>
      <c r="P902" s="1" t="inlineStr">
        <is>
          <t>Ireland, United Kingdom</t>
        </is>
      </c>
      <c r="Q902" s="1" t="inlineStr">
        <is>
          <t>0 to 10</t>
        </is>
      </c>
      <c r="R902" t="inlineStr">
        <is>
          <t>Micro</t>
        </is>
      </c>
      <c r="S902" s="1" t="inlineStr">
        <is>
          <t>Business to Business</t>
        </is>
      </c>
      <c r="T902" s="1" t="inlineStr">
        <is>
          <t>Secondary Education, Higher Education, Corporate Training</t>
        </is>
      </c>
      <c r="U902" s="1" t="inlineStr">
        <is>
          <t>System/Administrative</t>
        </is>
      </c>
      <c r="V902" s="1" t="n"/>
      <c r="W902" s="1" t="inlineStr">
        <is>
          <t>https://drive.google.com/uc?export=view&amp;id=1pivTBRttSkipIJktb_kBnoDBkc9D_SZb</t>
        </is>
      </c>
      <c r="X902" s="1" t="inlineStr">
        <is>
          <t>https://drive.google.com/uc?export=view&amp;id=1pivTBRttSkipIJktb_kBnoDBkc9D_SZb</t>
        </is>
      </c>
      <c r="Y902" t="inlineStr">
        <is>
          <t>https://drive.google.com/uc?export=view&amp;id=1pivTBRttSkipIJktb_kBnoDBkc9D_SZb</t>
        </is>
      </c>
      <c r="Z902" s="1" t="inlineStr">
        <is>
          <t>https://drive.google.com/uc?export=view&amp;id=1pivTBRttSkipIJktb_kBnoDBkc9D_SZb</t>
        </is>
      </c>
      <c r="AA902" s="1" t="inlineStr">
        <is>
          <t>Unverified</t>
        </is>
      </c>
      <c r="AB902" s="1" t="n"/>
      <c r="AC902" s="1" t="n"/>
      <c r="AD902" s="10" t="n"/>
      <c r="AE902" s="1" t="n"/>
      <c r="AF902" t="inlineStr">
        <is>
          <t>No</t>
        </is>
      </c>
    </row>
    <row r="903" ht="12.5" customHeight="1">
      <c r="A903" s="6" t="n">
        <v>45181</v>
      </c>
      <c r="B903" s="1" t="inlineStr">
        <is>
          <t>ORG_1089</t>
        </is>
      </c>
      <c r="C903" s="1" t="b">
        <v>1</v>
      </c>
      <c r="D903" s="1" t="inlineStr">
        <is>
          <t>ARCADIA</t>
        </is>
      </c>
      <c r="E903" s="10" t="inlineStr">
        <is>
          <t>https://arcadia-consulting.it/</t>
        </is>
      </c>
      <c r="F903" t="inlineStr">
        <is>
          <t>arcadia-consulting.it</t>
        </is>
      </c>
      <c r="G903" s="1" t="inlineStr">
        <is>
          <t>Arcadia help organizations to improve learning and evaluation processes by creating engaging digital experiences.
Arcadia mixes methodologies and technologies to design better end to end digital experiences managed in unique platform environment (LXP) in which each user will play simulators, app, games, interactive videos, VR experiences.</t>
        </is>
      </c>
      <c r="H903" s="1" t="inlineStr">
        <is>
          <t>I'm not part of any EdTech association</t>
        </is>
      </c>
      <c r="I903" s="1" t="n"/>
      <c r="J903" s="1" t="inlineStr">
        <is>
          <t>Cittadella</t>
        </is>
      </c>
      <c r="K903" t="inlineStr">
        <is>
          <t>Cittadella</t>
        </is>
      </c>
      <c r="L903" t="inlineStr">
        <is>
          <t>Cittadella, Italy</t>
        </is>
      </c>
      <c r="M903" t="n">
        <v>45.6487941</v>
      </c>
      <c r="N903" t="n">
        <v>11.7835801</v>
      </c>
      <c r="O903" s="1" t="inlineStr">
        <is>
          <t>Italy</t>
        </is>
      </c>
      <c r="P903" s="1" t="inlineStr">
        <is>
          <t>Italy</t>
        </is>
      </c>
      <c r="Q903" s="1" t="inlineStr">
        <is>
          <t>0 to 10</t>
        </is>
      </c>
      <c r="R903" t="inlineStr">
        <is>
          <t>Micro</t>
        </is>
      </c>
      <c r="S903" s="1" t="inlineStr">
        <is>
          <t>Business to Business</t>
        </is>
      </c>
      <c r="T903" s="1" t="inlineStr">
        <is>
          <t>Corporate Training, Lifelong learning/Adult education</t>
        </is>
      </c>
      <c r="U903" s="1" t="inlineStr">
        <is>
          <t>Teacher interfacing, Student interfacing, System/Administrative</t>
        </is>
      </c>
      <c r="V903" s="1" t="n"/>
      <c r="W903" s="1" t="inlineStr">
        <is>
          <t>https://drive.google.com/uc?export=view&amp;id=1odQl3-pFyacJEPlOcjRF1JbyQaaeIQ3A</t>
        </is>
      </c>
      <c r="X903" s="1" t="inlineStr">
        <is>
          <t>https://drive.google.com/uc?export=view&amp;id=1odQl3-pFyacJEPlOcjRF1JbyQaaeIQ3A</t>
        </is>
      </c>
      <c r="Y903" t="inlineStr">
        <is>
          <t>https://drive.google.com/uc?export=view&amp;id=1odQl3-pFyacJEPlOcjRF1JbyQaaeIQ3A</t>
        </is>
      </c>
      <c r="Z903" s="1" t="inlineStr">
        <is>
          <t>https://drive.google.com/uc?export=view&amp;id=1odQl3-pFyacJEPlOcjRF1JbyQaaeIQ3A</t>
        </is>
      </c>
      <c r="AA903" s="1" t="inlineStr">
        <is>
          <t>Unverified</t>
        </is>
      </c>
      <c r="AB903" s="1" t="n"/>
      <c r="AC903" s="1" t="n"/>
      <c r="AD903" s="10" t="n"/>
      <c r="AE903" s="1" t="n"/>
      <c r="AF903" t="inlineStr">
        <is>
          <t>No</t>
        </is>
      </c>
    </row>
    <row r="904" ht="12.5" customHeight="1">
      <c r="A904" s="6" t="n">
        <v>45181</v>
      </c>
      <c r="B904" s="1" t="inlineStr">
        <is>
          <t>ORG_1184</t>
        </is>
      </c>
      <c r="C904" s="1" t="b">
        <v>1</v>
      </c>
      <c r="D904" s="1" t="inlineStr">
        <is>
          <t>BonoLab</t>
        </is>
      </c>
      <c r="E904" s="10" t="inlineStr">
        <is>
          <t>https://bonolab.com/</t>
        </is>
      </c>
      <c r="F904" t="inlineStr">
        <is>
          <t>bonolab.com</t>
        </is>
      </c>
      <c r="G904" s="1" t="inlineStr">
        <is>
          <t>At BonoLab we create lesson plans for teachers to deliver engaging STEAM lessons where the focus is on children's curiosity and social learning. Our lesson plans embrace both digital and hands-on activities and are carefully designed to build resilience and develop a mindset for lifelong learning.
Our approach is to inspire learning with real-life stories and challenges, developed in collaboration with top sustainable and innovation companies. Our focus is on questioning and finding new ways to solve challenges rather than just following instructions and recalling information.</t>
        </is>
      </c>
      <c r="H904" s="1" t="inlineStr">
        <is>
          <t>EdTech Denmark</t>
        </is>
      </c>
      <c r="I904" s="1" t="inlineStr">
        <is>
          <t>English, Danish</t>
        </is>
      </c>
      <c r="J904" s="1" t="inlineStr">
        <is>
          <t>Birkerød</t>
        </is>
      </c>
      <c r="K904" t="inlineStr">
        <is>
          <t>Birkerød</t>
        </is>
      </c>
      <c r="L904" t="inlineStr">
        <is>
          <t>Birkerød, Denmark</t>
        </is>
      </c>
      <c r="M904" t="n">
        <v>55.8403369</v>
      </c>
      <c r="N904" t="n">
        <v>12.4287796</v>
      </c>
      <c r="O904" s="1" t="inlineStr">
        <is>
          <t>Denmark</t>
        </is>
      </c>
      <c r="P904" s="1" t="inlineStr">
        <is>
          <t>Denmark</t>
        </is>
      </c>
      <c r="Q904" s="1" t="inlineStr">
        <is>
          <t>0 to 2</t>
        </is>
      </c>
      <c r="R904" t="inlineStr">
        <is>
          <t>Solo entrepreneur</t>
        </is>
      </c>
      <c r="S904" s="1" t="inlineStr">
        <is>
          <t>Business to Business</t>
        </is>
      </c>
      <c r="T904" s="1" t="inlineStr">
        <is>
          <t>Primary Education, Secondary Education</t>
        </is>
      </c>
      <c r="U904" s="1" t="inlineStr">
        <is>
          <t>System/Administrative, Student interfacing, Teacher interfacing</t>
        </is>
      </c>
      <c r="V904" s="1" t="inlineStr">
        <is>
          <t>Enzyme Heroes</t>
        </is>
      </c>
      <c r="W904" s="1" t="inlineStr">
        <is>
          <t>Free blended learning lesson plan about enzymes.
This lesson plan contains state-of-the-art knowledge, digital tasks, hands-on experiments for individuals and groups, and inspiration for social activities in and outside of the classroom. We have aimed to meet the needs of the primary school classes 4.- 6. grade (ages 10 -12 years), but the lesson plan can be successfully used by younger or older students. In this case, age-appropriate assignments should be selected by you.</t>
        </is>
      </c>
      <c r="X904" s="10" t="inlineStr">
        <is>
          <t>E-waste circularity challenge</t>
        </is>
      </c>
      <c r="Y904" t="inlineStr">
        <is>
          <t>Free blended learning lesson plan about e-wate.
The lesson plan is aimed at 12-14-year-old students, but can easily be adjusted for a younger or older age group.
After completing the activity, the students will be able to:
- Explain in simple terms the issue of electronic waste.
- Identify basic electronic waste sources, and discover the electronic waste management opportunities closest to their home.
- Co-design with their peers a simple community-engagement initiative to connect with their surrounding community and help raise awareness of the negative impact of the use of electronic devices.</t>
        </is>
      </c>
      <c r="Z904" s="1" t="inlineStr">
        <is>
          <t>https://drive.google.com/uc?export=view&amp;id=1k-vcMbIFdYCm1ca7JS7BmtfyDgOXKPaL</t>
        </is>
      </c>
      <c r="AA904" s="1" t="inlineStr">
        <is>
          <t>Unverified</t>
        </is>
      </c>
      <c r="AB904" s="1" t="n"/>
      <c r="AC904" s="1" t="n"/>
      <c r="AD904" s="10" t="n"/>
      <c r="AE904" s="1" t="n"/>
      <c r="AF904" t="inlineStr">
        <is>
          <t>Yes</t>
        </is>
      </c>
      <c r="AG904" t="inlineStr">
        <is>
          <t>https://www.linkedin.com/company/74605646/</t>
        </is>
      </c>
      <c r="AH904" t="inlineStr">
        <is>
          <t>https://www.linkedin.com/company/74605646/</t>
        </is>
      </c>
      <c r="AI904" t="inlineStr">
        <is>
          <t>https://www.linkedin.com/company/74605646/</t>
        </is>
      </c>
    </row>
    <row r="905" ht="12.5" customHeight="1">
      <c r="A905" s="6" t="n">
        <v>45181</v>
      </c>
      <c r="B905" s="1" t="inlineStr">
        <is>
          <t>ORG_1235</t>
        </is>
      </c>
      <c r="C905" s="1" t="b">
        <v>1</v>
      </c>
      <c r="D905" s="1" t="inlineStr">
        <is>
          <t>Choice31</t>
        </is>
      </c>
      <c r="E905" s="10" t="inlineStr">
        <is>
          <t>https://choice31.com/ua/</t>
        </is>
      </c>
      <c r="F905" t="inlineStr">
        <is>
          <t>choice31.com/ua</t>
        </is>
      </c>
      <c r="G905" s="1" t="inlineStr">
        <is>
          <t>Choice31 - is an online University of current knowledge and vocations. We create a safe space where you can self-search, acquire new skills or obtain a new profession. We teach online. The key is your motivation, not your location.</t>
        </is>
      </c>
      <c r="H905" s="1" t="inlineStr">
        <is>
          <t>I'm not part of any EdTech association</t>
        </is>
      </c>
      <c r="I905" s="1" t="n"/>
      <c r="J905" s="1" t="inlineStr">
        <is>
          <t>Kyiv</t>
        </is>
      </c>
      <c r="K905" t="inlineStr">
        <is>
          <t>Kyiv</t>
        </is>
      </c>
      <c r="L905" t="inlineStr">
        <is>
          <t>Kyiv, Ukraine</t>
        </is>
      </c>
      <c r="M905" t="n">
        <v>50.4500336</v>
      </c>
      <c r="N905" t="n">
        <v>30.5241361</v>
      </c>
      <c r="O905" s="1" t="inlineStr">
        <is>
          <t>Ukraine</t>
        </is>
      </c>
      <c r="P905" s="1" t="inlineStr">
        <is>
          <t>Azerbaijan, Germany, Kazakhstan, Latvia, Lithuania, Poland, Ukraine</t>
        </is>
      </c>
      <c r="Q905" s="1" t="inlineStr">
        <is>
          <t>11 to 50</t>
        </is>
      </c>
      <c r="R905" t="inlineStr">
        <is>
          <t>Small</t>
        </is>
      </c>
      <c r="S905" s="1" t="inlineStr">
        <is>
          <t>Business to Business</t>
        </is>
      </c>
      <c r="T905" s="1" t="inlineStr">
        <is>
          <t>Lifelong learning/Adult education</t>
        </is>
      </c>
      <c r="U905" s="1" t="inlineStr">
        <is>
          <t>Student interfacing, System/Administrative</t>
        </is>
      </c>
      <c r="V905" s="1" t="n"/>
      <c r="W905" s="1" t="inlineStr">
        <is>
          <t>https://drive.google.com/uc?export=view&amp;id=1iAP7yLas2id1ymUzPozkgwozxjEFxqEn</t>
        </is>
      </c>
      <c r="X905" s="1" t="inlineStr">
        <is>
          <t>https://drive.google.com/uc?export=view&amp;id=1iAP7yLas2id1ymUzPozkgwozxjEFxqEn</t>
        </is>
      </c>
      <c r="Y905" t="inlineStr">
        <is>
          <t>https://drive.google.com/uc?export=view&amp;id=1iAP7yLas2id1ymUzPozkgwozxjEFxqEn</t>
        </is>
      </c>
      <c r="Z905" s="1" t="inlineStr">
        <is>
          <t>https://drive.google.com/uc?export=view&amp;id=1iAP7yLas2id1ymUzPozkgwozxjEFxqEn</t>
        </is>
      </c>
      <c r="AA905" s="1" t="inlineStr">
        <is>
          <t>Unverified</t>
        </is>
      </c>
      <c r="AB905" s="1" t="n"/>
      <c r="AC905" s="1" t="n"/>
      <c r="AD905" s="10" t="n"/>
      <c r="AE905" s="1" t="n"/>
      <c r="AF905" t="inlineStr">
        <is>
          <t>No</t>
        </is>
      </c>
    </row>
    <row r="906" ht="12.5" customHeight="1">
      <c r="A906" s="6" t="n">
        <v>45181</v>
      </c>
      <c r="B906" s="1" t="inlineStr">
        <is>
          <t>ORG_1272</t>
        </is>
      </c>
      <c r="C906" s="1" t="b">
        <v>1</v>
      </c>
      <c r="D906" s="1" t="inlineStr">
        <is>
          <t>Codementum</t>
        </is>
      </c>
      <c r="E906" s="10" t="inlineStr">
        <is>
          <t>https://codementum.com/</t>
        </is>
      </c>
      <c r="F906" t="inlineStr">
        <is>
          <t>codementum.com</t>
        </is>
      </c>
      <c r="G906" s="1" t="inlineStr">
        <is>
          <t>Codementum provides all of the curriculum, intuitive tools, and resources you need to run a successful CS program. Our interactive learning platform allows kids to progress at their own pace and seamlessly transition to text languages like JavaScript and Python. Using Python and JavaScript, students learn to code and then build their own Mobile games and apps. With Codementum’s Teacher Kit, everyone can easily teach the basics of computer science. Codementum is a fun and educational game environment where students learn to code in a real programming language, no previous experience needed. It is designed as a classroom resource with fully-guided lesson plans. This means, every teacher can teach the Codementum courses, even if they have no prior experience in Computer Science. We provide you with everything you could possibly need.</t>
        </is>
      </c>
      <c r="H906" s="1" t="inlineStr">
        <is>
          <t>I'm not part of any EdTech association</t>
        </is>
      </c>
      <c r="I906" s="1" t="inlineStr">
        <is>
          <t>English, Spanish, Dutch, German, French</t>
        </is>
      </c>
      <c r="J906" s="1" t="inlineStr">
        <is>
          <t>London</t>
        </is>
      </c>
      <c r="K906" t="inlineStr">
        <is>
          <t>London</t>
        </is>
      </c>
      <c r="L906" t="inlineStr">
        <is>
          <t>London, United Kingdom</t>
        </is>
      </c>
      <c r="M906" t="n">
        <v>51.5074456</v>
      </c>
      <c r="N906" t="n">
        <v>-0.1277653</v>
      </c>
      <c r="O906" s="1" t="inlineStr">
        <is>
          <t>United Kingdom</t>
        </is>
      </c>
      <c r="P90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906" s="1" t="inlineStr">
        <is>
          <t>11 to 50</t>
        </is>
      </c>
      <c r="R906" t="inlineStr">
        <is>
          <t>Small</t>
        </is>
      </c>
      <c r="S906" s="1" t="inlineStr">
        <is>
          <t>Business to Business, Business to Consumer</t>
        </is>
      </c>
      <c r="T906" s="1" t="inlineStr">
        <is>
          <t>Primary Education, Secondary Education, Lifelong learning/Adult education, Vocational Education and Training (VET)</t>
        </is>
      </c>
      <c r="U906" s="1" t="inlineStr">
        <is>
          <t>System/Administrative, Student interfacing, Teacher interfacing</t>
        </is>
      </c>
      <c r="V906" s="10" t="inlineStr">
        <is>
          <t>Codementum</t>
        </is>
      </c>
      <c r="W906" s="10" t="inlineStr">
        <is>
          <t>Codementum provides all of the curriculum, intuitive tools, and resources you need to run a successful CS program. Our interactive learning platform allows kids to progress at their own pace and seamlessly transition to text languages like JavaScript and Python. Using Python and JavaScript, students learn to code and then build their own Mobile games and apps. With Codementum’s Teacher Kit, everyone can easily teach the basics of computer science. Codementum is a fun and educational game environment where students learn to code in a real programming language, no previous experience needed. It is designed as a classroom resource with fully-guided lesson plans. This means, every teacher can teach the Codementum courses, even if they have no prior experience in Computer Science. We provide you with everything you could possibly need.</t>
        </is>
      </c>
      <c r="X906" s="10" t="inlineStr">
        <is>
          <t>https://drive.google.com/uc?export=view&amp;id=1rsOYGezw9rklr6P4SZZjhZlf9XIG7P3N</t>
        </is>
      </c>
      <c r="Y906" t="inlineStr">
        <is>
          <t>https://drive.google.com/uc?export=view&amp;id=1rsOYGezw9rklr6P4SZZjhZlf9XIG7P3N</t>
        </is>
      </c>
      <c r="Z906" s="1" t="inlineStr">
        <is>
          <t>https://drive.google.com/uc?export=view&amp;id=1rsOYGezw9rklr6P4SZZjhZlf9XIG7P3N</t>
        </is>
      </c>
      <c r="AA906" s="1" t="inlineStr">
        <is>
          <t>Unverified</t>
        </is>
      </c>
      <c r="AB906" s="1" t="n"/>
      <c r="AC906" s="1" t="n"/>
      <c r="AD906" s="10" t="n"/>
      <c r="AE906" s="1" t="n"/>
      <c r="AF906" t="inlineStr">
        <is>
          <t>Yes</t>
        </is>
      </c>
      <c r="AG906" t="inlineStr">
        <is>
          <t>https://www.instagram.com/codementumglobal/</t>
        </is>
      </c>
      <c r="AH906" t="inlineStr">
        <is>
          <t>https://twitter.com/Codementum1</t>
        </is>
      </c>
      <c r="AI906" t="inlineStr">
        <is>
          <t>https://www.linkedin.com/company/codementum-coding-technologies/</t>
        </is>
      </c>
    </row>
    <row r="907" ht="12.5" customHeight="1">
      <c r="A907" s="6" t="n">
        <v>45181</v>
      </c>
      <c r="B907" s="1" t="inlineStr">
        <is>
          <t>ORG_1312</t>
        </is>
      </c>
      <c r="C907" s="1" t="b">
        <v>1</v>
      </c>
      <c r="D907" s="1" t="inlineStr">
        <is>
          <t>Crocodile</t>
        </is>
      </c>
      <c r="E907" s="10" t="inlineStr">
        <is>
          <t>https://www.crocodile-health.com</t>
        </is>
      </c>
      <c r="F907" t="inlineStr">
        <is>
          <t>crocodile-health.com</t>
        </is>
      </c>
      <c r="G907" s="1" t="inlineStr">
        <is>
          <t>Crocodile revolutionizes the further education process for dentists and offers them the opportunity to learn digitally and independently of time from many experts with a specialized e-learning platform. This makes it possible to better integrate education into the practice and to increase the quality of treatment for patients through the resulting increase in expertise. Compact training courses with well-known experts are being produced specifically for the platform and made available as part of a subscription.</t>
        </is>
      </c>
      <c r="H907" s="1" t="inlineStr">
        <is>
          <t>I'm not part of any EdTech association</t>
        </is>
      </c>
      <c r="I907" s="1" t="n"/>
      <c r="J907" s="1" t="inlineStr">
        <is>
          <t>Paderborn</t>
        </is>
      </c>
      <c r="K907" t="inlineStr">
        <is>
          <t>Paderborn</t>
        </is>
      </c>
      <c r="L907" t="inlineStr">
        <is>
          <t>Paderborn, Germany</t>
        </is>
      </c>
      <c r="M907" t="n">
        <v>51.7177044</v>
      </c>
      <c r="N907" t="n">
        <v>8.752653</v>
      </c>
      <c r="O907" s="1" t="inlineStr">
        <is>
          <t>Germany</t>
        </is>
      </c>
      <c r="P907" s="1" t="inlineStr">
        <is>
          <t>Germany</t>
        </is>
      </c>
      <c r="Q907" s="1" t="inlineStr">
        <is>
          <t>0 to 10</t>
        </is>
      </c>
      <c r="R907" t="inlineStr">
        <is>
          <t>Micro</t>
        </is>
      </c>
      <c r="S907" s="1" t="inlineStr">
        <is>
          <t>Business to Business, Business to Consumer</t>
        </is>
      </c>
      <c r="T907" s="1" t="inlineStr">
        <is>
          <t>Corporate Training</t>
        </is>
      </c>
      <c r="U907" s="1" t="inlineStr">
        <is>
          <t>Student interfacing</t>
        </is>
      </c>
      <c r="V907" s="1" t="n"/>
      <c r="W907" s="1" t="inlineStr">
        <is>
          <t>https://drive.google.com/uc?export=view&amp;id=1MsSzKq69-ZdpOVBrZ0bE6Kar2j1OWfiv</t>
        </is>
      </c>
      <c r="X907" s="1" t="inlineStr">
        <is>
          <t>https://drive.google.com/uc?export=view&amp;id=1MsSzKq69-ZdpOVBrZ0bE6Kar2j1OWfiv</t>
        </is>
      </c>
      <c r="Y907" t="inlineStr">
        <is>
          <t>https://drive.google.com/uc?export=view&amp;id=1MsSzKq69-ZdpOVBrZ0bE6Kar2j1OWfiv</t>
        </is>
      </c>
      <c r="Z907" s="1" t="inlineStr">
        <is>
          <t>https://drive.google.com/uc?export=view&amp;id=1MsSzKq69-ZdpOVBrZ0bE6Kar2j1OWfiv</t>
        </is>
      </c>
      <c r="AA907" s="1" t="inlineStr">
        <is>
          <t>Unverified</t>
        </is>
      </c>
      <c r="AB907" s="1" t="n"/>
      <c r="AC907" s="1" t="n"/>
      <c r="AD907" s="10" t="n"/>
      <c r="AE907" s="1" t="n"/>
      <c r="AF907" t="inlineStr">
        <is>
          <t>No</t>
        </is>
      </c>
    </row>
    <row r="908" ht="12.5" customHeight="1">
      <c r="A908" s="6" t="n">
        <v>45181</v>
      </c>
      <c r="B908" s="1" t="inlineStr">
        <is>
          <t>ORG_1342</t>
        </is>
      </c>
      <c r="C908" s="1" t="b">
        <v>1</v>
      </c>
      <c r="D908" s="1" t="inlineStr">
        <is>
          <t>DevinSense</t>
        </is>
      </c>
      <c r="E908" s="10" t="inlineStr">
        <is>
          <t>www.DevinSense.com</t>
        </is>
      </c>
      <c r="F908" t="inlineStr">
        <is>
          <t>devinsense.com</t>
        </is>
      </c>
      <c r="G908" s="1" t="inlineStr">
        <is>
          <t>DevinSense started off year 2014 and have ever since then been focusing on bringing the best products to the best customers within education, research and development.</t>
        </is>
      </c>
      <c r="H908" s="1" t="inlineStr">
        <is>
          <t>I'm not part of any EdTech association</t>
        </is>
      </c>
      <c r="I908" s="1" t="n"/>
      <c r="J908" s="1" t="inlineStr">
        <is>
          <t>Spånga</t>
        </is>
      </c>
      <c r="K908" t="inlineStr">
        <is>
          <t>Spånga</t>
        </is>
      </c>
      <c r="L908" t="inlineStr">
        <is>
          <t>Spånga, Sweden</t>
        </is>
      </c>
      <c r="M908" t="n">
        <v>59.3836259</v>
      </c>
      <c r="N908" t="n">
        <v>17.8981821</v>
      </c>
      <c r="O908" s="1" t="inlineStr">
        <is>
          <t>Sweden</t>
        </is>
      </c>
      <c r="P908" s="1" t="inlineStr">
        <is>
          <t>Denmark, Estonia, Finland, France, Germany, Hungary, Iceland, Ireland, Italy, Latvia, Netherlands, Norway, Poland, Portugal, Romania, Spain, Sweden, Switzerland, Turkey, Ukraine</t>
        </is>
      </c>
      <c r="Q908" s="1" t="inlineStr">
        <is>
          <t>0 to 10</t>
        </is>
      </c>
      <c r="R908" t="inlineStr">
        <is>
          <t>Micro</t>
        </is>
      </c>
      <c r="S908" s="1" t="inlineStr">
        <is>
          <t>Business to Business, Business to Consumer</t>
        </is>
      </c>
      <c r="T908" s="1" t="inlineStr">
        <is>
          <t>Primary Education, Secondary Education, Higher Education, Corporate Training</t>
        </is>
      </c>
      <c r="U908" s="1" t="inlineStr">
        <is>
          <t>Student interfacing, Teacher interfacing, System/Administrative</t>
        </is>
      </c>
      <c r="V908" s="1" t="n"/>
      <c r="W908" s="1" t="inlineStr">
        <is>
          <t>https://drive.google.com/uc?export=view&amp;id=114YGKkixXTELLDuWBKY8ECOfP73LzZXE</t>
        </is>
      </c>
      <c r="X908" s="1" t="inlineStr">
        <is>
          <t>https://drive.google.com/uc?export=view&amp;id=114YGKkixXTELLDuWBKY8ECOfP73LzZXE</t>
        </is>
      </c>
      <c r="Y908" t="inlineStr">
        <is>
          <t>https://drive.google.com/uc?export=view&amp;id=114YGKkixXTELLDuWBKY8ECOfP73LzZXE</t>
        </is>
      </c>
      <c r="Z908" s="1" t="inlineStr">
        <is>
          <t>https://drive.google.com/uc?export=view&amp;id=114YGKkixXTELLDuWBKY8ECOfP73LzZXE</t>
        </is>
      </c>
      <c r="AA908" s="1" t="inlineStr">
        <is>
          <t>Unverified</t>
        </is>
      </c>
      <c r="AB908" s="1" t="n"/>
      <c r="AC908" s="1" t="n"/>
      <c r="AD908" s="10" t="n"/>
      <c r="AE908" s="1" t="n"/>
      <c r="AF908" t="inlineStr">
        <is>
          <t>No</t>
        </is>
      </c>
    </row>
    <row r="909" ht="12.5" customHeight="1">
      <c r="A909" s="6" t="n">
        <v>45181</v>
      </c>
      <c r="B909" s="1" t="inlineStr">
        <is>
          <t>ORG_1350</t>
        </is>
      </c>
      <c r="C909" s="1" t="b">
        <v>1</v>
      </c>
      <c r="D909" s="1" t="inlineStr">
        <is>
          <t>DieSchulApp</t>
        </is>
      </c>
      <c r="E909" s="10" t="inlineStr">
        <is>
          <t>https://www.dieschulapp.de</t>
        </is>
      </c>
      <c r="F909" t="inlineStr">
        <is>
          <t>dieschulapp.de</t>
        </is>
      </c>
      <c r="G909" s="1" t="inlineStr">
        <is>
          <t>DieSchulApp is a school software that supports schools in communication, administration and digital teaching.
Previous everyday processes such as sick notes, letters to parents, substitutions, class book entries, and the organization of parent-teacher conferences become more digital, easier and faster.</t>
        </is>
      </c>
      <c r="H909" s="1" t="inlineStr">
        <is>
          <t>I'm not part of any EdTech association</t>
        </is>
      </c>
      <c r="I909" s="1" t="n"/>
      <c r="J909" s="1" t="inlineStr">
        <is>
          <t>Munich</t>
        </is>
      </c>
      <c r="K909" t="inlineStr">
        <is>
          <t>Munich</t>
        </is>
      </c>
      <c r="L909" t="inlineStr">
        <is>
          <t>Munich, Germany</t>
        </is>
      </c>
      <c r="M909" t="n">
        <v>48.1371079</v>
      </c>
      <c r="N909" t="n">
        <v>11.5753822</v>
      </c>
      <c r="O909" s="1" t="inlineStr">
        <is>
          <t>Germany</t>
        </is>
      </c>
      <c r="P909" s="1" t="inlineStr">
        <is>
          <t>Austria, Germany</t>
        </is>
      </c>
      <c r="Q909" s="1" t="inlineStr">
        <is>
          <t>11 to 50</t>
        </is>
      </c>
      <c r="R909" t="inlineStr">
        <is>
          <t>Small</t>
        </is>
      </c>
      <c r="S909" s="1" t="inlineStr">
        <is>
          <t>Business to Business, Business to Consumer</t>
        </is>
      </c>
      <c r="T909" s="1" t="inlineStr">
        <is>
          <t>Primary Education, Secondary Education</t>
        </is>
      </c>
      <c r="U909" s="1" t="inlineStr">
        <is>
          <t>Teacher interfacing, System/Administrative</t>
        </is>
      </c>
      <c r="V909" s="1" t="n"/>
      <c r="W909" s="1" t="inlineStr">
        <is>
          <t>https://drive.google.com/uc?export=view&amp;id=1sAZxbMadn9BTBW35yOCuUngYTWfzYqx6</t>
        </is>
      </c>
      <c r="X909" s="1" t="inlineStr">
        <is>
          <t>https://drive.google.com/uc?export=view&amp;id=1sAZxbMadn9BTBW35yOCuUngYTWfzYqx6</t>
        </is>
      </c>
      <c r="Y909" t="inlineStr">
        <is>
          <t>https://drive.google.com/uc?export=view&amp;id=1sAZxbMadn9BTBW35yOCuUngYTWfzYqx6</t>
        </is>
      </c>
      <c r="Z909" s="1" t="inlineStr">
        <is>
          <t>https://drive.google.com/uc?export=view&amp;id=1sAZxbMadn9BTBW35yOCuUngYTWfzYqx6</t>
        </is>
      </c>
      <c r="AA909" s="1" t="inlineStr">
        <is>
          <t>Unverified</t>
        </is>
      </c>
      <c r="AB909" s="1" t="n"/>
      <c r="AC909" s="1" t="n"/>
      <c r="AD909" s="10" t="n"/>
      <c r="AE909" s="1" t="n"/>
      <c r="AF909" t="inlineStr">
        <is>
          <t>No</t>
        </is>
      </c>
    </row>
    <row r="910" ht="12.5" customHeight="1">
      <c r="A910" s="6" t="n">
        <v>45181</v>
      </c>
      <c r="B910" s="1" t="inlineStr">
        <is>
          <t>ORG_1412</t>
        </is>
      </c>
      <c r="C910" s="1" t="b">
        <v>1</v>
      </c>
      <c r="D910" s="1" t="inlineStr">
        <is>
          <t>Edkimo</t>
        </is>
      </c>
      <c r="E910" s="10" t="inlineStr">
        <is>
          <t>https://edkimo.com</t>
        </is>
      </c>
      <c r="F910" t="inlineStr">
        <is>
          <t>edkimo.com</t>
        </is>
      </c>
      <c r="G910" s="1" t="inlineStr">
        <is>
          <t>Edkimo helps students and teachers improve learning in real-time. Our playful app allows for a full feedback loop, integrates into the learning process, and respects user privacy.</t>
        </is>
      </c>
      <c r="H910" s="1" t="inlineStr">
        <is>
          <t>I'm not part of any EdTech association</t>
        </is>
      </c>
      <c r="I910" s="1" t="n"/>
      <c r="J910" s="1" t="inlineStr">
        <is>
          <t>Berlin</t>
        </is>
      </c>
      <c r="K910" t="inlineStr">
        <is>
          <t>Berlin</t>
        </is>
      </c>
      <c r="L910" t="inlineStr">
        <is>
          <t>Berlin, Germany</t>
        </is>
      </c>
      <c r="M910" t="n">
        <v>52.5173885</v>
      </c>
      <c r="N910" t="n">
        <v>13.3951309</v>
      </c>
      <c r="O910" s="1" t="inlineStr">
        <is>
          <t>Germany</t>
        </is>
      </c>
      <c r="P910" s="1" t="inlineStr">
        <is>
          <t>Austria, Belgium, Denmark, France, Germany, Greece, Ireland, Netherlands, Portugal, Spain, Sweden, Switzerland, Ukraine, United Kingdom</t>
        </is>
      </c>
      <c r="Q910" s="1" t="inlineStr">
        <is>
          <t>0 to 10</t>
        </is>
      </c>
      <c r="R910" t="inlineStr">
        <is>
          <t>Micro</t>
        </is>
      </c>
      <c r="S910" s="1" t="inlineStr">
        <is>
          <t>Business to Business, Business to Consumer, Business to Government, Business to Schools</t>
        </is>
      </c>
      <c r="T910" s="1" t="inlineStr">
        <is>
          <t>Primary Education, Secondary Education, Higher Education, Corporate Training, Lifelong learning/Adult education</t>
        </is>
      </c>
      <c r="U910" s="1" t="inlineStr">
        <is>
          <t>System/Administrative, Student interfacing, Teacher interfacing</t>
        </is>
      </c>
      <c r="V910" s="1" t="n"/>
      <c r="W910" s="1" t="inlineStr">
        <is>
          <t>https://drive.google.com/uc?export=view&amp;id=1z9kLKEHcWsuRSlc5PK3Dvlq-hecXFYcX</t>
        </is>
      </c>
      <c r="X910" s="1" t="inlineStr">
        <is>
          <t>https://drive.google.com/uc?export=view&amp;id=1z9kLKEHcWsuRSlc5PK3Dvlq-hecXFYcX</t>
        </is>
      </c>
      <c r="Y910" t="inlineStr">
        <is>
          <t>https://drive.google.com/uc?export=view&amp;id=1z9kLKEHcWsuRSlc5PK3Dvlq-hecXFYcX</t>
        </is>
      </c>
      <c r="Z910" s="1" t="inlineStr">
        <is>
          <t>https://drive.google.com/uc?export=view&amp;id=1z9kLKEHcWsuRSlc5PK3Dvlq-hecXFYcX</t>
        </is>
      </c>
      <c r="AA910" s="1" t="inlineStr">
        <is>
          <t>Unverified</t>
        </is>
      </c>
      <c r="AB910" s="1" t="n"/>
      <c r="AC910" s="1" t="n"/>
      <c r="AD910" s="10" t="n"/>
      <c r="AE910" s="1" t="n"/>
      <c r="AF910" s="1" t="inlineStr">
        <is>
          <t>No</t>
        </is>
      </c>
      <c r="AG910" s="1" t="n"/>
      <c r="AH910" s="1" t="n"/>
    </row>
    <row r="911" ht="12.5" customHeight="1">
      <c r="A911" s="6" t="n">
        <v>45181</v>
      </c>
      <c r="B911" s="1" t="inlineStr">
        <is>
          <t>ORG_1563</t>
        </is>
      </c>
      <c r="C911" s="1" t="b">
        <v>1</v>
      </c>
      <c r="D911" s="1" t="inlineStr">
        <is>
          <t>Finalist</t>
        </is>
      </c>
      <c r="E911" s="10" t="inlineStr">
        <is>
          <t>https://www.finalist.nl/</t>
        </is>
      </c>
      <c r="F911" t="inlineStr">
        <is>
          <t>finalist.nl</t>
        </is>
      </c>
      <c r="G911" s="1" t="inlineStr">
        <is>
          <t>We help schools and universities with student recruitment, student and employee engagement, and other digital transformations. We achieve these goals by using open source and open standards in online tools. These include websites, integration services, and digital workspaces (MySchoolportal.com).
Our websites support the student recruitment process and automates enrollment, through easy-to-use CMS systems, findable content and accessibility.
Our digital workspace give students, teachers, researchers and other employees a personalized portal, social community, and collaboration platform. It integrates not only MS365 but all your applications, for this purpose. This includes scores, schedules, SSO, CRM applications, etc.</t>
        </is>
      </c>
      <c r="H911" s="1" t="inlineStr">
        <is>
          <t>I'm not part of any EdTech association</t>
        </is>
      </c>
      <c r="I911" s="1" t="n"/>
      <c r="J911" s="1" t="inlineStr">
        <is>
          <t>Rotterdam</t>
        </is>
      </c>
      <c r="K911" t="inlineStr">
        <is>
          <t>Rotterdam</t>
        </is>
      </c>
      <c r="L911" t="inlineStr">
        <is>
          <t>Rotterdam, The Netherlands</t>
        </is>
      </c>
      <c r="M911" t="n">
        <v>51.9563359</v>
      </c>
      <c r="N911" t="n">
        <v>4.4397319</v>
      </c>
      <c r="O911" s="1" t="inlineStr">
        <is>
          <t>The Netherlands</t>
        </is>
      </c>
      <c r="P911" s="1" t="inlineStr">
        <is>
          <t>Netherlands</t>
        </is>
      </c>
      <c r="Q911" s="1" t="inlineStr">
        <is>
          <t>51 to 100</t>
        </is>
      </c>
      <c r="R911" t="inlineStr">
        <is>
          <t>Medium</t>
        </is>
      </c>
      <c r="S911" s="1" t="inlineStr">
        <is>
          <t>Business to Business, Business to Consumer, Business to Government, Business to Schools</t>
        </is>
      </c>
      <c r="T911" s="1" t="inlineStr">
        <is>
          <t>Secondary Education, Higher Education</t>
        </is>
      </c>
      <c r="U911" s="1" t="inlineStr">
        <is>
          <t>System/Administrative, Student interfacing, Teacher interfacing</t>
        </is>
      </c>
      <c r="V911" s="1" t="n"/>
      <c r="W911" s="1" t="inlineStr">
        <is>
          <t>https://drive.google.com/uc?export=view&amp;id=1SDPDUpEw2lixPZu60929iGt4cY3U4jUh</t>
        </is>
      </c>
      <c r="X911" s="1" t="inlineStr">
        <is>
          <t>https://drive.google.com/uc?export=view&amp;id=1SDPDUpEw2lixPZu60929iGt4cY3U4jUh</t>
        </is>
      </c>
      <c r="Y911" t="inlineStr">
        <is>
          <t>https://drive.google.com/uc?export=view&amp;id=1SDPDUpEw2lixPZu60929iGt4cY3U4jUh</t>
        </is>
      </c>
      <c r="Z911" s="1" t="inlineStr">
        <is>
          <t>https://drive.google.com/uc?export=view&amp;id=1SDPDUpEw2lixPZu60929iGt4cY3U4jUh</t>
        </is>
      </c>
      <c r="AA911" s="1" t="inlineStr">
        <is>
          <t>Unverified</t>
        </is>
      </c>
      <c r="AB911" s="1" t="n"/>
      <c r="AC911" s="1" t="n"/>
      <c r="AD911" s="10" t="n"/>
      <c r="AE911" s="1" t="n"/>
      <c r="AF911" t="inlineStr">
        <is>
          <t>No</t>
        </is>
      </c>
    </row>
    <row r="912" ht="12.5" customHeight="1">
      <c r="A912" s="6" t="n">
        <v>45181</v>
      </c>
      <c r="B912" s="1" t="inlineStr">
        <is>
          <t>ORG_1584</t>
        </is>
      </c>
      <c r="C912" s="1" t="b">
        <v>1</v>
      </c>
      <c r="D912" s="1" t="inlineStr">
        <is>
          <t>Freigeist</t>
        </is>
      </c>
      <c r="E912" s="10" t="inlineStr">
        <is>
          <t>https://www.freigeist-app.de/</t>
        </is>
      </c>
      <c r="F912" t="inlineStr">
        <is>
          <t>freigeist-app.de</t>
        </is>
      </c>
      <c r="G912" s="1" t="inlineStr">
        <is>
          <t>Freigeist lets teachers plan their lessons digitally in the browser</t>
        </is>
      </c>
      <c r="H912" s="1" t="inlineStr">
        <is>
          <t>I'm not part of any EdTech association</t>
        </is>
      </c>
      <c r="I912" s="1" t="n"/>
      <c r="J912" s="1" t="inlineStr">
        <is>
          <t>München</t>
        </is>
      </c>
      <c r="K912" t="inlineStr">
        <is>
          <t>München</t>
        </is>
      </c>
      <c r="L912" t="inlineStr">
        <is>
          <t>München, Germany</t>
        </is>
      </c>
      <c r="M912" t="n">
        <v>48.1371079</v>
      </c>
      <c r="N912" t="n">
        <v>11.5753822</v>
      </c>
      <c r="O912" s="1" t="inlineStr">
        <is>
          <t>Germany</t>
        </is>
      </c>
      <c r="P912" s="1" t="inlineStr">
        <is>
          <t>Austria, France, Germany, Switzerland</t>
        </is>
      </c>
      <c r="Q912" s="1" t="inlineStr">
        <is>
          <t>0 to 10</t>
        </is>
      </c>
      <c r="R912" t="inlineStr">
        <is>
          <t>Micro</t>
        </is>
      </c>
      <c r="S912" s="1" t="inlineStr">
        <is>
          <t>Business to Business, Business to Consumer, Business to Schools</t>
        </is>
      </c>
      <c r="T912" s="1" t="inlineStr">
        <is>
          <t>Primary Education</t>
        </is>
      </c>
      <c r="U912" s="1" t="inlineStr">
        <is>
          <t>Teacher interfacing</t>
        </is>
      </c>
      <c r="V912" s="1" t="n"/>
      <c r="W912" s="1" t="inlineStr">
        <is>
          <t>https://drive.google.com/uc?export=view&amp;id=17G3JI2mHltRfGRdPWOtYsLZ_aSwy3TGV</t>
        </is>
      </c>
      <c r="X912" s="1" t="inlineStr">
        <is>
          <t>https://drive.google.com/uc?export=view&amp;id=17G3JI2mHltRfGRdPWOtYsLZ_aSwy3TGV</t>
        </is>
      </c>
      <c r="Y912" t="inlineStr">
        <is>
          <t>https://drive.google.com/uc?export=view&amp;id=17G3JI2mHltRfGRdPWOtYsLZ_aSwy3TGV</t>
        </is>
      </c>
      <c r="Z912" s="1" t="inlineStr">
        <is>
          <t>https://drive.google.com/uc?export=view&amp;id=17G3JI2mHltRfGRdPWOtYsLZ_aSwy3TGV</t>
        </is>
      </c>
      <c r="AA912" s="1" t="inlineStr">
        <is>
          <t>Unverified</t>
        </is>
      </c>
      <c r="AB912" s="1" t="n"/>
      <c r="AC912" s="1" t="n"/>
      <c r="AD912" s="10" t="n"/>
      <c r="AE912" s="1" t="n"/>
      <c r="AF912" s="1" t="inlineStr">
        <is>
          <t>No</t>
        </is>
      </c>
      <c r="AG912" s="1" t="n"/>
      <c r="AH912" s="1" t="n"/>
    </row>
    <row r="913" ht="12.5" customHeight="1">
      <c r="A913" s="6" t="n">
        <v>45181</v>
      </c>
      <c r="B913" s="1" t="inlineStr">
        <is>
          <t>ORG_1727</t>
        </is>
      </c>
      <c r="C913" s="1" t="b">
        <v>1</v>
      </c>
      <c r="D913" s="10" t="inlineStr">
        <is>
          <t>inoteam.io</t>
        </is>
      </c>
      <c r="E913" s="10" t="inlineStr">
        <is>
          <t>www.inoteam.io</t>
        </is>
      </c>
      <c r="F913" t="inlineStr">
        <is>
          <t>inoteam.io</t>
        </is>
      </c>
      <c r="G913" s="1" t="inlineStr">
        <is>
          <t>Inoteam.io is a Swiss-based Edtech startup that offers engaging team activities with realtime AI reporting that is used for leadership development and training in business schools and companies.</t>
        </is>
      </c>
      <c r="H913" s="1" t="inlineStr">
        <is>
          <t>Swiss EdTech Collider</t>
        </is>
      </c>
      <c r="I913" s="1" t="n"/>
      <c r="J913" s="1" t="inlineStr">
        <is>
          <t>Lausanne</t>
        </is>
      </c>
      <c r="K913" t="inlineStr">
        <is>
          <t>Lausanne</t>
        </is>
      </c>
      <c r="L913" t="inlineStr">
        <is>
          <t>Lausanne, Switzerland</t>
        </is>
      </c>
      <c r="M913" t="n">
        <v>46.5218269</v>
      </c>
      <c r="N913" t="n">
        <v>6.6327025</v>
      </c>
      <c r="O913" s="1" t="inlineStr">
        <is>
          <t>Switzerland</t>
        </is>
      </c>
      <c r="P913" s="1" t="inlineStr">
        <is>
          <t>Switzerland</t>
        </is>
      </c>
      <c r="Q913" s="1" t="inlineStr">
        <is>
          <t>0 to 10</t>
        </is>
      </c>
      <c r="R913" t="inlineStr">
        <is>
          <t>Micro</t>
        </is>
      </c>
      <c r="S913" s="1" t="inlineStr">
        <is>
          <t>Business to Business, Business to Consumer, Business to Schools</t>
        </is>
      </c>
      <c r="T913" s="1" t="inlineStr">
        <is>
          <t>Higher Education, Corporate Training, Lifelong learning/Adult education</t>
        </is>
      </c>
      <c r="U913" s="1" t="inlineStr">
        <is>
          <t>Teacher interfacing, System/Administrative</t>
        </is>
      </c>
      <c r="V913" s="1" t="n"/>
      <c r="W913" s="1" t="inlineStr">
        <is>
          <t>https://drive.google.com/uc?export=view&amp;id=1wn-Jp7aGkD5vEqe9-RflJfVO6KKCmJB9</t>
        </is>
      </c>
      <c r="X913" s="1" t="inlineStr">
        <is>
          <t>https://drive.google.com/uc?export=view&amp;id=1wn-Jp7aGkD5vEqe9-RflJfVO6KKCmJB9</t>
        </is>
      </c>
      <c r="Y913" t="inlineStr">
        <is>
          <t>https://drive.google.com/uc?export=view&amp;id=1wn-Jp7aGkD5vEqe9-RflJfVO6KKCmJB9</t>
        </is>
      </c>
      <c r="Z913" s="1" t="inlineStr">
        <is>
          <t>https://drive.google.com/uc?export=view&amp;id=1wn-Jp7aGkD5vEqe9-RflJfVO6KKCmJB9</t>
        </is>
      </c>
      <c r="AA913" s="1" t="inlineStr">
        <is>
          <t>Unverified</t>
        </is>
      </c>
      <c r="AB913" s="1" t="n"/>
      <c r="AC913" s="1" t="n"/>
      <c r="AD913" s="10" t="n"/>
      <c r="AE913" s="1" t="n"/>
      <c r="AF913" s="1" t="inlineStr">
        <is>
          <t>No</t>
        </is>
      </c>
      <c r="AG913" s="1" t="n"/>
      <c r="AH913" s="1" t="n"/>
    </row>
    <row r="914" ht="12.5" customHeight="1">
      <c r="A914" s="6" t="n">
        <v>45181</v>
      </c>
      <c r="B914" s="1" t="inlineStr">
        <is>
          <t>ORG_1741</t>
        </is>
      </c>
      <c r="C914" s="1" t="b">
        <v>1</v>
      </c>
      <c r="D914" s="1" t="inlineStr">
        <is>
          <t>Ismart</t>
        </is>
      </c>
      <c r="E914" s="10" t="inlineStr">
        <is>
          <t>https://www.ismart.org/</t>
        </is>
      </c>
      <c r="F914" t="inlineStr">
        <is>
          <t>ismart.org</t>
        </is>
      </c>
      <c r="G914" s="1" t="inlineStr">
        <is>
          <t>Online simulators for preparing for school and improving academic performance in school subjects.</t>
        </is>
      </c>
      <c r="H914" s="1" t="inlineStr">
        <is>
          <t>I'm not part of any EdTech association</t>
        </is>
      </c>
      <c r="I914" s="1" t="n"/>
      <c r="J914" s="1" t="inlineStr">
        <is>
          <t>Korolev</t>
        </is>
      </c>
      <c r="K914" t="inlineStr">
        <is>
          <t>Korolev</t>
        </is>
      </c>
      <c r="L914" t="inlineStr">
        <is>
          <t>Korolev, Russia</t>
        </is>
      </c>
      <c r="M914" t="n">
        <v>55.9190049</v>
      </c>
      <c r="N914" t="n">
        <v>37.8150443</v>
      </c>
      <c r="O914" s="1" t="inlineStr">
        <is>
          <t>Russia</t>
        </is>
      </c>
      <c r="P914" s="1" t="inlineStr">
        <is>
          <t>Armenia, Azerbaijan, Belarus, Georgia, Kazakhstan, Russia, Ukraine</t>
        </is>
      </c>
      <c r="Q914" s="1" t="inlineStr">
        <is>
          <t>51 to 100</t>
        </is>
      </c>
      <c r="R914" t="inlineStr">
        <is>
          <t>Medium</t>
        </is>
      </c>
      <c r="S914" s="1" t="inlineStr">
        <is>
          <t>Business to Business, Business to Government</t>
        </is>
      </c>
      <c r="T914" s="1" t="inlineStr">
        <is>
          <t>Early childhood development (0-5 years), Primary Education, Secondary Education, Lifelong learning/Adult education</t>
        </is>
      </c>
      <c r="U914" s="1" t="inlineStr">
        <is>
          <t>System/Administrative, Student interfacing, Teacher interfacing</t>
        </is>
      </c>
      <c r="V914" s="1" t="n"/>
      <c r="W914" s="1" t="inlineStr">
        <is>
          <t>https://drive.google.com/uc?export=view&amp;id=118E3ksRTgODEbpu1bTm-av3JOnv7soZi</t>
        </is>
      </c>
      <c r="X914" s="1" t="inlineStr">
        <is>
          <t>https://drive.google.com/uc?export=view&amp;id=118E3ksRTgODEbpu1bTm-av3JOnv7soZi</t>
        </is>
      </c>
      <c r="Y914" t="inlineStr">
        <is>
          <t>https://drive.google.com/uc?export=view&amp;id=118E3ksRTgODEbpu1bTm-av3JOnv7soZi</t>
        </is>
      </c>
      <c r="Z914" s="1" t="inlineStr">
        <is>
          <t>https://drive.google.com/uc?export=view&amp;id=118E3ksRTgODEbpu1bTm-av3JOnv7soZi</t>
        </is>
      </c>
      <c r="AA914" s="1" t="inlineStr">
        <is>
          <t>Unverified</t>
        </is>
      </c>
      <c r="AB914" s="1" t="n"/>
      <c r="AC914" s="1" t="n"/>
      <c r="AD914" s="10" t="n"/>
      <c r="AE914" s="1" t="n"/>
      <c r="AF914" t="inlineStr">
        <is>
          <t>No</t>
        </is>
      </c>
    </row>
    <row r="915" ht="12.5" customHeight="1">
      <c r="A915" s="6" t="n">
        <v>45181</v>
      </c>
      <c r="B915" s="1" t="inlineStr">
        <is>
          <t>ORG_1825</t>
        </is>
      </c>
      <c r="C915" s="1" t="b">
        <v>1</v>
      </c>
      <c r="D915" s="1" t="inlineStr">
        <is>
          <t>Learn to Quest</t>
        </is>
      </c>
      <c r="E915" s="10" t="inlineStr">
        <is>
          <t>www.learntoquest.com</t>
        </is>
      </c>
      <c r="F915" t="inlineStr">
        <is>
          <t>learntoquest.com</t>
        </is>
      </c>
      <c r="G915" s="1" t="inlineStr">
        <is>
          <t>Learn To Quest stands for high-quality teaching and supervision of research (projects) within education. We believe that with concrete and visual explainations and support, students understand even better how a research cycle works. With our online and offline tools you can easily keep track of the progress of your students, saving you a lot of time and effort.</t>
        </is>
      </c>
      <c r="H915" s="1" t="inlineStr">
        <is>
          <t>Dutch EdTech</t>
        </is>
      </c>
      <c r="I915" s="1" t="n"/>
      <c r="J915" s="1" t="inlineStr">
        <is>
          <t>Amersfoort</t>
        </is>
      </c>
      <c r="K915" t="inlineStr">
        <is>
          <t>Amersfoort</t>
        </is>
      </c>
      <c r="L915" t="inlineStr">
        <is>
          <t>Amersfoort, The Netherlands</t>
        </is>
      </c>
      <c r="M915" t="n">
        <v>52.1928326</v>
      </c>
      <c r="N915" t="n">
        <v>5.4212862</v>
      </c>
      <c r="O915" s="1" t="inlineStr">
        <is>
          <t>The Netherlands</t>
        </is>
      </c>
      <c r="P915" s="1" t="inlineStr">
        <is>
          <t>Belgium, Germany, Netherlands, United Kingdom</t>
        </is>
      </c>
      <c r="Q915" s="1" t="inlineStr">
        <is>
          <t>0 to 10</t>
        </is>
      </c>
      <c r="R915" t="inlineStr">
        <is>
          <t>Micro</t>
        </is>
      </c>
      <c r="S915" s="1" t="inlineStr">
        <is>
          <t>Business to Business, Business to Government, Business to Schools</t>
        </is>
      </c>
      <c r="T915" s="1" t="inlineStr">
        <is>
          <t>Secondary Education, Higher Education, Corporate Training</t>
        </is>
      </c>
      <c r="U915" s="1" t="inlineStr">
        <is>
          <t>Teacher interfacing</t>
        </is>
      </c>
      <c r="V915" s="1" t="n"/>
      <c r="W915" s="1" t="inlineStr">
        <is>
          <t>https://drive.google.com/uc?export=view&amp;id=17pHTlMvva_nCNSL_GJLYAk_xARH35Sq3</t>
        </is>
      </c>
      <c r="X915" s="1" t="inlineStr">
        <is>
          <t>https://drive.google.com/uc?export=view&amp;id=17pHTlMvva_nCNSL_GJLYAk_xARH35Sq3</t>
        </is>
      </c>
      <c r="Y915" t="inlineStr">
        <is>
          <t>https://drive.google.com/uc?export=view&amp;id=17pHTlMvva_nCNSL_GJLYAk_xARH35Sq3</t>
        </is>
      </c>
      <c r="Z915" s="1" t="inlineStr">
        <is>
          <t>https://drive.google.com/uc?export=view&amp;id=17pHTlMvva_nCNSL_GJLYAk_xARH35Sq3</t>
        </is>
      </c>
      <c r="AA915" s="1" t="inlineStr">
        <is>
          <t>Unverified</t>
        </is>
      </c>
      <c r="AB915" s="1" t="n"/>
      <c r="AC915" s="1" t="n"/>
      <c r="AD915" s="10" t="n"/>
      <c r="AE915" s="1" t="n"/>
      <c r="AF915" t="inlineStr">
        <is>
          <t>No</t>
        </is>
      </c>
    </row>
    <row r="916" ht="12.5" customHeight="1">
      <c r="A916" s="6" t="n">
        <v>45181</v>
      </c>
      <c r="B916" s="1" t="inlineStr">
        <is>
          <t>ORG_2022</t>
        </is>
      </c>
      <c r="C916" s="1" t="b">
        <v>1</v>
      </c>
      <c r="D916" s="1" t="inlineStr">
        <is>
          <t>Natur &amp; Kultur</t>
        </is>
      </c>
      <c r="E916" s="10" t="inlineStr">
        <is>
          <t>www.nok.se</t>
        </is>
      </c>
      <c r="F916" t="inlineStr">
        <is>
          <t>nok.se</t>
        </is>
      </c>
      <c r="G916" s="1" t="inlineStr">
        <is>
          <t>Natur &amp; Kultur is a Swedish publishing company with digital teaching materials for preschool, school and adult education, as well for higher education and professional development in pedagogy, psychology, leadership and care. Natur &amp; Kultur is a member of Swedish Edtech Industry.</t>
        </is>
      </c>
      <c r="H916" s="1" t="inlineStr">
        <is>
          <t>Swedish EdTech Industry</t>
        </is>
      </c>
      <c r="I916" s="1" t="n"/>
      <c r="J916" s="1" t="inlineStr">
        <is>
          <t>Stockholm</t>
        </is>
      </c>
      <c r="K916" t="inlineStr">
        <is>
          <t>Stockholm</t>
        </is>
      </c>
      <c r="L916" t="inlineStr">
        <is>
          <t>Stockholm, Sweden</t>
        </is>
      </c>
      <c r="M916" t="n">
        <v>59.3251172</v>
      </c>
      <c r="N916" t="n">
        <v>18.0710935</v>
      </c>
      <c r="O916" s="1" t="inlineStr">
        <is>
          <t>Sweden</t>
        </is>
      </c>
      <c r="P916" s="1" t="inlineStr">
        <is>
          <t>Sweden</t>
        </is>
      </c>
      <c r="Q916" s="1" t="inlineStr">
        <is>
          <t>100+</t>
        </is>
      </c>
      <c r="R916" t="inlineStr">
        <is>
          <t>Medium or Large (unspecified)</t>
        </is>
      </c>
      <c r="S916" s="1" t="inlineStr">
        <is>
          <t>Business to Business, Business to Government, Business to Schools</t>
        </is>
      </c>
      <c r="T916" s="1" t="inlineStr">
        <is>
          <t>Early childhood development (0-5 years), Primary Education, Secondary Education, Higher Education, Lifelong learning/Adult education</t>
        </is>
      </c>
      <c r="U916" s="1" t="inlineStr">
        <is>
          <t>System/Administrative, Student interfacing, Teacher interfacing</t>
        </is>
      </c>
      <c r="V916" s="1" t="inlineStr">
        <is>
          <t>Digilär</t>
        </is>
      </c>
      <c r="W916" s="1" t="inlineStr">
        <is>
          <t>digital plattform/teaching materials covering all subjects K-12 in accordance with the Swedish curriculum</t>
        </is>
      </c>
      <c r="X916" s="1" t="inlineStr">
        <is>
          <t>NOKflex</t>
        </is>
      </c>
      <c r="Y916" t="inlineStr">
        <is>
          <t>digital plattform/teaching materials for mathematics and programming in accordance with the Swedish curriculum</t>
        </is>
      </c>
      <c r="Z916" s="1" t="inlineStr">
        <is>
          <t>https://drive.google.com/uc?export=view&amp;id=1ZfHbthU9ccu-SGdM2i4FLAC9Qf9CdNt0</t>
        </is>
      </c>
      <c r="AA916" s="1" t="inlineStr">
        <is>
          <t>Unverified</t>
        </is>
      </c>
      <c r="AB916" s="1" t="n"/>
      <c r="AC916" s="1" t="n"/>
      <c r="AD916" s="10" t="n"/>
      <c r="AE916" s="1" t="n"/>
      <c r="AF916" t="inlineStr">
        <is>
          <t>Yes</t>
        </is>
      </c>
      <c r="AG916" t="inlineStr">
        <is>
          <t>naturochkultur_skola</t>
        </is>
      </c>
    </row>
    <row r="917" ht="12.5" customHeight="1">
      <c r="A917" s="6" t="n">
        <v>45181</v>
      </c>
      <c r="B917" s="1" t="inlineStr">
        <is>
          <t>ORG_2035</t>
        </is>
      </c>
      <c r="C917" s="1" t="b">
        <v>1</v>
      </c>
      <c r="D917" s="1" t="inlineStr">
        <is>
          <t>Next Level English</t>
        </is>
      </c>
      <c r="E917" s="10" t="inlineStr">
        <is>
          <t>www.nextlevelenglish.es</t>
        </is>
      </c>
      <c r="F917" t="inlineStr">
        <is>
          <t>nextlevelenglish.es</t>
        </is>
      </c>
      <c r="G917" s="1" t="inlineStr">
        <is>
          <t>An innovative blended learning platform offering tailored English language courses for mulitliingual children.
We focus on fluency and literacy, building indepedant learners using the latest presentation and edtech tools to create highly engaging interactive courses.</t>
        </is>
      </c>
      <c r="H917" s="1" t="inlineStr">
        <is>
          <t>I'm not part of any EdTech association</t>
        </is>
      </c>
      <c r="I917" s="1" t="n"/>
      <c r="J917" s="1" t="inlineStr">
        <is>
          <t>Barcelona</t>
        </is>
      </c>
      <c r="K917" t="inlineStr">
        <is>
          <t>Barcelona</t>
        </is>
      </c>
      <c r="L917" t="inlineStr">
        <is>
          <t>Barcelona, Spain</t>
        </is>
      </c>
      <c r="M917" t="n">
        <v>41.3825802</v>
      </c>
      <c r="N917" t="n">
        <v>2.177073</v>
      </c>
      <c r="O917" s="1" t="inlineStr">
        <is>
          <t>Spain</t>
        </is>
      </c>
      <c r="P917" s="1" t="inlineStr">
        <is>
          <t>France, Germany, Italy, Spain</t>
        </is>
      </c>
      <c r="Q917" s="1" t="inlineStr">
        <is>
          <t>0 to 10</t>
        </is>
      </c>
      <c r="R917" t="inlineStr">
        <is>
          <t>Micro</t>
        </is>
      </c>
      <c r="S917" s="1" t="inlineStr">
        <is>
          <t>Business to Business, Business to Schools</t>
        </is>
      </c>
      <c r="T917" s="1" t="inlineStr">
        <is>
          <t>Early childhood development (0-5 years), Primary Education, Secondary Education</t>
        </is>
      </c>
      <c r="U917" s="1" t="inlineStr">
        <is>
          <t>System/Administrative, Student interfacing</t>
        </is>
      </c>
      <c r="V917" s="1" t="n"/>
      <c r="W917" s="1" t="inlineStr">
        <is>
          <t>https://drive.google.com/uc?export=view&amp;id=1yK1e7tCPoXMcXcfMss3686qTmAYo2BPx</t>
        </is>
      </c>
      <c r="X917" s="1" t="inlineStr">
        <is>
          <t>https://drive.google.com/uc?export=view&amp;id=1yK1e7tCPoXMcXcfMss3686qTmAYo2BPx</t>
        </is>
      </c>
      <c r="Y917" t="inlineStr">
        <is>
          <t>https://drive.google.com/uc?export=view&amp;id=1yK1e7tCPoXMcXcfMss3686qTmAYo2BPx</t>
        </is>
      </c>
      <c r="Z917" s="1" t="inlineStr">
        <is>
          <t>https://drive.google.com/uc?export=view&amp;id=1yK1e7tCPoXMcXcfMss3686qTmAYo2BPx</t>
        </is>
      </c>
      <c r="AA917" s="1" t="inlineStr">
        <is>
          <t>Unverified</t>
        </is>
      </c>
      <c r="AB917" s="1" t="n"/>
      <c r="AC917" s="1" t="n"/>
      <c r="AD917" s="10" t="n"/>
      <c r="AE917" s="1" t="n"/>
      <c r="AF917" t="inlineStr">
        <is>
          <t>No</t>
        </is>
      </c>
    </row>
    <row r="918" ht="12.5" customHeight="1">
      <c r="A918" s="6" t="n">
        <v>45181</v>
      </c>
      <c r="B918" s="1" t="inlineStr">
        <is>
          <t>ORG_2101</t>
        </is>
      </c>
      <c r="C918" s="1" t="b">
        <v>1</v>
      </c>
      <c r="D918" s="1" t="inlineStr">
        <is>
          <t>Pi tech</t>
        </is>
      </c>
      <c r="E918" s="10" t="inlineStr">
        <is>
          <t>https://pi-tech.gr/</t>
        </is>
      </c>
      <c r="F918" t="inlineStr">
        <is>
          <t>pi-tech.gr</t>
        </is>
      </c>
      <c r="G918" s="1" t="inlineStr">
        <is>
          <t>Design, develop and deliver XR solutions, services and products on Education and Culture</t>
        </is>
      </c>
      <c r="H918" s="1" t="inlineStr">
        <is>
          <t>I'm not part of any EdTech association</t>
        </is>
      </c>
      <c r="I918" s="1" t="n"/>
      <c r="J918" s="1" t="inlineStr">
        <is>
          <t>Katerini</t>
        </is>
      </c>
      <c r="K918" t="inlineStr">
        <is>
          <t>Katerini</t>
        </is>
      </c>
      <c r="L918" t="inlineStr">
        <is>
          <t>Katerini, Greece</t>
        </is>
      </c>
      <c r="M918" t="n">
        <v>40.2713616</v>
      </c>
      <c r="N918" t="n">
        <v>22.5087618</v>
      </c>
      <c r="O918" s="1" t="inlineStr">
        <is>
          <t>Greece</t>
        </is>
      </c>
      <c r="P918" s="1" t="inlineStr">
        <is>
          <t>Greece</t>
        </is>
      </c>
      <c r="Q918" s="1" t="inlineStr">
        <is>
          <t>0 to 10</t>
        </is>
      </c>
      <c r="R918" t="inlineStr">
        <is>
          <t>Micro</t>
        </is>
      </c>
      <c r="S918" s="1" t="inlineStr">
        <is>
          <t>Business to Business, Business to Schools</t>
        </is>
      </c>
      <c r="T918" s="1" t="inlineStr">
        <is>
          <t>Early childhood development (0-5 years), Primary Education, Secondary Education, Higher Education, Corporate Training, Lifelong learning/Adult education</t>
        </is>
      </c>
      <c r="U918" s="1" t="inlineStr">
        <is>
          <t>Student interfacing, Teacher interfacing, System/Administrative</t>
        </is>
      </c>
      <c r="V918" s="1" t="n"/>
      <c r="W918" s="1" t="inlineStr">
        <is>
          <t>https://drive.google.com/uc?export=view&amp;id=1vGnRAHtEt_lCpc_8bS-ZcbnqrQ0VrfvB</t>
        </is>
      </c>
      <c r="X918" s="1" t="inlineStr">
        <is>
          <t>https://drive.google.com/uc?export=view&amp;id=1vGnRAHtEt_lCpc_8bS-ZcbnqrQ0VrfvB</t>
        </is>
      </c>
      <c r="Y918" t="inlineStr">
        <is>
          <t>https://drive.google.com/uc?export=view&amp;id=1vGnRAHtEt_lCpc_8bS-ZcbnqrQ0VrfvB</t>
        </is>
      </c>
      <c r="Z918" s="1" t="inlineStr">
        <is>
          <t>https://drive.google.com/uc?export=view&amp;id=1vGnRAHtEt_lCpc_8bS-ZcbnqrQ0VrfvB</t>
        </is>
      </c>
      <c r="AA918" s="1" t="inlineStr">
        <is>
          <t>Unverified</t>
        </is>
      </c>
      <c r="AB918" s="1" t="n"/>
      <c r="AC918" s="1" t="n"/>
      <c r="AD918" s="10" t="n"/>
      <c r="AE918" s="1" t="n"/>
      <c r="AF918" s="1" t="inlineStr">
        <is>
          <t>No</t>
        </is>
      </c>
      <c r="AG918" s="1" t="n"/>
      <c r="AH918" s="1" t="n"/>
    </row>
    <row r="919" ht="12.5" customHeight="1">
      <c r="A919" s="6" t="n">
        <v>45181</v>
      </c>
      <c r="B919" s="1" t="inlineStr">
        <is>
          <t>ORG_2290</t>
        </is>
      </c>
      <c r="C919" s="1" t="b">
        <v>1</v>
      </c>
      <c r="D919" s="1" t="inlineStr">
        <is>
          <t>Soges | Consulenza e Formazione</t>
        </is>
      </c>
      <c r="E919" s="10" t="inlineStr">
        <is>
          <t>https://sogesnetwork.eu/</t>
        </is>
      </c>
      <c r="F919" t="inlineStr">
        <is>
          <t>sogesnetwork.eu</t>
        </is>
      </c>
      <c r="G919" s="1" t="inlineStr">
        <is>
          <t>In SOGES we work alongside companies, organizations and institutions to finalize their development plans.
Our goal is to help organizations grow and evolve, through innovative, customized, sustainable and measurable solutions, to face the challenges of tomorrow.
Since "the individual at the center" is our creed, each consultancy or training intervention is designed and implemented starting from the people who work in the compa</t>
        </is>
      </c>
      <c r="H919" s="1" t="inlineStr">
        <is>
          <t>I'm not part of any EdTech association</t>
        </is>
      </c>
      <c r="I919" s="1" t="n"/>
      <c r="J919" s="1" t="inlineStr">
        <is>
          <t>Torino</t>
        </is>
      </c>
      <c r="K919" t="inlineStr">
        <is>
          <t>Torino</t>
        </is>
      </c>
      <c r="L919" t="inlineStr">
        <is>
          <t>Torino, Italy</t>
        </is>
      </c>
      <c r="M919" t="n">
        <v>45.0677551</v>
      </c>
      <c r="N919" t="n">
        <v>7.6824892</v>
      </c>
      <c r="O919" s="1" t="inlineStr">
        <is>
          <t>Italy</t>
        </is>
      </c>
      <c r="P919" s="1" t="inlineStr">
        <is>
          <t>Italy</t>
        </is>
      </c>
      <c r="Q919" s="1" t="inlineStr">
        <is>
          <t>11 to 50</t>
        </is>
      </c>
      <c r="R919" t="inlineStr">
        <is>
          <t>Small</t>
        </is>
      </c>
      <c r="S919" s="1" t="inlineStr">
        <is>
          <t>Business to Consumer</t>
        </is>
      </c>
      <c r="T919" s="1" t="inlineStr">
        <is>
          <t>Corporate Training</t>
        </is>
      </c>
      <c r="U919" s="1" t="inlineStr">
        <is>
          <t>Teacher interfacing, Student interfacing, System/Administrative</t>
        </is>
      </c>
      <c r="V919" s="1" t="n"/>
      <c r="W919" s="1" t="inlineStr">
        <is>
          <t>https://drive.google.com/uc?export=view&amp;id=10nzIiK-mEFwatKQAbcN-XUC6xdpu1q8f</t>
        </is>
      </c>
      <c r="X919" s="1" t="inlineStr">
        <is>
          <t>https://drive.google.com/uc?export=view&amp;id=10nzIiK-mEFwatKQAbcN-XUC6xdpu1q8f</t>
        </is>
      </c>
      <c r="Y919" t="inlineStr">
        <is>
          <t>https://drive.google.com/uc?export=view&amp;id=10nzIiK-mEFwatKQAbcN-XUC6xdpu1q8f</t>
        </is>
      </c>
      <c r="Z919" s="1" t="inlineStr">
        <is>
          <t>https://drive.google.com/uc?export=view&amp;id=10nzIiK-mEFwatKQAbcN-XUC6xdpu1q8f</t>
        </is>
      </c>
      <c r="AA919" s="1" t="inlineStr">
        <is>
          <t>Unverified</t>
        </is>
      </c>
      <c r="AB919" s="1" t="n"/>
      <c r="AC919" s="1" t="n"/>
      <c r="AD919" s="10" t="n"/>
      <c r="AE919" s="1" t="n"/>
      <c r="AF919" s="1" t="inlineStr">
        <is>
          <t>No</t>
        </is>
      </c>
      <c r="AG919" s="1" t="n"/>
      <c r="AH919" s="1" t="n"/>
    </row>
    <row r="920" ht="12.5" customHeight="1">
      <c r="A920" s="6" t="n">
        <v>45181</v>
      </c>
      <c r="B920" s="1" t="inlineStr">
        <is>
          <t>ORG_2393</t>
        </is>
      </c>
      <c r="C920" s="1" t="b">
        <v>1</v>
      </c>
      <c r="D920" s="1" t="inlineStr">
        <is>
          <t>The BD School</t>
        </is>
      </c>
      <c r="E920" s="10" t="inlineStr">
        <is>
          <t>https://thebdschool.com/</t>
        </is>
      </c>
      <c r="F920" t="inlineStr">
        <is>
          <t>thebdschool.com</t>
        </is>
      </c>
      <c r="G920" s="1" t="inlineStr">
        <is>
          <t>The BD School is the first personalized learning platform for business development.
We help Business Development Pros acquire the skills and knowledge to become great in this field!</t>
        </is>
      </c>
      <c r="H920" s="1" t="inlineStr">
        <is>
          <t>I'm not part of any EdTech association</t>
        </is>
      </c>
      <c r="I920" s="1" t="n"/>
      <c r="J920" s="1" t="inlineStr">
        <is>
          <t>Rotterdam</t>
        </is>
      </c>
      <c r="K920" t="inlineStr">
        <is>
          <t>Rotterdam</t>
        </is>
      </c>
      <c r="L920" t="inlineStr">
        <is>
          <t>Rotterdam, The Netherlands</t>
        </is>
      </c>
      <c r="M920" t="n">
        <v>51.9563359</v>
      </c>
      <c r="N920" t="n">
        <v>4.4397319</v>
      </c>
      <c r="O920" s="1" t="inlineStr">
        <is>
          <t>The Netherlands</t>
        </is>
      </c>
      <c r="P920" s="1" t="inlineStr">
        <is>
          <t>Croatia, Germany, Italy, Netherlands, United Kingdom</t>
        </is>
      </c>
      <c r="Q920" s="1" t="inlineStr">
        <is>
          <t>0 to 10</t>
        </is>
      </c>
      <c r="R920" t="inlineStr">
        <is>
          <t>Micro</t>
        </is>
      </c>
      <c r="S920" s="1" t="inlineStr">
        <is>
          <t>Business to Consumer</t>
        </is>
      </c>
      <c r="T920" s="1" t="inlineStr">
        <is>
          <t>Corporate Training, Lifelong learning/Adult education</t>
        </is>
      </c>
      <c r="U920" s="1" t="inlineStr">
        <is>
          <t>Student interfacing</t>
        </is>
      </c>
      <c r="V920" s="1" t="n"/>
      <c r="W920" s="1" t="inlineStr">
        <is>
          <t>https://drive.google.com/uc?export=view&amp;id=1XNCmVxaYzYxjStJilI5ChnclHzKKN3EB</t>
        </is>
      </c>
      <c r="X920" s="1" t="inlineStr">
        <is>
          <t>https://drive.google.com/uc?export=view&amp;id=1XNCmVxaYzYxjStJilI5ChnclHzKKN3EB</t>
        </is>
      </c>
      <c r="Y920" t="inlineStr">
        <is>
          <t>https://drive.google.com/uc?export=view&amp;id=1XNCmVxaYzYxjStJilI5ChnclHzKKN3EB</t>
        </is>
      </c>
      <c r="Z920" s="1" t="inlineStr">
        <is>
          <t>https://drive.google.com/uc?export=view&amp;id=1XNCmVxaYzYxjStJilI5ChnclHzKKN3EB</t>
        </is>
      </c>
      <c r="AA920" s="1" t="inlineStr">
        <is>
          <t>Unverified</t>
        </is>
      </c>
      <c r="AB920" s="1" t="n"/>
      <c r="AC920" s="1" t="n"/>
      <c r="AD920" s="10" t="n"/>
      <c r="AE920" s="1" t="n"/>
      <c r="AF920" t="inlineStr">
        <is>
          <t>No</t>
        </is>
      </c>
    </row>
    <row r="921" ht="12.5" customHeight="1">
      <c r="A921" s="6" t="n">
        <v>45181</v>
      </c>
      <c r="B921" s="1" t="inlineStr">
        <is>
          <t>ORG_2440</t>
        </is>
      </c>
      <c r="C921" s="1" t="b">
        <v>1</v>
      </c>
      <c r="D921" s="1" t="inlineStr">
        <is>
          <t>Tutorium</t>
        </is>
      </c>
      <c r="E921" s="10" t="inlineStr">
        <is>
          <t>https://tutorium.ru</t>
        </is>
      </c>
      <c r="F921" t="inlineStr">
        <is>
          <t>tutorium.ru</t>
        </is>
      </c>
      <c r="G921" s="1" t="inlineStr">
        <is>
          <t>Tutorium is a language school which offers some of the most affordable lessons on the market. Tutorium's students don't just learn the language though the use of modern technologies, but also acquire knowledge about foreign countries' culture, arts and traditions.</t>
        </is>
      </c>
      <c r="H921" s="1" t="inlineStr">
        <is>
          <t>I'm not part of any EdTech association</t>
        </is>
      </c>
      <c r="I921" s="1" t="n"/>
      <c r="J921" s="1" t="inlineStr">
        <is>
          <t>Tallinn</t>
        </is>
      </c>
      <c r="K921" t="inlineStr">
        <is>
          <t>Tallinn</t>
        </is>
      </c>
      <c r="L921" t="inlineStr">
        <is>
          <t>Tallinn, Estonia</t>
        </is>
      </c>
      <c r="M921" t="n">
        <v>59.437242</v>
      </c>
      <c r="N921" t="n">
        <v>24.7572693</v>
      </c>
      <c r="O921" s="1" t="inlineStr">
        <is>
          <t>Estonia</t>
        </is>
      </c>
      <c r="P921" s="1" t="inlineStr">
        <is>
          <t>Estonia, Finland, Kazakhstan, Latvia, Lithuania, Moldova, Poland, Russia, Spain, Turkey, Ukraine, United Kingdom</t>
        </is>
      </c>
      <c r="Q921" s="1" t="inlineStr">
        <is>
          <t>11 to 50</t>
        </is>
      </c>
      <c r="R921" t="inlineStr">
        <is>
          <t>Small</t>
        </is>
      </c>
      <c r="S921" s="1" t="inlineStr">
        <is>
          <t>Business to Consumer</t>
        </is>
      </c>
      <c r="T921" s="1" t="inlineStr">
        <is>
          <t>Secondary Education, Lifelong learning/Adult education</t>
        </is>
      </c>
      <c r="U921" s="1" t="inlineStr">
        <is>
          <t>System/Administrative, Student interfacing</t>
        </is>
      </c>
      <c r="V921" s="1" t="n"/>
      <c r="W921" s="1" t="inlineStr">
        <is>
          <t>https://drive.google.com/uc?export=view&amp;id=1LlveplrOJmWjyBx7gp0bWqg5Oks1XQMO</t>
        </is>
      </c>
      <c r="X921" s="1" t="inlineStr">
        <is>
          <t>https://drive.google.com/uc?export=view&amp;id=1LlveplrOJmWjyBx7gp0bWqg5Oks1XQMO</t>
        </is>
      </c>
      <c r="Y921" t="inlineStr">
        <is>
          <t>https://drive.google.com/uc?export=view&amp;id=1LlveplrOJmWjyBx7gp0bWqg5Oks1XQMO</t>
        </is>
      </c>
      <c r="Z921" s="1" t="inlineStr">
        <is>
          <t>https://drive.google.com/uc?export=view&amp;id=1LlveplrOJmWjyBx7gp0bWqg5Oks1XQMO</t>
        </is>
      </c>
      <c r="AA921" s="1" t="inlineStr">
        <is>
          <t>Unverified</t>
        </is>
      </c>
      <c r="AB921" s="1" t="n"/>
      <c r="AC921" s="1" t="n"/>
      <c r="AD921" s="10" t="n"/>
      <c r="AE921" s="1" t="n"/>
      <c r="AF921" s="1" t="inlineStr">
        <is>
          <t>No</t>
        </is>
      </c>
      <c r="AG921" s="1" t="n"/>
      <c r="AH921" s="1" t="n"/>
    </row>
    <row r="922" ht="12.5" customHeight="1">
      <c r="A922" s="6" t="n">
        <v>45181</v>
      </c>
      <c r="B922" s="1" t="inlineStr">
        <is>
          <t>ORG_2458</t>
        </is>
      </c>
      <c r="C922" s="1" t="b">
        <v>1</v>
      </c>
      <c r="D922" s="1" t="inlineStr">
        <is>
          <t>Uni-Life</t>
        </is>
      </c>
      <c r="E922" s="10" t="inlineStr">
        <is>
          <t>www.uni-life.nl</t>
        </is>
      </c>
      <c r="F922" t="inlineStr">
        <is>
          <t>uni-life.nl</t>
        </is>
      </c>
      <c r="G922" s="1" t="inlineStr">
        <is>
          <t>We help universities to get students more involved within their community. By showing students all events, organizations, communities and meet-ups, students are able to meet new people, learn new skills, explore new opportunities and broaden their horizon. As a result they are less likely to dropout and more likely to pursue a follow-up degree at that university.</t>
        </is>
      </c>
      <c r="H922" s="1" t="inlineStr">
        <is>
          <t>Dutch EdTech</t>
        </is>
      </c>
      <c r="I922" s="1" t="n"/>
      <c r="J922" s="1" t="inlineStr">
        <is>
          <t>Amsterdam</t>
        </is>
      </c>
      <c r="K922" t="inlineStr">
        <is>
          <t>Amsterdam</t>
        </is>
      </c>
      <c r="L922" t="inlineStr">
        <is>
          <t>Amsterdam, The Netherlands</t>
        </is>
      </c>
      <c r="M922" t="n">
        <v>52.3701984</v>
      </c>
      <c r="N922" t="n">
        <v>4.892168</v>
      </c>
      <c r="O922" s="1" t="inlineStr">
        <is>
          <t>The Netherlands</t>
        </is>
      </c>
      <c r="P922" s="1" t="inlineStr">
        <is>
          <t>Belgium, Netherlands, Spain, United Kingdom</t>
        </is>
      </c>
      <c r="Q922" s="1" t="inlineStr">
        <is>
          <t>11 to 50</t>
        </is>
      </c>
      <c r="R922" t="inlineStr">
        <is>
          <t>Small</t>
        </is>
      </c>
      <c r="S922" s="1" t="inlineStr">
        <is>
          <t>Business to Consumer, Business to Schools</t>
        </is>
      </c>
      <c r="T922" s="1" t="inlineStr">
        <is>
          <t>Higher Education</t>
        </is>
      </c>
      <c r="U922" s="1" t="inlineStr">
        <is>
          <t>Student interfacing</t>
        </is>
      </c>
      <c r="V922" s="10" t="inlineStr">
        <is>
          <t>Uni-Life Platform</t>
        </is>
      </c>
      <c r="W922" s="1" t="inlineStr">
        <is>
          <t>Students sign-up with their university email, fill in their interests and get an overview of all relevant events, associations, communities, organizations, news, and much more. With a quick swipe or click, they can add content to their calendar, meet new students, join small groups and sign-up/register for events. The platform gives overview of everything happening on and around campus.</t>
        </is>
      </c>
      <c r="X922" s="10" t="inlineStr">
        <is>
          <t>https://drive.google.com/uc?export=view&amp;id=1o9tP7nzRwOBuwW9GnuCxB9aqwgXph-sT</t>
        </is>
      </c>
      <c r="Y922" t="inlineStr">
        <is>
          <t>https://drive.google.com/uc?export=view&amp;id=1o9tP7nzRwOBuwW9GnuCxB9aqwgXph-sT</t>
        </is>
      </c>
      <c r="Z922" s="1" t="inlineStr">
        <is>
          <t>https://drive.google.com/uc?export=view&amp;id=1o9tP7nzRwOBuwW9GnuCxB9aqwgXph-sT</t>
        </is>
      </c>
      <c r="AA922" s="1" t="inlineStr">
        <is>
          <t>Unverified</t>
        </is>
      </c>
      <c r="AB922" s="1" t="n"/>
      <c r="AC922" s="1" t="n"/>
      <c r="AD922" s="10" t="n"/>
      <c r="AE922" s="1" t="n"/>
      <c r="AF922" t="inlineStr">
        <is>
          <t>Yes</t>
        </is>
      </c>
      <c r="AG922" t="inlineStr">
        <is>
          <t>https://www.instagram.com/uni_life.nl/</t>
        </is>
      </c>
      <c r="AH922" t="inlineStr">
        <is>
          <t>https://www.linkedin.com/company/uni-life/</t>
        </is>
      </c>
      <c r="AI922" t="inlineStr">
        <is>
          <t>https://www.linkedin.com/company/uni-life/</t>
        </is>
      </c>
    </row>
    <row r="923" ht="12.5" customHeight="1">
      <c r="A923" s="6" t="n">
        <v>45181</v>
      </c>
      <c r="B923" s="1" t="inlineStr">
        <is>
          <t>ORG_2501</t>
        </is>
      </c>
      <c r="C923" s="1" t="b">
        <v>1</v>
      </c>
      <c r="D923" s="1" t="inlineStr">
        <is>
          <t>visionYOU</t>
        </is>
      </c>
      <c r="E923" s="10" t="inlineStr">
        <is>
          <t>https://visionyou.de/</t>
        </is>
      </c>
      <c r="F923" t="inlineStr">
        <is>
          <t>visionyou.de</t>
        </is>
      </c>
      <c r="G923" s="1" t="inlineStr">
        <is>
          <t>visionYOU is the creative agency for digital education. vision designs digital education for its clients and develops scalable educational products. The goal: to accelerate digital education, design it and make it available to everyone. Since 2017, visionYOU has been successfully developing digital educational offers for public institutions, companies and young people, including apps, e-learning and film formats and much more. visionYOU's own brands are svipe (https://www.svipe.app/), the app for young people for quick job insights in just 60 seconds, and bildungsfreaks (https://bildungsfreaks.de/), the education platform for teachers with ready-to-use digital learning content and online training. visionYOU primarily addresses cross-cutting topics such as media education, education for sustainable development (ESD), career orientation and much more.</t>
        </is>
      </c>
      <c r="H923" s="1" t="inlineStr">
        <is>
          <t>I'm not part of any EdTech association</t>
        </is>
      </c>
      <c r="I923" s="1" t="n"/>
      <c r="J923" s="1" t="inlineStr">
        <is>
          <t>Potsdam</t>
        </is>
      </c>
      <c r="K923" t="inlineStr">
        <is>
          <t>Potsdam</t>
        </is>
      </c>
      <c r="L923" t="inlineStr">
        <is>
          <t>Potsdam, Germany</t>
        </is>
      </c>
      <c r="M923" t="n">
        <v>52.4009309</v>
      </c>
      <c r="N923" t="n">
        <v>13.0591397</v>
      </c>
      <c r="O923" s="1" t="inlineStr">
        <is>
          <t>Germany</t>
        </is>
      </c>
      <c r="P923" s="1" t="inlineStr">
        <is>
          <t>Germany</t>
        </is>
      </c>
      <c r="Q923" s="1" t="inlineStr">
        <is>
          <t>0 to 10</t>
        </is>
      </c>
      <c r="R923" t="inlineStr">
        <is>
          <t>Micro</t>
        </is>
      </c>
      <c r="S923" s="1" t="inlineStr">
        <is>
          <t>Business to Consumer, Business to Schools</t>
        </is>
      </c>
      <c r="T923" s="1" t="inlineStr">
        <is>
          <t>Secondary Education, Corporate Training, Lifelong learning/Adult education</t>
        </is>
      </c>
      <c r="U923" s="1" t="inlineStr">
        <is>
          <t>Student interfacing, Teacher interfacing, System/Administrative</t>
        </is>
      </c>
      <c r="V923" s="1" t="n"/>
      <c r="W923" s="1" t="inlineStr">
        <is>
          <t>https://drive.google.com/uc?export=view&amp;id=18fdVGLg5YLSbrBZg-iTrqnxAUhsmeddP</t>
        </is>
      </c>
      <c r="X923" s="1" t="inlineStr">
        <is>
          <t>https://drive.google.com/uc?export=view&amp;id=18fdVGLg5YLSbrBZg-iTrqnxAUhsmeddP</t>
        </is>
      </c>
      <c r="Y923" t="inlineStr">
        <is>
          <t>https://drive.google.com/uc?export=view&amp;id=18fdVGLg5YLSbrBZg-iTrqnxAUhsmeddP</t>
        </is>
      </c>
      <c r="Z923" s="1" t="inlineStr">
        <is>
          <t>https://drive.google.com/uc?export=view&amp;id=18fdVGLg5YLSbrBZg-iTrqnxAUhsmeddP</t>
        </is>
      </c>
      <c r="AA923" s="1" t="inlineStr">
        <is>
          <t>Unverified</t>
        </is>
      </c>
      <c r="AB923" s="1" t="n"/>
      <c r="AC923" s="1" t="n"/>
      <c r="AD923" s="10" t="n"/>
      <c r="AE923" s="1" t="n"/>
      <c r="AF923" t="inlineStr">
        <is>
          <t>No</t>
        </is>
      </c>
    </row>
    <row r="924" ht="12.5" customHeight="1">
      <c r="A924" s="6" t="n">
        <v>45181</v>
      </c>
      <c r="B924" s="1" t="inlineStr">
        <is>
          <t>ORG_2554</t>
        </is>
      </c>
      <c r="C924" s="1" t="b">
        <v>1</v>
      </c>
      <c r="D924" s="1" t="inlineStr">
        <is>
          <t>Wuolah</t>
        </is>
      </c>
      <c r="E924" s="10" t="inlineStr">
        <is>
          <t>www.wuolah.com</t>
        </is>
      </c>
      <c r="F924" t="inlineStr">
        <is>
          <t>wuolah.com</t>
        </is>
      </c>
      <c r="G924" s="1" t="inlineStr">
        <is>
          <t>Wuolah is the leading EdTech study platform for Spanish speakers, with 2.5 million registered students, 500,000 active users per month, and more than 5 million documents uploaded. Students upload their notes and get rewarded each time someone downloads them. Better grades, and more motivation to study are both granted.</t>
        </is>
      </c>
      <c r="H924" s="1" t="inlineStr">
        <is>
          <t>EduTech Cluster Spain</t>
        </is>
      </c>
      <c r="I924" s="1" t="n"/>
      <c r="J924" s="1" t="inlineStr">
        <is>
          <t>Sevilla</t>
        </is>
      </c>
      <c r="K924" t="inlineStr">
        <is>
          <t>Sevilla</t>
        </is>
      </c>
      <c r="L924" t="inlineStr">
        <is>
          <t>Sevilla, Spain</t>
        </is>
      </c>
      <c r="M924" t="n">
        <v>37.3886303</v>
      </c>
      <c r="N924" t="n">
        <v>-5.9953403</v>
      </c>
      <c r="O924" s="1" t="inlineStr">
        <is>
          <t>Spain</t>
        </is>
      </c>
      <c r="P924" s="1" t="inlineStr">
        <is>
          <t>Spain</t>
        </is>
      </c>
      <c r="Q924" s="1" t="inlineStr">
        <is>
          <t>51 to 100</t>
        </is>
      </c>
      <c r="R924" t="inlineStr">
        <is>
          <t>Medium</t>
        </is>
      </c>
      <c r="S924" s="1" t="inlineStr">
        <is>
          <t>Business to Government, Business to Schools</t>
        </is>
      </c>
      <c r="T924" s="1" t="inlineStr">
        <is>
          <t>Secondary Education, Higher Education</t>
        </is>
      </c>
      <c r="U924" s="1" t="inlineStr">
        <is>
          <t>Student interfacing</t>
        </is>
      </c>
      <c r="V924" s="10" t="inlineStr">
        <is>
          <t>www.wuolah.com</t>
        </is>
      </c>
      <c r="W924" s="10" t="inlineStr">
        <is>
          <t>Our website where our users publish their materials and download them.</t>
        </is>
      </c>
      <c r="X924" s="10" t="inlineStr">
        <is>
          <t>https://drive.google.com/uc?export=view&amp;id=1QGps9r7HWir5khPo8gucOTRgsVNMJoX6</t>
        </is>
      </c>
      <c r="Y924" t="inlineStr">
        <is>
          <t>https://drive.google.com/uc?export=view&amp;id=1QGps9r7HWir5khPo8gucOTRgsVNMJoX6</t>
        </is>
      </c>
      <c r="Z924" s="10" t="inlineStr">
        <is>
          <t>https://drive.google.com/uc?export=view&amp;id=1QGps9r7HWir5khPo8gucOTRgsVNMJoX6</t>
        </is>
      </c>
      <c r="AA924" s="1" t="inlineStr">
        <is>
          <t>Unverified</t>
        </is>
      </c>
      <c r="AB924" s="1" t="n"/>
      <c r="AC924" s="1" t="n"/>
      <c r="AD924" s="10" t="n"/>
      <c r="AE924" s="1" t="n"/>
      <c r="AF924" s="1" t="inlineStr">
        <is>
          <t>Yes</t>
        </is>
      </c>
      <c r="AG924" s="1" t="inlineStr">
        <is>
          <t>https://www.instagram.com/wuolah_apuntes</t>
        </is>
      </c>
      <c r="AH924" s="1" t="inlineStr">
        <is>
          <t>https://twitter.com/Wuolah</t>
        </is>
      </c>
      <c r="AI924" t="inlineStr">
        <is>
          <t>https://es.linkedin.com/company/wuolah</t>
        </is>
      </c>
    </row>
    <row r="925" ht="12.5" customHeight="1">
      <c r="A925" s="6" t="n">
        <v>45181</v>
      </c>
      <c r="B925" s="1" t="inlineStr">
        <is>
          <t>ORG_1078</t>
        </is>
      </c>
      <c r="C925" s="1" t="b">
        <v>1</v>
      </c>
      <c r="D925" s="1" t="inlineStr">
        <is>
          <t>Anvex</t>
        </is>
      </c>
      <c r="E925" s="10" t="inlineStr">
        <is>
          <t>https://www.anvexeducation.com</t>
        </is>
      </c>
      <c r="F925" t="inlineStr">
        <is>
          <t>anvexeducation.com</t>
        </is>
      </c>
      <c r="G925" s="1" t="inlineStr">
        <is>
          <t>On a mission to be the most student-centric mobile app for online personalised learning. 
𝐖𝐡𝐲 𝐀𝐧𝐯𝐞𝐱 𝐚𝐩𝐩?
We launched Anvex app to deliver valuable educational services anywhere in the world with access to our top-qualified UK-based tutors as we believe all students deserve extraordinary lessons.
At Anvex, tutors are passionate about their subjects and inspire students to achieve their learning goals. Anvex helps you, the Tutor, to get better pay, a flexible working schedule, and continuous support, and you, the Student, to get accessible, reliable, and valuable personal education services.
𝐇𝐨𝐰 𝐢𝐭 𝐰𝐨𝐫𝐤𝐬
1. Choose from the list of available subjects and tutors.
2. Provide a brief summary of your personal request.
3. Simply pay for your booking and get connected.
Beginning with January 2022, freelancers are offering the following services:
• 𝐄𝐧𝐠𝐥𝐢𝐬𝐡 𝐋𝐚𝐧𝐠𝐮𝐚𝐠𝐞 𝐓𝐮𝐭𝐨𝐫𝐢𝐧𝐠 (𝐀𝐥𝐥 𝐏𝐫𝐨𝐟𝐢𝐜𝐢𝐞𝐧𝐜𝐲 𝐋𝐞𝐯𝐞𝐥𝐬);
• 𝐏𝐞𝐫𝐬𝐨𝐧𝐚𝐥 𝐓𝐮𝐭𝐨𝐫𝐢𝐧𝐠 (𝐂𝐨𝐦𝐩𝐮𝐭𝐞𝐫 𝐏𝐫𝐨𝐠𝐫𝐚𝐦𝐦𝐢𝐧𝐠);
• 𝐄𝐝𝐮𝐜𝐚𝐭𝐢𝐨𝐧𝐚𝐥 𝐂𝐨𝐧𝐬𝐮𝐥𝐭𝐢𝐧𝐠 (𝐀𝐝𝐦𝐢𝐬𝐬𝐢𝐨𝐧 𝐢𝐧𝐭𝐨 𝐓𝐨𝐩 𝐔𝐧𝐢𝐯𝐞𝐫𝐬𝐢𝐭𝐢𝐞𝐬).</t>
        </is>
      </c>
      <c r="H925" s="1" t="inlineStr">
        <is>
          <t>I'm not part of any EdTech association</t>
        </is>
      </c>
      <c r="I925" s="1" t="n"/>
      <c r="J925" s="1" t="inlineStr">
        <is>
          <t>London</t>
        </is>
      </c>
      <c r="K925" t="inlineStr">
        <is>
          <t>London</t>
        </is>
      </c>
      <c r="L925" t="inlineStr">
        <is>
          <t>London, United Kingdom</t>
        </is>
      </c>
      <c r="M925" t="n">
        <v>51.5074456</v>
      </c>
      <c r="N925" t="n">
        <v>-0.1277653</v>
      </c>
      <c r="O925" s="1" t="inlineStr">
        <is>
          <t>United Kingdom</t>
        </is>
      </c>
      <c r="P925" s="1" t="inlineStr">
        <is>
          <t>Austria, Belarus, Belgium, Bulgaria, Croatia, Cyprus, Czechia, Estonia, Finland, France, Germany, Greece, Hungary, Iceland, Ireland, Italy, Latvia, Liechtenstein, Lithuania, Luxembourg, Moldova, Monaco, Netherlands, Norway, Poland, Portugal, Romania, Slovakia, Slovenia, Spain, Sweden, Switzerland, Turkey, United Kingdom</t>
        </is>
      </c>
      <c r="Q925" s="1" t="inlineStr">
        <is>
          <t>0 to 10</t>
        </is>
      </c>
      <c r="R925" t="inlineStr">
        <is>
          <t>Micro</t>
        </is>
      </c>
      <c r="S925" s="1" t="inlineStr">
        <is>
          <t>Business to Business, Business to Consumer, Business to Schools</t>
        </is>
      </c>
      <c r="T925" s="1" t="inlineStr">
        <is>
          <t>Primary Education, Secondary Education, Higher Education, Corporate Training, Lifelong learning/Adult education</t>
        </is>
      </c>
      <c r="U925" s="1" t="inlineStr">
        <is>
          <t>System/Administrative, Student interfacing</t>
        </is>
      </c>
      <c r="V925" s="1" t="n"/>
      <c r="W925" s="1" t="inlineStr">
        <is>
          <t>https://drive.google.com/uc?export=view&amp;id=14vV3xlmRxPM4ZpVxnSl4dHEttAkfB-26</t>
        </is>
      </c>
      <c r="X925" s="1" t="inlineStr">
        <is>
          <t>https://drive.google.com/uc?export=view&amp;id=14vV3xlmRxPM4ZpVxnSl4dHEttAkfB-26</t>
        </is>
      </c>
      <c r="Y925" t="inlineStr">
        <is>
          <t>https://drive.google.com/uc?export=view&amp;id=14vV3xlmRxPM4ZpVxnSl4dHEttAkfB-26</t>
        </is>
      </c>
      <c r="Z925" s="1" t="inlineStr">
        <is>
          <t>https://drive.google.com/uc?export=view&amp;id=14vV3xlmRxPM4ZpVxnSl4dHEttAkfB-26</t>
        </is>
      </c>
      <c r="AA925" s="1" t="inlineStr">
        <is>
          <t>Unverified</t>
        </is>
      </c>
      <c r="AB925" s="1" t="n"/>
      <c r="AC925" s="1" t="n"/>
      <c r="AD925" s="10" t="n"/>
      <c r="AE925" s="1" t="n"/>
      <c r="AF925" s="1" t="inlineStr">
        <is>
          <t>No</t>
        </is>
      </c>
      <c r="AG925" s="1" t="n"/>
      <c r="AH925" s="1" t="n"/>
    </row>
    <row r="926" ht="12.5" customHeight="1">
      <c r="A926" s="6" t="n">
        <v>45181</v>
      </c>
      <c r="B926" s="1" t="inlineStr">
        <is>
          <t>ORG_1522</t>
        </is>
      </c>
      <c r="C926" s="1" t="b">
        <v>1</v>
      </c>
      <c r="D926" s="1" t="inlineStr">
        <is>
          <t>eTwinz Academy</t>
        </is>
      </c>
      <c r="E926" s="10" t="inlineStr">
        <is>
          <t>www.etwinzacademy.com</t>
        </is>
      </c>
      <c r="F926" t="inlineStr">
        <is>
          <t>etwinzacademy.com</t>
        </is>
      </c>
      <c r="G926" s="1" t="inlineStr">
        <is>
          <t>A different way to learn Spanish!
The eTwinz Academy offers you an opportunity to learn Spanish from anywhere. We provide an innovative combination of authentic resources and live classes to help your Spanish thrive. This research-based model is proven to be the most effective approach to learn a new language.
With award-winning educators and experienced professionals on board, we promise to provide you with a high-quality learning experience. We have a unique method based on cutting-edge approaches used by the most prestigious institutions worldwide.
If you are a child, teen, or adult, join the eTwinz academy and learn one of the most spoken languages in the world!</t>
        </is>
      </c>
      <c r="H926" s="1" t="inlineStr">
        <is>
          <t>I'm not part of any EdTech association</t>
        </is>
      </c>
      <c r="I926" s="1" t="n"/>
      <c r="J926" s="1" t="inlineStr">
        <is>
          <t>Salamanca</t>
        </is>
      </c>
      <c r="K926" t="inlineStr">
        <is>
          <t>Salamanca</t>
        </is>
      </c>
      <c r="L926" t="inlineStr">
        <is>
          <t>Salamanca, Spain</t>
        </is>
      </c>
      <c r="M926" t="n">
        <v>40.9651572</v>
      </c>
      <c r="N926" t="n">
        <v>-5.6640182</v>
      </c>
      <c r="O926" s="1" t="inlineStr">
        <is>
          <t>Spain</t>
        </is>
      </c>
      <c r="P926" s="1" t="inlineStr">
        <is>
          <t>Spain</t>
        </is>
      </c>
      <c r="Q926" s="1" t="inlineStr">
        <is>
          <t>0 to 10</t>
        </is>
      </c>
      <c r="R926" t="inlineStr">
        <is>
          <t>Micro</t>
        </is>
      </c>
      <c r="S926" s="1" t="inlineStr">
        <is>
          <t>Business to Consumer</t>
        </is>
      </c>
      <c r="T926" s="1" t="inlineStr">
        <is>
          <t>Early childhood development (0-5 years), Primary Education, Secondary Education, Higher Education, Corporate Training, Lifelong learning/Adult education</t>
        </is>
      </c>
      <c r="U926" s="1" t="inlineStr">
        <is>
          <t>System/Administrative, Student interfacing, Teacher interfacing</t>
        </is>
      </c>
      <c r="V926" s="1" t="n"/>
      <c r="W926" s="1" t="inlineStr">
        <is>
          <t>https://drive.google.com/uc?export=view&amp;id=1BS4snD3wzgglNXfoZ_0SwlLH104SeuNu</t>
        </is>
      </c>
      <c r="X926" s="1" t="inlineStr">
        <is>
          <t>https://drive.google.com/uc?export=view&amp;id=1BS4snD3wzgglNXfoZ_0SwlLH104SeuNu</t>
        </is>
      </c>
      <c r="Y926" t="inlineStr">
        <is>
          <t>https://drive.google.com/uc?export=view&amp;id=1BS4snD3wzgglNXfoZ_0SwlLH104SeuNu</t>
        </is>
      </c>
      <c r="Z926" s="1" t="inlineStr">
        <is>
          <t>https://drive.google.com/uc?export=view&amp;id=1BS4snD3wzgglNXfoZ_0SwlLH104SeuNu</t>
        </is>
      </c>
      <c r="AA926" s="1" t="inlineStr">
        <is>
          <t>Unverified</t>
        </is>
      </c>
      <c r="AB926" s="1" t="n"/>
      <c r="AC926" s="1" t="n"/>
      <c r="AD926" s="10" t="n"/>
      <c r="AE926" s="1" t="n"/>
      <c r="AF926" s="1" t="inlineStr">
        <is>
          <t>No</t>
        </is>
      </c>
      <c r="AG926" s="1" t="n"/>
      <c r="AH926" s="1" t="n"/>
    </row>
    <row r="927" ht="12.5" customHeight="1">
      <c r="A927" s="6" t="n">
        <v>45181</v>
      </c>
      <c r="B927" s="1" t="inlineStr">
        <is>
          <t>ORG_2467</t>
        </is>
      </c>
      <c r="C927" s="1" t="b">
        <v>1</v>
      </c>
      <c r="D927" s="1" t="inlineStr">
        <is>
          <t>Universitat Oberta de Catalunya</t>
        </is>
      </c>
      <c r="E927" s="10" t="inlineStr">
        <is>
          <t>https://www.uoc.edu/portal/en/index.html</t>
        </is>
      </c>
      <c r="F927" t="inlineStr">
        <is>
          <t>uoc.edu/portal/en/index.html</t>
        </is>
      </c>
      <c r="G927" s="1" t="inlineStr">
        <is>
          <t>The UOC was created in Barcelona in 1994 and teaching began in 1995, with 200 students. It was the first university ever to run exclusively online. The University continually uses cutting-edge e-learning research and innovation to refine the UOC methodology. This is possible thanks to UOC R&amp;I and its 50 plus research groups, as well as the eLearning Innovation Center, which drives educational innovation at the UOC. Furthermore, as pioneers and leaders in education's digital transformation, we lend our knowledge and experience to education administrations in need of them. Moreover, with more than 85,700 graduates, it is now one of the biggest universities in Spain.</t>
        </is>
      </c>
      <c r="H927" s="1" t="inlineStr">
        <is>
          <t>EduTech Cluster Spain</t>
        </is>
      </c>
      <c r="I927" s="1" t="n"/>
      <c r="J927" s="1" t="inlineStr">
        <is>
          <t>Barcelona</t>
        </is>
      </c>
      <c r="K927" t="inlineStr">
        <is>
          <t>Barcelona</t>
        </is>
      </c>
      <c r="L927" t="inlineStr">
        <is>
          <t>Barcelona, Spain</t>
        </is>
      </c>
      <c r="M927" t="n">
        <v>41.3825802</v>
      </c>
      <c r="N927" t="n">
        <v>2.177073</v>
      </c>
      <c r="O927" s="1" t="inlineStr">
        <is>
          <t>Spain</t>
        </is>
      </c>
      <c r="P927" s="1" t="inlineStr">
        <is>
          <t>Andorra, Spain</t>
        </is>
      </c>
      <c r="Q927" s="1" t="inlineStr">
        <is>
          <t>500+</t>
        </is>
      </c>
      <c r="R927" t="inlineStr">
        <is>
          <t>Large</t>
        </is>
      </c>
      <c r="S927" s="1" t="inlineStr">
        <is>
          <t>Business to Consumer</t>
        </is>
      </c>
      <c r="T927" s="1" t="inlineStr">
        <is>
          <t>Higher Education, Corporate Training, Lifelong learning/Adult education</t>
        </is>
      </c>
      <c r="U927" s="1" t="inlineStr">
        <is>
          <t>Student interfacing, Teacher interfacing, System/Administrative</t>
        </is>
      </c>
      <c r="V927" s="1" t="inlineStr">
        <is>
          <t>Folio</t>
        </is>
      </c>
      <c r="W927" s="1" t="inlineStr">
        <is>
          <t>An innovative reinterpretation of the portfolio concept that enables students to work collaboratively, develop an online image, create an identity and publicize this identity in the professsional world.</t>
        </is>
      </c>
      <c r="X927" s="10" t="inlineStr">
        <is>
          <t>https://drive.google.com/uc?export=view&amp;id=1XaDjMXTqr-n7EEi3rxEp3ibkbJLMTr94</t>
        </is>
      </c>
      <c r="Y927" t="inlineStr">
        <is>
          <t>https://drive.google.com/uc?export=view&amp;id=1XaDjMXTqr-n7EEi3rxEp3ibkbJLMTr94</t>
        </is>
      </c>
      <c r="Z927" s="1" t="inlineStr">
        <is>
          <t>https://drive.google.com/uc?export=view&amp;id=1XaDjMXTqr-n7EEi3rxEp3ibkbJLMTr94</t>
        </is>
      </c>
      <c r="AA927" s="1" t="inlineStr">
        <is>
          <t>Unverified</t>
        </is>
      </c>
      <c r="AB927" s="1" t="n"/>
      <c r="AC927" s="1" t="n"/>
      <c r="AD927" s="10" t="n"/>
      <c r="AE927" s="1" t="n"/>
      <c r="AF927" t="inlineStr">
        <is>
          <t>Yes</t>
        </is>
      </c>
      <c r="AG927" t="inlineStr">
        <is>
          <t>uocuniversitat</t>
        </is>
      </c>
      <c r="AH927" t="inlineStr">
        <is>
          <t>@UOCuniversidad</t>
        </is>
      </c>
      <c r="AI927" t="inlineStr">
        <is>
          <t>https://www.linkedin.com/school/uoc/about/</t>
        </is>
      </c>
    </row>
    <row r="928" ht="12.5" customHeight="1">
      <c r="A928" s="6" t="n">
        <v>45181</v>
      </c>
      <c r="B928" s="1" t="inlineStr">
        <is>
          <t>ORG_1649</t>
        </is>
      </c>
      <c r="C928" s="1" t="b">
        <v>1</v>
      </c>
      <c r="D928" s="1" t="inlineStr">
        <is>
          <t>Growth Tribe</t>
        </is>
      </c>
      <c r="E928" s="10" t="inlineStr">
        <is>
          <t>www.growthtribe.io</t>
        </is>
      </c>
      <c r="F928" t="inlineStr">
        <is>
          <t>growthtribe.io</t>
        </is>
      </c>
      <c r="G928" s="1" t="inlineStr">
        <is>
          <t>Growth Tribe is a digital learning partner for both individuals &amp; organisations, specialising in growth, data, customer experience and digital leadership.
We help our learners and partners acquire the most in-demand digital capabilities through actionable, hands-on and enjoyable courses &amp; learning programs.
We help people grow.</t>
        </is>
      </c>
      <c r="H928" s="1" t="inlineStr">
        <is>
          <t>Dutch EdTech</t>
        </is>
      </c>
      <c r="I928" s="1" t="n"/>
      <c r="J928" s="1" t="inlineStr">
        <is>
          <t>Amsterdam</t>
        </is>
      </c>
      <c r="K928" t="inlineStr">
        <is>
          <t>Amsterdam</t>
        </is>
      </c>
      <c r="L928" t="inlineStr">
        <is>
          <t>Amsterdam, The Netherlands</t>
        </is>
      </c>
      <c r="M928" t="n">
        <v>52.3701984</v>
      </c>
      <c r="N928" t="n">
        <v>4.892168</v>
      </c>
      <c r="O928" s="1" t="inlineStr">
        <is>
          <t>The Netherlands</t>
        </is>
      </c>
      <c r="P928" s="1" t="inlineStr">
        <is>
          <t>Austria, Denmark, Finland, France, Germany, Italy, Netherlands, Portugal, Spain, Sweden, Switzerland, United Kingdom</t>
        </is>
      </c>
      <c r="Q928" s="1" t="inlineStr">
        <is>
          <t>100+</t>
        </is>
      </c>
      <c r="R928" t="inlineStr">
        <is>
          <t>Medium or Large (unspecified)</t>
        </is>
      </c>
      <c r="S928" s="1" t="inlineStr">
        <is>
          <t>Business to Business, Business to Consumer, Business to Schools</t>
        </is>
      </c>
      <c r="T928" s="1" t="inlineStr">
        <is>
          <t>Corporate Training, Lifelong learning/Adult education</t>
        </is>
      </c>
      <c r="U928" s="1" t="inlineStr">
        <is>
          <t>Student interfacing, System/Administrative</t>
        </is>
      </c>
      <c r="V928" s="10" t="inlineStr">
        <is>
          <t>Digital courses</t>
        </is>
      </c>
      <c r="W928" s="10" t="inlineStr">
        <is>
          <t>Learn the most in-demand digital skills. We help you and your team get ahead with skills in Growth Marketing, Data Analytics, UX Design and more.</t>
        </is>
      </c>
      <c r="X928" s="10" t="inlineStr">
        <is>
          <t>https://drive.google.com/uc?export=view&amp;id=1aDYHmg8ayW68iL46ChG37eUCROnCRR79</t>
        </is>
      </c>
      <c r="Y928" t="inlineStr">
        <is>
          <t>https://drive.google.com/uc?export=view&amp;id=1aDYHmg8ayW68iL46ChG37eUCROnCRR79</t>
        </is>
      </c>
      <c r="Z928" s="1" t="inlineStr">
        <is>
          <t>https://drive.google.com/uc?export=view&amp;id=1aDYHmg8ayW68iL46ChG37eUCROnCRR79</t>
        </is>
      </c>
      <c r="AA928" s="1" t="inlineStr">
        <is>
          <t>Unverified</t>
        </is>
      </c>
      <c r="AB928" s="1" t="n"/>
      <c r="AC928" s="1" t="n"/>
      <c r="AD928" s="10" t="n"/>
      <c r="AE928" s="1" t="n"/>
      <c r="AF928" s="1" t="inlineStr">
        <is>
          <t>Yes</t>
        </is>
      </c>
      <c r="AG928" s="1" t="inlineStr">
        <is>
          <t>https://www.instagram.com/growthtribe/</t>
        </is>
      </c>
      <c r="AH928" s="1" t="inlineStr">
        <is>
          <t>https://twitter.com/GrowthTribe</t>
        </is>
      </c>
      <c r="AI928" t="inlineStr">
        <is>
          <t>https://www.linkedin.com/school/growth-tribe/</t>
        </is>
      </c>
    </row>
    <row r="929" ht="12.5" customHeight="1">
      <c r="A929" s="6" t="n">
        <v>45181</v>
      </c>
      <c r="B929" s="1" t="inlineStr">
        <is>
          <t>ORG_1951</t>
        </is>
      </c>
      <c r="C929" s="1" t="b">
        <v>1</v>
      </c>
      <c r="D929" s="1" t="inlineStr">
        <is>
          <t>MenteLista</t>
        </is>
      </c>
      <c r="E929" s="10" t="inlineStr">
        <is>
          <t>https://www.mentelista.com/</t>
        </is>
      </c>
      <c r="F929" t="inlineStr">
        <is>
          <t>mentelista.com</t>
        </is>
      </c>
      <c r="G929" s="1" t="inlineStr">
        <is>
          <t>ONLINE ENGLISH-LEARNING PLATFORM FOR CHILDREN</t>
        </is>
      </c>
      <c r="H929" s="1" t="inlineStr">
        <is>
          <t>SEK Lab</t>
        </is>
      </c>
      <c r="I929" s="1" t="n"/>
      <c r="J929" s="1" t="inlineStr">
        <is>
          <t>Malaga</t>
        </is>
      </c>
      <c r="K929" t="inlineStr">
        <is>
          <t>Malaga</t>
        </is>
      </c>
      <c r="L929" t="inlineStr">
        <is>
          <t>Malaga, Spain</t>
        </is>
      </c>
      <c r="M929" t="n">
        <v>36.7647913</v>
      </c>
      <c r="N929" t="n">
        <v>-4.4422005</v>
      </c>
      <c r="O929" s="1" t="inlineStr">
        <is>
          <t>Spain</t>
        </is>
      </c>
      <c r="P929" s="1" t="inlineStr">
        <is>
          <t>Spain</t>
        </is>
      </c>
      <c r="Q929" s="1" t="inlineStr">
        <is>
          <t>0 to 10</t>
        </is>
      </c>
      <c r="R929" t="inlineStr">
        <is>
          <t>Micro</t>
        </is>
      </c>
      <c r="S929" s="1" t="inlineStr">
        <is>
          <t>Business to Consumer</t>
        </is>
      </c>
      <c r="T929" s="1" t="inlineStr">
        <is>
          <t>Early childhood development (0-5 years), Primary Education</t>
        </is>
      </c>
      <c r="U929" s="1" t="inlineStr">
        <is>
          <t>System/Administrative, Student interfacing, Teacher interfacing</t>
        </is>
      </c>
      <c r="V929" s="1" t="n"/>
      <c r="W929" s="1" t="inlineStr">
        <is>
          <t>https://drive.google.com/uc?export=view&amp;id=1oSJliEtTyngjWORrpjCz6ldn5kt09K3Z</t>
        </is>
      </c>
      <c r="X929" s="1" t="inlineStr">
        <is>
          <t>https://drive.google.com/uc?export=view&amp;id=1oSJliEtTyngjWORrpjCz6ldn5kt09K3Z</t>
        </is>
      </c>
      <c r="Y929" t="inlineStr">
        <is>
          <t>https://drive.google.com/uc?export=view&amp;id=1oSJliEtTyngjWORrpjCz6ldn5kt09K3Z</t>
        </is>
      </c>
      <c r="Z929" s="1" t="inlineStr">
        <is>
          <t>https://drive.google.com/uc?export=view&amp;id=1oSJliEtTyngjWORrpjCz6ldn5kt09K3Z</t>
        </is>
      </c>
      <c r="AA929" s="1" t="inlineStr">
        <is>
          <t>Unverified</t>
        </is>
      </c>
      <c r="AB929" s="1" t="n"/>
      <c r="AC929" s="1" t="n"/>
      <c r="AD929" s="10" t="n"/>
      <c r="AE929" s="1" t="n"/>
      <c r="AF929" s="1" t="inlineStr">
        <is>
          <t>No</t>
        </is>
      </c>
      <c r="AG929" s="1" t="n"/>
      <c r="AH929" s="1" t="n"/>
    </row>
    <row r="930" ht="12.5" customHeight="1">
      <c r="A930" s="6" t="n">
        <v>45181</v>
      </c>
      <c r="B930" s="1" t="inlineStr">
        <is>
          <t>ORG_2015</t>
        </is>
      </c>
      <c r="C930" s="1" t="b">
        <v>1</v>
      </c>
      <c r="D930" s="1" t="inlineStr">
        <is>
          <t>Na Urok</t>
        </is>
      </c>
      <c r="E930" s="10" t="inlineStr">
        <is>
          <t>https://naurok.com.ua</t>
        </is>
      </c>
      <c r="F930" t="inlineStr">
        <is>
          <t>naurok.com.ua</t>
        </is>
      </c>
      <c r="G930" s="1" t="inlineStr">
        <is>
          <t>Na Urok is the local Ukrainian company that provides EdTech tools and professional development services for Ukrainian teachers and online tutoring in small groups for school students. Regular participant of TOP 25 most popular websites in Ukraine by Kantar with 7M MAU.</t>
        </is>
      </c>
      <c r="H930" s="1" t="inlineStr">
        <is>
          <t>I'm not part of any EdTech association</t>
        </is>
      </c>
      <c r="I930" s="1" t="n"/>
      <c r="J930" s="1" t="inlineStr">
        <is>
          <t>St. 23 Serpnia, 71</t>
        </is>
      </c>
      <c r="L930" t="inlineStr">
        <is>
          <t>St. 23 Serpnia, 71, Ukraine</t>
        </is>
      </c>
      <c r="O930" s="1" t="inlineStr">
        <is>
          <t>Ukraine</t>
        </is>
      </c>
      <c r="P930" s="1" t="inlineStr">
        <is>
          <t>Ukraine</t>
        </is>
      </c>
      <c r="Q930" s="1" t="inlineStr">
        <is>
          <t>11 to 50</t>
        </is>
      </c>
      <c r="R930" t="inlineStr">
        <is>
          <t>Small</t>
        </is>
      </c>
      <c r="S930" s="1" t="inlineStr">
        <is>
          <t>Business to Consumer</t>
        </is>
      </c>
      <c r="T930" s="1" t="inlineStr">
        <is>
          <t>Primary Education, Secondary Education, Higher Education, Corporate Training, Lifelong learning/Adult education</t>
        </is>
      </c>
      <c r="U930" s="1" t="inlineStr">
        <is>
          <t>Student interfacing, Teacher interfacing</t>
        </is>
      </c>
      <c r="V930" s="1" t="n"/>
      <c r="W930" s="1" t="inlineStr">
        <is>
          <t>https://drive.google.com/uc?export=view&amp;id=1JYal9cYA2u3OwXQ2uESALR1Vr40l08vq</t>
        </is>
      </c>
      <c r="X930" s="1" t="inlineStr">
        <is>
          <t>https://drive.google.com/uc?export=view&amp;id=1JYal9cYA2u3OwXQ2uESALR1Vr40l08vq</t>
        </is>
      </c>
      <c r="Y930" t="inlineStr">
        <is>
          <t>https://drive.google.com/uc?export=view&amp;id=1JYal9cYA2u3OwXQ2uESALR1Vr40l08vq</t>
        </is>
      </c>
      <c r="Z930" s="1" t="inlineStr">
        <is>
          <t>https://drive.google.com/uc?export=view&amp;id=1JYal9cYA2u3OwXQ2uESALR1Vr40l08vq</t>
        </is>
      </c>
      <c r="AA930" s="1" t="inlineStr">
        <is>
          <t>Unverified</t>
        </is>
      </c>
      <c r="AB930" s="1" t="n"/>
      <c r="AC930" s="1" t="n"/>
      <c r="AD930" s="10" t="n"/>
      <c r="AE930" s="1" t="n"/>
      <c r="AF930" t="inlineStr">
        <is>
          <t>No</t>
        </is>
      </c>
    </row>
    <row r="931" ht="12.5" customHeight="1">
      <c r="A931" s="6" t="n">
        <v>45181</v>
      </c>
      <c r="B931" s="1" t="inlineStr">
        <is>
          <t>ORG_1130</t>
        </is>
      </c>
      <c r="C931" s="1" t="b">
        <v>1</v>
      </c>
      <c r="D931" s="1" t="inlineStr">
        <is>
          <t>Ayúdame3D</t>
        </is>
      </c>
      <c r="E931" s="10" t="inlineStr">
        <is>
          <t>www.ayudame3d.org/colegios</t>
        </is>
      </c>
      <c r="F931" t="inlineStr">
        <is>
          <t>ayudame3d.org/colegios</t>
        </is>
      </c>
      <c r="G931" s="1" t="inlineStr">
        <is>
          <t>Ayúdame3D is a Spanish entity that promotes the social value of technology through technological and social awareness programs in order to help vulnerable groups around the world.
Thanks to this, it creates and delivers 3D printed arms, called trésdesis, free of charge to people with disabilities. Thus reducing the inequality they face, improving their quality of life and providing better opportunities for employability and schooling.</t>
        </is>
      </c>
      <c r="H931" s="1" t="inlineStr">
        <is>
          <t>I'm not part of any EdTech association</t>
        </is>
      </c>
      <c r="I931" s="1" t="n"/>
      <c r="J931" s="1" t="inlineStr">
        <is>
          <t>Madrid</t>
        </is>
      </c>
      <c r="K931" t="inlineStr">
        <is>
          <t>Madrid</t>
        </is>
      </c>
      <c r="L931" t="inlineStr">
        <is>
          <t>Madrid, Spain</t>
        </is>
      </c>
      <c r="M931" t="n">
        <v>40.416782</v>
      </c>
      <c r="N931" t="n">
        <v>-3.703507</v>
      </c>
      <c r="O931" s="1" t="inlineStr">
        <is>
          <t>Spain</t>
        </is>
      </c>
      <c r="P931" s="1" t="inlineStr">
        <is>
          <t>Spain</t>
        </is>
      </c>
      <c r="Q931" s="1" t="inlineStr">
        <is>
          <t>0 to 10</t>
        </is>
      </c>
      <c r="R931" t="inlineStr">
        <is>
          <t>Micro</t>
        </is>
      </c>
      <c r="S931" s="1" t="inlineStr">
        <is>
          <t>Business to Business</t>
        </is>
      </c>
      <c r="T931" s="1" t="inlineStr">
        <is>
          <t>Primary Education, Secondary Education</t>
        </is>
      </c>
      <c r="U931" s="1" t="inlineStr">
        <is>
          <t>Student interfacing, Teacher interfacing, System/Administrative</t>
        </is>
      </c>
      <c r="V931" s="1" t="n"/>
      <c r="W931" s="1" t="inlineStr">
        <is>
          <t>https://drive.google.com/uc?export=view&amp;id=1aismwMvDWm4vlp8ytsu53WzUiO517wCw</t>
        </is>
      </c>
      <c r="X931" s="1" t="inlineStr">
        <is>
          <t>https://drive.google.com/uc?export=view&amp;id=1aismwMvDWm4vlp8ytsu53WzUiO517wCw</t>
        </is>
      </c>
      <c r="Y931" t="inlineStr">
        <is>
          <t>https://drive.google.com/uc?export=view&amp;id=1aismwMvDWm4vlp8ytsu53WzUiO517wCw</t>
        </is>
      </c>
      <c r="Z931" s="1" t="inlineStr">
        <is>
          <t>https://drive.google.com/uc?export=view&amp;id=1aismwMvDWm4vlp8ytsu53WzUiO517wCw</t>
        </is>
      </c>
      <c r="AA931" s="1" t="inlineStr">
        <is>
          <t>Unverified</t>
        </is>
      </c>
      <c r="AB931" s="1" t="n"/>
      <c r="AC931" s="1" t="n"/>
      <c r="AD931" s="10" t="n"/>
      <c r="AE931" s="1" t="n"/>
      <c r="AF931" t="inlineStr">
        <is>
          <t>No</t>
        </is>
      </c>
    </row>
    <row r="932" ht="12.5" customHeight="1">
      <c r="A932" s="6" t="n">
        <v>45181</v>
      </c>
      <c r="B932" s="1" t="inlineStr">
        <is>
          <t>ORG_1381</t>
        </is>
      </c>
      <c r="C932" s="1" t="b">
        <v>1</v>
      </c>
      <c r="D932" s="1" t="inlineStr">
        <is>
          <t>DreamShaper</t>
        </is>
      </c>
      <c r="E932" s="10" t="inlineStr">
        <is>
          <t>https://dreamshaper.com/en/</t>
        </is>
      </c>
      <c r="F932" t="inlineStr">
        <is>
          <t>dreamshaper.com/en</t>
        </is>
      </c>
      <c r="G932" s="1" t="inlineStr">
        <is>
          <t>DreamShaper specialises in Project Based Learning, developing digital solutions that support teaching institutions worldwide in the implementation of Active Learning Methodologies.</t>
        </is>
      </c>
      <c r="H932" s="1" t="inlineStr">
        <is>
          <t>I'm not part of any EdTech association</t>
        </is>
      </c>
      <c r="I932" s="1" t="n"/>
      <c r="J932" s="1" t="inlineStr">
        <is>
          <t>Lisbon</t>
        </is>
      </c>
      <c r="K932" t="inlineStr">
        <is>
          <t>Lisbon</t>
        </is>
      </c>
      <c r="L932" t="inlineStr">
        <is>
          <t>Lisbon, Portugal</t>
        </is>
      </c>
      <c r="M932" t="n">
        <v>38.7077507</v>
      </c>
      <c r="N932" t="n">
        <v>-9.136591900000001</v>
      </c>
      <c r="O932" s="1" t="inlineStr">
        <is>
          <t>Portugal</t>
        </is>
      </c>
      <c r="P932" s="1" t="inlineStr">
        <is>
          <t>France, Hungary, Portugal, Spain, United Kingdom</t>
        </is>
      </c>
      <c r="Q932" s="1" t="inlineStr">
        <is>
          <t>51 to 100</t>
        </is>
      </c>
      <c r="R932" t="inlineStr">
        <is>
          <t>Medium</t>
        </is>
      </c>
      <c r="S932" s="1" t="inlineStr">
        <is>
          <t>Business to Business, Business to Consumer</t>
        </is>
      </c>
      <c r="T932" s="1" t="inlineStr">
        <is>
          <t>Primary Education, Secondary Education, Higher Education</t>
        </is>
      </c>
      <c r="U932" s="1" t="inlineStr">
        <is>
          <t>Teacher interfacing, System/Administrative</t>
        </is>
      </c>
      <c r="V932" s="1" t="n"/>
      <c r="W932" s="1" t="inlineStr">
        <is>
          <t>https://drive.google.com/uc?export=view&amp;id=1kJEfMZAR9G4VbQJ_p3TFAKi8gW4oLxAA</t>
        </is>
      </c>
      <c r="X932" s="1" t="inlineStr">
        <is>
          <t>https://drive.google.com/uc?export=view&amp;id=1kJEfMZAR9G4VbQJ_p3TFAKi8gW4oLxAA</t>
        </is>
      </c>
      <c r="Y932" t="inlineStr">
        <is>
          <t>https://drive.google.com/uc?export=view&amp;id=1kJEfMZAR9G4VbQJ_p3TFAKi8gW4oLxAA</t>
        </is>
      </c>
      <c r="Z932" s="1" t="inlineStr">
        <is>
          <t>https://drive.google.com/uc?export=view&amp;id=1kJEfMZAR9G4VbQJ_p3TFAKi8gW4oLxAA</t>
        </is>
      </c>
      <c r="AA932" s="1" t="inlineStr">
        <is>
          <t>Unverified</t>
        </is>
      </c>
      <c r="AB932" s="1" t="n"/>
      <c r="AC932" s="1" t="n"/>
      <c r="AD932" s="10" t="n"/>
      <c r="AE932" s="1" t="n"/>
      <c r="AF932" t="inlineStr">
        <is>
          <t>No</t>
        </is>
      </c>
    </row>
    <row r="933" ht="12.5" customHeight="1">
      <c r="A933" s="6" t="n">
        <v>45181</v>
      </c>
      <c r="B933" s="1" t="inlineStr">
        <is>
          <t>ORG_1383</t>
        </is>
      </c>
      <c r="C933" s="1" t="b">
        <v>1</v>
      </c>
      <c r="D933" s="1" t="inlineStr">
        <is>
          <t>Druid Learning</t>
        </is>
      </c>
      <c r="E933" s="10" t="inlineStr">
        <is>
          <t>www.druidlearning.com</t>
        </is>
      </c>
      <c r="F933" t="inlineStr">
        <is>
          <t>druidlearning.com</t>
        </is>
      </c>
      <c r="G933" s="1" t="inlineStr">
        <is>
          <t>Consisting of a content management tool and a customer facing application, Druid Learning allows educational publishers and content creators; digitise, distribute and monetise their existing content. 
We have designed our application to cater for both neurotypical and neurodiverse learners. Using our application learners can access audiovisual and text based content, take their own notes and have aural accompaniment to all text based content.</t>
        </is>
      </c>
      <c r="H933" s="1" t="inlineStr">
        <is>
          <t>EdTech Ireland</t>
        </is>
      </c>
      <c r="I933" s="1" t="n"/>
      <c r="J933" s="1" t="inlineStr">
        <is>
          <t>Dublin</t>
        </is>
      </c>
      <c r="K933" t="inlineStr">
        <is>
          <t>Dublin</t>
        </is>
      </c>
      <c r="L933" t="inlineStr">
        <is>
          <t>Dublin, Ireland</t>
        </is>
      </c>
      <c r="M933" t="n">
        <v>53.3493795</v>
      </c>
      <c r="N933" t="n">
        <v>-6.2605593</v>
      </c>
      <c r="O933" s="1" t="inlineStr">
        <is>
          <t>Ireland</t>
        </is>
      </c>
      <c r="P933" s="1" t="inlineStr">
        <is>
          <t>Ireland, United Kingdom</t>
        </is>
      </c>
      <c r="Q933" s="1" t="inlineStr">
        <is>
          <t>3 to 5</t>
        </is>
      </c>
      <c r="R933" t="inlineStr">
        <is>
          <t>Micro</t>
        </is>
      </c>
      <c r="S933" s="1" t="inlineStr">
        <is>
          <t>Business to Business, Business to Consumer, Business to Schools</t>
        </is>
      </c>
      <c r="T933" s="1" t="inlineStr">
        <is>
          <t>Primary Education, Secondary Education, Corporate Training, Lifelong learning/Adult education, Vocational Education and Training (VET), Higher Education</t>
        </is>
      </c>
      <c r="U933" s="1" t="inlineStr">
        <is>
          <t>System/Administrative</t>
        </is>
      </c>
      <c r="V933" s="1" t="inlineStr">
        <is>
          <t>Druid Learning: Content Management Tool</t>
        </is>
      </c>
      <c r="W933" s="1" t="inlineStr">
        <is>
          <t>Take your content to the next level. 
1: Breakdown existing digital content into structured re-usable content. Organise, manage and re-use your digital content like PDFs, Videos, Interactive material and use it across publications and platforms. 
2: Using any file type instantly create; video content libraries, multi-media e-books, digital course material and educational resource hubs. All you need is content.</t>
        </is>
      </c>
      <c r="X933" s="10" t="inlineStr">
        <is>
          <t>Druid Learning: Courseware Platform</t>
        </is>
      </c>
      <c r="Y933" t="inlineStr">
        <is>
          <t>Distribute and sell your content directly to institutions, teachers ad students via our courseware platform. 
Deliver consolidated multimedia experiences that have been proven to enhance the learner outcomes. Allow students to access topics through a combination of videos, interactive quizzes, text and audio. 
Accessibility is at the core of what we do - so you can rest assured that all content delivered through our courseware is suitable to learners of all ability. Our wide reage of accessibility tools have been reviewed and certified by leading educational psychologists.</t>
        </is>
      </c>
      <c r="Z933" s="1" t="inlineStr">
        <is>
          <t>https://drive.google.com/uc?export=view&amp;id=1hhY0L_nDI351gW5coFrtlicmzpxVHK_q</t>
        </is>
      </c>
      <c r="AA933" s="1" t="inlineStr">
        <is>
          <t>Unverified</t>
        </is>
      </c>
      <c r="AB933" s="1" t="n"/>
      <c r="AC933" s="1" t="n"/>
      <c r="AD933" s="10" t="n"/>
      <c r="AE933" s="1" t="n"/>
      <c r="AF933" t="inlineStr">
        <is>
          <t>Yes</t>
        </is>
      </c>
      <c r="AG933" t="inlineStr">
        <is>
          <t>https://www.linkedin.com/company/druid-learning-limited</t>
        </is>
      </c>
      <c r="AH933" t="inlineStr">
        <is>
          <t>@ltdDruid</t>
        </is>
      </c>
      <c r="AI933" t="inlineStr">
        <is>
          <t>https://www.linkedin.com/company/druid-learning-limited</t>
        </is>
      </c>
    </row>
    <row r="934" ht="12.5" customHeight="1">
      <c r="A934" s="6" t="n">
        <v>45181</v>
      </c>
      <c r="B934" s="1" t="inlineStr">
        <is>
          <t>ORG_1473</t>
        </is>
      </c>
      <c r="C934" s="1" t="b">
        <v>1</v>
      </c>
      <c r="D934" s="1" t="inlineStr">
        <is>
          <t>Eğlenceli Bilim</t>
        </is>
      </c>
      <c r="E934" s="10" t="inlineStr">
        <is>
          <t>https://eglencelibilim.com/</t>
        </is>
      </c>
      <c r="F934" t="inlineStr">
        <is>
          <t>eglencelibilim.com</t>
        </is>
      </c>
      <c r="G934" s="1" t="inlineStr">
        <is>
          <t>As a social enterprise, we have been working to improve children's scientific literacy and support them to become responsible, inquisitive, sharer, free-thinker individuals, and active citizens, since 2010. During this 12-year period, we have reached 200 schools and 250.000 students in 65 different provinces of Turkey via 32 NGOs and municipalities, 2.900 teachers &amp; voluntaries in order to spread applied science education at preschool, primary and secondary levels.</t>
        </is>
      </c>
      <c r="H934" s="1" t="inlineStr">
        <is>
          <t>I'm not part of any EdTech association</t>
        </is>
      </c>
      <c r="I934" s="1" t="n"/>
      <c r="J934" s="1" t="inlineStr">
        <is>
          <t>İzmi̇r</t>
        </is>
      </c>
      <c r="K934" t="inlineStr">
        <is>
          <t>İzmi̇r</t>
        </is>
      </c>
      <c r="L934" t="inlineStr">
        <is>
          <t>İzmi̇r, Turkiye</t>
        </is>
      </c>
      <c r="M934" t="n">
        <v>38.4192537</v>
      </c>
      <c r="N934" t="n">
        <v>27.128469</v>
      </c>
      <c r="O934" s="1" t="inlineStr">
        <is>
          <t>Turkiye</t>
        </is>
      </c>
      <c r="P934" s="1" t="inlineStr">
        <is>
          <t>Turkey</t>
        </is>
      </c>
      <c r="Q934" s="1" t="inlineStr">
        <is>
          <t>11 to 50</t>
        </is>
      </c>
      <c r="R934" t="inlineStr">
        <is>
          <t>Small</t>
        </is>
      </c>
      <c r="S934" s="1" t="inlineStr">
        <is>
          <t>Business to Business, Business to Consumer, Business to Schools</t>
        </is>
      </c>
      <c r="T934" s="1" t="inlineStr">
        <is>
          <t>Early childhood development (0-5 years), Primary Education, Secondary Education, Corporate Training</t>
        </is>
      </c>
      <c r="U934" s="1" t="inlineStr">
        <is>
          <t>System/Administrative, Student interfacing, Teacher interfacing</t>
        </is>
      </c>
      <c r="V934" s="1" t="n"/>
      <c r="W934" s="1" t="inlineStr">
        <is>
          <t>https://drive.google.com/uc?export=view&amp;id=1v3_Pps2qRSFmS6KeVZx_wJPDMrG69Syr</t>
        </is>
      </c>
      <c r="X934" s="1" t="inlineStr">
        <is>
          <t>https://drive.google.com/uc?export=view&amp;id=1v3_Pps2qRSFmS6KeVZx_wJPDMrG69Syr</t>
        </is>
      </c>
      <c r="Y934" t="inlineStr">
        <is>
          <t>https://drive.google.com/uc?export=view&amp;id=1v3_Pps2qRSFmS6KeVZx_wJPDMrG69Syr</t>
        </is>
      </c>
      <c r="Z934" s="1" t="inlineStr">
        <is>
          <t>https://drive.google.com/uc?export=view&amp;id=1v3_Pps2qRSFmS6KeVZx_wJPDMrG69Syr</t>
        </is>
      </c>
      <c r="AA934" s="1" t="inlineStr">
        <is>
          <t>Unverified</t>
        </is>
      </c>
      <c r="AB934" s="1" t="n"/>
      <c r="AC934" s="1" t="n"/>
      <c r="AD934" s="10" t="n"/>
      <c r="AE934" s="1" t="n"/>
      <c r="AF934" t="inlineStr">
        <is>
          <t>No</t>
        </is>
      </c>
    </row>
    <row r="935" ht="12.5" customHeight="1">
      <c r="A935" s="6" t="n">
        <v>45181</v>
      </c>
      <c r="B935" s="1" t="inlineStr">
        <is>
          <t>ORG_2328</t>
        </is>
      </c>
      <c r="C935" s="1" t="b">
        <v>1</v>
      </c>
      <c r="D935" s="1" t="inlineStr">
        <is>
          <t>Stranger Skills</t>
        </is>
      </c>
      <c r="E935" s="10" t="inlineStr">
        <is>
          <t>https://www.strangerskills.com</t>
        </is>
      </c>
      <c r="F935" t="inlineStr">
        <is>
          <t>strangerskills.com</t>
        </is>
      </c>
      <c r="G935" s="1" t="inlineStr">
        <is>
          <t>Stranger Skills is the platform created by teachers that helps your children to enhance their soft skills. We have the web site. We have a web page aimed at parents that informs about what soft skills are.
On the other hand, we offer a platform where students can enjoy various experiences in an autonomous and fun way. At the same time that they carry out these experiences, they develop their soft skills.</t>
        </is>
      </c>
      <c r="H935" s="1" t="inlineStr">
        <is>
          <t>I'm not part of any EdTech association</t>
        </is>
      </c>
      <c r="I935" s="1" t="n"/>
      <c r="J935" s="1" t="inlineStr">
        <is>
          <t>Murcia</t>
        </is>
      </c>
      <c r="K935" t="inlineStr">
        <is>
          <t>Murcia</t>
        </is>
      </c>
      <c r="L935" t="inlineStr">
        <is>
          <t>Murcia, Spain</t>
        </is>
      </c>
      <c r="M935" t="n">
        <v>37.9923795</v>
      </c>
      <c r="N935" t="n">
        <v>-1.1305431</v>
      </c>
      <c r="O935" s="1" t="inlineStr">
        <is>
          <t>Spain</t>
        </is>
      </c>
      <c r="P935" s="1" t="inlineStr">
        <is>
          <t>Spain</t>
        </is>
      </c>
      <c r="Q935" s="1" t="inlineStr">
        <is>
          <t>0 to 10</t>
        </is>
      </c>
      <c r="R935" t="inlineStr">
        <is>
          <t>Micro</t>
        </is>
      </c>
      <c r="S935" s="1" t="inlineStr">
        <is>
          <t>Business to Consumer, Business to Schools</t>
        </is>
      </c>
      <c r="T935" s="1" t="inlineStr">
        <is>
          <t>Primary Education, Secondary Education</t>
        </is>
      </c>
      <c r="U935" s="1" t="inlineStr">
        <is>
          <t>System/Administrative, Student interfacing</t>
        </is>
      </c>
      <c r="V935" s="1" t="n"/>
      <c r="W935" s="1" t="inlineStr">
        <is>
          <t>https://drive.google.com/uc?export=view&amp;id=1_L4YMpSKTSSWVZFBOK5Hjav0U3LvszWn</t>
        </is>
      </c>
      <c r="X935" s="1" t="inlineStr">
        <is>
          <t>https://drive.google.com/uc?export=view&amp;id=1_L4YMpSKTSSWVZFBOK5Hjav0U3LvszWn</t>
        </is>
      </c>
      <c r="Y935" t="inlineStr">
        <is>
          <t>https://drive.google.com/uc?export=view&amp;id=1_L4YMpSKTSSWVZFBOK5Hjav0U3LvszWn</t>
        </is>
      </c>
      <c r="Z935" s="1" t="inlineStr">
        <is>
          <t>https://drive.google.com/uc?export=view&amp;id=1_L4YMpSKTSSWVZFBOK5Hjav0U3LvszWn</t>
        </is>
      </c>
      <c r="AA935" s="1" t="inlineStr">
        <is>
          <t>Unverified</t>
        </is>
      </c>
      <c r="AB935" s="1" t="n"/>
      <c r="AC935" s="1" t="n"/>
      <c r="AD935" s="10" t="n"/>
      <c r="AE935" s="1" t="n"/>
      <c r="AF935" t="inlineStr">
        <is>
          <t>No</t>
        </is>
      </c>
    </row>
    <row r="936" ht="12.5" customHeight="1">
      <c r="A936" s="6" t="n">
        <v>45181</v>
      </c>
      <c r="B936" s="1" t="inlineStr">
        <is>
          <t>ORG_2416</t>
        </is>
      </c>
      <c r="C936" s="1" t="b">
        <v>1</v>
      </c>
      <c r="D936" s="1" t="inlineStr">
        <is>
          <t>TMI</t>
        </is>
      </c>
      <c r="E936" s="10" t="inlineStr">
        <is>
          <t>https://tmi.one</t>
        </is>
      </c>
      <c r="F936" t="inlineStr">
        <is>
          <t>tmi.one</t>
        </is>
      </c>
      <c r="G936" s="1" t="inlineStr">
        <is>
          <t>TMI believes that technology and media should be a fundamental part of education anywhere on the globe. However, we see that changes within tech and media are happening too fast for traditional educational parties to keep up with. This results in a serious lack of digital upbringing in many children. 
TMI is taking education to the future by helping educational institutions and schools to participate in an (digital) ecosystem in which traditional education is transformed to a new and better form of learning; through project-based-learning, Agora education, formative assessment and gamified learning experiences. We are TMI, and we’re fighting to give everyone an equal opportunity to utilize the online world to the best of their abilities.</t>
        </is>
      </c>
      <c r="H936" s="1" t="inlineStr">
        <is>
          <t>I'm not part of any EdTech association</t>
        </is>
      </c>
      <c r="I936" s="1" t="n"/>
      <c r="J936" s="1" t="inlineStr">
        <is>
          <t>Utrecht</t>
        </is>
      </c>
      <c r="K936" t="inlineStr">
        <is>
          <t>Utrecht</t>
        </is>
      </c>
      <c r="L936" t="inlineStr">
        <is>
          <t>Utrecht, The Netherlands</t>
        </is>
      </c>
      <c r="M936" t="n">
        <v>52.0906195</v>
      </c>
      <c r="N936" t="n">
        <v>5.1119709</v>
      </c>
      <c r="O936" s="1" t="inlineStr">
        <is>
          <t>The Netherlands</t>
        </is>
      </c>
      <c r="P936" s="1" t="inlineStr">
        <is>
          <t>Belgium, Hungary, Netherlands, Norway</t>
        </is>
      </c>
      <c r="Q936" s="1" t="inlineStr">
        <is>
          <t>11 to 50</t>
        </is>
      </c>
      <c r="R936" t="inlineStr">
        <is>
          <t>Small</t>
        </is>
      </c>
      <c r="S936" s="1" t="inlineStr">
        <is>
          <t>Business to Government, Business to Schools</t>
        </is>
      </c>
      <c r="T936" s="1" t="inlineStr">
        <is>
          <t>Secondary Education, Higher Education</t>
        </is>
      </c>
      <c r="U936" s="1" t="inlineStr">
        <is>
          <t>System/Administrative, Student interfacing, Teacher interfacing</t>
        </is>
      </c>
      <c r="V936" s="1" t="n"/>
      <c r="W936" s="1" t="inlineStr">
        <is>
          <t>https://drive.google.com/uc?export=view&amp;id=1BHvXFoqdrxRE5cXcrIvrmj0yJfnXUOnS</t>
        </is>
      </c>
      <c r="X936" s="1" t="inlineStr">
        <is>
          <t>https://drive.google.com/uc?export=view&amp;id=1BHvXFoqdrxRE5cXcrIvrmj0yJfnXUOnS</t>
        </is>
      </c>
      <c r="Y936" t="inlineStr">
        <is>
          <t>https://drive.google.com/uc?export=view&amp;id=1BHvXFoqdrxRE5cXcrIvrmj0yJfnXUOnS</t>
        </is>
      </c>
      <c r="Z936" s="1" t="inlineStr">
        <is>
          <t>https://drive.google.com/uc?export=view&amp;id=1BHvXFoqdrxRE5cXcrIvrmj0yJfnXUOnS</t>
        </is>
      </c>
      <c r="AA936" s="1" t="inlineStr">
        <is>
          <t>Unverified</t>
        </is>
      </c>
      <c r="AB936" s="1" t="n"/>
      <c r="AC936" s="1" t="n"/>
      <c r="AD936" s="10" t="n"/>
      <c r="AE936" s="1" t="n"/>
      <c r="AF936" t="inlineStr">
        <is>
          <t>No</t>
        </is>
      </c>
    </row>
    <row r="937" ht="12.5" customHeight="1">
      <c r="A937" s="6" t="n">
        <v>45181</v>
      </c>
      <c r="B937" s="1" t="inlineStr">
        <is>
          <t>ORG_1119</t>
        </is>
      </c>
      <c r="C937" s="1" t="b">
        <v>1</v>
      </c>
      <c r="D937" s="1" t="inlineStr">
        <is>
          <t>Atmospheric school</t>
        </is>
      </c>
      <c r="E937" s="10" t="inlineStr">
        <is>
          <t>https://www.atschool.com.ua/en/</t>
        </is>
      </c>
      <c r="F937" t="inlineStr">
        <is>
          <t>atschool.com.ua/en</t>
        </is>
      </c>
      <c r="G937" s="1" t="inlineStr">
        <is>
          <t>Atmospheric school is a Ukrainian distance school, licensed by the Ministry of Education and Science of Ukraine. Our school provides the opportunity for distance learning and certification in all disciplines provided by the official curriculum. We developed a unique technological learning platform which allows our students to study at any time and given location. Our school was the first in Ukraine that has been honored to be a member of ICDE.</t>
        </is>
      </c>
      <c r="H937" s="1" t="inlineStr">
        <is>
          <t>I'm not part of any EdTech association</t>
        </is>
      </c>
      <c r="I937" s="1" t="n"/>
      <c r="J937" s="1" t="inlineStr">
        <is>
          <t>Kyiv</t>
        </is>
      </c>
      <c r="K937" t="inlineStr">
        <is>
          <t>Kyiv</t>
        </is>
      </c>
      <c r="L937" t="inlineStr">
        <is>
          <t>Kyiv, Ukraine</t>
        </is>
      </c>
      <c r="M937" t="n">
        <v>50.4500336</v>
      </c>
      <c r="N937" t="n">
        <v>30.5241361</v>
      </c>
      <c r="O937" s="1" t="inlineStr">
        <is>
          <t>Ukraine</t>
        </is>
      </c>
      <c r="P937" s="1" t="inlineStr">
        <is>
          <t>Armenia, Austria, Belgium, Bulgaria, Croatia, Cyprus, Czechia, France, Georgia, Germany, Greece, Hungary, Ireland, Italy, Latvia, Lithuania, Moldova, Netherlands, Poland, Portugal, Romania, Slovakia, Spain, Switzerland, Turkey, Ukraine, United Kingdom</t>
        </is>
      </c>
      <c r="Q937" s="1" t="inlineStr">
        <is>
          <t>11 to 50</t>
        </is>
      </c>
      <c r="R937" t="inlineStr">
        <is>
          <t>Small</t>
        </is>
      </c>
      <c r="S937" s="1" t="inlineStr">
        <is>
          <t>Business to Business</t>
        </is>
      </c>
      <c r="T937" s="1" t="inlineStr">
        <is>
          <t>Primary Education, Secondary Education, Lifelong learning/Adult education</t>
        </is>
      </c>
      <c r="U937" s="1" t="inlineStr">
        <is>
          <t>System/Administrative, Student interfacing, Teacher interfacing</t>
        </is>
      </c>
      <c r="V937" s="1" t="n"/>
      <c r="W937" s="1" t="inlineStr">
        <is>
          <t>https://drive.google.com/uc?export=view&amp;id=13IM4nfdjh8nonsnBQO_Zt3LwxNVuuTiA</t>
        </is>
      </c>
      <c r="X937" s="1" t="inlineStr">
        <is>
          <t>https://drive.google.com/uc?export=view&amp;id=13IM4nfdjh8nonsnBQO_Zt3LwxNVuuTiA</t>
        </is>
      </c>
      <c r="Y937" t="inlineStr">
        <is>
          <t>https://drive.google.com/uc?export=view&amp;id=13IM4nfdjh8nonsnBQO_Zt3LwxNVuuTiA</t>
        </is>
      </c>
      <c r="Z937" s="1" t="inlineStr">
        <is>
          <t>https://drive.google.com/uc?export=view&amp;id=13IM4nfdjh8nonsnBQO_Zt3LwxNVuuTiA</t>
        </is>
      </c>
      <c r="AA937" s="1" t="inlineStr">
        <is>
          <t>Unverified</t>
        </is>
      </c>
      <c r="AB937" s="1" t="n"/>
      <c r="AC937" s="1" t="n"/>
      <c r="AD937" s="10" t="n"/>
      <c r="AE937" s="1" t="n"/>
      <c r="AF937" s="1" t="inlineStr">
        <is>
          <t>No</t>
        </is>
      </c>
      <c r="AG937" s="1" t="n"/>
      <c r="AH937" s="1" t="n"/>
    </row>
    <row r="938" ht="12.5" customHeight="1">
      <c r="A938" s="6" t="n">
        <v>45181</v>
      </c>
      <c r="B938" s="1" t="inlineStr">
        <is>
          <t>ORG_1177</t>
        </is>
      </c>
      <c r="C938" s="1" t="b">
        <v>1</v>
      </c>
      <c r="D938" s="1" t="inlineStr">
        <is>
          <t>Blueprint Learning ApS</t>
        </is>
      </c>
      <c r="E938" s="10" t="inlineStr">
        <is>
          <t>http://www.blueprintlearning.dk</t>
        </is>
      </c>
      <c r="F938" t="inlineStr">
        <is>
          <t>blueprintlearning.dk</t>
        </is>
      </c>
      <c r="G938" s="1" t="inlineStr">
        <is>
          <t>Blueprint Learning is the market leader in Denmark in online continuing education for professionals in the legal, dental and financial sector as well as the market of municipalities. Blueprint Learning provides subscription-based unlimited access in currently three vertical brands and customers can choose from more than 2000 courses in total. Blueprint Learning is based in central Copenhagen and has around 35 dedicated employees.</t>
        </is>
      </c>
      <c r="H938" s="1" t="inlineStr">
        <is>
          <t>I'm not part of any EdTech association</t>
        </is>
      </c>
      <c r="I938" s="1" t="n"/>
      <c r="J938" s="1" t="inlineStr">
        <is>
          <t>Copenhagen</t>
        </is>
      </c>
      <c r="K938" t="inlineStr">
        <is>
          <t>Copenhagen</t>
        </is>
      </c>
      <c r="L938" t="inlineStr">
        <is>
          <t>Copenhagen, Denmark</t>
        </is>
      </c>
      <c r="M938" t="n">
        <v>55.6867243</v>
      </c>
      <c r="N938" t="n">
        <v>12.5700724</v>
      </c>
      <c r="O938" s="1" t="inlineStr">
        <is>
          <t>Denmark</t>
        </is>
      </c>
      <c r="P938" s="1" t="inlineStr">
        <is>
          <t>Denmark</t>
        </is>
      </c>
      <c r="Q938" s="1" t="inlineStr">
        <is>
          <t>11 to 50</t>
        </is>
      </c>
      <c r="R938" t="inlineStr">
        <is>
          <t>Small</t>
        </is>
      </c>
      <c r="S938" s="1" t="inlineStr">
        <is>
          <t>Business to Business, Business to Consumer</t>
        </is>
      </c>
      <c r="T938" s="1" t="inlineStr">
        <is>
          <t>Corporate Training</t>
        </is>
      </c>
      <c r="U938" s="1" t="inlineStr">
        <is>
          <t>Teacher interfacing, System/Administrative, Student interfacing</t>
        </is>
      </c>
      <c r="V938" s="1" t="inlineStr">
        <is>
          <t>advokurser.dk</t>
        </is>
      </c>
      <c r="W938" s="1" t="inlineStr">
        <is>
          <t>http://revikurser.dk/</t>
        </is>
      </c>
      <c r="X938" s="1" t="inlineStr">
        <is>
          <t>revikurser.dk</t>
        </is>
      </c>
      <c r="Y938" t="inlineStr">
        <is>
          <t>https://drive.google.com/uc?export=view&amp;id=14IDcCPbIPKeiG90XjrQLNdjlF92sWmuG</t>
        </is>
      </c>
      <c r="Z938" s="10" t="inlineStr">
        <is>
          <t>https://drive.google.com/uc?export=view&amp;id=14IDcCPbIPKeiG90XjrQLNdjlF92sWmuG</t>
        </is>
      </c>
      <c r="AA938" s="1" t="inlineStr">
        <is>
          <t>Unverified</t>
        </is>
      </c>
      <c r="AB938" s="10" t="n"/>
      <c r="AC938" s="1" t="n"/>
      <c r="AD938" s="10" t="n"/>
      <c r="AE938" s="1" t="n"/>
      <c r="AF938" t="inlineStr">
        <is>
          <t>Yes</t>
        </is>
      </c>
      <c r="AH938" t="inlineStr">
        <is>
          <t>http://advokurser.dk/</t>
        </is>
      </c>
      <c r="AI938" t="inlineStr">
        <is>
          <t>http://advokurser.dk/</t>
        </is>
      </c>
    </row>
    <row r="939" ht="12.5" customHeight="1">
      <c r="A939" s="6" t="n">
        <v>45181</v>
      </c>
      <c r="B939" s="1" t="inlineStr">
        <is>
          <t>ORG_1295</t>
        </is>
      </c>
      <c r="C939" s="1" t="b">
        <v>1</v>
      </c>
      <c r="D939" s="1" t="inlineStr">
        <is>
          <t>Cood</t>
        </is>
      </c>
      <c r="E939" s="10" t="inlineStr">
        <is>
          <t>www.cood.fr</t>
        </is>
      </c>
      <c r="F939" t="inlineStr">
        <is>
          <t>cood.fr</t>
        </is>
      </c>
      <c r="G939" s="1" t="inlineStr">
        <is>
          <t>Cood is an online Play &amp; Learn platform to develop Digital competencies for everyone: kids at school , adults at work or as parents , and even for elders.
Therefore Cood has developed 2 solutions: 
- Cood Studio: a visual programming platform to learn coding by creating a video game.
- Cood Academy: an e-learning app to develop digital competencies based on the french PIX certificate (or Digicomp: The european digital competence framework for citizens)</t>
        </is>
      </c>
      <c r="H939" s="1" t="inlineStr">
        <is>
          <t>EdTech France</t>
        </is>
      </c>
      <c r="I939" s="1" t="n"/>
      <c r="J939" s="1" t="inlineStr">
        <is>
          <t>Paris</t>
        </is>
      </c>
      <c r="K939" t="inlineStr">
        <is>
          <t>Paris</t>
        </is>
      </c>
      <c r="L939" t="inlineStr">
        <is>
          <t>Paris, France</t>
        </is>
      </c>
      <c r="M939" t="n">
        <v>48.8534951</v>
      </c>
      <c r="N939" t="n">
        <v>2.3483915</v>
      </c>
      <c r="O939" s="1" t="inlineStr">
        <is>
          <t>France</t>
        </is>
      </c>
      <c r="P939" s="1" t="inlineStr">
        <is>
          <t>France</t>
        </is>
      </c>
      <c r="Q939" s="1" t="inlineStr">
        <is>
          <t>0 to 10</t>
        </is>
      </c>
      <c r="R939" t="inlineStr">
        <is>
          <t>Micro</t>
        </is>
      </c>
      <c r="S939" s="1" t="inlineStr">
        <is>
          <t>Business to Business, Business to Consumer, Business to Government</t>
        </is>
      </c>
      <c r="T939" s="1" t="inlineStr">
        <is>
          <t>Secondary Education, Higher Education, Corporate Training, Lifelong learning/Adult education</t>
        </is>
      </c>
      <c r="U939" s="1" t="inlineStr">
        <is>
          <t>System/Administrative, Student interfacing, Teacher interfacing</t>
        </is>
      </c>
      <c r="V939" s="10" t="inlineStr">
        <is>
          <t>Cood Studio</t>
        </is>
      </c>
      <c r="W939" s="1" t="inlineStr">
        <is>
          <t>Gaming resources to learn how to code your own video game, thanks to a programming language in the form of blocks.
Students develop these essential cross-curricular skills beyond the school curriculum: logic, creativity, critical thinking, problem solving, etc.</t>
        </is>
      </c>
      <c r="X939" s="10" t="inlineStr">
        <is>
          <t>Cood Academy</t>
        </is>
      </c>
      <c r="Y939" t="inlineStr">
        <is>
          <t>An e-learning application for developing digital skills and training for the Pix state certification, recognized in Europe and by the professional world.
Short and engaging formats (quizzes, videos, practical cases, etc.) adapt to the level of each user and to each moment of life: at school, at home, at work and even in retirement</t>
        </is>
      </c>
      <c r="Z939" s="1" t="inlineStr">
        <is>
          <t>https://drive.google.com/uc?export=view&amp;id=1TLnpgwhOIF9nje3Jk9v7WW0fpzQeodz-</t>
        </is>
      </c>
      <c r="AA939" s="1" t="inlineStr">
        <is>
          <t>Unverified</t>
        </is>
      </c>
      <c r="AB939" s="1" t="n"/>
      <c r="AC939" s="1" t="n"/>
      <c r="AD939" s="10" t="n"/>
      <c r="AE939" s="1" t="n"/>
      <c r="AF939" t="inlineStr">
        <is>
          <t>Yes</t>
        </is>
      </c>
      <c r="AG939" t="inlineStr">
        <is>
          <t>cood.fr</t>
        </is>
      </c>
      <c r="AH939" t="inlineStr">
        <is>
          <t>Cood_fr</t>
        </is>
      </c>
      <c r="AI939" t="inlineStr">
        <is>
          <t>https://www.linkedin.com/company/cood-fr</t>
        </is>
      </c>
    </row>
    <row r="940" ht="12.5" customHeight="1">
      <c r="A940" s="6" t="n">
        <v>45181</v>
      </c>
      <c r="B940" s="1" t="inlineStr">
        <is>
          <t>ORG_1547</t>
        </is>
      </c>
      <c r="C940" s="1" t="b">
        <v>1</v>
      </c>
      <c r="D940" s="1" t="inlineStr">
        <is>
          <t>EYEPASS</t>
        </is>
      </c>
      <c r="E940" s="10" t="inlineStr">
        <is>
          <t>https://education.eyepass.tech/</t>
        </is>
      </c>
      <c r="F940" t="inlineStr">
        <is>
          <t>education.eyepass.tech</t>
        </is>
      </c>
      <c r="G940" s="1" t="inlineStr">
        <is>
          <t>EYEPASS is the first step to building AI - a teacher assistant. We use computer vision algorithms to understand students' behavior and at the same time guarantee a high level of data protection and privacy. EYEPASS is an online tool for the instant creation of learning tasks with an assessment algorithm based on eye movement analysis, which allows you to make education adaptive. EYEPASS complements the work of teachers in accelerating student learning and allows:
- to understand each student's learning problems;
- сreate a personal image of effort;
- improve the quality of educational content;
- explore personal and group attention;
- increase interest and motivation;
- leave more time for joint learning and practice;
- monitor the level of student involvement and make adjustments;
- develop analytical reading and critical thinking
EYEPASS on eye movements determines what students read and what just scrolled, what catches attention on e-learning videos or reading materials, and the level of synchronization between students. Receiving this information can be reflected students' way of learning, making the learning path visible. This info has value not only for teachers but for students too. We are sure that the most important goal of modern education is to develop critical thinking and metacognition skills.</t>
        </is>
      </c>
      <c r="H940" s="1" t="inlineStr">
        <is>
          <t>I'm not part of any EdTech association</t>
        </is>
      </c>
      <c r="I940" s="1" t="n"/>
      <c r="J940" s="1" t="inlineStr">
        <is>
          <t>Kyiv</t>
        </is>
      </c>
      <c r="K940" t="inlineStr">
        <is>
          <t>Kyiv</t>
        </is>
      </c>
      <c r="L940" t="inlineStr">
        <is>
          <t>Kyiv, Ukraine</t>
        </is>
      </c>
      <c r="M940" t="n">
        <v>50.4500336</v>
      </c>
      <c r="N940" t="n">
        <v>30.5241361</v>
      </c>
      <c r="O940" s="1" t="inlineStr">
        <is>
          <t>Ukraine</t>
        </is>
      </c>
      <c r="P940" s="1" t="inlineStr">
        <is>
          <t>Estonia, Ukraine</t>
        </is>
      </c>
      <c r="Q940" s="1" t="inlineStr">
        <is>
          <t>0 to 10</t>
        </is>
      </c>
      <c r="R940" t="inlineStr">
        <is>
          <t>Micro</t>
        </is>
      </c>
      <c r="S940" s="1" t="inlineStr">
        <is>
          <t>Business to Business, Business to Consumer, Business to Government, Business to Schools</t>
        </is>
      </c>
      <c r="T940" s="1" t="inlineStr">
        <is>
          <t>Primary Education, Secondary Education</t>
        </is>
      </c>
      <c r="U940" s="1" t="inlineStr">
        <is>
          <t>Student interfacing, Teacher interfacing</t>
        </is>
      </c>
      <c r="V940" s="1" t="n"/>
      <c r="W940" s="1" t="inlineStr">
        <is>
          <t>https://drive.google.com/uc?export=view&amp;id=1tvUBiyZl68PUmqjaaM9nv0o9ORfHlcM5</t>
        </is>
      </c>
      <c r="X940" s="1" t="inlineStr">
        <is>
          <t>https://drive.google.com/uc?export=view&amp;id=1tvUBiyZl68PUmqjaaM9nv0o9ORfHlcM5</t>
        </is>
      </c>
      <c r="Y940" t="inlineStr">
        <is>
          <t>https://drive.google.com/uc?export=view&amp;id=1tvUBiyZl68PUmqjaaM9nv0o9ORfHlcM5</t>
        </is>
      </c>
      <c r="Z940" s="1" t="inlineStr">
        <is>
          <t>https://drive.google.com/uc?export=view&amp;id=1tvUBiyZl68PUmqjaaM9nv0o9ORfHlcM5</t>
        </is>
      </c>
      <c r="AA940" s="1" t="inlineStr">
        <is>
          <t>Unverified</t>
        </is>
      </c>
      <c r="AB940" s="1" t="n"/>
      <c r="AC940" s="1" t="n"/>
      <c r="AD940" s="10" t="n"/>
      <c r="AE940" s="1" t="n"/>
      <c r="AF940" t="inlineStr">
        <is>
          <t>No</t>
        </is>
      </c>
    </row>
    <row r="941" ht="12.5" customHeight="1">
      <c r="A941" s="6" t="n">
        <v>45181</v>
      </c>
      <c r="B941" s="1" t="inlineStr">
        <is>
          <t>ORG_1772</t>
        </is>
      </c>
      <c r="C941" s="1" t="b">
        <v>1</v>
      </c>
      <c r="D941" s="1" t="inlineStr">
        <is>
          <t>KIMO</t>
        </is>
      </c>
      <c r="E941" s="10" t="inlineStr">
        <is>
          <t>www.kimo.ai</t>
        </is>
      </c>
      <c r="F941" t="inlineStr">
        <is>
          <t>kimo.ai</t>
        </is>
      </c>
      <c r="G941" s="1" t="inlineStr">
        <is>
          <t>KIMO is a next-gen learning platform that allows a company’s employees to get the best learning content instantly. Our solution is faster, cheaper, and more efficient than all the learning solutions on the market, as it allows bringing all the free content on the web on board (next to typically paid items) in an advanced neural search engine for high-quality content. The AI engine is further augmented by live sessions with industry experts who dial in twice per week to discuss the latest trends.</t>
        </is>
      </c>
      <c r="H941" s="1" t="inlineStr">
        <is>
          <t>I'm not part of any EdTech association</t>
        </is>
      </c>
      <c r="I941" s="1" t="n"/>
      <c r="J941" s="1" t="inlineStr">
        <is>
          <t>Amsterdam</t>
        </is>
      </c>
      <c r="K941" t="inlineStr">
        <is>
          <t>Amsterdam</t>
        </is>
      </c>
      <c r="L941" t="inlineStr">
        <is>
          <t>Amsterdam, The Netherlands</t>
        </is>
      </c>
      <c r="M941" t="n">
        <v>52.3701984</v>
      </c>
      <c r="N941" t="n">
        <v>4.892168</v>
      </c>
      <c r="O941" s="1" t="inlineStr">
        <is>
          <t>The Netherlands</t>
        </is>
      </c>
      <c r="P941" s="1" t="inlineStr">
        <is>
          <t>Austria, Belgium, Bulgaria, Croatia, Cyprus, Denmark, Estonia, Finland, France, Germany, Greece, Hungary, Iceland, Ireland, Italy, Latvia, Lithuania, Luxembourg, Malta, Moldova, Monaco, Montenegro, Netherlands, Norway, Poland, Portugal, Romania, Serbia, Slovakia, Slovenia, Spain, Sweden, Switzerland, Turkey, Ukraine, United Kingdom</t>
        </is>
      </c>
      <c r="Q941" s="1" t="inlineStr">
        <is>
          <t>11 to 50</t>
        </is>
      </c>
      <c r="R941" t="inlineStr">
        <is>
          <t>Small</t>
        </is>
      </c>
      <c r="S941" s="1" t="inlineStr">
        <is>
          <t>Business to Business, Business to Government</t>
        </is>
      </c>
      <c r="T941" s="1" t="inlineStr">
        <is>
          <t>Higher Education, Corporate Training, Lifelong learning/Adult education</t>
        </is>
      </c>
      <c r="U941" s="1" t="inlineStr">
        <is>
          <t>Student interfacing, System/Administrative</t>
        </is>
      </c>
      <c r="V941" s="1" t="n"/>
      <c r="W941" s="1" t="inlineStr">
        <is>
          <t>https://drive.google.com/uc?export=view&amp;id=1LSdf7QVbmsgCzmd_1ghdPq_3zHy7OvJj</t>
        </is>
      </c>
      <c r="X941" s="1" t="inlineStr">
        <is>
          <t>https://drive.google.com/uc?export=view&amp;id=1LSdf7QVbmsgCzmd_1ghdPq_3zHy7OvJj</t>
        </is>
      </c>
      <c r="Y941" t="inlineStr">
        <is>
          <t>https://drive.google.com/uc?export=view&amp;id=1LSdf7QVbmsgCzmd_1ghdPq_3zHy7OvJj</t>
        </is>
      </c>
      <c r="Z941" s="1" t="inlineStr">
        <is>
          <t>https://drive.google.com/uc?export=view&amp;id=1LSdf7QVbmsgCzmd_1ghdPq_3zHy7OvJj</t>
        </is>
      </c>
      <c r="AA941" s="1" t="inlineStr">
        <is>
          <t>Unverified</t>
        </is>
      </c>
      <c r="AB941" s="1" t="n"/>
      <c r="AC941" s="1" t="n"/>
      <c r="AD941" s="10" t="n"/>
      <c r="AE941" s="1" t="n"/>
      <c r="AF941" t="inlineStr">
        <is>
          <t>No</t>
        </is>
      </c>
    </row>
    <row r="942" ht="12.5" customHeight="1">
      <c r="A942" s="6" t="n">
        <v>45181</v>
      </c>
      <c r="B942" s="1" t="inlineStr">
        <is>
          <t>ORG_2295</t>
        </is>
      </c>
      <c r="C942" s="1" t="b">
        <v>1</v>
      </c>
      <c r="D942" s="1" t="inlineStr">
        <is>
          <t>Sopu Academy</t>
        </is>
      </c>
      <c r="E942" s="10" t="inlineStr">
        <is>
          <t>https://sopuacademy.com/</t>
        </is>
      </c>
      <c r="F942" t="inlineStr">
        <is>
          <t>sopuacademy.com</t>
        </is>
      </c>
      <c r="G942" s="1" t="inlineStr">
        <is>
          <t>At Sopu Academy, we help people to improve their negotiation and communication skills. We develop an AI-powered platform to help them learn how to resolve conflicts in their everyday lives. 
The users practice various negotiation scenarios on our app. For example, they negotiate an employment contract for themselves, try to decide who to clean the dishes at home tonight, or make a million dollar business deal. After their negotiation, participants receive individualised feedback based on their performance. 
Our goal is to help learners understand possibilities to create win-win situations with their interactions in their personal and professional lives. At Sopu Academy, we believe that negotiation skills are essential for every individual to pursue a happy, meaningful, and successful life.</t>
        </is>
      </c>
      <c r="H942" s="1" t="inlineStr">
        <is>
          <t>I'm not part of any EdTech association</t>
        </is>
      </c>
      <c r="I942" s="1" t="n"/>
      <c r="J942" s="1" t="inlineStr">
        <is>
          <t>Helsinki</t>
        </is>
      </c>
      <c r="K942" t="inlineStr">
        <is>
          <t>Helsinki</t>
        </is>
      </c>
      <c r="L942" t="inlineStr">
        <is>
          <t>Helsinki, Finland</t>
        </is>
      </c>
      <c r="M942" t="n">
        <v>60.1666204</v>
      </c>
      <c r="N942" t="n">
        <v>24.9435408</v>
      </c>
      <c r="O942" s="1" t="inlineStr">
        <is>
          <t>Finland</t>
        </is>
      </c>
      <c r="P942" s="1" t="inlineStr">
        <is>
          <t>Austria, Estonia, Finland, France, Germany, Spain, Sweden, Turkey</t>
        </is>
      </c>
      <c r="Q942" s="1" t="inlineStr">
        <is>
          <t>0 to 10</t>
        </is>
      </c>
      <c r="R942" t="inlineStr">
        <is>
          <t>Micro</t>
        </is>
      </c>
      <c r="S942" s="1" t="inlineStr">
        <is>
          <t>Business to Business, Business to Schools</t>
        </is>
      </c>
      <c r="T942" s="1" t="inlineStr">
        <is>
          <t>Secondary Education, Higher Education, Corporate Training, Lifelong learning/Adult education</t>
        </is>
      </c>
      <c r="U942" s="1" t="inlineStr">
        <is>
          <t>Student interfacing, Teacher interfacing, System/Administrative</t>
        </is>
      </c>
      <c r="V942" s="1" t="n"/>
      <c r="W942" s="1" t="inlineStr">
        <is>
          <t>https://drive.google.com/uc?export=view&amp;id=1GQFjW1yicQjKY1NEWRPXyFuuiNvFNngI</t>
        </is>
      </c>
      <c r="X942" s="1" t="inlineStr">
        <is>
          <t>https://drive.google.com/uc?export=view&amp;id=1GQFjW1yicQjKY1NEWRPXyFuuiNvFNngI</t>
        </is>
      </c>
      <c r="Y942" t="inlineStr">
        <is>
          <t>https://drive.google.com/uc?export=view&amp;id=1GQFjW1yicQjKY1NEWRPXyFuuiNvFNngI</t>
        </is>
      </c>
      <c r="Z942" s="1" t="inlineStr">
        <is>
          <t>https://drive.google.com/uc?export=view&amp;id=1GQFjW1yicQjKY1NEWRPXyFuuiNvFNngI</t>
        </is>
      </c>
      <c r="AA942" s="1" t="inlineStr">
        <is>
          <t>Unverified</t>
        </is>
      </c>
      <c r="AB942" s="1" t="n"/>
      <c r="AC942" s="1" t="n"/>
      <c r="AD942" s="10" t="n"/>
      <c r="AE942" s="1" t="n"/>
      <c r="AF942" t="inlineStr">
        <is>
          <t>No</t>
        </is>
      </c>
    </row>
    <row r="943" ht="12.5" customHeight="1">
      <c r="A943" s="6" t="n">
        <v>45181</v>
      </c>
      <c r="B943" s="1" t="inlineStr">
        <is>
          <t>ORG_2367</t>
        </is>
      </c>
      <c r="C943" s="1" t="b">
        <v>1</v>
      </c>
      <c r="D943" s="1" t="inlineStr">
        <is>
          <t>TalkEn.cloud</t>
        </is>
      </c>
      <c r="E943" s="10" t="inlineStr">
        <is>
          <t>https://talken.cloud</t>
        </is>
      </c>
      <c r="F943" t="inlineStr">
        <is>
          <t>talken.cloud</t>
        </is>
      </c>
      <c r="G943" s="1" t="inlineStr">
        <is>
          <t>TalkEn.cloud - a multifunctional online platform for teaching English, that offers: a learning management system (LMS) &amp; complete leveled language program created by the Ukrainian team! We combined everything that ESL teachers and students need in one place - a series of interactive workbooks and efficient modern learning tools.</t>
        </is>
      </c>
      <c r="H943" s="1" t="inlineStr">
        <is>
          <t>I'm not part of any EdTech association</t>
        </is>
      </c>
      <c r="I943" s="1" t="n"/>
      <c r="J943" s="1" t="inlineStr">
        <is>
          <t>Kiev</t>
        </is>
      </c>
      <c r="K943" t="inlineStr">
        <is>
          <t>Kiev</t>
        </is>
      </c>
      <c r="L943" t="inlineStr">
        <is>
          <t>Kiev, Ukraine</t>
        </is>
      </c>
      <c r="M943" t="n">
        <v>50.178595</v>
      </c>
      <c r="N943" t="n">
        <v>30.4924884</v>
      </c>
      <c r="O943" s="1" t="inlineStr">
        <is>
          <t>Ukraine</t>
        </is>
      </c>
      <c r="P943" s="1" t="inlineStr">
        <is>
          <t>Ukraine</t>
        </is>
      </c>
      <c r="Q943" s="1" t="inlineStr">
        <is>
          <t>0 to 10</t>
        </is>
      </c>
      <c r="R943" t="inlineStr">
        <is>
          <t>Micro</t>
        </is>
      </c>
      <c r="S943" s="1" t="inlineStr">
        <is>
          <t>Business to Consumer</t>
        </is>
      </c>
      <c r="T943" s="1" t="inlineStr">
        <is>
          <t>Primary Education, Secondary Education</t>
        </is>
      </c>
      <c r="U943" s="1" t="inlineStr">
        <is>
          <t>Student interfacing, Teacher interfacing, System/Administrative</t>
        </is>
      </c>
      <c r="V943" s="1" t="n"/>
      <c r="W943" s="1" t="inlineStr">
        <is>
          <t>https://drive.google.com/uc?export=view&amp;id=1DhddukPZRSjLCrkuFfdF2LeEjFTbbv5E</t>
        </is>
      </c>
      <c r="X943" s="1" t="inlineStr">
        <is>
          <t>https://drive.google.com/uc?export=view&amp;id=1DhddukPZRSjLCrkuFfdF2LeEjFTbbv5E</t>
        </is>
      </c>
      <c r="Y943" t="inlineStr">
        <is>
          <t>https://drive.google.com/uc?export=view&amp;id=1DhddukPZRSjLCrkuFfdF2LeEjFTbbv5E</t>
        </is>
      </c>
      <c r="Z943" s="1" t="inlineStr">
        <is>
          <t>https://drive.google.com/uc?export=view&amp;id=1DhddukPZRSjLCrkuFfdF2LeEjFTbbv5E</t>
        </is>
      </c>
      <c r="AA943" s="1" t="inlineStr">
        <is>
          <t>Unverified</t>
        </is>
      </c>
      <c r="AB943" s="1" t="n"/>
      <c r="AC943" s="1" t="n"/>
      <c r="AD943" s="10" t="n"/>
      <c r="AE943" s="1" t="n"/>
      <c r="AF943" t="inlineStr">
        <is>
          <t>No</t>
        </is>
      </c>
    </row>
    <row r="944" ht="12.5" customHeight="1">
      <c r="A944" s="6" t="n">
        <v>45181</v>
      </c>
      <c r="B944" s="1" t="inlineStr">
        <is>
          <t>ORG_2464</t>
        </is>
      </c>
      <c r="C944" s="1" t="b">
        <v>1</v>
      </c>
      <c r="D944" s="1" t="inlineStr">
        <is>
          <t>Unimuseum</t>
        </is>
      </c>
      <c r="E944" s="10" t="inlineStr">
        <is>
          <t>unimuseum.io</t>
        </is>
      </c>
      <c r="F944" t="inlineStr">
        <is>
          <t>unimuseum.io</t>
        </is>
      </c>
      <c r="G944" s="1" t="inlineStr">
        <is>
          <t>UNIMUSEUM is a museum in Metaverse &amp; Beyond for Human Rights and Solidarity. We are a team deeply committed to creating a better world. 
UNIMUSEUM is a Web3 ecosystem where difference is celebrated. Our mission is to build a place in the Metaverse &amp; build a community of creators with diverse backgrounds from different parts of the globe to come together to learn, teach and feel at home.
Empowering creators and communities of all kinds to achieve economic independence in a new digital economy, our main goal is to onboard and educate new users to create NFTs and interact in Web3, creating an accessible and inclusive Web3 space that enriches the user experience of buying, selling, and NFT transfer.
It's a Web3 world by a diverse team that aims to support a warm and inclusive community that has access to UNIMUSEUM experiences and utilities.</t>
        </is>
      </c>
      <c r="H944" s="1" t="inlineStr">
        <is>
          <t>I'm not part of any EdTech association</t>
        </is>
      </c>
      <c r="I944" s="1" t="n"/>
      <c r="J944" s="1" t="inlineStr">
        <is>
          <t>Kharkiv</t>
        </is>
      </c>
      <c r="K944" t="inlineStr">
        <is>
          <t>Kharkiv</t>
        </is>
      </c>
      <c r="L944" t="inlineStr">
        <is>
          <t>Kharkiv, Ukraine</t>
        </is>
      </c>
      <c r="M944" t="n">
        <v>49.9923181</v>
      </c>
      <c r="N944" t="n">
        <v>36.2310146</v>
      </c>
      <c r="O944" s="1" t="inlineStr">
        <is>
          <t>Ukraine</t>
        </is>
      </c>
      <c r="P944" s="1" t="inlineStr">
        <is>
          <t>Austria, Belgium, Finland, France, Germany, Greece, Italy, Lithuania, Netherlands, North Macedonia, Norway, Poland, Portugal, Spain, Turkey, Ukraine, United Kingdom</t>
        </is>
      </c>
      <c r="Q944" s="1" t="inlineStr">
        <is>
          <t>0 to 10</t>
        </is>
      </c>
      <c r="R944" t="inlineStr">
        <is>
          <t>Micro</t>
        </is>
      </c>
      <c r="S944" s="1" t="inlineStr">
        <is>
          <t>Business to Government, Business to Schools</t>
        </is>
      </c>
      <c r="T944" s="1" t="inlineStr">
        <is>
          <t>Lifelong learning/Adult education</t>
        </is>
      </c>
      <c r="U944" s="1" t="inlineStr">
        <is>
          <t>System/Administrative</t>
        </is>
      </c>
      <c r="V944" s="1" t="n"/>
      <c r="W944" s="1" t="inlineStr">
        <is>
          <t>https://drive.google.com/uc?export=view&amp;id=1brpejJtKkInrEX2b2rhYM6DagIW3DOoq</t>
        </is>
      </c>
      <c r="X944" s="1" t="inlineStr">
        <is>
          <t>https://drive.google.com/uc?export=view&amp;id=1brpejJtKkInrEX2b2rhYM6DagIW3DOoq</t>
        </is>
      </c>
      <c r="Y944" t="inlineStr">
        <is>
          <t>https://drive.google.com/uc?export=view&amp;id=1brpejJtKkInrEX2b2rhYM6DagIW3DOoq</t>
        </is>
      </c>
      <c r="Z944" s="1" t="inlineStr">
        <is>
          <t>https://drive.google.com/uc?export=view&amp;id=1brpejJtKkInrEX2b2rhYM6DagIW3DOoq</t>
        </is>
      </c>
      <c r="AA944" s="1" t="inlineStr">
        <is>
          <t>Unverified</t>
        </is>
      </c>
      <c r="AB944" s="1" t="n"/>
      <c r="AC944" s="1" t="n"/>
      <c r="AD944" s="10" t="n"/>
      <c r="AE944" s="1" t="n"/>
      <c r="AF944" t="inlineStr">
        <is>
          <t>No</t>
        </is>
      </c>
    </row>
    <row r="945" ht="12.5" customHeight="1">
      <c r="A945" s="6" t="n">
        <v>45181</v>
      </c>
      <c r="B945" s="1" t="inlineStr">
        <is>
          <t>ORG_2492</t>
        </is>
      </c>
      <c r="C945" s="1" t="b">
        <v>1</v>
      </c>
      <c r="D945" s="1" t="inlineStr">
        <is>
          <t>VideoWiki</t>
        </is>
      </c>
      <c r="E945" s="10" t="inlineStr">
        <is>
          <t>https://video.wiki/</t>
        </is>
      </c>
      <c r="F945" t="inlineStr">
        <is>
          <t>video.wiki</t>
        </is>
      </c>
      <c r="G945" s="1" t="inlineStr">
        <is>
          <t>VideoWiki is an open content editing platform that powers the creation and monetization of content while encouraging collaborative authoring while prioritizing and protecting IP distribution. A collaborative platform for learners and educators to secure learning continuity in times of restrictions and beyond.
A simple tool for teachers to create teaching content without any advance knowledge of a tool or code. They create by using various media and graphics from the open stock libraries and merging it with their own content to keep it engaging and diverse.
Consider the tool as a "Video Wikipedia for Learners and Creators".</t>
        </is>
      </c>
      <c r="H945" s="1" t="inlineStr">
        <is>
          <t>I'm not part of any EdTech association</t>
        </is>
      </c>
      <c r="I945" s="1" t="n"/>
      <c r="J945" s="1" t="inlineStr">
        <is>
          <t>Ílhavo</t>
        </is>
      </c>
      <c r="K945" t="inlineStr">
        <is>
          <t>Ílhavo</t>
        </is>
      </c>
      <c r="L945" t="inlineStr">
        <is>
          <t>Ílhavo, Portugal</t>
        </is>
      </c>
      <c r="M945" t="n">
        <v>40.6001108</v>
      </c>
      <c r="N945" t="n">
        <v>-8.6666667</v>
      </c>
      <c r="O945" s="1" t="inlineStr">
        <is>
          <t>Portugal</t>
        </is>
      </c>
      <c r="P945" s="1" t="inlineStr">
        <is>
          <t>Germany, Norway, Portugal, Ukraine</t>
        </is>
      </c>
      <c r="Q945" s="1" t="inlineStr">
        <is>
          <t>0 to 10</t>
        </is>
      </c>
      <c r="R945" t="inlineStr">
        <is>
          <t>Micro</t>
        </is>
      </c>
      <c r="S945" s="1" t="inlineStr">
        <is>
          <t>Business to Schools</t>
        </is>
      </c>
      <c r="T945" s="1" t="inlineStr">
        <is>
          <t>Higher Education, Lifelong learning/Adult education</t>
        </is>
      </c>
      <c r="U945" s="1" t="inlineStr">
        <is>
          <t>Student interfacing, Teacher interfacing</t>
        </is>
      </c>
      <c r="V945" s="1" t="n"/>
      <c r="W945" s="1" t="inlineStr">
        <is>
          <t>https://drive.google.com/uc?export=view&amp;id=1QrJY7rPO3PMZlNuZbkcQ9FTw2YUjgQxI</t>
        </is>
      </c>
      <c r="X945" s="1" t="inlineStr">
        <is>
          <t>https://drive.google.com/uc?export=view&amp;id=1QrJY7rPO3PMZlNuZbkcQ9FTw2YUjgQxI</t>
        </is>
      </c>
      <c r="Y945" t="inlineStr">
        <is>
          <t>https://drive.google.com/uc?export=view&amp;id=1QrJY7rPO3PMZlNuZbkcQ9FTw2YUjgQxI</t>
        </is>
      </c>
      <c r="Z945" s="1" t="inlineStr">
        <is>
          <t>https://drive.google.com/uc?export=view&amp;id=1QrJY7rPO3PMZlNuZbkcQ9FTw2YUjgQxI</t>
        </is>
      </c>
      <c r="AA945" s="1" t="inlineStr">
        <is>
          <t>Unverified</t>
        </is>
      </c>
      <c r="AB945" s="1" t="n"/>
      <c r="AC945" s="1" t="n"/>
      <c r="AD945" s="10" t="n"/>
      <c r="AE945" s="1" t="n"/>
      <c r="AF945" s="1" t="inlineStr">
        <is>
          <t>No</t>
        </is>
      </c>
      <c r="AG945" s="1" t="n"/>
      <c r="AH945" s="1" t="n"/>
    </row>
    <row r="946" ht="12.5" customHeight="1">
      <c r="A946" s="6" t="n">
        <v>45181</v>
      </c>
      <c r="B946" s="1" t="inlineStr">
        <is>
          <t>ORG_1063</t>
        </is>
      </c>
      <c r="C946" s="1" t="b">
        <v>1</v>
      </c>
      <c r="D946" s="1" t="inlineStr">
        <is>
          <t>Altris Education OCT</t>
        </is>
      </c>
      <c r="E946" s="10" t="inlineStr">
        <is>
          <t>https://www.altris.ai/oct_education/</t>
        </is>
      </c>
      <c r="F946" t="inlineStr">
        <is>
          <t>altris.ai/oct_education</t>
        </is>
      </c>
      <c r="G946" s="1" t="inlineStr">
        <is>
          <t>Altris Education OCT is an educational mobile app for ophthalmologists and optometrists which offers a new approach to the OCT scans interpretation education. The was created by a team of ophthalmologists on the basis of the ophthalmology clinic. 5 facts about the app:
1) It is absolutely free.
2) More than 15000 satisfied users at the moment from the whole world.
3) Interactive learning about OCT image interpretation with daily updates.
4) 54 pathological signs, 49 pathologies
5) More than 3000 OCT scans are labeled by professional ophthalmologists.</t>
        </is>
      </c>
      <c r="H946" s="1" t="inlineStr">
        <is>
          <t>I'm not part of any EdTech association</t>
        </is>
      </c>
      <c r="I946" s="1" t="inlineStr">
        <is>
          <t>English</t>
        </is>
      </c>
      <c r="J946" s="1" t="inlineStr">
        <is>
          <t>Kyiv</t>
        </is>
      </c>
      <c r="K946" t="inlineStr">
        <is>
          <t>Kyiv</t>
        </is>
      </c>
      <c r="L946" t="inlineStr">
        <is>
          <t>Kyiv, Ukraine</t>
        </is>
      </c>
      <c r="M946" t="n">
        <v>50.4500336</v>
      </c>
      <c r="N946" t="n">
        <v>30.5241361</v>
      </c>
      <c r="O946" s="1" t="inlineStr">
        <is>
          <t>Ukraine</t>
        </is>
      </c>
      <c r="P94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946" s="1" t="inlineStr">
        <is>
          <t>11 to 50</t>
        </is>
      </c>
      <c r="R946" t="inlineStr">
        <is>
          <t>Small</t>
        </is>
      </c>
      <c r="S946" s="1" t="inlineStr">
        <is>
          <t>Business to Business</t>
        </is>
      </c>
      <c r="T946" s="1" t="inlineStr">
        <is>
          <t>Lifelong learning/Adult education</t>
        </is>
      </c>
      <c r="U946" s="1" t="inlineStr">
        <is>
          <t>Student interfacing</t>
        </is>
      </c>
      <c r="V946" s="1" t="inlineStr">
        <is>
          <t>Altris Education OCT</t>
        </is>
      </c>
      <c r="W946" s="1" t="inlineStr">
        <is>
          <t>Educational mobile app for eye care specialists who want to master OCT interpretation. OCT is one of the most complex and the most challenging methods of retina diagnostics, and it takes time to learn it. With Altris Education OCT eye care specialists can learn interactively, share controversial cases, read the most up-to-date OCT news.</t>
        </is>
      </c>
      <c r="X946" s="10" t="inlineStr">
        <is>
          <t>https://drive.google.com/uc?export=view&amp;id=1tmrsT1CHNsvJDHj0P6uclIcuN-OpkqbK</t>
        </is>
      </c>
      <c r="Y946" t="inlineStr">
        <is>
          <t>https://drive.google.com/uc?export=view&amp;id=1tmrsT1CHNsvJDHj0P6uclIcuN-OpkqbK</t>
        </is>
      </c>
      <c r="Z946" s="1" t="inlineStr">
        <is>
          <t>https://drive.google.com/uc?export=view&amp;id=1tmrsT1CHNsvJDHj0P6uclIcuN-OpkqbK</t>
        </is>
      </c>
      <c r="AA946" s="1" t="inlineStr">
        <is>
          <t>Unverified</t>
        </is>
      </c>
      <c r="AB946" s="1" t="n"/>
      <c r="AC946" s="1" t="n"/>
      <c r="AD946" s="10" t="n"/>
      <c r="AE946" s="1" t="n"/>
      <c r="AF946" s="1" t="inlineStr">
        <is>
          <t>Yes</t>
        </is>
      </c>
      <c r="AG946" s="1" t="inlineStr">
        <is>
          <t>https://www.linkedin.com/showcase/altris-education-oct</t>
        </is>
      </c>
      <c r="AH946" s="1" t="inlineStr">
        <is>
          <t>https://www.linkedin.com/showcase/altris-education-oct</t>
        </is>
      </c>
      <c r="AI946" t="inlineStr">
        <is>
          <t>https://www.linkedin.com/showcase/altris-education-oct</t>
        </is>
      </c>
    </row>
    <row r="947" ht="12.5" customHeight="1">
      <c r="A947" s="6" t="n">
        <v>45181</v>
      </c>
      <c r="B947" s="1" t="inlineStr">
        <is>
          <t>ORG_1069</t>
        </is>
      </c>
      <c r="C947" s="1" t="b">
        <v>1</v>
      </c>
      <c r="D947" s="1" t="inlineStr">
        <is>
          <t>Ampli</t>
        </is>
      </c>
      <c r="E947" s="10" t="inlineStr">
        <is>
          <t>https://ampli.com.ua/</t>
        </is>
      </c>
      <c r="F947" t="inlineStr">
        <is>
          <t>ampli.com.ua</t>
        </is>
      </c>
      <c r="G947" s="1" t="inlineStr">
        <is>
          <t>Ampli - teen accelerator: IT, design, entrepreneurship for teenagers 11-19 y.o. 
Educational results, level Advanced: 1. internship in IT/design companies (16y.o.+), 2. professional portfolios of personal and team projects, 3. professional skills of Junior level, 4. the first CV</t>
        </is>
      </c>
      <c r="H947" s="1" t="inlineStr">
        <is>
          <t>I'm not part of any EdTech association</t>
        </is>
      </c>
      <c r="I947" s="1" t="n"/>
      <c r="J947" s="1" t="inlineStr">
        <is>
          <t>Kyiv</t>
        </is>
      </c>
      <c r="K947" t="inlineStr">
        <is>
          <t>Kyiv</t>
        </is>
      </c>
      <c r="L947" t="inlineStr">
        <is>
          <t>Kyiv, Ukraine</t>
        </is>
      </c>
      <c r="M947" t="n">
        <v>50.4500336</v>
      </c>
      <c r="N947" t="n">
        <v>30.5241361</v>
      </c>
      <c r="O947" s="1" t="inlineStr">
        <is>
          <t>Ukraine</t>
        </is>
      </c>
      <c r="P947" s="1" t="inlineStr">
        <is>
          <t>Armenia, Azerbaijan, Bulgaria, Czechia, Denmark, Estonia, Finland, France, Georgia, Germany, Hungary, Italy, Kazakhstan, Latvia, Lithuania, Moldova, Netherlands, Poland, Romania, Slovakia, Spain, Turkey, Ukraine</t>
        </is>
      </c>
      <c r="Q947" s="1" t="inlineStr">
        <is>
          <t>11 to 50</t>
        </is>
      </c>
      <c r="R947" t="inlineStr">
        <is>
          <t>Small</t>
        </is>
      </c>
      <c r="S947" s="1" t="inlineStr">
        <is>
          <t>Business to Business</t>
        </is>
      </c>
      <c r="T947" s="1" t="inlineStr">
        <is>
          <t>Higher Education</t>
        </is>
      </c>
      <c r="U947" s="1" t="inlineStr">
        <is>
          <t>System/Administrative, Student interfacing</t>
        </is>
      </c>
      <c r="V947" s="1" t="n"/>
      <c r="W947" s="1" t="inlineStr">
        <is>
          <t>https://drive.google.com/uc?export=view&amp;id=1HZdJc5mdzf4hw4IJG88PUF2mFtA5XmA4</t>
        </is>
      </c>
      <c r="X947" s="1" t="inlineStr">
        <is>
          <t>https://drive.google.com/uc?export=view&amp;id=1HZdJc5mdzf4hw4IJG88PUF2mFtA5XmA4</t>
        </is>
      </c>
      <c r="Y947" t="inlineStr">
        <is>
          <t>https://drive.google.com/uc?export=view&amp;id=1HZdJc5mdzf4hw4IJG88PUF2mFtA5XmA4</t>
        </is>
      </c>
      <c r="Z947" s="1" t="inlineStr">
        <is>
          <t>https://drive.google.com/uc?export=view&amp;id=1HZdJc5mdzf4hw4IJG88PUF2mFtA5XmA4</t>
        </is>
      </c>
      <c r="AA947" s="1" t="inlineStr">
        <is>
          <t>Unverified</t>
        </is>
      </c>
      <c r="AB947" s="1" t="n"/>
      <c r="AC947" s="1" t="n"/>
      <c r="AD947" s="10" t="n"/>
      <c r="AE947" s="1" t="n"/>
      <c r="AF947" t="inlineStr">
        <is>
          <t>No</t>
        </is>
      </c>
    </row>
    <row r="948" ht="12.5" customHeight="1">
      <c r="A948" s="6" t="n">
        <v>45181</v>
      </c>
      <c r="B948" s="1" t="inlineStr">
        <is>
          <t>ORG_1101</t>
        </is>
      </c>
      <c r="C948" s="1" t="b">
        <v>1</v>
      </c>
      <c r="D948" s="1" t="inlineStr">
        <is>
          <t>Artips</t>
        </is>
      </c>
      <c r="E948" s="10" t="inlineStr">
        <is>
          <t>https://www.artips-factory.fr/</t>
        </is>
      </c>
      <c r="F948" t="inlineStr">
        <is>
          <t>artips-factory.fr</t>
        </is>
      </c>
      <c r="G948" s="1" t="inlineStr">
        <is>
          <t>Artips is the first French cultural media online (1 million subscribers including 200 000 teachers) since 2013. 
Artips has also developed an attractive and addictive microlearning solution based on storytelling and short format. Through this educational device, Artips conveys every issue in an accessible tone and engages all targets (students, teachers, employees, general public…). Artips broadcasts short episodes that allow great memorization and a sound understanding of chosen topics.</t>
        </is>
      </c>
      <c r="H948" s="1" t="inlineStr">
        <is>
          <t>EdTech France</t>
        </is>
      </c>
      <c r="I948" s="1" t="n"/>
      <c r="J948" s="1" t="inlineStr">
        <is>
          <t>Paris</t>
        </is>
      </c>
      <c r="K948" t="inlineStr">
        <is>
          <t>Paris</t>
        </is>
      </c>
      <c r="L948" t="inlineStr">
        <is>
          <t>Paris, France</t>
        </is>
      </c>
      <c r="M948" t="n">
        <v>48.8534951</v>
      </c>
      <c r="N948" t="n">
        <v>2.3483915</v>
      </c>
      <c r="O948" s="1" t="inlineStr">
        <is>
          <t>France</t>
        </is>
      </c>
      <c r="P948" s="1" t="inlineStr">
        <is>
          <t>Austria, Belgium, France, Switzerland</t>
        </is>
      </c>
      <c r="Q948" s="1" t="inlineStr">
        <is>
          <t>11 to 50</t>
        </is>
      </c>
      <c r="R948" t="inlineStr">
        <is>
          <t>Small</t>
        </is>
      </c>
      <c r="S948" s="1" t="inlineStr">
        <is>
          <t>Business to Business, Business to Consumer</t>
        </is>
      </c>
      <c r="T948" s="1" t="inlineStr">
        <is>
          <t>Primary Education, Secondary Education, Higher Education, Corporate Training</t>
        </is>
      </c>
      <c r="U948" s="1" t="inlineStr">
        <is>
          <t>Student interfacing, Teacher interfacing, System/Administrative</t>
        </is>
      </c>
      <c r="V948" s="1" t="inlineStr">
        <is>
          <t>Artips Academy</t>
        </is>
      </c>
      <c r="W948" s="10" t="inlineStr">
        <is>
          <t>Art de vivre, music, geography, literature, sciences, economy, digital... This platform offers a large choice of topics. Artips created this solution with what works best for our newsletters : storytelling, witty anecdotes, snackable content and responsive design.</t>
        </is>
      </c>
      <c r="X948" s="10" t="inlineStr">
        <is>
          <t>Artips Factory</t>
        </is>
      </c>
      <c r="Y948" t="inlineStr">
        <is>
          <t>Artips' team can also create custom-built microlearning solutions based on the needs and goals of its partners.</t>
        </is>
      </c>
      <c r="Z948" s="1" t="inlineStr">
        <is>
          <t>https://drive.google.com/uc?export=view&amp;id=10AyvDvrWVrqwkdQGqnVhMrcD-nfqCwx9</t>
        </is>
      </c>
      <c r="AA948" s="1" t="inlineStr">
        <is>
          <t>Unverified</t>
        </is>
      </c>
      <c r="AB948" s="1" t="n"/>
      <c r="AC948" s="1" t="n"/>
      <c r="AD948" s="10" t="n"/>
      <c r="AE948" s="1" t="n"/>
      <c r="AF948" s="1" t="inlineStr">
        <is>
          <t>Yes</t>
        </is>
      </c>
      <c r="AG948" s="1" t="inlineStr">
        <is>
          <t>Artips</t>
        </is>
      </c>
      <c r="AH948" s="1" t="inlineStr">
        <is>
          <t>https://twitter.com/artips_fr?lang=en</t>
        </is>
      </c>
      <c r="AI948" t="inlineStr">
        <is>
          <t>https://www.linkedin.com/company/artips</t>
        </is>
      </c>
    </row>
    <row r="949" ht="12.5" customHeight="1">
      <c r="A949" s="6" t="n">
        <v>45181</v>
      </c>
      <c r="B949" s="1" t="inlineStr">
        <is>
          <t>ORG_1128</t>
        </is>
      </c>
      <c r="C949" s="1" t="b">
        <v>1</v>
      </c>
      <c r="D949" s="1" t="inlineStr">
        <is>
          <t>Autsera</t>
        </is>
      </c>
      <c r="E949" s="10" t="inlineStr">
        <is>
          <t>www.autsera.com</t>
        </is>
      </c>
      <c r="F949" t="inlineStr">
        <is>
          <t>autsera.com</t>
        </is>
      </c>
      <c r="G949" s="1" t="inlineStr">
        <is>
          <t>Autsera leverages mobile technologies and gamification to provide evidence-based social communication skills training for children, that is effective, engaging, accessible and affordable. Our mobile and PC game applications are innovative; designed by experts; and based on extensive user research. They allow children to progress independently and be monitored remotely. Our games also empower teachers with ready-made resources to provide structured training for their pupils and the means to assess their progress. We estimate that schools can save up to 90% of the cost of providing similar training through qualified resources and can leverage the limited qualified therapists they have got to remotely support many pupils.</t>
        </is>
      </c>
      <c r="H949" s="1" t="inlineStr">
        <is>
          <t>I'm not part of any EdTech association</t>
        </is>
      </c>
      <c r="I949" s="1" t="n"/>
      <c r="J949" s="1" t="inlineStr">
        <is>
          <t>London</t>
        </is>
      </c>
      <c r="K949" t="inlineStr">
        <is>
          <t>London</t>
        </is>
      </c>
      <c r="L949" t="inlineStr">
        <is>
          <t>London, United Kingdom</t>
        </is>
      </c>
      <c r="M949" t="n">
        <v>51.5074456</v>
      </c>
      <c r="N949" t="n">
        <v>-0.1277653</v>
      </c>
      <c r="O949" s="1" t="inlineStr">
        <is>
          <t>United Kingdom</t>
        </is>
      </c>
      <c r="P949" s="1" t="inlineStr">
        <is>
          <t>United Kingdom</t>
        </is>
      </c>
      <c r="Q949" s="1" t="inlineStr">
        <is>
          <t>0 to 10</t>
        </is>
      </c>
      <c r="R949" t="inlineStr">
        <is>
          <t>Micro</t>
        </is>
      </c>
      <c r="S949" s="1" t="inlineStr">
        <is>
          <t>Business to Business, Business to Consumer</t>
        </is>
      </c>
      <c r="T949" s="1" t="inlineStr">
        <is>
          <t>Early childhood development (0-5 years), Primary Education</t>
        </is>
      </c>
      <c r="U949" s="1" t="inlineStr">
        <is>
          <t>System/Administrative, Student interfacing, Teacher interfacing</t>
        </is>
      </c>
      <c r="V949" s="1" t="n"/>
      <c r="W949" s="1" t="inlineStr">
        <is>
          <t>https://drive.google.com/uc?export=view&amp;id=1KCj9VeQnRqV8LZRvr_9etkUdigRfdsAQ</t>
        </is>
      </c>
      <c r="X949" s="1" t="inlineStr">
        <is>
          <t>https://drive.google.com/uc?export=view&amp;id=1KCj9VeQnRqV8LZRvr_9etkUdigRfdsAQ</t>
        </is>
      </c>
      <c r="Y949" t="inlineStr">
        <is>
          <t>https://drive.google.com/uc?export=view&amp;id=1KCj9VeQnRqV8LZRvr_9etkUdigRfdsAQ</t>
        </is>
      </c>
      <c r="Z949" s="1" t="inlineStr">
        <is>
          <t>https://drive.google.com/uc?export=view&amp;id=1KCj9VeQnRqV8LZRvr_9etkUdigRfdsAQ</t>
        </is>
      </c>
      <c r="AA949" s="1" t="inlineStr">
        <is>
          <t>Unverified</t>
        </is>
      </c>
      <c r="AB949" s="1" t="n"/>
      <c r="AC949" s="1" t="n"/>
      <c r="AD949" s="10" t="n"/>
      <c r="AE949" s="1" t="n"/>
      <c r="AF949" s="1" t="inlineStr">
        <is>
          <t>No</t>
        </is>
      </c>
      <c r="AG949" s="1" t="n"/>
      <c r="AH949" s="1" t="n"/>
    </row>
    <row r="950" ht="12.5" customHeight="1">
      <c r="A950" s="6" t="n">
        <v>45181</v>
      </c>
      <c r="B950" s="1" t="inlineStr">
        <is>
          <t>ORG_1162</t>
        </is>
      </c>
      <c r="C950" s="1" t="b">
        <v>1</v>
      </c>
      <c r="D950" s="1" t="inlineStr">
        <is>
          <t>BGraffos International SL</t>
        </is>
      </c>
      <c r="E950" s="10" t="inlineStr">
        <is>
          <t>https://graffos.es/landing/?lang=en</t>
        </is>
      </c>
      <c r="F950" t="inlineStr">
        <is>
          <t>graffos.es/landing/?lang=en</t>
        </is>
      </c>
      <c r="G950" s="1" t="inlineStr">
        <is>
          <t>Graffos is a disruptive R&amp;D StartUp that uses massive biometric data capture to improve human mental performance. We initially targeted the sports segment, but the results have been very positive in academia and mental health and wellbeing.</t>
        </is>
      </c>
      <c r="H950" s="1" t="inlineStr">
        <is>
          <t>I'm not part of any EdTech association</t>
        </is>
      </c>
      <c r="I950" s="1" t="n"/>
      <c r="J950" s="1" t="inlineStr">
        <is>
          <t>Santa Cruz De La Palma. Tenerife. Islas Canarias</t>
        </is>
      </c>
      <c r="K950" t="inlineStr">
        <is>
          <t>Santa Cruz De La Palma. Tenerife. Islas Canarias</t>
        </is>
      </c>
      <c r="L950" t="inlineStr">
        <is>
          <t>Santa Cruz De La Palma. Tenerife. Islas Canarias, Spain</t>
        </is>
      </c>
      <c r="M950" t="n">
        <v>28.6819928</v>
      </c>
      <c r="N950" t="n">
        <v>-17.7653825</v>
      </c>
      <c r="O950" s="1" t="inlineStr">
        <is>
          <t>Spain</t>
        </is>
      </c>
      <c r="P950" s="1" t="inlineStr">
        <is>
          <t>France, Italy, Spain</t>
        </is>
      </c>
      <c r="Q950" s="1" t="inlineStr">
        <is>
          <t>0 to 10</t>
        </is>
      </c>
      <c r="R950" t="inlineStr">
        <is>
          <t>Micro</t>
        </is>
      </c>
      <c r="S950" s="1" t="inlineStr">
        <is>
          <t>Business to Business, Business to Consumer</t>
        </is>
      </c>
      <c r="T950" s="1" t="inlineStr">
        <is>
          <t>Primary Education, Secondary Education, Higher Education, Corporate Training</t>
        </is>
      </c>
      <c r="U950" s="1" t="inlineStr">
        <is>
          <t>System/Administrative, Student interfacing, Teacher interfacing</t>
        </is>
      </c>
      <c r="V950" s="1" t="n"/>
      <c r="W950" s="1" t="inlineStr">
        <is>
          <t>https://drive.google.com/uc?export=view&amp;id=11BBTnA-6UXHSsc_TcnXShE-vcrCd2MVi</t>
        </is>
      </c>
      <c r="X950" s="1" t="inlineStr">
        <is>
          <t>https://drive.google.com/uc?export=view&amp;id=11BBTnA-6UXHSsc_TcnXShE-vcrCd2MVi</t>
        </is>
      </c>
      <c r="Y950" t="inlineStr">
        <is>
          <t>https://drive.google.com/uc?export=view&amp;id=11BBTnA-6UXHSsc_TcnXShE-vcrCd2MVi</t>
        </is>
      </c>
      <c r="Z950" s="1" t="inlineStr">
        <is>
          <t>https://drive.google.com/uc?export=view&amp;id=11BBTnA-6UXHSsc_TcnXShE-vcrCd2MVi</t>
        </is>
      </c>
      <c r="AA950" s="1" t="inlineStr">
        <is>
          <t>Unverified</t>
        </is>
      </c>
      <c r="AB950" s="1" t="n"/>
      <c r="AC950" s="1" t="n"/>
      <c r="AD950" s="10" t="n"/>
      <c r="AE950" s="1" t="n"/>
      <c r="AF950" s="1" t="inlineStr">
        <is>
          <t>No</t>
        </is>
      </c>
      <c r="AG950" s="1" t="n"/>
      <c r="AH950" s="1" t="n"/>
    </row>
    <row r="951" ht="12.5" customHeight="1">
      <c r="A951" s="6" t="n">
        <v>45181</v>
      </c>
      <c r="B951" s="1" t="inlineStr">
        <is>
          <t>ORG_1182</t>
        </is>
      </c>
      <c r="C951" s="1" t="b">
        <v>1</v>
      </c>
      <c r="D951" s="1" t="inlineStr">
        <is>
          <t>BOFFIN</t>
        </is>
      </c>
      <c r="E951" s="10" t="inlineStr">
        <is>
          <t>www.boffin.com.ua</t>
        </is>
      </c>
      <c r="F951" t="inlineStr">
        <is>
          <t>boffin.com.ua</t>
        </is>
      </c>
      <c r="G951" s="1" t="inlineStr">
        <is>
          <t>BOFFIN is a platform for additional online group classes for primary and secondary school children. Our goal is to make sure that there are as many people who like to do science and create innovations as possible, both in Ukraine and around the world. And we realise our goal by conducting online classes in the author's programs in Mathematics &amp; Logic, Astronomy &amp; Physics, Python &amp; Algorithms.
In the process of implementing our courses, we understood several things.
- The first – teaching should be as child friendly as possible. The key to this is young student teachers, who can find very easy connections with children. And this is an additional opportunity for students to gain work experience without leaving university and also to earn extra money.
- The second – interesting materials for the lesson, which can be adapted for a specific child or group directly during the lesson.
- And the third – to study together is more fun than alone. A well-formed group is a guarantee of synergy between children. And in this case, the result of the group exceeds the sum of the results of children in individual work.
And right now we have ideas for the development, improvement and automation of all components.
Namely:
- Creation and implementation on the web platform of an algorithm for forming optimal study groups (student-student and student-teacher compatibility) depending on the desired schedule, experience of other courses, speed of perception / assimilation of information, interests, etc.
- Creating a database of mathematical problems and research projects that will be easily adapted by the teacher to the speed / experience of a particular group of children, which will ensure the quality of classes by the teacher with minimal experience at a high level.
With BOFFIN a lesson will never be: boring, slow, uninteresting, stupid, irrelevant, fast, incomprehensible. A lesson will always be desirable!</t>
        </is>
      </c>
      <c r="H951" s="1" t="inlineStr">
        <is>
          <t>I'm not part of any EdTech association</t>
        </is>
      </c>
      <c r="I951" s="1" t="n"/>
      <c r="J951" s="1" t="inlineStr">
        <is>
          <t>Kyiv</t>
        </is>
      </c>
      <c r="K951" t="inlineStr">
        <is>
          <t>Kyiv</t>
        </is>
      </c>
      <c r="L951" t="inlineStr">
        <is>
          <t>Kyiv, Ukraine</t>
        </is>
      </c>
      <c r="M951" t="n">
        <v>50.4500336</v>
      </c>
      <c r="N951" t="n">
        <v>30.5241361</v>
      </c>
      <c r="O951" s="1" t="inlineStr">
        <is>
          <t>Ukraine</t>
        </is>
      </c>
      <c r="P951" s="1" t="inlineStr">
        <is>
          <t>Czechia, France, Germany, Italy, Poland, Portugal, Spain, Switzerland, Ukraine</t>
        </is>
      </c>
      <c r="Q951" s="1" t="inlineStr">
        <is>
          <t>0 to 10</t>
        </is>
      </c>
      <c r="R951" t="inlineStr">
        <is>
          <t>Micro</t>
        </is>
      </c>
      <c r="S951" s="1" t="inlineStr">
        <is>
          <t>Business to Business, Business to Consumer</t>
        </is>
      </c>
      <c r="T951" s="1" t="inlineStr">
        <is>
          <t>Primary Education, Secondary Education</t>
        </is>
      </c>
      <c r="U951" s="1" t="inlineStr">
        <is>
          <t>System/Administrative, Student interfacing, Teacher interfacing</t>
        </is>
      </c>
      <c r="V951" s="1" t="n"/>
      <c r="W951" s="1" t="inlineStr">
        <is>
          <t>https://drive.google.com/uc?export=view&amp;id=1xVEVKyhkWNTFJAR9FFLZYdxvhPaUnlik</t>
        </is>
      </c>
      <c r="X951" s="1" t="inlineStr">
        <is>
          <t>https://drive.google.com/uc?export=view&amp;id=1xVEVKyhkWNTFJAR9FFLZYdxvhPaUnlik</t>
        </is>
      </c>
      <c r="Y951" t="inlineStr">
        <is>
          <t>https://drive.google.com/uc?export=view&amp;id=1xVEVKyhkWNTFJAR9FFLZYdxvhPaUnlik</t>
        </is>
      </c>
      <c r="Z951" s="1" t="inlineStr">
        <is>
          <t>https://drive.google.com/uc?export=view&amp;id=1xVEVKyhkWNTFJAR9FFLZYdxvhPaUnlik</t>
        </is>
      </c>
      <c r="AA951" s="1" t="inlineStr">
        <is>
          <t>Unverified</t>
        </is>
      </c>
      <c r="AB951" s="1" t="n"/>
      <c r="AC951" s="1" t="n"/>
      <c r="AD951" s="10" t="n"/>
      <c r="AE951" s="1" t="n"/>
      <c r="AF951" s="1" t="inlineStr">
        <is>
          <t>No</t>
        </is>
      </c>
      <c r="AG951" s="1" t="n"/>
      <c r="AH951" s="1" t="n"/>
    </row>
    <row r="952" ht="12.5" customHeight="1">
      <c r="A952" s="6" t="n">
        <v>45181</v>
      </c>
      <c r="B952" s="1" t="inlineStr">
        <is>
          <t>ORG_1236</t>
        </is>
      </c>
      <c r="C952" s="1" t="b">
        <v>1</v>
      </c>
      <c r="D952" s="1" t="inlineStr">
        <is>
          <t>Choizy</t>
        </is>
      </c>
      <c r="E952" s="10" t="inlineStr">
        <is>
          <t>choizy.org</t>
        </is>
      </c>
      <c r="F952" t="inlineStr">
        <is>
          <t>choizy.org</t>
        </is>
      </c>
      <c r="G952" s="1" t="inlineStr">
        <is>
          <t>Choizy is a Ukrainian-British startup that offers career guidance for pupils, students, and young professionals. Our mobile app helps identify your specific interests and soft skills, as well as discover different careers to find the right match.
We work to ensure that people could be satisfied with their jobs by guiding them through 400+ professions, enabling the gamification process, and adding personalized leagues for competitions with friends.</t>
        </is>
      </c>
      <c r="H952" s="1" t="inlineStr">
        <is>
          <t>I'm not part of any EdTech association</t>
        </is>
      </c>
      <c r="I952" s="1" t="n"/>
      <c r="J952" s="1" t="inlineStr">
        <is>
          <t>Kyiv</t>
        </is>
      </c>
      <c r="K952" t="inlineStr">
        <is>
          <t>Kyiv</t>
        </is>
      </c>
      <c r="L952" t="inlineStr">
        <is>
          <t>Kyiv, Ukraine</t>
        </is>
      </c>
      <c r="M952" t="n">
        <v>50.4500336</v>
      </c>
      <c r="N952" t="n">
        <v>30.5241361</v>
      </c>
      <c r="O952" s="1" t="inlineStr">
        <is>
          <t>Ukraine</t>
        </is>
      </c>
      <c r="P952" s="1" t="inlineStr">
        <is>
          <t>Croatia, Czechia, Ireland, Italy, Lithuania, Poland, Ukraine, United Kingdom</t>
        </is>
      </c>
      <c r="Q952" s="1" t="inlineStr">
        <is>
          <t>0 to 10</t>
        </is>
      </c>
      <c r="R952" t="inlineStr">
        <is>
          <t>Micro</t>
        </is>
      </c>
      <c r="S952" s="1" t="inlineStr">
        <is>
          <t>Business to Business, Business to Consumer</t>
        </is>
      </c>
      <c r="T952" s="1" t="inlineStr">
        <is>
          <t>Secondary Education, Higher Education, Lifelong learning/Adult education</t>
        </is>
      </c>
      <c r="U952" s="1" t="inlineStr">
        <is>
          <t>Student interfacing, Teacher interfacing, System/Administrative</t>
        </is>
      </c>
      <c r="V952" s="1" t="n"/>
      <c r="W952" s="1" t="inlineStr">
        <is>
          <t>https://drive.google.com/uc?export=view&amp;id=1yC2Ue2eLRGZBZ2S7qqcGU0Tk0s4vPXne</t>
        </is>
      </c>
      <c r="X952" s="1" t="inlineStr">
        <is>
          <t>https://drive.google.com/uc?export=view&amp;id=1yC2Ue2eLRGZBZ2S7qqcGU0Tk0s4vPXne</t>
        </is>
      </c>
      <c r="Y952" t="inlineStr">
        <is>
          <t>https://drive.google.com/uc?export=view&amp;id=1yC2Ue2eLRGZBZ2S7qqcGU0Tk0s4vPXne</t>
        </is>
      </c>
      <c r="Z952" s="1" t="inlineStr">
        <is>
          <t>https://drive.google.com/uc?export=view&amp;id=1yC2Ue2eLRGZBZ2S7qqcGU0Tk0s4vPXne</t>
        </is>
      </c>
      <c r="AA952" s="1" t="inlineStr">
        <is>
          <t>Unverified</t>
        </is>
      </c>
      <c r="AB952" s="1" t="n"/>
      <c r="AC952" s="1" t="n"/>
      <c r="AD952" s="10" t="n"/>
      <c r="AE952" s="1" t="n"/>
      <c r="AF952" s="1" t="inlineStr">
        <is>
          <t>No</t>
        </is>
      </c>
      <c r="AG952" s="1" t="n"/>
      <c r="AH952" s="1" t="n"/>
    </row>
    <row r="953" ht="12.5" customHeight="1">
      <c r="A953" s="6" t="n">
        <v>45181</v>
      </c>
      <c r="B953" s="1" t="inlineStr">
        <is>
          <t>ORG_1244</t>
        </is>
      </c>
      <c r="C953" s="1" t="b">
        <v>1</v>
      </c>
      <c r="D953" s="1" t="inlineStr">
        <is>
          <t>Clasee</t>
        </is>
      </c>
      <c r="E953" s="10" t="inlineStr">
        <is>
          <t>https://www.clasee.io</t>
        </is>
      </c>
      <c r="F953" t="inlineStr">
        <is>
          <t>clasee.io</t>
        </is>
      </c>
      <c r="G953" s="1" t="inlineStr">
        <is>
          <t>Clasee empowers educational networking for students through short videos. Our AI-guided learning journeys across the knowledge map make exploration effective and exciting. We help students to create communities and share knowledge on specific topics.</t>
        </is>
      </c>
      <c r="H953" s="1" t="inlineStr">
        <is>
          <t>I'm not part of any EdTech association</t>
        </is>
      </c>
      <c r="I953" s="1" t="n"/>
      <c r="J953" s="1" t="inlineStr">
        <is>
          <t>Kyiv</t>
        </is>
      </c>
      <c r="K953" t="inlineStr">
        <is>
          <t>Kyiv</t>
        </is>
      </c>
      <c r="L953" t="inlineStr">
        <is>
          <t>Kyiv, Ukraine</t>
        </is>
      </c>
      <c r="M953" t="n">
        <v>50.4500336</v>
      </c>
      <c r="N953" t="n">
        <v>30.5241361</v>
      </c>
      <c r="O953" s="1" t="inlineStr">
        <is>
          <t>Ukraine</t>
        </is>
      </c>
      <c r="P953" s="1" t="inlineStr">
        <is>
          <t>Ukraine, United Kingdom</t>
        </is>
      </c>
      <c r="Q953" s="1" t="inlineStr">
        <is>
          <t>0 to 10</t>
        </is>
      </c>
      <c r="R953" t="inlineStr">
        <is>
          <t>Micro</t>
        </is>
      </c>
      <c r="S953" s="1" t="inlineStr">
        <is>
          <t>Business to Business, Business to Consumer</t>
        </is>
      </c>
      <c r="T953" s="1" t="inlineStr">
        <is>
          <t>Secondary Education, Higher Education, Lifelong learning/Adult education</t>
        </is>
      </c>
      <c r="U953" s="1" t="inlineStr">
        <is>
          <t>Student interfacing</t>
        </is>
      </c>
      <c r="V953" s="1" t="n"/>
      <c r="W953" s="1" t="inlineStr">
        <is>
          <t>https://drive.google.com/uc?export=view&amp;id=1YBsygqTNw5FLKvaIHGkigHn6p-6egeWo</t>
        </is>
      </c>
      <c r="X953" s="1" t="inlineStr">
        <is>
          <t>https://drive.google.com/uc?export=view&amp;id=1YBsygqTNw5FLKvaIHGkigHn6p-6egeWo</t>
        </is>
      </c>
      <c r="Y953" t="inlineStr">
        <is>
          <t>https://drive.google.com/uc?export=view&amp;id=1YBsygqTNw5FLKvaIHGkigHn6p-6egeWo</t>
        </is>
      </c>
      <c r="Z953" s="1" t="inlineStr">
        <is>
          <t>https://drive.google.com/uc?export=view&amp;id=1YBsygqTNw5FLKvaIHGkigHn6p-6egeWo</t>
        </is>
      </c>
      <c r="AA953" s="1" t="inlineStr">
        <is>
          <t>Unverified</t>
        </is>
      </c>
      <c r="AB953" s="1" t="n"/>
      <c r="AC953" s="1" t="n"/>
      <c r="AD953" s="10" t="n"/>
      <c r="AE953" s="1" t="n"/>
      <c r="AF953" s="1" t="inlineStr">
        <is>
          <t>No</t>
        </is>
      </c>
      <c r="AG953" s="1" t="n"/>
      <c r="AH953" s="1" t="n"/>
    </row>
    <row r="954" ht="12.5" customHeight="1">
      <c r="A954" s="6" t="n">
        <v>45181</v>
      </c>
      <c r="B954" s="1" t="inlineStr">
        <is>
          <t>ORG_1257</t>
        </is>
      </c>
      <c r="C954" s="1" t="b">
        <v>1</v>
      </c>
      <c r="D954" s="1" t="inlineStr">
        <is>
          <t>Clevereshka</t>
        </is>
      </c>
      <c r="E954" s="10" t="inlineStr">
        <is>
          <t>https://play.google.com/store/apps/details?id=com.realestate.cleverashka</t>
        </is>
      </c>
      <c r="F954" t="inlineStr">
        <is>
          <t>play.google.com/store/apps/details?id=com.realestate.cleverashka</t>
        </is>
      </c>
      <c r="G954" s="1" t="inlineStr">
        <is>
          <t>Clevereshka-rent and sales of real and virtual stability on the blockchain. Open base of clients all over the world
Clevereshka will become a giant company
Digital land as a gift for registration
Payment in digital cheese in more than 10,000 stores in Europe and America
Apartment in 3 clicks where you go
We create unique eco-routes, inform the population about the promotion of
green eco-technologies in different companies
Create new eco-professions on the basis of your mobile supplement
Open database of applications from customers for the purchase and rental of apartments around the world</t>
        </is>
      </c>
      <c r="H954" s="1" t="inlineStr">
        <is>
          <t>I'm not part of any EdTech association</t>
        </is>
      </c>
      <c r="I954" s="1" t="n"/>
      <c r="J954" s="1" t="inlineStr">
        <is>
          <t>Odessa</t>
        </is>
      </c>
      <c r="K954" t="inlineStr">
        <is>
          <t>Odessa</t>
        </is>
      </c>
      <c r="L954" t="inlineStr">
        <is>
          <t>Odessa, Ukraine</t>
        </is>
      </c>
      <c r="M954" t="n">
        <v>46.4843023</v>
      </c>
      <c r="N954" t="n">
        <v>30.7322878</v>
      </c>
      <c r="O954" s="1" t="inlineStr">
        <is>
          <t>Ukraine</t>
        </is>
      </c>
      <c r="P954" s="1" t="inlineStr">
        <is>
          <t>Poland</t>
        </is>
      </c>
      <c r="Q954" s="1" t="inlineStr">
        <is>
          <t>0 to 10</t>
        </is>
      </c>
      <c r="R954" t="inlineStr">
        <is>
          <t>Micro</t>
        </is>
      </c>
      <c r="S954" s="1" t="inlineStr">
        <is>
          <t>Business to Business, Business to Consumer</t>
        </is>
      </c>
      <c r="T954" s="1" t="inlineStr">
        <is>
          <t>Corporate Training</t>
        </is>
      </c>
      <c r="U954" s="1" t="inlineStr">
        <is>
          <t>Student interfacing, System/Administrative</t>
        </is>
      </c>
      <c r="V954" s="1" t="n"/>
      <c r="W954" s="1" t="inlineStr">
        <is>
          <t>https://drive.google.com/uc?export=view&amp;id=10qR3l5-dAs9cmV70BC8VCWBI6YysfIR7</t>
        </is>
      </c>
      <c r="X954" s="1" t="inlineStr">
        <is>
          <t>https://drive.google.com/uc?export=view&amp;id=10qR3l5-dAs9cmV70BC8VCWBI6YysfIR7</t>
        </is>
      </c>
      <c r="Y954" t="inlineStr">
        <is>
          <t>https://drive.google.com/uc?export=view&amp;id=10qR3l5-dAs9cmV70BC8VCWBI6YysfIR7</t>
        </is>
      </c>
      <c r="Z954" s="1" t="inlineStr">
        <is>
          <t>https://drive.google.com/uc?export=view&amp;id=10qR3l5-dAs9cmV70BC8VCWBI6YysfIR7</t>
        </is>
      </c>
      <c r="AA954" s="1" t="inlineStr">
        <is>
          <t>Unverified</t>
        </is>
      </c>
      <c r="AB954" s="1" t="n"/>
      <c r="AC954" s="1" t="n"/>
      <c r="AD954" s="10" t="n"/>
      <c r="AE954" s="1" t="n"/>
      <c r="AF954" t="inlineStr">
        <is>
          <t>No</t>
        </is>
      </c>
    </row>
    <row r="955" ht="12.5" customHeight="1">
      <c r="A955" s="6" t="n">
        <v>45181</v>
      </c>
      <c r="B955" s="1" t="inlineStr">
        <is>
          <t>ORG_1260</t>
        </is>
      </c>
      <c r="C955" s="1" t="b">
        <v>1</v>
      </c>
      <c r="D955" s="1" t="inlineStr">
        <is>
          <t>ClinCaseQuest</t>
        </is>
      </c>
      <c r="E955" s="10" t="inlineStr">
        <is>
          <t>https://clincasequest.hospital/</t>
        </is>
      </c>
      <c r="F955" t="inlineStr">
        <is>
          <t>clincasequest.hospital</t>
        </is>
      </c>
      <c r="G955" s="1" t="inlineStr">
        <is>
          <t>“ClinCaseQuest” is a Simulation Training Platform for medical education with virtual patients (simulators of clinical cases) to gain clinical experience for students and doctors</t>
        </is>
      </c>
      <c r="H955" s="1" t="inlineStr">
        <is>
          <t>I'm not part of any EdTech association</t>
        </is>
      </c>
      <c r="I955" s="1" t="n"/>
      <c r="J955" s="1" t="inlineStr">
        <is>
          <t>Kharkiv</t>
        </is>
      </c>
      <c r="K955" t="inlineStr">
        <is>
          <t>Kharkiv</t>
        </is>
      </c>
      <c r="L955" t="inlineStr">
        <is>
          <t>Kharkiv, Ukraine</t>
        </is>
      </c>
      <c r="M955" t="n">
        <v>49.9923181</v>
      </c>
      <c r="N955" t="n">
        <v>36.2310146</v>
      </c>
      <c r="O955" s="1" t="inlineStr">
        <is>
          <t>Ukraine</t>
        </is>
      </c>
      <c r="P95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955" s="1" t="inlineStr">
        <is>
          <t>0 to 10</t>
        </is>
      </c>
      <c r="R955" t="inlineStr">
        <is>
          <t>Micro</t>
        </is>
      </c>
      <c r="S955" s="1" t="inlineStr">
        <is>
          <t>Business to Business, Business to Consumer</t>
        </is>
      </c>
      <c r="T955" s="1" t="inlineStr">
        <is>
          <t>Higher Education, Corporate Training, Lifelong learning/Adult education</t>
        </is>
      </c>
      <c r="U955" s="1" t="inlineStr">
        <is>
          <t>Student interfacing, Teacher interfacing, System/Administrative</t>
        </is>
      </c>
      <c r="V955" s="1" t="n"/>
      <c r="W955" s="1" t="inlineStr">
        <is>
          <t>https://drive.google.com/uc?export=view&amp;id=1JcmbtHrU2Xc1jEvr_0-i_ncYJ1YTvZiO</t>
        </is>
      </c>
      <c r="X955" s="1" t="inlineStr">
        <is>
          <t>https://drive.google.com/uc?export=view&amp;id=1JcmbtHrU2Xc1jEvr_0-i_ncYJ1YTvZiO</t>
        </is>
      </c>
      <c r="Y955" t="inlineStr">
        <is>
          <t>https://drive.google.com/uc?export=view&amp;id=1JcmbtHrU2Xc1jEvr_0-i_ncYJ1YTvZiO</t>
        </is>
      </c>
      <c r="Z955" s="1" t="inlineStr">
        <is>
          <t>https://drive.google.com/uc?export=view&amp;id=1JcmbtHrU2Xc1jEvr_0-i_ncYJ1YTvZiO</t>
        </is>
      </c>
      <c r="AA955" s="1" t="inlineStr">
        <is>
          <t>Unverified</t>
        </is>
      </c>
      <c r="AB955" s="1" t="n"/>
      <c r="AC955" s="1" t="n"/>
      <c r="AD955" s="10" t="n"/>
      <c r="AE955" s="1" t="n"/>
      <c r="AF955" t="inlineStr">
        <is>
          <t>No</t>
        </is>
      </c>
    </row>
    <row r="956" ht="12.5" customHeight="1">
      <c r="A956" s="6" t="n">
        <v>45181</v>
      </c>
      <c r="B956" s="1" t="inlineStr">
        <is>
          <t>ORG_1308</t>
        </is>
      </c>
      <c r="C956" s="1" t="b">
        <v>1</v>
      </c>
      <c r="D956" s="1" t="inlineStr">
        <is>
          <t>Creative Practice</t>
        </is>
      </c>
      <c r="E956" s="10" t="inlineStr">
        <is>
          <t>https://creativepractice.com.ua</t>
        </is>
      </c>
      <c r="F956" t="inlineStr">
        <is>
          <t>creativepractice.com.ua</t>
        </is>
      </c>
      <c r="G956" s="1" t="inlineStr">
        <is>
          <t>Creative Practice is a platform that combines educational and career opportunities. Our students can take online training in creative specialities such as design, marketing, copywriting, frontend development etc. Here they can publish their CV, join the creative community, publish a portfolio. In this way, we give them the opportunity to go from training to receiving offers from the employer and further career development.</t>
        </is>
      </c>
      <c r="H956" s="1" t="inlineStr">
        <is>
          <t>I'm not part of any EdTech association</t>
        </is>
      </c>
      <c r="I956" s="1" t="n"/>
      <c r="J956" s="1" t="inlineStr">
        <is>
          <t>Kyiv</t>
        </is>
      </c>
      <c r="K956" t="inlineStr">
        <is>
          <t>Kyiv</t>
        </is>
      </c>
      <c r="L956" t="inlineStr">
        <is>
          <t>Kyiv, Ukraine</t>
        </is>
      </c>
      <c r="M956" t="n">
        <v>50.4500336</v>
      </c>
      <c r="N956" t="n">
        <v>30.5241361</v>
      </c>
      <c r="O956" s="1" t="inlineStr">
        <is>
          <t>Ukraine</t>
        </is>
      </c>
      <c r="P956" s="1" t="inlineStr">
        <is>
          <t>Germany, Poland, Ukraine</t>
        </is>
      </c>
      <c r="Q956" s="1" t="inlineStr">
        <is>
          <t>0 to 10</t>
        </is>
      </c>
      <c r="R956" t="inlineStr">
        <is>
          <t>Micro</t>
        </is>
      </c>
      <c r="S956" s="1" t="inlineStr">
        <is>
          <t>Business to Business, Business to Consumer, Business to Schools</t>
        </is>
      </c>
      <c r="T956" s="1" t="inlineStr">
        <is>
          <t>Corporate Training, Lifelong learning/Adult education</t>
        </is>
      </c>
      <c r="U956" s="1" t="inlineStr">
        <is>
          <t>Student interfacing, Teacher interfacing, System/Administrative</t>
        </is>
      </c>
      <c r="V956" s="1" t="n"/>
      <c r="W956" s="1" t="inlineStr">
        <is>
          <t>https://drive.google.com/uc?export=view&amp;id=1T81wsSJsjubYCwfG5iAbFJHQ77GXMaT4</t>
        </is>
      </c>
      <c r="X956" s="1" t="inlineStr">
        <is>
          <t>https://drive.google.com/uc?export=view&amp;id=1T81wsSJsjubYCwfG5iAbFJHQ77GXMaT4</t>
        </is>
      </c>
      <c r="Y956" t="inlineStr">
        <is>
          <t>https://drive.google.com/uc?export=view&amp;id=1T81wsSJsjubYCwfG5iAbFJHQ77GXMaT4</t>
        </is>
      </c>
      <c r="Z956" s="1" t="inlineStr">
        <is>
          <t>https://drive.google.com/uc?export=view&amp;id=1T81wsSJsjubYCwfG5iAbFJHQ77GXMaT4</t>
        </is>
      </c>
      <c r="AA956" s="1" t="inlineStr">
        <is>
          <t>Unverified</t>
        </is>
      </c>
      <c r="AB956" s="1" t="n"/>
      <c r="AC956" s="1" t="n"/>
      <c r="AD956" s="10" t="n"/>
      <c r="AE956" s="1" t="n"/>
      <c r="AF956" t="inlineStr">
        <is>
          <t>No</t>
        </is>
      </c>
    </row>
    <row r="957" ht="12.5" customHeight="1">
      <c r="A957" s="6" t="n">
        <v>45181</v>
      </c>
      <c r="B957" s="1" t="inlineStr">
        <is>
          <t>ORG_1366</t>
        </is>
      </c>
      <c r="C957" s="1" t="b">
        <v>1</v>
      </c>
      <c r="D957" s="1" t="inlineStr">
        <is>
          <t>DITO Education</t>
        </is>
      </c>
      <c r="E957" s="10" t="inlineStr">
        <is>
          <t>www.dito.education</t>
        </is>
      </c>
      <c r="F957" t="inlineStr">
        <is>
          <t>dito.education</t>
        </is>
      </c>
      <c r="G957" s="1" t="inlineStr">
        <is>
          <t>DITO Education is transforming financial education globally.</t>
        </is>
      </c>
      <c r="H957" s="1" t="inlineStr">
        <is>
          <t>I'm not part of any EdTech association</t>
        </is>
      </c>
      <c r="I957" s="1" t="n"/>
      <c r="J957" s="1" t="inlineStr">
        <is>
          <t>Madrid</t>
        </is>
      </c>
      <c r="K957" t="inlineStr">
        <is>
          <t>Madrid</t>
        </is>
      </c>
      <c r="L957" t="inlineStr">
        <is>
          <t>Madrid, Spain</t>
        </is>
      </c>
      <c r="M957" t="n">
        <v>40.416782</v>
      </c>
      <c r="N957" t="n">
        <v>-3.703507</v>
      </c>
      <c r="O957" s="1" t="inlineStr">
        <is>
          <t>Spain</t>
        </is>
      </c>
      <c r="P957" s="1" t="inlineStr">
        <is>
          <t>Spain</t>
        </is>
      </c>
      <c r="Q957" s="1" t="inlineStr">
        <is>
          <t>0 to 10</t>
        </is>
      </c>
      <c r="R957" t="inlineStr">
        <is>
          <t>Micro</t>
        </is>
      </c>
      <c r="S957" s="1" t="inlineStr">
        <is>
          <t>Business to Business, Business to Consumer, Business to Schools</t>
        </is>
      </c>
      <c r="T957" s="1" t="inlineStr">
        <is>
          <t>Secondary Education</t>
        </is>
      </c>
      <c r="U957" s="1" t="inlineStr">
        <is>
          <t>Student interfacing</t>
        </is>
      </c>
      <c r="V957" s="1" t="n"/>
      <c r="W957" s="1" t="inlineStr">
        <is>
          <t>https://drive.google.com/uc?export=view&amp;id=1r7X2hfEvMLozy3fHYoWMHXkT7ZpyBwCi</t>
        </is>
      </c>
      <c r="X957" s="1" t="inlineStr">
        <is>
          <t>https://drive.google.com/uc?export=view&amp;id=1r7X2hfEvMLozy3fHYoWMHXkT7ZpyBwCi</t>
        </is>
      </c>
      <c r="Y957" t="inlineStr">
        <is>
          <t>https://drive.google.com/uc?export=view&amp;id=1r7X2hfEvMLozy3fHYoWMHXkT7ZpyBwCi</t>
        </is>
      </c>
      <c r="Z957" s="1" t="inlineStr">
        <is>
          <t>https://drive.google.com/uc?export=view&amp;id=1r7X2hfEvMLozy3fHYoWMHXkT7ZpyBwCi</t>
        </is>
      </c>
      <c r="AA957" s="1" t="inlineStr">
        <is>
          <t>Unverified</t>
        </is>
      </c>
      <c r="AB957" s="1" t="n"/>
      <c r="AC957" s="1" t="n"/>
      <c r="AD957" s="10" t="n"/>
      <c r="AE957" s="1" t="n"/>
      <c r="AF957" s="1" t="inlineStr">
        <is>
          <t>No</t>
        </is>
      </c>
      <c r="AG957" s="1" t="n"/>
      <c r="AH957" s="1" t="n"/>
    </row>
    <row r="958" ht="12.5" customHeight="1">
      <c r="A958" s="6" t="n">
        <v>45181</v>
      </c>
      <c r="B958" s="1" t="inlineStr">
        <is>
          <t>ORG_1509</t>
        </is>
      </c>
      <c r="C958" s="1" t="b">
        <v>1</v>
      </c>
      <c r="D958" s="1" t="inlineStr">
        <is>
          <t>Erudito</t>
        </is>
      </c>
      <c r="E958" s="10" t="inlineStr">
        <is>
          <t>https://www.facebook.com/eruditoEd</t>
        </is>
      </c>
      <c r="F958" t="inlineStr">
        <is>
          <t>facebook.com/eruditoed</t>
        </is>
      </c>
      <c r="G958" s="1" t="inlineStr">
        <is>
          <t>Erudito helps teachers to save valuable time by providing ready-to-use content as well as paperless homework.</t>
        </is>
      </c>
      <c r="H958" s="1" t="inlineStr">
        <is>
          <t>I'm not part of any EdTech association</t>
        </is>
      </c>
      <c r="I958" s="1" t="n"/>
      <c r="J958" s="1" t="inlineStr">
        <is>
          <t>Kharkiv</t>
        </is>
      </c>
      <c r="K958" t="inlineStr">
        <is>
          <t>Kharkiv</t>
        </is>
      </c>
      <c r="L958" t="inlineStr">
        <is>
          <t>Kharkiv, Ukraine</t>
        </is>
      </c>
      <c r="M958" t="n">
        <v>49.9923181</v>
      </c>
      <c r="N958" t="n">
        <v>36.2310146</v>
      </c>
      <c r="O958" s="1" t="inlineStr">
        <is>
          <t>Ukraine</t>
        </is>
      </c>
      <c r="P958" s="1" t="inlineStr">
        <is>
          <t>Germany, Poland, Ukraine</t>
        </is>
      </c>
      <c r="Q958" s="1" t="inlineStr">
        <is>
          <t>0 to 10</t>
        </is>
      </c>
      <c r="R958" t="inlineStr">
        <is>
          <t>Micro</t>
        </is>
      </c>
      <c r="S958" s="1" t="inlineStr">
        <is>
          <t>Business to Business, Business to Government</t>
        </is>
      </c>
      <c r="T958" s="1" t="inlineStr">
        <is>
          <t>Primary Education</t>
        </is>
      </c>
      <c r="U958" s="1" t="inlineStr">
        <is>
          <t>System/Administrative, Student interfacing, Teacher interfacing</t>
        </is>
      </c>
      <c r="V958" s="1" t="n"/>
      <c r="W958" s="1" t="inlineStr">
        <is>
          <t>https://drive.google.com/uc?export=view&amp;id=1Jep6x1cXWJNzQli2KCO0tZx16fS0ari2</t>
        </is>
      </c>
      <c r="X958" s="1" t="inlineStr">
        <is>
          <t>https://drive.google.com/uc?export=view&amp;id=1Jep6x1cXWJNzQli2KCO0tZx16fS0ari2</t>
        </is>
      </c>
      <c r="Y958" t="inlineStr">
        <is>
          <t>https://drive.google.com/uc?export=view&amp;id=1Jep6x1cXWJNzQli2KCO0tZx16fS0ari2</t>
        </is>
      </c>
      <c r="Z958" s="1" t="inlineStr">
        <is>
          <t>https://drive.google.com/uc?export=view&amp;id=1Jep6x1cXWJNzQli2KCO0tZx16fS0ari2</t>
        </is>
      </c>
      <c r="AA958" s="1" t="inlineStr">
        <is>
          <t>Unverified</t>
        </is>
      </c>
      <c r="AB958" s="1" t="n"/>
      <c r="AC958" s="1" t="n"/>
      <c r="AD958" s="10" t="n"/>
      <c r="AE958" s="1" t="n"/>
      <c r="AF958" s="1" t="inlineStr">
        <is>
          <t>No</t>
        </is>
      </c>
      <c r="AG958" s="1" t="n"/>
      <c r="AH958" s="1" t="n"/>
      <c r="AI958" s="1" t="n"/>
      <c r="AJ958" s="1" t="n"/>
    </row>
    <row r="959" ht="12.5" customHeight="1">
      <c r="A959" s="6" t="n">
        <v>45181</v>
      </c>
      <c r="B959" s="1" t="inlineStr">
        <is>
          <t>ORG_1513</t>
        </is>
      </c>
      <c r="C959" s="1" t="b">
        <v>1</v>
      </c>
      <c r="D959" s="1" t="inlineStr">
        <is>
          <t>Esemtia Grupo Edebé</t>
        </is>
      </c>
      <c r="E959" s="10" t="inlineStr">
        <is>
          <t>https://esemtia.com/</t>
        </is>
      </c>
      <c r="F959" t="inlineStr">
        <is>
          <t>esemtia.com</t>
        </is>
      </c>
      <c r="G959" s="1" t="inlineStr">
        <is>
          <t>Esemtia is a market leader in School Information System platforms with over fifteen years of experience offering advanced technology solutions to hundreds of schools across the world.
Since its creation, Esemtia has maintained an accelerated pace of growth, both in the number of customers and in its business lines. It is present in educational centres on three continents, with special establishment in Latin America, Europe and Africa. Currently, Esemtia offers the solution “school”, a platform for multi-stage schools; “enfant”, a platform for children’s centres; and “FP”, a specific platform for the management of vocational training centres.</t>
        </is>
      </c>
      <c r="H959" s="1" t="inlineStr">
        <is>
          <t>EduTech Cluster Spain</t>
        </is>
      </c>
      <c r="I959" s="1" t="n"/>
      <c r="J959" s="1" t="inlineStr">
        <is>
          <t>Alfafar (Valencia)</t>
        </is>
      </c>
      <c r="K959" t="inlineStr">
        <is>
          <t>Alfafar</t>
        </is>
      </c>
      <c r="L959" t="inlineStr">
        <is>
          <t>Alfafar, Spain</t>
        </is>
      </c>
      <c r="M959" t="n">
        <v>39.4200749</v>
      </c>
      <c r="N959" t="n">
        <v>-0.3891355</v>
      </c>
      <c r="O959" s="1" t="inlineStr">
        <is>
          <t>Spain</t>
        </is>
      </c>
      <c r="P959" s="1" t="inlineStr">
        <is>
          <t>Andorra, Spain</t>
        </is>
      </c>
      <c r="Q959" s="1" t="inlineStr">
        <is>
          <t>11 to 50</t>
        </is>
      </c>
      <c r="R959" t="inlineStr">
        <is>
          <t>Small</t>
        </is>
      </c>
      <c r="S959" s="1" t="inlineStr">
        <is>
          <t>Business to Business, Business to Schools</t>
        </is>
      </c>
      <c r="T959" s="1" t="inlineStr">
        <is>
          <t>Early childhood development (0-5 years), Primary Education, Secondary Education, Higher Education</t>
        </is>
      </c>
      <c r="U959" s="1" t="inlineStr">
        <is>
          <t>System/Administrative, Student interfacing, Teacher interfacing</t>
        </is>
      </c>
      <c r="V959" s="1" t="inlineStr">
        <is>
          <t>Esemtia School</t>
        </is>
      </c>
      <c r="W959" s="10" t="inlineStr">
        <is>
          <t>Esemtia School is a digital platform designed for the management of multi-stage schools offering various stages of education, from preschool to high school and also vocational training.</t>
        </is>
      </c>
      <c r="X959" s="10" t="inlineStr">
        <is>
          <t>Esemtia Enfant</t>
        </is>
      </c>
      <c r="Y959" t="inlineStr">
        <is>
          <t>Much more than a daily planner, Esemtia Enfant is a completed digital platform designed for nursery school management.</t>
        </is>
      </c>
      <c r="Z959" s="1" t="inlineStr">
        <is>
          <t>https://drive.google.com/uc?export=view&amp;id=1Pk_TyKIhJgGNXFhPWaSA-oI0XOqtnyLL</t>
        </is>
      </c>
      <c r="AA959" s="1" t="inlineStr">
        <is>
          <t>Unverified</t>
        </is>
      </c>
      <c r="AB959" s="1" t="n"/>
      <c r="AC959" s="1" t="n"/>
      <c r="AD959" s="10" t="n"/>
      <c r="AE959" s="1" t="n"/>
      <c r="AF959" s="1" t="inlineStr">
        <is>
          <t>Yes</t>
        </is>
      </c>
      <c r="AG959" s="1" t="inlineStr">
        <is>
          <t>https://twitter.com/esemtia?ref_src=twsrc%5Egoogle%7Ctwcamp%5Eserp%7Ctwgr%5Eauthor</t>
        </is>
      </c>
      <c r="AH959" s="1" t="inlineStr">
        <is>
          <t>https://twitter.com/esemtia?ref_src=twsrc%5Egoogle%7Ctwcamp%5Eserp%7Ctwgr%5Eauthor</t>
        </is>
      </c>
      <c r="AI959" s="1" t="inlineStr">
        <is>
          <t>https://www.linkedin.com/company/40201048/admin/</t>
        </is>
      </c>
      <c r="AJ959" s="1" t="n"/>
    </row>
    <row r="960" ht="12.5" customHeight="1">
      <c r="A960" s="6" t="n">
        <v>45181</v>
      </c>
      <c r="B960" s="1" t="inlineStr">
        <is>
          <t>ORG_1632</t>
        </is>
      </c>
      <c r="C960" s="1" t="b">
        <v>1</v>
      </c>
      <c r="D960" s="1" t="inlineStr">
        <is>
          <t>GoIT</t>
        </is>
      </c>
      <c r="E960" s="10" t="inlineStr">
        <is>
          <t>https://goit.global/pl/</t>
        </is>
      </c>
      <c r="F960" t="inlineStr">
        <is>
          <t>goit.global/pl</t>
        </is>
      </c>
      <c r="G960" s="1" t="inlineStr">
        <is>
          <t>GoIT is a global EdTech-company with Ukrainian and Polish roots, which has been training future IT-professions all over the world for 8 years. Besides Ukraine and Poland, we have offices in Mexico, USA, Estonia. We are #1 online Tech/IT educational company in Ukraine with more than 5,000 students and a major player in Poland. 90% of our students are educated people aged 25-50 without experience in IT. We have 100+ mentors who are senior developers in TOP IT companies, Career Service helps students create resumes and teaches how to pass interviews. While studying, they gain technical and soft skills, create their first projects, improve their languages, and get a new job in IT industry. 
Our main product is LXP - Learning eXperience Platform for students. It has high level of gamification with points, badges, leaderboards and, especially, duels when students can "battle" and compete against each other, with programming "tournaments". AI voice and chat robot is supporting and motivating students. We aim to build a learning product that people will absolutely love. Students from TOP Ukrainian IT-companies also study on our LXP.
Our awards: 
BEST IT EDUCATION 2015; UKRAINIAN IT AWARDS 2016; UKRAINIAN PEOPLE'S AWARD 2018, 2019, 2020; Forbes 30 under 30 – GoIT’s CEO Anton Chorniy.
Forbes USA recommended supporting our educational project, GoIT:
https://www.forbes.com/sites/dereknewton/2022/03/28/supporting-education-companies-with-ties-to-ukraine/
DOU reviews you can read via the link: https://jobs.dou.ua/companies/goit/reviews/</t>
        </is>
      </c>
      <c r="H960" s="1" t="inlineStr">
        <is>
          <t>EdTech Poland</t>
        </is>
      </c>
      <c r="I960" s="1" t="n"/>
      <c r="J960" s="1" t="inlineStr">
        <is>
          <t>Kyiv</t>
        </is>
      </c>
      <c r="K960" t="inlineStr">
        <is>
          <t>Kyiv</t>
        </is>
      </c>
      <c r="L960" t="inlineStr">
        <is>
          <t>Kyiv, Ukraine</t>
        </is>
      </c>
      <c r="M960" t="n">
        <v>50.4500336</v>
      </c>
      <c r="N960" t="n">
        <v>30.5241361</v>
      </c>
      <c r="O960" s="1" t="inlineStr">
        <is>
          <t>Ukraine</t>
        </is>
      </c>
      <c r="P960" s="1" t="inlineStr">
        <is>
          <t>Estonia, Poland, Ukraine</t>
        </is>
      </c>
      <c r="Q960" s="1" t="inlineStr">
        <is>
          <t>100+</t>
        </is>
      </c>
      <c r="R960" t="inlineStr">
        <is>
          <t>Medium or Large (unspecified)</t>
        </is>
      </c>
      <c r="S960" s="1" t="inlineStr">
        <is>
          <t>Business to Business, Business to Schools</t>
        </is>
      </c>
      <c r="T960" s="1" t="inlineStr">
        <is>
          <t>Corporate Training, Lifelong learning/Adult education</t>
        </is>
      </c>
      <c r="U960" s="1" t="inlineStr">
        <is>
          <t>Student interfacing, System/Administrative</t>
        </is>
      </c>
      <c r="V960" s="1" t="n"/>
      <c r="W960" s="1" t="inlineStr">
        <is>
          <t>https://drive.google.com/uc?export=view&amp;id=1hlGMPtds9ATxm04H5X_F3AfFEM7AKfHQ</t>
        </is>
      </c>
      <c r="X960" s="1" t="inlineStr">
        <is>
          <t>https://drive.google.com/uc?export=view&amp;id=1hlGMPtds9ATxm04H5X_F3AfFEM7AKfHQ</t>
        </is>
      </c>
      <c r="Y960" t="inlineStr">
        <is>
          <t>https://drive.google.com/uc?export=view&amp;id=1hlGMPtds9ATxm04H5X_F3AfFEM7AKfHQ</t>
        </is>
      </c>
      <c r="Z960" s="1" t="inlineStr">
        <is>
          <t>https://drive.google.com/uc?export=view&amp;id=1hlGMPtds9ATxm04H5X_F3AfFEM7AKfHQ</t>
        </is>
      </c>
      <c r="AA960" s="1" t="inlineStr">
        <is>
          <t>Unverified</t>
        </is>
      </c>
      <c r="AB960" s="1" t="n"/>
      <c r="AC960" s="1" t="n"/>
      <c r="AD960" s="10" t="n"/>
      <c r="AE960" s="1" t="n"/>
      <c r="AF960" t="inlineStr">
        <is>
          <t>No</t>
        </is>
      </c>
    </row>
    <row r="961" ht="12.5" customHeight="1">
      <c r="A961" s="6" t="n">
        <v>45181</v>
      </c>
      <c r="B961" s="1" t="inlineStr">
        <is>
          <t>ORG_1682</t>
        </is>
      </c>
      <c r="C961" s="1" t="b">
        <v>1</v>
      </c>
      <c r="D961" s="1" t="inlineStr">
        <is>
          <t>Hoobi</t>
        </is>
      </c>
      <c r="E961" s="10" t="inlineStr">
        <is>
          <t>https://www.hoobi.fun/</t>
        </is>
      </c>
      <c r="F961" t="inlineStr">
        <is>
          <t>hoobi.fun</t>
        </is>
      </c>
      <c r="G961" s="1" t="inlineStr">
        <is>
          <t>Hoobi is a gamification platform for language learning. Multiplayer skill-based games for meaningful practice in the classroom and remote.
Challenge-based gamification and collaboration tool designed specifically for language tutors and learners. Hoobi helps to reinforce knowledge of vocabulary, reading, spelling, and grammar using by including different linguistic mechanics in games.
Hoobi is mixing science, technologies and attested pedagogical methods to create a new way of language learning. Hoobi was created in Ukraine to fight boring lessons, give more free time to teachers across the World, and make students more productive when learning a language with fun.</t>
        </is>
      </c>
      <c r="H961" s="1" t="inlineStr">
        <is>
          <t>I'm not part of any EdTech association</t>
        </is>
      </c>
      <c r="I961" s="1" t="n"/>
      <c r="J961" s="1" t="inlineStr">
        <is>
          <t>Kyiv</t>
        </is>
      </c>
      <c r="K961" t="inlineStr">
        <is>
          <t>Kyiv</t>
        </is>
      </c>
      <c r="L961" t="inlineStr">
        <is>
          <t>Kyiv, Ukraine</t>
        </is>
      </c>
      <c r="M961" t="n">
        <v>50.4500336</v>
      </c>
      <c r="N961" t="n">
        <v>30.5241361</v>
      </c>
      <c r="O961" s="1" t="inlineStr">
        <is>
          <t>Ukraine</t>
        </is>
      </c>
      <c r="P961" s="1" t="inlineStr">
        <is>
          <t>Greece, Ukraine</t>
        </is>
      </c>
      <c r="Q961" s="1" t="inlineStr">
        <is>
          <t>0 to 10</t>
        </is>
      </c>
      <c r="R961" t="inlineStr">
        <is>
          <t>Micro</t>
        </is>
      </c>
      <c r="S961" s="1" t="inlineStr">
        <is>
          <t>Business to Consumer</t>
        </is>
      </c>
      <c r="T961" s="1" t="inlineStr">
        <is>
          <t>Primary Education, Secondary Education</t>
        </is>
      </c>
      <c r="U961" s="1" t="inlineStr">
        <is>
          <t>Teacher interfacing, System/Administrative</t>
        </is>
      </c>
      <c r="V961" s="1" t="n"/>
      <c r="W961" s="1" t="inlineStr">
        <is>
          <t>https://drive.google.com/uc?export=view&amp;id=1IYtxMRJKDqqHiPnsznoXvXWzt-ycNMsL</t>
        </is>
      </c>
      <c r="X961" s="1" t="inlineStr">
        <is>
          <t>https://drive.google.com/uc?export=view&amp;id=1IYtxMRJKDqqHiPnsznoXvXWzt-ycNMsL</t>
        </is>
      </c>
      <c r="Y961" t="inlineStr">
        <is>
          <t>https://drive.google.com/uc?export=view&amp;id=1IYtxMRJKDqqHiPnsznoXvXWzt-ycNMsL</t>
        </is>
      </c>
      <c r="Z961" s="1" t="inlineStr">
        <is>
          <t>https://drive.google.com/uc?export=view&amp;id=1IYtxMRJKDqqHiPnsznoXvXWzt-ycNMsL</t>
        </is>
      </c>
      <c r="AA961" s="1" t="inlineStr">
        <is>
          <t>Unverified</t>
        </is>
      </c>
      <c r="AB961" s="1" t="n"/>
      <c r="AC961" s="1" t="n"/>
      <c r="AD961" s="10" t="n"/>
      <c r="AE961" s="1" t="n"/>
      <c r="AF961" s="1" t="inlineStr">
        <is>
          <t>No</t>
        </is>
      </c>
      <c r="AG961" s="1" t="n"/>
      <c r="AH961" s="1" t="n"/>
    </row>
    <row r="962" ht="12.5" customHeight="1">
      <c r="A962" s="6" t="n">
        <v>45181</v>
      </c>
      <c r="B962" s="1" t="inlineStr">
        <is>
          <t>ORG_1692</t>
        </is>
      </c>
      <c r="C962" s="1" t="b">
        <v>1</v>
      </c>
      <c r="D962" s="1" t="inlineStr">
        <is>
          <t>Humanava</t>
        </is>
      </c>
      <c r="E962" s="10" t="inlineStr">
        <is>
          <t>https://www.humanava.com</t>
        </is>
      </c>
      <c r="F962" t="inlineStr">
        <is>
          <t>humanava.com</t>
        </is>
      </c>
      <c r="G962" s="1" t="inlineStr">
        <is>
          <t>Humanava is an e-learning platform on soft skills. We are a certified training organization qualiopi (it is the quality mark of the French state). We offer masterclasses in video format with international speakers and authors</t>
        </is>
      </c>
      <c r="H962" s="1" t="inlineStr">
        <is>
          <t>I'm not part of any EdTech association</t>
        </is>
      </c>
      <c r="I962" s="1" t="n"/>
      <c r="J962" s="1" t="inlineStr">
        <is>
          <t>Bordeaux</t>
        </is>
      </c>
      <c r="K962" t="inlineStr">
        <is>
          <t>Bordeaux</t>
        </is>
      </c>
      <c r="L962" t="inlineStr">
        <is>
          <t>Bordeaux, France</t>
        </is>
      </c>
      <c r="M962" t="n">
        <v>44.841225</v>
      </c>
      <c r="N962" t="n">
        <v>-0.5800364</v>
      </c>
      <c r="O962" s="1" t="inlineStr">
        <is>
          <t>France</t>
        </is>
      </c>
      <c r="P96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962" s="1" t="inlineStr">
        <is>
          <t>0 to 10</t>
        </is>
      </c>
      <c r="R962" t="inlineStr">
        <is>
          <t>Micro</t>
        </is>
      </c>
      <c r="S962" s="1" t="inlineStr">
        <is>
          <t>Business to Consumer</t>
        </is>
      </c>
      <c r="T962" s="1" t="inlineStr">
        <is>
          <t>Secondary Education, Higher Education, Corporate Training, Lifelong learning/Adult education</t>
        </is>
      </c>
      <c r="U962" s="1" t="inlineStr">
        <is>
          <t>Student interfacing, Teacher interfacing, System/Administrative</t>
        </is>
      </c>
      <c r="V962" s="10" t="inlineStr">
        <is>
          <t>Masterclass</t>
        </is>
      </c>
      <c r="W962" s="10" t="inlineStr">
        <is>
          <t>Humanava masterclasses are 60 to 120 minutes long, cut into 7 to 10 individual capsules. We offer our clients an exceptional audiovisual quality, with a filming like a movie studio! Humanava revolutionizes traditional ways of learning by making the person acting and responsible for his own ascension.</t>
        </is>
      </c>
      <c r="X962" s="10" t="inlineStr">
        <is>
          <t>https://drive.google.com/uc?export=view&amp;id=10gp7nwXnnm9PKAHLRDomV7iFRrzZbQ7F</t>
        </is>
      </c>
      <c r="Y962" t="inlineStr">
        <is>
          <t>https://drive.google.com/uc?export=view&amp;id=10gp7nwXnnm9PKAHLRDomV7iFRrzZbQ7F</t>
        </is>
      </c>
      <c r="Z962" s="1" t="inlineStr">
        <is>
          <t>https://drive.google.com/uc?export=view&amp;id=10gp7nwXnnm9PKAHLRDomV7iFRrzZbQ7F</t>
        </is>
      </c>
      <c r="AA962" s="1" t="inlineStr">
        <is>
          <t>Unverified</t>
        </is>
      </c>
      <c r="AB962" s="1" t="n"/>
      <c r="AC962" s="1" t="n"/>
      <c r="AD962" s="10" t="n"/>
      <c r="AE962" s="1" t="n"/>
      <c r="AF962" t="inlineStr">
        <is>
          <t>Yes</t>
        </is>
      </c>
      <c r="AG962" t="inlineStr">
        <is>
          <t>https://www.instagram.com/humanava_/</t>
        </is>
      </c>
      <c r="AH962" t="inlineStr">
        <is>
          <t>https://twitter.com/humanava_</t>
        </is>
      </c>
      <c r="AI962" t="inlineStr">
        <is>
          <t>https://www.linkedin.com/company/humanava</t>
        </is>
      </c>
    </row>
    <row r="963" ht="12.5" customHeight="1">
      <c r="A963" s="6" t="n">
        <v>45181</v>
      </c>
      <c r="B963" s="1" t="inlineStr">
        <is>
          <t>ORG_1784</t>
        </is>
      </c>
      <c r="C963" s="1" t="b">
        <v>1</v>
      </c>
      <c r="D963" s="1" t="inlineStr">
        <is>
          <t>Knowmore</t>
        </is>
      </c>
      <c r="E963" s="10" t="inlineStr">
        <is>
          <t>https://www.knowmore365.com/</t>
        </is>
      </c>
      <c r="F963" t="inlineStr">
        <is>
          <t>knowmore365.com</t>
        </is>
      </c>
      <c r="G963" s="1" t="inlineStr">
        <is>
          <t>Digital Adoption and Learning Platform.
Whatever the organization or industry, our platforms help users, suppliers and clients to train and effectively use applications such as CRM, ERP, HRMS, supply chain, CMMS, e-procurement, collaborative tools, web portals, and other bespoke applications.
Knowmore reimagines Digital Adoption of applications by fusing Learning and Practical Use.</t>
        </is>
      </c>
      <c r="H963" s="1" t="inlineStr">
        <is>
          <t>I'm not part of any EdTech association</t>
        </is>
      </c>
      <c r="I963" s="1" t="n"/>
      <c r="J963" s="1" t="inlineStr">
        <is>
          <t>Ivry Sur Seine</t>
        </is>
      </c>
      <c r="K963" t="inlineStr">
        <is>
          <t>Ivry Sur Seine</t>
        </is>
      </c>
      <c r="L963" t="inlineStr">
        <is>
          <t>Ivry Sur Seine, France</t>
        </is>
      </c>
      <c r="M963" t="n">
        <v>48.8122302</v>
      </c>
      <c r="N963" t="n">
        <v>2.3872525</v>
      </c>
      <c r="O963" s="1" t="inlineStr">
        <is>
          <t>France</t>
        </is>
      </c>
      <c r="P963" s="1" t="inlineStr">
        <is>
          <t>Belgium, France, Germany, Spain, United Kingdom</t>
        </is>
      </c>
      <c r="Q963" s="1" t="inlineStr">
        <is>
          <t>11 to 50</t>
        </is>
      </c>
      <c r="R963" t="inlineStr">
        <is>
          <t>Small</t>
        </is>
      </c>
      <c r="S963" s="1" t="inlineStr">
        <is>
          <t>Business to Consumer</t>
        </is>
      </c>
      <c r="T963" s="1" t="inlineStr">
        <is>
          <t>Corporate Training, Lifelong learning/Adult education</t>
        </is>
      </c>
      <c r="U963" s="1" t="inlineStr">
        <is>
          <t>Teacher interfacing, Student interfacing, System/Administrative</t>
        </is>
      </c>
      <c r="V963" s="1" t="n"/>
      <c r="W963" s="1" t="inlineStr">
        <is>
          <t>https://drive.google.com/uc?export=view&amp;id=1qfoyvCuRTimQ1MbCQ6qPQ6YPIiq3fyKF</t>
        </is>
      </c>
      <c r="X963" s="1" t="inlineStr">
        <is>
          <t>https://drive.google.com/uc?export=view&amp;id=1qfoyvCuRTimQ1MbCQ6qPQ6YPIiq3fyKF</t>
        </is>
      </c>
      <c r="Y963" t="inlineStr">
        <is>
          <t>https://drive.google.com/uc?export=view&amp;id=1qfoyvCuRTimQ1MbCQ6qPQ6YPIiq3fyKF</t>
        </is>
      </c>
      <c r="Z963" s="1" t="inlineStr">
        <is>
          <t>https://drive.google.com/uc?export=view&amp;id=1qfoyvCuRTimQ1MbCQ6qPQ6YPIiq3fyKF</t>
        </is>
      </c>
      <c r="AA963" s="1" t="inlineStr">
        <is>
          <t>Unverified</t>
        </is>
      </c>
      <c r="AB963" s="1" t="n"/>
      <c r="AC963" s="1" t="n"/>
      <c r="AD963" s="10" t="n"/>
      <c r="AE963" s="1" t="n"/>
      <c r="AF963" t="inlineStr">
        <is>
          <t>No</t>
        </is>
      </c>
    </row>
    <row r="964" ht="12.5" customHeight="1">
      <c r="A964" s="6" t="n">
        <v>45181</v>
      </c>
      <c r="B964" s="1" t="inlineStr">
        <is>
          <t>ORG_2009</t>
        </is>
      </c>
      <c r="C964" s="1" t="b">
        <v>1</v>
      </c>
      <c r="D964" s="1" t="inlineStr">
        <is>
          <t>MySat</t>
        </is>
      </c>
      <c r="E964" s="10" t="inlineStr">
        <is>
          <t>www.mysatkit.com</t>
        </is>
      </c>
      <c r="F964" t="inlineStr">
        <is>
          <t>mysatkit.com</t>
        </is>
      </c>
      <c r="G964" s="1" t="inlineStr">
        <is>
          <t>MySat is a new tool for Space education right at home.
MySat is a model of a small satellite, called CubeSat. It is an educational electronic kit with real satellite design and features. MySat was developed for entertainment, exploration, and learning. With clear guides and simplified assembling and coding, it fits perfectly for children and adults, amateurs and professionals. To build your own satellite with MySat, no technical background or coding skills are needed. The set of environmental and orientation sensors lets you do a number of experiments, explore the surroundings and learn about Space technologies. You can easily collect and share sensor data with MySat Web Platform to get new ideas for your satellite mission. As an option, you can even launch your mission into the stratosphere with our Stratospheric Launch Service.
Start your very own Space mission with MySat today!</t>
        </is>
      </c>
      <c r="H964" s="1" t="inlineStr">
        <is>
          <t>I'm not part of any EdTech association</t>
        </is>
      </c>
      <c r="I964" s="1" t="n"/>
      <c r="J964" s="1" t="inlineStr">
        <is>
          <t>Kyiv</t>
        </is>
      </c>
      <c r="K964" t="inlineStr">
        <is>
          <t>Kyiv</t>
        </is>
      </c>
      <c r="L964" t="inlineStr">
        <is>
          <t>Kyiv, Ukraine</t>
        </is>
      </c>
      <c r="M964" t="n">
        <v>50.4500336</v>
      </c>
      <c r="N964" t="n">
        <v>30.5241361</v>
      </c>
      <c r="O964" s="1" t="inlineStr">
        <is>
          <t>Ukraine</t>
        </is>
      </c>
      <c r="P964" s="1" t="inlineStr">
        <is>
          <t>Estonia, Ukraine</t>
        </is>
      </c>
      <c r="Q964" s="1" t="inlineStr">
        <is>
          <t>0 to 10</t>
        </is>
      </c>
      <c r="R964" t="inlineStr">
        <is>
          <t>Micro</t>
        </is>
      </c>
      <c r="S964" s="1" t="inlineStr">
        <is>
          <t>Business to Consumer</t>
        </is>
      </c>
      <c r="T964" s="1" t="inlineStr">
        <is>
          <t>Primary Education, Secondary Education, Lifelong learning/Adult education</t>
        </is>
      </c>
      <c r="U964" s="1" t="inlineStr">
        <is>
          <t>System/Administrative, Student interfacing, Teacher interfacing</t>
        </is>
      </c>
      <c r="V964" s="1" t="n"/>
      <c r="W964" s="1" t="inlineStr">
        <is>
          <t>https://drive.google.com/uc?export=view&amp;id=1BNXJ8UHFyYxGqsaTCcGWCORwgXAD6t8d</t>
        </is>
      </c>
      <c r="X964" s="1" t="inlineStr">
        <is>
          <t>https://drive.google.com/uc?export=view&amp;id=1BNXJ8UHFyYxGqsaTCcGWCORwgXAD6t8d</t>
        </is>
      </c>
      <c r="Y964" t="inlineStr">
        <is>
          <t>https://drive.google.com/uc?export=view&amp;id=1BNXJ8UHFyYxGqsaTCcGWCORwgXAD6t8d</t>
        </is>
      </c>
      <c r="Z964" s="1" t="inlineStr">
        <is>
          <t>https://drive.google.com/uc?export=view&amp;id=1BNXJ8UHFyYxGqsaTCcGWCORwgXAD6t8d</t>
        </is>
      </c>
      <c r="AA964" s="1" t="inlineStr">
        <is>
          <t>Unverified</t>
        </is>
      </c>
      <c r="AB964" s="1" t="n"/>
      <c r="AC964" s="1" t="n"/>
      <c r="AD964" s="10" t="n"/>
      <c r="AE964" s="1" t="n"/>
      <c r="AF964" s="1" t="inlineStr">
        <is>
          <t>No</t>
        </is>
      </c>
      <c r="AG964" s="1" t="n"/>
      <c r="AH964" s="1" t="n"/>
    </row>
    <row r="965" ht="12.5" customHeight="1">
      <c r="A965" s="6" t="n">
        <v>45181</v>
      </c>
      <c r="B965" s="1" t="inlineStr">
        <is>
          <t>ORG_2108</t>
        </is>
      </c>
      <c r="C965" s="1" t="b">
        <v>1</v>
      </c>
      <c r="D965" s="10" t="inlineStr">
        <is>
          <t>PlagiarismCheck.org</t>
        </is>
      </c>
      <c r="E965" s="10" t="inlineStr">
        <is>
          <t>https://plagiarismcheck.org/</t>
        </is>
      </c>
      <c r="F965" t="inlineStr">
        <is>
          <t>plagiarismcheck.org</t>
        </is>
      </c>
      <c r="G965" s="1" t="inlineStr">
        <is>
          <t>A modern algorithm to save instructors' time and help students to succeed academically by checking texts for similarity, grammar/spelling, authorship, and giving valuable data.</t>
        </is>
      </c>
      <c r="H965" s="1" t="inlineStr">
        <is>
          <t>I'm not part of any EdTech association</t>
        </is>
      </c>
      <c r="I965" s="1" t="n"/>
      <c r="J965" s="1" t="inlineStr">
        <is>
          <t>London</t>
        </is>
      </c>
      <c r="K965" t="inlineStr">
        <is>
          <t>London</t>
        </is>
      </c>
      <c r="L965" t="inlineStr">
        <is>
          <t>London, United Kingdom</t>
        </is>
      </c>
      <c r="M965" t="n">
        <v>51.5074456</v>
      </c>
      <c r="N965" t="n">
        <v>-0.1277653</v>
      </c>
      <c r="O965" s="1" t="inlineStr">
        <is>
          <t>United Kingdom</t>
        </is>
      </c>
      <c r="P965" s="1" t="inlineStr">
        <is>
          <t>Albania, Cyprus, Kosovo, Netherlands, Norway, Poland, United Kingdom</t>
        </is>
      </c>
      <c r="Q965" s="1" t="inlineStr">
        <is>
          <t>0 to 10</t>
        </is>
      </c>
      <c r="R965" t="inlineStr">
        <is>
          <t>Micro</t>
        </is>
      </c>
      <c r="S965" s="1" t="inlineStr">
        <is>
          <t>Business to Consumer</t>
        </is>
      </c>
      <c r="T965" s="1" t="inlineStr">
        <is>
          <t>Primary Education, Secondary Education, Higher Education, Corporate Training</t>
        </is>
      </c>
      <c r="U965" s="1" t="inlineStr">
        <is>
          <t>Student interfacing, Teacher interfacing</t>
        </is>
      </c>
      <c r="V965" s="1" t="n"/>
      <c r="W965" s="1" t="inlineStr">
        <is>
          <t>https://drive.google.com/uc?export=view&amp;id=1BAB96eDg5y0TOB1bYmwMW0CB92N14NgQ</t>
        </is>
      </c>
      <c r="X965" s="1" t="inlineStr">
        <is>
          <t>https://drive.google.com/uc?export=view&amp;id=1BAB96eDg5y0TOB1bYmwMW0CB92N14NgQ</t>
        </is>
      </c>
      <c r="Y965" t="inlineStr">
        <is>
          <t>https://drive.google.com/uc?export=view&amp;id=1BAB96eDg5y0TOB1bYmwMW0CB92N14NgQ</t>
        </is>
      </c>
      <c r="Z965" s="1" t="inlineStr">
        <is>
          <t>https://drive.google.com/uc?export=view&amp;id=1BAB96eDg5y0TOB1bYmwMW0CB92N14NgQ</t>
        </is>
      </c>
      <c r="AA965" s="1" t="inlineStr">
        <is>
          <t>Unverified</t>
        </is>
      </c>
      <c r="AB965" s="1" t="n"/>
      <c r="AC965" s="1" t="n"/>
      <c r="AD965" s="10" t="n"/>
      <c r="AE965" s="1" t="n"/>
      <c r="AF965" t="inlineStr">
        <is>
          <t>No</t>
        </is>
      </c>
    </row>
    <row r="966" ht="12.5" customHeight="1">
      <c r="A966" s="6" t="n">
        <v>45181</v>
      </c>
      <c r="B966" s="1" t="inlineStr">
        <is>
          <t>ORG_2125</t>
        </is>
      </c>
      <c r="C966" s="1" t="b">
        <v>1</v>
      </c>
      <c r="D966" s="1" t="inlineStr">
        <is>
          <t>Projector</t>
        </is>
      </c>
      <c r="E966" s="10" t="inlineStr">
        <is>
          <t>https://prjctr.com/</t>
        </is>
      </c>
      <c r="F966" t="inlineStr">
        <is>
          <t>prjctr.com</t>
        </is>
      </c>
      <c r="G966" s="1" t="inlineStr">
        <is>
          <t>Projector is an online institute of creative and tech professions. It has 9 faculties: Advertising, Development and Data Science, Graphic Design, Humanitarium (a faculty of humanitarian studies), Interface Design, Management, Marketing, Photo &amp; Video, Visual Arts. 
These 9 faculties include over 150 educational programs. 
7 years experience on the Ukrainian market.
12,000 alumni.
100,000 creative and tech community.</t>
        </is>
      </c>
      <c r="H966" s="1" t="inlineStr">
        <is>
          <t>I'm not part of any EdTech association</t>
        </is>
      </c>
      <c r="I966" s="1" t="n"/>
      <c r="J966" s="1" t="inlineStr">
        <is>
          <t>Kyiv</t>
        </is>
      </c>
      <c r="K966" t="inlineStr">
        <is>
          <t>Kyiv</t>
        </is>
      </c>
      <c r="L966" t="inlineStr">
        <is>
          <t>Kyiv, Ukraine</t>
        </is>
      </c>
      <c r="M966" t="n">
        <v>50.4500336</v>
      </c>
      <c r="N966" t="n">
        <v>30.5241361</v>
      </c>
      <c r="O966" s="1" t="inlineStr">
        <is>
          <t>Ukraine</t>
        </is>
      </c>
      <c r="P966" s="1" t="inlineStr">
        <is>
          <t>Azerbaijan, Georgia, Kazakhstan, Moldova, Ukraine</t>
        </is>
      </c>
      <c r="Q966" s="1" t="inlineStr">
        <is>
          <t>51 to 100</t>
        </is>
      </c>
      <c r="R966" t="inlineStr">
        <is>
          <t>Medium</t>
        </is>
      </c>
      <c r="S966" s="1" t="inlineStr">
        <is>
          <t>Business to Consumer, Business to Schools</t>
        </is>
      </c>
      <c r="T966" s="1" t="inlineStr">
        <is>
          <t>Corporate Training, Lifelong learning/Adult education</t>
        </is>
      </c>
      <c r="U966" s="1" t="inlineStr">
        <is>
          <t>Student interfacing, System/Administrative</t>
        </is>
      </c>
      <c r="V966" s="1" t="n"/>
      <c r="W966" s="1" t="inlineStr">
        <is>
          <t>https://drive.google.com/uc?export=view&amp;id=1qWaaqCDL_0xwrMrXS5sry9LmwZFI6zWW</t>
        </is>
      </c>
      <c r="X966" s="1" t="inlineStr">
        <is>
          <t>https://drive.google.com/uc?export=view&amp;id=1qWaaqCDL_0xwrMrXS5sry9LmwZFI6zWW</t>
        </is>
      </c>
      <c r="Y966" t="inlineStr">
        <is>
          <t>https://drive.google.com/uc?export=view&amp;id=1qWaaqCDL_0xwrMrXS5sry9LmwZFI6zWW</t>
        </is>
      </c>
      <c r="Z966" s="1" t="inlineStr">
        <is>
          <t>https://drive.google.com/uc?export=view&amp;id=1qWaaqCDL_0xwrMrXS5sry9LmwZFI6zWW</t>
        </is>
      </c>
      <c r="AA966" s="1" t="inlineStr">
        <is>
          <t>Unverified</t>
        </is>
      </c>
      <c r="AB966" s="1" t="n"/>
      <c r="AC966" s="1" t="n"/>
      <c r="AD966" s="10" t="n"/>
      <c r="AE966" s="1" t="n"/>
      <c r="AF966" s="1" t="inlineStr">
        <is>
          <t>No</t>
        </is>
      </c>
      <c r="AG966" s="1" t="n"/>
      <c r="AH966" s="1" t="n"/>
    </row>
    <row r="967" ht="12.5" customHeight="1">
      <c r="A967" s="6" t="n">
        <v>45181</v>
      </c>
      <c r="B967" s="1" t="inlineStr">
        <is>
          <t>ORG_2162</t>
        </is>
      </c>
      <c r="C967" s="1" t="b">
        <v>1</v>
      </c>
      <c r="D967" s="1" t="inlineStr">
        <is>
          <t>Readlax</t>
        </is>
      </c>
      <c r="E967" s="10" t="inlineStr">
        <is>
          <t>https://www.readlax.com/</t>
        </is>
      </c>
      <c r="F967" t="inlineStr">
        <is>
          <t>readlax.com</t>
        </is>
      </c>
      <c r="G967" s="1" t="inlineStr">
        <is>
          <t>Brain Productivity Platform.</t>
        </is>
      </c>
      <c r="H967" s="1" t="inlineStr">
        <is>
          <t>I'm not part of any EdTech association</t>
        </is>
      </c>
      <c r="I967" s="1" t="n"/>
      <c r="J967" s="1" t="inlineStr">
        <is>
          <t>Kyiv, Krukivschina</t>
        </is>
      </c>
      <c r="K967" t="inlineStr">
        <is>
          <t>Kyiv</t>
        </is>
      </c>
      <c r="L967" t="inlineStr">
        <is>
          <t>Kyiv, Ukraine</t>
        </is>
      </c>
      <c r="M967" t="n">
        <v>50.4500336</v>
      </c>
      <c r="N967" t="n">
        <v>30.5241361</v>
      </c>
      <c r="O967" s="1" t="inlineStr">
        <is>
          <t>Ukraine</t>
        </is>
      </c>
      <c r="P967" s="1" t="inlineStr">
        <is>
          <t>France, Germany, Italy, Kazakhstan, Poland, Portugal, Spain, Ukraine, United Kingdom</t>
        </is>
      </c>
      <c r="Q967" s="1" t="inlineStr">
        <is>
          <t>0 to 10</t>
        </is>
      </c>
      <c r="R967" t="inlineStr">
        <is>
          <t>Micro</t>
        </is>
      </c>
      <c r="S967" s="1" t="inlineStr">
        <is>
          <t>Business to Consumer, Business to Schools</t>
        </is>
      </c>
      <c r="T967" s="1" t="inlineStr">
        <is>
          <t>Secondary Education, Higher Education, Corporate Training, Lifelong learning/Adult education</t>
        </is>
      </c>
      <c r="U967" s="1" t="inlineStr">
        <is>
          <t>Teacher interfacing, System/Administrative, Student interfacing</t>
        </is>
      </c>
      <c r="V967" s="1" t="n"/>
      <c r="W967" s="1" t="inlineStr">
        <is>
          <t>https://drive.google.com/uc?export=view&amp;id=1Htx1BOPj9fQx9j5FuRZ7nk1qGqzLMBno</t>
        </is>
      </c>
      <c r="X967" s="1" t="inlineStr">
        <is>
          <t>https://drive.google.com/uc?export=view&amp;id=1Htx1BOPj9fQx9j5FuRZ7nk1qGqzLMBno</t>
        </is>
      </c>
      <c r="Y967" t="inlineStr">
        <is>
          <t>https://drive.google.com/uc?export=view&amp;id=1Htx1BOPj9fQx9j5FuRZ7nk1qGqzLMBno</t>
        </is>
      </c>
      <c r="Z967" s="1" t="inlineStr">
        <is>
          <t>https://drive.google.com/uc?export=view&amp;id=1Htx1BOPj9fQx9j5FuRZ7nk1qGqzLMBno</t>
        </is>
      </c>
      <c r="AA967" s="1" t="inlineStr">
        <is>
          <t>Unverified</t>
        </is>
      </c>
      <c r="AB967" s="1" t="n"/>
      <c r="AC967" s="1" t="n"/>
      <c r="AD967" s="10" t="n"/>
      <c r="AE967" s="1" t="n"/>
      <c r="AF967" s="1" t="inlineStr">
        <is>
          <t>No</t>
        </is>
      </c>
      <c r="AG967" s="1" t="n"/>
      <c r="AH967" s="1" t="n"/>
    </row>
    <row r="968" ht="12.5" customHeight="1">
      <c r="A968" s="6" t="n">
        <v>45181</v>
      </c>
      <c r="B968" s="1" t="inlineStr">
        <is>
          <t>ORG_2192</t>
        </is>
      </c>
      <c r="C968" s="1" t="b">
        <v>1</v>
      </c>
      <c r="D968" s="1" t="inlineStr">
        <is>
          <t>RoboriseIT</t>
        </is>
      </c>
      <c r="E968" s="10" t="inlineStr">
        <is>
          <t>http://roboriseit.com/</t>
        </is>
      </c>
      <c r="F968" t="inlineStr">
        <is>
          <t>roboriseit.com</t>
        </is>
      </c>
      <c r="G968" s="1" t="inlineStr">
        <is>
          <t>For more than 10 years Roborise-It team have been working with teachers and students to deliver playful learning experiences that bring subjects to life in the classroom and make learning fun and impactful. Thousands children all around the world study robotics according to our curriculums based on WeDo 2.0 and Mindstorms EV3 sets. Thanks to our materials, teams have taken prizes at WRO competitions since 2009.
We are committed to enabling every student to succeed. Together, we can support and inspire our students to be active, motivated and collaborative learners.</t>
        </is>
      </c>
      <c r="H968" s="1" t="inlineStr">
        <is>
          <t>I'm not part of any EdTech association</t>
        </is>
      </c>
      <c r="I968" s="1" t="n"/>
      <c r="J968" s="1" t="inlineStr">
        <is>
          <t>Kyiv</t>
        </is>
      </c>
      <c r="K968" t="inlineStr">
        <is>
          <t>Kyiv</t>
        </is>
      </c>
      <c r="L968" t="inlineStr">
        <is>
          <t>Kyiv, Ukraine</t>
        </is>
      </c>
      <c r="M968" t="n">
        <v>50.4500336</v>
      </c>
      <c r="N968" t="n">
        <v>30.5241361</v>
      </c>
      <c r="O968" s="1" t="inlineStr">
        <is>
          <t>Ukraine</t>
        </is>
      </c>
      <c r="P968" s="1" t="inlineStr">
        <is>
          <t>Armenia, Austria, Azerbaijan, Belarus, Belgium, Bulgaria, Croatia, Cyprus, Czechia, Estonia, France, Germany, Greece, Hungary, Italy, Kazakhstan, Latvia, Lithuania, Moldova, Netherlands, Poland, Portugal, Romania, Slovakia, Spain, Sweden, Turkey, Ukraine, United Kingdom</t>
        </is>
      </c>
      <c r="Q968" s="1" t="inlineStr">
        <is>
          <t>0 to 10</t>
        </is>
      </c>
      <c r="R968" t="inlineStr">
        <is>
          <t>Micro</t>
        </is>
      </c>
      <c r="S968" s="1" t="inlineStr">
        <is>
          <t>Business to Schools</t>
        </is>
      </c>
      <c r="T968" s="1" t="inlineStr">
        <is>
          <t>Primary Education, Secondary Education, Lifelong learning/Adult education</t>
        </is>
      </c>
      <c r="U968" s="1" t="inlineStr">
        <is>
          <t>System/Administrative, Teacher interfacing</t>
        </is>
      </c>
      <c r="V968" s="1" t="n"/>
      <c r="W968" s="1" t="inlineStr">
        <is>
          <t>https://drive.google.com/uc?export=view&amp;id=1RpxLwsFNwM3_7HoIqyxMgyxIUK_XXM_-</t>
        </is>
      </c>
      <c r="X968" s="1" t="inlineStr">
        <is>
          <t>https://drive.google.com/uc?export=view&amp;id=1RpxLwsFNwM3_7HoIqyxMgyxIUK_XXM_-</t>
        </is>
      </c>
      <c r="Y968" t="inlineStr">
        <is>
          <t>https://drive.google.com/uc?export=view&amp;id=1RpxLwsFNwM3_7HoIqyxMgyxIUK_XXM_-</t>
        </is>
      </c>
      <c r="Z968" s="1" t="inlineStr">
        <is>
          <t>https://drive.google.com/uc?export=view&amp;id=1RpxLwsFNwM3_7HoIqyxMgyxIUK_XXM_-</t>
        </is>
      </c>
      <c r="AA968" s="1" t="inlineStr">
        <is>
          <t>Unverified</t>
        </is>
      </c>
      <c r="AB968" s="1" t="n"/>
      <c r="AC968" s="1" t="n"/>
      <c r="AD968" s="10" t="n"/>
      <c r="AE968" s="1" t="n"/>
      <c r="AF968" t="inlineStr">
        <is>
          <t>No</t>
        </is>
      </c>
    </row>
    <row r="969" ht="12.5" customHeight="1">
      <c r="A969" s="6" t="n">
        <v>45181</v>
      </c>
      <c r="B969" s="1" t="inlineStr">
        <is>
          <t>ORG_2325</t>
        </is>
      </c>
      <c r="C969" s="1" t="b">
        <v>1</v>
      </c>
      <c r="D969" s="1" t="inlineStr">
        <is>
          <t>StellKey</t>
        </is>
      </c>
      <c r="E969" s="10" t="inlineStr">
        <is>
          <t>www.stellkey.com</t>
        </is>
      </c>
      <c r="F969" t="inlineStr">
        <is>
          <t>stellkey.com</t>
        </is>
      </c>
      <c r="G969" s="1" t="inlineStr">
        <is>
          <t>StellKey is an app designed to help families work together. Using a fun planetary theme, StellKey helps children grow a sense of responsibility, contribute to the household and build good habits - like brushing their teeth, getting ready in the morning, do homeworks, eat fruits &amp; vegetables, protect the environment, and much more.</t>
        </is>
      </c>
      <c r="H969" s="1" t="inlineStr">
        <is>
          <t>I'm not part of any EdTech association</t>
        </is>
      </c>
      <c r="I969" s="1" t="n"/>
      <c r="J969" s="1" t="inlineStr">
        <is>
          <t>Paris</t>
        </is>
      </c>
      <c r="K969" t="inlineStr">
        <is>
          <t>Paris</t>
        </is>
      </c>
      <c r="L969" t="inlineStr">
        <is>
          <t>Paris, France</t>
        </is>
      </c>
      <c r="M969" t="n">
        <v>48.8534951</v>
      </c>
      <c r="N969" t="n">
        <v>2.3483915</v>
      </c>
      <c r="O969" s="1" t="inlineStr">
        <is>
          <t>France</t>
        </is>
      </c>
      <c r="P96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969" s="1" t="inlineStr">
        <is>
          <t>0 to 10</t>
        </is>
      </c>
      <c r="R969" t="inlineStr">
        <is>
          <t>Micro</t>
        </is>
      </c>
      <c r="S969" s="1" t="inlineStr">
        <is>
          <t>Business to Schools</t>
        </is>
      </c>
      <c r="T969" s="1" t="inlineStr">
        <is>
          <t>Early childhood development (0-5 years), Primary Education</t>
        </is>
      </c>
      <c r="U969" s="1" t="inlineStr">
        <is>
          <t>System/Administrative, Student interfacing, Teacher interfacing</t>
        </is>
      </c>
      <c r="V969" s="1" t="n"/>
      <c r="W969" s="1" t="inlineStr">
        <is>
          <t>https://drive.google.com/uc?export=view&amp;id=1lO6Y_PiZ0YIOA9tzxNkGuuz1iuAH5KFj</t>
        </is>
      </c>
      <c r="X969" s="1" t="inlineStr">
        <is>
          <t>https://drive.google.com/uc?export=view&amp;id=1lO6Y_PiZ0YIOA9tzxNkGuuz1iuAH5KFj</t>
        </is>
      </c>
      <c r="Y969" t="inlineStr">
        <is>
          <t>https://drive.google.com/uc?export=view&amp;id=1lO6Y_PiZ0YIOA9tzxNkGuuz1iuAH5KFj</t>
        </is>
      </c>
      <c r="Z969" s="1" t="inlineStr">
        <is>
          <t>https://drive.google.com/uc?export=view&amp;id=1lO6Y_PiZ0YIOA9tzxNkGuuz1iuAH5KFj</t>
        </is>
      </c>
      <c r="AA969" s="1" t="inlineStr">
        <is>
          <t>Unverified</t>
        </is>
      </c>
      <c r="AB969" s="1" t="n"/>
      <c r="AC969" s="1" t="n"/>
      <c r="AD969" s="10" t="n"/>
      <c r="AE969" s="1" t="n"/>
      <c r="AF969" t="inlineStr">
        <is>
          <t>No</t>
        </is>
      </c>
    </row>
    <row r="970" ht="12.5" customHeight="1">
      <c r="A970" s="6" t="n">
        <v>45181</v>
      </c>
      <c r="B970" s="1" t="inlineStr">
        <is>
          <t>ORG_2466</t>
        </is>
      </c>
      <c r="C970" s="1" t="b">
        <v>1</v>
      </c>
      <c r="D970" s="1" t="inlineStr">
        <is>
          <t>Univera</t>
        </is>
      </c>
      <c r="E970" s="1" t="inlineStr">
        <is>
          <t>univera.app</t>
        </is>
      </c>
      <c r="F970" t="inlineStr">
        <is>
          <t>univera.app</t>
        </is>
      </c>
      <c r="G970" s="1" t="inlineStr">
        <is>
          <t>We are startup team that working on University in a smartphone concept. 
This is 2-in-1 product that allows to reimagine interaction between student and university and connects students, university and employers. We started work on this in 2019 but company was founded since August 2021.</t>
        </is>
      </c>
      <c r="H970" s="1" t="inlineStr">
        <is>
          <t>I'm not part of any EdTech association</t>
        </is>
      </c>
      <c r="I970" s="1" t="n"/>
      <c r="J970" s="1" t="inlineStr">
        <is>
          <t>Odesa</t>
        </is>
      </c>
      <c r="K970" t="inlineStr">
        <is>
          <t>Odesa</t>
        </is>
      </c>
      <c r="L970" t="inlineStr">
        <is>
          <t>Odesa, Ukraine</t>
        </is>
      </c>
      <c r="M970" t="n">
        <v>46.4843023</v>
      </c>
      <c r="N970" t="n">
        <v>30.7322878</v>
      </c>
      <c r="O970" s="1" t="inlineStr">
        <is>
          <t>Ukraine</t>
        </is>
      </c>
      <c r="P970" s="1" t="inlineStr">
        <is>
          <t>Ukraine</t>
        </is>
      </c>
      <c r="Q970" s="1" t="inlineStr">
        <is>
          <t>0 to 10</t>
        </is>
      </c>
      <c r="R970" t="inlineStr">
        <is>
          <t>Micro</t>
        </is>
      </c>
      <c r="S970" s="1" t="inlineStr">
        <is>
          <t>Business to Schools</t>
        </is>
      </c>
      <c r="T970" s="1" t="inlineStr">
        <is>
          <t>Higher Education</t>
        </is>
      </c>
      <c r="U970" s="1" t="inlineStr">
        <is>
          <t>System/Administrative, Student interfacing</t>
        </is>
      </c>
      <c r="V970" s="1" t="n"/>
      <c r="W970" s="1" t="inlineStr">
        <is>
          <t>https://drive.google.com/uc?export=view&amp;id=1AKR14Tp8t8FDqPzGd0snr8qh6WOHHfEz</t>
        </is>
      </c>
      <c r="X970" s="1" t="inlineStr">
        <is>
          <t>https://drive.google.com/uc?export=view&amp;id=1AKR14Tp8t8FDqPzGd0snr8qh6WOHHfEz</t>
        </is>
      </c>
      <c r="Y970" t="inlineStr">
        <is>
          <t>https://drive.google.com/uc?export=view&amp;id=1AKR14Tp8t8FDqPzGd0snr8qh6WOHHfEz</t>
        </is>
      </c>
      <c r="Z970" s="1" t="inlineStr">
        <is>
          <t>https://drive.google.com/uc?export=view&amp;id=1AKR14Tp8t8FDqPzGd0snr8qh6WOHHfEz</t>
        </is>
      </c>
      <c r="AA970" s="1" t="inlineStr">
        <is>
          <t>Unverified</t>
        </is>
      </c>
      <c r="AB970" s="1" t="n"/>
      <c r="AC970" s="1" t="n"/>
      <c r="AD970" s="10" t="n"/>
      <c r="AE970" s="1" t="n"/>
      <c r="AF970" t="inlineStr">
        <is>
          <t>No</t>
        </is>
      </c>
    </row>
    <row r="971" ht="12.5" customHeight="1">
      <c r="A971" s="6" t="n">
        <v>45181</v>
      </c>
      <c r="B971" s="1" t="inlineStr">
        <is>
          <t>ORG_1056</t>
        </is>
      </c>
      <c r="C971" s="1" t="b">
        <v>1</v>
      </c>
      <c r="D971" s="1" t="inlineStr">
        <is>
          <t>Altamar</t>
        </is>
      </c>
      <c r="E971" s="10" t="inlineStr">
        <is>
          <t>www.altamar.es</t>
        </is>
      </c>
      <c r="F971" t="inlineStr">
        <is>
          <t>altamar.es</t>
        </is>
      </c>
      <c r="G971" s="1" t="inlineStr">
        <is>
          <t>Publisher specialized in educational content for professional training.
Our content is available in multiple formats (paper and/or digital) and can be consumed on our own LMS platforms or those of educational centers.</t>
        </is>
      </c>
      <c r="H971" s="1" t="inlineStr">
        <is>
          <t>I'm not part of any EdTech association</t>
        </is>
      </c>
      <c r="I971" s="1" t="n"/>
      <c r="J971" s="1" t="inlineStr">
        <is>
          <t>Sant Feliu De Llobregat</t>
        </is>
      </c>
      <c r="K971" t="inlineStr">
        <is>
          <t>Sant Feliu De Llobregat</t>
        </is>
      </c>
      <c r="L971" t="inlineStr">
        <is>
          <t>Sant Feliu De Llobregat, Spain</t>
        </is>
      </c>
      <c r="M971" t="n">
        <v>41.3812851</v>
      </c>
      <c r="N971" t="n">
        <v>2.0446381</v>
      </c>
      <c r="O971" s="1" t="inlineStr">
        <is>
          <t>Spain</t>
        </is>
      </c>
      <c r="P971" s="1" t="inlineStr">
        <is>
          <t>Spain</t>
        </is>
      </c>
      <c r="Q971" s="1" t="inlineStr">
        <is>
          <t>11 to 50</t>
        </is>
      </c>
      <c r="R971" t="inlineStr">
        <is>
          <t>Small</t>
        </is>
      </c>
      <c r="S971" s="1" t="inlineStr">
        <is>
          <t>Business to Business</t>
        </is>
      </c>
      <c r="T971" s="1" t="inlineStr">
        <is>
          <t>Higher Education, Lifelong learning/Adult education</t>
        </is>
      </c>
      <c r="U971" s="1" t="inlineStr">
        <is>
          <t>Teacher interfacing, Student interfacing, System/Administrative</t>
        </is>
      </c>
      <c r="V971" s="1" t="inlineStr">
        <is>
          <t>Paper books</t>
        </is>
      </c>
      <c r="W971" s="1" t="inlineStr">
        <is>
          <t>The books follow the curricular content established by the Spanish Ministry of Education, we onluy publish regulated texts.</t>
        </is>
      </c>
      <c r="X971" s="10" t="inlineStr">
        <is>
          <t>Media book</t>
        </is>
      </c>
      <c r="Y971" t="inlineStr">
        <is>
          <t>The media book license gives access to the regulated content of paper books and includes contextualized and self-produced multimedia material adapted to each module of each training cycle.</t>
        </is>
      </c>
      <c r="Z971" s="1" t="inlineStr">
        <is>
          <t>https://drive.google.com/uc?export=view&amp;id=1YYthl1XG24kpopftkXKrLM72OLVIA1sF</t>
        </is>
      </c>
      <c r="AA971" s="1" t="inlineStr">
        <is>
          <t>Unverified</t>
        </is>
      </c>
      <c r="AB971" s="1" t="n"/>
      <c r="AC971" s="1" t="n"/>
      <c r="AD971" s="10" t="n"/>
      <c r="AE971" s="1" t="n"/>
      <c r="AF971" s="1" t="inlineStr">
        <is>
          <t>Yes</t>
        </is>
      </c>
      <c r="AG971" s="1" t="inlineStr">
        <is>
          <t>https://www.linkedin.com/company/editorial-altamar-s-l-/</t>
        </is>
      </c>
      <c r="AH971" s="1" t="inlineStr">
        <is>
          <t>https://www.linkedin.com/company/editorial-altamar-s-l-/</t>
        </is>
      </c>
      <c r="AI971" t="inlineStr">
        <is>
          <t>https://www.linkedin.com/company/editorial-altamar-s-l-/</t>
        </is>
      </c>
    </row>
    <row r="972" ht="12.5" customHeight="1">
      <c r="A972" s="6" t="n">
        <v>45181</v>
      </c>
      <c r="B972" s="1" t="inlineStr">
        <is>
          <t>ORG_1060</t>
        </is>
      </c>
      <c r="C972" s="1" t="b">
        <v>1</v>
      </c>
      <c r="D972" s="1" t="inlineStr">
        <is>
          <t>Alternative Digitale</t>
        </is>
      </c>
      <c r="E972" s="10" t="inlineStr">
        <is>
          <t>www.alternativedigitale.com</t>
        </is>
      </c>
      <c r="F972" t="inlineStr">
        <is>
          <t>alternativedigitale.com</t>
        </is>
      </c>
      <c r="G972" s="1" t="inlineStr">
        <is>
          <t>Alternative Digitale is dedicated to evaluating professional digital skills 
DiGiTT is a digital skill certification for individual who want to prove their level of expertise
Diag by DiGiTT is an assessment for businesses which want to monitor their team digital skills</t>
        </is>
      </c>
      <c r="H972" s="1" t="inlineStr">
        <is>
          <t>AFINEF, EdTech France</t>
        </is>
      </c>
      <c r="I972" s="1" t="inlineStr">
        <is>
          <t>French, English</t>
        </is>
      </c>
      <c r="J972" s="1" t="inlineStr">
        <is>
          <t>Paris</t>
        </is>
      </c>
      <c r="K972" t="inlineStr">
        <is>
          <t>Paris</t>
        </is>
      </c>
      <c r="L972" t="inlineStr">
        <is>
          <t>Paris, France</t>
        </is>
      </c>
      <c r="M972" t="n">
        <v>48.8534951</v>
      </c>
      <c r="N972" t="n">
        <v>2.3483915</v>
      </c>
      <c r="O972" s="1" t="inlineStr">
        <is>
          <t>France</t>
        </is>
      </c>
      <c r="P972" s="1" t="inlineStr">
        <is>
          <t>Belgium, France, Switzerland</t>
        </is>
      </c>
      <c r="Q972" s="1" t="inlineStr">
        <is>
          <t>3 to 5</t>
        </is>
      </c>
      <c r="R972" t="inlineStr">
        <is>
          <t>Micro</t>
        </is>
      </c>
      <c r="S972" s="1" t="inlineStr">
        <is>
          <t>Business to Business</t>
        </is>
      </c>
      <c r="T972" s="1" t="inlineStr">
        <is>
          <t>Corporate Training, Lifelong learning/Adult education</t>
        </is>
      </c>
      <c r="U972" s="1" t="inlineStr">
        <is>
          <t>System/Administrative, Student interfacing</t>
        </is>
      </c>
      <c r="V972" s="1" t="inlineStr">
        <is>
          <t>DiGiTT</t>
        </is>
      </c>
      <c r="W972" s="10" t="inlineStr">
        <is>
          <t>DiGiTT is a certification for professional digital skills.</t>
        </is>
      </c>
      <c r="X972" s="10" t="inlineStr">
        <is>
          <t>Diag by DiGiTT</t>
        </is>
      </c>
      <c r="Y972" t="inlineStr">
        <is>
          <t>Diag by DiGiTT is an assessment for businesses which want to monitor thei team digital skills</t>
        </is>
      </c>
      <c r="Z972" s="1" t="inlineStr">
        <is>
          <t>https://drive.google.com/uc?export=view&amp;id=1ddiUoKd_TdVGNRVKufAfDhAhEO5n0Zcl</t>
        </is>
      </c>
      <c r="AA972" s="1" t="inlineStr">
        <is>
          <t>Unverified</t>
        </is>
      </c>
      <c r="AB972" s="1" t="n"/>
      <c r="AC972" s="1" t="n"/>
      <c r="AD972" s="10" t="n"/>
      <c r="AE972" s="1" t="n"/>
      <c r="AF972" t="inlineStr">
        <is>
          <t>Yes</t>
        </is>
      </c>
      <c r="AG972" t="inlineStr">
        <is>
          <t>https://twitter.com/mydigitt</t>
        </is>
      </c>
      <c r="AH972" t="inlineStr">
        <is>
          <t>https://twitter.com/mydigitt</t>
        </is>
      </c>
      <c r="AI972" t="inlineStr">
        <is>
          <t>https://www.linkedin.com/company/alternative-digitale/</t>
        </is>
      </c>
    </row>
    <row r="973" ht="12.5" customHeight="1">
      <c r="A973" s="6" t="n">
        <v>45181</v>
      </c>
      <c r="B973" s="1" t="inlineStr">
        <is>
          <t>ORG_1190</t>
        </is>
      </c>
      <c r="C973" s="1" t="b">
        <v>1</v>
      </c>
      <c r="D973" s="1" t="inlineStr">
        <is>
          <t>BQ Educación</t>
        </is>
      </c>
      <c r="E973" s="10" t="inlineStr">
        <is>
          <t>https://educacion.bq.com/</t>
        </is>
      </c>
      <c r="F973" t="inlineStr">
        <is>
          <t>educacion.bq.com</t>
        </is>
      </c>
      <c r="G973" s="1" t="inlineStr">
        <is>
          <t>BQ Educación is a pioneer of technology education in Spain. Its products, solutions and projects nourish the creative, technical and emotional competences of children and adults alike. BQ Educación has more than 1.5 million users, and more than 1 million children have learnt with them.</t>
        </is>
      </c>
      <c r="H973" s="1" t="inlineStr">
        <is>
          <t>I'm not part of any EdTech association</t>
        </is>
      </c>
      <c r="I973" s="1" t="n"/>
      <c r="J973" s="1" t="inlineStr">
        <is>
          <t>Las Rozas De Madrid</t>
        </is>
      </c>
      <c r="K973" t="inlineStr">
        <is>
          <t>Las Rozas De Madrid</t>
        </is>
      </c>
      <c r="L973" t="inlineStr">
        <is>
          <t>Las Rozas De Madrid, Spain</t>
        </is>
      </c>
      <c r="M973" t="n">
        <v>40.4933095</v>
      </c>
      <c r="N973" t="n">
        <v>-3.8758396</v>
      </c>
      <c r="O973" s="1" t="inlineStr">
        <is>
          <t>Spain</t>
        </is>
      </c>
      <c r="P973" s="1" t="inlineStr">
        <is>
          <t>Portugal, Spain</t>
        </is>
      </c>
      <c r="Q973" s="1" t="inlineStr">
        <is>
          <t>51 to 100</t>
        </is>
      </c>
      <c r="R973" t="inlineStr">
        <is>
          <t>Medium</t>
        </is>
      </c>
      <c r="S973" s="1" t="inlineStr">
        <is>
          <t>Business to Business</t>
        </is>
      </c>
      <c r="T973" s="1" t="inlineStr">
        <is>
          <t>Primary Education, Secondary Education, Lifelong learning/Adult education</t>
        </is>
      </c>
      <c r="U973" s="1" t="inlineStr">
        <is>
          <t>System/Administrative, Student interfacing, Teacher interfacing</t>
        </is>
      </c>
      <c r="V973" s="1" t="n"/>
      <c r="W973" s="1" t="inlineStr">
        <is>
          <t>https://drive.google.com/uc?export=view&amp;id=1wJuYP6KAalYt9L4ZbIyC0lewQ7h6z2bE</t>
        </is>
      </c>
      <c r="X973" s="1" t="inlineStr">
        <is>
          <t>https://drive.google.com/uc?export=view&amp;id=1wJuYP6KAalYt9L4ZbIyC0lewQ7h6z2bE</t>
        </is>
      </c>
      <c r="Y973" t="inlineStr">
        <is>
          <t>https://drive.google.com/uc?export=view&amp;id=1wJuYP6KAalYt9L4ZbIyC0lewQ7h6z2bE</t>
        </is>
      </c>
      <c r="Z973" s="1" t="inlineStr">
        <is>
          <t>https://drive.google.com/uc?export=view&amp;id=1wJuYP6KAalYt9L4ZbIyC0lewQ7h6z2bE</t>
        </is>
      </c>
      <c r="AA973" s="1" t="inlineStr">
        <is>
          <t>Unverified</t>
        </is>
      </c>
      <c r="AB973" s="1" t="n"/>
      <c r="AC973" s="1" t="n"/>
      <c r="AD973" s="10" t="n"/>
      <c r="AE973" s="1" t="n"/>
      <c r="AF973" t="inlineStr">
        <is>
          <t>No</t>
        </is>
      </c>
    </row>
    <row r="974" ht="12.5" customHeight="1">
      <c r="A974" s="6" t="n">
        <v>45181</v>
      </c>
      <c r="B974" s="1" t="inlineStr">
        <is>
          <t>ORG_1226</t>
        </is>
      </c>
      <c r="C974" s="1" t="b">
        <v>1</v>
      </c>
      <c r="D974" s="1" t="inlineStr">
        <is>
          <t>Certifier</t>
        </is>
      </c>
      <c r="E974" s="10" t="inlineStr">
        <is>
          <t>https://certifier.me/</t>
        </is>
      </c>
      <c r="F974" t="inlineStr">
        <is>
          <t>certifier.me</t>
        </is>
      </c>
      <c r="G974" s="1" t="inlineStr">
        <is>
          <t>Certifier is the technology that helps people issue and manage digital credentials. Thanks to Certifier, people can create certificate designs, send credentials to students, manage issued credentials, and explore the analytics about the documents issued. Certifier platform for creating certificates and digital credentials can be used for everything: design, create, issue, and send digital certificates.</t>
        </is>
      </c>
      <c r="H974" s="1" t="inlineStr">
        <is>
          <t>I'm not part of any EdTech association</t>
        </is>
      </c>
      <c r="I974" s="1" t="n"/>
      <c r="J974" s="1" t="inlineStr">
        <is>
          <t>Kraków</t>
        </is>
      </c>
      <c r="K974" t="inlineStr">
        <is>
          <t>Kraków</t>
        </is>
      </c>
      <c r="L974" t="inlineStr">
        <is>
          <t>Kraków, Poland</t>
        </is>
      </c>
      <c r="M974" t="n">
        <v>50.0619474</v>
      </c>
      <c r="N974" t="n">
        <v>19.9368564</v>
      </c>
      <c r="O974" s="1" t="inlineStr">
        <is>
          <t>Poland</t>
        </is>
      </c>
      <c r="P974" s="1" t="inlineStr">
        <is>
          <t>Austria, Belgium, Czechia, Finland, Germany, Italy, Malta, Norway, Poland, Romania, Sweden, Switzerland, United Kingdom</t>
        </is>
      </c>
      <c r="Q974" s="1" t="inlineStr">
        <is>
          <t>0 to 10</t>
        </is>
      </c>
      <c r="R974" t="inlineStr">
        <is>
          <t>Micro</t>
        </is>
      </c>
      <c r="S974" s="1" t="inlineStr">
        <is>
          <t>Business to Business</t>
        </is>
      </c>
      <c r="T974" s="1" t="inlineStr">
        <is>
          <t>Higher Education, Corporate Training, Lifelong learning/Adult education</t>
        </is>
      </c>
      <c r="U974" s="1" t="inlineStr">
        <is>
          <t>Teacher interfacing, System/Administrative</t>
        </is>
      </c>
      <c r="V974" s="1" t="n"/>
      <c r="W974" s="1" t="inlineStr">
        <is>
          <t>https://drive.google.com/uc?export=view&amp;id=1g5hD9HBStTupBYpLTPpZ1JTYzE-A-Sk1</t>
        </is>
      </c>
      <c r="X974" s="1" t="inlineStr">
        <is>
          <t>https://drive.google.com/uc?export=view&amp;id=1g5hD9HBStTupBYpLTPpZ1JTYzE-A-Sk1</t>
        </is>
      </c>
      <c r="Y974" t="inlineStr">
        <is>
          <t>https://drive.google.com/uc?export=view&amp;id=1g5hD9HBStTupBYpLTPpZ1JTYzE-A-Sk1</t>
        </is>
      </c>
      <c r="Z974" s="1" t="inlineStr">
        <is>
          <t>https://drive.google.com/uc?export=view&amp;id=1g5hD9HBStTupBYpLTPpZ1JTYzE-A-Sk1</t>
        </is>
      </c>
      <c r="AA974" s="1" t="inlineStr">
        <is>
          <t>Unverified</t>
        </is>
      </c>
      <c r="AB974" s="1" t="n"/>
      <c r="AC974" s="1" t="n"/>
      <c r="AD974" s="10" t="n"/>
      <c r="AE974" s="1" t="n"/>
      <c r="AF974" s="1" t="inlineStr">
        <is>
          <t>No</t>
        </is>
      </c>
      <c r="AG974" s="1" t="n"/>
      <c r="AH974" s="1" t="n"/>
    </row>
    <row r="975" ht="12.5" customHeight="1">
      <c r="A975" s="6" t="n">
        <v>45181</v>
      </c>
      <c r="B975" s="1" t="inlineStr">
        <is>
          <t>ORG_1492</t>
        </is>
      </c>
      <c r="C975" s="1" t="b">
        <v>1</v>
      </c>
      <c r="D975" s="1" t="inlineStr">
        <is>
          <t>EMPRENDE CONMIGO S.L.</t>
        </is>
      </c>
      <c r="E975" s="10" t="inlineStr">
        <is>
          <t>www.emprendeconmigo.com</t>
        </is>
      </c>
      <c r="F975" t="inlineStr">
        <is>
          <t>emprendeconmigo.com</t>
        </is>
      </c>
      <c r="G975" s="1" t="inlineStr">
        <is>
          <t>We are EDUTECH/LEGALTECH platform focused in hispanic speaking people around the world.</t>
        </is>
      </c>
      <c r="H975" s="1" t="inlineStr">
        <is>
          <t>I'm not part of any EdTech association</t>
        </is>
      </c>
      <c r="I975" s="1" t="n"/>
      <c r="J975" s="1" t="inlineStr">
        <is>
          <t>Madrid</t>
        </is>
      </c>
      <c r="K975" t="inlineStr">
        <is>
          <t>Madrid</t>
        </is>
      </c>
      <c r="L975" t="inlineStr">
        <is>
          <t>Madrid, Spain</t>
        </is>
      </c>
      <c r="M975" t="n">
        <v>40.416782</v>
      </c>
      <c r="N975" t="n">
        <v>-3.703507</v>
      </c>
      <c r="O975" s="1" t="inlineStr">
        <is>
          <t>Spain</t>
        </is>
      </c>
      <c r="P975" s="1" t="inlineStr">
        <is>
          <t>Italy, Netherlands, Spain</t>
        </is>
      </c>
      <c r="Q975" s="1" t="inlineStr">
        <is>
          <t>0 to 10</t>
        </is>
      </c>
      <c r="R975" t="inlineStr">
        <is>
          <t>Micro</t>
        </is>
      </c>
      <c r="S975" s="1" t="inlineStr">
        <is>
          <t>Business to Business</t>
        </is>
      </c>
      <c r="T975" s="1" t="inlineStr">
        <is>
          <t>Lifelong learning/Adult education</t>
        </is>
      </c>
      <c r="U975" s="1" t="inlineStr">
        <is>
          <t>Student interfacing, System/Administrative</t>
        </is>
      </c>
      <c r="V975" s="1" t="n"/>
      <c r="W975" s="1" t="inlineStr">
        <is>
          <t>https://drive.google.com/uc?export=view&amp;id=1TZz0miM3mzZk4BRg06prZdOScbbJa_0r</t>
        </is>
      </c>
      <c r="X975" s="1" t="inlineStr">
        <is>
          <t>https://drive.google.com/uc?export=view&amp;id=1TZz0miM3mzZk4BRg06prZdOScbbJa_0r</t>
        </is>
      </c>
      <c r="Y975" t="inlineStr">
        <is>
          <t>https://drive.google.com/uc?export=view&amp;id=1TZz0miM3mzZk4BRg06prZdOScbbJa_0r</t>
        </is>
      </c>
      <c r="Z975" s="1" t="inlineStr">
        <is>
          <t>https://drive.google.com/uc?export=view&amp;id=1TZz0miM3mzZk4BRg06prZdOScbbJa_0r</t>
        </is>
      </c>
      <c r="AA975" s="1" t="inlineStr">
        <is>
          <t>Unverified</t>
        </is>
      </c>
      <c r="AB975" s="1" t="n"/>
      <c r="AC975" s="1" t="n"/>
      <c r="AD975" s="10" t="n"/>
      <c r="AE975" s="1" t="n"/>
      <c r="AF975" s="1" t="inlineStr">
        <is>
          <t>No</t>
        </is>
      </c>
      <c r="AG975" s="1" t="n"/>
      <c r="AH975" s="1" t="n"/>
    </row>
    <row r="976" ht="12.5" customHeight="1">
      <c r="A976" s="6" t="n">
        <v>45181</v>
      </c>
      <c r="B976" s="1" t="inlineStr">
        <is>
          <t>ORG_1622</t>
        </is>
      </c>
      <c r="C976" s="1" t="b">
        <v>1</v>
      </c>
      <c r="D976" s="1" t="inlineStr">
        <is>
          <t>Gimi - financial superskills for life</t>
        </is>
      </c>
      <c r="E976" s="10" t="inlineStr">
        <is>
          <t>https://gimi.com/sv/</t>
        </is>
      </c>
      <c r="F976" t="inlineStr">
        <is>
          <t>gimi.com/sv</t>
        </is>
      </c>
      <c r="G976" s="1" t="inlineStr">
        <is>
          <t>Gimi's mission is to educate children within financial literacy. Therefore we have developed digital and interactive lessons in our app. The children travel between planets to learn financial literacy, and when they are done with a subject on a planet, there are 10 questions asked and if they answer correct on 5 of them, the alien friend gets enough fuel to travel to the next planet.
The lessons are developed by our expert within digital didactics together with a savings expert, making sure we teach the right things in the right way.</t>
        </is>
      </c>
      <c r="H976" s="1" t="inlineStr">
        <is>
          <t>I'm not part of any EdTech association</t>
        </is>
      </c>
      <c r="I976" s="1" t="n"/>
      <c r="J976" s="1" t="inlineStr">
        <is>
          <t>Stockholm</t>
        </is>
      </c>
      <c r="K976" t="inlineStr">
        <is>
          <t>Stockholm</t>
        </is>
      </c>
      <c r="L976" t="inlineStr">
        <is>
          <t>Stockholm, Sweden</t>
        </is>
      </c>
      <c r="M976" t="n">
        <v>59.3251172</v>
      </c>
      <c r="N976" t="n">
        <v>18.0710935</v>
      </c>
      <c r="O976" s="1" t="inlineStr">
        <is>
          <t>Sweden</t>
        </is>
      </c>
      <c r="P976" s="1" t="inlineStr">
        <is>
          <t>Netherlands, Norway, Sweden</t>
        </is>
      </c>
      <c r="Q976" s="1" t="inlineStr">
        <is>
          <t>11 to 50</t>
        </is>
      </c>
      <c r="R976" t="inlineStr">
        <is>
          <t>Small</t>
        </is>
      </c>
      <c r="S976" s="1" t="inlineStr">
        <is>
          <t>Business to Business, Business to Consumer</t>
        </is>
      </c>
      <c r="T976" s="1" t="inlineStr">
        <is>
          <t>Primary Education, Secondary Education, Lifelong learning/Adult education</t>
        </is>
      </c>
      <c r="U976" s="1" t="inlineStr">
        <is>
          <t>System/Administrative, Student interfacing</t>
        </is>
      </c>
      <c r="V976" s="1" t="n"/>
      <c r="W976" s="1" t="inlineStr">
        <is>
          <t>https://drive.google.com/uc?export=view&amp;id=1KrCc2XIQuQ_Jsqbg63K4XptZY22X-M55</t>
        </is>
      </c>
      <c r="X976" s="1" t="inlineStr">
        <is>
          <t>https://drive.google.com/uc?export=view&amp;id=1KrCc2XIQuQ_Jsqbg63K4XptZY22X-M55</t>
        </is>
      </c>
      <c r="Y976" t="inlineStr">
        <is>
          <t>https://drive.google.com/uc?export=view&amp;id=1KrCc2XIQuQ_Jsqbg63K4XptZY22X-M55</t>
        </is>
      </c>
      <c r="Z976" s="1" t="inlineStr">
        <is>
          <t>https://drive.google.com/uc?export=view&amp;id=1KrCc2XIQuQ_Jsqbg63K4XptZY22X-M55</t>
        </is>
      </c>
      <c r="AA976" s="1" t="inlineStr">
        <is>
          <t>Unverified</t>
        </is>
      </c>
      <c r="AB976" s="1" t="n"/>
      <c r="AC976" s="1" t="n"/>
      <c r="AD976" s="10" t="n"/>
      <c r="AE976" s="1" t="n"/>
      <c r="AF976" s="1" t="inlineStr">
        <is>
          <t>No</t>
        </is>
      </c>
      <c r="AG976" s="1" t="n"/>
      <c r="AH976" s="1" t="n"/>
    </row>
    <row r="977" ht="12.5" customHeight="1">
      <c r="A977" s="6" t="n">
        <v>45181</v>
      </c>
      <c r="B977" s="1" t="inlineStr">
        <is>
          <t>ORG_1723</t>
        </is>
      </c>
      <c r="C977" s="1" t="b">
        <v>1</v>
      </c>
      <c r="D977" s="1" t="inlineStr">
        <is>
          <t>Innobox</t>
        </is>
      </c>
      <c r="E977" s="10" t="inlineStr">
        <is>
          <t>www.innobambini.it</t>
        </is>
      </c>
      <c r="F977" t="inlineStr">
        <is>
          <t>innobambini.it</t>
        </is>
      </c>
      <c r="G977" s="1" t="inlineStr">
        <is>
          <t>Innobox provides materials and video instructions for children 8 - 14 years of age to perform experiments at home. 
Empowering today's growing minds for the STEM careers of tomorrow.
Parents who are STEM professionals wish to offer their children the opportunity to get acquainted with STEM areas but lack the time and materials to present STEM in a home environment. On the other hand, there are parents who are not STEM professionals but see the potential STEM has and wish to present STEM to their children but are afraid they lack the knowledge to do so.</t>
        </is>
      </c>
      <c r="H977" s="1" t="inlineStr">
        <is>
          <t>I'm not part of any EdTech association</t>
        </is>
      </c>
      <c r="I977" s="1" t="n"/>
      <c r="J977" s="1" t="inlineStr">
        <is>
          <t>Kobarid</t>
        </is>
      </c>
      <c r="K977" t="inlineStr">
        <is>
          <t>Kobarid</t>
        </is>
      </c>
      <c r="L977" t="inlineStr">
        <is>
          <t>Kobarid, Slovenia</t>
        </is>
      </c>
      <c r="M977" t="n">
        <v>46.2455462</v>
      </c>
      <c r="N977" t="n">
        <v>13.57917</v>
      </c>
      <c r="O977" s="1" t="inlineStr">
        <is>
          <t>Slovenia</t>
        </is>
      </c>
      <c r="P977" s="1" t="inlineStr">
        <is>
          <t>Austria, Germany, Italy, Slovenia</t>
        </is>
      </c>
      <c r="Q977" s="1" t="inlineStr">
        <is>
          <t>0 to 10</t>
        </is>
      </c>
      <c r="R977" t="inlineStr">
        <is>
          <t>Micro</t>
        </is>
      </c>
      <c r="S977" s="1" t="inlineStr">
        <is>
          <t>Business to Business, Business to Consumer</t>
        </is>
      </c>
      <c r="T977" s="1" t="inlineStr">
        <is>
          <t>Primary Education, Secondary Education</t>
        </is>
      </c>
      <c r="U977" s="1" t="inlineStr">
        <is>
          <t>System/Administrative, Student interfacing</t>
        </is>
      </c>
      <c r="V977" s="1" t="n"/>
      <c r="W977" s="1" t="inlineStr">
        <is>
          <t>https://drive.google.com/uc?export=view&amp;id=1yAgs0RhWpbNnktpmAVQKOCqgsJDxZe7v</t>
        </is>
      </c>
      <c r="X977" s="1" t="inlineStr">
        <is>
          <t>https://drive.google.com/uc?export=view&amp;id=1yAgs0RhWpbNnktpmAVQKOCqgsJDxZe7v</t>
        </is>
      </c>
      <c r="Y977" t="inlineStr">
        <is>
          <t>https://drive.google.com/uc?export=view&amp;id=1yAgs0RhWpbNnktpmAVQKOCqgsJDxZe7v</t>
        </is>
      </c>
      <c r="Z977" s="1" t="inlineStr">
        <is>
          <t>https://drive.google.com/uc?export=view&amp;id=1yAgs0RhWpbNnktpmAVQKOCqgsJDxZe7v</t>
        </is>
      </c>
      <c r="AA977" s="1" t="inlineStr">
        <is>
          <t>Unverified</t>
        </is>
      </c>
      <c r="AB977" s="1" t="n"/>
      <c r="AC977" s="1" t="n"/>
      <c r="AD977" s="10" t="n"/>
      <c r="AE977" s="1" t="n"/>
      <c r="AF977" s="1" t="inlineStr">
        <is>
          <t>No</t>
        </is>
      </c>
      <c r="AG977" s="1" t="n"/>
      <c r="AH977" s="1" t="n"/>
    </row>
    <row r="978" ht="12.5" customHeight="1">
      <c r="A978" s="6" t="n">
        <v>45181</v>
      </c>
      <c r="B978" s="1" t="inlineStr">
        <is>
          <t>ORG_1757</t>
        </is>
      </c>
      <c r="C978" s="1" t="b">
        <v>1</v>
      </c>
      <c r="D978" s="1" t="inlineStr">
        <is>
          <t>Jolly Learning Ltd</t>
        </is>
      </c>
      <c r="E978" s="10" t="inlineStr">
        <is>
          <t>www.jollylearning.co.uk</t>
        </is>
      </c>
      <c r="F978" t="inlineStr">
        <is>
          <t>jollylearning.co.uk</t>
        </is>
      </c>
      <c r="G978" s="1" t="inlineStr">
        <is>
          <t>Our Jolly Phonics programme is used in over 150 countries worldwide, empowering thousands of teachers who transform children's literacy ability. The programme enables teachers to get their children reading and writing from an early age. As the leading synthetic phonics publisher, and the most experienced, we provide a 7-year programme that takes children beyond phonics and integrates spelling, punctuation and grammar too. It the programme that is trusted by thousands of teachers.</t>
        </is>
      </c>
      <c r="H978" s="1" t="inlineStr">
        <is>
          <t>I'm not part of any EdTech association</t>
        </is>
      </c>
      <c r="I978" s="1" t="n"/>
      <c r="J978" s="1" t="inlineStr">
        <is>
          <t>Buckhurst Hill</t>
        </is>
      </c>
      <c r="K978" t="inlineStr">
        <is>
          <t>Buckhurst Hill</t>
        </is>
      </c>
      <c r="L978" t="inlineStr">
        <is>
          <t>Buckhurst Hill, United Kingdom</t>
        </is>
      </c>
      <c r="M978" t="n">
        <v>51.6268617</v>
      </c>
      <c r="N978" t="n">
        <v>0.0415283</v>
      </c>
      <c r="O978" s="1" t="inlineStr">
        <is>
          <t>United Kingdom</t>
        </is>
      </c>
      <c r="P978" s="1" t="inlineStr">
        <is>
          <t>Albania, Austria, Azerbaijan, Belgium, Bosnia and Herzegovina, Bulgaria, Croatia, Cyprus, Czechia, Denmark, Finland, France, Germany, Greece, Hungary, Ireland, Italy, Kazakhstan, Malta, Montenegro, Norway, Poland, Portugal, Romania, Russia, Serbia, Slovakia, Slovenia, Spain, Sweden, Switzerland, Turkey, United Kingdom</t>
        </is>
      </c>
      <c r="Q978" s="1" t="inlineStr">
        <is>
          <t>11 to 50</t>
        </is>
      </c>
      <c r="R978" t="inlineStr">
        <is>
          <t>Small</t>
        </is>
      </c>
      <c r="S978" s="1" t="inlineStr">
        <is>
          <t>Business to Business, Business to Consumer</t>
        </is>
      </c>
      <c r="T978" s="1" t="inlineStr">
        <is>
          <t>Early childhood development (0-5 years), Primary Education</t>
        </is>
      </c>
      <c r="U978" s="1" t="inlineStr">
        <is>
          <t>System/Administrative, Teacher interfacing</t>
        </is>
      </c>
      <c r="V978" s="1" t="n"/>
      <c r="W978" s="1" t="inlineStr">
        <is>
          <t>https://drive.google.com/uc?export=view&amp;id=1Nq-vhycI8ptoSa-MLpCc0_-XczeDOSPG</t>
        </is>
      </c>
      <c r="X978" s="1" t="inlineStr">
        <is>
          <t>https://drive.google.com/uc?export=view&amp;id=1Nq-vhycI8ptoSa-MLpCc0_-XczeDOSPG</t>
        </is>
      </c>
      <c r="Y978" t="inlineStr">
        <is>
          <t>https://drive.google.com/uc?export=view&amp;id=1Nq-vhycI8ptoSa-MLpCc0_-XczeDOSPG</t>
        </is>
      </c>
      <c r="Z978" s="1" t="inlineStr">
        <is>
          <t>https://drive.google.com/uc?export=view&amp;id=1Nq-vhycI8ptoSa-MLpCc0_-XczeDOSPG</t>
        </is>
      </c>
      <c r="AA978" s="1" t="inlineStr">
        <is>
          <t>Unverified</t>
        </is>
      </c>
      <c r="AB978" s="1" t="n"/>
      <c r="AC978" s="1" t="n"/>
      <c r="AD978" s="10" t="n"/>
      <c r="AE978" s="1" t="n"/>
      <c r="AF978" s="1" t="inlineStr">
        <is>
          <t>No</t>
        </is>
      </c>
      <c r="AG978" s="1" t="n"/>
      <c r="AH978" s="1" t="n"/>
    </row>
    <row r="979" ht="12.5" customHeight="1">
      <c r="A979" s="6" t="n">
        <v>45181</v>
      </c>
      <c r="B979" s="1" t="inlineStr">
        <is>
          <t>ORG_1904</t>
        </is>
      </c>
      <c r="C979" s="1" t="b">
        <v>1</v>
      </c>
      <c r="D979" s="1" t="inlineStr">
        <is>
          <t>MAILO</t>
        </is>
      </c>
      <c r="E979" s="10" t="inlineStr">
        <is>
          <t>https://www.mailo.com/</t>
        </is>
      </c>
      <c r="F979" t="inlineStr">
        <is>
          <t>mailo.com</t>
        </is>
      </c>
      <c r="G979" s="1" t="inlineStr">
        <is>
          <t>Complete communication and storage solution: email, calendar, contacts, cloud, office suite, collaboration tools, video conferencing
A member of French Tech, hosted in France and aimed at the general public and professionals, Mailo is particularly well suited to schools, town halls and local authorities.
Mailo offers a set of innovative services that can be accessed on the Web, with the Mailo app or with software and apps on the market (Outlook, Thunderbird, mobile apps, etc.):
- Mail: a high-capacity mailbox with powerful anti-spam, intelligent message sorting and advanced features (deferred sending, recommended e-mail, sending files via links, aliases, message encryption using PGP, etc.)
- Calendar: schedule management, with invitation sending, SMS notification and calendar sharing.
- Address book: organize and share contacts.
- Cloud: online document storage and sharing.
- OnlyOffice office suite: editing text documents, Excel workbooks or presentations online, collaborative work with several people simultaneously on the same document.
- Instant messaging and video conferencing: organize online meetings and conferences for up to 120 participants.
- Organizational tools: tasks, notes, sending SMS, RSS feeds, etc.
* Personalized messaging
Email addresses with your own domain name, which you can buy on Mailo or simply declare if you already have it, a customizable login page with the image of your choice, a personalized webmail with the logo of your entity.
* An easier administration
Centralized management of accounts, easy sharing of address books, agendas and documents, assistance for the installation and migration of accounts, priority hotline, training for elected officials and agents.
* An offer adjusted to real needs
The administrator chooses the number of accounts needed and the associated Mail &amp; Cloud storage capacity, which is freely distributed among the accounts. At any time and at no cost, the subscription can be modified and updated in 2 clicks. Payment is possible by money order. Competitive rates made possible by complete control of costs and technology.
** A free version for schools and colleges
By opening a Mailo Edu account, teachers can help their students discover e-mail in a fun, educational and secure environment. The students, grouped by class, have a scalable interface, adapted to their age. They can only exchange with each other, with their teachers and with the validated contacts in their address book. A storage space allows to share documents with the whole class.
Mailo has been a true messaging specialist for 20 years, allowing optimized management of messaging and data and guaranteeing efficient and responsible use of the Web. With secure hosting in France, the data is not subject to the American CLOUD Act, which authorizes consultation at the first request of the American justice and intelligence services.</t>
        </is>
      </c>
      <c r="H979" s="1" t="inlineStr">
        <is>
          <t>EdTech France</t>
        </is>
      </c>
      <c r="I979" s="1" t="n"/>
      <c r="J979" s="1" t="inlineStr">
        <is>
          <t>Saint-Maur-Des-Fosses</t>
        </is>
      </c>
      <c r="K979" t="inlineStr">
        <is>
          <t>Saint-Maur-Des-Fosses</t>
        </is>
      </c>
      <c r="L979" t="inlineStr">
        <is>
          <t>Saint-Maur-Des-Fosses, France</t>
        </is>
      </c>
      <c r="M979" t="n">
        <v>48.8033057</v>
      </c>
      <c r="N979" t="n">
        <v>2.4853015</v>
      </c>
      <c r="O979" s="1" t="inlineStr">
        <is>
          <t>France</t>
        </is>
      </c>
      <c r="P979" s="1" t="inlineStr">
        <is>
          <t>France</t>
        </is>
      </c>
      <c r="Q979" s="1" t="inlineStr">
        <is>
          <t>11 to 50</t>
        </is>
      </c>
      <c r="R979" t="inlineStr">
        <is>
          <t>Small</t>
        </is>
      </c>
      <c r="S979" s="1" t="inlineStr">
        <is>
          <t>Business to Business, Business to Consumer, Business to Government, Business to Schools</t>
        </is>
      </c>
      <c r="T979" s="1" t="inlineStr">
        <is>
          <t>Early childhood development (0-5 years), Primary Education, Secondary Education, Lifelong learning/Adult education</t>
        </is>
      </c>
      <c r="U979" s="1" t="inlineStr">
        <is>
          <t>System/Administrative, Student interfacing, Teacher interfacing</t>
        </is>
      </c>
      <c r="V979" s="10" t="inlineStr">
        <is>
          <t>Mailo Pro: sovereign Mail &amp; Cloud at the heart of your business</t>
        </is>
      </c>
      <c r="W979" s="10" t="inlineStr">
        <is>
          <t>Mailo Pro is a comprehensive mail service for VSEs &amp; SMEs. It is based on a sovereign platform which respects your privacy.
Mail: a high-capacity mailbox with powerful anti-spam, intelligent message sorting and advanced features (deferred sending, recommended e-mail, sending files by links, aliases, PGP message encryption, etc.). 
- Calendar: schedule management, with invitation sending, SMS notification and calendar sharing.
- Address book: organize and share contacts.
- Cloud: online document storage and sharing.
- OnlyOffice office suite: editing text documents, Excel workbooks or presentations online, collaborative work with several people simultaneously on the same document.
- Instant messaging and video conferencing: organize online meetings and conferences for up to 120 participants.
- Organizational tools: tasks, notes, sending SMS, RSS feeds, etc.
* Personalized messaging
Email addresses with your own domain name, which you can buy on Mailo or simply declare if you already have it, a customizable login page with the image of your choice, a personalized webmail with the logo of your entity.
* An easier administration
Centralized management of accounts, easy sharing of address books, agendas and documents, assistance for the installation and migration of accounts, priority hotline, training for elected officials and agents.
* An offer adjusted to real needs
The administrator chooses the number of accounts needed and the associated Mail &amp; Cloud storage capacity, which is freely distributed among the accounts. At any time and at no cost, the subscription can be modified and updated in 2 clicks. Payment is possible by money order. Competitive rates made possible by complete control of costs and technology.
** A free version for schools and colleges
By opening a Mailo Edu account, teachers can help their students discover e-mail in a fun, educational and secure environment. The students, grouped by class, have a scalable interface, adapted to their age. They can only exchange with each other, with their teachers and with the validated contacts in their address book. A storage space allows them to share documents with the whole class.
Mailo has been a true messaging specialist for 20 years, allowing optimized management of messaging and data and guaranteeing efficient and responsible use of the Web. With secure hosting in France, the data is not subject to the American CLOUD Act, which authorizes consultation at the first request of the American justice and intelligence services.
website:
https://pro.mailo.com/</t>
        </is>
      </c>
      <c r="X979" s="10" t="inlineStr">
        <is>
          <t>Mailo</t>
        </is>
      </c>
      <c r="Y979" t="inlineStr">
        <is>
          <t>Mailo is a whole range of innovative services which protect your privacy and personal data: the most complete webmail on the market, an agenda, a storage space for your photos and documents, organisation tools for the family and professionals. Join the first alternative ethical communication platform!
Website: 
https://mailo.com/</t>
        </is>
      </c>
      <c r="Z979" s="1" t="inlineStr">
        <is>
          <t>https://drive.google.com/uc?export=view&amp;id=1id5DECDQVmqN2uLzb0l5wUL_kejauhXJ</t>
        </is>
      </c>
      <c r="AA979" s="1" t="inlineStr">
        <is>
          <t>Unverified</t>
        </is>
      </c>
      <c r="AB979" s="1" t="n"/>
      <c r="AC979" s="1" t="n"/>
      <c r="AD979" s="10" t="n"/>
      <c r="AE979" s="1" t="n"/>
      <c r="AF979" t="inlineStr">
        <is>
          <t>Yes</t>
        </is>
      </c>
      <c r="AG979" t="inlineStr">
        <is>
          <t>https://www.instagram.com/hellomailo/</t>
        </is>
      </c>
      <c r="AH979" t="inlineStr">
        <is>
          <t>https://twitter.com/HELLOMAILO</t>
        </is>
      </c>
      <c r="AI979" t="inlineStr">
        <is>
          <t>https://fr.linkedin.com/company/mailofr?original_referer=https%3A%2F%2Fwww.google.com%2F</t>
        </is>
      </c>
    </row>
    <row r="980" ht="12.5" customHeight="1">
      <c r="A980" s="6" t="n">
        <v>45181</v>
      </c>
      <c r="B980" s="1" t="inlineStr">
        <is>
          <t>ORG_1915</t>
        </is>
      </c>
      <c r="C980" s="1" t="b">
        <v>1</v>
      </c>
      <c r="D980" s="1" t="inlineStr">
        <is>
          <t>MANUTAN COLLECTIVITÉS</t>
        </is>
      </c>
      <c r="E980" s="10" t="inlineStr">
        <is>
          <t>www.manutan-collectivites.fr</t>
        </is>
      </c>
      <c r="F980" t="inlineStr">
        <is>
          <t>manutan-collectivites.fr</t>
        </is>
      </c>
      <c r="G980" s="1" t="inlineStr">
        <is>
          <t>From more than 40 years, Manutan Collectivités commit its partners and research and development teams to promote new approaches on teaching methods. This has lead to brand new proposals for educative spaces arrangement, new tools and practices in order to achieve best engagement for children and teachers including numeric way of learning.</t>
        </is>
      </c>
      <c r="H980" s="1" t="inlineStr">
        <is>
          <t>I'm not part of any EdTech association</t>
        </is>
      </c>
      <c r="I980" s="1" t="n"/>
      <c r="J980" s="1" t="inlineStr">
        <is>
          <t>Niort</t>
        </is>
      </c>
      <c r="K980" t="inlineStr">
        <is>
          <t>Niort</t>
        </is>
      </c>
      <c r="L980" t="inlineStr">
        <is>
          <t>Niort, France</t>
        </is>
      </c>
      <c r="M980" t="n">
        <v>46.3239233</v>
      </c>
      <c r="N980" t="n">
        <v>-0.4646064</v>
      </c>
      <c r="O980" s="1" t="inlineStr">
        <is>
          <t>France</t>
        </is>
      </c>
      <c r="P980" s="1" t="inlineStr">
        <is>
          <t>France</t>
        </is>
      </c>
      <c r="Q980" s="1" t="inlineStr">
        <is>
          <t>100+</t>
        </is>
      </c>
      <c r="R980" t="inlineStr">
        <is>
          <t>Medium or Large (unspecified)</t>
        </is>
      </c>
      <c r="S980" s="1" t="inlineStr">
        <is>
          <t>Business to Business, Business to Consumer, Business to Government, Business to Schools</t>
        </is>
      </c>
      <c r="T980" s="1" t="inlineStr">
        <is>
          <t>Early childhood development (0-5 years), Primary Education, Secondary Education, Higher Education, Corporate Training, Lifelong learning/Adult education</t>
        </is>
      </c>
      <c r="U980" s="1" t="inlineStr">
        <is>
          <t>System/Administrative, Teacher interfacing, Student interfacing</t>
        </is>
      </c>
      <c r="V980" s="1" t="n"/>
      <c r="W980" s="1" t="inlineStr">
        <is>
          <t>https://drive.google.com/uc?export=view&amp;id=1flWMdRIBhDqOOhp5_ovJjNxDqxsJeZYm</t>
        </is>
      </c>
      <c r="X980" s="1" t="inlineStr">
        <is>
          <t>https://drive.google.com/uc?export=view&amp;id=1flWMdRIBhDqOOhp5_ovJjNxDqxsJeZYm</t>
        </is>
      </c>
      <c r="Y980" t="inlineStr">
        <is>
          <t>https://drive.google.com/uc?export=view&amp;id=1flWMdRIBhDqOOhp5_ovJjNxDqxsJeZYm</t>
        </is>
      </c>
      <c r="Z980" s="1" t="inlineStr">
        <is>
          <t>https://drive.google.com/uc?export=view&amp;id=1flWMdRIBhDqOOhp5_ovJjNxDqxsJeZYm</t>
        </is>
      </c>
      <c r="AA980" s="1" t="inlineStr">
        <is>
          <t>Unverified</t>
        </is>
      </c>
      <c r="AB980" s="1" t="n"/>
      <c r="AC980" s="1" t="n"/>
      <c r="AD980" s="10" t="n"/>
      <c r="AE980" s="1" t="n"/>
      <c r="AF980" t="inlineStr">
        <is>
          <t>No</t>
        </is>
      </c>
    </row>
    <row r="981" ht="12.5" customHeight="1">
      <c r="A981" s="6" t="n">
        <v>45181</v>
      </c>
      <c r="B981" s="1" t="inlineStr">
        <is>
          <t>ORG_1947</t>
        </is>
      </c>
      <c r="C981" s="1" t="b">
        <v>1</v>
      </c>
      <c r="D981" s="1" t="inlineStr">
        <is>
          <t>Memima Baby</t>
        </is>
      </c>
      <c r="E981" s="10" t="inlineStr">
        <is>
          <t>https://memimababy.com/</t>
        </is>
      </c>
      <c r="F981" t="inlineStr">
        <is>
          <t>memimababy.com</t>
        </is>
      </c>
      <c r="G981" s="1" t="inlineStr">
        <is>
          <t>Memima Baby's vision is ambitious: Supercharge tomorrow's brains!
This is a hybrid model B2C &amp; B2B2C, which is providing to fathers/mothers with its unique musical/educational methodology that convert the daily routines into cognitive training. All that through wellbeing, care, and relaxation.
That way, the children can improve their learning skills and linguistic capacities.</t>
        </is>
      </c>
      <c r="H981" s="1" t="inlineStr">
        <is>
          <t>I'm not part of any EdTech association</t>
        </is>
      </c>
      <c r="I981" s="1" t="inlineStr">
        <is>
          <t>English, Spanish, French, Polish, German</t>
        </is>
      </c>
      <c r="J981" s="1" t="inlineStr">
        <is>
          <t>Girona</t>
        </is>
      </c>
      <c r="K981" t="inlineStr">
        <is>
          <t>Girona</t>
        </is>
      </c>
      <c r="L981" t="inlineStr">
        <is>
          <t>Girona, Spain</t>
        </is>
      </c>
      <c r="M981" t="n">
        <v>41.9793006</v>
      </c>
      <c r="N981" t="n">
        <v>2.8199439</v>
      </c>
      <c r="O981" s="1" t="inlineStr">
        <is>
          <t>Spain</t>
        </is>
      </c>
      <c r="P981" s="1" t="inlineStr">
        <is>
          <t>France, Germany, Italy, Poland, Spain, United Kingdom</t>
        </is>
      </c>
      <c r="Q981" s="1" t="inlineStr">
        <is>
          <t>0 to 2</t>
        </is>
      </c>
      <c r="R981" t="inlineStr">
        <is>
          <t>Solo entrepreneur</t>
        </is>
      </c>
      <c r="S981" s="1" t="inlineStr">
        <is>
          <t>Business to Business, Business to Consumer, Business to Government, Business to Schools</t>
        </is>
      </c>
      <c r="T981" s="1" t="inlineStr">
        <is>
          <t>Early childhood development (0-5 years), Primary Education</t>
        </is>
      </c>
      <c r="U981" s="1" t="inlineStr">
        <is>
          <t>System/Administrative, Student interfacing, Teacher interfacing</t>
        </is>
      </c>
      <c r="V981" s="10" t="inlineStr">
        <is>
          <t>Memima Baby</t>
        </is>
      </c>
      <c r="W981" s="1" t="inlineStr">
        <is>
          <t>Unlocking children’s full potential by eliciting affective early brain musicalization from birth</t>
        </is>
      </c>
      <c r="X981" s="10" t="inlineStr">
        <is>
          <t>https://drive.google.com/uc?export=view&amp;id=1vN2ye37nhonXTji71fFuUOyp8BukmIki</t>
        </is>
      </c>
      <c r="Y981" t="inlineStr">
        <is>
          <t>https://drive.google.com/uc?export=view&amp;id=1vN2ye37nhonXTji71fFuUOyp8BukmIki</t>
        </is>
      </c>
      <c r="Z981" s="1" t="inlineStr">
        <is>
          <t>https://drive.google.com/uc?export=view&amp;id=1vN2ye37nhonXTji71fFuUOyp8BukmIki</t>
        </is>
      </c>
      <c r="AA981" s="1" t="inlineStr">
        <is>
          <t>Unverified</t>
        </is>
      </c>
      <c r="AB981" s="1" t="n"/>
      <c r="AC981" s="1" t="n"/>
      <c r="AD981" s="10" t="n"/>
      <c r="AE981" s="1" t="n"/>
      <c r="AF981" s="1" t="inlineStr">
        <is>
          <t>Yes</t>
        </is>
      </c>
      <c r="AG981" s="1" t="inlineStr">
        <is>
          <t>https://www.linkedin.com/company/memimababy/</t>
        </is>
      </c>
      <c r="AH981" s="1" t="inlineStr">
        <is>
          <t>https://www.linkedin.com/company/memimababy/</t>
        </is>
      </c>
      <c r="AI981" t="inlineStr">
        <is>
          <t>https://www.linkedin.com/company/memimababy/</t>
        </is>
      </c>
    </row>
    <row r="982" ht="12.5" customHeight="1">
      <c r="A982" s="6" t="n">
        <v>45181</v>
      </c>
      <c r="B982" s="1" t="inlineStr">
        <is>
          <t>ORG_1957</t>
        </is>
      </c>
      <c r="C982" s="1" t="b">
        <v>1</v>
      </c>
      <c r="D982" s="1" t="inlineStr">
        <is>
          <t>Mersys</t>
        </is>
      </c>
      <c r="E982" s="10" t="inlineStr">
        <is>
          <t>http://mersys.io/</t>
        </is>
      </c>
      <c r="F982" t="inlineStr">
        <is>
          <t>mersys.io</t>
        </is>
      </c>
      <c r="G982" s="1" t="inlineStr">
        <is>
          <t>Mersys is a German EdTech company with global presence.
At Mersys we aim to be at the heart of the learning process. 
Mersys's products serve to enhance the educational processes and augmenting all the participants of these educational processes (teachers, administration and students) by using ethical AI and innovative software solutions.</t>
        </is>
      </c>
      <c r="H982" s="1" t="inlineStr">
        <is>
          <t>I'm not part of any EdTech association</t>
        </is>
      </c>
      <c r="I982" s="1" t="n"/>
      <c r="J982" s="1" t="inlineStr">
        <is>
          <t>Neu Isenburg</t>
        </is>
      </c>
      <c r="K982" t="inlineStr">
        <is>
          <t>Neu Isenburg</t>
        </is>
      </c>
      <c r="L982" t="inlineStr">
        <is>
          <t>Neu Isenburg, Germany</t>
        </is>
      </c>
      <c r="M982" t="n">
        <v>50.0464196</v>
      </c>
      <c r="N982" t="n">
        <v>8.6717748</v>
      </c>
      <c r="O982" s="1" t="inlineStr">
        <is>
          <t>Germany</t>
        </is>
      </c>
      <c r="P982" s="1" t="inlineStr">
        <is>
          <t>Germany, Greece, Kazakhstan, Turkey</t>
        </is>
      </c>
      <c r="Q982" s="1" t="inlineStr">
        <is>
          <t>11 to 50</t>
        </is>
      </c>
      <c r="R982" t="inlineStr">
        <is>
          <t>Small</t>
        </is>
      </c>
      <c r="S982" s="1" t="inlineStr">
        <is>
          <t>Business to Business, Business to Consumer, Business to Government, Business to Schools</t>
        </is>
      </c>
      <c r="T982" s="1" t="inlineStr">
        <is>
          <t>Primary Education, Secondary Education, Higher Education</t>
        </is>
      </c>
      <c r="U982" s="1" t="inlineStr">
        <is>
          <t>Student interfacing, Teacher interfacing, System/Administrative</t>
        </is>
      </c>
      <c r="V982" s="1" t="n"/>
      <c r="W982" s="1" t="inlineStr">
        <is>
          <t>https://drive.google.com/uc?export=view&amp;id=1ysrz3iV5-0ATDEkOwM6Q5tydS05Jkd29</t>
        </is>
      </c>
      <c r="X982" s="1" t="inlineStr">
        <is>
          <t>https://drive.google.com/uc?export=view&amp;id=1ysrz3iV5-0ATDEkOwM6Q5tydS05Jkd29</t>
        </is>
      </c>
      <c r="Y982" t="inlineStr">
        <is>
          <t>https://drive.google.com/uc?export=view&amp;id=1ysrz3iV5-0ATDEkOwM6Q5tydS05Jkd29</t>
        </is>
      </c>
      <c r="Z982" s="1" t="inlineStr">
        <is>
          <t>https://drive.google.com/uc?export=view&amp;id=1ysrz3iV5-0ATDEkOwM6Q5tydS05Jkd29</t>
        </is>
      </c>
      <c r="AA982" s="1" t="inlineStr">
        <is>
          <t>Unverified</t>
        </is>
      </c>
      <c r="AB982" s="1" t="n"/>
      <c r="AC982" s="1" t="n"/>
      <c r="AD982" s="10" t="n"/>
      <c r="AE982" s="1" t="n"/>
      <c r="AF982" t="inlineStr">
        <is>
          <t>No</t>
        </is>
      </c>
    </row>
    <row r="983" ht="12.5" customHeight="1">
      <c r="A983" s="6" t="n">
        <v>45181</v>
      </c>
      <c r="B983" s="1" t="inlineStr">
        <is>
          <t>ORG_1972</t>
        </is>
      </c>
      <c r="C983" s="1" t="b">
        <v>1</v>
      </c>
      <c r="D983" s="1" t="inlineStr">
        <is>
          <t>Mobi Lab</t>
        </is>
      </c>
      <c r="E983" s="10" t="inlineStr">
        <is>
          <t>https://lab.mobi/realitymaker</t>
        </is>
      </c>
      <c r="F983" t="inlineStr">
        <is>
          <t>lab.mobi/realitymaker</t>
        </is>
      </c>
      <c r="G983" s="1" t="inlineStr">
        <is>
          <t>Mobi Lab AR helps businesses make physical locations more valuable to people by displaying virtual content such as 3D models, images, videos and audio in augmented reality.
Whether the content is educational 3D geometric objects in classrooms, engaging 3D stories of cultural heritage in the streets, or quickly accessible 3D guidance in a physical work environment.</t>
        </is>
      </c>
      <c r="H983" s="1" t="inlineStr">
        <is>
          <t>EdTech Estonia</t>
        </is>
      </c>
      <c r="I983" s="1" t="n"/>
      <c r="J983" s="1" t="inlineStr">
        <is>
          <t>Tartu</t>
        </is>
      </c>
      <c r="K983" t="inlineStr">
        <is>
          <t>Tartu</t>
        </is>
      </c>
      <c r="L983" t="inlineStr">
        <is>
          <t>Tartu, Estonia</t>
        </is>
      </c>
      <c r="M983" t="n">
        <v>58.3779528</v>
      </c>
      <c r="N983" t="n">
        <v>26.7290023</v>
      </c>
      <c r="O983" s="1" t="inlineStr">
        <is>
          <t>Estonia</t>
        </is>
      </c>
      <c r="P983" s="1" t="inlineStr">
        <is>
          <t>Estonia</t>
        </is>
      </c>
      <c r="Q983" s="1" t="inlineStr">
        <is>
          <t>11 to 50</t>
        </is>
      </c>
      <c r="R983" t="inlineStr">
        <is>
          <t>Small</t>
        </is>
      </c>
      <c r="S983" s="1" t="inlineStr">
        <is>
          <t>Business to Business, Business to Consumer, Business to Government, Business to Schools</t>
        </is>
      </c>
      <c r="T983" s="1" t="inlineStr">
        <is>
          <t>Early childhood development (0-5 years), Primary Education, Secondary Education, Higher Education, Corporate Training, Lifelong learning/Adult education</t>
        </is>
      </c>
      <c r="U983" s="1" t="inlineStr">
        <is>
          <t>System/Administrative</t>
        </is>
      </c>
      <c r="V983" s="10" t="inlineStr">
        <is>
          <t>Reality Maker</t>
        </is>
      </c>
      <c r="W983" s="10" t="inlineStr">
        <is>
          <t>Add value to physical locations by displaying virtual content in augmented reality. Content like educational 3D objects in classrooms, engaging 3D stories of cultural heritage in streets, or quickly accessible 3D guidance in work environments.</t>
        </is>
      </c>
      <c r="X983" s="10" t="inlineStr">
        <is>
          <t>https://drive.google.com/uc?export=view&amp;id=1TNFiNdVPEJONDt_bQIub7B2A1Ksi0j1N</t>
        </is>
      </c>
      <c r="Y983" t="inlineStr">
        <is>
          <t>https://drive.google.com/uc?export=view&amp;id=1TNFiNdVPEJONDt_bQIub7B2A1Ksi0j1N</t>
        </is>
      </c>
      <c r="Z983" s="1" t="inlineStr">
        <is>
          <t>https://drive.google.com/uc?export=view&amp;id=1TNFiNdVPEJONDt_bQIub7B2A1Ksi0j1N</t>
        </is>
      </c>
      <c r="AA983" s="1" t="inlineStr">
        <is>
          <t>Unverified</t>
        </is>
      </c>
      <c r="AB983" s="1" t="n"/>
      <c r="AC983" s="1" t="n"/>
      <c r="AD983" s="10" t="n"/>
      <c r="AE983" s="1" t="n"/>
      <c r="AF983" s="1" t="inlineStr">
        <is>
          <t>Yes</t>
        </is>
      </c>
      <c r="AG983" s="1" t="inlineStr">
        <is>
          <t>https://www.instagram.com/lab.mobi/</t>
        </is>
      </c>
      <c r="AH983" s="1" t="inlineStr">
        <is>
          <t>https://twitter.com/labmobi</t>
        </is>
      </c>
      <c r="AI983" t="inlineStr">
        <is>
          <t>https://www.linkedin.com/company/mobi-lab/</t>
        </is>
      </c>
    </row>
    <row r="984" ht="12.5" customHeight="1">
      <c r="A984" s="6" t="n">
        <v>45181</v>
      </c>
      <c r="B984" s="1" t="inlineStr">
        <is>
          <t>ORG_2130</t>
        </is>
      </c>
      <c r="C984" s="1" t="b">
        <v>1</v>
      </c>
      <c r="D984" s="1" t="inlineStr">
        <is>
          <t>PROSFY</t>
        </is>
      </c>
      <c r="E984" s="10" t="inlineStr">
        <is>
          <t>WWW.PROSFY.COM</t>
        </is>
      </c>
      <c r="F984" t="inlineStr">
        <is>
          <t>prosfy.com</t>
        </is>
      </c>
      <c r="G984" s="1" t="inlineStr">
        <is>
          <t>Prosfy datifies and quantifies human capital with the sole purpose of helping professionals boost their value</t>
        </is>
      </c>
      <c r="H984" s="1" t="inlineStr">
        <is>
          <t>I'm not part of any EdTech association</t>
        </is>
      </c>
      <c r="I984" s="1" t="inlineStr">
        <is>
          <t>English, Spanish, German, Portuguese, French, Italian</t>
        </is>
      </c>
      <c r="J984" s="1" t="inlineStr">
        <is>
          <t>Malaga</t>
        </is>
      </c>
      <c r="K984" t="inlineStr">
        <is>
          <t>Malaga</t>
        </is>
      </c>
      <c r="L984" t="inlineStr">
        <is>
          <t>Malaga, Spain</t>
        </is>
      </c>
      <c r="M984" t="n">
        <v>36.7647913</v>
      </c>
      <c r="N984" t="n">
        <v>-4.4422005</v>
      </c>
      <c r="O984" s="1" t="inlineStr">
        <is>
          <t>Spain</t>
        </is>
      </c>
      <c r="P984" s="1" t="inlineStr">
        <is>
          <t>Austria, Croatia, Germany, Ireland, Netherlands, Portugal, Spain, Sweden, Switzerland, United Kingdom</t>
        </is>
      </c>
      <c r="Q984" s="1" t="inlineStr">
        <is>
          <t>3 to 5</t>
        </is>
      </c>
      <c r="R984" t="inlineStr">
        <is>
          <t>Micro</t>
        </is>
      </c>
      <c r="S984" s="1" t="inlineStr">
        <is>
          <t>Business to Business, Business to Consumer, Business to Government, Business to Schools</t>
        </is>
      </c>
      <c r="T984" s="1" t="inlineStr">
        <is>
          <t>Corporate Training, Lifelong learning/Adult education, Vocational Education and Training (VET), Higher Education</t>
        </is>
      </c>
      <c r="U984" s="1" t="inlineStr">
        <is>
          <t>Teacher interfacing, System/Administrative, Student interfacing</t>
        </is>
      </c>
      <c r="V984" s="1" t="inlineStr">
        <is>
          <t>PROSFY</t>
        </is>
      </c>
      <c r="W984" s="1" t="inlineStr">
        <is>
          <t>An app that monitors the labor market for professionals and companies.</t>
        </is>
      </c>
      <c r="X984" s="10" t="inlineStr">
        <is>
          <t>https://drive.google.com/uc?export=view&amp;id=17BYjOyVvgjxrJ4imQz_SfMlZUmOEtVaK</t>
        </is>
      </c>
      <c r="Y984" t="inlineStr">
        <is>
          <t>https://drive.google.com/uc?export=view&amp;id=17BYjOyVvgjxrJ4imQz_SfMlZUmOEtVaK</t>
        </is>
      </c>
      <c r="Z984" s="1" t="inlineStr">
        <is>
          <t>https://drive.google.com/uc?export=view&amp;id=17BYjOyVvgjxrJ4imQz_SfMlZUmOEtVaK</t>
        </is>
      </c>
      <c r="AA984" s="1" t="inlineStr">
        <is>
          <t>Unverified</t>
        </is>
      </c>
      <c r="AB984" s="1" t="n"/>
      <c r="AC984" s="1" t="n"/>
      <c r="AD984" s="10" t="n"/>
      <c r="AE984" s="1" t="n"/>
      <c r="AF984" s="1" t="inlineStr">
        <is>
          <t>Yes</t>
        </is>
      </c>
      <c r="AG984" s="1" t="inlineStr">
        <is>
          <t>https://www.linkedin.com/company/prosfy/</t>
        </is>
      </c>
      <c r="AH984" s="1" t="inlineStr">
        <is>
          <t>https://www.linkedin.com/company/prosfy/</t>
        </is>
      </c>
      <c r="AI984" t="inlineStr">
        <is>
          <t>https://www.linkedin.com/company/prosfy/</t>
        </is>
      </c>
    </row>
    <row r="985" ht="12.5" customHeight="1">
      <c r="A985" s="6" t="n">
        <v>45181</v>
      </c>
      <c r="B985" s="1" t="inlineStr">
        <is>
          <t>ORG_2462</t>
        </is>
      </c>
      <c r="C985" s="1" t="b">
        <v>1</v>
      </c>
      <c r="D985" s="1" t="inlineStr">
        <is>
          <t>UniHelper</t>
        </is>
      </c>
      <c r="E985" s="10" t="inlineStr">
        <is>
          <t>https://www.unihelper.dk/?lang=en</t>
        </is>
      </c>
      <c r="F985" t="inlineStr">
        <is>
          <t>unihelper.dk/?lang=en</t>
        </is>
      </c>
      <c r="G985" s="1" t="inlineStr">
        <is>
          <t>Study groups and group work in HE lead to many both social and academic benefits for students.
Sadly, many students won't experience these benefits, because it is extremely complex and time-consuming for the educators to create the groups.
That’s why we created UniHelper - a service for educators, that streamlines and automates the group formation process, meaning both students and educators can experience the many benefits of group work, without all the hassle.</t>
        </is>
      </c>
      <c r="H985" s="1" t="inlineStr">
        <is>
          <t>EdTech Denmark</t>
        </is>
      </c>
      <c r="I985" s="1" t="n"/>
      <c r="J985" s="1" t="inlineStr">
        <is>
          <t>Aarhus</t>
        </is>
      </c>
      <c r="K985" t="inlineStr">
        <is>
          <t>Aarhus</t>
        </is>
      </c>
      <c r="L985" t="inlineStr">
        <is>
          <t>Aarhus, Denmark</t>
        </is>
      </c>
      <c r="M985" t="n">
        <v>56.1496278</v>
      </c>
      <c r="N985" t="n">
        <v>10.2134046</v>
      </c>
      <c r="O985" s="1" t="inlineStr">
        <is>
          <t>Denmark</t>
        </is>
      </c>
      <c r="P985" s="1" t="inlineStr">
        <is>
          <t>Denmark</t>
        </is>
      </c>
      <c r="Q985" s="1" t="inlineStr">
        <is>
          <t>0 to 10</t>
        </is>
      </c>
      <c r="R985" t="inlineStr">
        <is>
          <t>Micro</t>
        </is>
      </c>
      <c r="S985" s="1" t="inlineStr">
        <is>
          <t>Business to Business, Business to Schools</t>
        </is>
      </c>
      <c r="T985" s="1" t="inlineStr">
        <is>
          <t>Higher Education</t>
        </is>
      </c>
      <c r="U985" s="1" t="inlineStr">
        <is>
          <t>Teacher interfacing</t>
        </is>
      </c>
      <c r="V985" s="1" t="inlineStr">
        <is>
          <t>UniHelper</t>
        </is>
      </c>
      <c r="W985" s="1" t="inlineStr">
        <is>
          <t>A service for educators, that streamlines and automates the group formation process, meaning both students and educators can experience the many benefits of group work, without all the hassle.</t>
        </is>
      </c>
      <c r="X985" s="10" t="inlineStr">
        <is>
          <t>https://drive.google.com/uc?export=view&amp;id=1-8P1xcEz6pcTWp9tTeJW8yAe-r41EYpm</t>
        </is>
      </c>
      <c r="Y985" t="inlineStr">
        <is>
          <t>https://drive.google.com/uc?export=view&amp;id=1-8P1xcEz6pcTWp9tTeJW8yAe-r41EYpm</t>
        </is>
      </c>
      <c r="Z985" s="1" t="inlineStr">
        <is>
          <t>https://drive.google.com/uc?export=view&amp;id=1-8P1xcEz6pcTWp9tTeJW8yAe-r41EYpm</t>
        </is>
      </c>
      <c r="AA985" s="1" t="inlineStr">
        <is>
          <t>Unverified</t>
        </is>
      </c>
      <c r="AB985" s="1" t="n"/>
      <c r="AC985" s="1" t="n"/>
      <c r="AD985" s="10" t="n"/>
      <c r="AE985" s="1" t="n"/>
      <c r="AF985" s="1" t="inlineStr">
        <is>
          <t>Yes</t>
        </is>
      </c>
      <c r="AG985" s="1" t="inlineStr">
        <is>
          <t>https://www.linkedin.com/company/unihelper/?viewAsMember=true</t>
        </is>
      </c>
      <c r="AH985" s="1" t="inlineStr">
        <is>
          <t>https://www.linkedin.com/company/unihelper/?viewAsMember=true</t>
        </is>
      </c>
      <c r="AI985" t="inlineStr">
        <is>
          <t>https://www.linkedin.com/company/unihelper/?viewAsMember=true</t>
        </is>
      </c>
    </row>
    <row r="986" ht="12.5" customHeight="1">
      <c r="A986" s="6" t="n">
        <v>45181</v>
      </c>
      <c r="B986" s="1" t="inlineStr">
        <is>
          <t>ORG_2476</t>
        </is>
      </c>
      <c r="C986" s="1" t="b">
        <v>1</v>
      </c>
      <c r="D986" s="1" t="inlineStr">
        <is>
          <t>Uptech</t>
        </is>
      </c>
      <c r="E986" s="10" t="inlineStr">
        <is>
          <t>https://www.uptech.team/</t>
        </is>
      </c>
      <c r="F986" t="inlineStr">
        <is>
          <t>uptech.team</t>
        </is>
      </c>
      <c r="G986" s="1" t="inlineStr">
        <is>
          <t>Product Development Company where ideas and expertise meet to become great edtech solutions. 
We help design, create, and develop ideas from napkin sketches to full-fledged edtech products. Everyone from early-stage startups to established companies can address us. Combining our creativity, domain expertise, and product development approach, we deliver edtech products that make a difference.</t>
        </is>
      </c>
      <c r="H986" s="1" t="inlineStr">
        <is>
          <t>I'm not part of any EdTech association</t>
        </is>
      </c>
      <c r="I986" s="1" t="n"/>
      <c r="J986" s="1" t="inlineStr">
        <is>
          <t>Lviv</t>
        </is>
      </c>
      <c r="K986" t="inlineStr">
        <is>
          <t>Lviv</t>
        </is>
      </c>
      <c r="L986" t="inlineStr">
        <is>
          <t>Lviv, Ukraine</t>
        </is>
      </c>
      <c r="M986" t="n">
        <v>49.841952</v>
      </c>
      <c r="N986" t="n">
        <v>24.0315921</v>
      </c>
      <c r="O986" s="1" t="inlineStr">
        <is>
          <t>Ukraine</t>
        </is>
      </c>
      <c r="P986" s="1" t="inlineStr">
        <is>
          <t>Netherlands, Norway, Poland, Sweden, Ukraine, United Kingdom</t>
        </is>
      </c>
      <c r="Q986" s="1" t="inlineStr">
        <is>
          <t>51 to 100</t>
        </is>
      </c>
      <c r="R986" t="inlineStr">
        <is>
          <t>Medium</t>
        </is>
      </c>
      <c r="S986" s="1" t="inlineStr">
        <is>
          <t>Business to Consumer</t>
        </is>
      </c>
      <c r="T986" s="1" t="inlineStr">
        <is>
          <t>Early childhood development (0-5 years), Secondary Education, Corporate Training, Lifelong learning/Adult education</t>
        </is>
      </c>
      <c r="U986" s="1" t="inlineStr">
        <is>
          <t>System/Administrative</t>
        </is>
      </c>
      <c r="V986" s="1" t="n"/>
      <c r="W986" s="1" t="inlineStr">
        <is>
          <t>https://drive.google.com/uc?export=view&amp;id=1oOqnZkcX7aBkFQNjWldm3AU4x2UajYfS</t>
        </is>
      </c>
      <c r="X986" s="1" t="inlineStr">
        <is>
          <t>https://drive.google.com/uc?export=view&amp;id=1oOqnZkcX7aBkFQNjWldm3AU4x2UajYfS</t>
        </is>
      </c>
      <c r="Y986" t="inlineStr">
        <is>
          <t>https://drive.google.com/uc?export=view&amp;id=1oOqnZkcX7aBkFQNjWldm3AU4x2UajYfS</t>
        </is>
      </c>
      <c r="Z986" s="1" t="inlineStr">
        <is>
          <t>https://drive.google.com/uc?export=view&amp;id=1oOqnZkcX7aBkFQNjWldm3AU4x2UajYfS</t>
        </is>
      </c>
      <c r="AA986" s="1" t="inlineStr">
        <is>
          <t>Unverified</t>
        </is>
      </c>
      <c r="AB986" s="1" t="n"/>
      <c r="AC986" s="1" t="n"/>
      <c r="AD986" s="10" t="n"/>
      <c r="AE986" s="1" t="n"/>
      <c r="AF986" t="inlineStr">
        <is>
          <t>No</t>
        </is>
      </c>
    </row>
    <row r="987" ht="12.5" customHeight="1">
      <c r="A987" s="6" t="n">
        <v>45181</v>
      </c>
      <c r="B987" s="1" t="inlineStr">
        <is>
          <t>ORG_2489</t>
        </is>
      </c>
      <c r="C987" s="1" t="b">
        <v>1</v>
      </c>
      <c r="D987" s="1" t="inlineStr">
        <is>
          <t>vicole</t>
        </is>
      </c>
      <c r="E987" s="10" t="inlineStr">
        <is>
          <t>www.vicole.de</t>
        </is>
      </c>
      <c r="F987" t="inlineStr">
        <is>
          <t>vicole.de</t>
        </is>
      </c>
      <c r="G987" s="1" t="inlineStr">
        <is>
          <t>Vicole is the cloud based digital class room solution covering all relevant use cases for video conferencing and file sharing with a strong focus on data security. All based on open source and open standards.</t>
        </is>
      </c>
      <c r="H987" s="1" t="inlineStr">
        <is>
          <t>I'm not part of any EdTech association</t>
        </is>
      </c>
      <c r="I987" s="1" t="n"/>
      <c r="J987" s="1" t="inlineStr">
        <is>
          <t>München</t>
        </is>
      </c>
      <c r="K987" t="inlineStr">
        <is>
          <t>München</t>
        </is>
      </c>
      <c r="L987" t="inlineStr">
        <is>
          <t>München, Germany</t>
        </is>
      </c>
      <c r="M987" t="n">
        <v>48.1371079</v>
      </c>
      <c r="N987" t="n">
        <v>11.5753822</v>
      </c>
      <c r="O987" s="1" t="inlineStr">
        <is>
          <t>Germany</t>
        </is>
      </c>
      <c r="P987" s="1" t="inlineStr">
        <is>
          <t>Austria, Germany, Ireland, Italy, Netherlands, Portugal, Switzerland, United Kingdom</t>
        </is>
      </c>
      <c r="Q987" s="1" t="inlineStr">
        <is>
          <t>11 to 50</t>
        </is>
      </c>
      <c r="R987" t="inlineStr">
        <is>
          <t>Small</t>
        </is>
      </c>
      <c r="S987" s="1" t="inlineStr">
        <is>
          <t>Business to Consumer</t>
        </is>
      </c>
      <c r="T987" s="1" t="inlineStr">
        <is>
          <t>Primary Education, Secondary Education, Higher Education, Corporate Training, Lifelong learning/Adult education</t>
        </is>
      </c>
      <c r="U987" s="1" t="inlineStr">
        <is>
          <t>Student interfacing, Teacher interfacing, System/Administrative</t>
        </is>
      </c>
      <c r="V987" s="1" t="n"/>
      <c r="W987" s="1" t="inlineStr">
        <is>
          <t>https://drive.google.com/uc?export=view&amp;id=1druVqdZxywwnjXbePIyQFHw31yN69NnP</t>
        </is>
      </c>
      <c r="X987" s="1" t="inlineStr">
        <is>
          <t>https://drive.google.com/uc?export=view&amp;id=1druVqdZxywwnjXbePIyQFHw31yN69NnP</t>
        </is>
      </c>
      <c r="Y987" t="inlineStr">
        <is>
          <t>https://drive.google.com/uc?export=view&amp;id=1druVqdZxywwnjXbePIyQFHw31yN69NnP</t>
        </is>
      </c>
      <c r="Z987" s="1" t="inlineStr">
        <is>
          <t>https://drive.google.com/uc?export=view&amp;id=1druVqdZxywwnjXbePIyQFHw31yN69NnP</t>
        </is>
      </c>
      <c r="AA987" s="1" t="inlineStr">
        <is>
          <t>Unverified</t>
        </is>
      </c>
      <c r="AB987" s="1" t="n"/>
      <c r="AC987" s="1" t="n"/>
      <c r="AD987" s="10" t="n"/>
      <c r="AE987" s="1" t="n"/>
      <c r="AF987" t="inlineStr">
        <is>
          <t>No</t>
        </is>
      </c>
    </row>
    <row r="988" ht="12.5" customHeight="1">
      <c r="A988" s="6" t="n">
        <v>45181</v>
      </c>
      <c r="B988" s="1" t="inlineStr">
        <is>
          <t>ORG_2547</t>
        </is>
      </c>
      <c r="C988" s="1" t="b">
        <v>1</v>
      </c>
      <c r="D988" s="1" t="inlineStr">
        <is>
          <t>Woonoz</t>
        </is>
      </c>
      <c r="E988" s="10" t="inlineStr">
        <is>
          <t>www.woonoz.com</t>
        </is>
      </c>
      <c r="F988" t="inlineStr">
        <is>
          <t>woonoz.com</t>
        </is>
      </c>
      <c r="G988" s="1" t="inlineStr">
        <is>
          <t>Woonoz creates the world’s most memorized training programs. Did you know that 80% of information delivered as part of a training programme is forgotten within 7 days ? Driven by the ambition to help people develop through knowledge, Woonoz has created an e-learning solution that brings an answer to this problem: Memory Anchoring®. This technology is based on the latest research in neurosciences and on the mechanisms that govern memory and memorisation. It aims at maximising the retention rate of information as well as reinforcing the impact of a training program. Relying on artificial intelligence, our Memory Anchoring® engine is unique in that it adapts in real time to the specific way each participant learns and their exact level and pace of learning. Our technology gives a training journey tailored to each learner, letting him or her focus on their weaknesses without losing time on already memorized content.</t>
        </is>
      </c>
      <c r="H988" s="1" t="inlineStr">
        <is>
          <t>EdTech France</t>
        </is>
      </c>
      <c r="I988" s="1" t="n"/>
      <c r="J988" s="1" t="inlineStr">
        <is>
          <t>Lyon</t>
        </is>
      </c>
      <c r="K988" t="inlineStr">
        <is>
          <t>Lyon</t>
        </is>
      </c>
      <c r="L988" t="inlineStr">
        <is>
          <t>Lyon, France</t>
        </is>
      </c>
      <c r="M988" t="n">
        <v>45.7578137</v>
      </c>
      <c r="N988" t="n">
        <v>4.8320114</v>
      </c>
      <c r="O988" s="1" t="inlineStr">
        <is>
          <t>France</t>
        </is>
      </c>
      <c r="P988" s="1" t="inlineStr">
        <is>
          <t>France, Germany, Italy, Luxembourg, Netherlands, Portugal, Romania, Spain, Switzerland, United Kingdom</t>
        </is>
      </c>
      <c r="Q988" s="1" t="inlineStr">
        <is>
          <t>101 to 500</t>
        </is>
      </c>
      <c r="R988" t="inlineStr">
        <is>
          <t>Medium or Large (unspecified)</t>
        </is>
      </c>
      <c r="S988" s="1" t="inlineStr">
        <is>
          <t>Business to Government</t>
        </is>
      </c>
      <c r="T988" s="1" t="inlineStr">
        <is>
          <t>Corporate Training, Lifelong learning/Adult education</t>
        </is>
      </c>
      <c r="U988" s="1" t="inlineStr">
        <is>
          <t>System/Administrative</t>
        </is>
      </c>
      <c r="V988" s="1" t="inlineStr">
        <is>
          <t>Bespoke Memory Anchoring® training</t>
        </is>
      </c>
      <c r="W988" s="10" t="inlineStr">
        <is>
          <t>Memory Anchoring® techniques are universal and can be adapted to all types of training. As a result, Woonoz can propose tailored training modules that satisfy the exact requirements of your training project. We design together the training that is best suited to your objectives and you benefit from a proven project management methodology. The lead time is controlled (25-50 days production). Together, we determine whether it is relevant to associate the modules with classroom/workshop training sessions to implement the most efficient blended learning solution.</t>
        </is>
      </c>
      <c r="X988" s="10" t="inlineStr">
        <is>
          <t>https://drive.google.com/uc?export=view&amp;id=1YJcY3evg4ew4L85G9TNh5bNU_YaITTol</t>
        </is>
      </c>
      <c r="Y988" t="inlineStr">
        <is>
          <t>https://drive.google.com/uc?export=view&amp;id=1YJcY3evg4ew4L85G9TNh5bNU_YaITTol</t>
        </is>
      </c>
      <c r="Z988" s="1" t="inlineStr">
        <is>
          <t>https://drive.google.com/uc?export=view&amp;id=1YJcY3evg4ew4L85G9TNh5bNU_YaITTol</t>
        </is>
      </c>
      <c r="AA988" s="1" t="inlineStr">
        <is>
          <t>Unverified</t>
        </is>
      </c>
      <c r="AB988" s="1" t="n"/>
      <c r="AC988" s="1" t="n"/>
      <c r="AD988" s="10" t="n"/>
      <c r="AE988" s="1" t="n"/>
      <c r="AF988" t="inlineStr">
        <is>
          <t>Yes</t>
        </is>
      </c>
      <c r="AG988" t="inlineStr">
        <is>
          <t>https://twitter.com/woonoz</t>
        </is>
      </c>
      <c r="AH988" t="inlineStr">
        <is>
          <t>https://twitter.com/woonoz</t>
        </is>
      </c>
      <c r="AI988" t="inlineStr">
        <is>
          <t>https://www.linkedin.com/company/2967089/</t>
        </is>
      </c>
    </row>
    <row r="989" ht="12.5" customHeight="1">
      <c r="A989" s="6" t="n">
        <v>45181</v>
      </c>
      <c r="B989" s="1" t="inlineStr">
        <is>
          <t>ORG_2555</t>
        </is>
      </c>
      <c r="C989" s="1" t="b">
        <v>1</v>
      </c>
      <c r="D989" s="1" t="inlineStr">
        <is>
          <t>wweeddoo</t>
        </is>
      </c>
      <c r="E989" s="10" t="inlineStr">
        <is>
          <t>https://wweeddoo.com</t>
        </is>
      </c>
      <c r="F989" t="inlineStr">
        <is>
          <t>wweeddoo.com</t>
        </is>
      </c>
      <c r="G989" s="1" t="inlineStr">
        <is>
          <t>wweeddoo provides a digital platform in order to help young people (13 - 30 y.o.) to launch projects and find resources related to their needs.
Projects can be charitable, sporting, entrepreneurial, ... , and resources can be advice, contact, financing, equipment, ...</t>
        </is>
      </c>
      <c r="H989" s="1" t="inlineStr">
        <is>
          <t>EdTech France</t>
        </is>
      </c>
      <c r="I989" s="1" t="n"/>
      <c r="J989" s="1" t="inlineStr">
        <is>
          <t>Levallois-Perret</t>
        </is>
      </c>
      <c r="K989" t="inlineStr">
        <is>
          <t>Levallois-Perret</t>
        </is>
      </c>
      <c r="L989" t="inlineStr">
        <is>
          <t>Levallois-Perret, France</t>
        </is>
      </c>
      <c r="M989" t="n">
        <v>48.892956</v>
      </c>
      <c r="N989" t="n">
        <v>2.2881683</v>
      </c>
      <c r="O989" s="1" t="inlineStr">
        <is>
          <t>France</t>
        </is>
      </c>
      <c r="P989" s="1" t="inlineStr">
        <is>
          <t>France</t>
        </is>
      </c>
      <c r="Q989" s="1" t="inlineStr">
        <is>
          <t>11 to 50</t>
        </is>
      </c>
      <c r="R989" t="inlineStr">
        <is>
          <t>Small</t>
        </is>
      </c>
      <c r="S989" s="1" t="inlineStr">
        <is>
          <t>Business to Schools</t>
        </is>
      </c>
      <c r="T989" s="1" t="inlineStr">
        <is>
          <t>Secondary Education, Higher Education</t>
        </is>
      </c>
      <c r="U989" s="1" t="inlineStr">
        <is>
          <t>Student interfacing, Teacher interfacing, System/Administrative</t>
        </is>
      </c>
      <c r="V989" s="10" t="inlineStr">
        <is>
          <t>wweeddoo</t>
        </is>
      </c>
      <c r="W989" s="10" t="inlineStr">
        <is>
          <t>wweeddoo provides a digital platform in order to help young people (13 - 30 y.o.) to launch projects and find resources related to their needs.
Projects can be in-school project, charitable, sporting, entrepreneurial, ... , and resources can be advice, contact, financing, equipment, ... Schools can use wweeddoo to allow their students to go further in their projects, and to make them visible to find their first job more easily.</t>
        </is>
      </c>
      <c r="X989" s="10" t="inlineStr">
        <is>
          <t>https://drive.google.com/uc?export=view&amp;id=1ogzsBuw9EnFu1Nypuk_yKa11nus8sI_I</t>
        </is>
      </c>
      <c r="Y989" t="inlineStr">
        <is>
          <t>https://drive.google.com/uc?export=view&amp;id=1ogzsBuw9EnFu1Nypuk_yKa11nus8sI_I</t>
        </is>
      </c>
      <c r="Z989" s="1" t="inlineStr">
        <is>
          <t>https://drive.google.com/uc?export=view&amp;id=1ogzsBuw9EnFu1Nypuk_yKa11nus8sI_I</t>
        </is>
      </c>
      <c r="AA989" s="1" t="inlineStr">
        <is>
          <t>Unverified</t>
        </is>
      </c>
      <c r="AB989" s="1" t="n"/>
      <c r="AC989" s="1" t="n"/>
      <c r="AD989" s="10" t="n"/>
      <c r="AE989" s="1" t="n"/>
      <c r="AF989" t="inlineStr">
        <is>
          <t>Yes</t>
        </is>
      </c>
      <c r="AG989" t="inlineStr">
        <is>
          <t>https://www.instagram.com/wweeddoofficiel/</t>
        </is>
      </c>
      <c r="AH989" t="inlineStr">
        <is>
          <t>https://twitter.com/wweeddoofr</t>
        </is>
      </c>
      <c r="AI989" t="inlineStr">
        <is>
          <t>https://fr.linkedin.com/company/wweeddoo</t>
        </is>
      </c>
    </row>
    <row r="990" ht="12.5" customHeight="1">
      <c r="A990" s="6" t="n">
        <v>45181</v>
      </c>
      <c r="B990" s="1" t="inlineStr">
        <is>
          <t>ORG_2421</t>
        </is>
      </c>
      <c r="C990" s="1" t="b">
        <v>1</v>
      </c>
      <c r="D990" s="1" t="inlineStr">
        <is>
          <t>TopLine Media</t>
        </is>
      </c>
      <c r="E990" s="10" t="inlineStr">
        <is>
          <t>https://www.toplinemedia.fi/</t>
        </is>
      </c>
      <c r="F990" t="inlineStr">
        <is>
          <t>toplinemedia.fi</t>
        </is>
      </c>
      <c r="G990" s="1" t="inlineStr">
        <is>
          <t>TopLine Media is a multimedia company, offering interactive and story-based e-learning and online communication services. We create multifaceted and memorable study modules, courses, e-manuals and online communication. 
We ensure learning with interactive and story-based educational content. We apply latest research on digital pedagogy, gamification and storification in our work, also different forms of Extended Reality if needed. Our Web-based solutions, be those online manuals, eLearning modules or other virtual content, are time-independent and can be used on land, sea and even in the air.</t>
        </is>
      </c>
      <c r="H990" s="1" t="inlineStr">
        <is>
          <t>I'm not part of any EdTech association</t>
        </is>
      </c>
      <c r="I990" s="1" t="n"/>
      <c r="J990" s="1" t="inlineStr">
        <is>
          <t>Lahti</t>
        </is>
      </c>
      <c r="K990" t="inlineStr">
        <is>
          <t>Lahti</t>
        </is>
      </c>
      <c r="L990" t="inlineStr">
        <is>
          <t>Lahti, Finland</t>
        </is>
      </c>
      <c r="M990" t="n">
        <v>60.982628</v>
      </c>
      <c r="N990" t="n">
        <v>25.6613418</v>
      </c>
      <c r="O990" s="1" t="inlineStr">
        <is>
          <t>Finland</t>
        </is>
      </c>
      <c r="P990" s="1" t="inlineStr">
        <is>
          <t>Finland, United Kingdom</t>
        </is>
      </c>
      <c r="Q990" s="1" t="inlineStr">
        <is>
          <t>0 to 10</t>
        </is>
      </c>
      <c r="R990" t="inlineStr">
        <is>
          <t>Micro</t>
        </is>
      </c>
      <c r="S990" s="1" t="inlineStr">
        <is>
          <t>Business to Consumer, Business to Schools</t>
        </is>
      </c>
      <c r="T990" s="1" t="inlineStr">
        <is>
          <t>Higher Education, Corporate Training, Lifelong learning/Adult education</t>
        </is>
      </c>
      <c r="U990" s="1" t="inlineStr">
        <is>
          <t>Student interfacing, System/Administrative</t>
        </is>
      </c>
      <c r="V990" s="1" t="n"/>
      <c r="W990" s="1" t="n"/>
      <c r="X990" s="1" t="n"/>
      <c r="Z990" s="1" t="n"/>
      <c r="AA990" s="1" t="inlineStr">
        <is>
          <t>Unverified</t>
        </is>
      </c>
      <c r="AB990" s="1" t="n"/>
      <c r="AC990" s="1" t="n"/>
      <c r="AD990" s="1" t="n"/>
      <c r="AE990" s="1" t="n"/>
      <c r="AF990" t="inlineStr">
        <is>
          <t>No</t>
        </is>
      </c>
    </row>
    <row r="991" ht="12.5" customHeight="1">
      <c r="A991" s="6" t="n">
        <v>45181</v>
      </c>
      <c r="B991" s="1" t="inlineStr">
        <is>
          <t>ORG_1322</t>
        </is>
      </c>
      <c r="C991" s="1" t="b">
        <v>1</v>
      </c>
      <c r="D991" s="1" t="inlineStr">
        <is>
          <t>CyberSkiller</t>
        </is>
      </c>
      <c r="E991" s="10" t="inlineStr">
        <is>
          <t>https://cyberskiller.com</t>
        </is>
      </c>
      <c r="F991" t="inlineStr">
        <is>
          <t>cyberskiller.com</t>
        </is>
      </c>
      <c r="G991" s="1" t="inlineStr">
        <is>
          <t>The CyberSkiller company was established in response to the dynamic development of new technologies and the resulting constantly growing demand for IT specialists, especially in the areas of: cybersecurity, artificial intelligence and programming.
The result of the combination of highly specialized IT knowledge and commitment to the mission of preparing young people for further education or work in the IT comanies is a modern platform for learning and teaching computer science in a hands-on and interactive manner created entirely by the CyberSkiller team.</t>
        </is>
      </c>
      <c r="H991" s="1" t="inlineStr">
        <is>
          <t>I'm not part of any EdTech association</t>
        </is>
      </c>
      <c r="I991" s="1" t="n"/>
      <c r="J991" s="1" t="inlineStr">
        <is>
          <t>Lublin</t>
        </is>
      </c>
      <c r="K991" t="inlineStr">
        <is>
          <t>Lublin</t>
        </is>
      </c>
      <c r="L991" t="inlineStr">
        <is>
          <t>Lublin, Poland</t>
        </is>
      </c>
      <c r="M991" t="n">
        <v>51.2181945</v>
      </c>
      <c r="N991" t="n">
        <v>22.5546776</v>
      </c>
      <c r="O991" s="1" t="inlineStr">
        <is>
          <t>Poland</t>
        </is>
      </c>
      <c r="P991" s="1" t="inlineStr">
        <is>
          <t>Poland</t>
        </is>
      </c>
      <c r="Q991" s="1" t="inlineStr">
        <is>
          <t>0 to 10</t>
        </is>
      </c>
      <c r="R991" t="inlineStr">
        <is>
          <t>Micro</t>
        </is>
      </c>
      <c r="S991" s="1" t="inlineStr">
        <is>
          <t>Business to Business, Business to Consumer, Business to Government, Business to Schools</t>
        </is>
      </c>
      <c r="T991" s="1" t="inlineStr">
        <is>
          <t>Primary Education, Secondary Education, Higher Education, Corporate Training, Lifelong learning/Adult education</t>
        </is>
      </c>
      <c r="U991" s="1" t="inlineStr">
        <is>
          <t>Student interfacing, System/Administrative</t>
        </is>
      </c>
      <c r="V991" s="1" t="n"/>
      <c r="W991" s="1" t="inlineStr">
        <is>
          <t>https://drive.google.com/uc?export=view&amp;id=1agrw6x52CK4PL6ILlY7aMYnnliKA-hoo</t>
        </is>
      </c>
      <c r="X991" s="1" t="inlineStr">
        <is>
          <t>https://drive.google.com/uc?export=view&amp;id=1agrw6x52CK4PL6ILlY7aMYnnliKA-hoo</t>
        </is>
      </c>
      <c r="Y991" t="inlineStr">
        <is>
          <t>https://drive.google.com/uc?export=view&amp;id=1agrw6x52CK4PL6ILlY7aMYnnliKA-hoo</t>
        </is>
      </c>
      <c r="Z991" s="1" t="inlineStr">
        <is>
          <t>https://drive.google.com/uc?export=view&amp;id=1agrw6x52CK4PL6ILlY7aMYnnliKA-hoo</t>
        </is>
      </c>
      <c r="AA991" s="1" t="inlineStr">
        <is>
          <t>Unverified</t>
        </is>
      </c>
      <c r="AB991" s="1" t="n"/>
      <c r="AC991" s="1" t="n"/>
      <c r="AD991" s="10" t="n"/>
      <c r="AE991" s="1" t="n"/>
      <c r="AF991" t="inlineStr">
        <is>
          <t>No</t>
        </is>
      </c>
    </row>
    <row r="992" ht="12.5" customHeight="1">
      <c r="A992" s="6" t="n">
        <v>45181</v>
      </c>
      <c r="B992" s="1" t="inlineStr">
        <is>
          <t>ORG_1642</t>
        </is>
      </c>
      <c r="C992" s="1" t="b">
        <v>1</v>
      </c>
      <c r="D992" s="1" t="inlineStr">
        <is>
          <t>Grasple</t>
        </is>
      </c>
      <c r="E992" s="10" t="inlineStr">
        <is>
          <t>https://grasple.com/</t>
        </is>
      </c>
      <c r="F992" t="inlineStr">
        <is>
          <t>grasple.com</t>
        </is>
      </c>
      <c r="G992" s="1" t="inlineStr">
        <is>
          <t>Grasple is an online practice and assessment platform for math and statistics education. 
By using our online editor, educators can collaboratively create, find and share interactive exercises, and offer their students the ability to practice more often and receive personalised feedback. This leads to more engagement and better results, and subsequently results in a worldwide collection of openly licensed high-quality learning materials.</t>
        </is>
      </c>
      <c r="H992" s="1" t="inlineStr">
        <is>
          <t>Dutch EdTech</t>
        </is>
      </c>
      <c r="I992" s="1" t="n"/>
      <c r="J992" s="1" t="inlineStr">
        <is>
          <t>Amsterdam</t>
        </is>
      </c>
      <c r="K992" t="inlineStr">
        <is>
          <t>Amsterdam</t>
        </is>
      </c>
      <c r="L992" t="inlineStr">
        <is>
          <t>Amsterdam, The Netherlands</t>
        </is>
      </c>
      <c r="M992" t="n">
        <v>52.3701984</v>
      </c>
      <c r="N992" t="n">
        <v>4.892168</v>
      </c>
      <c r="O992" s="1" t="inlineStr">
        <is>
          <t>The Netherlands</t>
        </is>
      </c>
      <c r="P992" s="1" t="inlineStr">
        <is>
          <t>Belgium, Denmark, Netherlands, United Kingdom</t>
        </is>
      </c>
      <c r="Q992" s="1" t="inlineStr">
        <is>
          <t>11 to 50</t>
        </is>
      </c>
      <c r="R992" t="inlineStr">
        <is>
          <t>Small</t>
        </is>
      </c>
      <c r="S992" s="1" t="inlineStr">
        <is>
          <t>Business to Business, Business to Consumer, Business to Schools</t>
        </is>
      </c>
      <c r="T992" s="1" t="inlineStr">
        <is>
          <t>Higher Education</t>
        </is>
      </c>
      <c r="U992" s="1" t="inlineStr">
        <is>
          <t>Student interfacing, Teacher interfacing</t>
        </is>
      </c>
      <c r="V992" s="1" t="inlineStr">
        <is>
          <t>Grasple - create, edit and share open exercises and lessons for Math and Statistics</t>
        </is>
      </c>
      <c r="W992" s="10" t="inlineStr">
        <is>
          <t>With Grasple educators can create interactive learning materials and include a personalized approach into their education. 
As a result, students are more engaged with the actual subject and get to practice more often, leading to better results. 
Educators also gain the ability to collectively create exercises and build upon a worldwide collection of high-quality resources to improve and activate math and statistics education.</t>
        </is>
      </c>
      <c r="X992" s="10" t="inlineStr">
        <is>
          <t>Grasple Summative testing module</t>
        </is>
      </c>
      <c r="Y992" t="inlineStr">
        <is>
          <t>Grasple is a platform to create, edit and share open exercises and lessons for Math and Statistics. In the platform you can learn by exercising, formative testing and with the add on module summative testing. Grasple beliefs supporting modulair learning, learning on demand and adaptive learning will help enjoy learning difficult concepts such as math and statistics. Formative and summative testing is becoming more and more intertwined.</t>
        </is>
      </c>
      <c r="Z992" s="1" t="inlineStr">
        <is>
          <t>https://drive.google.com/uc?export=view&amp;id=1_2E3wxPy5209rebyhDsriyK04iQMt25u</t>
        </is>
      </c>
      <c r="AA992" s="1" t="inlineStr">
        <is>
          <t>Unverified</t>
        </is>
      </c>
      <c r="AB992" s="1" t="n"/>
      <c r="AC992" s="1" t="n"/>
      <c r="AD992" s="10" t="n"/>
      <c r="AE992" s="1" t="n"/>
      <c r="AF992" s="1" t="inlineStr">
        <is>
          <t>Yes</t>
        </is>
      </c>
      <c r="AG992" s="1" t="inlineStr">
        <is>
          <t>https://twitter.com/opengrasple</t>
        </is>
      </c>
      <c r="AH992" s="1" t="inlineStr">
        <is>
          <t>https://twitter.com/opengrasple</t>
        </is>
      </c>
      <c r="AI992" t="inlineStr">
        <is>
          <t>https://www.linkedin.com/company/grasple</t>
        </is>
      </c>
    </row>
    <row r="993" ht="12.5" customHeight="1">
      <c r="A993" s="6" t="n">
        <v>45181</v>
      </c>
      <c r="B993" s="1" t="inlineStr">
        <is>
          <t>ORG_1670</t>
        </is>
      </c>
      <c r="C993" s="1" t="b">
        <v>1</v>
      </c>
      <c r="D993" s="1" t="inlineStr">
        <is>
          <t>Helge</t>
        </is>
      </c>
      <c r="E993" s="10" t="inlineStr">
        <is>
          <t>https://helge.app</t>
        </is>
      </c>
      <c r="F993" t="inlineStr">
        <is>
          <t>helge.app</t>
        </is>
      </c>
      <c r="G993" s="1" t="inlineStr">
        <is>
          <t>Helge equips school psychologists with research-based analytic tools to work with 13-19-year old students in classroom and individually</t>
        </is>
      </c>
      <c r="H993" s="1" t="inlineStr">
        <is>
          <t>EdTech Finland</t>
        </is>
      </c>
      <c r="I993" s="1" t="inlineStr">
        <is>
          <t>English, Estonian</t>
        </is>
      </c>
      <c r="J993" s="1" t="inlineStr">
        <is>
          <t>Tallinn</t>
        </is>
      </c>
      <c r="K993" t="inlineStr">
        <is>
          <t>Tallinn</t>
        </is>
      </c>
      <c r="L993" t="inlineStr">
        <is>
          <t>Tallinn, Estonia</t>
        </is>
      </c>
      <c r="M993" t="n">
        <v>59.437242</v>
      </c>
      <c r="N993" t="n">
        <v>24.7572693</v>
      </c>
      <c r="O993" s="1" t="inlineStr">
        <is>
          <t>Estonia</t>
        </is>
      </c>
      <c r="P993" s="1" t="inlineStr">
        <is>
          <t>Estonia, Finland, Latvia, Lithuania</t>
        </is>
      </c>
      <c r="Q993" s="1" t="inlineStr">
        <is>
          <t>3 to 5</t>
        </is>
      </c>
      <c r="R993" t="inlineStr">
        <is>
          <t>Micro</t>
        </is>
      </c>
      <c r="S993" s="1" t="inlineStr">
        <is>
          <t>Business to Business, Business to Consumer, Business to Schools</t>
        </is>
      </c>
      <c r="T993" s="1" t="inlineStr">
        <is>
          <t>Primary Education, Secondary Education</t>
        </is>
      </c>
      <c r="U993" s="1" t="inlineStr">
        <is>
          <t>System/Administrative, Student interfacing, Teacher interfacing</t>
        </is>
      </c>
      <c r="V993" s="10" t="inlineStr">
        <is>
          <t>Helge Dashboard</t>
        </is>
      </c>
      <c r="W993" s="10" t="inlineStr">
        <is>
          <t>Helge dashboard helps school support staff plan their work, conduct youth wellbeing surveys, gather real-time data from students’ regular self-assessment and carry out targeted student interventions.</t>
        </is>
      </c>
      <c r="X993" s="10" t="inlineStr">
        <is>
          <t>Helge Mobile App</t>
        </is>
      </c>
      <c r="Y993" t="inlineStr">
        <is>
          <t>Helge mobile app is a safe and anonymous tool meant for 13-19 year old youngsters to understand themselves better and if needed, guide them to teachers, school psychologists, or parents.</t>
        </is>
      </c>
      <c r="Z993" s="1" t="inlineStr">
        <is>
          <t>https://drive.google.com/uc?export=view&amp;id=1uu2NA_E3EdR6CB0SD5aP2OfyY0KHqIGi</t>
        </is>
      </c>
      <c r="AA993" s="1" t="inlineStr">
        <is>
          <t>Unverified</t>
        </is>
      </c>
      <c r="AB993" s="1" t="n"/>
      <c r="AC993" s="1" t="n"/>
      <c r="AD993" s="10" t="n"/>
      <c r="AE993" s="1" t="n"/>
      <c r="AF993" t="inlineStr">
        <is>
          <t>Yes</t>
        </is>
      </c>
      <c r="AG993" t="inlineStr">
        <is>
          <t>https://www.instagram.com/helgeapp/</t>
        </is>
      </c>
      <c r="AH993" t="inlineStr">
        <is>
          <t>https://twitter.com/helgeapp</t>
        </is>
      </c>
      <c r="AI993" t="inlineStr">
        <is>
          <t>https://www.linkedin.com/company/helge</t>
        </is>
      </c>
    </row>
    <row r="994" ht="12.5" customHeight="1">
      <c r="A994" s="6" t="n">
        <v>45181</v>
      </c>
      <c r="B994" s="1" t="inlineStr">
        <is>
          <t>ORG_1823</t>
        </is>
      </c>
      <c r="C994" s="1" t="b">
        <v>1</v>
      </c>
      <c r="D994" s="1" t="inlineStr">
        <is>
          <t>Leap Learning</t>
        </is>
      </c>
      <c r="E994" s="10" t="inlineStr">
        <is>
          <t>www.leaplearning.com</t>
        </is>
      </c>
      <c r="F994" t="inlineStr">
        <is>
          <t>leaplearning.com</t>
        </is>
      </c>
      <c r="G994" s="1" t="inlineStr">
        <is>
          <t>Leap Learning has developed a new educational method using technology to enable children to learn to learn, where and whoever they are in the world. We are combining technology and hands on games into a flipped classroom (Leap Learning Labs) with stations, to ensure that all children can learn at their own level and in their own pace.</t>
        </is>
      </c>
      <c r="H994" s="1" t="inlineStr">
        <is>
          <t>I'm not part of any EdTech association</t>
        </is>
      </c>
      <c r="I994" s="1" t="n"/>
      <c r="J994" s="1" t="inlineStr">
        <is>
          <t>Asker</t>
        </is>
      </c>
      <c r="K994" t="inlineStr">
        <is>
          <t>Asker</t>
        </is>
      </c>
      <c r="L994" t="inlineStr">
        <is>
          <t>Asker, Norway</t>
        </is>
      </c>
      <c r="M994" t="n">
        <v>59.6812603</v>
      </c>
      <c r="N994" t="n">
        <v>10.474836</v>
      </c>
      <c r="O994" s="1" t="inlineStr">
        <is>
          <t>Norway</t>
        </is>
      </c>
      <c r="P994" s="1" t="inlineStr">
        <is>
          <t>France, Norway, Turkey, Ukraine, United Kingdom</t>
        </is>
      </c>
      <c r="Q994" s="1" t="inlineStr">
        <is>
          <t>0 to 10</t>
        </is>
      </c>
      <c r="R994" t="inlineStr">
        <is>
          <t>Micro</t>
        </is>
      </c>
      <c r="S994" s="1" t="inlineStr">
        <is>
          <t>Business to Business, Business to Consumer, Business to Schools</t>
        </is>
      </c>
      <c r="T994" s="1" t="inlineStr">
        <is>
          <t>Early childhood development (0-5 years), Primary Education, Higher Education, Lifelong learning/Adult education</t>
        </is>
      </c>
      <c r="U994" s="1" t="inlineStr">
        <is>
          <t>Student interfacing, System/Administrative</t>
        </is>
      </c>
      <c r="V994" s="1" t="n"/>
      <c r="W994" s="1" t="inlineStr">
        <is>
          <t>https://drive.google.com/uc?export=view&amp;id=1DtMh9GMJr9PXombxE6wv0fpZoaHOpKRN</t>
        </is>
      </c>
      <c r="X994" s="1" t="inlineStr">
        <is>
          <t>https://drive.google.com/uc?export=view&amp;id=1DtMh9GMJr9PXombxE6wv0fpZoaHOpKRN</t>
        </is>
      </c>
      <c r="Y994" t="inlineStr">
        <is>
          <t>https://drive.google.com/uc?export=view&amp;id=1DtMh9GMJr9PXombxE6wv0fpZoaHOpKRN</t>
        </is>
      </c>
      <c r="Z994" s="1" t="inlineStr">
        <is>
          <t>https://drive.google.com/uc?export=view&amp;id=1DtMh9GMJr9PXombxE6wv0fpZoaHOpKRN</t>
        </is>
      </c>
      <c r="AA994" s="1" t="inlineStr">
        <is>
          <t>Unverified</t>
        </is>
      </c>
      <c r="AB994" s="1" t="n"/>
      <c r="AC994" s="1" t="n"/>
      <c r="AD994" s="10" t="n"/>
      <c r="AE994" s="1" t="n"/>
      <c r="AF994" t="inlineStr">
        <is>
          <t>No</t>
        </is>
      </c>
    </row>
    <row r="995" ht="12.5" customHeight="1">
      <c r="A995" s="6" t="n">
        <v>45181</v>
      </c>
      <c r="B995" s="1" t="inlineStr">
        <is>
          <t>ORG_2168</t>
        </is>
      </c>
      <c r="C995" s="1" t="b">
        <v>1</v>
      </c>
      <c r="D995" s="1" t="inlineStr">
        <is>
          <t>Recitaleyes</t>
        </is>
      </c>
      <c r="E995" s="10" t="inlineStr">
        <is>
          <t>https://recitaleyes.com/</t>
        </is>
      </c>
      <c r="F995" t="inlineStr">
        <is>
          <t>recitaleyes.com</t>
        </is>
      </c>
      <c r="G995" s="1" t="inlineStr">
        <is>
          <t>Recitaleyes is a platform for students that helps them study using both visual and echoic (with voice) memory.
Recitaleyes uses IA to convert text to human-like voice, allowing students to listen to their class notes while reading them, improving the ability to understand and memorize lessons.
Currently, Recitaleyes also offer always-up-to-date Spanish laws texts and voices for students of civil public positions in Spain or Law Bachelor's degree.</t>
        </is>
      </c>
      <c r="H995" s="1" t="inlineStr">
        <is>
          <t>I'm not part of any EdTech association</t>
        </is>
      </c>
      <c r="I995" s="1" t="n"/>
      <c r="J995" s="1" t="inlineStr">
        <is>
          <t>Seville</t>
        </is>
      </c>
      <c r="K995" t="inlineStr">
        <is>
          <t>Seville</t>
        </is>
      </c>
      <c r="L995" t="inlineStr">
        <is>
          <t>Seville, Spain</t>
        </is>
      </c>
      <c r="M995" t="n">
        <v>37.3886303</v>
      </c>
      <c r="N995" t="n">
        <v>-5.9953403</v>
      </c>
      <c r="O995" s="1" t="inlineStr">
        <is>
          <t>Spain</t>
        </is>
      </c>
      <c r="P995" s="1" t="inlineStr">
        <is>
          <t>Spain</t>
        </is>
      </c>
      <c r="Q995" s="1" t="inlineStr">
        <is>
          <t>0 to 10</t>
        </is>
      </c>
      <c r="R995" t="inlineStr">
        <is>
          <t>Micro</t>
        </is>
      </c>
      <c r="S995" s="1" t="inlineStr">
        <is>
          <t>Business to Consumer</t>
        </is>
      </c>
      <c r="T995" s="1" t="inlineStr">
        <is>
          <t>Primary Education, Secondary Education, Higher Education, Lifelong learning/Adult education</t>
        </is>
      </c>
      <c r="U995" s="1" t="inlineStr">
        <is>
          <t>Student interfacing, Teacher interfacing, System/Administrative</t>
        </is>
      </c>
      <c r="V995" s="1" t="n"/>
      <c r="W995" s="1" t="inlineStr">
        <is>
          <t>https://drive.google.com/uc?export=view&amp;id=1-zU2hv-fqMSNVp4RMervJNj0Ojwx4C0r</t>
        </is>
      </c>
      <c r="X995" s="1" t="inlineStr">
        <is>
          <t>https://drive.google.com/uc?export=view&amp;id=1-zU2hv-fqMSNVp4RMervJNj0Ojwx4C0r</t>
        </is>
      </c>
      <c r="Y995" t="inlineStr">
        <is>
          <t>https://drive.google.com/uc?export=view&amp;id=1-zU2hv-fqMSNVp4RMervJNj0Ojwx4C0r</t>
        </is>
      </c>
      <c r="Z995" s="1" t="inlineStr">
        <is>
          <t>https://drive.google.com/uc?export=view&amp;id=1-zU2hv-fqMSNVp4RMervJNj0Ojwx4C0r</t>
        </is>
      </c>
      <c r="AA995" s="1" t="inlineStr">
        <is>
          <t>Unverified</t>
        </is>
      </c>
      <c r="AB995" s="1" t="n"/>
      <c r="AC995" s="1" t="n"/>
      <c r="AD995" s="10" t="n"/>
      <c r="AE995" s="1" t="n"/>
      <c r="AF995" s="1" t="inlineStr">
        <is>
          <t>No</t>
        </is>
      </c>
      <c r="AG995" s="1" t="n"/>
      <c r="AH995" s="1" t="n"/>
    </row>
    <row r="996" ht="12.5" customHeight="1">
      <c r="A996" s="6" t="n">
        <v>45181</v>
      </c>
      <c r="B996" s="1" t="inlineStr">
        <is>
          <t>ORG_2247</t>
        </is>
      </c>
      <c r="C996" s="1" t="b">
        <v>1</v>
      </c>
      <c r="D996" s="1" t="inlineStr">
        <is>
          <t>Simulise</t>
        </is>
      </c>
      <c r="E996" s="10" t="inlineStr">
        <is>
          <t>www.simulise.com</t>
        </is>
      </c>
      <c r="F996" t="inlineStr">
        <is>
          <t>simulise.com</t>
        </is>
      </c>
      <c r="G996" s="1" t="inlineStr">
        <is>
          <t>It was our dream to provide all students with an online portfolio that shows who they are and what they can do. The portfolio had to remain the property of the student long after school.
And it worked! With over 125,000 users in the Netherlands and Belgium, we have outgrown the start-up phase.</t>
        </is>
      </c>
      <c r="H996" s="1" t="inlineStr">
        <is>
          <t>Dutch EdTech</t>
        </is>
      </c>
      <c r="I996" s="1" t="n"/>
      <c r="J996" s="1" t="inlineStr">
        <is>
          <t>Hilversum</t>
        </is>
      </c>
      <c r="K996" t="inlineStr">
        <is>
          <t>Hilversum</t>
        </is>
      </c>
      <c r="L996" t="inlineStr">
        <is>
          <t>Hilversum, The Netherlands</t>
        </is>
      </c>
      <c r="M996" t="n">
        <v>52.2124485</v>
      </c>
      <c r="N996" t="n">
        <v>5.1460384</v>
      </c>
      <c r="O996" s="1" t="inlineStr">
        <is>
          <t>The Netherlands</t>
        </is>
      </c>
      <c r="P996" s="1" t="inlineStr">
        <is>
          <t>Belgium, Netherlands</t>
        </is>
      </c>
      <c r="Q996" s="1" t="inlineStr">
        <is>
          <t>0 to 10</t>
        </is>
      </c>
      <c r="R996" t="inlineStr">
        <is>
          <t>Micro</t>
        </is>
      </c>
      <c r="S996" s="1" t="inlineStr">
        <is>
          <t>Business to Consumer, Business to Government, Business to Schools</t>
        </is>
      </c>
      <c r="T996" s="1" t="inlineStr">
        <is>
          <t>Primary Education, Secondary Education, Higher Education, Lifelong learning/Adult education</t>
        </is>
      </c>
      <c r="U996" s="1" t="inlineStr">
        <is>
          <t>Student interfacing, Teacher interfacing</t>
        </is>
      </c>
      <c r="V996" s="1" t="n"/>
      <c r="W996" s="1" t="inlineStr">
        <is>
          <t>https://drive.google.com/uc?export=view&amp;id=1J4kX3JLkCh0qXuXQOJjHVQtUJM_52sBc</t>
        </is>
      </c>
      <c r="X996" s="1" t="inlineStr">
        <is>
          <t>https://drive.google.com/uc?export=view&amp;id=1J4kX3JLkCh0qXuXQOJjHVQtUJM_52sBc</t>
        </is>
      </c>
      <c r="Y996" t="inlineStr">
        <is>
          <t>https://drive.google.com/uc?export=view&amp;id=1J4kX3JLkCh0qXuXQOJjHVQtUJM_52sBc</t>
        </is>
      </c>
      <c r="Z996" s="1" t="inlineStr">
        <is>
          <t>https://drive.google.com/uc?export=view&amp;id=1J4kX3JLkCh0qXuXQOJjHVQtUJM_52sBc</t>
        </is>
      </c>
      <c r="AA996" s="1" t="inlineStr">
        <is>
          <t>Unverified</t>
        </is>
      </c>
      <c r="AB996" s="1" t="n"/>
      <c r="AC996" s="1" t="n"/>
      <c r="AD996" s="10" t="n"/>
      <c r="AE996" s="1" t="n"/>
      <c r="AF996" s="1" t="inlineStr">
        <is>
          <t>No</t>
        </is>
      </c>
      <c r="AG996" s="1" t="n"/>
      <c r="AH996" s="1" t="n"/>
      <c r="AI996" s="1" t="n"/>
      <c r="AJ996" s="1" t="n"/>
    </row>
    <row r="997" ht="12.5" customHeight="1">
      <c r="A997" s="6" t="n">
        <v>45181</v>
      </c>
      <c r="B997" s="1" t="inlineStr">
        <is>
          <t>ORG_2438</t>
        </is>
      </c>
      <c r="C997" s="1" t="b">
        <v>1</v>
      </c>
      <c r="D997" s="10" t="inlineStr">
        <is>
          <t>Tutor.id</t>
        </is>
      </c>
      <c r="E997" s="10" t="inlineStr">
        <is>
          <t>https://tutor.id/</t>
        </is>
      </c>
      <c r="F997" t="inlineStr">
        <is>
          <t>tutor.id</t>
        </is>
      </c>
      <c r="G997" s="1" t="inlineStr">
        <is>
          <t>Tutor.id is a growing online teaching platform that matches students with private tutors. Tutor.id is more than a marketplace. We also provide tutors with advanced management tools (on a freemium subscription model) to help tutors automate their businesses and teaching operations so they can focus on their students, the quality of their teaching, and their own professional development.</t>
        </is>
      </c>
      <c r="H997" s="1" t="inlineStr">
        <is>
          <t>EdTech Estonia</t>
        </is>
      </c>
      <c r="I997" s="1" t="n"/>
      <c r="J997" s="1" t="inlineStr">
        <is>
          <t>Tallinn</t>
        </is>
      </c>
      <c r="K997" t="inlineStr">
        <is>
          <t>Tallinn</t>
        </is>
      </c>
      <c r="L997" t="inlineStr">
        <is>
          <t>Tallinn, Estonia</t>
        </is>
      </c>
      <c r="M997" t="n">
        <v>59.437242</v>
      </c>
      <c r="N997" t="n">
        <v>24.7572693</v>
      </c>
      <c r="O997" s="1" t="inlineStr">
        <is>
          <t>Estonia</t>
        </is>
      </c>
      <c r="P997" s="1" t="inlineStr">
        <is>
          <t>Estonia, Germany, United Kingdom</t>
        </is>
      </c>
      <c r="Q997" s="1" t="inlineStr">
        <is>
          <t>0 to 10</t>
        </is>
      </c>
      <c r="R997" t="inlineStr">
        <is>
          <t>Micro</t>
        </is>
      </c>
      <c r="S997" s="1" t="inlineStr">
        <is>
          <t>Business to Schools</t>
        </is>
      </c>
      <c r="T997" s="1" t="inlineStr">
        <is>
          <t>Primary Education, Secondary Education, Higher Education, Corporate Training, Lifelong learning/Adult education</t>
        </is>
      </c>
      <c r="U997" s="1" t="inlineStr">
        <is>
          <t>System/Administrative, Student interfacing, Teacher interfacing</t>
        </is>
      </c>
      <c r="V997" s="1" t="n"/>
      <c r="W997" s="1" t="inlineStr">
        <is>
          <t>https://drive.google.com/uc?export=view&amp;id=1IYlwzSNhHShda3-X0G6VQ2-YCIIddWXj</t>
        </is>
      </c>
      <c r="X997" s="1" t="inlineStr">
        <is>
          <t>https://drive.google.com/uc?export=view&amp;id=1IYlwzSNhHShda3-X0G6VQ2-YCIIddWXj</t>
        </is>
      </c>
      <c r="Y997" t="inlineStr">
        <is>
          <t>https://drive.google.com/uc?export=view&amp;id=1IYlwzSNhHShda3-X0G6VQ2-YCIIddWXj</t>
        </is>
      </c>
      <c r="Z997" s="1" t="inlineStr">
        <is>
          <t>https://drive.google.com/uc?export=view&amp;id=1IYlwzSNhHShda3-X0G6VQ2-YCIIddWXj</t>
        </is>
      </c>
      <c r="AA997" s="1" t="inlineStr">
        <is>
          <t>Unverified</t>
        </is>
      </c>
      <c r="AB997" s="1" t="n"/>
      <c r="AC997" s="1" t="n"/>
      <c r="AD997" s="10" t="n"/>
      <c r="AE997" s="1" t="n"/>
      <c r="AF997" t="inlineStr">
        <is>
          <t>No</t>
        </is>
      </c>
    </row>
    <row r="998" ht="12.5" customHeight="1">
      <c r="A998" s="6" t="n">
        <v>45181</v>
      </c>
      <c r="B998" s="1" t="inlineStr">
        <is>
          <t>ORG_1034</t>
        </is>
      </c>
      <c r="C998" s="1" t="b">
        <v>1</v>
      </c>
      <c r="D998" s="1" t="inlineStr">
        <is>
          <t>ADAPTICAL</t>
        </is>
      </c>
      <c r="E998" s="10" t="inlineStr">
        <is>
          <t>adaptical.io</t>
        </is>
      </c>
      <c r="F998" t="inlineStr">
        <is>
          <t>adaptical.io</t>
        </is>
      </c>
      <c r="G998" s="1" t="inlineStr">
        <is>
          <t>Founded in 2020 by three engineers, ADAPTICAL is a company specialising in the development of adaptive education solutions using new technologies such as artificial intelligence.
ADAPTICAL stands out for its strong commitment to R&amp;D, which is why it was recognised as the startup with the greatest impact in Spain in 2021 by SECOT and the Repsol Foundation.
It currently has a team of eight people and markets its adaptive education solutions in Spain.
ADAPTICAL develops didactic applications that allow personalising teaching for each student to maximise their abilities.
ADAPTICAL has two applications: Aurora and Mathew.
Aurora allows students to be oriented towards a discipline according to their psychological traits and academic performance.
It makes predictions of dropout risk, enrolment simulator, progress monitoring and much more.
Mathew is an adaptive learning application for mathematics that can create personalised pathways for K-12 students.</t>
        </is>
      </c>
      <c r="H998" s="1" t="inlineStr">
        <is>
          <t>I'm not part of any EdTech association</t>
        </is>
      </c>
      <c r="I998" s="1" t="n"/>
      <c r="J998" s="1" t="inlineStr">
        <is>
          <t>Sant Cugat Del Vallès</t>
        </is>
      </c>
      <c r="K998" t="inlineStr">
        <is>
          <t>Sant Cugat Del Vallès</t>
        </is>
      </c>
      <c r="L998" t="inlineStr">
        <is>
          <t>Sant Cugat Del Vallès, Spain</t>
        </is>
      </c>
      <c r="M998" t="n">
        <v>41.4707933</v>
      </c>
      <c r="N998" t="n">
        <v>2.0848815</v>
      </c>
      <c r="O998" s="1" t="inlineStr">
        <is>
          <t>Spain</t>
        </is>
      </c>
      <c r="P998" s="1" t="inlineStr">
        <is>
          <t>Spain</t>
        </is>
      </c>
      <c r="Q998" s="1" t="inlineStr">
        <is>
          <t>0 to 10</t>
        </is>
      </c>
      <c r="R998" t="inlineStr">
        <is>
          <t>Micro</t>
        </is>
      </c>
      <c r="S998" s="1" t="inlineStr">
        <is>
          <t>Business to Business</t>
        </is>
      </c>
      <c r="T998" s="1" t="inlineStr">
        <is>
          <t>Primary Education, Secondary Education, Higher Education</t>
        </is>
      </c>
      <c r="U998" s="1" t="inlineStr">
        <is>
          <t>System/Administrative, Student interfacing, Teacher interfacing</t>
        </is>
      </c>
      <c r="V998" s="1" t="n"/>
      <c r="W998" s="1" t="inlineStr">
        <is>
          <t>https://drive.google.com/uc?export=view&amp;id=1EDV2WX73iI8Xt008pUFSxmgUa12KoO6n</t>
        </is>
      </c>
      <c r="X998" s="1" t="inlineStr">
        <is>
          <t>https://drive.google.com/uc?export=view&amp;id=1EDV2WX73iI8Xt008pUFSxmgUa12KoO6n</t>
        </is>
      </c>
      <c r="Y998" t="inlineStr">
        <is>
          <t>https://drive.google.com/uc?export=view&amp;id=1EDV2WX73iI8Xt008pUFSxmgUa12KoO6n</t>
        </is>
      </c>
      <c r="Z998" s="1" t="inlineStr">
        <is>
          <t>https://drive.google.com/uc?export=view&amp;id=1EDV2WX73iI8Xt008pUFSxmgUa12KoO6n</t>
        </is>
      </c>
      <c r="AA998" s="1" t="inlineStr">
        <is>
          <t>Unverified</t>
        </is>
      </c>
      <c r="AB998" s="1" t="n"/>
      <c r="AC998" s="1" t="n"/>
      <c r="AD998" s="10" t="n"/>
      <c r="AE998" s="1" t="n"/>
      <c r="AF998" t="inlineStr">
        <is>
          <t>No</t>
        </is>
      </c>
    </row>
    <row r="999" ht="12.5" customHeight="1">
      <c r="A999" s="6" t="n">
        <v>45181</v>
      </c>
      <c r="B999" s="1" t="inlineStr">
        <is>
          <t>ORG_1067</t>
        </is>
      </c>
      <c r="C999" s="1" t="b">
        <v>1</v>
      </c>
      <c r="D999" s="1" t="inlineStr">
        <is>
          <t>Amanote</t>
        </is>
      </c>
      <c r="E999" s="10" t="inlineStr">
        <is>
          <t>https://amanote.com</t>
        </is>
      </c>
      <c r="F999" t="inlineStr">
        <is>
          <t>amanote.com</t>
        </is>
      </c>
      <c r="G999" s="1" t="inlineStr">
        <is>
          <t>Turn course materials (slides, syllabus, video, textbook, etc.) to interactive content that allows learners to reach their full potential: note-taking, highlighting, class survey, learning analytics, and much more...
Once Amanote is installed on your LMS, all supported course materials become annotatable by learners. It makes them more attentive and engaged during their learning process. This is a quick win for your institution.</t>
        </is>
      </c>
      <c r="H999" s="1" t="inlineStr">
        <is>
          <t>I'm not part of any EdTech association</t>
        </is>
      </c>
      <c r="I999" s="1" t="n"/>
      <c r="J999" s="1" t="inlineStr">
        <is>
          <t>Liège</t>
        </is>
      </c>
      <c r="K999" t="inlineStr">
        <is>
          <t>Liège</t>
        </is>
      </c>
      <c r="L999" t="inlineStr">
        <is>
          <t>Liège, Belgium</t>
        </is>
      </c>
      <c r="M999" t="n">
        <v>50.6450944</v>
      </c>
      <c r="N999" t="n">
        <v>5.5736112</v>
      </c>
      <c r="O999" s="1" t="inlineStr">
        <is>
          <t>Belgium</t>
        </is>
      </c>
      <c r="P999" s="1" t="inlineStr">
        <is>
          <t>Belgium, Denmark, Estonia, Finland, France, Germany, Iceland, Ireland, Italy, Latvia, Luxembourg, Monaco, Netherlands, Norway, Portugal, Spain, Sweden, Switzerland, United Kingdom</t>
        </is>
      </c>
      <c r="Q999" s="1" t="inlineStr">
        <is>
          <t>0 to 10</t>
        </is>
      </c>
      <c r="R999" t="inlineStr">
        <is>
          <t>Micro</t>
        </is>
      </c>
      <c r="S999" s="1" t="inlineStr">
        <is>
          <t>Business to Business</t>
        </is>
      </c>
      <c r="T999" s="1" t="inlineStr">
        <is>
          <t>Secondary Education, Higher Education, Corporate Training, Lifelong learning/Adult education</t>
        </is>
      </c>
      <c r="U999" s="1" t="inlineStr">
        <is>
          <t>Student interfacing, Teacher interfacing, System/Administrative</t>
        </is>
      </c>
      <c r="V999" s="1" t="n"/>
      <c r="W999" s="1" t="inlineStr">
        <is>
          <t>https://drive.google.com/uc?export=view&amp;id=1Wb8Mafh3FqpUEFpS6lQ9KbD7_IDA-BJL</t>
        </is>
      </c>
      <c r="X999" s="1" t="inlineStr">
        <is>
          <t>https://drive.google.com/uc?export=view&amp;id=1Wb8Mafh3FqpUEFpS6lQ9KbD7_IDA-BJL</t>
        </is>
      </c>
      <c r="Y999" t="inlineStr">
        <is>
          <t>https://drive.google.com/uc?export=view&amp;id=1Wb8Mafh3FqpUEFpS6lQ9KbD7_IDA-BJL</t>
        </is>
      </c>
      <c r="Z999" s="1" t="inlineStr">
        <is>
          <t>https://drive.google.com/uc?export=view&amp;id=1Wb8Mafh3FqpUEFpS6lQ9KbD7_IDA-BJL</t>
        </is>
      </c>
      <c r="AA999" s="1" t="inlineStr">
        <is>
          <t>Unverified</t>
        </is>
      </c>
      <c r="AB999" s="1" t="n"/>
      <c r="AC999" s="1" t="n"/>
      <c r="AD999" s="10" t="n"/>
      <c r="AE999" s="1" t="n"/>
      <c r="AF999" s="1" t="inlineStr">
        <is>
          <t>No</t>
        </is>
      </c>
      <c r="AG999" s="1" t="n"/>
      <c r="AH999" s="1" t="n"/>
      <c r="AI999" s="1" t="n"/>
      <c r="AJ999" s="1" t="n"/>
    </row>
    <row r="1000" ht="12.5" customHeight="1">
      <c r="A1000" s="6" t="n">
        <v>45181</v>
      </c>
      <c r="B1000" s="1" t="inlineStr">
        <is>
          <t>ORG_1234</t>
        </is>
      </c>
      <c r="C1000" s="1" t="b">
        <v>1</v>
      </c>
      <c r="D1000" s="1" t="inlineStr">
        <is>
          <t>Check'n Choose</t>
        </is>
      </c>
      <c r="E1000" s="10" t="inlineStr">
        <is>
          <t>https://checknchoose.com/</t>
        </is>
      </c>
      <c r="F1000" t="inlineStr">
        <is>
          <t>checknchoose.com</t>
        </is>
      </c>
      <c r="G1000" s="1" t="inlineStr">
        <is>
          <t>Check'n Choose is an internship search and management software for students, companies and schools. We offer a tool equipped with functionalities that automate, simplify and streamline administrative processes, and provide useful information that helps everyone involved to make better decisions.</t>
        </is>
      </c>
      <c r="H1000" s="1" t="inlineStr">
        <is>
          <t>I'm not part of any EdTech association</t>
        </is>
      </c>
      <c r="I1000" s="1" t="n"/>
      <c r="J1000" s="1" t="inlineStr">
        <is>
          <t>Barcelona</t>
        </is>
      </c>
      <c r="K1000" t="inlineStr">
        <is>
          <t>Barcelona</t>
        </is>
      </c>
      <c r="L1000" t="inlineStr">
        <is>
          <t>Barcelona, Spain</t>
        </is>
      </c>
      <c r="M1000" t="n">
        <v>41.3825802</v>
      </c>
      <c r="N1000" t="n">
        <v>2.177073</v>
      </c>
      <c r="O1000" s="1" t="inlineStr">
        <is>
          <t>Spain</t>
        </is>
      </c>
      <c r="P1000" s="1" t="inlineStr">
        <is>
          <t>Spain</t>
        </is>
      </c>
      <c r="Q1000" s="1" t="inlineStr">
        <is>
          <t>0 to 10</t>
        </is>
      </c>
      <c r="R1000" t="inlineStr">
        <is>
          <t>Micro</t>
        </is>
      </c>
      <c r="S1000" s="1" t="inlineStr">
        <is>
          <t>Business to Business</t>
        </is>
      </c>
      <c r="T1000" s="1" t="inlineStr">
        <is>
          <t>Higher Education, Corporate Training</t>
        </is>
      </c>
      <c r="U1000" s="1" t="inlineStr">
        <is>
          <t>Student interfacing, Teacher interfacing, System/Administrative</t>
        </is>
      </c>
      <c r="V1000" s="1" t="n"/>
      <c r="W1000" s="1" t="inlineStr">
        <is>
          <t>https://drive.google.com/uc?export=view&amp;id=1kQJulA3SKEMwCI0Uzokl4ibPWFJLKgTs</t>
        </is>
      </c>
      <c r="X1000" s="1" t="inlineStr">
        <is>
          <t>https://drive.google.com/uc?export=view&amp;id=1kQJulA3SKEMwCI0Uzokl4ibPWFJLKgTs</t>
        </is>
      </c>
      <c r="Y1000" t="inlineStr">
        <is>
          <t>https://drive.google.com/uc?export=view&amp;id=1kQJulA3SKEMwCI0Uzokl4ibPWFJLKgTs</t>
        </is>
      </c>
      <c r="Z1000" s="1" t="inlineStr">
        <is>
          <t>https://drive.google.com/uc?export=view&amp;id=1kQJulA3SKEMwCI0Uzokl4ibPWFJLKgTs</t>
        </is>
      </c>
      <c r="AA1000" s="1" t="inlineStr">
        <is>
          <t>Unverified</t>
        </is>
      </c>
      <c r="AB1000" s="1" t="n"/>
      <c r="AC1000" s="1" t="n"/>
      <c r="AD1000" s="10" t="n"/>
      <c r="AE1000" s="1" t="n"/>
      <c r="AF1000" s="1" t="inlineStr">
        <is>
          <t>No</t>
        </is>
      </c>
      <c r="AG1000" s="1" t="n"/>
    </row>
    <row r="1001" ht="12.5" customHeight="1">
      <c r="A1001" s="6" t="n">
        <v>45181</v>
      </c>
      <c r="B1001" s="1" t="inlineStr">
        <is>
          <t>ORG_1240</t>
        </is>
      </c>
      <c r="C1001" s="1" t="b">
        <v>1</v>
      </c>
      <c r="D1001" s="1" t="inlineStr">
        <is>
          <t>Cirrus Assessment</t>
        </is>
      </c>
      <c r="E1001" s="10" t="inlineStr">
        <is>
          <t>https://cirrusassessment.com/</t>
        </is>
      </c>
      <c r="F1001" t="inlineStr">
        <is>
          <t>cirrusassessment.com</t>
        </is>
      </c>
      <c r="G1001" s="1" t="inlineStr">
        <is>
          <t>The next generation in e-assessment, Cirrus is an end-to-end assessment platform that supports educators and learners throughout the assessment process: from creating and delivering digital exams to grading and analysis. 
Designed with ease of use in mind, Cirrus operates across any browser-enabled device and is cloud-based for increased availability and scalability.</t>
        </is>
      </c>
      <c r="H1001" s="1" t="n"/>
      <c r="I1001" s="1" t="n"/>
      <c r="J1001" s="1" t="inlineStr">
        <is>
          <t>Utrecht</t>
        </is>
      </c>
      <c r="K1001" t="inlineStr">
        <is>
          <t>Utrecht</t>
        </is>
      </c>
      <c r="L1001" t="inlineStr">
        <is>
          <t>Utrecht, The Netherlands</t>
        </is>
      </c>
      <c r="M1001" t="n">
        <v>52.0906195</v>
      </c>
      <c r="N1001" t="n">
        <v>5.1119709</v>
      </c>
      <c r="O1001" s="1" t="inlineStr">
        <is>
          <t>The Netherlands</t>
        </is>
      </c>
      <c r="P1001" s="1" t="inlineStr">
        <is>
          <t>France, Germany, Ireland, Netherlands, United Kingdom</t>
        </is>
      </c>
      <c r="Q1001" s="1" t="inlineStr">
        <is>
          <t>11 to 50</t>
        </is>
      </c>
      <c r="R1001" t="inlineStr">
        <is>
          <t>Small</t>
        </is>
      </c>
      <c r="S1001" s="1" t="inlineStr">
        <is>
          <t>Business to Business</t>
        </is>
      </c>
      <c r="T1001" s="1" t="inlineStr">
        <is>
          <t>Higher Education, Corporate Training, Lifelong learning/Adult education</t>
        </is>
      </c>
      <c r="U1001" s="1" t="inlineStr">
        <is>
          <t>System/Administrative</t>
        </is>
      </c>
      <c r="V1001" s="1" t="n"/>
      <c r="W1001" s="1" t="inlineStr">
        <is>
          <t>https://drive.google.com/uc?export=view&amp;id=1hpvReY11SzhgaUfWRN_aiiR57aRYrNG6</t>
        </is>
      </c>
      <c r="X1001" s="1" t="inlineStr">
        <is>
          <t>https://drive.google.com/uc?export=view&amp;id=1hpvReY11SzhgaUfWRN_aiiR57aRYrNG6</t>
        </is>
      </c>
      <c r="Y1001" t="inlineStr">
        <is>
          <t>https://drive.google.com/uc?export=view&amp;id=1hpvReY11SzhgaUfWRN_aiiR57aRYrNG6</t>
        </is>
      </c>
      <c r="Z1001" s="1" t="inlineStr">
        <is>
          <t>https://drive.google.com/uc?export=view&amp;id=1hpvReY11SzhgaUfWRN_aiiR57aRYrNG6</t>
        </is>
      </c>
      <c r="AA1001" s="1" t="inlineStr">
        <is>
          <t>Unverified</t>
        </is>
      </c>
      <c r="AB1001" s="1" t="n"/>
      <c r="AC1001" s="1" t="n"/>
      <c r="AD1001" s="10" t="n"/>
      <c r="AE1001" s="1" t="n"/>
      <c r="AF1001" s="1" t="inlineStr">
        <is>
          <t>No</t>
        </is>
      </c>
      <c r="AG1001" s="1" t="n"/>
      <c r="AH1001" s="1" t="n"/>
      <c r="AI1001" s="1" t="n"/>
      <c r="AJ1001" s="1" t="n"/>
    </row>
    <row r="1002" ht="12.5" customHeight="1">
      <c r="A1002" s="6" t="n">
        <v>45181</v>
      </c>
      <c r="B1002" s="1" t="inlineStr">
        <is>
          <t>ORG_1262</t>
        </is>
      </c>
      <c r="C1002" s="1" t="b">
        <v>1</v>
      </c>
      <c r="D1002" s="1" t="inlineStr">
        <is>
          <t>Cloud 4 Edu</t>
        </is>
      </c>
      <c r="E1002" s="10" t="inlineStr">
        <is>
          <t>cloudedu.es</t>
        </is>
      </c>
      <c r="F1002" t="inlineStr">
        <is>
          <t>cloudedu.es</t>
        </is>
      </c>
      <c r="G1002" s="1" t="inlineStr">
        <is>
          <t>Tecnología al servicio de la educación.
Una forma rápida, intuitiva y eficaz de avanzar en la digitalización de tu centro educativo.
Tu partner de educación. La tecnología al servicio de la educación, no la educación al servicio de la tecnología. Te ayudamos en la transformación digital de tu centro educativo.</t>
        </is>
      </c>
      <c r="H1002" s="1" t="inlineStr">
        <is>
          <t>I'm not part of any EdTech association</t>
        </is>
      </c>
      <c r="I1002" s="1" t="n"/>
      <c r="J1002" s="1" t="inlineStr">
        <is>
          <t>Mollet Del Valles</t>
        </is>
      </c>
      <c r="K1002" t="inlineStr">
        <is>
          <t>Mollet Del Valles</t>
        </is>
      </c>
      <c r="L1002" t="inlineStr">
        <is>
          <t>Mollet Del Valles, Spain</t>
        </is>
      </c>
      <c r="M1002" t="n">
        <v>41.5393484</v>
      </c>
      <c r="N1002" t="n">
        <v>2.2130934</v>
      </c>
      <c r="O1002" s="1" t="inlineStr">
        <is>
          <t>Spain</t>
        </is>
      </c>
      <c r="P1002" s="1" t="inlineStr">
        <is>
          <t>Spain</t>
        </is>
      </c>
      <c r="Q1002" s="1" t="inlineStr">
        <is>
          <t>0 to 10</t>
        </is>
      </c>
      <c r="R1002" t="inlineStr">
        <is>
          <t>Micro</t>
        </is>
      </c>
      <c r="S1002" s="1" t="inlineStr">
        <is>
          <t>Business to Business</t>
        </is>
      </c>
      <c r="T1002" s="1" t="inlineStr">
        <is>
          <t>Primary Education, Secondary Education, Higher Education</t>
        </is>
      </c>
      <c r="U1002" s="1" t="inlineStr">
        <is>
          <t>Teacher interfacing, Student interfacing, System/Administrative</t>
        </is>
      </c>
      <c r="V1002" s="1" t="n"/>
      <c r="W1002" s="1" t="inlineStr">
        <is>
          <t>https://drive.google.com/uc?export=view&amp;id=1yhtZbhm7reZKsLWYmYLJtNbABf2tNjYC</t>
        </is>
      </c>
      <c r="X1002" s="1" t="inlineStr">
        <is>
          <t>https://drive.google.com/uc?export=view&amp;id=1yhtZbhm7reZKsLWYmYLJtNbABf2tNjYC</t>
        </is>
      </c>
      <c r="Y1002" t="inlineStr">
        <is>
          <t>https://drive.google.com/uc?export=view&amp;id=1yhtZbhm7reZKsLWYmYLJtNbABf2tNjYC</t>
        </is>
      </c>
      <c r="Z1002" s="1" t="inlineStr">
        <is>
          <t>https://drive.google.com/uc?export=view&amp;id=1yhtZbhm7reZKsLWYmYLJtNbABf2tNjYC</t>
        </is>
      </c>
      <c r="AA1002" s="1" t="inlineStr">
        <is>
          <t>Unverified</t>
        </is>
      </c>
      <c r="AB1002" s="1" t="n"/>
      <c r="AC1002" s="1" t="n"/>
      <c r="AD1002" s="10" t="n"/>
      <c r="AE1002" s="1" t="n"/>
      <c r="AF1002" s="1" t="inlineStr">
        <is>
          <t>No</t>
        </is>
      </c>
      <c r="AG1002" s="1" t="n"/>
      <c r="AH1002" s="1" t="n"/>
      <c r="AI1002" s="1" t="n"/>
      <c r="AJ1002" s="1" t="n"/>
    </row>
    <row r="1003" ht="12.5" customHeight="1">
      <c r="A1003" s="6" t="n">
        <v>45181</v>
      </c>
      <c r="B1003" s="1" t="inlineStr">
        <is>
          <t>ORG_1268</t>
        </is>
      </c>
      <c r="C1003" s="1" t="b">
        <v>1</v>
      </c>
      <c r="D1003" s="1" t="inlineStr">
        <is>
          <t>CodedArena™</t>
        </is>
      </c>
      <c r="E1003" s="10" t="inlineStr">
        <is>
          <t>codedarena.com</t>
        </is>
      </c>
      <c r="F1003" t="inlineStr">
        <is>
          <t>codedarena.com</t>
        </is>
      </c>
      <c r="G1003" s="1" t="inlineStr">
        <is>
          <t>CodedArena ™, a gamified educational service, allows schools around the world to teach Python programming using a video game.
In the game, students will code their character's behavior, programming each action in 100% real Python to complete the game's missions.
Through the classroom management tool, the teacher monitors, provides support, and supervises each student's learning process, and they are notified if the student needs help.
Learning through a video game encourages the development of 21st century skills, such as problem solving, perseverance, resilience or self-esteem. In addition, computational knowledge strongly complements other STEM disciplines such as robotics, mathematics or science.</t>
        </is>
      </c>
      <c r="H1003" s="1" t="inlineStr">
        <is>
          <t>EduTech Cluster Spain</t>
        </is>
      </c>
      <c r="I1003" s="1" t="n"/>
      <c r="J1003" s="1" t="inlineStr">
        <is>
          <t>Terrassa - Barcelona</t>
        </is>
      </c>
      <c r="K1003" t="inlineStr">
        <is>
          <t>Terrassa - Barcelona</t>
        </is>
      </c>
      <c r="L1003" t="inlineStr">
        <is>
          <t>Terrassa - Barcelona, Spain</t>
        </is>
      </c>
      <c r="M1003" t="n">
        <v>41.5629623</v>
      </c>
      <c r="N1003" t="n">
        <v>2.0100492</v>
      </c>
      <c r="O1003" s="1" t="inlineStr">
        <is>
          <t>Spain</t>
        </is>
      </c>
      <c r="P1003" s="1" t="inlineStr">
        <is>
          <t>Spain</t>
        </is>
      </c>
      <c r="Q1003" s="1" t="inlineStr">
        <is>
          <t>0 to 10</t>
        </is>
      </c>
      <c r="R1003" t="inlineStr">
        <is>
          <t>Micro</t>
        </is>
      </c>
      <c r="S1003" s="1" t="inlineStr">
        <is>
          <t>Business to Business</t>
        </is>
      </c>
      <c r="T1003" s="1" t="inlineStr">
        <is>
          <t>Secondary Education, Higher Education</t>
        </is>
      </c>
      <c r="U1003" s="1" t="inlineStr">
        <is>
          <t>Student interfacing, Teacher interfacing</t>
        </is>
      </c>
      <c r="V1003" s="1" t="inlineStr">
        <is>
          <t>CodedArena™</t>
        </is>
      </c>
      <c r="W1003" s="1" t="inlineStr">
        <is>
          <t>CodedArena ™, a gamified educational service, allows schools around the world to teach Python programming using a video game.
In the game, students will code their character's behavior, programming each action in 100% real Python to complete the game's missions.
Through the classroom management tool, the teacher monitors, provides support, and supervises each student's learning process, and they are notified if the student needs help.
Learning through a video game encourages the development of 21st century skills, such as problem solving, perseverance, resilience or self-esteem. In addition, computational knowledge strongly complements other STEM disciplines such as robotics, mathematics or science.</t>
        </is>
      </c>
      <c r="X1003" s="10" t="inlineStr">
        <is>
          <t>https://drive.google.com/uc?export=view&amp;id=1oB2pztSx7aVYykOi1jzCqv4AxAFApv8P</t>
        </is>
      </c>
      <c r="Y1003" t="inlineStr">
        <is>
          <t>https://drive.google.com/uc?export=view&amp;id=1oB2pztSx7aVYykOi1jzCqv4AxAFApv8P</t>
        </is>
      </c>
      <c r="Z1003" s="1" t="inlineStr">
        <is>
          <t>https://drive.google.com/uc?export=view&amp;id=1oB2pztSx7aVYykOi1jzCqv4AxAFApv8P</t>
        </is>
      </c>
      <c r="AA1003" s="1" t="inlineStr">
        <is>
          <t>Unverified</t>
        </is>
      </c>
      <c r="AB1003" s="1" t="n"/>
      <c r="AC1003" s="1" t="n"/>
      <c r="AD1003" s="10" t="n"/>
      <c r="AE1003" s="1" t="n"/>
      <c r="AF1003" t="inlineStr">
        <is>
          <t>Yes</t>
        </is>
      </c>
      <c r="AG1003" t="inlineStr">
        <is>
          <t>https://www.linkedin.com/company/codedarena</t>
        </is>
      </c>
      <c r="AH1003" t="inlineStr">
        <is>
          <t>https://www.linkedin.com/company/codedarena</t>
        </is>
      </c>
      <c r="AI1003" t="inlineStr">
        <is>
          <t>https://www.linkedin.com/company/codedarena</t>
        </is>
      </c>
    </row>
    <row r="1004" ht="12.5" customHeight="1">
      <c r="A1004" s="6" t="n">
        <v>45181</v>
      </c>
      <c r="B1004" s="1" t="inlineStr">
        <is>
          <t>ORG_1315</t>
        </is>
      </c>
      <c r="C1004" s="1" t="b">
        <v>1</v>
      </c>
      <c r="D1004" s="1" t="inlineStr">
        <is>
          <t>Culture Buff Games Ltd</t>
        </is>
      </c>
      <c r="E1004" s="10" t="inlineStr">
        <is>
          <t>https://www.culturebuffgames.com/</t>
        </is>
      </c>
      <c r="F1004" t="inlineStr">
        <is>
          <t>culturebuffgames.com</t>
        </is>
      </c>
      <c r="G1004" s="1" t="inlineStr">
        <is>
          <t>We are Culture Buff Games, an Edtech developer of interactive games that leverage visual culture stories to teach students and adults about foreign cultures in a way that is fun and engaging. Designed by interculturalists, our games teach country-specific culture values via visual scenarios from contemporary culture and history. Culture Buff Games emphasizes problem solving and practical application of cultural knowledge. Our culture games target high school social science students, virtual culture exchange students, foreign exchange students, international students, study abroad program university students, language learners, work travel program participants, gap-year students as well as adult and teen expatriates relocating to a foreign country. We offer free and paid games on British, American, Chinese and Indian Culture Values at www.culturebuffgames.com.</t>
        </is>
      </c>
      <c r="H1004" s="1" t="inlineStr">
        <is>
          <t>SuperCharger Ventures</t>
        </is>
      </c>
      <c r="I1004" s="1" t="inlineStr">
        <is>
          <t>English</t>
        </is>
      </c>
      <c r="J1004" s="1" t="inlineStr">
        <is>
          <t>London</t>
        </is>
      </c>
      <c r="K1004" t="inlineStr">
        <is>
          <t>London</t>
        </is>
      </c>
      <c r="L1004" t="inlineStr">
        <is>
          <t>London, United Kingdom</t>
        </is>
      </c>
      <c r="M1004" t="n">
        <v>51.5074456</v>
      </c>
      <c r="N1004" t="n">
        <v>-0.1277653</v>
      </c>
      <c r="O1004" s="1" t="inlineStr">
        <is>
          <t>United Kingdom</t>
        </is>
      </c>
      <c r="P1004" s="1" t="inlineStr">
        <is>
          <t>Austria, Azerbaijan, Bulgaria, Czechia, Denmark, Finland, France, Germany, Hungary, Ireland, Kazakhstan, Netherlands, Norway, Poland, Portugal, Romania, Russia, Serbia, Spain, Sweden, Switzerland, Turkey, Ukraine, United Kingdom</t>
        </is>
      </c>
      <c r="Q1004" s="1" t="inlineStr">
        <is>
          <t>0 to 2</t>
        </is>
      </c>
      <c r="R1004" t="inlineStr">
        <is>
          <t>Solo entrepreneur</t>
        </is>
      </c>
      <c r="S1004" s="1" t="inlineStr">
        <is>
          <t>Business to Business, Business to Consumer</t>
        </is>
      </c>
      <c r="T1004" s="1" t="inlineStr">
        <is>
          <t>Secondary Education, Corporate Training, Lifelong learning/Adult education, Vocational Education and Training (VET), Higher Education</t>
        </is>
      </c>
      <c r="U1004" s="1" t="inlineStr">
        <is>
          <t>System/Administrative, Student interfacing, Teacher interfacing</t>
        </is>
      </c>
      <c r="V1004" s="10" t="inlineStr">
        <is>
          <t>Culture Buff Games</t>
        </is>
      </c>
      <c r="W1004" s="10" t="inlineStr">
        <is>
          <t>Culture Buff Games is an Edtech developer of interactive games that leverages visual storytelling to teach young people about foreign cultures in a way that is fun and engaging. We are an innovator and first-mover in game-based culture learning. Culture learning seeks to bridge culture gaps for young people to live, work and communicate effectively with different cultures. We have transformed, disrupted, and replaced current staid culture learning pedagogies with engaging interactive culture games. We have leveraged the creative power of visual storytelling to arouse interest in culture learning and culture competence.</t>
        </is>
      </c>
      <c r="X1004" s="10" t="inlineStr">
        <is>
          <t>https://drive.google.com/uc?export=view&amp;id=1oeHgEKvWYqpz6AOB0Ti9oQAwv8-qCkq1</t>
        </is>
      </c>
      <c r="Y1004" t="inlineStr">
        <is>
          <t>https://drive.google.com/uc?export=view&amp;id=1oeHgEKvWYqpz6AOB0Ti9oQAwv8-qCkq1</t>
        </is>
      </c>
      <c r="Z1004" s="1" t="inlineStr">
        <is>
          <t>https://drive.google.com/uc?export=view&amp;id=1oeHgEKvWYqpz6AOB0Ti9oQAwv8-qCkq1</t>
        </is>
      </c>
      <c r="AA1004" s="1" t="inlineStr">
        <is>
          <t>Unverified</t>
        </is>
      </c>
      <c r="AB1004" s="1" t="n"/>
      <c r="AC1004" s="1" t="n"/>
      <c r="AD1004" s="10" t="n"/>
      <c r="AE1004" s="1" t="n"/>
      <c r="AF1004" s="1" t="inlineStr">
        <is>
          <t>Yes</t>
        </is>
      </c>
      <c r="AG1004" s="1" t="inlineStr">
        <is>
          <t>https://www.instagram.com/culturebuffgames/</t>
        </is>
      </c>
      <c r="AH1004" s="1" t="inlineStr">
        <is>
          <t>https://twitter.com/cultural_games</t>
        </is>
      </c>
      <c r="AI1004" t="inlineStr">
        <is>
          <t>https://www.linkedin.com/in/lucy-fogarty-76099b8/</t>
        </is>
      </c>
    </row>
    <row r="1005" ht="12.5" customHeight="1">
      <c r="A1005" s="6" t="n">
        <v>45181</v>
      </c>
      <c r="B1005" s="1" t="inlineStr">
        <is>
          <t>ORG_1319</t>
        </is>
      </c>
      <c r="C1005" s="1" t="b">
        <v>1</v>
      </c>
      <c r="D1005" s="1" t="inlineStr">
        <is>
          <t>Cyber Fox</t>
        </is>
      </c>
      <c r="E1005" s="10" t="inlineStr">
        <is>
          <t>https://www.cyberfoxapp.com/</t>
        </is>
      </c>
      <c r="F1005" t="inlineStr">
        <is>
          <t>cyberfoxapp.com</t>
        </is>
      </c>
      <c r="G1005" s="1" t="inlineStr">
        <is>
          <t>Cyber Fox takes pre-school kids on an educational journey around the World. We develop kids' skills in 6 different areas: memory, logic, math, language, art, and general knowledge. We have 2 products for B2C and B2B (kindergartens) markets.</t>
        </is>
      </c>
      <c r="H1005" s="1" t="inlineStr">
        <is>
          <t>EdTech Poland</t>
        </is>
      </c>
      <c r="I1005" s="1" t="n"/>
      <c r="J1005" s="1" t="inlineStr">
        <is>
          <t>Kielce</t>
        </is>
      </c>
      <c r="K1005" t="inlineStr">
        <is>
          <t>Kielce</t>
        </is>
      </c>
      <c r="L1005" t="inlineStr">
        <is>
          <t>Kielce, Poland</t>
        </is>
      </c>
      <c r="M1005" t="n">
        <v>50.8540285</v>
      </c>
      <c r="N1005" t="n">
        <v>20.6099157</v>
      </c>
      <c r="O1005" s="1" t="inlineStr">
        <is>
          <t>Poland</t>
        </is>
      </c>
      <c r="P1005" s="1" t="inlineStr">
        <is>
          <t>Poland</t>
        </is>
      </c>
      <c r="Q1005" s="1" t="inlineStr">
        <is>
          <t>0 to 10</t>
        </is>
      </c>
      <c r="R1005" t="inlineStr">
        <is>
          <t>Micro</t>
        </is>
      </c>
      <c r="S1005" s="1" t="inlineStr">
        <is>
          <t>Business to Business, Business to Consumer, Business to Government, Business to Schools</t>
        </is>
      </c>
      <c r="T1005" s="1" t="inlineStr">
        <is>
          <t>Early childhood development (0-5 years)</t>
        </is>
      </c>
      <c r="U1005" s="1" t="inlineStr">
        <is>
          <t>System/Administrative, Student interfacing, Teacher interfacing</t>
        </is>
      </c>
      <c r="V1005" s="10" t="inlineStr">
        <is>
          <t>Cyber Fox App</t>
        </is>
      </c>
      <c r="W1005" s="1" t="inlineStr">
        <is>
          <t>Cyber Fox takes your child on an educational journey around the World. The app is a combination of animated stories, various educational quests, games, and songs. Parents can be sure that their kids spend screen time in a safe and educational way. Available on App Store and Google Play.</t>
        </is>
      </c>
      <c r="X1005" s="10" t="inlineStr">
        <is>
          <t>Cyber Fox for kindergartens</t>
        </is>
      </c>
      <c r="Y1005" t="inlineStr">
        <is>
          <t>B2B version of our mobile app adjusted to interactive whiteboards. We help kindergarten teachers conduct curriculum activities in a fun and attractive way. We provide an app, teacher book and workshop materials.</t>
        </is>
      </c>
      <c r="Z1005" s="1" t="inlineStr">
        <is>
          <t>https://drive.google.com/uc?export=view&amp;id=1YAbgDwIr1UiUvknyZ3apfnhDGA8J-STL</t>
        </is>
      </c>
      <c r="AA1005" s="1" t="inlineStr">
        <is>
          <t>Unverified</t>
        </is>
      </c>
      <c r="AB1005" s="1" t="n"/>
      <c r="AC1005" s="1" t="n"/>
      <c r="AD1005" s="10" t="n"/>
      <c r="AE1005" s="1" t="n"/>
      <c r="AF1005" s="1" t="inlineStr">
        <is>
          <t>Yes</t>
        </is>
      </c>
      <c r="AG1005" s="1" t="inlineStr">
        <is>
          <t>https://www.instagram.com/cyberfox_app/</t>
        </is>
      </c>
      <c r="AH1005" s="1" t="inlineStr">
        <is>
          <t>CYBER FOX SPÓŁKA Z OGRANICZONĄ ODPOWIEDZIALNOŚCIĄ</t>
        </is>
      </c>
      <c r="AI1005" s="1" t="inlineStr">
        <is>
          <t>https://www.linkedin.com/company/76357258/</t>
        </is>
      </c>
      <c r="AJ1005" s="1" t="n"/>
    </row>
    <row r="1006" ht="12.5" customHeight="1">
      <c r="A1006" s="6" t="n">
        <v>45181</v>
      </c>
      <c r="B1006" s="1" t="inlineStr">
        <is>
          <t>ORG_1368</t>
        </is>
      </c>
      <c r="C1006" s="1" t="b">
        <v>1</v>
      </c>
      <c r="D1006" s="1" t="inlineStr">
        <is>
          <t>Docendo</t>
        </is>
      </c>
      <c r="E1006" s="10" t="inlineStr">
        <is>
          <t>https://docendo.co</t>
        </is>
      </c>
      <c r="F1006" t="inlineStr">
        <is>
          <t>docendo.co</t>
        </is>
      </c>
      <c r="G1006" s="1" t="inlineStr">
        <is>
          <t>Docendo is used by 10.000+ school administrators &amp; teachers worldwide for school scheduling, resource planning and substitute management.</t>
        </is>
      </c>
      <c r="H1006" s="1" t="inlineStr">
        <is>
          <t>EdTech Denmark</t>
        </is>
      </c>
      <c r="I1006" s="1" t="n"/>
      <c r="J1006" s="1" t="inlineStr">
        <is>
          <t>Aalborg</t>
        </is>
      </c>
      <c r="K1006" t="inlineStr">
        <is>
          <t>Aalborg</t>
        </is>
      </c>
      <c r="L1006" t="inlineStr">
        <is>
          <t>Aalborg, Denmark</t>
        </is>
      </c>
      <c r="M1006" t="n">
        <v>57.0462626</v>
      </c>
      <c r="N1006" t="n">
        <v>9.9215263</v>
      </c>
      <c r="O1006" s="1" t="inlineStr">
        <is>
          <t>Denmark</t>
        </is>
      </c>
      <c r="P1006" s="1" t="inlineStr">
        <is>
          <t>Denmark, France, Netherlands, Norway, Spain</t>
        </is>
      </c>
      <c r="Q1006" s="1" t="inlineStr">
        <is>
          <t>0 to 10</t>
        </is>
      </c>
      <c r="R1006" t="inlineStr">
        <is>
          <t>Micro</t>
        </is>
      </c>
      <c r="S1006" s="1" t="inlineStr">
        <is>
          <t>Business to Business, Business to Consumer, Business to Government, Business to Schools</t>
        </is>
      </c>
      <c r="T1006" s="1" t="inlineStr">
        <is>
          <t>Primary Education, Secondary Education, Higher Education</t>
        </is>
      </c>
      <c r="U1006" s="1" t="inlineStr">
        <is>
          <t>Teacher interfacing</t>
        </is>
      </c>
      <c r="V1006" s="1" t="inlineStr">
        <is>
          <t>Docendo</t>
        </is>
      </c>
      <c r="W1006" s="1" t="inlineStr">
        <is>
          <t>Easy drag-and-drop school scheduling.</t>
        </is>
      </c>
      <c r="X1006" s="1" t="inlineStr">
        <is>
          <t>Zen</t>
        </is>
      </c>
      <c r="Y1006" t="inlineStr">
        <is>
          <t>School scheduling software - easy and lightning fast.
With a powerful optimiser and simple drag-and-drop Docendo ZEN makes it easy to create school schedules 🚀</t>
        </is>
      </c>
      <c r="Z1006" s="1" t="inlineStr">
        <is>
          <t>https://drive.google.com/uc?export=view&amp;id=1n6t5EM3chtGcC82FK4A_KDhPzTZZpeXC</t>
        </is>
      </c>
      <c r="AA1006" s="1" t="inlineStr">
        <is>
          <t>Unverified</t>
        </is>
      </c>
      <c r="AB1006" s="1" t="n"/>
      <c r="AC1006" s="1" t="n"/>
      <c r="AD1006" s="10" t="n"/>
      <c r="AE1006" s="1" t="n"/>
      <c r="AF1006" s="1" t="inlineStr">
        <is>
          <t>No</t>
        </is>
      </c>
      <c r="AG1006" s="1" t="n"/>
      <c r="AH1006" s="1" t="n"/>
      <c r="AI1006" s="1" t="n"/>
      <c r="AJ1006" s="1" t="n"/>
    </row>
    <row r="1007" ht="12.5" customHeight="1">
      <c r="A1007" s="6" t="n">
        <v>45181</v>
      </c>
      <c r="B1007" s="1" t="inlineStr">
        <is>
          <t>ORG_1431</t>
        </is>
      </c>
      <c r="C1007" s="1" t="b">
        <v>1</v>
      </c>
      <c r="D1007" s="1" t="inlineStr">
        <is>
          <t>Education Hackathon</t>
        </is>
      </c>
      <c r="E1007" s="10" t="inlineStr">
        <is>
          <t>Nickvanbreda.com/hackathon</t>
        </is>
      </c>
      <c r="F1007" t="inlineStr">
        <is>
          <t>nickvanbreda.com/hackathon</t>
        </is>
      </c>
      <c r="G1007" s="1" t="inlineStr">
        <is>
          <t>We help solve complex Educational problems in hackathon and living lab programs to accelerate Future proof education by constantly rethinking the status quo with multidisciplinair teams in- and outside education. Leveraging exponential trends and technologies.</t>
        </is>
      </c>
      <c r="H1007" s="1" t="inlineStr">
        <is>
          <t>I'm not part of any EdTech association</t>
        </is>
      </c>
      <c r="I1007" s="1" t="n"/>
      <c r="J1007" s="1" t="inlineStr">
        <is>
          <t>Uden</t>
        </is>
      </c>
      <c r="K1007" t="inlineStr">
        <is>
          <t>Uden</t>
        </is>
      </c>
      <c r="L1007" t="inlineStr">
        <is>
          <t>Uden, The Netherlands</t>
        </is>
      </c>
      <c r="M1007" t="n">
        <v>51.6691251</v>
      </c>
      <c r="N1007" t="n">
        <v>5.6123624</v>
      </c>
      <c r="O1007" s="1" t="inlineStr">
        <is>
          <t>The Netherlands</t>
        </is>
      </c>
      <c r="P1007" s="1" t="inlineStr">
        <is>
          <t>Austria, Belgium, Denmark, France, Germany, Italy, Netherlands, Norway, Portugal, Spain, United Kingdom</t>
        </is>
      </c>
      <c r="Q1007" s="1" t="inlineStr">
        <is>
          <t>0 to 10</t>
        </is>
      </c>
      <c r="R1007" t="inlineStr">
        <is>
          <t>Micro</t>
        </is>
      </c>
      <c r="S1007" s="1" t="inlineStr">
        <is>
          <t>Business to Business, Business to Consumer, Business to Government, Business to Schools</t>
        </is>
      </c>
      <c r="T1007" s="1" t="inlineStr">
        <is>
          <t>Early childhood development (0-5 years), Primary Education, Secondary Education, Higher Education, Corporate Training, Lifelong learning/Adult education</t>
        </is>
      </c>
      <c r="U1007" s="1" t="inlineStr">
        <is>
          <t>System/Administrative, Student interfacing, Teacher interfacing</t>
        </is>
      </c>
      <c r="V1007" s="10" t="inlineStr">
        <is>
          <t>Education Hackathon</t>
        </is>
      </c>
      <c r="W1007" s="10" t="inlineStr">
        <is>
          <t>In 12 - 68 hours we work towards holistic solutions for pre-defined education challenges. We can organize and facilitate such events, hackathons/innovation pressure cookers from A to Z. Including production, accomodation, venue, decorations and inspiration sessions like Future tech tables, comedians, cartoonists and design Thinking facilitators.</t>
        </is>
      </c>
      <c r="X1007" s="10" t="inlineStr">
        <is>
          <t>Sprint Coaching</t>
        </is>
      </c>
      <c r="Y1007" t="inlineStr">
        <is>
          <t>After defining an opportunity route out of hackathons or problem definition, we help guide (management) teams to implement startup culture and attributen into their organization to setup new business units that can then 10x scale ideas and pilots into market disruptions.</t>
        </is>
      </c>
      <c r="Z1007" s="1" t="inlineStr">
        <is>
          <t>https://drive.google.com/uc?export=view&amp;id=1F_tT22xEBdjbuGobmzrCx_N0cMwq00WA</t>
        </is>
      </c>
      <c r="AA1007" s="1" t="inlineStr">
        <is>
          <t>Unverified</t>
        </is>
      </c>
      <c r="AB1007" s="1" t="n"/>
      <c r="AC1007" s="1" t="n"/>
      <c r="AD1007" s="10" t="n"/>
      <c r="AE1007" s="1" t="n"/>
      <c r="AF1007" s="1" t="inlineStr">
        <is>
          <t>Yes</t>
        </is>
      </c>
      <c r="AG1007" s="1" t="inlineStr">
        <is>
          <t>Http://instagram.com/nickvanbreda</t>
        </is>
      </c>
      <c r="AH1007" t="inlineStr">
        <is>
          <t>Http://twitter.com/nickvanbreda</t>
        </is>
      </c>
      <c r="AI1007" t="inlineStr">
        <is>
          <t>LinkedIn.com/in/nickvanbreda</t>
        </is>
      </c>
    </row>
    <row r="1008" ht="12.5" customHeight="1">
      <c r="A1008" s="6" t="n">
        <v>45181</v>
      </c>
      <c r="B1008" s="1" t="inlineStr">
        <is>
          <t>ORG_1597</t>
        </is>
      </c>
      <c r="C1008" s="1" t="b">
        <v>1</v>
      </c>
      <c r="D1008" s="1" t="inlineStr">
        <is>
          <t>Futuclass</t>
        </is>
      </c>
      <c r="E1008" s="10" t="inlineStr">
        <is>
          <t>https://futuclass.com/</t>
        </is>
      </c>
      <c r="F1008" t="inlineStr">
        <is>
          <t>futuclass.com</t>
        </is>
      </c>
      <c r="G1008" s="1" t="inlineStr">
        <is>
          <t>Futuclass delivers highly engaging and effective lessons in Virtual Reality to teach natural sciences (Chemistry, Physics, Biology) to students aged 11-16 in school or home setting. Futuclass lessons and lesson plans have been co-created with teachers and students to achieve maximum learning outcomes. Each school is provided with teacher training, usage analytics, and a turn-key solution to take advantage of this huge leap in learning technologies.</t>
        </is>
      </c>
      <c r="H1008" s="1" t="inlineStr">
        <is>
          <t>EdTech Estonia</t>
        </is>
      </c>
      <c r="I1008" s="1" t="n"/>
      <c r="J1008" s="1" t="inlineStr">
        <is>
          <t>Tartu</t>
        </is>
      </c>
      <c r="K1008" t="inlineStr">
        <is>
          <t>Tartu</t>
        </is>
      </c>
      <c r="L1008" t="inlineStr">
        <is>
          <t>Tartu, Estonia</t>
        </is>
      </c>
      <c r="M1008" t="n">
        <v>58.3779528</v>
      </c>
      <c r="N1008" t="n">
        <v>26.7290023</v>
      </c>
      <c r="O1008" s="1" t="inlineStr">
        <is>
          <t>Estonia</t>
        </is>
      </c>
      <c r="P1008" s="1" t="inlineStr">
        <is>
          <t>Estonia, Germany, Sweden, United Kingdom</t>
        </is>
      </c>
      <c r="Q1008" s="1" t="inlineStr">
        <is>
          <t>0 to 10</t>
        </is>
      </c>
      <c r="R1008" t="inlineStr">
        <is>
          <t>Micro</t>
        </is>
      </c>
      <c r="S1008" s="1" t="inlineStr">
        <is>
          <t>Business to Business, Business to Consumer, Business to Schools</t>
        </is>
      </c>
      <c r="T1008" s="1" t="inlineStr">
        <is>
          <t>Secondary Education</t>
        </is>
      </c>
      <c r="U1008" s="1" t="inlineStr">
        <is>
          <t>System/Administrative, Student interfacing, Teacher interfacing</t>
        </is>
      </c>
      <c r="V1008" s="10" t="inlineStr">
        <is>
          <t>Futuclass</t>
        </is>
      </c>
      <c r="W1008" s="10" t="inlineStr">
        <is>
          <t>Futuclass is a library of educational VR software for higher middle-schoolers that brings joy and efficiency to learning important topics in chemistry, physics and biology. Each module has been co-created with Estonia's leading teachers and students, and has been extensively tested to ensure student achieves specific learning goals in a 20-40 gamified VR experience. Futuclass is available on all standalone 6dof headsets (Meta Quest 1-2, Pico Neo 3).</t>
        </is>
      </c>
      <c r="X1008" s="10" t="inlineStr">
        <is>
          <t>Futuclass School Kit</t>
        </is>
      </c>
      <c r="Y1008" t="inlineStr">
        <is>
          <t>Futuclass School Kit is a turnkey solution drawing from our extensive experience in using VR in higher middle-school education. The School Kit contains:
- Storage case with standalone VR devices (6 per case, Quest 1-2 or Pico Neo 3)
- Annual subscription to all Futuclass and its partners content
- Group Lesson Plans, Individual Lesson Plans, best practices materials (through Teacher Portal)
- Access to Class functionality to track student progress in VR and to log results
- Teacher onboarding webinar. Access to Futuclass Teacher Support</t>
        </is>
      </c>
      <c r="Z1008" s="1" t="inlineStr">
        <is>
          <t>https://drive.google.com/uc?export=view&amp;id=1vxkVRmDgiR3mwejmjGapvKMNlm9XAVkV</t>
        </is>
      </c>
      <c r="AA1008" s="1" t="inlineStr">
        <is>
          <t>Unverified</t>
        </is>
      </c>
      <c r="AB1008" s="1" t="n"/>
      <c r="AC1008" s="1" t="n"/>
      <c r="AD1008" s="10" t="n"/>
      <c r="AE1008" s="1" t="n"/>
      <c r="AF1008" s="1" t="inlineStr">
        <is>
          <t>Yes</t>
        </is>
      </c>
      <c r="AG1008" s="1" t="inlineStr">
        <is>
          <t>https://www.instagram.com/futu_class/</t>
        </is>
      </c>
      <c r="AH1008" s="1" t="inlineStr">
        <is>
          <t>https://twitter.com/Futuclass</t>
        </is>
      </c>
      <c r="AI1008" t="inlineStr">
        <is>
          <t>https://www.linkedin.com/company/futuclass/</t>
        </is>
      </c>
    </row>
    <row r="1009" ht="12.5" customHeight="1">
      <c r="A1009" s="6" t="n">
        <v>45181</v>
      </c>
      <c r="B1009" s="1" t="inlineStr">
        <is>
          <t>ORG_1722</t>
        </is>
      </c>
      <c r="C1009" s="1" t="b">
        <v>1</v>
      </c>
      <c r="D1009" s="1" t="inlineStr">
        <is>
          <t>Infowijs</t>
        </is>
      </c>
      <c r="E1009" s="10" t="inlineStr">
        <is>
          <t>https://infowijs.nl</t>
        </is>
      </c>
      <c r="F1009" t="inlineStr">
        <is>
          <t>infowijs.nl</t>
        </is>
      </c>
      <c r="G1009" s="1" t="inlineStr">
        <is>
          <t>Clear communication between schools, parents and students forms the bedrock of a good education, to which both parents and schools can contribute. Therefore, clear, simple and straightforward communication should be a top priority for schools.
Infowijs enables schools to do exactly this with a number of software solutions, developed in co-creation with secondary schools. Hoy, our communication app, and Schoolwiki, the digital school guide.</t>
        </is>
      </c>
      <c r="H1009" s="1" t="inlineStr">
        <is>
          <t>Dutch EdTech</t>
        </is>
      </c>
      <c r="I1009" s="1" t="n"/>
      <c r="J1009" s="1" t="inlineStr">
        <is>
          <t>Amsterdam</t>
        </is>
      </c>
      <c r="K1009" t="inlineStr">
        <is>
          <t>Amsterdam</t>
        </is>
      </c>
      <c r="L1009" t="inlineStr">
        <is>
          <t>Amsterdam, The Netherlands</t>
        </is>
      </c>
      <c r="M1009" t="n">
        <v>52.3701984</v>
      </c>
      <c r="N1009" t="n">
        <v>4.892168</v>
      </c>
      <c r="O1009" s="1" t="inlineStr">
        <is>
          <t>The Netherlands</t>
        </is>
      </c>
      <c r="P1009" s="1" t="inlineStr">
        <is>
          <t>Netherlands</t>
        </is>
      </c>
      <c r="Q1009" s="1" t="inlineStr">
        <is>
          <t>0 to 10</t>
        </is>
      </c>
      <c r="R1009" t="inlineStr">
        <is>
          <t>Micro</t>
        </is>
      </c>
      <c r="S1009" s="1" t="inlineStr">
        <is>
          <t>Business to Business, Business to Consumer, Business to Schools</t>
        </is>
      </c>
      <c r="T1009" s="1" t="inlineStr">
        <is>
          <t>Secondary Education</t>
        </is>
      </c>
      <c r="U1009" s="1" t="inlineStr">
        <is>
          <t>System/Administrative, Student interfacing, Teacher interfacing</t>
        </is>
      </c>
      <c r="V1009" s="10" t="inlineStr">
        <is>
          <t>Hoy</t>
        </is>
      </c>
      <c r="W1009" s="10" t="inlineStr">
        <is>
          <t>With Hoy every high school can communicate via their own mobile app. The app enables schools and teachers to keep in contact with parents and students easily and directly, while gaining overview and protecting their privacy.</t>
        </is>
      </c>
      <c r="X1009" s="10" t="inlineStr">
        <is>
          <t>Schoolwiki</t>
        </is>
      </c>
      <c r="Y1009" t="inlineStr">
        <is>
          <t>A modern online school guide, allowing parents and students to quickly access all of the practical school information. Via any device. While the school keeps all information up to date in no time.</t>
        </is>
      </c>
      <c r="Z1009" s="1" t="inlineStr">
        <is>
          <t>https://drive.google.com/uc?export=view&amp;id=1m5Bs1wsPDh0x7EcBY6ui5IMpci7HCtup</t>
        </is>
      </c>
      <c r="AA1009" s="1" t="inlineStr">
        <is>
          <t>Unverified</t>
        </is>
      </c>
      <c r="AB1009" s="1" t="n"/>
      <c r="AC1009" s="1" t="n"/>
      <c r="AD1009" s="10" t="n"/>
      <c r="AE1009" s="1" t="n"/>
      <c r="AF1009" s="1" t="inlineStr">
        <is>
          <t>Yes</t>
        </is>
      </c>
      <c r="AG1009" s="1" t="inlineStr">
        <is>
          <t>https://www.instagram.com/infowijs/</t>
        </is>
      </c>
      <c r="AH1009" s="1" t="inlineStr">
        <is>
          <t>https://twitter.com/infowijs</t>
        </is>
      </c>
      <c r="AI1009" t="inlineStr">
        <is>
          <t>https://www.linkedin.com/company/infowijs/</t>
        </is>
      </c>
    </row>
    <row r="1010" ht="12.5" customHeight="1">
      <c r="A1010" s="6" t="n">
        <v>45181</v>
      </c>
      <c r="B1010" s="1" t="inlineStr">
        <is>
          <t>ORG_1742</t>
        </is>
      </c>
      <c r="C1010" s="1" t="b">
        <v>1</v>
      </c>
      <c r="D1010" s="1" t="inlineStr">
        <is>
          <t>IST Deutschland</t>
        </is>
      </c>
      <c r="E1010" s="10" t="inlineStr">
        <is>
          <t>www.ist.com/de</t>
        </is>
      </c>
      <c r="F1010" t="inlineStr">
        <is>
          <t>ist.com/de</t>
        </is>
      </c>
      <c r="G1010" s="1" t="inlineStr">
        <is>
          <t>As a member of the Scandinavian EdTech market leader IST Group, we provide schools and school authorities in Germany with software solutions for school administration, learning management, timetabling and IT security. We combine this with individual services.</t>
        </is>
      </c>
      <c r="H1010" s="1" t="inlineStr">
        <is>
          <t>I'm not part of any EdTech association</t>
        </is>
      </c>
      <c r="I1010" s="1" t="n"/>
      <c r="J1010" s="1" t="inlineStr">
        <is>
          <t>Neritz</t>
        </is>
      </c>
      <c r="K1010" t="inlineStr">
        <is>
          <t>Neritz</t>
        </is>
      </c>
      <c r="L1010" t="inlineStr">
        <is>
          <t>Neritz, Germany</t>
        </is>
      </c>
      <c r="M1010" t="n">
        <v>53.7849373</v>
      </c>
      <c r="N1010" t="n">
        <v>10.2844731</v>
      </c>
      <c r="O1010" s="1" t="inlineStr">
        <is>
          <t>Germany</t>
        </is>
      </c>
      <c r="P1010" s="1" t="inlineStr">
        <is>
          <t>Austria, Finland, Italy, Portugal, Romania, Switzerland</t>
        </is>
      </c>
      <c r="Q1010" s="1" t="inlineStr">
        <is>
          <t>11 to 50</t>
        </is>
      </c>
      <c r="R1010" t="inlineStr">
        <is>
          <t>Small</t>
        </is>
      </c>
      <c r="S1010" s="1" t="inlineStr">
        <is>
          <t>Business to Business, Business to Consumer, Business to Schools</t>
        </is>
      </c>
      <c r="T1010" s="1" t="inlineStr">
        <is>
          <t>Primary Education, Secondary Education, Higher Education</t>
        </is>
      </c>
      <c r="U1010" s="1" t="inlineStr">
        <is>
          <t>Teacher interfacing, System/Administrative</t>
        </is>
      </c>
      <c r="V1010" s="1" t="n"/>
      <c r="W1010" s="1" t="inlineStr">
        <is>
          <t>https://drive.google.com/uc?export=view&amp;id=1wRMzIpNnbhSHEACMUQzkjZmcGddy5Jj4</t>
        </is>
      </c>
      <c r="X1010" s="1" t="inlineStr">
        <is>
          <t>https://drive.google.com/uc?export=view&amp;id=1wRMzIpNnbhSHEACMUQzkjZmcGddy5Jj4</t>
        </is>
      </c>
      <c r="Y1010" t="inlineStr">
        <is>
          <t>https://drive.google.com/uc?export=view&amp;id=1wRMzIpNnbhSHEACMUQzkjZmcGddy5Jj4</t>
        </is>
      </c>
      <c r="Z1010" s="1" t="inlineStr">
        <is>
          <t>https://drive.google.com/uc?export=view&amp;id=1wRMzIpNnbhSHEACMUQzkjZmcGddy5Jj4</t>
        </is>
      </c>
      <c r="AA1010" s="1" t="inlineStr">
        <is>
          <t>Unverified</t>
        </is>
      </c>
      <c r="AB1010" s="1" t="n"/>
      <c r="AC1010" s="1" t="n"/>
      <c r="AD1010" s="10" t="n"/>
      <c r="AE1010" s="1" t="n"/>
      <c r="AF1010" s="1" t="inlineStr">
        <is>
          <t>No</t>
        </is>
      </c>
      <c r="AG1010" s="1" t="n"/>
      <c r="AH1010" s="1" t="n"/>
      <c r="AI1010" s="1" t="n"/>
      <c r="AJ1010" s="1" t="n"/>
    </row>
    <row r="1011" ht="12.5" customHeight="1">
      <c r="A1011" s="6" t="n">
        <v>45181</v>
      </c>
      <c r="B1011" s="1" t="inlineStr">
        <is>
          <t>ORG_1826</t>
        </is>
      </c>
      <c r="C1011" s="1" t="b">
        <v>1</v>
      </c>
      <c r="D1011" s="1" t="inlineStr">
        <is>
          <t>LearnCove</t>
        </is>
      </c>
      <c r="E1011" s="10" t="inlineStr">
        <is>
          <t>Learmcove.com</t>
        </is>
      </c>
      <c r="F1011" t="inlineStr">
        <is>
          <t>learmcove.com</t>
        </is>
      </c>
      <c r="G1011" s="1" t="inlineStr">
        <is>
          <t>LearnCove is the training platform for your industry. Our customers use LearnCove to train their customers, partners and staff worldwide. 
- Digitize training and onboard easier 
- Schedule processes and track progress 
- provide multilingual training</t>
        </is>
      </c>
      <c r="H1011" s="1" t="inlineStr">
        <is>
          <t>xEdu</t>
        </is>
      </c>
      <c r="I1011" s="1" t="n"/>
      <c r="J1011" s="1" t="inlineStr">
        <is>
          <t>Reykjavik</t>
        </is>
      </c>
      <c r="K1011" t="inlineStr">
        <is>
          <t>Reykjavik</t>
        </is>
      </c>
      <c r="L1011" t="inlineStr">
        <is>
          <t>Reykjavik, Iceland</t>
        </is>
      </c>
      <c r="M1011" t="n">
        <v>64.14598100000001</v>
      </c>
      <c r="N1011" t="n">
        <v>-21.9422367</v>
      </c>
      <c r="O1011" s="1" t="inlineStr">
        <is>
          <t>Iceland</t>
        </is>
      </c>
      <c r="P1011" s="1" t="inlineStr">
        <is>
          <t>Denmark, Greece, Iceland</t>
        </is>
      </c>
      <c r="Q1011" s="1" t="inlineStr">
        <is>
          <t>0 to 10</t>
        </is>
      </c>
      <c r="R1011" t="inlineStr">
        <is>
          <t>Micro</t>
        </is>
      </c>
      <c r="S1011" s="1" t="inlineStr">
        <is>
          <t>Business to Business, Business to Consumer, Business to Schools</t>
        </is>
      </c>
      <c r="T1011" s="1" t="inlineStr">
        <is>
          <t>Corporate Training</t>
        </is>
      </c>
      <c r="U1011" s="1" t="inlineStr">
        <is>
          <t>System/Administrative</t>
        </is>
      </c>
      <c r="V1011" s="10" t="inlineStr">
        <is>
          <t>LearnCove</t>
        </is>
      </c>
      <c r="W1011" s="1" t="inlineStr">
        <is>
          <t>LearnCove is the training platform for your industry. Our customers use LearnCove to train their customers, partners and staff worldwide. 
- Digitize training and onboard easier 
- Schedule processes and track progress 
- provide multilingual training</t>
        </is>
      </c>
      <c r="X1011" s="10" t="inlineStr">
        <is>
          <t>https://drive.google.com/uc?export=view&amp;id=1q9ZDMoKOvEscc-CnQwZghZ0_lismnzD6</t>
        </is>
      </c>
      <c r="Y1011" t="inlineStr">
        <is>
          <t>https://drive.google.com/uc?export=view&amp;id=1q9ZDMoKOvEscc-CnQwZghZ0_lismnzD6</t>
        </is>
      </c>
      <c r="Z1011" s="1" t="inlineStr">
        <is>
          <t>https://drive.google.com/uc?export=view&amp;id=1q9ZDMoKOvEscc-CnQwZghZ0_lismnzD6</t>
        </is>
      </c>
      <c r="AA1011" s="1" t="inlineStr">
        <is>
          <t>Unverified</t>
        </is>
      </c>
      <c r="AB1011" s="1" t="n"/>
      <c r="AC1011" s="1" t="n"/>
      <c r="AD1011" s="10" t="n"/>
      <c r="AE1011" s="1" t="n"/>
      <c r="AF1011" s="1" t="inlineStr">
        <is>
          <t>Yes</t>
        </is>
      </c>
      <c r="AG1011" s="1" t="inlineStr">
        <is>
          <t>https://instagram.com/learncove?igshid=YmMyMTA2M2Y=</t>
        </is>
      </c>
      <c r="AH1011" s="1" t="inlineStr">
        <is>
          <t>https://www.linkedin.com/company/learncove/</t>
        </is>
      </c>
      <c r="AI1011" t="inlineStr">
        <is>
          <t>https://www.linkedin.com/company/learncove/</t>
        </is>
      </c>
    </row>
    <row r="1012" ht="12.5" customHeight="1">
      <c r="A1012" s="6" t="n">
        <v>45181</v>
      </c>
      <c r="B1012" s="1" t="inlineStr">
        <is>
          <t>ORG_1847</t>
        </is>
      </c>
      <c r="C1012" s="1" t="b">
        <v>1</v>
      </c>
      <c r="D1012" s="1" t="inlineStr">
        <is>
          <t>Leer Zelf Online</t>
        </is>
      </c>
      <c r="E1012" s="10" t="inlineStr">
        <is>
          <t>leerzelfonline.nl</t>
        </is>
      </c>
      <c r="F1012" t="inlineStr">
        <is>
          <t>leerzelfonline.nl</t>
        </is>
      </c>
      <c r="G1012" s="1" t="inlineStr">
        <is>
          <t>Social enterprise Leer Zelf Online is specialized in explaining difficult subjects in an easy to understand way.
We focus our efforts on people that are vulnerable in society and have limited (digital) skills. We do this step by step, using simplified language, attractive illustrations and animations. Our combined platforms receives over three million visitors per year from all walks of life.</t>
        </is>
      </c>
      <c r="H1012" s="1" t="inlineStr">
        <is>
          <t>I'm not part of any EdTech association</t>
        </is>
      </c>
      <c r="I1012" s="1" t="n"/>
      <c r="J1012" s="1" t="inlineStr">
        <is>
          <t>Woerden</t>
        </is>
      </c>
      <c r="K1012" t="inlineStr">
        <is>
          <t>Woerden</t>
        </is>
      </c>
      <c r="L1012" t="inlineStr">
        <is>
          <t>Woerden, The Netherlands</t>
        </is>
      </c>
      <c r="M1012" t="n">
        <v>52.0803841</v>
      </c>
      <c r="N1012" t="n">
        <v>4.8896654</v>
      </c>
      <c r="O1012" s="1" t="inlineStr">
        <is>
          <t>The Netherlands</t>
        </is>
      </c>
      <c r="P1012" s="1" t="inlineStr">
        <is>
          <t>Netherlands</t>
        </is>
      </c>
      <c r="Q1012" s="1" t="inlineStr">
        <is>
          <t>11 to 50</t>
        </is>
      </c>
      <c r="R1012" t="inlineStr">
        <is>
          <t>Small</t>
        </is>
      </c>
      <c r="S1012" s="1" t="inlineStr">
        <is>
          <t>Business to Business, Business to Consumer, Business to Schools</t>
        </is>
      </c>
      <c r="T1012" s="1" t="inlineStr">
        <is>
          <t>Early childhood development (0-5 years), Primary Education, Corporate Training, Lifelong learning/Adult education</t>
        </is>
      </c>
      <c r="U1012" s="1" t="inlineStr">
        <is>
          <t>System/Administrative, Teacher interfacing, Student interfacing</t>
        </is>
      </c>
      <c r="V1012" s="10" t="inlineStr">
        <is>
          <t>Steffie</t>
        </is>
      </c>
      <c r="W1012" s="10" t="inlineStr">
        <is>
          <t>Supporting guide
All explanations from our Avatar Steffie are both in text and are spoken by our animated figure Steffie. Steffie is the guide that takes you through the subject matter and supports you along the way. The feeling of being supported throughout the explanations is very much appreciated by our users, as this is usually lacking in other online learning and information tools. To improve their skills, users can practice subjects in different forms, that fit the subject matter best.
Many subjects
Steffie helps with a wide selection of subjects, like financial and administrative skills, news, health, relations and sexuality as well as computer skills. Steffie makes information comprehensible for the Dutch government about vaccination, quarantine, self-testing, social benefits and elections. Steffie empowers people in these areas by reducing anxiety, transferring knowledge and building up self-esteem.</t>
        </is>
      </c>
      <c r="X1012" s="10" t="inlineStr">
        <is>
          <t>ABCDate</t>
        </is>
      </c>
      <c r="Y1012" t="inlineStr">
        <is>
          <t>ABCDate is for people of 18 years or older with an intellectual disability. They can meet new people on this website. For example, to do fun things together, to share a hobby, to make friends or to look for a relationship.
You can only use ABCDate if your healthcare organization has agreements with ABCDate. We want to build a nationwide network so that everyone will soon have a lot to choose from! ABCDate consists of an easy and safe to use app, websites and special events.</t>
        </is>
      </c>
      <c r="Z1012" s="1" t="inlineStr">
        <is>
          <t>https://drive.google.com/uc?export=view&amp;id=1RxrE5GT7RhcQ1NwkZ07Xw87w3UNG7oW1</t>
        </is>
      </c>
      <c r="AA1012" s="1" t="inlineStr">
        <is>
          <t>Unverified</t>
        </is>
      </c>
      <c r="AB1012" s="1" t="n"/>
      <c r="AC1012" s="1" t="n"/>
      <c r="AD1012" s="10" t="n"/>
      <c r="AE1012" s="1" t="n"/>
      <c r="AF1012" s="1" t="inlineStr">
        <is>
          <t>Yes</t>
        </is>
      </c>
      <c r="AG1012" s="1" t="inlineStr">
        <is>
          <t>https://www.instagram.com/steffiehelpt/</t>
        </is>
      </c>
      <c r="AH1012" s="1" t="inlineStr">
        <is>
          <t>https://twitter.com/leerzelfonline</t>
        </is>
      </c>
      <c r="AI1012" t="inlineStr">
        <is>
          <t>https://www.linkedin.com/company/10372565/admin/</t>
        </is>
      </c>
    </row>
    <row r="1013" ht="12.5" customHeight="1">
      <c r="A1013" s="6" t="n">
        <v>45181</v>
      </c>
      <c r="B1013" s="1" t="inlineStr">
        <is>
          <t>ORG_1955</t>
        </is>
      </c>
      <c r="C1013" s="1" t="b">
        <v>1</v>
      </c>
      <c r="D1013" s="1" t="inlineStr">
        <is>
          <t>Mereos</t>
        </is>
      </c>
      <c r="E1013" s="10" t="inlineStr">
        <is>
          <t>https://mereos.eu/</t>
        </is>
      </c>
      <c r="F1013" t="inlineStr">
        <is>
          <t>mereos.eu</t>
        </is>
      </c>
      <c r="G1013" s="1" t="inlineStr">
        <is>
          <t>We have entered in a new era, the era of remote everything. Today, we can take online courses, train on Youtube and even attend virtual events. The only catch? The tools to assess and certify skill level have not evolved. 
At Mereos, we make sure your online tests are 100% secure and we fight fraud with top-of-the-notch proctoring solutions.</t>
        </is>
      </c>
      <c r="H1013" s="1" t="inlineStr">
        <is>
          <t>EdTech France</t>
        </is>
      </c>
      <c r="I1013" s="1" t="n"/>
      <c r="J1013" s="1" t="inlineStr">
        <is>
          <t>Paris</t>
        </is>
      </c>
      <c r="K1013" t="inlineStr">
        <is>
          <t>Paris</t>
        </is>
      </c>
      <c r="L1013" t="inlineStr">
        <is>
          <t>Paris, France</t>
        </is>
      </c>
      <c r="M1013" t="n">
        <v>48.8534951</v>
      </c>
      <c r="N1013" t="n">
        <v>2.3483915</v>
      </c>
      <c r="O1013" s="1" t="inlineStr">
        <is>
          <t>France</t>
        </is>
      </c>
      <c r="P1013" s="1" t="inlineStr">
        <is>
          <t>France</t>
        </is>
      </c>
      <c r="Q1013" s="1" t="inlineStr">
        <is>
          <t>0 to 10</t>
        </is>
      </c>
      <c r="R1013" t="inlineStr">
        <is>
          <t>Micro</t>
        </is>
      </c>
      <c r="S1013" s="1" t="inlineStr">
        <is>
          <t>Business to Business, Business to Consumer, Business to Schools</t>
        </is>
      </c>
      <c r="T1013" s="1" t="inlineStr">
        <is>
          <t>Secondary Education, Higher Education, Corporate Training, Lifelong learning/Adult education</t>
        </is>
      </c>
      <c r="U1013" s="1" t="inlineStr">
        <is>
          <t>Teacher interfacing, Student interfacing, System/Administrative</t>
        </is>
      </c>
      <c r="V1013" s="1" t="n"/>
      <c r="W1013" s="1" t="inlineStr">
        <is>
          <t>https://drive.google.com/uc?export=view&amp;id=1MaJou1O684Cuooh5HxLW3gE3JrLkFZCf</t>
        </is>
      </c>
      <c r="X1013" s="1" t="inlineStr">
        <is>
          <t>https://drive.google.com/uc?export=view&amp;id=1MaJou1O684Cuooh5HxLW3gE3JrLkFZCf</t>
        </is>
      </c>
      <c r="Y1013" t="inlineStr">
        <is>
          <t>https://drive.google.com/uc?export=view&amp;id=1MaJou1O684Cuooh5HxLW3gE3JrLkFZCf</t>
        </is>
      </c>
      <c r="Z1013" s="1" t="inlineStr">
        <is>
          <t>https://drive.google.com/uc?export=view&amp;id=1MaJou1O684Cuooh5HxLW3gE3JrLkFZCf</t>
        </is>
      </c>
      <c r="AA1013" s="1" t="inlineStr">
        <is>
          <t>Unverified</t>
        </is>
      </c>
      <c r="AB1013" s="1" t="n"/>
      <c r="AC1013" s="1" t="n"/>
      <c r="AD1013" s="10" t="n"/>
      <c r="AE1013" s="1" t="n"/>
      <c r="AF1013" s="1" t="inlineStr">
        <is>
          <t>No</t>
        </is>
      </c>
      <c r="AG1013" s="1" t="n"/>
      <c r="AH1013" s="1" t="n"/>
    </row>
    <row r="1014" ht="12.5" customHeight="1">
      <c r="A1014" s="6" t="n">
        <v>45181</v>
      </c>
      <c r="B1014" s="1" t="inlineStr">
        <is>
          <t>ORG_2043</t>
        </is>
      </c>
      <c r="C1014" s="1" t="b">
        <v>1</v>
      </c>
      <c r="D1014" s="1" t="inlineStr">
        <is>
          <t>Nominis</t>
        </is>
      </c>
      <c r="E1014" s="10" t="inlineStr">
        <is>
          <t>https://nominis.es/</t>
        </is>
      </c>
      <c r="F1014" t="inlineStr">
        <is>
          <t>nominis.es</t>
        </is>
      </c>
      <c r="G1014" s="1" t="inlineStr">
        <is>
          <t>Nominis is the digital language academy during childhood. It uses interactive stories as a key resource to enhance the learning experience.</t>
        </is>
      </c>
      <c r="H1014" s="1" t="inlineStr">
        <is>
          <t>I'm not part of any EdTech association</t>
        </is>
      </c>
      <c r="I1014" s="1" t="n"/>
      <c r="J1014" s="1" t="inlineStr">
        <is>
          <t>Barcelona</t>
        </is>
      </c>
      <c r="K1014" t="inlineStr">
        <is>
          <t>Barcelona</t>
        </is>
      </c>
      <c r="L1014" t="inlineStr">
        <is>
          <t>Barcelona, Spain</t>
        </is>
      </c>
      <c r="M1014" t="n">
        <v>41.3825802</v>
      </c>
      <c r="N1014" t="n">
        <v>2.177073</v>
      </c>
      <c r="O1014" s="1" t="inlineStr">
        <is>
          <t>Spain</t>
        </is>
      </c>
      <c r="P1014" s="1" t="inlineStr">
        <is>
          <t>Spain</t>
        </is>
      </c>
      <c r="Q1014" s="1" t="inlineStr">
        <is>
          <t>0 to 10</t>
        </is>
      </c>
      <c r="R1014" t="inlineStr">
        <is>
          <t>Micro</t>
        </is>
      </c>
      <c r="S1014" s="1" t="inlineStr">
        <is>
          <t>Business to Business, Business to Government</t>
        </is>
      </c>
      <c r="T1014" s="1" t="inlineStr">
        <is>
          <t>Primary Education</t>
        </is>
      </c>
      <c r="U1014" s="1" t="inlineStr">
        <is>
          <t>System/Administrative, Student interfacing, Teacher interfacing</t>
        </is>
      </c>
      <c r="V1014" s="1" t="n"/>
      <c r="W1014" s="1" t="inlineStr">
        <is>
          <t>https://drive.google.com/uc?export=view&amp;id=1FRC_djKqUnjYd7I-peVn9gjRY-E8oAXs</t>
        </is>
      </c>
      <c r="X1014" s="1" t="inlineStr">
        <is>
          <t>https://drive.google.com/uc?export=view&amp;id=1FRC_djKqUnjYd7I-peVn9gjRY-E8oAXs</t>
        </is>
      </c>
      <c r="Y1014" t="inlineStr">
        <is>
          <t>https://drive.google.com/uc?export=view&amp;id=1FRC_djKqUnjYd7I-peVn9gjRY-E8oAXs</t>
        </is>
      </c>
      <c r="Z1014" s="1" t="inlineStr">
        <is>
          <t>https://drive.google.com/uc?export=view&amp;id=1FRC_djKqUnjYd7I-peVn9gjRY-E8oAXs</t>
        </is>
      </c>
      <c r="AA1014" s="1" t="inlineStr">
        <is>
          <t>Unverified</t>
        </is>
      </c>
      <c r="AB1014" s="1" t="n"/>
      <c r="AC1014" s="1" t="n"/>
      <c r="AD1014" s="10" t="n"/>
      <c r="AE1014" s="1" t="n"/>
      <c r="AF1014" t="inlineStr">
        <is>
          <t>No</t>
        </is>
      </c>
    </row>
    <row r="1015" ht="12.5" customHeight="1">
      <c r="A1015" s="6" t="n">
        <v>45181</v>
      </c>
      <c r="B1015" s="1" t="inlineStr">
        <is>
          <t>ORG_2091</t>
        </is>
      </c>
      <c r="C1015" s="1" t="b">
        <v>1</v>
      </c>
      <c r="D1015" s="1" t="inlineStr">
        <is>
          <t>pearprogramming</t>
        </is>
      </c>
      <c r="E1015" s="10" t="inlineStr">
        <is>
          <t>www.pearup.de</t>
        </is>
      </c>
      <c r="F1015" t="inlineStr">
        <is>
          <t>pearup.de</t>
        </is>
      </c>
      <c r="G1015" s="1" t="inlineStr">
        <is>
          <t>pearprogramming is an educational startup founded by graduates from the University of Osnabrück. Our mission is to develop innovative software for school lessons that inspires students to learn and empowers them to understand and actively shape the world of tomorrow.</t>
        </is>
      </c>
      <c r="H1015" s="1" t="inlineStr">
        <is>
          <t>EDUvation</t>
        </is>
      </c>
      <c r="I1015" s="1" t="n"/>
      <c r="J1015" s="1" t="inlineStr">
        <is>
          <t>Osnabrück</t>
        </is>
      </c>
      <c r="K1015" t="inlineStr">
        <is>
          <t>Osnabrück</t>
        </is>
      </c>
      <c r="L1015" t="inlineStr">
        <is>
          <t>Osnabrück, Germany</t>
        </is>
      </c>
      <c r="M1015" t="n">
        <v>52.2719595</v>
      </c>
      <c r="N1015" t="n">
        <v>8.047635</v>
      </c>
      <c r="O1015" s="1" t="inlineStr">
        <is>
          <t>Germany</t>
        </is>
      </c>
      <c r="P1015" s="1" t="inlineStr">
        <is>
          <t>Austria, Germany</t>
        </is>
      </c>
      <c r="Q1015" s="1" t="inlineStr">
        <is>
          <t>0 to 10</t>
        </is>
      </c>
      <c r="R1015" t="inlineStr">
        <is>
          <t>Micro</t>
        </is>
      </c>
      <c r="S1015" s="1" t="inlineStr">
        <is>
          <t>Business to Business, Business to Government, Business to Schools</t>
        </is>
      </c>
      <c r="T1015" s="1" t="inlineStr">
        <is>
          <t>Secondary Education</t>
        </is>
      </c>
      <c r="U1015" s="1" t="inlineStr">
        <is>
          <t>Student interfacing, Teacher interfacing</t>
        </is>
      </c>
      <c r="V1015" s="10" t="inlineStr">
        <is>
          <t>PearUp</t>
        </is>
      </c>
      <c r="W1015" s="10" t="inlineStr">
        <is>
          <t>PearUp is a marketplace for interactive worksheets. We offer a diverse selection of teaching material from various educational providers - both free and paid. All content can be adjusted as desired and conveniently sent to the students via a link. The evaluation takes place automatically and can be tracked in real time.</t>
        </is>
      </c>
      <c r="X1015" s="10" t="inlineStr">
        <is>
          <t>https://drive.google.com/uc?export=view&amp;id=1ynzuI7VamJj22wIyGKdc0ZgNDr1xXz63</t>
        </is>
      </c>
      <c r="Y1015" t="inlineStr">
        <is>
          <t>https://drive.google.com/uc?export=view&amp;id=1ynzuI7VamJj22wIyGKdc0ZgNDr1xXz63</t>
        </is>
      </c>
      <c r="Z1015" s="1" t="inlineStr">
        <is>
          <t>https://drive.google.com/uc?export=view&amp;id=1ynzuI7VamJj22wIyGKdc0ZgNDr1xXz63</t>
        </is>
      </c>
      <c r="AA1015" s="1" t="inlineStr">
        <is>
          <t>Unverified</t>
        </is>
      </c>
      <c r="AB1015" s="1" t="n"/>
      <c r="AC1015" s="1" t="n"/>
      <c r="AD1015" s="10" t="n"/>
      <c r="AE1015" s="1" t="n"/>
      <c r="AF1015" s="1" t="inlineStr">
        <is>
          <t>Yes</t>
        </is>
      </c>
      <c r="AG1015" s="1" t="inlineStr">
        <is>
          <t>https://www.instagram.com/pearup_edu/</t>
        </is>
      </c>
      <c r="AH1015" t="inlineStr">
        <is>
          <t>https://twitter.com/pearup_edu</t>
        </is>
      </c>
      <c r="AI1015" t="inlineStr">
        <is>
          <t>https://www.linkedin.com/company/11718283</t>
        </is>
      </c>
    </row>
    <row r="1016" ht="12.5" customHeight="1">
      <c r="A1016" s="6" t="n">
        <v>45181</v>
      </c>
      <c r="B1016" s="1" t="inlineStr">
        <is>
          <t>ORG_2092</t>
        </is>
      </c>
      <c r="C1016" s="1" t="b">
        <v>1</v>
      </c>
      <c r="D1016" s="1" t="inlineStr">
        <is>
          <t>PebblePad - The Learning Journey &amp; Assessment Platform</t>
        </is>
      </c>
      <c r="E1016" s="10" t="inlineStr">
        <is>
          <t>www.pebblepad.com</t>
        </is>
      </c>
      <c r="F1016" t="inlineStr">
        <is>
          <t>pebblepad.com</t>
        </is>
      </c>
      <c r="G1016" s="1" t="inlineStr">
        <is>
          <t>PEBBLEPAD HELPS UNIVERSITIES AROUND THE WORLD IMPROVE STUDENT OUTCOMES,ENGAGEMENT &amp; LEARNING BY TRANSFORMING THE LEARNING JOURNEY &amp; THE PROCESS OF LEARNING AT SCALE.
PebblePad delivers unrivalled capability when it comes to student-centred learning, scaffolding end-to-end learning journeys and learner pathways that make a real difference to your students' success. Student-centred, experiential learning initiatives, e-portfolio and reflective practices, authentic and programmatic assessment are notoriously difficult to support and assess, especially at scale. That's why universities around the globe are choosing the PebblePad Learning Journey &amp; Assessment Platform to bolster their institution-wide capacity for scaffolding learner journeys and learner pathways that seamlessly span learning on and off campus - in any context, at any scale, from application to graduation on onwards.
PebblePad helps Universities around the world bring continuity and structure to the diverse learning experiences your students will undertake, helping them navigate, reflect on, and make sense of their curricular, co- and extra-curricular activities on the journey to becoming successful future and career ready graduates.</t>
        </is>
      </c>
      <c r="H1016" s="1" t="inlineStr">
        <is>
          <t>I'm not part of any EdTech association</t>
        </is>
      </c>
      <c r="I1016" s="1" t="n"/>
      <c r="J1016" s="1" t="inlineStr">
        <is>
          <t>Telford</t>
        </is>
      </c>
      <c r="K1016" t="inlineStr">
        <is>
          <t>Telford</t>
        </is>
      </c>
      <c r="L1016" t="inlineStr">
        <is>
          <t>Telford, United Kingdom</t>
        </is>
      </c>
      <c r="M1016" t="n">
        <v>52.6780532</v>
      </c>
      <c r="N1016" t="n">
        <v>-2.4514219</v>
      </c>
      <c r="O1016" s="1" t="inlineStr">
        <is>
          <t>United Kingdom</t>
        </is>
      </c>
      <c r="P1016" s="1" t="inlineStr">
        <is>
          <t>Austria, Belgium, Denmark, Finland, France, Germany, Iceland, Ireland, Italy, Netherlands, Norway, Poland, Spain, Sweden, Switzerland, United Kingdom</t>
        </is>
      </c>
      <c r="Q1016" s="1" t="inlineStr">
        <is>
          <t>51 to 100</t>
        </is>
      </c>
      <c r="R1016" t="inlineStr">
        <is>
          <t>Medium</t>
        </is>
      </c>
      <c r="S1016" s="1" t="inlineStr">
        <is>
          <t>Business to Business, Business to Government, Business to Schools</t>
        </is>
      </c>
      <c r="T1016" s="1" t="inlineStr">
        <is>
          <t>Higher Education, Lifelong learning/Adult education</t>
        </is>
      </c>
      <c r="U1016" s="1" t="inlineStr">
        <is>
          <t>Teacher interfacing, System/Administrative</t>
        </is>
      </c>
      <c r="V1016" s="1" t="n"/>
      <c r="W1016" s="1" t="inlineStr">
        <is>
          <t>https://drive.google.com/uc?export=view&amp;id=1XHo35bAfWcQNKwddSD2vSCuBe0um5hwC</t>
        </is>
      </c>
      <c r="X1016" s="1" t="inlineStr">
        <is>
          <t>https://drive.google.com/uc?export=view&amp;id=1XHo35bAfWcQNKwddSD2vSCuBe0um5hwC</t>
        </is>
      </c>
      <c r="Y1016" t="inlineStr">
        <is>
          <t>https://drive.google.com/uc?export=view&amp;id=1XHo35bAfWcQNKwddSD2vSCuBe0um5hwC</t>
        </is>
      </c>
      <c r="Z1016" s="1" t="inlineStr">
        <is>
          <t>https://drive.google.com/uc?export=view&amp;id=1XHo35bAfWcQNKwddSD2vSCuBe0um5hwC</t>
        </is>
      </c>
      <c r="AA1016" s="1" t="inlineStr">
        <is>
          <t>Unverified</t>
        </is>
      </c>
      <c r="AB1016" s="1" t="n"/>
      <c r="AC1016" s="1" t="n"/>
      <c r="AD1016" s="10" t="n"/>
      <c r="AE1016" s="1" t="n"/>
      <c r="AF1016" s="1" t="inlineStr">
        <is>
          <t>No</t>
        </is>
      </c>
      <c r="AG1016" s="1" t="n"/>
    </row>
    <row r="1017" ht="12.5" customHeight="1">
      <c r="A1017" s="6" t="n">
        <v>45181</v>
      </c>
      <c r="B1017" s="1" t="inlineStr">
        <is>
          <t>ORG_2116</t>
        </is>
      </c>
      <c r="C1017" s="1" t="b">
        <v>1</v>
      </c>
      <c r="D1017" s="1" t="inlineStr">
        <is>
          <t>Poikilingo</t>
        </is>
      </c>
      <c r="E1017" s="10" t="inlineStr">
        <is>
          <t>https://www.poikilingo.com</t>
        </is>
      </c>
      <c r="F1017" t="inlineStr">
        <is>
          <t>poikilingo.com</t>
        </is>
      </c>
      <c r="G1017" s="1" t="inlineStr">
        <is>
          <t>Poikilingo is a subscription-based language app for kids 2-6, with games, interactive books, songs and cartoons. Our main target group are immigrant children who moved to another country or children of immigrants learning their parent's language. Children have a cartoon avatar of themselves, who engage in plots about daily situations. When failing an activity, an instruction in their mother language is given, keeping them engaged. The app is available in English, Spanish, Portuguese and Danish, and we will scale by adding new languages from countries with high migration flow. Our activities are created by early childhood and language experts, and inspired by the UN Sustainable Development Goals.</t>
        </is>
      </c>
      <c r="H1017" s="1" t="inlineStr">
        <is>
          <t>EdTech Denmark</t>
        </is>
      </c>
      <c r="I1017" s="1" t="n"/>
      <c r="J1017" s="1" t="inlineStr">
        <is>
          <t>Tørring</t>
        </is>
      </c>
      <c r="K1017" t="inlineStr">
        <is>
          <t>Tørring</t>
        </is>
      </c>
      <c r="L1017" t="inlineStr">
        <is>
          <t>Tørring, Denmark</t>
        </is>
      </c>
      <c r="M1017" t="n">
        <v>55.8499627</v>
      </c>
      <c r="N1017" t="n">
        <v>9.483801</v>
      </c>
      <c r="O1017" s="1" t="inlineStr">
        <is>
          <t>Denmark</t>
        </is>
      </c>
      <c r="P101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017" s="1" t="inlineStr">
        <is>
          <t>0 to 10</t>
        </is>
      </c>
      <c r="R1017" t="inlineStr">
        <is>
          <t>Micro</t>
        </is>
      </c>
      <c r="S1017" s="1" t="inlineStr">
        <is>
          <t>Business to Business, Business to Government, Business to Schools</t>
        </is>
      </c>
      <c r="T1017" s="1" t="inlineStr">
        <is>
          <t>Early childhood development (0-5 years)</t>
        </is>
      </c>
      <c r="U1017" s="1" t="inlineStr">
        <is>
          <t>Student interfacing</t>
        </is>
      </c>
      <c r="V1017" s="1" t="n"/>
      <c r="W1017" s="1" t="inlineStr">
        <is>
          <t>https://drive.google.com/uc?export=view&amp;id=1BSjr9gQWpuqlh-FFcGxBOI0LeZEQit5k</t>
        </is>
      </c>
      <c r="X1017" s="1" t="inlineStr">
        <is>
          <t>https://drive.google.com/uc?export=view&amp;id=1BSjr9gQWpuqlh-FFcGxBOI0LeZEQit5k</t>
        </is>
      </c>
      <c r="Y1017" t="inlineStr">
        <is>
          <t>https://drive.google.com/uc?export=view&amp;id=1BSjr9gQWpuqlh-FFcGxBOI0LeZEQit5k</t>
        </is>
      </c>
      <c r="Z1017" s="1" t="inlineStr">
        <is>
          <t>https://drive.google.com/uc?export=view&amp;id=1BSjr9gQWpuqlh-FFcGxBOI0LeZEQit5k</t>
        </is>
      </c>
      <c r="AA1017" s="1" t="inlineStr">
        <is>
          <t>Unverified</t>
        </is>
      </c>
      <c r="AB1017" s="1" t="n"/>
      <c r="AC1017" s="1" t="n"/>
      <c r="AD1017" s="10" t="n"/>
      <c r="AE1017" s="1" t="n"/>
      <c r="AF1017" s="1" t="inlineStr">
        <is>
          <t>No</t>
        </is>
      </c>
      <c r="AG1017" s="1" t="n"/>
    </row>
    <row r="1018" ht="12.5" customHeight="1">
      <c r="A1018" s="6" t="n">
        <v>45181</v>
      </c>
      <c r="B1018" s="1" t="inlineStr">
        <is>
          <t>ORG_2220</t>
        </is>
      </c>
      <c r="C1018" s="1" t="b">
        <v>1</v>
      </c>
      <c r="D1018" s="1" t="inlineStr">
        <is>
          <t>Scorecard</t>
        </is>
      </c>
      <c r="E1018" s="10" t="inlineStr">
        <is>
          <t>www.scorecard.school</t>
        </is>
      </c>
      <c r="F1018" t="inlineStr">
        <is>
          <t>scorecard.school</t>
        </is>
      </c>
      <c r="G1018" s="1" t="inlineStr">
        <is>
          <t>Scorecard's mission is to make all study skills visible.</t>
        </is>
      </c>
      <c r="H1018" s="1" t="n"/>
      <c r="I1018" s="1" t="n"/>
      <c r="J1018" s="1" t="inlineStr">
        <is>
          <t>Amerongen</t>
        </is>
      </c>
      <c r="K1018" t="inlineStr">
        <is>
          <t>Amerongen</t>
        </is>
      </c>
      <c r="L1018" t="inlineStr">
        <is>
          <t>Amerongen, The Netherlands</t>
        </is>
      </c>
      <c r="M1018" t="n">
        <v>52.0044253</v>
      </c>
      <c r="N1018" t="n">
        <v>5.4621494</v>
      </c>
      <c r="O1018" s="1" t="inlineStr">
        <is>
          <t>The Netherlands</t>
        </is>
      </c>
      <c r="P1018" s="1" t="inlineStr">
        <is>
          <t>Belgium, France, Germany, Italy, Netherlands, Portugal, Serbia, Spain, Turkey, United Kingdom</t>
        </is>
      </c>
      <c r="Q1018" s="1" t="inlineStr">
        <is>
          <t>0 to 10</t>
        </is>
      </c>
      <c r="R1018" t="inlineStr">
        <is>
          <t>Micro</t>
        </is>
      </c>
      <c r="S1018" s="1" t="inlineStr">
        <is>
          <t>Business to Business, Business to Government, Business to Schools</t>
        </is>
      </c>
      <c r="T1018" s="1" t="inlineStr">
        <is>
          <t>Secondary Education, Higher Education, Corporate Training, Lifelong learning/Adult education</t>
        </is>
      </c>
      <c r="U1018" s="1" t="inlineStr">
        <is>
          <t>Teacher interfacing, System/Administrative, Student interfacing</t>
        </is>
      </c>
      <c r="V1018" s="1" t="inlineStr">
        <is>
          <t>StudyCard</t>
        </is>
      </c>
      <c r="W1018" s="1" t="inlineStr">
        <is>
          <t>StudyCard makes all study skills visible that students have obtained throughout their school and study curriculum e.g. hard and soft skills, competencies on various taxonomy levels.</t>
        </is>
      </c>
      <c r="X1018" s="10" t="inlineStr">
        <is>
          <t>Curriculum Maker</t>
        </is>
      </c>
      <c r="Y1018" t="inlineStr">
        <is>
          <t>Defining a curriculum can be tedious and takes a lot of time and effort. Curriculum maker helps you with your constructive alignment that matches your study learning outcomes. How many leaning goals do we have? Do the learning goals meet the module deliverables? On which level are the students assessed? Which competencies and skills do we measure? And how often? Curriculum Maker helps you to map out your curriculum in an easy structured way and provides a clear overview of your curriculum.</t>
        </is>
      </c>
      <c r="Z1018" s="1" t="inlineStr">
        <is>
          <t>https://drive.google.com/uc?export=view&amp;id=1oPtTBVD5cK6ckhfn0thL0h55f76ohqPs</t>
        </is>
      </c>
      <c r="AA1018" s="1" t="inlineStr">
        <is>
          <t>Unverified</t>
        </is>
      </c>
      <c r="AB1018" s="1" t="n"/>
      <c r="AC1018" s="1" t="n"/>
      <c r="AD1018" s="10" t="n"/>
      <c r="AE1018" s="1" t="n"/>
      <c r="AF1018" t="inlineStr">
        <is>
          <t>Yes</t>
        </is>
      </c>
      <c r="AG1018" t="inlineStr">
        <is>
          <t>Wireheads</t>
        </is>
      </c>
      <c r="AH1018" t="inlineStr">
        <is>
          <t>Wireheads</t>
        </is>
      </c>
      <c r="AI1018" t="inlineStr">
        <is>
          <t>https://www.linkedin.com/company/scorecardsuite/</t>
        </is>
      </c>
    </row>
    <row r="1019" ht="12.5" customHeight="1">
      <c r="A1019" s="6" t="n">
        <v>45181</v>
      </c>
      <c r="B1019" s="1" t="inlineStr">
        <is>
          <t>ORG_2224</t>
        </is>
      </c>
      <c r="C1019" s="1" t="b">
        <v>1</v>
      </c>
      <c r="D1019" s="1" t="inlineStr">
        <is>
          <t>See the Good!</t>
        </is>
      </c>
      <c r="E1019" s="10" t="inlineStr">
        <is>
          <t>http://seethegood.app</t>
        </is>
      </c>
      <c r="F1019" t="inlineStr">
        <is>
          <t>seethegood.app</t>
        </is>
      </c>
      <c r="G1019" s="1" t="inlineStr">
        <is>
          <t>"The bad will look after itself, the good needs looking after." 
Bringing out talents and skills is beneficial for everyone but especially for those with challenges in learning. Positive’s central mission is to help educators recognise children’s and adolescents’ strengths and construct teaching and learning based on these strengths.
See the Good! is a SAAS service from Positive Learning. Positive is a Helsinki-based startup from Finland.</t>
        </is>
      </c>
      <c r="H1019" s="1" t="inlineStr">
        <is>
          <t>I'm not part of any EdTech association</t>
        </is>
      </c>
      <c r="I1019" s="1" t="n"/>
      <c r="J1019" s="1" t="inlineStr">
        <is>
          <t>Helsinki</t>
        </is>
      </c>
      <c r="K1019" t="inlineStr">
        <is>
          <t>Helsinki</t>
        </is>
      </c>
      <c r="L1019" t="inlineStr">
        <is>
          <t>Helsinki, Finland</t>
        </is>
      </c>
      <c r="M1019" t="n">
        <v>60.1666204</v>
      </c>
      <c r="N1019" t="n">
        <v>24.9435408</v>
      </c>
      <c r="O1019" s="1" t="inlineStr">
        <is>
          <t>Finland</t>
        </is>
      </c>
      <c r="P1019" s="1" t="inlineStr">
        <is>
          <t>Finland, Italy, Poland, Spain, Sweden</t>
        </is>
      </c>
      <c r="Q1019" s="1" t="inlineStr">
        <is>
          <t>11 to 50</t>
        </is>
      </c>
      <c r="R1019" t="inlineStr">
        <is>
          <t>Small</t>
        </is>
      </c>
      <c r="S1019" s="1" t="inlineStr">
        <is>
          <t>Business to Business, Business to Schools</t>
        </is>
      </c>
      <c r="T1019" s="1" t="inlineStr">
        <is>
          <t>Early childhood development (0-5 years), Primary Education, Secondary Education</t>
        </is>
      </c>
      <c r="U1019" s="1" t="inlineStr">
        <is>
          <t>Student interfacing, Teacher interfacing</t>
        </is>
      </c>
      <c r="V1019" s="1" t="n"/>
      <c r="W1019" s="1" t="inlineStr">
        <is>
          <t>https://drive.google.com/uc?export=view&amp;id=1S5GdT-S514enTnfi5qkIHFGuOauIMLBQ</t>
        </is>
      </c>
      <c r="X1019" s="1" t="inlineStr">
        <is>
          <t>https://drive.google.com/uc?export=view&amp;id=1S5GdT-S514enTnfi5qkIHFGuOauIMLBQ</t>
        </is>
      </c>
      <c r="Y1019" t="inlineStr">
        <is>
          <t>https://drive.google.com/uc?export=view&amp;id=1S5GdT-S514enTnfi5qkIHFGuOauIMLBQ</t>
        </is>
      </c>
      <c r="Z1019" s="1" t="inlineStr">
        <is>
          <t>https://drive.google.com/uc?export=view&amp;id=1S5GdT-S514enTnfi5qkIHFGuOauIMLBQ</t>
        </is>
      </c>
      <c r="AA1019" s="1" t="inlineStr">
        <is>
          <t>Unverified</t>
        </is>
      </c>
      <c r="AB1019" s="1" t="n"/>
      <c r="AC1019" s="1" t="n"/>
      <c r="AD1019" s="10" t="n"/>
      <c r="AE1019" s="1" t="n"/>
      <c r="AF1019" t="inlineStr">
        <is>
          <t>No</t>
        </is>
      </c>
    </row>
    <row r="1020" ht="12.5" customHeight="1">
      <c r="A1020" s="6" t="n">
        <v>45181</v>
      </c>
      <c r="B1020" s="1" t="inlineStr">
        <is>
          <t>ORG_2257</t>
        </is>
      </c>
      <c r="C1020" s="1" t="b">
        <v>1</v>
      </c>
      <c r="D1020" s="1" t="inlineStr">
        <is>
          <t>skillogs</t>
        </is>
      </c>
      <c r="E1020" s="10" t="inlineStr">
        <is>
          <t>https://www.skillogs.com/</t>
        </is>
      </c>
      <c r="F1020" t="inlineStr">
        <is>
          <t>skillogs.com</t>
        </is>
      </c>
      <c r="G1020" s="1" t="inlineStr">
        <is>
          <t>Skillogs: EdTech at the service of skills. It draws on the C3 Group's 20 years of expertise in the fields of commerce, the digital economy and business management. 
 A team of experts in educational technologies offers turnkey solutions with support for the hybridization and digitalization of training courses. Skillogs brings together a team of experts in educational technologies to offer turnkey solutions with support for the hybridization and digitalization of training courses. Skillogs, LCMS/ LXP solution is a partner of training centers and skills certifiers since 2017.</t>
        </is>
      </c>
      <c r="H1020" s="1" t="inlineStr">
        <is>
          <t>EdTech France</t>
        </is>
      </c>
      <c r="I1020" s="1" t="n"/>
      <c r="J1020" s="1" t="inlineStr">
        <is>
          <t>Antony</t>
        </is>
      </c>
      <c r="K1020" t="inlineStr">
        <is>
          <t>Antony</t>
        </is>
      </c>
      <c r="L1020" t="inlineStr">
        <is>
          <t>Antony, France</t>
        </is>
      </c>
      <c r="M1020" t="n">
        <v>48.753613</v>
      </c>
      <c r="N1020" t="n">
        <v>2.2958034</v>
      </c>
      <c r="O1020" s="1" t="inlineStr">
        <is>
          <t>France</t>
        </is>
      </c>
      <c r="P1020" s="1" t="inlineStr">
        <is>
          <t>France</t>
        </is>
      </c>
      <c r="Q1020" s="1" t="inlineStr">
        <is>
          <t>0 to 10</t>
        </is>
      </c>
      <c r="R1020" t="inlineStr">
        <is>
          <t>Micro</t>
        </is>
      </c>
      <c r="S1020" s="1" t="inlineStr">
        <is>
          <t>Business to Consumer, Business to Government, Business to Schools</t>
        </is>
      </c>
      <c r="T1020" s="1" t="inlineStr">
        <is>
          <t>Higher Education, Corporate Training, Lifelong learning/Adult education</t>
        </is>
      </c>
      <c r="U1020" s="1" t="inlineStr">
        <is>
          <t>Teacher interfacing, Student interfacing, System/Administrative</t>
        </is>
      </c>
      <c r="V1020" s="1" t="inlineStr">
        <is>
          <t>Skillogs</t>
        </is>
      </c>
      <c r="W1020" s="10" t="inlineStr">
        <is>
          <t>Turnkey solutions with support for the hybridization and digitalization of training courses.</t>
        </is>
      </c>
      <c r="X1020" s="10" t="inlineStr">
        <is>
          <t>https://drive.google.com/uc?export=view&amp;id=17Mw6NyNHr9KMHDR4rOeu-laEzt1VxvDK</t>
        </is>
      </c>
      <c r="Y1020" t="inlineStr">
        <is>
          <t>https://drive.google.com/uc?export=view&amp;id=17Mw6NyNHr9KMHDR4rOeu-laEzt1VxvDK</t>
        </is>
      </c>
      <c r="Z1020" s="1" t="inlineStr">
        <is>
          <t>https://drive.google.com/uc?export=view&amp;id=17Mw6NyNHr9KMHDR4rOeu-laEzt1VxvDK</t>
        </is>
      </c>
      <c r="AA1020" s="1" t="inlineStr">
        <is>
          <t>Unverified</t>
        </is>
      </c>
      <c r="AB1020" s="1" t="n"/>
      <c r="AC1020" s="1" t="n"/>
      <c r="AD1020" s="10" t="n"/>
      <c r="AE1020" s="1" t="n"/>
      <c r="AF1020" t="inlineStr">
        <is>
          <t>Yes</t>
        </is>
      </c>
      <c r="AG1020" t="inlineStr">
        <is>
          <t>Skale Business School</t>
        </is>
      </c>
      <c r="AH1020" t="inlineStr">
        <is>
          <t>https://twitter.com/skillogsacarya</t>
        </is>
      </c>
      <c r="AI1020" t="inlineStr">
        <is>
          <t>https://www.linkedin.com/company/skillogs/</t>
        </is>
      </c>
    </row>
    <row r="1021" ht="12.5" customHeight="1">
      <c r="A1021" s="6" t="n">
        <v>45181</v>
      </c>
      <c r="B1021" s="1" t="inlineStr">
        <is>
          <t>ORG_2281</t>
        </is>
      </c>
      <c r="C1021" s="1" t="b">
        <v>1</v>
      </c>
      <c r="D1021" s="1" t="inlineStr">
        <is>
          <t>Smartmicrooptics srl</t>
        </is>
      </c>
      <c r="E1021" s="10" t="inlineStr">
        <is>
          <t>www.smartmicrooptics.com</t>
        </is>
      </c>
      <c r="F1021" t="inlineStr">
        <is>
          <t>smartmicrooptics.com</t>
        </is>
      </c>
      <c r="G1021" s="1" t="inlineStr">
        <is>
          <t>SmartMicroOptics develops and manufactures mini-lenses and optical systems to transform any smartphone and tablet into portable macro cameras or digital microscopes. Our mission is to give anyone the tools to explore the micro-world.</t>
        </is>
      </c>
      <c r="H1021" s="1" t="inlineStr">
        <is>
          <t>I'm not part of any EdTech association</t>
        </is>
      </c>
      <c r="I1021" s="1" t="n"/>
      <c r="J1021" s="1" t="inlineStr">
        <is>
          <t>Genova</t>
        </is>
      </c>
      <c r="K1021" t="inlineStr">
        <is>
          <t>Genova</t>
        </is>
      </c>
      <c r="L1021" t="inlineStr">
        <is>
          <t>Genova, Italy</t>
        </is>
      </c>
      <c r="M1021" t="n">
        <v>44.40726</v>
      </c>
      <c r="N1021" t="n">
        <v>8.933862400000001</v>
      </c>
      <c r="O1021" s="1" t="inlineStr">
        <is>
          <t>Italy</t>
        </is>
      </c>
      <c r="P1021" s="1" t="inlineStr">
        <is>
          <t>Denmark, France, Germany, Italy, Luxembourg, Netherlands, Spain, Sweden, Switzerland, United Kingdom</t>
        </is>
      </c>
      <c r="Q1021" s="1" t="inlineStr">
        <is>
          <t>0 to 10</t>
        </is>
      </c>
      <c r="R1021" t="inlineStr">
        <is>
          <t>Micro</t>
        </is>
      </c>
      <c r="S1021" s="1" t="inlineStr">
        <is>
          <t>Business to Consumer, Business to Government, Business to Schools</t>
        </is>
      </c>
      <c r="T1021" s="1" t="inlineStr">
        <is>
          <t>Secondary Education, Higher Education</t>
        </is>
      </c>
      <c r="U1021" s="1" t="inlineStr">
        <is>
          <t>System/Administrative, Teacher interfacing</t>
        </is>
      </c>
      <c r="V1021" s="1" t="n"/>
      <c r="W1021" s="1" t="inlineStr">
        <is>
          <t>https://drive.google.com/uc?export=view&amp;id=1VJk6Cntf237suTTIvMcMfwmdEnCEBniD</t>
        </is>
      </c>
      <c r="X1021" s="1" t="inlineStr">
        <is>
          <t>https://drive.google.com/uc?export=view&amp;id=1VJk6Cntf237suTTIvMcMfwmdEnCEBniD</t>
        </is>
      </c>
      <c r="Y1021" t="inlineStr">
        <is>
          <t>https://drive.google.com/uc?export=view&amp;id=1VJk6Cntf237suTTIvMcMfwmdEnCEBniD</t>
        </is>
      </c>
      <c r="Z1021" s="1" t="inlineStr">
        <is>
          <t>https://drive.google.com/uc?export=view&amp;id=1VJk6Cntf237suTTIvMcMfwmdEnCEBniD</t>
        </is>
      </c>
      <c r="AA1021" s="1" t="inlineStr">
        <is>
          <t>Unverified</t>
        </is>
      </c>
      <c r="AB1021" s="1" t="n"/>
      <c r="AC1021" s="1" t="n"/>
      <c r="AD1021" s="10" t="n"/>
      <c r="AE1021" s="1" t="n"/>
      <c r="AF1021" t="inlineStr">
        <is>
          <t>No</t>
        </is>
      </c>
    </row>
    <row r="1022" ht="12.5" customHeight="1">
      <c r="A1022" s="6" t="n">
        <v>45181</v>
      </c>
      <c r="B1022" s="1" t="inlineStr">
        <is>
          <t>ORG_2363</t>
        </is>
      </c>
      <c r="C1022" s="1" t="b">
        <v>1</v>
      </c>
      <c r="D1022" s="1" t="inlineStr">
        <is>
          <t>Tackl</t>
        </is>
      </c>
      <c r="E1022" s="10" t="inlineStr">
        <is>
          <t>https://www.habiit.io/en</t>
        </is>
      </c>
      <c r="F1022" t="inlineStr">
        <is>
          <t>habiit.io/en</t>
        </is>
      </c>
      <c r="G1022" s="1" t="inlineStr">
        <is>
          <t>Tackl is a Norwegian edtech/health tech company working to help kids cope with school and everyday routines. In 2022, we're launching our app Habiit in the European market. The app uses positive reinforcement techniques to nudge healthy school day routines.</t>
        </is>
      </c>
      <c r="H1022" s="1" t="inlineStr">
        <is>
          <t>I'm not part of any EdTech association</t>
        </is>
      </c>
      <c r="I1022" s="1" t="n"/>
      <c r="J1022" s="1" t="inlineStr">
        <is>
          <t>Oslo</t>
        </is>
      </c>
      <c r="K1022" t="inlineStr">
        <is>
          <t>Oslo</t>
        </is>
      </c>
      <c r="L1022" t="inlineStr">
        <is>
          <t>Oslo, Norway</t>
        </is>
      </c>
      <c r="M1022" t="n">
        <v>59.9067935</v>
      </c>
      <c r="N1022" t="n">
        <v>10.7610162</v>
      </c>
      <c r="O1022" s="1" t="inlineStr">
        <is>
          <t>Norway</t>
        </is>
      </c>
      <c r="P1022" s="1" t="inlineStr">
        <is>
          <t>Denmark, Norway, Sweden, Turkey, Ukraine, United Kingdom</t>
        </is>
      </c>
      <c r="Q1022" s="1" t="inlineStr">
        <is>
          <t>0 to 10</t>
        </is>
      </c>
      <c r="R1022" t="inlineStr">
        <is>
          <t>Micro</t>
        </is>
      </c>
      <c r="S1022" s="1" t="inlineStr">
        <is>
          <t>Business to Consumer, Business to Schools</t>
        </is>
      </c>
      <c r="T1022" s="1" t="inlineStr">
        <is>
          <t>Primary Education</t>
        </is>
      </c>
      <c r="U1022" s="1" t="inlineStr">
        <is>
          <t>System/Administrative, Student interfacing</t>
        </is>
      </c>
      <c r="V1022" s="1" t="n"/>
      <c r="W1022" s="1" t="inlineStr">
        <is>
          <t>https://drive.google.com/uc?export=view&amp;id=1m-BDoKejv_KNvqXZcDAEv9Xxkl2Or2L8</t>
        </is>
      </c>
      <c r="X1022" s="1" t="inlineStr">
        <is>
          <t>https://drive.google.com/uc?export=view&amp;id=1m-BDoKejv_KNvqXZcDAEv9Xxkl2Or2L8</t>
        </is>
      </c>
      <c r="Y1022" t="inlineStr">
        <is>
          <t>https://drive.google.com/uc?export=view&amp;id=1m-BDoKejv_KNvqXZcDAEv9Xxkl2Or2L8</t>
        </is>
      </c>
      <c r="Z1022" s="1" t="inlineStr">
        <is>
          <t>https://drive.google.com/uc?export=view&amp;id=1m-BDoKejv_KNvqXZcDAEv9Xxkl2Or2L8</t>
        </is>
      </c>
      <c r="AA1022" s="1" t="inlineStr">
        <is>
          <t>Unverified</t>
        </is>
      </c>
      <c r="AB1022" s="1" t="n"/>
      <c r="AC1022" s="1" t="n"/>
      <c r="AD1022" s="10" t="n"/>
      <c r="AE1022" s="1" t="n"/>
      <c r="AF1022" t="inlineStr">
        <is>
          <t>No</t>
        </is>
      </c>
    </row>
    <row r="1023" ht="12.5" customHeight="1">
      <c r="A1023" s="6" t="n">
        <v>45181</v>
      </c>
      <c r="B1023" s="1" t="inlineStr">
        <is>
          <t>ORG_2439</t>
        </is>
      </c>
      <c r="C1023" s="1" t="b">
        <v>1</v>
      </c>
      <c r="D1023" s="1" t="inlineStr">
        <is>
          <t>Tutored</t>
        </is>
      </c>
      <c r="E1023" s="10" t="inlineStr">
        <is>
          <t>tutored.me</t>
        </is>
      </c>
      <c r="F1023" t="inlineStr">
        <is>
          <t>tutored.me</t>
        </is>
      </c>
      <c r="G1023" s="1" t="inlineStr">
        <is>
          <t>Tutored is a two-sided platform where students and recent graduates meet companies and achieve their professional ambitions. 
In Italy, many students access to tutored for two main reasons:
Applying for job offers aligned with their study path that the tutored algorithm suggests; 
Taking part in “Online Experiences” organized by companies.
With online experiences developed by Tutored, students can meet companies’ young employees to understand how they work, which technology they use, and get to know tips to start their career in that specific industry or role.</t>
        </is>
      </c>
      <c r="H1023" s="1" t="inlineStr">
        <is>
          <t>I'm not part of any EdTech association</t>
        </is>
      </c>
      <c r="I1023" s="1" t="n"/>
      <c r="J1023" s="1" t="inlineStr">
        <is>
          <t>Milan</t>
        </is>
      </c>
      <c r="K1023" t="inlineStr">
        <is>
          <t>Milan</t>
        </is>
      </c>
      <c r="L1023" t="inlineStr">
        <is>
          <t>Milan, Italy</t>
        </is>
      </c>
      <c r="M1023" t="n">
        <v>45.4641943</v>
      </c>
      <c r="N1023" t="n">
        <v>9.1896346</v>
      </c>
      <c r="O1023" s="1" t="inlineStr">
        <is>
          <t>Italy</t>
        </is>
      </c>
      <c r="P1023" s="1" t="inlineStr">
        <is>
          <t>Italy, United Kingdom</t>
        </is>
      </c>
      <c r="Q1023" s="1" t="inlineStr">
        <is>
          <t>11 to 50</t>
        </is>
      </c>
      <c r="R1023" t="inlineStr">
        <is>
          <t>Small</t>
        </is>
      </c>
      <c r="S1023" s="1" t="inlineStr">
        <is>
          <t>Business to Government, Business to Schools</t>
        </is>
      </c>
      <c r="T1023" s="1" t="inlineStr">
        <is>
          <t>Higher Education, Corporate Training</t>
        </is>
      </c>
      <c r="U1023" s="1" t="inlineStr">
        <is>
          <t>Student interfacing, System/Administrative</t>
        </is>
      </c>
      <c r="V1023" s="1" t="n"/>
      <c r="W1023" s="1" t="inlineStr">
        <is>
          <t>https://drive.google.com/uc?export=view&amp;id=1O9ew02Zks5fDtiDlgxXrLoUloQKl0MUG</t>
        </is>
      </c>
      <c r="X1023" s="1" t="inlineStr">
        <is>
          <t>https://drive.google.com/uc?export=view&amp;id=1O9ew02Zks5fDtiDlgxXrLoUloQKl0MUG</t>
        </is>
      </c>
      <c r="Y1023" t="inlineStr">
        <is>
          <t>https://drive.google.com/uc?export=view&amp;id=1O9ew02Zks5fDtiDlgxXrLoUloQKl0MUG</t>
        </is>
      </c>
      <c r="Z1023" s="1" t="inlineStr">
        <is>
          <t>https://drive.google.com/uc?export=view&amp;id=1O9ew02Zks5fDtiDlgxXrLoUloQKl0MUG</t>
        </is>
      </c>
      <c r="AA1023" s="1" t="inlineStr">
        <is>
          <t>Unverified</t>
        </is>
      </c>
      <c r="AB1023" s="1" t="n"/>
      <c r="AC1023" s="1" t="n"/>
      <c r="AD1023" s="10" t="n"/>
      <c r="AE1023" s="1" t="n"/>
      <c r="AF1023" t="inlineStr">
        <is>
          <t>No</t>
        </is>
      </c>
    </row>
    <row r="1024" ht="12.5" customHeight="1">
      <c r="A1024" s="6" t="n">
        <v>45181</v>
      </c>
      <c r="B1024" s="1" t="inlineStr">
        <is>
          <t>ORG_2448</t>
        </is>
      </c>
      <c r="C1024" s="1" t="b">
        <v>1</v>
      </c>
      <c r="D1024" s="1" t="inlineStr">
        <is>
          <t>Typing Master</t>
        </is>
      </c>
      <c r="E1024" s="10" t="inlineStr">
        <is>
          <t>https://www.typetastic.com</t>
        </is>
      </c>
      <c r="F1024" t="inlineStr">
        <is>
          <t>typetastic.com</t>
        </is>
      </c>
      <c r="G1024" s="1" t="inlineStr">
        <is>
          <t>We're from Finland, the land of world-class education and booming gaming industry, like Angry Birds and Clash Royale. We’re connecting these two spheres with TypeTastic, a game-based keyboarding product.</t>
        </is>
      </c>
      <c r="H1024" s="1" t="inlineStr">
        <is>
          <t>EdTech Finland</t>
        </is>
      </c>
      <c r="I1024" s="1" t="n"/>
      <c r="J1024" s="1" t="inlineStr">
        <is>
          <t>Helsinki</t>
        </is>
      </c>
      <c r="K1024" t="inlineStr">
        <is>
          <t>Helsinki</t>
        </is>
      </c>
      <c r="L1024" t="inlineStr">
        <is>
          <t>Helsinki, Finland</t>
        </is>
      </c>
      <c r="M1024" t="n">
        <v>60.1666204</v>
      </c>
      <c r="N1024" t="n">
        <v>24.9435408</v>
      </c>
      <c r="O1024" s="1" t="inlineStr">
        <is>
          <t>Finland</t>
        </is>
      </c>
      <c r="P1024" s="1" t="inlineStr">
        <is>
          <t>Finland, Sweden</t>
        </is>
      </c>
      <c r="Q1024" s="1" t="inlineStr">
        <is>
          <t>6 to 10</t>
        </is>
      </c>
      <c r="R1024" t="inlineStr">
        <is>
          <t>Micro</t>
        </is>
      </c>
      <c r="S1024" s="1" t="inlineStr">
        <is>
          <t>Business to Schools</t>
        </is>
      </c>
      <c r="T1024" s="1" t="inlineStr">
        <is>
          <t>Primary Education, Secondary Education</t>
        </is>
      </c>
      <c r="U1024" s="1" t="inlineStr">
        <is>
          <t>Teacher interfacing</t>
        </is>
      </c>
      <c r="V1024" s="1" t="inlineStr">
        <is>
          <t>TypeTastic</t>
        </is>
      </c>
      <c r="W1024" s="1" t="inlineStr">
        <is>
          <t>TypeTastic School Edition includes a fun and inspiring K-12 keyboarding curriculum along with a suite of teacher tools. Watch your students embark on a thrilling island adventure to collect words and letters in exciting landscapes while becoming fluent typists!</t>
        </is>
      </c>
      <c r="X1024" s="1" t="inlineStr">
        <is>
          <t>https://drive.google.com/uc?export=view&amp;id=1zC0BjsbALi1EHz83I3pWTa-rSWlVCUsu</t>
        </is>
      </c>
      <c r="Y1024" t="inlineStr">
        <is>
          <t>https://drive.google.com/uc?export=view&amp;id=1zC0BjsbALi1EHz83I3pWTa-rSWlVCUsu</t>
        </is>
      </c>
      <c r="Z1024" s="1" t="inlineStr">
        <is>
          <t>https://drive.google.com/uc?export=view&amp;id=1zC0BjsbALi1EHz83I3pWTa-rSWlVCUsu</t>
        </is>
      </c>
      <c r="AA1024" s="1" t="inlineStr">
        <is>
          <t>Unverified</t>
        </is>
      </c>
      <c r="AB1024" s="1" t="n"/>
      <c r="AC1024" s="1" t="n"/>
      <c r="AD1024" s="10" t="n"/>
      <c r="AE1024" s="1" t="n"/>
      <c r="AF1024" t="inlineStr">
        <is>
          <t>No</t>
        </is>
      </c>
    </row>
    <row r="1025" ht="12.5" customHeight="1">
      <c r="A1025" s="6" t="n">
        <v>45181</v>
      </c>
      <c r="B1025" s="1" t="inlineStr">
        <is>
          <t>ORG_2498</t>
        </is>
      </c>
      <c r="C1025" s="1" t="b">
        <v>1</v>
      </c>
      <c r="D1025" s="1" t="inlineStr">
        <is>
          <t>Virtuleap</t>
        </is>
      </c>
      <c r="E1025" s="10" t="inlineStr">
        <is>
          <t>https://virtuleap.com/</t>
        </is>
      </c>
      <c r="F1025" t="inlineStr">
        <is>
          <t>virtuleap.com</t>
        </is>
      </c>
      <c r="G1025" s="1" t="inlineStr">
        <is>
          <t>Virtuleap combines neuroscience and virtual reality to help increase attention levels and address learning challenges.</t>
        </is>
      </c>
      <c r="H1025" s="1" t="inlineStr">
        <is>
          <t>I'm not part of any EdTech association</t>
        </is>
      </c>
      <c r="I1025" s="1" t="n"/>
      <c r="J1025" s="1" t="inlineStr">
        <is>
          <t>Lisbon</t>
        </is>
      </c>
      <c r="K1025" t="inlineStr">
        <is>
          <t>Lisbon</t>
        </is>
      </c>
      <c r="L1025" t="inlineStr">
        <is>
          <t>Lisbon, Portugal</t>
        </is>
      </c>
      <c r="M1025" t="n">
        <v>38.7077507</v>
      </c>
      <c r="N1025" t="n">
        <v>-9.136591900000001</v>
      </c>
      <c r="O1025" s="1" t="inlineStr">
        <is>
          <t>Portugal</t>
        </is>
      </c>
      <c r="P1025" s="1" t="inlineStr">
        <is>
          <t>Austria, Belgium, France, Germany, Hungary, Italy, Netherlands, Portugal, Spain, Switzerland, United Kingdom</t>
        </is>
      </c>
      <c r="Q1025" s="1" t="inlineStr">
        <is>
          <t>11 to 50</t>
        </is>
      </c>
      <c r="R1025" t="inlineStr">
        <is>
          <t>Small</t>
        </is>
      </c>
      <c r="S1025" s="1" t="inlineStr">
        <is>
          <t>Business to Schools</t>
        </is>
      </c>
      <c r="T1025" s="1" t="inlineStr">
        <is>
          <t>Early childhood development (0-5 years), Primary Education, Secondary Education, Higher Education, Corporate Training, Lifelong learning/Adult education</t>
        </is>
      </c>
      <c r="U1025" s="1" t="inlineStr">
        <is>
          <t>System/Administrative, Student interfacing, Teacher interfacing</t>
        </is>
      </c>
      <c r="V1025" s="1" t="n"/>
      <c r="W1025" s="1" t="inlineStr">
        <is>
          <t>https://drive.google.com/uc?export=view&amp;id=1u3BNYbdWBY54PTDKrxy5Aud74YV7S8kM</t>
        </is>
      </c>
      <c r="X1025" s="1" t="inlineStr">
        <is>
          <t>https://drive.google.com/uc?export=view&amp;id=1u3BNYbdWBY54PTDKrxy5Aud74YV7S8kM</t>
        </is>
      </c>
      <c r="Y1025" t="inlineStr">
        <is>
          <t>https://drive.google.com/uc?export=view&amp;id=1u3BNYbdWBY54PTDKrxy5Aud74YV7S8kM</t>
        </is>
      </c>
      <c r="Z1025" s="1" t="inlineStr">
        <is>
          <t>https://drive.google.com/uc?export=view&amp;id=1u3BNYbdWBY54PTDKrxy5Aud74YV7S8kM</t>
        </is>
      </c>
      <c r="AA1025" s="1" t="inlineStr">
        <is>
          <t>Unverified</t>
        </is>
      </c>
      <c r="AB1025" s="1" t="n"/>
      <c r="AC1025" s="1" t="n"/>
      <c r="AD1025" s="10" t="n"/>
      <c r="AE1025" s="1" t="n"/>
      <c r="AF1025" s="1" t="inlineStr">
        <is>
          <t>No</t>
        </is>
      </c>
      <c r="AG1025" s="1" t="n"/>
      <c r="AH1025" s="1" t="n"/>
    </row>
    <row r="1026" ht="12.5" customHeight="1">
      <c r="A1026" s="6" t="n">
        <v>45181</v>
      </c>
      <c r="B1026" s="1" t="inlineStr">
        <is>
          <t>ORG_1010</t>
        </is>
      </c>
      <c r="C1026" s="1" t="b">
        <v>1</v>
      </c>
      <c r="D1026" s="1" t="inlineStr">
        <is>
          <t>3DBear</t>
        </is>
      </c>
      <c r="E1026" s="10" t="inlineStr">
        <is>
          <t>www.3dbear.io</t>
        </is>
      </c>
      <c r="F1026" t="inlineStr">
        <is>
          <t>3dbear.io</t>
        </is>
      </c>
      <c r="G1026" s="1" t="inlineStr">
        <is>
          <t>3DBear provides a service for taking immersive learning environments into use for education. We are an integrator, combining own and best 3rd partner software, hardware, teacher training, co-development, i.e. everything you need to use augmented and virtual reality technologies in a pedagogically meaningful way. Our approach is to use do-it-yourself AR/VR authoring tools and teach your staff how to design own metaverse environments with them. This way we help you to become creators of your own AR/VR learning content.</t>
        </is>
      </c>
      <c r="H1026" s="1" t="inlineStr">
        <is>
          <t>EdTech Finland</t>
        </is>
      </c>
      <c r="I1026" s="1" t="n"/>
      <c r="J1026" s="1" t="inlineStr">
        <is>
          <t>Vantaa</t>
        </is>
      </c>
      <c r="K1026" t="inlineStr">
        <is>
          <t>Vantaa</t>
        </is>
      </c>
      <c r="L1026" t="inlineStr">
        <is>
          <t>Vantaa, Finland</t>
        </is>
      </c>
      <c r="M1026" t="n">
        <v>60.2929883</v>
      </c>
      <c r="N1026" t="n">
        <v>25.0436744</v>
      </c>
      <c r="O1026" s="1" t="inlineStr">
        <is>
          <t>Finland</t>
        </is>
      </c>
      <c r="P1026" s="1" t="inlineStr">
        <is>
          <t>Belgium, Estonia, Finland, France, Germany, Iceland, Italy, Latvia, Lithuania, Netherlands, Norway, Poland, Portugal, Slovakia, Slovenia, Spain, Sweden, Ukraine, United Kingdom</t>
        </is>
      </c>
      <c r="Q1026" s="1" t="inlineStr">
        <is>
          <t>0 to 10</t>
        </is>
      </c>
      <c r="R1026" t="inlineStr">
        <is>
          <t>Micro</t>
        </is>
      </c>
      <c r="S1026" s="1" t="inlineStr">
        <is>
          <t>Business to Business</t>
        </is>
      </c>
      <c r="T1026" s="1" t="inlineStr">
        <is>
          <t>Higher Education, Corporate Training</t>
        </is>
      </c>
      <c r="U1026" s="1" t="inlineStr">
        <is>
          <t>Student interfacing, Teacher interfacing, System/Administrative</t>
        </is>
      </c>
      <c r="V1026" s="1" t="inlineStr">
        <is>
          <t>3DBear Service</t>
        </is>
      </c>
      <c r="W1026" s="1" t="inlineStr">
        <is>
          <t>Full integrator service of bringing tailored do-it-yourself AR/VR learning environments into use for education.</t>
        </is>
      </c>
      <c r="X1026" s="1" t="inlineStr">
        <is>
          <t>3DBear application</t>
        </is>
      </c>
      <c r="Y1026" t="inlineStr">
        <is>
          <t>Easiest application for creating your own augmented reality!</t>
        </is>
      </c>
      <c r="Z1026" s="1" t="inlineStr">
        <is>
          <t>https://drive.google.com/uc?export=view&amp;id=1olng-zvSfFosciqSsSv8-6ASCbpDSzry</t>
        </is>
      </c>
      <c r="AA1026" s="1" t="inlineStr">
        <is>
          <t>Unverified</t>
        </is>
      </c>
      <c r="AB1026" s="1" t="n"/>
      <c r="AC1026" s="1" t="n"/>
      <c r="AD1026" s="10" t="n"/>
      <c r="AE1026" s="1" t="n"/>
      <c r="AF1026" s="1" t="inlineStr">
        <is>
          <t>Yes</t>
        </is>
      </c>
      <c r="AG1026" s="1" t="inlineStr">
        <is>
          <t>@3DBearOfficial</t>
        </is>
      </c>
      <c r="AH1026" s="1" t="inlineStr">
        <is>
          <t>@3DBearOfficial</t>
        </is>
      </c>
    </row>
    <row r="1027" ht="12.5" customHeight="1">
      <c r="A1027" s="6" t="n">
        <v>45181</v>
      </c>
      <c r="B1027" s="1" t="inlineStr">
        <is>
          <t>ORG_1018</t>
        </is>
      </c>
      <c r="C1027" s="1" t="b">
        <v>1</v>
      </c>
      <c r="D1027" s="1" t="inlineStr">
        <is>
          <t>A-dapt International Ltd</t>
        </is>
      </c>
      <c r="E1027" s="10" t="inlineStr">
        <is>
          <t>https://a-dapttraining.com/</t>
        </is>
      </c>
      <c r="F1027" t="inlineStr">
        <is>
          <t>a-dapttraining.com</t>
        </is>
      </c>
      <c r="G1027" s="1" t="inlineStr">
        <is>
          <t>A-dapt has launched a new EdTech format called Adaptive-media®, that adapts video-based tutorials to learners in real-time based upon human factors such as emotion, attention, positivity and learning engagement, by using AI facial analysis of the user. Not to be confused with facial recognition, A-dapt’s browser-based ‘Edge AI’ algorithm works within the user’s device to perceive the viewer without sending personal data to a server. A-dapt’s model is B2B2C working with partners in education and training to create adaptive video tutorials that play back in our custom media player. This new format works on existing laptops, PCs, smartphones and is highly scalable and cost-effective. A-dapt has won 3 Innovate UK grants for EdTech projects and has been nominated for Innovator of the Year Award at BETT 2022. A-dapt have just won the Global Webby Award for Science &amp; Education, Virtual &amp; Remote.</t>
        </is>
      </c>
      <c r="H1027" s="1" t="inlineStr">
        <is>
          <t>I'm not part of any EdTech association</t>
        </is>
      </c>
      <c r="I1027" s="1" t="n"/>
      <c r="J1027" s="1" t="inlineStr">
        <is>
          <t>London</t>
        </is>
      </c>
      <c r="K1027" t="inlineStr">
        <is>
          <t>London</t>
        </is>
      </c>
      <c r="L1027" t="inlineStr">
        <is>
          <t>London, United Kingdom</t>
        </is>
      </c>
      <c r="M1027" t="n">
        <v>51.5074456</v>
      </c>
      <c r="N1027" t="n">
        <v>-0.1277653</v>
      </c>
      <c r="O1027" s="1" t="inlineStr">
        <is>
          <t>United Kingdom</t>
        </is>
      </c>
      <c r="P1027" s="1" t="inlineStr">
        <is>
          <t>France, United Kingdom</t>
        </is>
      </c>
      <c r="Q1027" s="1" t="inlineStr">
        <is>
          <t>0 to 10</t>
        </is>
      </c>
      <c r="R1027" t="inlineStr">
        <is>
          <t>Micro</t>
        </is>
      </c>
      <c r="S1027" s="1" t="inlineStr">
        <is>
          <t>Business to Business</t>
        </is>
      </c>
      <c r="T1027" s="1" t="inlineStr">
        <is>
          <t>Primary Education, Secondary Education, Higher Education, Corporate Training, Lifelong learning/Adult education</t>
        </is>
      </c>
      <c r="U1027" s="1" t="inlineStr">
        <is>
          <t>System/Administrative</t>
        </is>
      </c>
      <c r="V1027" s="1" t="n"/>
      <c r="W1027" s="1" t="inlineStr">
        <is>
          <t>https://drive.google.com/uc?export=view&amp;id=1x81WWixXtmbuWL1UlAS4QZgy_8D9lP1R</t>
        </is>
      </c>
      <c r="X1027" s="1" t="inlineStr">
        <is>
          <t>https://drive.google.com/uc?export=view&amp;id=1x81WWixXtmbuWL1UlAS4QZgy_8D9lP1R</t>
        </is>
      </c>
      <c r="Y1027" t="inlineStr">
        <is>
          <t>https://drive.google.com/uc?export=view&amp;id=1x81WWixXtmbuWL1UlAS4QZgy_8D9lP1R</t>
        </is>
      </c>
      <c r="Z1027" s="1" t="inlineStr">
        <is>
          <t>https://drive.google.com/uc?export=view&amp;id=1x81WWixXtmbuWL1UlAS4QZgy_8D9lP1R</t>
        </is>
      </c>
      <c r="AA1027" s="1" t="inlineStr">
        <is>
          <t>Unverified</t>
        </is>
      </c>
      <c r="AB1027" s="1" t="n"/>
      <c r="AC1027" s="1" t="n"/>
      <c r="AD1027" s="10" t="n"/>
      <c r="AE1027" s="1" t="n"/>
      <c r="AF1027" t="inlineStr">
        <is>
          <t>No</t>
        </is>
      </c>
    </row>
    <row r="1028" ht="12.5" customHeight="1">
      <c r="A1028" s="6" t="n">
        <v>45181</v>
      </c>
      <c r="B1028" s="1" t="inlineStr">
        <is>
          <t>ORG_1036</t>
        </is>
      </c>
      <c r="C1028" s="1" t="b">
        <v>1</v>
      </c>
      <c r="D1028" s="1" t="inlineStr">
        <is>
          <t>Additio App</t>
        </is>
      </c>
      <c r="E1028" s="10" t="inlineStr">
        <is>
          <t>https://www.additioapp.com/en</t>
        </is>
      </c>
      <c r="F1028" t="inlineStr">
        <is>
          <t>additioapp.com/en</t>
        </is>
      </c>
      <c r="G1028" s="1" t="inlineStr">
        <is>
          <t>Additio is education software for school management, student growth and family engagement. For all types of educational projects.
Our solution is based on 5 pilars: formative assessment, 360º communication, didactic units and skills development, efficient school management and connected with wordlclass partners.
Our platform is flexible and adapts to all types of educational projects: schools and districts, language schools and kindergarten, universities...
Additio is available on all devices: web version, specific application for Apple and Android Chromebooks, tablets and smartphones.
Trusted by schools and governments around the world.
+3 million of students, +150 features, +30 years in the education sector.</t>
        </is>
      </c>
      <c r="H1028" s="1" t="inlineStr">
        <is>
          <t>EduTech Cluster Spain</t>
        </is>
      </c>
      <c r="I1028" s="1" t="inlineStr">
        <is>
          <t>English, Spanish, French, Catalan</t>
        </is>
      </c>
      <c r="J1028" s="1" t="inlineStr">
        <is>
          <t>Girona</t>
        </is>
      </c>
      <c r="K1028" t="inlineStr">
        <is>
          <t>Girona</t>
        </is>
      </c>
      <c r="L1028" t="inlineStr">
        <is>
          <t>Girona, Spain</t>
        </is>
      </c>
      <c r="M1028" t="n">
        <v>41.9793006</v>
      </c>
      <c r="N1028" t="n">
        <v>2.8199439</v>
      </c>
      <c r="O1028" s="1" t="inlineStr">
        <is>
          <t>Spain</t>
        </is>
      </c>
      <c r="P1028" s="1" t="inlineStr">
        <is>
          <t>Andorra, Austria, Belgium, Denmark, Finland, France, Germany, Greece, Iceland, Ireland, Italy, Luxembourg, Monaco, Netherlands, Norway, Portugal, Spain, Sweden, Switzerland, United Kingdom</t>
        </is>
      </c>
      <c r="Q1028" s="1" t="inlineStr">
        <is>
          <t>11 to 50</t>
        </is>
      </c>
      <c r="R1028" t="inlineStr">
        <is>
          <t>Small</t>
        </is>
      </c>
      <c r="S1028" s="1" t="inlineStr">
        <is>
          <t>Business to Business</t>
        </is>
      </c>
      <c r="T1028" s="1" t="inlineStr">
        <is>
          <t>Early childhood development (0-5 years)</t>
        </is>
      </c>
      <c r="U1028" s="1" t="inlineStr">
        <is>
          <t>System/Administrative, Student interfacing, Teacher interfacing</t>
        </is>
      </c>
      <c r="V1028" s="10" t="inlineStr">
        <is>
          <t>Additio for Schools</t>
        </is>
      </c>
      <c r="W1028" s="10" t="inlineStr">
        <is>
          <t>K-12 education technology platform fueling better classroom management, student growth, and family engagement.
The flexible school platform for all types of educational projects
Trusted by education institutions worldwide</t>
        </is>
      </c>
      <c r="X1028" s="10" t="inlineStr">
        <is>
          <t>https://drive.google.com/uc?export=view&amp;id=1pq5o7hkgAkw-2dxHpxVaEYnhDIyzS2BT</t>
        </is>
      </c>
      <c r="Y1028" t="inlineStr">
        <is>
          <t>https://drive.google.com/uc?export=view&amp;id=1pq5o7hkgAkw-2dxHpxVaEYnhDIyzS2BT</t>
        </is>
      </c>
      <c r="Z1028" s="1" t="inlineStr">
        <is>
          <t>https://drive.google.com/uc?export=view&amp;id=1pq5o7hkgAkw-2dxHpxVaEYnhDIyzS2BT</t>
        </is>
      </c>
      <c r="AA1028" s="1" t="inlineStr">
        <is>
          <t>Unverified</t>
        </is>
      </c>
      <c r="AB1028" s="1" t="n"/>
      <c r="AC1028" s="1" t="n"/>
      <c r="AD1028" s="10" t="n"/>
      <c r="AE1028" s="1" t="n"/>
      <c r="AF1028" t="inlineStr">
        <is>
          <t>Yes</t>
        </is>
      </c>
      <c r="AG1028" t="inlineStr">
        <is>
          <t>https://www.instagram.com/additioapp/</t>
        </is>
      </c>
      <c r="AH1028" t="inlineStr">
        <is>
          <t>https://twitter.com/additioapp_EN</t>
        </is>
      </c>
      <c r="AI1028" t="inlineStr">
        <is>
          <t>https://es.linkedin.com/company/additio-for-schools</t>
        </is>
      </c>
    </row>
    <row r="1029" ht="12.5" customHeight="1">
      <c r="A1029" s="6" t="n">
        <v>45181</v>
      </c>
      <c r="B1029" s="1" t="inlineStr">
        <is>
          <t>ORG_1039</t>
        </is>
      </c>
      <c r="C1029" s="1" t="b">
        <v>1</v>
      </c>
      <c r="D1029" s="1" t="inlineStr">
        <is>
          <t>Adservio</t>
        </is>
      </c>
      <c r="E1029" s="10" t="inlineStr">
        <is>
          <t>www.adservio.education</t>
        </is>
      </c>
      <c r="F1029" t="inlineStr">
        <is>
          <t>adservio.education</t>
        </is>
      </c>
      <c r="G1029" s="1" t="inlineStr">
        <is>
          <t>Adservio education management platform helps schools work easier, faster and smarter through technology. Students, teachers, parents and public authorities have dedicated accounts, so that all school stakeholders are connected. With digitising bureacratic processes, school &amp; class management, detailed analytics and secure communication, the solution allows schools to better prepare their students for the future. Plus, parents get real-time notifications on their child's school activity. Adservio has 14 years of experience in building ”wow” learning experiences and a very good engagement rate from over 1.000 K-12 educational institutions.</t>
        </is>
      </c>
      <c r="H1029" s="1" t="inlineStr">
        <is>
          <t>I'm not part of any EdTech association</t>
        </is>
      </c>
      <c r="I1029" s="1" t="n"/>
      <c r="J1029" s="1" t="inlineStr">
        <is>
          <t>Iași</t>
        </is>
      </c>
      <c r="K1029" t="inlineStr">
        <is>
          <t>Iași</t>
        </is>
      </c>
      <c r="L1029" t="inlineStr">
        <is>
          <t>Iași, Romania</t>
        </is>
      </c>
      <c r="M1029" t="n">
        <v>47.1615598</v>
      </c>
      <c r="N1029" t="n">
        <v>27.5837814</v>
      </c>
      <c r="O1029" s="1" t="inlineStr">
        <is>
          <t>Romania</t>
        </is>
      </c>
      <c r="P1029" s="1" t="inlineStr">
        <is>
          <t>Belgium, Romania, Turkey</t>
        </is>
      </c>
      <c r="Q1029" s="1" t="inlineStr">
        <is>
          <t>11 to 50</t>
        </is>
      </c>
      <c r="R1029" t="inlineStr">
        <is>
          <t>Small</t>
        </is>
      </c>
      <c r="S1029" s="1" t="inlineStr">
        <is>
          <t>Business to Business</t>
        </is>
      </c>
      <c r="T1029" s="1" t="inlineStr">
        <is>
          <t>Primary Education, Secondary Education, Higher Education</t>
        </is>
      </c>
      <c r="U1029" s="1" t="inlineStr">
        <is>
          <t>System/Administrative, Student interfacing, Teacher interfacing</t>
        </is>
      </c>
      <c r="V1029" s="1" t="n"/>
      <c r="W1029" s="1" t="inlineStr">
        <is>
          <t>https://drive.google.com/uc?export=view&amp;id=1QfpxpWMeGJ86hbTSMo_vmvVPvNcDPg_E</t>
        </is>
      </c>
      <c r="X1029" s="1" t="inlineStr">
        <is>
          <t>https://drive.google.com/uc?export=view&amp;id=1QfpxpWMeGJ86hbTSMo_vmvVPvNcDPg_E</t>
        </is>
      </c>
      <c r="Y1029" t="inlineStr">
        <is>
          <t>https://drive.google.com/uc?export=view&amp;id=1QfpxpWMeGJ86hbTSMo_vmvVPvNcDPg_E</t>
        </is>
      </c>
      <c r="Z1029" s="1" t="inlineStr">
        <is>
          <t>https://drive.google.com/uc?export=view&amp;id=1QfpxpWMeGJ86hbTSMo_vmvVPvNcDPg_E</t>
        </is>
      </c>
      <c r="AA1029" s="1" t="inlineStr">
        <is>
          <t>Unverified</t>
        </is>
      </c>
      <c r="AB1029" s="1" t="n"/>
      <c r="AC1029" s="1" t="n"/>
      <c r="AD1029" s="10" t="n"/>
      <c r="AE1029" s="1" t="n"/>
      <c r="AF1029" t="inlineStr">
        <is>
          <t>No</t>
        </is>
      </c>
    </row>
    <row r="1030" ht="12.5" customHeight="1">
      <c r="A1030" s="6" t="n">
        <v>45181</v>
      </c>
      <c r="B1030" s="1" t="inlineStr">
        <is>
          <t>ORG_1041</t>
        </is>
      </c>
      <c r="C1030" s="1" t="b">
        <v>1</v>
      </c>
      <c r="D1030" s="1" t="inlineStr">
        <is>
          <t>Ahoiii Entertainment</t>
        </is>
      </c>
      <c r="E1030" s="10" t="inlineStr">
        <is>
          <t>ahoiii.com</t>
        </is>
      </c>
      <c r="F1030" t="inlineStr">
        <is>
          <t>ahoiii.com</t>
        </is>
      </c>
      <c r="G1030" s="1" t="inlineStr">
        <is>
          <t>Ahoiii Entertainment UG is a 6-person game development studio based in Cologne, Germany. Since 2013, Ahoiii has been developing apps for children with great success. 
Under the brand "Fiete", Ahoiii has published over 40 children's apps, which have been downloaded over 15 million times worldwide and have won numerous awards. This makes Ahoiii one of the most known children's app developers in Germany.</t>
        </is>
      </c>
      <c r="H1030" s="1" t="inlineStr">
        <is>
          <t>I'm not part of any EdTech association</t>
        </is>
      </c>
      <c r="I1030" s="1" t="n"/>
      <c r="J1030" s="1" t="inlineStr">
        <is>
          <t>Cologne</t>
        </is>
      </c>
      <c r="K1030" t="inlineStr">
        <is>
          <t>Cologne</t>
        </is>
      </c>
      <c r="L1030" t="inlineStr">
        <is>
          <t>Cologne, Germany</t>
        </is>
      </c>
      <c r="M1030" t="n">
        <v>50.938361</v>
      </c>
      <c r="N1030" t="n">
        <v>6.959974</v>
      </c>
      <c r="O1030" s="1" t="inlineStr">
        <is>
          <t>Germany</t>
        </is>
      </c>
      <c r="P1030"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030" s="1" t="inlineStr">
        <is>
          <t>0 to 10</t>
        </is>
      </c>
      <c r="R1030" t="inlineStr">
        <is>
          <t>Micro</t>
        </is>
      </c>
      <c r="S1030" s="1" t="inlineStr">
        <is>
          <t>Business to Business</t>
        </is>
      </c>
      <c r="T1030" s="1" t="inlineStr">
        <is>
          <t>Early childhood development (0-5 years), Primary Education</t>
        </is>
      </c>
      <c r="U1030" s="1" t="inlineStr">
        <is>
          <t>System/Administrative, Student interfacing, Teacher interfacing</t>
        </is>
      </c>
      <c r="V1030" s="1" t="n"/>
      <c r="W1030" s="1" t="inlineStr">
        <is>
          <t>https://drive.google.com/uc?export=view&amp;id=1ldZ47F8A_W7Y-IBF1-pWoP45_ZIyeHyL</t>
        </is>
      </c>
      <c r="X1030" s="1" t="inlineStr">
        <is>
          <t>https://drive.google.com/uc?export=view&amp;id=1ldZ47F8A_W7Y-IBF1-pWoP45_ZIyeHyL</t>
        </is>
      </c>
      <c r="Y1030" t="inlineStr">
        <is>
          <t>https://drive.google.com/uc?export=view&amp;id=1ldZ47F8A_W7Y-IBF1-pWoP45_ZIyeHyL</t>
        </is>
      </c>
      <c r="Z1030" s="1" t="inlineStr">
        <is>
          <t>https://drive.google.com/uc?export=view&amp;id=1ldZ47F8A_W7Y-IBF1-pWoP45_ZIyeHyL</t>
        </is>
      </c>
      <c r="AA1030" s="1" t="inlineStr">
        <is>
          <t>Unverified</t>
        </is>
      </c>
      <c r="AB1030" s="1" t="n"/>
      <c r="AC1030" s="1" t="n"/>
      <c r="AD1030" s="10" t="n"/>
      <c r="AE1030" s="1" t="n"/>
      <c r="AF1030" t="inlineStr">
        <is>
          <t>No</t>
        </is>
      </c>
    </row>
    <row r="1031" ht="12.5" customHeight="1">
      <c r="A1031" s="6" t="n">
        <v>45181</v>
      </c>
      <c r="B1031" s="1" t="inlineStr">
        <is>
          <t>ORG_1054</t>
        </is>
      </c>
      <c r="C1031" s="1" t="b">
        <v>1</v>
      </c>
      <c r="D1031" s="1" t="inlineStr">
        <is>
          <t>ALPA Kids</t>
        </is>
      </c>
      <c r="E1031" s="10" t="inlineStr">
        <is>
          <t>https://www.alpakids.com/</t>
        </is>
      </c>
      <c r="F1031" t="inlineStr">
        <is>
          <t>alpakids.com</t>
        </is>
      </c>
      <c r="G1031" s="1" t="inlineStr">
        <is>
          <t>ALPA Kids develops e-learning games for children aged 3-8 and focuses mainly on less spoken languages. The company is active in the Baltics, in India and in Ukraine.</t>
        </is>
      </c>
      <c r="H1031" s="1" t="inlineStr">
        <is>
          <t>EdTech Estonia</t>
        </is>
      </c>
      <c r="I1031" s="1" t="n"/>
      <c r="J1031" s="1" t="inlineStr">
        <is>
          <t>Tallinn</t>
        </is>
      </c>
      <c r="K1031" t="inlineStr">
        <is>
          <t>Tallinn</t>
        </is>
      </c>
      <c r="L1031" t="inlineStr">
        <is>
          <t>Tallinn, Estonia</t>
        </is>
      </c>
      <c r="M1031" t="n">
        <v>59.437242</v>
      </c>
      <c r="N1031" t="n">
        <v>24.7572693</v>
      </c>
      <c r="O1031" s="1" t="inlineStr">
        <is>
          <t>Estonia</t>
        </is>
      </c>
      <c r="P103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031" s="1" t="inlineStr">
        <is>
          <t>0 to 10</t>
        </is>
      </c>
      <c r="R1031" t="inlineStr">
        <is>
          <t>Micro</t>
        </is>
      </c>
      <c r="S1031" s="1" t="inlineStr">
        <is>
          <t>Business to Business</t>
        </is>
      </c>
      <c r="T1031" s="1" t="inlineStr">
        <is>
          <t>Early childhood development (0-5 years), Primary Education</t>
        </is>
      </c>
      <c r="U1031" s="1" t="inlineStr">
        <is>
          <t>System/Administrative, Student interfacing, Teacher interfacing</t>
        </is>
      </c>
      <c r="V1031" s="10" t="inlineStr">
        <is>
          <t>ALPA Kids</t>
        </is>
      </c>
      <c r="W1031" s="1" t="inlineStr">
        <is>
          <t>The ALPA e-learning games:
* Bring together the knowledge of Nordic and local teachers
* Based on local culture and nature
* Age-appropriate with 4 difficulty levels (ages 3-8)
* Combined with off-screen activities
* Directory of 60+ games</t>
        </is>
      </c>
      <c r="X1031" s="10" t="inlineStr">
        <is>
          <t>https://drive.google.com/uc?export=view&amp;id=127OWTAFmzA2FE25qCc6bmEoWdHkAQulf</t>
        </is>
      </c>
      <c r="Y1031" t="inlineStr">
        <is>
          <t>https://drive.google.com/uc?export=view&amp;id=127OWTAFmzA2FE25qCc6bmEoWdHkAQulf</t>
        </is>
      </c>
      <c r="Z1031" s="1" t="inlineStr">
        <is>
          <t>https://drive.google.com/uc?export=view&amp;id=127OWTAFmzA2FE25qCc6bmEoWdHkAQulf</t>
        </is>
      </c>
      <c r="AA1031" s="1" t="inlineStr">
        <is>
          <t>Unverified</t>
        </is>
      </c>
      <c r="AB1031" s="1" t="n"/>
      <c r="AC1031" s="1" t="n"/>
      <c r="AD1031" s="10" t="n"/>
      <c r="AE1031" s="1" t="n"/>
      <c r="AF1031" t="inlineStr">
        <is>
          <t>Yes</t>
        </is>
      </c>
      <c r="AG1031" t="inlineStr">
        <is>
          <t>https://www.instagram.com/alpa.kids/</t>
        </is>
      </c>
      <c r="AH1031" t="inlineStr">
        <is>
          <t>https://www.linkedin.com/company/alpa-kids/</t>
        </is>
      </c>
      <c r="AI1031" t="inlineStr">
        <is>
          <t>https://www.linkedin.com/company/alpa-kids/</t>
        </is>
      </c>
    </row>
    <row r="1032" ht="12.5" customHeight="1">
      <c r="A1032" s="6" t="n">
        <v>45181</v>
      </c>
      <c r="B1032" s="1" t="inlineStr">
        <is>
          <t>ORG_1055</t>
        </is>
      </c>
      <c r="C1032" s="1" t="b">
        <v>1</v>
      </c>
      <c r="D1032" s="1" t="inlineStr">
        <is>
          <t>Alt Academy</t>
        </is>
      </c>
      <c r="E1032" s="10" t="inlineStr">
        <is>
          <t>altacademy.org</t>
        </is>
      </c>
      <c r="F1032" t="inlineStr">
        <is>
          <t>altacademy.org</t>
        </is>
      </c>
      <c r="G1032" s="1" t="inlineStr">
        <is>
          <t>Alt brings you the best GCSE, IGCSE, O &amp; A Level content, completely on demand. Stream anytime, anywhere - on your phone or at your desk.</t>
        </is>
      </c>
      <c r="H1032" s="1" t="inlineStr">
        <is>
          <t>I'm not part of any EdTech association</t>
        </is>
      </c>
      <c r="I1032" s="1" t="n"/>
      <c r="J1032" s="1" t="inlineStr">
        <is>
          <t>London</t>
        </is>
      </c>
      <c r="K1032" t="inlineStr">
        <is>
          <t>London</t>
        </is>
      </c>
      <c r="L1032" t="inlineStr">
        <is>
          <t>London, United Kingdom</t>
        </is>
      </c>
      <c r="M1032" t="n">
        <v>51.5074456</v>
      </c>
      <c r="N1032" t="n">
        <v>-0.1277653</v>
      </c>
      <c r="O1032" s="1" t="inlineStr">
        <is>
          <t>United Kingdom</t>
        </is>
      </c>
      <c r="P103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032" s="1" t="inlineStr">
        <is>
          <t>11 to 50</t>
        </is>
      </c>
      <c r="R1032" t="inlineStr">
        <is>
          <t>Small</t>
        </is>
      </c>
      <c r="S1032" s="1" t="inlineStr">
        <is>
          <t>Business to Business</t>
        </is>
      </c>
      <c r="T1032" s="1" t="inlineStr">
        <is>
          <t>Secondary Education</t>
        </is>
      </c>
      <c r="U1032" s="1" t="inlineStr">
        <is>
          <t>Student interfacing</t>
        </is>
      </c>
      <c r="V1032" s="1" t="n"/>
      <c r="W1032" s="1" t="inlineStr">
        <is>
          <t>https://drive.google.com/uc?export=view&amp;id=1qD-uidGCpG57CETtTr47HPowqTbetHqz</t>
        </is>
      </c>
      <c r="X1032" s="1" t="inlineStr">
        <is>
          <t>https://drive.google.com/uc?export=view&amp;id=1qD-uidGCpG57CETtTr47HPowqTbetHqz</t>
        </is>
      </c>
      <c r="Y1032" t="inlineStr">
        <is>
          <t>https://drive.google.com/uc?export=view&amp;id=1qD-uidGCpG57CETtTr47HPowqTbetHqz</t>
        </is>
      </c>
      <c r="Z1032" s="1" t="inlineStr">
        <is>
          <t>https://drive.google.com/uc?export=view&amp;id=1qD-uidGCpG57CETtTr47HPowqTbetHqz</t>
        </is>
      </c>
      <c r="AA1032" s="1" t="inlineStr">
        <is>
          <t>Unverified</t>
        </is>
      </c>
      <c r="AB1032" s="1" t="n"/>
      <c r="AC1032" s="1" t="n"/>
      <c r="AD1032" s="10" t="n"/>
      <c r="AE1032" s="1" t="n"/>
      <c r="AF1032" s="1" t="inlineStr">
        <is>
          <t>No</t>
        </is>
      </c>
      <c r="AG1032" s="1" t="n"/>
      <c r="AH1032" s="1" t="n"/>
      <c r="AI1032" s="1" t="n"/>
      <c r="AJ1032" s="1" t="n"/>
    </row>
    <row r="1033" ht="12.5" customHeight="1">
      <c r="A1033" s="6" t="n">
        <v>45181</v>
      </c>
      <c r="B1033" s="1" t="inlineStr">
        <is>
          <t>ORG_1104</t>
        </is>
      </c>
      <c r="C1033" s="1" t="b">
        <v>1</v>
      </c>
      <c r="D1033" s="1" t="inlineStr">
        <is>
          <t>Artsci</t>
        </is>
      </c>
      <c r="E1033" s="10" t="inlineStr">
        <is>
          <t>https://www.artsci.fr</t>
        </is>
      </c>
      <c r="F1033" t="inlineStr">
        <is>
          <t>artsci.fr</t>
        </is>
      </c>
      <c r="G1033" s="1" t="inlineStr">
        <is>
          <t>Creative consulting for schools, companies, universities, and people interested in education. We propose a learning model based on the student's active role, in contextualized knowledge, in the promotion of curiosity and the constant integration between Science, Technology, Engineering, Arts and Mathematics (STEAM).
It means hard and soft skills together!</t>
        </is>
      </c>
      <c r="H1033" s="1" t="inlineStr">
        <is>
          <t>I'm not part of any EdTech association</t>
        </is>
      </c>
      <c r="I1033" s="1" t="n"/>
      <c r="J1033" s="1" t="inlineStr">
        <is>
          <t>Marseille</t>
        </is>
      </c>
      <c r="K1033" t="inlineStr">
        <is>
          <t>Marseille</t>
        </is>
      </c>
      <c r="L1033" t="inlineStr">
        <is>
          <t>Marseille, France</t>
        </is>
      </c>
      <c r="M1033" t="n">
        <v>43.2963986</v>
      </c>
      <c r="N1033" t="n">
        <v>5.3777888</v>
      </c>
      <c r="O1033" s="1" t="inlineStr">
        <is>
          <t>France</t>
        </is>
      </c>
      <c r="P1033" s="1" t="inlineStr">
        <is>
          <t>France, Germany, Portugal, Spain, Switzerland</t>
        </is>
      </c>
      <c r="Q1033" s="1" t="inlineStr">
        <is>
          <t>0 to 10</t>
        </is>
      </c>
      <c r="R1033" t="inlineStr">
        <is>
          <t>Micro</t>
        </is>
      </c>
      <c r="S1033" s="1" t="inlineStr">
        <is>
          <t>Business to Business</t>
        </is>
      </c>
      <c r="T1033" s="1" t="inlineStr">
        <is>
          <t>Secondary Education, Higher Education, Corporate Training</t>
        </is>
      </c>
      <c r="U1033" s="1" t="inlineStr">
        <is>
          <t>Teacher interfacing, System/Administrative</t>
        </is>
      </c>
      <c r="V1033" s="1" t="n"/>
      <c r="W1033" s="1" t="inlineStr">
        <is>
          <t>https://drive.google.com/uc?export=view&amp;id=1Lma8Z2jhTTmcGMxiMhcLmUE7UGXOBRlc</t>
        </is>
      </c>
      <c r="X1033" s="1" t="inlineStr">
        <is>
          <t>https://drive.google.com/uc?export=view&amp;id=1Lma8Z2jhTTmcGMxiMhcLmUE7UGXOBRlc</t>
        </is>
      </c>
      <c r="Y1033" t="inlineStr">
        <is>
          <t>https://drive.google.com/uc?export=view&amp;id=1Lma8Z2jhTTmcGMxiMhcLmUE7UGXOBRlc</t>
        </is>
      </c>
      <c r="Z1033" s="1" t="inlineStr">
        <is>
          <t>https://drive.google.com/uc?export=view&amp;id=1Lma8Z2jhTTmcGMxiMhcLmUE7UGXOBRlc</t>
        </is>
      </c>
      <c r="AA1033" s="1" t="inlineStr">
        <is>
          <t>Unverified</t>
        </is>
      </c>
      <c r="AB1033" s="1" t="n"/>
      <c r="AC1033" s="1" t="n"/>
      <c r="AD1033" s="10" t="n"/>
      <c r="AE1033" s="1" t="n"/>
      <c r="AF1033" s="1" t="inlineStr">
        <is>
          <t>No</t>
        </is>
      </c>
      <c r="AG1033" s="1" t="n"/>
      <c r="AH1033" s="1" t="n"/>
      <c r="AI1033" s="1" t="n"/>
      <c r="AJ1033" s="1" t="n"/>
    </row>
    <row r="1034" ht="12.5" customHeight="1">
      <c r="A1034" s="6" t="n">
        <v>45181</v>
      </c>
      <c r="B1034" s="1" t="inlineStr">
        <is>
          <t>ORG_1122</t>
        </is>
      </c>
      <c r="C1034" s="1" t="b">
        <v>1</v>
      </c>
      <c r="D1034" s="1" t="inlineStr">
        <is>
          <t>Augmented Class!</t>
        </is>
      </c>
      <c r="E1034" s="10" t="inlineStr">
        <is>
          <t>www.augmentedclass.com</t>
        </is>
      </c>
      <c r="F1034" t="inlineStr">
        <is>
          <t>augmentedclass.com</t>
        </is>
      </c>
      <c r="G1034" s="1" t="inlineStr">
        <is>
          <t>AugmentedClass! The Extended Reality Platform to democratize XR in Education!
Augmented Class is an amazing way to create and share Extended Reality contents and interactions for Prototyping and Education in STEM/STEAM.
Augmented Class allows, on the on hand, to create educational XR projects, in an easy and quick way, which can later be used by teachers and students through mobile devices, both in classrooms and out of them. On the other hand, it provides with a sharing environment where those projects can be exchanged and purchased, feedbacking the system and encouraging its exponential growth.</t>
        </is>
      </c>
      <c r="H1034" s="1" t="inlineStr">
        <is>
          <t>I'm not part of any EdTech association</t>
        </is>
      </c>
      <c r="I1034" s="1" t="n"/>
      <c r="J1034" s="1" t="inlineStr">
        <is>
          <t>Bilbao</t>
        </is>
      </c>
      <c r="K1034" t="inlineStr">
        <is>
          <t>Bilbao</t>
        </is>
      </c>
      <c r="L1034" t="inlineStr">
        <is>
          <t>Bilbao, Spain</t>
        </is>
      </c>
      <c r="M1034" t="n">
        <v>43.2630018</v>
      </c>
      <c r="N1034" t="n">
        <v>-2.9350039</v>
      </c>
      <c r="O1034" s="1" t="inlineStr">
        <is>
          <t>Spain</t>
        </is>
      </c>
      <c r="P1034" s="1" t="inlineStr">
        <is>
          <t>France, Germany, Greece, Ireland, Italy, Portugal, Spain, United Kingdom</t>
        </is>
      </c>
      <c r="Q1034" s="1" t="inlineStr">
        <is>
          <t>0 to 10</t>
        </is>
      </c>
      <c r="R1034" t="inlineStr">
        <is>
          <t>Micro</t>
        </is>
      </c>
      <c r="S1034" s="1" t="inlineStr">
        <is>
          <t>Business to Business</t>
        </is>
      </c>
      <c r="T1034" s="1" t="inlineStr">
        <is>
          <t>Primary Education, Secondary Education</t>
        </is>
      </c>
      <c r="U1034" s="1" t="inlineStr">
        <is>
          <t>System/Administrative, Student interfacing, Teacher interfacing</t>
        </is>
      </c>
      <c r="V1034" s="1" t="n"/>
      <c r="W1034" s="1" t="inlineStr">
        <is>
          <t>https://drive.google.com/uc?export=view&amp;id=1WoGxbZ9eDL4JGJ2j7z3R0LbNaJG0mP4I</t>
        </is>
      </c>
      <c r="X1034" s="1" t="inlineStr">
        <is>
          <t>https://drive.google.com/uc?export=view&amp;id=1WoGxbZ9eDL4JGJ2j7z3R0LbNaJG0mP4I</t>
        </is>
      </c>
      <c r="Y1034" t="inlineStr">
        <is>
          <t>https://drive.google.com/uc?export=view&amp;id=1WoGxbZ9eDL4JGJ2j7z3R0LbNaJG0mP4I</t>
        </is>
      </c>
      <c r="Z1034" s="1" t="inlineStr">
        <is>
          <t>https://drive.google.com/uc?export=view&amp;id=1WoGxbZ9eDL4JGJ2j7z3R0LbNaJG0mP4I</t>
        </is>
      </c>
      <c r="AA1034" s="1" t="inlineStr">
        <is>
          <t>Unverified</t>
        </is>
      </c>
      <c r="AB1034" s="1" t="n"/>
      <c r="AC1034" s="1" t="n"/>
      <c r="AD1034" s="10" t="n"/>
      <c r="AE1034" s="1" t="n"/>
      <c r="AF1034" s="1" t="inlineStr">
        <is>
          <t>No</t>
        </is>
      </c>
      <c r="AG1034" s="1" t="n"/>
      <c r="AH1034" s="1" t="n"/>
    </row>
    <row r="1035" ht="12.5" customHeight="1">
      <c r="A1035" s="6" t="n">
        <v>45181</v>
      </c>
      <c r="B1035" s="1" t="inlineStr">
        <is>
          <t>ORG_1204</t>
        </is>
      </c>
      <c r="C1035" s="1" t="b">
        <v>1</v>
      </c>
      <c r="D1035" s="1" t="inlineStr">
        <is>
          <t>buya</t>
        </is>
      </c>
      <c r="E1035" s="10" t="inlineStr">
        <is>
          <t>www.buya.de</t>
        </is>
      </c>
      <c r="F1035" t="inlineStr">
        <is>
          <t>buya.de</t>
        </is>
      </c>
      <c r="G1035" s="1" t="inlineStr">
        <is>
          <t>buya is the marketplace for live-online-learning | bringing together passionate teachers &amp; curious kids / K-12
buya is the live-learning-marketplace for all non-school and school topics.
Children learn together with other children and a dedicated online-teacher.
Children can choose from a huge selection of topics (e.g. Arts, Coding, Life Skills, Music, Languages, Health, Science, Tutoring).</t>
        </is>
      </c>
      <c r="H1035" s="1" t="inlineStr">
        <is>
          <t>I'm not part of any EdTech association</t>
        </is>
      </c>
      <c r="I1035" s="1" t="n"/>
      <c r="J1035" s="1" t="inlineStr">
        <is>
          <t>Hamburg</t>
        </is>
      </c>
      <c r="K1035" t="inlineStr">
        <is>
          <t>Hamburg</t>
        </is>
      </c>
      <c r="L1035" t="inlineStr">
        <is>
          <t>Hamburg, Germany</t>
        </is>
      </c>
      <c r="M1035" t="n">
        <v>53.5501721</v>
      </c>
      <c r="N1035" t="n">
        <v>10.0013165</v>
      </c>
      <c r="O1035" s="1" t="inlineStr">
        <is>
          <t>Germany</t>
        </is>
      </c>
      <c r="P1035" s="1" t="inlineStr">
        <is>
          <t>Austria, France, Germany, Italy, Netherlands, Norway, Switzerland, Turkey, United Kingdom</t>
        </is>
      </c>
      <c r="Q1035" s="1" t="inlineStr">
        <is>
          <t>0 to 10</t>
        </is>
      </c>
      <c r="R1035" t="inlineStr">
        <is>
          <t>Micro</t>
        </is>
      </c>
      <c r="S1035" s="1" t="inlineStr">
        <is>
          <t>Business to Business</t>
        </is>
      </c>
      <c r="T1035" s="1" t="inlineStr">
        <is>
          <t>Early childhood development (0-5 years), Primary Education, Secondary Education, Lifelong learning/Adult education</t>
        </is>
      </c>
      <c r="U1035" s="1" t="inlineStr">
        <is>
          <t>System/Administrative, Student interfacing, Teacher interfacing</t>
        </is>
      </c>
      <c r="V1035" s="1" t="n"/>
      <c r="W1035" s="1" t="inlineStr">
        <is>
          <t>https://drive.google.com/uc?export=view&amp;id=1JTPky2jTGHdQfM19qC-B35BRYYG9LFYg</t>
        </is>
      </c>
      <c r="X1035" s="1" t="inlineStr">
        <is>
          <t>https://drive.google.com/uc?export=view&amp;id=1JTPky2jTGHdQfM19qC-B35BRYYG9LFYg</t>
        </is>
      </c>
      <c r="Y1035" t="inlineStr">
        <is>
          <t>https://drive.google.com/uc?export=view&amp;id=1JTPky2jTGHdQfM19qC-B35BRYYG9LFYg</t>
        </is>
      </c>
      <c r="Z1035" s="1" t="inlineStr">
        <is>
          <t>https://drive.google.com/uc?export=view&amp;id=1JTPky2jTGHdQfM19qC-B35BRYYG9LFYg</t>
        </is>
      </c>
      <c r="AA1035" s="1" t="inlineStr">
        <is>
          <t>Unverified</t>
        </is>
      </c>
      <c r="AB1035" s="1" t="n"/>
      <c r="AC1035" s="1" t="n"/>
      <c r="AD1035" s="10" t="n"/>
      <c r="AE1035" s="1" t="n"/>
      <c r="AF1035" s="1" t="inlineStr">
        <is>
          <t>No</t>
        </is>
      </c>
      <c r="AG1035" s="1" t="n"/>
      <c r="AH1035" s="1" t="n"/>
    </row>
    <row r="1036" ht="12.5" customHeight="1">
      <c r="A1036" s="6" t="n">
        <v>45181</v>
      </c>
      <c r="B1036" s="1" t="inlineStr">
        <is>
          <t>ORG_1259</t>
        </is>
      </c>
      <c r="C1036" s="1" t="b">
        <v>1</v>
      </c>
      <c r="D1036" s="1" t="inlineStr">
        <is>
          <t>Clickedu</t>
        </is>
      </c>
      <c r="E1036" s="10" t="inlineStr">
        <is>
          <t>www.clickedu.net</t>
        </is>
      </c>
      <c r="F1036" t="inlineStr">
        <is>
          <t>clickedu.net</t>
        </is>
      </c>
      <c r="G1036" s="1" t="inlineStr">
        <is>
          <t>Clickedu offers its customers school administration systems and digital learning environments. The software of Clickedu contains a school platform in the cloud that includes academic, administrative and economic management tools, a virtual learning environment with connection to digital books and free content, management of teachers, tutors and heads of studies, the quality of the center and a communication environment with families.
Clickedu serves around 700 schools mainly in Spain, but also in Latin America and the UK.</t>
        </is>
      </c>
      <c r="H1036" s="1" t="inlineStr">
        <is>
          <t>EduTech Cluster Spain</t>
        </is>
      </c>
      <c r="I1036" s="1" t="n"/>
      <c r="J1036" s="1" t="inlineStr">
        <is>
          <t>Barcelona</t>
        </is>
      </c>
      <c r="K1036" t="inlineStr">
        <is>
          <t>Barcelona</t>
        </is>
      </c>
      <c r="L1036" t="inlineStr">
        <is>
          <t>Barcelona, Spain</t>
        </is>
      </c>
      <c r="M1036" t="n">
        <v>41.3825802</v>
      </c>
      <c r="N1036" t="n">
        <v>2.177073</v>
      </c>
      <c r="O1036" s="1" t="inlineStr">
        <is>
          <t>Spain</t>
        </is>
      </c>
      <c r="P1036" s="1" t="inlineStr">
        <is>
          <t>Spain</t>
        </is>
      </c>
      <c r="Q1036" s="1" t="inlineStr">
        <is>
          <t>51 to 100</t>
        </is>
      </c>
      <c r="R1036" t="inlineStr">
        <is>
          <t>Medium</t>
        </is>
      </c>
      <c r="S1036" s="1" t="inlineStr">
        <is>
          <t>Business to Business</t>
        </is>
      </c>
      <c r="T1036" s="1" t="inlineStr">
        <is>
          <t>Early childhood development (0-5 years), Primary Education, Secondary Education, Higher Education</t>
        </is>
      </c>
      <c r="U1036" s="1" t="inlineStr">
        <is>
          <t>System/Administrative, Student interfacing, Teacher interfacing</t>
        </is>
      </c>
      <c r="V1036" s="10" t="inlineStr">
        <is>
          <t>Clickedu</t>
        </is>
      </c>
      <c r="W1036" s="10" t="inlineStr">
        <is>
          <t>School administration systems plus digital learning environments, all in one. 
Our software includes a school platform in the cloud that offers academic, administrative and economic management tools, a virtual learning environment with connection to digital books and free content, management of teachers, tutors and heads of studies, the quality of the center and a communication environment with families.</t>
        </is>
      </c>
      <c r="X1036" s="10" t="inlineStr">
        <is>
          <t>https://drive.google.com/uc?export=view&amp;id=1qceBVyrs2rT7cz31zEOEnGk-Yqq1n0g_</t>
        </is>
      </c>
      <c r="Y1036" t="inlineStr">
        <is>
          <t>https://drive.google.com/uc?export=view&amp;id=1qceBVyrs2rT7cz31zEOEnGk-Yqq1n0g_</t>
        </is>
      </c>
      <c r="Z1036" s="1" t="inlineStr">
        <is>
          <t>https://drive.google.com/uc?export=view&amp;id=1qceBVyrs2rT7cz31zEOEnGk-Yqq1n0g_</t>
        </is>
      </c>
      <c r="AA1036" s="1" t="inlineStr">
        <is>
          <t>Unverified</t>
        </is>
      </c>
      <c r="AB1036" s="1" t="n"/>
      <c r="AC1036" s="1" t="n"/>
      <c r="AD1036" s="10" t="n"/>
      <c r="AE1036" s="1" t="n"/>
      <c r="AF1036" t="inlineStr">
        <is>
          <t>Yes</t>
        </is>
      </c>
      <c r="AG1036" t="inlineStr">
        <is>
          <t>https://www.instagram.com/clickedu.eu/</t>
        </is>
      </c>
      <c r="AH1036" t="inlineStr">
        <is>
          <t>https://twitter.com/Clickedu</t>
        </is>
      </c>
      <c r="AI1036" t="inlineStr">
        <is>
          <t>https://www.linkedin.com/company/clickart</t>
        </is>
      </c>
    </row>
    <row r="1037" ht="12.5" customHeight="1">
      <c r="A1037" s="6" t="n">
        <v>45181</v>
      </c>
      <c r="B1037" s="1" t="inlineStr">
        <is>
          <t>ORG_1279</t>
        </is>
      </c>
      <c r="C1037" s="1" t="b">
        <v>1</v>
      </c>
      <c r="D1037" s="1" t="inlineStr">
        <is>
          <t>Cognitive Kids</t>
        </is>
      </c>
      <c r="E1037" s="10" t="inlineStr">
        <is>
          <t>https://cognitivekids.org/</t>
        </is>
      </c>
      <c r="F1037" t="inlineStr">
        <is>
          <t>cognitivekids.org</t>
        </is>
      </c>
      <c r="G1037" s="1" t="inlineStr">
        <is>
          <t>Cognitive Kids aims to address the problem of less than 33% of children globally not getting any form of early childhood education (ECE) due to cost or accessibility constraints, through a combination of innovative technology use, AI, the latest knowledge on Cognitive and Behavioural Neuroscience along with tried and tested ECE methods, we have developed a high quality, hyper personalised mobile solution that works on all versions of iOS &amp; Android operating systems (old &amp; new), with zero post-download data costs that makes ECE both Accessible (due to the high mobile growth market penetration rates in low &amp; middle income countries) &amp; Affordable (business operating model that can provide wide profit margins at 1%-5% of the cost of existing ECE).</t>
        </is>
      </c>
      <c r="H1037" s="1" t="inlineStr">
        <is>
          <t>I'm not part of any EdTech association</t>
        </is>
      </c>
      <c r="I1037" s="1" t="n"/>
      <c r="J1037" s="1" t="inlineStr">
        <is>
          <t>London</t>
        </is>
      </c>
      <c r="K1037" t="inlineStr">
        <is>
          <t>London</t>
        </is>
      </c>
      <c r="L1037" t="inlineStr">
        <is>
          <t>London, United Kingdom</t>
        </is>
      </c>
      <c r="M1037" t="n">
        <v>51.5074456</v>
      </c>
      <c r="N1037" t="n">
        <v>-0.1277653</v>
      </c>
      <c r="O1037" s="1" t="inlineStr">
        <is>
          <t>United Kingdom</t>
        </is>
      </c>
      <c r="P1037" s="1" t="inlineStr">
        <is>
          <t>United Kingdom</t>
        </is>
      </c>
      <c r="Q1037" s="1" t="inlineStr">
        <is>
          <t>0 to 10</t>
        </is>
      </c>
      <c r="R1037" t="inlineStr">
        <is>
          <t>Micro</t>
        </is>
      </c>
      <c r="S1037" s="1" t="inlineStr">
        <is>
          <t>Business to Business</t>
        </is>
      </c>
      <c r="T1037" s="1" t="inlineStr">
        <is>
          <t>Early childhood development (0-5 years)</t>
        </is>
      </c>
      <c r="U1037" s="1" t="inlineStr">
        <is>
          <t>System/Administrative, Student interfacing</t>
        </is>
      </c>
      <c r="V1037" s="1" t="n"/>
      <c r="W1037" s="1" t="inlineStr">
        <is>
          <t>https://drive.google.com/uc?export=view&amp;id=1Ngn7mRDTCWb2lroudAxMChbZnSp6LMgm</t>
        </is>
      </c>
      <c r="X1037" s="1" t="inlineStr">
        <is>
          <t>https://drive.google.com/uc?export=view&amp;id=1Ngn7mRDTCWb2lroudAxMChbZnSp6LMgm</t>
        </is>
      </c>
      <c r="Y1037" t="inlineStr">
        <is>
          <t>https://drive.google.com/uc?export=view&amp;id=1Ngn7mRDTCWb2lroudAxMChbZnSp6LMgm</t>
        </is>
      </c>
      <c r="Z1037" s="1" t="inlineStr">
        <is>
          <t>https://drive.google.com/uc?export=view&amp;id=1Ngn7mRDTCWb2lroudAxMChbZnSp6LMgm</t>
        </is>
      </c>
      <c r="AA1037" s="1" t="inlineStr">
        <is>
          <t>Unverified</t>
        </is>
      </c>
      <c r="AB1037" s="1" t="n"/>
      <c r="AC1037" s="1" t="n"/>
      <c r="AD1037" s="10" t="n"/>
      <c r="AE1037" s="1" t="n"/>
      <c r="AF1037" t="inlineStr">
        <is>
          <t>No</t>
        </is>
      </c>
    </row>
    <row r="1038" ht="12.5" customHeight="1">
      <c r="A1038" s="6" t="n">
        <v>45181</v>
      </c>
      <c r="B1038" s="1" t="inlineStr">
        <is>
          <t>ORG_1282</t>
        </is>
      </c>
      <c r="C1038" s="1" t="b">
        <v>1</v>
      </c>
      <c r="D1038" s="1" t="inlineStr">
        <is>
          <t>Collegial</t>
        </is>
      </c>
      <c r="E1038" s="10" t="inlineStr">
        <is>
          <t>https://www.collegial.com/</t>
        </is>
      </c>
      <c r="F1038" t="inlineStr">
        <is>
          <t>collegial.com</t>
        </is>
      </c>
      <c r="G1038" s="1" t="inlineStr">
        <is>
          <t>Collegial brings together world-leading content, learning process, and data insights on our platform.</t>
        </is>
      </c>
      <c r="H1038" s="1" t="inlineStr">
        <is>
          <t>Swedish EdTech Industry</t>
        </is>
      </c>
      <c r="I1038" s="1" t="n"/>
      <c r="J1038" s="1" t="inlineStr">
        <is>
          <t>Stockholm</t>
        </is>
      </c>
      <c r="K1038" t="inlineStr">
        <is>
          <t>Stockholm</t>
        </is>
      </c>
      <c r="L1038" t="inlineStr">
        <is>
          <t>Stockholm, Sweden</t>
        </is>
      </c>
      <c r="M1038" t="n">
        <v>59.3251172</v>
      </c>
      <c r="N1038" t="n">
        <v>18.0710935</v>
      </c>
      <c r="O1038" s="1" t="inlineStr">
        <is>
          <t>Sweden</t>
        </is>
      </c>
      <c r="P1038" s="1" t="inlineStr">
        <is>
          <t>Sweden</t>
        </is>
      </c>
      <c r="Q1038" s="1" t="inlineStr">
        <is>
          <t>11 to 50</t>
        </is>
      </c>
      <c r="R1038" t="inlineStr">
        <is>
          <t>Small</t>
        </is>
      </c>
      <c r="S1038" s="1" t="inlineStr">
        <is>
          <t>Business to Business</t>
        </is>
      </c>
      <c r="T1038" s="1" t="inlineStr">
        <is>
          <t>Corporate Training, Lifelong learning/Adult education</t>
        </is>
      </c>
      <c r="U1038" s="1" t="inlineStr">
        <is>
          <t>System/Administrative</t>
        </is>
      </c>
      <c r="V1038" s="1" t="inlineStr">
        <is>
          <t>Open Learning</t>
        </is>
      </c>
      <c r="W1038" s="1" t="inlineStr">
        <is>
          <t>Self-driven learning where the learner access over 28 000 world-leading learning experiences. We curate the content to align with your business. With everything in one place, employees can develop the right skills at the right time – and help drive your business forward.</t>
        </is>
      </c>
      <c r="X1038" s="10" t="inlineStr">
        <is>
          <t>Strategic Learning</t>
        </is>
      </c>
      <c r="Y1038" t="inlineStr">
        <is>
          <t>Impact-focused learning to upskill teams on your defined skills gaps. Customize your learning journey based on the content in our learning ecosystem. The learning process is connected to business goals and the team learns together with peer-to-peer interaction.</t>
        </is>
      </c>
      <c r="Z1038" s="1" t="inlineStr">
        <is>
          <t>https://drive.google.com/uc?export=view&amp;id=1Lqx7jRwazc0Wir5-0OLIP9z1MyGc3D7j</t>
        </is>
      </c>
      <c r="AA1038" s="1" t="inlineStr">
        <is>
          <t>Unverified</t>
        </is>
      </c>
      <c r="AB1038" s="1" t="n"/>
      <c r="AC1038" s="1" t="n"/>
      <c r="AD1038" s="10" t="n"/>
      <c r="AE1038" s="1" t="n"/>
      <c r="AF1038" t="inlineStr">
        <is>
          <t>Yes</t>
        </is>
      </c>
      <c r="AG1038" t="inlineStr">
        <is>
          <t>https://www.linkedin.com/company/collegial</t>
        </is>
      </c>
      <c r="AH1038" t="inlineStr">
        <is>
          <t>https://www.linkedin.com/company/collegial</t>
        </is>
      </c>
      <c r="AI1038" t="inlineStr">
        <is>
          <t>https://www.linkedin.com/company/collegial</t>
        </is>
      </c>
    </row>
    <row r="1039" ht="12.5" customHeight="1">
      <c r="A1039" s="6" t="n">
        <v>45181</v>
      </c>
      <c r="B1039" s="1" t="inlineStr">
        <is>
          <t>ORG_1291</t>
        </is>
      </c>
      <c r="C1039" s="1" t="b">
        <v>1</v>
      </c>
      <c r="D1039" s="1" t="inlineStr">
        <is>
          <t>Constel Education</t>
        </is>
      </c>
      <c r="E1039" s="10" t="inlineStr">
        <is>
          <t>https://constel-education.com/</t>
        </is>
      </c>
      <c r="F1039" t="inlineStr">
        <is>
          <t>constel-education.com</t>
        </is>
      </c>
      <c r="G1039" s="1" t="inlineStr">
        <is>
          <t>Constel Education is a 100% online mentoring and collaborative plateform between students in the same field of higher education. 
Our goal is to allow each student to find answers and support to perform ! 
In Constel Education, you can find :
- Mentors who were in the same field as you
- A discussion space divided in groups between students in the community
- Feedbacks and information about different studies and schools
- A lot of information in Instagram and Tiktok too !</t>
        </is>
      </c>
      <c r="H1039" s="1" t="inlineStr">
        <is>
          <t>I'm not part of any EdTech association</t>
        </is>
      </c>
      <c r="I1039" s="1" t="n"/>
      <c r="J1039" s="1" t="inlineStr">
        <is>
          <t>Paris</t>
        </is>
      </c>
      <c r="K1039" t="inlineStr">
        <is>
          <t>Paris</t>
        </is>
      </c>
      <c r="L1039" t="inlineStr">
        <is>
          <t>Paris, France</t>
        </is>
      </c>
      <c r="M1039" t="n">
        <v>48.8534951</v>
      </c>
      <c r="N1039" t="n">
        <v>2.3483915</v>
      </c>
      <c r="O1039" s="1" t="inlineStr">
        <is>
          <t>France</t>
        </is>
      </c>
      <c r="P1039" s="1" t="inlineStr">
        <is>
          <t>France</t>
        </is>
      </c>
      <c r="Q1039" s="1" t="inlineStr">
        <is>
          <t>0 to 10</t>
        </is>
      </c>
      <c r="R1039" t="inlineStr">
        <is>
          <t>Micro</t>
        </is>
      </c>
      <c r="S1039" s="1" t="inlineStr">
        <is>
          <t>Business to Business</t>
        </is>
      </c>
      <c r="T1039" s="1" t="inlineStr">
        <is>
          <t>Secondary Education, Higher Education</t>
        </is>
      </c>
      <c r="U1039" s="1" t="inlineStr">
        <is>
          <t>Student interfacing</t>
        </is>
      </c>
      <c r="V1039" s="1" t="n"/>
      <c r="W1039" s="1" t="n"/>
      <c r="X1039" s="1" t="n"/>
      <c r="Z1039" s="1" t="n"/>
      <c r="AA1039" s="1" t="inlineStr">
        <is>
          <t>Unverified</t>
        </is>
      </c>
      <c r="AB1039" s="1" t="n"/>
      <c r="AC1039" s="1" t="n"/>
      <c r="AD1039" s="1" t="n"/>
      <c r="AE1039" s="1" t="n"/>
      <c r="AF1039" t="inlineStr">
        <is>
          <t>No</t>
        </is>
      </c>
    </row>
    <row r="1040" ht="12.5" customHeight="1">
      <c r="A1040" s="6" t="n">
        <v>45181</v>
      </c>
      <c r="B1040" s="1" t="inlineStr">
        <is>
          <t>ORG_1351</t>
        </is>
      </c>
      <c r="C1040" s="1" t="b">
        <v>1</v>
      </c>
      <c r="D1040" s="1" t="inlineStr">
        <is>
          <t>Differ</t>
        </is>
      </c>
      <c r="E1040" s="10" t="inlineStr">
        <is>
          <t>www.differ.chat</t>
        </is>
      </c>
      <c r="F1040" t="inlineStr">
        <is>
          <t>differ.chat</t>
        </is>
      </c>
      <c r="G1040" s="1" t="inlineStr">
        <is>
          <t>Differ.Chat is a new innovative social platform, especially designed to support students in transition to university. The goal is to empower students with social confidence, skills and relationships that are keys to improved student wellbeing and success.</t>
        </is>
      </c>
      <c r="H1040" s="1" t="inlineStr">
        <is>
          <t>I'm not part of any EdTech association</t>
        </is>
      </c>
      <c r="I1040" s="1" t="n"/>
      <c r="J1040" s="1" t="inlineStr">
        <is>
          <t>Oslo</t>
        </is>
      </c>
      <c r="K1040" t="inlineStr">
        <is>
          <t>Oslo</t>
        </is>
      </c>
      <c r="L1040" t="inlineStr">
        <is>
          <t>Oslo, Norway</t>
        </is>
      </c>
      <c r="M1040" t="n">
        <v>59.9067935</v>
      </c>
      <c r="N1040" t="n">
        <v>10.7610162</v>
      </c>
      <c r="O1040" s="1" t="inlineStr">
        <is>
          <t>Norway</t>
        </is>
      </c>
      <c r="P1040" s="1" t="inlineStr">
        <is>
          <t>Norway, United Kingdom</t>
        </is>
      </c>
      <c r="Q1040" s="1" t="inlineStr">
        <is>
          <t>0 to 10</t>
        </is>
      </c>
      <c r="R1040" t="inlineStr">
        <is>
          <t>Micro</t>
        </is>
      </c>
      <c r="S1040" s="1" t="inlineStr">
        <is>
          <t>Business to Business</t>
        </is>
      </c>
      <c r="T1040" s="1" t="inlineStr">
        <is>
          <t>Higher Education</t>
        </is>
      </c>
      <c r="U1040" s="1" t="inlineStr">
        <is>
          <t>Student interfacing</t>
        </is>
      </c>
      <c r="V1040" s="1" t="inlineStr">
        <is>
          <t>Differ.Chat</t>
        </is>
      </c>
      <c r="W1040" s="1" t="inlineStr">
        <is>
          <t>Differ.Chat is a social platform for new students going to University, helping them connect and develop a sense of belonging. It is the easiest way for students to connect with peers during the transition to university.</t>
        </is>
      </c>
      <c r="X1040" s="10" t="inlineStr">
        <is>
          <t>https://drive.google.com/uc?export=view&amp;id=1_tRAy_FvJ-Ot-YMISHJrw6EZI4U18--j</t>
        </is>
      </c>
      <c r="Y1040" t="inlineStr">
        <is>
          <t>https://drive.google.com/uc?export=view&amp;id=1_tRAy_FvJ-Ot-YMISHJrw6EZI4U18--j</t>
        </is>
      </c>
      <c r="Z1040" s="1" t="inlineStr">
        <is>
          <t>https://drive.google.com/uc?export=view&amp;id=1_tRAy_FvJ-Ot-YMISHJrw6EZI4U18--j</t>
        </is>
      </c>
      <c r="AA1040" s="1" t="inlineStr">
        <is>
          <t>Unverified</t>
        </is>
      </c>
      <c r="AB1040" s="1" t="n"/>
      <c r="AC1040" s="1" t="n"/>
      <c r="AD1040" s="10" t="n"/>
      <c r="AE1040" s="1" t="n"/>
      <c r="AF1040" t="inlineStr">
        <is>
          <t>Yes</t>
        </is>
      </c>
      <c r="AG1040" t="inlineStr">
        <is>
          <t>https://www.linkedin.com/company/4858076</t>
        </is>
      </c>
      <c r="AH1040" t="inlineStr">
        <is>
          <t>https://www.linkedin.com/company/4858076</t>
        </is>
      </c>
      <c r="AI1040" t="inlineStr">
        <is>
          <t>https://www.linkedin.com/company/4858076</t>
        </is>
      </c>
    </row>
    <row r="1041" ht="12.5" customHeight="1">
      <c r="A1041" s="6" t="n">
        <v>45181</v>
      </c>
      <c r="B1041" s="1" t="inlineStr">
        <is>
          <t>ORG_1378</t>
        </is>
      </c>
      <c r="C1041" s="1" t="b">
        <v>1</v>
      </c>
      <c r="D1041" s="1" t="inlineStr">
        <is>
          <t>DOTHEGAP</t>
        </is>
      </c>
      <c r="E1041" s="10" t="inlineStr">
        <is>
          <t>https://dothegap.com/en/</t>
        </is>
      </c>
      <c r="F1041" t="inlineStr">
        <is>
          <t>dothegap.com/en</t>
        </is>
      </c>
      <c r="G1041" s="1" t="inlineStr">
        <is>
          <t>New international network for schools and families to connect and organise all kinds of cross-cultural activities without any intermediary or added cost.</t>
        </is>
      </c>
      <c r="H1041" s="1" t="inlineStr">
        <is>
          <t>EduTech Cluster Spain</t>
        </is>
      </c>
      <c r="I1041" s="1" t="inlineStr">
        <is>
          <t>Spanish, English</t>
        </is>
      </c>
      <c r="J1041" s="1" t="inlineStr">
        <is>
          <t>Barcelona</t>
        </is>
      </c>
      <c r="K1041" t="inlineStr">
        <is>
          <t>Barcelona</t>
        </is>
      </c>
      <c r="L1041" t="inlineStr">
        <is>
          <t>Barcelona, Spain</t>
        </is>
      </c>
      <c r="M1041" t="n">
        <v>41.3825802</v>
      </c>
      <c r="N1041" t="n">
        <v>2.177073</v>
      </c>
      <c r="O1041" s="1" t="inlineStr">
        <is>
          <t>Spain</t>
        </is>
      </c>
      <c r="P104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041" s="1" t="inlineStr">
        <is>
          <t>0 to 2</t>
        </is>
      </c>
      <c r="R1041" t="inlineStr">
        <is>
          <t>Solo entrepreneur</t>
        </is>
      </c>
      <c r="S1041" s="1" t="inlineStr">
        <is>
          <t>Business to Business</t>
        </is>
      </c>
      <c r="T1041" s="1" t="inlineStr">
        <is>
          <t>Secondary Education</t>
        </is>
      </c>
      <c r="U1041" s="1" t="inlineStr">
        <is>
          <t>System/Administrative, Teacher interfacing</t>
        </is>
      </c>
      <c r="V1041" s="10" t="inlineStr">
        <is>
          <t>dothegap, let's exchange activities!</t>
        </is>
      </c>
      <c r="W1041" s="10" t="inlineStr">
        <is>
          <t>New international network for schools and families that allows them to connect to organize all kinds of cross-cultural activities without intermediaries or added costs. Become part of the community in three easy steps: register, launch your exchange proposal, connect. Our dashboard and supporting content makes it easy to manage your trip.
Our aim is to normalize cultural exchange by opening the opportunity for all young people around the world to learn through international experiences, which is fundamental to build a better world based on respect and tolerance for cultural diversity.</t>
        </is>
      </c>
      <c r="X1041" s="10" t="inlineStr">
        <is>
          <t>https://drive.google.com/uc?export=view&amp;id=1ZVfkYVM2r-wvkHOgxkar9wt90WH1f8vT</t>
        </is>
      </c>
      <c r="Y1041" t="inlineStr">
        <is>
          <t>https://drive.google.com/uc?export=view&amp;id=1ZVfkYVM2r-wvkHOgxkar9wt90WH1f8vT</t>
        </is>
      </c>
      <c r="Z1041" s="1" t="inlineStr">
        <is>
          <t>https://drive.google.com/uc?export=view&amp;id=1ZVfkYVM2r-wvkHOgxkar9wt90WH1f8vT</t>
        </is>
      </c>
      <c r="AA1041" s="1" t="inlineStr">
        <is>
          <t>Unverified</t>
        </is>
      </c>
      <c r="AB1041" s="1" t="n"/>
      <c r="AC1041" s="1" t="n"/>
      <c r="AD1041" s="10" t="n"/>
      <c r="AE1041" s="1" t="n"/>
      <c r="AF1041" s="1" t="inlineStr">
        <is>
          <t>Yes</t>
        </is>
      </c>
      <c r="AG1041" s="1" t="inlineStr">
        <is>
          <t>https://www.instagram.com/dothegap_/</t>
        </is>
      </c>
      <c r="AH1041" s="1" t="inlineStr">
        <is>
          <t>https://twitter.com/dothegap_/</t>
        </is>
      </c>
      <c r="AI1041" t="inlineStr">
        <is>
          <t>https://www.linkedin.com/company/dothegap/</t>
        </is>
      </c>
    </row>
    <row r="1042" ht="12.5" customHeight="1">
      <c r="A1042" s="6" t="n">
        <v>45181</v>
      </c>
      <c r="B1042" s="1" t="inlineStr">
        <is>
          <t>ORG_1403</t>
        </is>
      </c>
      <c r="C1042" s="1" t="b">
        <v>1</v>
      </c>
      <c r="D1042" s="1" t="inlineStr">
        <is>
          <t>Edebé Educación S.L.</t>
        </is>
      </c>
      <c r="E1042" s="10" t="inlineStr">
        <is>
          <t>https://www.edebe.com/</t>
        </is>
      </c>
      <c r="F1042" t="inlineStr">
        <is>
          <t>edebe.com</t>
        </is>
      </c>
      <c r="G1042" s="1" t="inlineStr">
        <is>
          <t>Edebé is one of the major publishing entities in Spain, devoted to publishing school
textbooks and also literature for children and young adults. More than 100 of years of
experience and thousands of books published mean that our group is a point of reference in the field of education.
In last 15 years Edebé has invested in the creation of educational multimedia resources which delivers through its own platforms and apps. It has a wide and demonstrated experience in creating and leading new digital and multimedia content and methodologies adapted to enhance the interest of students and teachers. Delivers a user-driven and adaptive technological solution that allows the guided acquisition and evaluation of knowledge and competences, helping teachers and students to achieve a more personalized learning and better results.</t>
        </is>
      </c>
      <c r="H1042" s="1" t="inlineStr">
        <is>
          <t>EduTech Cluster Spain</t>
        </is>
      </c>
      <c r="I1042" s="1" t="inlineStr">
        <is>
          <t>English, Spanish, Catalan, Galician, Valencian, Portuguese, Basque</t>
        </is>
      </c>
      <c r="J1042" s="1" t="inlineStr">
        <is>
          <t>Barcelona</t>
        </is>
      </c>
      <c r="K1042" t="inlineStr">
        <is>
          <t>Barcelona</t>
        </is>
      </c>
      <c r="L1042" t="inlineStr">
        <is>
          <t>Barcelona, Spain</t>
        </is>
      </c>
      <c r="M1042" t="n">
        <v>41.3825802</v>
      </c>
      <c r="N1042" t="n">
        <v>2.177073</v>
      </c>
      <c r="O1042" s="1" t="inlineStr">
        <is>
          <t>Spain</t>
        </is>
      </c>
      <c r="P1042" s="1" t="inlineStr">
        <is>
          <t>Andorra, Austria, Belgium, Germany, Greece, Spain</t>
        </is>
      </c>
      <c r="Q1042" s="1" t="inlineStr">
        <is>
          <t>101 to 500</t>
        </is>
      </c>
      <c r="R1042" t="inlineStr">
        <is>
          <t>Medium or Large (unspecified)</t>
        </is>
      </c>
      <c r="S1042" s="1" t="inlineStr">
        <is>
          <t>Business to Business</t>
        </is>
      </c>
      <c r="T1042" s="1" t="inlineStr">
        <is>
          <t>Early childhood development (0-5 years)</t>
        </is>
      </c>
      <c r="U1042" s="1" t="inlineStr">
        <is>
          <t>Student interfacing, Teacher interfacing, System/Administrative</t>
        </is>
      </c>
      <c r="V1042" s="1" t="inlineStr">
        <is>
          <t>EdebeOn+</t>
        </is>
      </c>
      <c r="W1042" s="10" t="inlineStr">
        <is>
          <t>"EdebeOn+ is a personalized Learning platform which makes personalization and adaptation to educational contents easy to adapt to the needs and rhythm of each student. Provides an on-time diagnostic of the students’ progress along their learning and educational process.
Furthermore it is complemented with an Artificial Intelligence Assistant that helps teachers with their daily tasks: - Identification of alerts: students in risk, students who require special attention…
- Recommendations of contents and navigation: from those resources that students most see, offer them contents from our Resources Library, show them links they are bound to be interested in…
group clustering
Teachers can do anything they want in relation to contents either if they come from publishers or their own contents. They can:
- adapt and personalise its structure: move and organize the units or blocks as well as the elements in it, according to your needs.
- add, copy, edit and delete units or blocks
- add, copy, edit and delete any item inside the blocks, such as:
-Information items
-task items: tasks which students have to do some production
-self-corrected exercises -rubrics - assessment
-learning diary - as an e-portfolio
They share contents and blocks with groups or subgroups of students and send all to google classroom and receive feedback At the same time, the system alerts the teacher when a student has delivered any task, when they are doing mistakes, when they need help, when they are doing great, … but the system will also suggest contents, links and students’ group creation.
EdebeOn+ has an analytics module which is based on the information generated at the platform, considering variables easy to quantify. Both teachers and students will be able to check their progress in the learning process. The qualitative dimensions that are analysed are:
- Motivation
- Effort The quantitative dimensions that are analysed are:
-Students status (failed, in progress, well)
- Number of exercises done
- Progress of contents reviewed
Finally, EdebeOn+ includes artificial intelligence that will be learning about the learning process of each participant and it will be able to predict and suggest contents, exercises, sequences, people to whom connect to ask for help or collaborate, etc."</t>
        </is>
      </c>
      <c r="X1042" s="10" t="n"/>
      <c r="Z1042" s="1" t="n"/>
      <c r="AA1042" s="1" t="inlineStr">
        <is>
          <t>Unverified</t>
        </is>
      </c>
      <c r="AB1042" s="1" t="n"/>
      <c r="AC1042" s="1" t="n"/>
      <c r="AD1042" s="1" t="n"/>
      <c r="AE1042" s="1" t="n"/>
      <c r="AF1042" s="1" t="inlineStr">
        <is>
          <t>Yes</t>
        </is>
      </c>
      <c r="AG1042" s="1" t="inlineStr">
        <is>
          <t>https://twitter.com/GRUPOEDEBE</t>
        </is>
      </c>
      <c r="AH1042" s="1" t="inlineStr">
        <is>
          <t>https://twitter.com/GRUPOEDEBE</t>
        </is>
      </c>
      <c r="AI1042" t="inlineStr">
        <is>
          <t>https://es.linkedin.com/company/editorial-edebe</t>
        </is>
      </c>
    </row>
    <row r="1043" ht="12.5" customHeight="1">
      <c r="A1043" s="6" t="n">
        <v>45181</v>
      </c>
      <c r="B1043" s="1" t="inlineStr">
        <is>
          <t>ORG_1425</t>
        </is>
      </c>
      <c r="C1043" s="1" t="b">
        <v>1</v>
      </c>
      <c r="D1043" s="1" t="inlineStr">
        <is>
          <t>Educai</t>
        </is>
      </c>
      <c r="E1043" s="10" t="inlineStr">
        <is>
          <t>www.educai.io</t>
        </is>
      </c>
      <c r="F1043" t="inlineStr">
        <is>
          <t>educai.io</t>
        </is>
      </c>
      <c r="G1043" s="1" t="inlineStr">
        <is>
          <t>Educai is an AI-powered teaching platform, making it easy and affordable for educators to deliver personalised learning to every child. We do this through our personalized teaching engine: Assess the child into one of 10 learning profiles, assign a learning path, and note-taking through classes.</t>
        </is>
      </c>
      <c r="H1043" s="1" t="inlineStr">
        <is>
          <t>I'm not part of any EdTech association</t>
        </is>
      </c>
      <c r="I1043" s="1" t="n"/>
      <c r="J1043" s="1" t="inlineStr">
        <is>
          <t>London</t>
        </is>
      </c>
      <c r="K1043" t="inlineStr">
        <is>
          <t>London</t>
        </is>
      </c>
      <c r="L1043" t="inlineStr">
        <is>
          <t>London, United Kingdom</t>
        </is>
      </c>
      <c r="M1043" t="n">
        <v>51.5074456</v>
      </c>
      <c r="N1043" t="n">
        <v>-0.1277653</v>
      </c>
      <c r="O1043" s="1" t="inlineStr">
        <is>
          <t>United Kingdom</t>
        </is>
      </c>
      <c r="P1043" s="1" t="inlineStr">
        <is>
          <t>Turkey, United Kingdom</t>
        </is>
      </c>
      <c r="Q1043" s="1" t="inlineStr">
        <is>
          <t>11 to 50</t>
        </is>
      </c>
      <c r="R1043" t="inlineStr">
        <is>
          <t>Small</t>
        </is>
      </c>
      <c r="S1043" s="1" t="inlineStr">
        <is>
          <t>Business to Business</t>
        </is>
      </c>
      <c r="T1043" s="1" t="inlineStr">
        <is>
          <t>Primary Education, Secondary Education</t>
        </is>
      </c>
      <c r="U1043" s="1" t="inlineStr">
        <is>
          <t>System/Administrative</t>
        </is>
      </c>
      <c r="V1043" s="1" t="n"/>
      <c r="W1043" s="1" t="inlineStr">
        <is>
          <t>https://drive.google.com/uc?export=view&amp;id=1LtHl4GHi8mq_z-xUJU8CKwAKA7iO0mT1</t>
        </is>
      </c>
      <c r="X1043" s="1" t="inlineStr">
        <is>
          <t>https://drive.google.com/uc?export=view&amp;id=1LtHl4GHi8mq_z-xUJU8CKwAKA7iO0mT1</t>
        </is>
      </c>
      <c r="Y1043" t="inlineStr">
        <is>
          <t>https://drive.google.com/uc?export=view&amp;id=1LtHl4GHi8mq_z-xUJU8CKwAKA7iO0mT1</t>
        </is>
      </c>
      <c r="Z1043" s="1" t="inlineStr">
        <is>
          <t>https://drive.google.com/uc?export=view&amp;id=1LtHl4GHi8mq_z-xUJU8CKwAKA7iO0mT1</t>
        </is>
      </c>
      <c r="AA1043" s="1" t="inlineStr">
        <is>
          <t>Unverified</t>
        </is>
      </c>
      <c r="AB1043" s="1" t="n"/>
      <c r="AC1043" s="1" t="n"/>
      <c r="AD1043" s="10" t="n"/>
      <c r="AE1043" s="1" t="n"/>
      <c r="AF1043" s="1" t="inlineStr">
        <is>
          <t>No</t>
        </is>
      </c>
      <c r="AG1043" s="1" t="n"/>
      <c r="AH1043" s="1" t="n"/>
    </row>
    <row r="1044" ht="12.5" customHeight="1">
      <c r="A1044" s="6" t="n">
        <v>45181</v>
      </c>
      <c r="B1044" s="1" t="inlineStr">
        <is>
          <t>ORG_1432</t>
        </is>
      </c>
      <c r="C1044" s="1" t="b">
        <v>1</v>
      </c>
      <c r="D1044" s="1" t="inlineStr">
        <is>
          <t>Education21</t>
        </is>
      </c>
      <c r="E1044" s="10" t="inlineStr">
        <is>
          <t>Www.Education21.eu</t>
        </is>
      </c>
      <c r="F1044" t="inlineStr">
        <is>
          <t>education21.eu</t>
        </is>
      </c>
      <c r="G1044" s="1" t="inlineStr">
        <is>
          <t>Building a digital intelligent notebook with integrated language proofing to support students suffering from dyslexia.</t>
        </is>
      </c>
      <c r="H1044" s="1" t="inlineStr">
        <is>
          <t>I'm not part of any EdTech association</t>
        </is>
      </c>
      <c r="I1044" s="1" t="n"/>
      <c r="J1044" s="1" t="inlineStr">
        <is>
          <t>Frankfurt Am Main</t>
        </is>
      </c>
      <c r="K1044" t="inlineStr">
        <is>
          <t>Frankfurt Am Main</t>
        </is>
      </c>
      <c r="L1044" t="inlineStr">
        <is>
          <t>Frankfurt Am Main, Germany</t>
        </is>
      </c>
      <c r="M1044" t="n">
        <v>50.1106444</v>
      </c>
      <c r="N1044" t="n">
        <v>8.682091700000001</v>
      </c>
      <c r="O1044" s="1" t="inlineStr">
        <is>
          <t>Germany</t>
        </is>
      </c>
      <c r="P1044" s="1" t="inlineStr">
        <is>
          <t>Germany</t>
        </is>
      </c>
      <c r="Q1044" s="1" t="inlineStr">
        <is>
          <t>0 to 10</t>
        </is>
      </c>
      <c r="R1044" t="inlineStr">
        <is>
          <t>Micro</t>
        </is>
      </c>
      <c r="S1044" s="1" t="inlineStr">
        <is>
          <t>Business to Business, Business to Consumer</t>
        </is>
      </c>
      <c r="T1044" s="1" t="inlineStr">
        <is>
          <t>Secondary Education</t>
        </is>
      </c>
      <c r="U1044" s="1" t="inlineStr">
        <is>
          <t>System/Administrative, Student interfacing, Teacher interfacing</t>
        </is>
      </c>
      <c r="V1044" s="1" t="n"/>
      <c r="W1044" s="1" t="inlineStr">
        <is>
          <t>https://drive.google.com/uc?export=view&amp;id=1yewQgz9lGIx6vIwBydUvhoSDRH27vgbP</t>
        </is>
      </c>
      <c r="X1044" s="1" t="inlineStr">
        <is>
          <t>https://drive.google.com/uc?export=view&amp;id=1yewQgz9lGIx6vIwBydUvhoSDRH27vgbP</t>
        </is>
      </c>
      <c r="Y1044" t="inlineStr">
        <is>
          <t>https://drive.google.com/uc?export=view&amp;id=1yewQgz9lGIx6vIwBydUvhoSDRH27vgbP</t>
        </is>
      </c>
      <c r="Z1044" s="1" t="inlineStr">
        <is>
          <t>https://drive.google.com/uc?export=view&amp;id=1yewQgz9lGIx6vIwBydUvhoSDRH27vgbP</t>
        </is>
      </c>
      <c r="AA1044" s="1" t="inlineStr">
        <is>
          <t>Unverified</t>
        </is>
      </c>
      <c r="AB1044" s="1" t="n"/>
      <c r="AC1044" s="1" t="n"/>
      <c r="AD1044" s="10" t="n"/>
      <c r="AE1044" s="1" t="n"/>
      <c r="AF1044" s="1" t="inlineStr">
        <is>
          <t>No</t>
        </is>
      </c>
      <c r="AG1044" s="1" t="n"/>
      <c r="AH1044" s="1" t="n"/>
    </row>
    <row r="1045" ht="12.5" customHeight="1">
      <c r="A1045" s="6" t="n">
        <v>45181</v>
      </c>
      <c r="B1045" s="1" t="inlineStr">
        <is>
          <t>ORG_1444</t>
        </is>
      </c>
      <c r="C1045" s="1" t="b">
        <v>1</v>
      </c>
      <c r="D1045" s="1" t="inlineStr">
        <is>
          <t>Edulai</t>
        </is>
      </c>
      <c r="E1045" s="10" t="inlineStr">
        <is>
          <t>www.edulai.com</t>
        </is>
      </c>
      <c r="F1045" t="inlineStr">
        <is>
          <t>edulai.com</t>
        </is>
      </c>
      <c r="G1045" s="1" t="inlineStr">
        <is>
          <t>Assessing and developing skills for the job market of the future
Edulai is Platform offering a 360° support service to companies, head huntings and universities for measuring and developing candidates, workers and students' skills</t>
        </is>
      </c>
      <c r="H1045" s="1" t="inlineStr">
        <is>
          <t>EdTech Italia</t>
        </is>
      </c>
      <c r="I1045" s="1" t="n"/>
      <c r="J1045" s="1" t="inlineStr">
        <is>
          <t>Busto Arsizio (Va)</t>
        </is>
      </c>
      <c r="K1045" t="inlineStr">
        <is>
          <t>Busto Arsizio</t>
        </is>
      </c>
      <c r="L1045" t="inlineStr">
        <is>
          <t>Busto Arsizio, Italy</t>
        </is>
      </c>
      <c r="M1045" t="n">
        <v>45.611932</v>
      </c>
      <c r="N1045" t="n">
        <v>8.851826900000001</v>
      </c>
      <c r="O1045" s="1" t="inlineStr">
        <is>
          <t>Italy</t>
        </is>
      </c>
      <c r="P1045" s="1" t="inlineStr">
        <is>
          <t>Italy</t>
        </is>
      </c>
      <c r="Q1045" s="1" t="inlineStr">
        <is>
          <t>0 to 10</t>
        </is>
      </c>
      <c r="R1045" t="inlineStr">
        <is>
          <t>Micro</t>
        </is>
      </c>
      <c r="S1045" s="1" t="inlineStr">
        <is>
          <t>Business to Business, Business to Consumer</t>
        </is>
      </c>
      <c r="T1045" s="1" t="inlineStr">
        <is>
          <t>Higher Education, Corporate Training, Lifelong learning/Adult education</t>
        </is>
      </c>
      <c r="U1045" s="1" t="inlineStr">
        <is>
          <t>Teacher interfacing, Student interfacing, System/Administrative</t>
        </is>
      </c>
      <c r="V1045" s="1" t="inlineStr">
        <is>
          <t>Edulai Skills Checker</t>
        </is>
      </c>
      <c r="W1045" s="1" t="inlineStr">
        <is>
          <t>Edulai Skills Checker measures in real time, the skills required nowadays by the labour market. The assessment is performed on individual workers, students and it comprise a range of 45+ skills and sub-skills, plus analytics on the results of skills assessments performed, inside a specific company/institution</t>
        </is>
      </c>
      <c r="X1045" s="10" t="inlineStr">
        <is>
          <t>Edulai Intelligent Library</t>
        </is>
      </c>
      <c r="Y1045" t="inlineStr">
        <is>
          <t>An Intelligent online tool that suggests users high quality selected content for skills improvement, based on individuals' current and potential level.</t>
        </is>
      </c>
      <c r="Z1045" s="1" t="inlineStr">
        <is>
          <t>https://drive.google.com/uc?export=view&amp;id=1MZcWK6cYNPu312bSWVJNQolzvZJl3gPb</t>
        </is>
      </c>
      <c r="AA1045" s="1" t="inlineStr">
        <is>
          <t>Unverified</t>
        </is>
      </c>
      <c r="AB1045" s="1" t="n"/>
      <c r="AC1045" s="1" t="n"/>
      <c r="AD1045" s="10" t="n"/>
      <c r="AE1045" s="1" t="n"/>
      <c r="AF1045" t="inlineStr">
        <is>
          <t>Yes</t>
        </is>
      </c>
      <c r="AG1045" t="inlineStr">
        <is>
          <t>https://www.linkedin.com/company/edulai/?viewAsMember=true</t>
        </is>
      </c>
      <c r="AH1045" t="inlineStr">
        <is>
          <t>https://www.linkedin.com/company/edulai/?viewAsMember=true</t>
        </is>
      </c>
      <c r="AI1045" t="inlineStr">
        <is>
          <t>https://www.linkedin.com/company/edulai/?viewAsMember=true</t>
        </is>
      </c>
    </row>
    <row r="1046" ht="12.5" customHeight="1">
      <c r="A1046" s="6" t="n">
        <v>45181</v>
      </c>
      <c r="B1046" s="1" t="inlineStr">
        <is>
          <t>ORG_1456</t>
        </is>
      </c>
      <c r="C1046" s="1" t="b">
        <v>1</v>
      </c>
      <c r="D1046" s="1" t="inlineStr">
        <is>
          <t>EdUnity</t>
        </is>
      </c>
      <c r="E1046" s="10" t="inlineStr">
        <is>
          <t>https://www.edunity.co</t>
        </is>
      </c>
      <c r="F1046" t="inlineStr">
        <is>
          <t>edunity.co</t>
        </is>
      </c>
      <c r="G1046" s="1" t="inlineStr">
        <is>
          <t>EdUnity is a specialist provider of School Apps, offering a platform that allows schools to deploy their own apps capable of enhancing parent engagement, school communication and administrative processes.</t>
        </is>
      </c>
      <c r="H1046" s="1" t="inlineStr">
        <is>
          <t>I'm not part of any EdTech association</t>
        </is>
      </c>
      <c r="I1046" s="1" t="n"/>
      <c r="J1046" s="1" t="inlineStr">
        <is>
          <t>Uttoxeter</t>
        </is>
      </c>
      <c r="K1046" t="inlineStr">
        <is>
          <t>Uttoxeter</t>
        </is>
      </c>
      <c r="L1046" t="inlineStr">
        <is>
          <t>Uttoxeter, United Kingdom</t>
        </is>
      </c>
      <c r="M1046" t="n">
        <v>52.8980321</v>
      </c>
      <c r="N1046" t="n">
        <v>-1.8649214</v>
      </c>
      <c r="O1046" s="1" t="inlineStr">
        <is>
          <t>United Kingdom</t>
        </is>
      </c>
      <c r="P104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1046" s="1" t="inlineStr">
        <is>
          <t>0 to 10</t>
        </is>
      </c>
      <c r="R1046" t="inlineStr">
        <is>
          <t>Micro</t>
        </is>
      </c>
      <c r="S1046" s="1" t="inlineStr">
        <is>
          <t>Business to Business, Business to Consumer</t>
        </is>
      </c>
      <c r="T1046" s="1" t="inlineStr">
        <is>
          <t>Early childhood development (0-5 years), Primary Education, Secondary Education</t>
        </is>
      </c>
      <c r="U1046" s="1" t="inlineStr">
        <is>
          <t>System/Administrative, Student interfacing, Teacher interfacing</t>
        </is>
      </c>
      <c r="V1046" s="1" t="n"/>
      <c r="W1046" s="1" t="inlineStr">
        <is>
          <t>https://drive.google.com/uc?export=view&amp;id=1Xl4iLrsi_HG17hr6iPza5Mh2UTQ-z0VZ</t>
        </is>
      </c>
      <c r="X1046" s="1" t="inlineStr">
        <is>
          <t>https://drive.google.com/uc?export=view&amp;id=1Xl4iLrsi_HG17hr6iPza5Mh2UTQ-z0VZ</t>
        </is>
      </c>
      <c r="Y1046" t="inlineStr">
        <is>
          <t>https://drive.google.com/uc?export=view&amp;id=1Xl4iLrsi_HG17hr6iPza5Mh2UTQ-z0VZ</t>
        </is>
      </c>
      <c r="Z1046" s="1" t="inlineStr">
        <is>
          <t>https://drive.google.com/uc?export=view&amp;id=1Xl4iLrsi_HG17hr6iPza5Mh2UTQ-z0VZ</t>
        </is>
      </c>
      <c r="AA1046" s="1" t="inlineStr">
        <is>
          <t>Unverified</t>
        </is>
      </c>
      <c r="AB1046" s="1" t="n"/>
      <c r="AC1046" s="1" t="n"/>
      <c r="AD1046" s="10" t="n"/>
      <c r="AE1046" s="1" t="n"/>
      <c r="AF1046" t="inlineStr">
        <is>
          <t>No</t>
        </is>
      </c>
    </row>
    <row r="1047" ht="12.5" customHeight="1">
      <c r="A1047" s="6" t="n">
        <v>45181</v>
      </c>
      <c r="B1047" s="1" t="inlineStr">
        <is>
          <t>ORG_1469</t>
        </is>
      </c>
      <c r="C1047" s="1" t="b">
        <v>1</v>
      </c>
      <c r="D1047" s="1" t="inlineStr">
        <is>
          <t>EDvisor Finland - Learning Design</t>
        </is>
      </c>
      <c r="E1047" s="10" t="inlineStr">
        <is>
          <t>https://www.linkedin.com/company/edvisor-finland</t>
        </is>
      </c>
      <c r="F1047" t="inlineStr">
        <is>
          <t>linkedin.com/company/edvisor-finland</t>
        </is>
      </c>
      <c r="G1047" s="1" t="inlineStr">
        <is>
          <t>EDvisor Finland - Learning Design
'Design that LEARNS from Data'.
20 years in international education, as a K-12 educator, educator trainer, school evaluator &amp; now educational entrepreneur have taught us 3 things: 1 Our VALUES are Integrity, Initiative and Integration. 2 Our VISION is of a Design that LEARNS from Data. 3 Our MISSION is to create value by solving problems.
'Dubh Linn', is a seven stage infrastructure for innovation which we initiated in 2020. A proprietary intellectual property that integrates the right questions in the right order. Creating valuable and scalable Design that LEARNS from Data &amp; solves problems in the market.
Our niche is EdTech incubation, acceleration &amp; internationalisation &amp; we operate as a consultancy, currently contracting out of Brussels as a Finnish company.
Let us help you solve your EdTech problems be they educational, technological or business-related.
🇫🇮 EDvisor Finland, Learning Design 🇮🇪 '♻️ Design that LEARNS from Data ♻️'</t>
        </is>
      </c>
      <c r="H1047" s="1" t="inlineStr">
        <is>
          <t>EdTech Finland</t>
        </is>
      </c>
      <c r="I1047" s="1" t="n"/>
      <c r="J1047" s="1" t="inlineStr">
        <is>
          <t>Ixelles</t>
        </is>
      </c>
      <c r="K1047" t="inlineStr">
        <is>
          <t>Ixelles</t>
        </is>
      </c>
      <c r="L1047" t="inlineStr">
        <is>
          <t>Ixelles, Belgium</t>
        </is>
      </c>
      <c r="M1047" t="n">
        <v>50.8331141</v>
      </c>
      <c r="N1047" t="n">
        <v>4.3668279</v>
      </c>
      <c r="O1047" s="1" t="inlineStr">
        <is>
          <t>Belgium</t>
        </is>
      </c>
      <c r="P1047" s="1" t="inlineStr">
        <is>
          <t>Belgium, Czechia, Estonia, Finland, United Kingdom</t>
        </is>
      </c>
      <c r="Q1047" s="1" t="inlineStr">
        <is>
          <t>0 to 10</t>
        </is>
      </c>
      <c r="R1047" t="inlineStr">
        <is>
          <t>Micro</t>
        </is>
      </c>
      <c r="S1047" s="1" t="inlineStr">
        <is>
          <t>Business to Business, Business to Consumer</t>
        </is>
      </c>
      <c r="T1047" s="1" t="inlineStr">
        <is>
          <t>Early childhood development (0-5 years), Primary Education, Secondary Education, Higher Education, Corporate Training, Lifelong learning/Adult education</t>
        </is>
      </c>
      <c r="U1047" s="1" t="inlineStr">
        <is>
          <t>System/Administrative</t>
        </is>
      </c>
      <c r="V1047" s="1" t="n"/>
      <c r="W1047" s="1" t="inlineStr">
        <is>
          <t>https://drive.google.com/uc?export=view&amp;id=1sxeT0AR03cWM7ltPrK-AQok2-pYoe0ZZ</t>
        </is>
      </c>
      <c r="X1047" s="1" t="inlineStr">
        <is>
          <t>https://drive.google.com/uc?export=view&amp;id=1sxeT0AR03cWM7ltPrK-AQok2-pYoe0ZZ</t>
        </is>
      </c>
      <c r="Y1047" t="inlineStr">
        <is>
          <t>https://drive.google.com/uc?export=view&amp;id=1sxeT0AR03cWM7ltPrK-AQok2-pYoe0ZZ</t>
        </is>
      </c>
      <c r="Z1047" s="1" t="inlineStr">
        <is>
          <t>https://drive.google.com/uc?export=view&amp;id=1sxeT0AR03cWM7ltPrK-AQok2-pYoe0ZZ</t>
        </is>
      </c>
      <c r="AA1047" s="1" t="inlineStr">
        <is>
          <t>Unverified</t>
        </is>
      </c>
      <c r="AB1047" s="1" t="n"/>
      <c r="AC1047" s="1" t="n"/>
      <c r="AD1047" s="10" t="n"/>
      <c r="AE1047" s="1" t="n"/>
      <c r="AF1047" t="inlineStr">
        <is>
          <t>No</t>
        </is>
      </c>
    </row>
    <row r="1048" ht="12.5" customHeight="1">
      <c r="A1048" s="6" t="n">
        <v>45181</v>
      </c>
      <c r="B1048" s="1" t="inlineStr">
        <is>
          <t>ORG_1470</t>
        </is>
      </c>
      <c r="C1048" s="1" t="b">
        <v>1</v>
      </c>
      <c r="D1048" s="1" t="inlineStr">
        <is>
          <t>EdVisto</t>
        </is>
      </c>
      <c r="E1048" s="10" t="inlineStr">
        <is>
          <t>www.edvisto.com</t>
        </is>
      </c>
      <c r="F1048" t="inlineStr">
        <is>
          <t>edvisto.com</t>
        </is>
      </c>
      <c r="G1048" s="1" t="inlineStr">
        <is>
          <t>Co-founded with Helsinki University in 2015, EdVisto builds on years of practical research seeking to develop modern teaching and learning methods for the new generation. The result combines storytelling, the most ancient teaching method, with modern technology for consuming and producing content, mobile videos.
EdVisto transforms key elements from global sharing and social platforms like YouTube and Facebook into a powerful learning method designed for the education sector. It focuses on the creative and collaborative learning process during students’ creations of video stories and projects about any topic.
In the process, teachers are empowered to take on the facilitator role and let students’ group dynamic be at the center, while collaboration is encouraged both locally and internationally through specific features that connect teachers and students across schools and countries in a boundless classroom.</t>
        </is>
      </c>
      <c r="H1048" s="1" t="inlineStr">
        <is>
          <t>xEdu</t>
        </is>
      </c>
      <c r="I1048" s="1" t="n"/>
      <c r="J1048" s="1" t="inlineStr">
        <is>
          <t>Espoo</t>
        </is>
      </c>
      <c r="K1048" t="inlineStr">
        <is>
          <t>Espoo</t>
        </is>
      </c>
      <c r="L1048" t="inlineStr">
        <is>
          <t>Espoo, Finland</t>
        </is>
      </c>
      <c r="M1048" t="n">
        <v>60.2049651</v>
      </c>
      <c r="N1048" t="n">
        <v>24.6559808</v>
      </c>
      <c r="O1048" s="1" t="inlineStr">
        <is>
          <t>Finland</t>
        </is>
      </c>
      <c r="P1048" s="1" t="inlineStr">
        <is>
          <t>Finland, Spain</t>
        </is>
      </c>
      <c r="Q1048" s="1" t="inlineStr">
        <is>
          <t>0 to 10</t>
        </is>
      </c>
      <c r="R1048" t="inlineStr">
        <is>
          <t>Micro</t>
        </is>
      </c>
      <c r="S1048" s="1" t="inlineStr">
        <is>
          <t>Business to Business, Business to Consumer</t>
        </is>
      </c>
      <c r="T1048" s="1" t="inlineStr">
        <is>
          <t>Primary Education, Secondary Education, Higher Education</t>
        </is>
      </c>
      <c r="U1048" s="1" t="inlineStr">
        <is>
          <t>Student interfacing, Teacher interfacing</t>
        </is>
      </c>
      <c r="V1048" s="1" t="inlineStr">
        <is>
          <t>EdVisto</t>
        </is>
      </c>
      <c r="W1048" s="1" t="inlineStr">
        <is>
          <t>EdVisto.com is a web-based platform that transforms key elements from global sharing and social platforms like YouTube and Facebook into a powerful learning method designed for the education sector. It focuses on the creative and collaborative learning process during students’ creations of video stories and projects about any topic.
In the process, teachers are empowered in the facilitator role.</t>
        </is>
      </c>
      <c r="X1048" s="1" t="inlineStr">
        <is>
          <t>FilmVIA Kids</t>
        </is>
      </c>
      <c r="Y1048" t="inlineStr">
        <is>
          <t>Inspired from the independent film festival world, FilmVIA Kids is the evaluation tool for all video-based learning. The tool is in creation in partnership with the film festival rating organisation filmvia.com, the upcoming official evaluation tool for 5 film festivals, including the Helsinki Education Film Festival International: heffifinland.com</t>
        </is>
      </c>
      <c r="Z1048" s="1" t="inlineStr">
        <is>
          <t>https://drive.google.com/uc?export=view&amp;id=173V9Q6sjBpCD4cCxivSUEwWjnJxnRbvJ</t>
        </is>
      </c>
      <c r="AA1048" s="1" t="inlineStr">
        <is>
          <t>Unverified</t>
        </is>
      </c>
      <c r="AB1048" s="1" t="n"/>
      <c r="AC1048" s="1" t="n"/>
      <c r="AD1048" s="10" t="n"/>
      <c r="AE1048" s="1" t="n"/>
      <c r="AF1048" t="inlineStr">
        <is>
          <t>No</t>
        </is>
      </c>
    </row>
    <row r="1049" ht="12.5" customHeight="1">
      <c r="A1049" s="6" t="n">
        <v>45181</v>
      </c>
      <c r="B1049" s="1" t="inlineStr">
        <is>
          <t>ORG_1476</t>
        </is>
      </c>
      <c r="C1049" s="1" t="b">
        <v>1</v>
      </c>
      <c r="D1049" s="1" t="inlineStr">
        <is>
          <t>Einsteins Square</t>
        </is>
      </c>
      <c r="E1049" s="10" t="inlineStr">
        <is>
          <t>http://square.lepreschools.com/</t>
        </is>
      </c>
      <c r="F1049" t="inlineStr">
        <is>
          <t>square.lepreschools.com</t>
        </is>
      </c>
      <c r="G1049" s="1" t="inlineStr">
        <is>
          <t>Tutor led innovative i-classes which focusses on small group classes for life skill subjects. From chess, math, art, coding and all the way to yoga , Einsteins Square has learners from 138 countries!</t>
        </is>
      </c>
      <c r="H1049" s="1" t="inlineStr">
        <is>
          <t>EdTech Estonia</t>
        </is>
      </c>
      <c r="I1049" s="1" t="n"/>
      <c r="J1049" s="1" t="inlineStr">
        <is>
          <t>Tallinn</t>
        </is>
      </c>
      <c r="K1049" t="inlineStr">
        <is>
          <t>Tallinn</t>
        </is>
      </c>
      <c r="L1049" t="inlineStr">
        <is>
          <t>Tallinn, Estonia</t>
        </is>
      </c>
      <c r="M1049" t="n">
        <v>59.437242</v>
      </c>
      <c r="N1049" t="n">
        <v>24.7572693</v>
      </c>
      <c r="O1049" s="1" t="inlineStr">
        <is>
          <t>Estonia</t>
        </is>
      </c>
      <c r="P1049" s="1" t="inlineStr">
        <is>
          <t>Germany, Poland, Portugal, Romania, Spain, United Kingdom</t>
        </is>
      </c>
      <c r="Q1049" s="1" t="inlineStr">
        <is>
          <t>0 to 10</t>
        </is>
      </c>
      <c r="R1049" t="inlineStr">
        <is>
          <t>Micro</t>
        </is>
      </c>
      <c r="S1049" s="1" t="inlineStr">
        <is>
          <t>Business to Business, Business to Consumer</t>
        </is>
      </c>
      <c r="T1049" s="1" t="inlineStr">
        <is>
          <t>Early childhood development (0-5 years), Primary Education</t>
        </is>
      </c>
      <c r="U1049" s="1" t="inlineStr">
        <is>
          <t>System/Administrative, Student interfacing</t>
        </is>
      </c>
      <c r="V1049" s="1" t="inlineStr">
        <is>
          <t>Einsteins Square</t>
        </is>
      </c>
      <c r="W1049" s="1" t="inlineStr">
        <is>
          <t>Einsteins Square has tutor led innovative interactive classes which are focussed on small group size. The teachers are highly qualified and experts in their field who endeavour to make each class fun and interactive for young learners. Catering to age 5 t 15 years these classes are in lifeskill subjects like chess, maths, coding , art and yoga. More than 10k learners from 138 countries , all enjoy classes at Einsteins Square!</t>
        </is>
      </c>
      <c r="X1049" s="1" t="inlineStr">
        <is>
          <t>https://drive.google.com/uc?export=view&amp;id=1HNwxln9o1bCIFCAmEflCZ9iBrhWsBg3k</t>
        </is>
      </c>
      <c r="Y1049" t="inlineStr">
        <is>
          <t>https://drive.google.com/uc?export=view&amp;id=1HNwxln9o1bCIFCAmEflCZ9iBrhWsBg3k</t>
        </is>
      </c>
      <c r="Z1049" s="1" t="inlineStr">
        <is>
          <t>https://drive.google.com/uc?export=view&amp;id=1HNwxln9o1bCIFCAmEflCZ9iBrhWsBg3k</t>
        </is>
      </c>
      <c r="AA1049" s="1" t="inlineStr">
        <is>
          <t>Unverified</t>
        </is>
      </c>
      <c r="AB1049" s="1" t="n"/>
      <c r="AC1049" s="1" t="n"/>
      <c r="AD1049" s="10" t="n"/>
      <c r="AE1049" s="1" t="n"/>
      <c r="AF1049" t="inlineStr">
        <is>
          <t>No</t>
        </is>
      </c>
    </row>
    <row r="1050" ht="12.5" customHeight="1">
      <c r="A1050" s="6" t="n">
        <v>45181</v>
      </c>
      <c r="B1050" s="1" t="inlineStr">
        <is>
          <t>ORG_1533</t>
        </is>
      </c>
      <c r="C1050" s="1" t="b">
        <v>1</v>
      </c>
      <c r="D1050" s="1" t="inlineStr">
        <is>
          <t>evulpo</t>
        </is>
      </c>
      <c r="E1050" s="10" t="inlineStr">
        <is>
          <t>www.evulpo.com</t>
        </is>
      </c>
      <c r="F1050" t="inlineStr">
        <is>
          <t>evulpo.com</t>
        </is>
      </c>
      <c r="G1050" s="1" t="inlineStr">
        <is>
          <t>Making the world to a smarter place - that's what it's all about! evulpo is a freemium learning platform with thousands of explanatory videos, summaries and exercises for math, English or French topics relevant to the curriculum. The platform teaches you what you didn't understand at school. Always. Everywhere. Online. And for everyone.</t>
        </is>
      </c>
      <c r="H1050" s="1" t="inlineStr">
        <is>
          <t>I'm not part of any EdTech association</t>
        </is>
      </c>
      <c r="I1050" s="1" t="n"/>
      <c r="J1050" s="1" t="inlineStr">
        <is>
          <t>Zurich</t>
        </is>
      </c>
      <c r="K1050" t="inlineStr">
        <is>
          <t>Zurich</t>
        </is>
      </c>
      <c r="L1050" t="inlineStr">
        <is>
          <t>Zurich, Switzerland</t>
        </is>
      </c>
      <c r="M1050" t="n">
        <v>47.3744489</v>
      </c>
      <c r="N1050" t="n">
        <v>8.5410422</v>
      </c>
      <c r="O1050" s="1" t="inlineStr">
        <is>
          <t>Switzerland</t>
        </is>
      </c>
      <c r="P1050" s="1" t="inlineStr">
        <is>
          <t>Switzerland</t>
        </is>
      </c>
      <c r="Q1050" s="1" t="inlineStr">
        <is>
          <t>51 to 100</t>
        </is>
      </c>
      <c r="R1050" t="inlineStr">
        <is>
          <t>Medium</t>
        </is>
      </c>
      <c r="S1050" s="1" t="inlineStr">
        <is>
          <t>Business to Business, Business to Consumer</t>
        </is>
      </c>
      <c r="T1050" s="1" t="inlineStr">
        <is>
          <t>Primary Education, Secondary Education</t>
        </is>
      </c>
      <c r="U1050" s="1" t="inlineStr">
        <is>
          <t>System/Administrative, Student interfacing, Teacher interfacing</t>
        </is>
      </c>
      <c r="V1050" s="1" t="n"/>
      <c r="W1050" s="1" t="inlineStr">
        <is>
          <t>https://drive.google.com/uc?export=view&amp;id=1vAuKQP2l0r89bV89zMzZfeYYFA1Zd-eg</t>
        </is>
      </c>
      <c r="X1050" s="1" t="inlineStr">
        <is>
          <t>https://drive.google.com/uc?export=view&amp;id=1vAuKQP2l0r89bV89zMzZfeYYFA1Zd-eg</t>
        </is>
      </c>
      <c r="Y1050" t="inlineStr">
        <is>
          <t>https://drive.google.com/uc?export=view&amp;id=1vAuKQP2l0r89bV89zMzZfeYYFA1Zd-eg</t>
        </is>
      </c>
      <c r="Z1050" s="1" t="inlineStr">
        <is>
          <t>https://drive.google.com/uc?export=view&amp;id=1vAuKQP2l0r89bV89zMzZfeYYFA1Zd-eg</t>
        </is>
      </c>
      <c r="AA1050" s="1" t="inlineStr">
        <is>
          <t>Unverified</t>
        </is>
      </c>
      <c r="AB1050" s="1" t="n"/>
      <c r="AC1050" s="1" t="n"/>
      <c r="AD1050" s="10" t="n"/>
      <c r="AE1050" s="1" t="n"/>
      <c r="AF1050" t="inlineStr">
        <is>
          <t>No</t>
        </is>
      </c>
    </row>
    <row r="1051" ht="12.5" customHeight="1">
      <c r="A1051" s="6" t="n">
        <v>45181</v>
      </c>
      <c r="B1051" s="1" t="inlineStr">
        <is>
          <t>ORG_1538</t>
        </is>
      </c>
      <c r="C1051" s="1" t="b">
        <v>1</v>
      </c>
      <c r="D1051" s="1" t="inlineStr">
        <is>
          <t>Exams for Zoom</t>
        </is>
      </c>
      <c r="E1051" s="10" t="inlineStr">
        <is>
          <t>https://examsforzoom.com/</t>
        </is>
      </c>
      <c r="F1051" t="inlineStr">
        <is>
          <t>examsforzoom.com</t>
        </is>
      </c>
      <c r="G1051" s="1" t="inlineStr">
        <is>
          <t>Exams for Zoom is a non-invasive solution for online exams that both institutions and participants can trust in a familiar Zoom environment. It’s as simple and easy as a video call, backed by years and millions of dollars in research, led by international education technology industry leaders. Exams for Zoom provides the foundation for trust, academic integrity and the future of assessment methodologies. Ranging from formative evaluations to highly regulated industry certifications. 
Features:
-Identity registration
-Face &amp; biometric recognition
-OCR process
-Liveness check
-Computer Vision
-Meta-assessment
-Live or unattended
-Non-invasive security
Assessment meta-data is captured with the ultimate goal of helping test-takers improve their exam performance as well as give hosts feedback on their assessments. Data like attention, focus, positiveness, assertion and facial expression help institutions and hosts differentiate an average from a great assessment.
In live sessions the host can interact and monitor all participants, including their desktops, in real time. However, participants can only see and interact with the session host. We don’t block, prevent or control users actions, but merely alert users and the host of certain behaviors while documenting, monitoring and collecting data.
We strictly follow GDPR guidelines. All the academic integrity settings can be enabled and disabled by the host and/or institution. Some interfaces and proctoring solutions have focused on an almost Orwellian type of control with unfamiliar daunting interfaces.Exams for Zoom provides an alternative assessment experience with the aim of improving overall experience as we look towards the future of online assessment.</t>
        </is>
      </c>
      <c r="H1051" s="1" t="inlineStr">
        <is>
          <t>I'm not part of any EdTech association</t>
        </is>
      </c>
      <c r="I1051" s="1" t="n"/>
      <c r="J1051" s="1" t="inlineStr">
        <is>
          <t>Valencia</t>
        </is>
      </c>
      <c r="K1051" t="inlineStr">
        <is>
          <t>Valencia</t>
        </is>
      </c>
      <c r="L1051" t="inlineStr">
        <is>
          <t>Valencia, Spain</t>
        </is>
      </c>
      <c r="M1051" t="n">
        <v>39.6819591</v>
      </c>
      <c r="N1051" t="n">
        <v>-0.7654406</v>
      </c>
      <c r="O1051" s="1" t="inlineStr">
        <is>
          <t>Spain</t>
        </is>
      </c>
      <c r="P1051" s="1" t="inlineStr">
        <is>
          <t>Italy, Netherlands, Portugal, Spain, United Kingdom</t>
        </is>
      </c>
      <c r="Q1051" s="1" t="inlineStr">
        <is>
          <t>0 to 10</t>
        </is>
      </c>
      <c r="R1051" t="inlineStr">
        <is>
          <t>Micro</t>
        </is>
      </c>
      <c r="S1051" s="1" t="inlineStr">
        <is>
          <t>Business to Business, Business to Consumer, Business to Government</t>
        </is>
      </c>
      <c r="T1051" s="1" t="inlineStr">
        <is>
          <t>Higher Education, Corporate Training, Lifelong learning/Adult education</t>
        </is>
      </c>
      <c r="U1051" s="1" t="inlineStr">
        <is>
          <t>Student interfacing, Teacher interfacing, System/Administrative</t>
        </is>
      </c>
      <c r="V1051" s="1" t="n"/>
      <c r="W1051" s="1" t="inlineStr">
        <is>
          <t>https://drive.google.com/uc?export=view&amp;id=1cQjKSAkHW43xkuT1CbXedzS81KAOEPZF</t>
        </is>
      </c>
      <c r="X1051" s="1" t="inlineStr">
        <is>
          <t>https://drive.google.com/uc?export=view&amp;id=1cQjKSAkHW43xkuT1CbXedzS81KAOEPZF</t>
        </is>
      </c>
      <c r="Y1051" t="inlineStr">
        <is>
          <t>https://drive.google.com/uc?export=view&amp;id=1cQjKSAkHW43xkuT1CbXedzS81KAOEPZF</t>
        </is>
      </c>
      <c r="Z1051" s="1" t="inlineStr">
        <is>
          <t>https://drive.google.com/uc?export=view&amp;id=1cQjKSAkHW43xkuT1CbXedzS81KAOEPZF</t>
        </is>
      </c>
      <c r="AA1051" s="1" t="inlineStr">
        <is>
          <t>Unverified</t>
        </is>
      </c>
      <c r="AB1051" s="1" t="n"/>
      <c r="AC1051" s="1" t="n"/>
      <c r="AD1051" s="10" t="n"/>
      <c r="AE1051" s="1" t="n"/>
      <c r="AF1051" t="inlineStr">
        <is>
          <t>No</t>
        </is>
      </c>
    </row>
    <row r="1052" ht="12.5" customHeight="1">
      <c r="A1052" s="6" t="n">
        <v>45181</v>
      </c>
      <c r="B1052" s="1" t="inlineStr">
        <is>
          <t>ORG_1591</t>
        </is>
      </c>
      <c r="C1052" s="1" t="b">
        <v>1</v>
      </c>
      <c r="D1052" s="1" t="inlineStr">
        <is>
          <t>FullSpektrum</t>
        </is>
      </c>
      <c r="E1052" s="10" t="inlineStr">
        <is>
          <t>www.fullspektrum.co.uk</t>
        </is>
      </c>
      <c r="F1052" t="inlineStr">
        <is>
          <t>fullspektrum.co.uk</t>
        </is>
      </c>
      <c r="G1052" s="1" t="inlineStr">
        <is>
          <t>FullSpektrum is a London-based innovation company, providing ground-breaking technologies and services designed to facilitate the full digital transformation of local education and integrated care services for neurodivergent learners, including children and young people with Special Educational 
Needs &amp; Disabilities (SEND).</t>
        </is>
      </c>
      <c r="H1052" s="1" t="inlineStr">
        <is>
          <t>I'm not part of any EdTech association</t>
        </is>
      </c>
      <c r="I1052" s="1" t="n"/>
      <c r="J1052" s="1" t="inlineStr">
        <is>
          <t>London</t>
        </is>
      </c>
      <c r="K1052" t="inlineStr">
        <is>
          <t>London</t>
        </is>
      </c>
      <c r="L1052" t="inlineStr">
        <is>
          <t>London, United Kingdom</t>
        </is>
      </c>
      <c r="M1052" t="n">
        <v>51.5074456</v>
      </c>
      <c r="N1052" t="n">
        <v>-0.1277653</v>
      </c>
      <c r="O1052" s="1" t="inlineStr">
        <is>
          <t>United Kingdom</t>
        </is>
      </c>
      <c r="P1052" s="1" t="inlineStr">
        <is>
          <t>United Kingdom</t>
        </is>
      </c>
      <c r="Q1052" s="1" t="inlineStr">
        <is>
          <t>0 to 10</t>
        </is>
      </c>
      <c r="R1052" t="inlineStr">
        <is>
          <t>Micro</t>
        </is>
      </c>
      <c r="S1052" s="1" t="inlineStr">
        <is>
          <t>Business to Business, Business to Consumer, Business to Government</t>
        </is>
      </c>
      <c r="T1052" s="1" t="inlineStr">
        <is>
          <t>Early childhood development (0-5 years), Primary Education, Secondary Education, Higher Education, Lifelong learning/Adult education</t>
        </is>
      </c>
      <c r="U1052" s="1" t="inlineStr">
        <is>
          <t>Teacher interfacing, Student interfacing, System/Administrative</t>
        </is>
      </c>
      <c r="V1052" s="1" t="n"/>
      <c r="W1052" s="1" t="inlineStr">
        <is>
          <t>https://drive.google.com/uc?export=view&amp;id=1bAvVthCr02Tc_X97oLvmK6WrX7OZeeDv</t>
        </is>
      </c>
      <c r="X1052" s="1" t="inlineStr">
        <is>
          <t>https://drive.google.com/uc?export=view&amp;id=1bAvVthCr02Tc_X97oLvmK6WrX7OZeeDv</t>
        </is>
      </c>
      <c r="Y1052" t="inlineStr">
        <is>
          <t>https://drive.google.com/uc?export=view&amp;id=1bAvVthCr02Tc_X97oLvmK6WrX7OZeeDv</t>
        </is>
      </c>
      <c r="Z1052" s="1" t="inlineStr">
        <is>
          <t>https://drive.google.com/uc?export=view&amp;id=1bAvVthCr02Tc_X97oLvmK6WrX7OZeeDv</t>
        </is>
      </c>
      <c r="AA1052" s="1" t="inlineStr">
        <is>
          <t>Unverified</t>
        </is>
      </c>
      <c r="AB1052" s="1" t="n"/>
      <c r="AC1052" s="1" t="n"/>
      <c r="AD1052" s="10" t="n"/>
      <c r="AE1052" s="1" t="n"/>
      <c r="AF1052" t="inlineStr">
        <is>
          <t>No</t>
        </is>
      </c>
    </row>
    <row r="1053" ht="12.5" customHeight="1">
      <c r="A1053" s="6" t="n">
        <v>45181</v>
      </c>
      <c r="B1053" s="1" t="inlineStr">
        <is>
          <t>ORG_1603</t>
        </is>
      </c>
      <c r="C1053" s="1" t="b">
        <v>1</v>
      </c>
      <c r="D1053" s="1" t="inlineStr">
        <is>
          <t>gamedoo</t>
        </is>
      </c>
      <c r="E1053" s="10" t="inlineStr">
        <is>
          <t>https://www.gamedoo.it</t>
        </is>
      </c>
      <c r="F1053" t="inlineStr">
        <is>
          <t>gamedoo.it</t>
        </is>
      </c>
      <c r="G1053" s="1" t="inlineStr">
        <is>
          <t>Gamedoo provides learning experiences and learning games with an education theme, through a video game platform.
Video games are designed according to the rules of the serious game and allow users to learn according to game mechanics and dynamics that are inspired by topics and educational content.
Gamedoo is part of OperaLogica's innovative ecosystem.</t>
        </is>
      </c>
      <c r="H1053" s="1" t="inlineStr">
        <is>
          <t>I'm not part of any EdTech association</t>
        </is>
      </c>
      <c r="I1053" s="1" t="n"/>
      <c r="J1053" s="1" t="inlineStr">
        <is>
          <t>Garbagnate Milanese</t>
        </is>
      </c>
      <c r="K1053" t="inlineStr">
        <is>
          <t>Garbagnate Milanese</t>
        </is>
      </c>
      <c r="L1053" t="inlineStr">
        <is>
          <t>Garbagnate Milanese, Italy</t>
        </is>
      </c>
      <c r="M1053" t="n">
        <v>45.5772279</v>
      </c>
      <c r="N1053" t="n">
        <v>9.080023000000001</v>
      </c>
      <c r="O1053" s="1" t="inlineStr">
        <is>
          <t>Italy</t>
        </is>
      </c>
      <c r="P1053" s="1" t="inlineStr">
        <is>
          <t>Italy, Spain, Switzerland, United Kingdom</t>
        </is>
      </c>
      <c r="Q1053" s="1" t="inlineStr">
        <is>
          <t>0 to 10</t>
        </is>
      </c>
      <c r="R1053" t="inlineStr">
        <is>
          <t>Micro</t>
        </is>
      </c>
      <c r="S1053" s="1" t="inlineStr">
        <is>
          <t>Business to Business, Business to Consumer, Business to Government, Business to Schools</t>
        </is>
      </c>
      <c r="T1053" s="1" t="inlineStr">
        <is>
          <t>Secondary Education, Corporate Training, Lifelong learning/Adult education</t>
        </is>
      </c>
      <c r="U1053" s="1" t="inlineStr">
        <is>
          <t>Student interfacing, Teacher interfacing, System/Administrative</t>
        </is>
      </c>
      <c r="V1053" s="1" t="inlineStr">
        <is>
          <t>gamedoo</t>
        </is>
      </c>
      <c r="W1053" s="1" t="inlineStr">
        <is>
          <t>Gamedoo builds digital and interactive learning paths for both schools and companies, where the result is not just fun, but the acquisition of skills and knowledge that can be measured on a personal level. The platform collects educational content and then proceeds to the design of the game dynamics in a context of competitive, collaborative and narrative game design.</t>
        </is>
      </c>
      <c r="X1053" s="10" t="inlineStr">
        <is>
          <t>https://drive.google.com/uc?export=view&amp;id=1xjVYpE8jPDaqO1QnCHXKY9SvC2SvzFVa</t>
        </is>
      </c>
      <c r="Y1053" t="inlineStr">
        <is>
          <t>https://drive.google.com/uc?export=view&amp;id=1xjVYpE8jPDaqO1QnCHXKY9SvC2SvzFVa</t>
        </is>
      </c>
      <c r="Z1053" s="1" t="inlineStr">
        <is>
          <t>https://drive.google.com/uc?export=view&amp;id=1xjVYpE8jPDaqO1QnCHXKY9SvC2SvzFVa</t>
        </is>
      </c>
      <c r="AA1053" s="1" t="inlineStr">
        <is>
          <t>Unverified</t>
        </is>
      </c>
      <c r="AB1053" s="1" t="n"/>
      <c r="AC1053" s="1" t="n"/>
      <c r="AD1053" s="10" t="n"/>
      <c r="AE1053" s="1" t="n"/>
      <c r="AF1053" t="inlineStr">
        <is>
          <t>Yes</t>
        </is>
      </c>
      <c r="AG1053" t="inlineStr">
        <is>
          <t>https://www.linkedin.com/company/gamedoo</t>
        </is>
      </c>
      <c r="AH1053" t="inlineStr">
        <is>
          <t>https://www.linkedin.com/company/gamedoo</t>
        </is>
      </c>
      <c r="AI1053" t="inlineStr">
        <is>
          <t>https://www.linkedin.com/company/gamedoo</t>
        </is>
      </c>
    </row>
    <row r="1054" ht="12.5" customHeight="1">
      <c r="A1054" s="6" t="n">
        <v>45181</v>
      </c>
      <c r="B1054" s="1" t="inlineStr">
        <is>
          <t>ORG_1627</t>
        </is>
      </c>
      <c r="C1054" s="1" t="b">
        <v>1</v>
      </c>
      <c r="D1054" s="1" t="inlineStr">
        <is>
          <t>Global Technological Education Network</t>
        </is>
      </c>
      <c r="E1054" s="10" t="inlineStr">
        <is>
          <t>www.gten.uk</t>
        </is>
      </c>
      <c r="F1054" t="inlineStr">
        <is>
          <t>gten.uk</t>
        </is>
      </c>
      <c r="G1054" s="1" t="inlineStr">
        <is>
          <t>GTEN specialized in harnessing communication and information technology in the educational process by rehabilitating educational institutions technologically by providing the best devices, systems and software, training teachers and acquiring modern aids for teaching in the classroom or distance education
GTEN works more with the governments of countries through the ministries of education to build their technology education strategies and to contribute to the training of teachers to be able to use technology in education</t>
        </is>
      </c>
      <c r="H1054" s="1" t="inlineStr">
        <is>
          <t>I'm not part of any EdTech association</t>
        </is>
      </c>
      <c r="I1054" s="1" t="n"/>
      <c r="J1054" s="1" t="inlineStr">
        <is>
          <t>Cambridge</t>
        </is>
      </c>
      <c r="K1054" t="inlineStr">
        <is>
          <t>Cambridge</t>
        </is>
      </c>
      <c r="L1054" t="inlineStr">
        <is>
          <t>Cambridge, United Kingdom</t>
        </is>
      </c>
      <c r="M1054" t="n">
        <v>52.2055314</v>
      </c>
      <c r="N1054" t="n">
        <v>0.1186637</v>
      </c>
      <c r="O1054" s="1" t="inlineStr">
        <is>
          <t>United Kingdom</t>
        </is>
      </c>
      <c r="P1054" s="1" t="inlineStr">
        <is>
          <t>Albania, Armenia, Azerbaijan, Belarus, Bosnia and Herzegovina, Greece, Turkey</t>
        </is>
      </c>
      <c r="Q1054" s="1" t="inlineStr">
        <is>
          <t>11 to 50</t>
        </is>
      </c>
      <c r="R1054" t="inlineStr">
        <is>
          <t>Small</t>
        </is>
      </c>
      <c r="S1054" s="1" t="inlineStr">
        <is>
          <t>Business to Business, Business to Consumer, Business to Government, Business to Schools</t>
        </is>
      </c>
      <c r="T1054" s="1" t="inlineStr">
        <is>
          <t>Primary Education, Secondary Education, Higher Education, Corporate Training</t>
        </is>
      </c>
      <c r="U1054" s="1" t="inlineStr">
        <is>
          <t>Teacher interfacing, System/Administrative, Student interfacing</t>
        </is>
      </c>
      <c r="V1054" s="1" t="n"/>
      <c r="W1054" s="1" t="inlineStr">
        <is>
          <t>https://drive.google.com/uc?export=view&amp;id=1jxnCYv5l03Nd5OrW9uo7EKrV0Rrw2ZgD</t>
        </is>
      </c>
      <c r="X1054" s="1" t="inlineStr">
        <is>
          <t>https://drive.google.com/uc?export=view&amp;id=1jxnCYv5l03Nd5OrW9uo7EKrV0Rrw2ZgD</t>
        </is>
      </c>
      <c r="Y1054" t="inlineStr">
        <is>
          <t>https://drive.google.com/uc?export=view&amp;id=1jxnCYv5l03Nd5OrW9uo7EKrV0Rrw2ZgD</t>
        </is>
      </c>
      <c r="Z1054" s="1" t="inlineStr">
        <is>
          <t>https://drive.google.com/uc?export=view&amp;id=1jxnCYv5l03Nd5OrW9uo7EKrV0Rrw2ZgD</t>
        </is>
      </c>
      <c r="AA1054" s="1" t="inlineStr">
        <is>
          <t>Unverified</t>
        </is>
      </c>
      <c r="AB1054" s="1" t="n"/>
      <c r="AC1054" s="1" t="n"/>
      <c r="AD1054" s="10" t="n"/>
      <c r="AE1054" s="1" t="n"/>
      <c r="AF1054" t="inlineStr">
        <is>
          <t>No</t>
        </is>
      </c>
    </row>
    <row r="1055" ht="12.5" customHeight="1">
      <c r="A1055" s="6" t="n">
        <v>45181</v>
      </c>
      <c r="B1055" s="1" t="inlineStr">
        <is>
          <t>ORG_1643</t>
        </is>
      </c>
      <c r="C1055" s="1" t="b">
        <v>1</v>
      </c>
      <c r="D1055" s="1" t="inlineStr">
        <is>
          <t>Grave Cool</t>
        </is>
      </c>
      <c r="E1055" s="10" t="inlineStr">
        <is>
          <t>www.grave.cool</t>
        </is>
      </c>
      <c r="F1055" t="inlineStr">
        <is>
          <t>grave.cool</t>
        </is>
      </c>
      <c r="G1055" s="1" t="inlineStr">
        <is>
          <t>Grave Cool is a start-up that offers its customers, training organizations, an innovative business model and a unique way of collaboration.
As Social business, Grave Cool accompanies its customers throughout the digitalization of their training catalog by pursuing a long-term partnership dynamic.
Implementation of a digitalization strategy, joint creation of the digitalization economic plan, digitalized products development, marketing, educational and technical exploitation, Grave Cool intervenes at all stages of the project with a collaborative and global approach alongside its clients.
By offering a cooperative environment, Grave Cool contributes to increasing the value of its clients' training and guaranteeing their sustainability by placing digitalization at the center of their development.</t>
        </is>
      </c>
      <c r="H1055" s="1" t="inlineStr">
        <is>
          <t>EdTech France</t>
        </is>
      </c>
      <c r="I1055" s="1" t="n"/>
      <c r="J1055" s="1" t="inlineStr">
        <is>
          <t>Paris</t>
        </is>
      </c>
      <c r="K1055" t="inlineStr">
        <is>
          <t>Paris</t>
        </is>
      </c>
      <c r="L1055" t="inlineStr">
        <is>
          <t>Paris, France</t>
        </is>
      </c>
      <c r="M1055" t="n">
        <v>48.8534951</v>
      </c>
      <c r="N1055" t="n">
        <v>2.3483915</v>
      </c>
      <c r="O1055" s="1" t="inlineStr">
        <is>
          <t>France</t>
        </is>
      </c>
      <c r="P1055" s="1" t="inlineStr">
        <is>
          <t>France</t>
        </is>
      </c>
      <c r="Q1055" s="1" t="inlineStr">
        <is>
          <t>0 to 10</t>
        </is>
      </c>
      <c r="R1055" t="inlineStr">
        <is>
          <t>Micro</t>
        </is>
      </c>
      <c r="S1055" s="1" t="inlineStr">
        <is>
          <t>Business to Business, Business to Consumer, Business to Government, Business to Schools</t>
        </is>
      </c>
      <c r="T1055" s="1" t="inlineStr">
        <is>
          <t>Higher Education, Corporate Training, Lifelong learning/Adult education</t>
        </is>
      </c>
      <c r="U1055" s="1" t="inlineStr">
        <is>
          <t>Student interfacing, Teacher interfacing, System/Administrative</t>
        </is>
      </c>
      <c r="V1055" s="1" t="inlineStr">
        <is>
          <t>Le COOC Gardien</t>
        </is>
      </c>
      <c r="W1055" s="1" t="inlineStr">
        <is>
          <t>The COOC Gardien is a serious game: a video game in which you are the hero, intended for future building caretakers.
A subtle mix of theory and practice, the AFPOLS blended building caretaker course combines face-to-face training with self-study immersed in a gamified 3D environment.
Scenarios, quizzes, expert videos, educational sheets, chats, the serious game energizes learning situations to develop the skills of professionals and lead them to obtain a professional certification</t>
        </is>
      </c>
      <c r="X1055" s="10" t="inlineStr">
        <is>
          <t>https://drive.google.com/uc?export=view&amp;id=1ga3CmUt7yGrbhgfZSJxyrPoGz3KV9ckb</t>
        </is>
      </c>
      <c r="Y1055" t="inlineStr">
        <is>
          <t>https://drive.google.com/uc?export=view&amp;id=1ga3CmUt7yGrbhgfZSJxyrPoGz3KV9ckb</t>
        </is>
      </c>
      <c r="Z1055" s="1" t="inlineStr">
        <is>
          <t>https://drive.google.com/uc?export=view&amp;id=1ga3CmUt7yGrbhgfZSJxyrPoGz3KV9ckb</t>
        </is>
      </c>
      <c r="AA1055" s="1" t="inlineStr">
        <is>
          <t>Unverified</t>
        </is>
      </c>
      <c r="AB1055" s="1" t="n"/>
      <c r="AC1055" s="1" t="n"/>
      <c r="AD1055" s="10" t="n"/>
      <c r="AE1055" s="1" t="n"/>
      <c r="AF1055" t="inlineStr">
        <is>
          <t>Yes</t>
        </is>
      </c>
      <c r="AG1055" t="inlineStr">
        <is>
          <t>https://www.linkedin.com/company/grave-cool/</t>
        </is>
      </c>
      <c r="AH1055" t="inlineStr">
        <is>
          <t>https://www.linkedin.com/company/grave-cool/</t>
        </is>
      </c>
      <c r="AI1055" t="inlineStr">
        <is>
          <t>https://www.linkedin.com/company/grave-cool/</t>
        </is>
      </c>
    </row>
    <row r="1056" ht="12.5" customHeight="1">
      <c r="A1056" s="6" t="n">
        <v>45181</v>
      </c>
      <c r="B1056" s="1" t="inlineStr">
        <is>
          <t>ORG_1651</t>
        </is>
      </c>
      <c r="C1056" s="1" t="b">
        <v>1</v>
      </c>
      <c r="D1056" s="1" t="inlineStr">
        <is>
          <t>Guide Education</t>
        </is>
      </c>
      <c r="E1056" s="10" t="inlineStr">
        <is>
          <t>Www.guideeducation.co.uk</t>
        </is>
      </c>
      <c r="F1056" t="inlineStr">
        <is>
          <t>guideeducation.co.uk</t>
        </is>
      </c>
      <c r="G1056" s="1" t="inlineStr">
        <is>
          <t>Guide Education creates technology and content that improves teaching practice and creates better teachers. Inside and outside the classroom. Used by over 1000 schools to train all staff online with global expertise and best practice. Used by parents to understand how their children learn and to become a better influence on their education.</t>
        </is>
      </c>
      <c r="H1056" s="1" t="inlineStr">
        <is>
          <t>I'm not part of any EdTech association</t>
        </is>
      </c>
      <c r="I1056" s="1" t="n"/>
      <c r="J1056" s="1" t="inlineStr">
        <is>
          <t>Raithby</t>
        </is>
      </c>
      <c r="K1056" t="inlineStr">
        <is>
          <t>Raithby</t>
        </is>
      </c>
      <c r="L1056" t="inlineStr">
        <is>
          <t>Raithby, United Kingdom</t>
        </is>
      </c>
      <c r="M1056" t="n">
        <v>53.1839138</v>
      </c>
      <c r="N1056" t="n">
        <v>0.0529871</v>
      </c>
      <c r="O1056" s="1" t="inlineStr">
        <is>
          <t>United Kingdom</t>
        </is>
      </c>
      <c r="P1056" s="1" t="inlineStr">
        <is>
          <t>Ireland, Italy, Portugal, Spain, United Kingdom</t>
        </is>
      </c>
      <c r="Q1056" s="1" t="inlineStr">
        <is>
          <t>11 to 50</t>
        </is>
      </c>
      <c r="R1056" t="inlineStr">
        <is>
          <t>Small</t>
        </is>
      </c>
      <c r="S1056" s="1" t="inlineStr">
        <is>
          <t>Business to Business, Business to Consumer, Business to Schools</t>
        </is>
      </c>
      <c r="T1056" s="1" t="inlineStr">
        <is>
          <t>Early childhood development (0-5 years), Primary Education, Secondary Education, Lifelong learning/Adult education</t>
        </is>
      </c>
      <c r="U1056" s="1" t="inlineStr">
        <is>
          <t>System/Administrative, Teacher interfacing, Student interfacing</t>
        </is>
      </c>
      <c r="V1056" s="1" t="n"/>
      <c r="W1056" s="1" t="inlineStr">
        <is>
          <t>https://drive.google.com/uc?export=view&amp;id=19VnHOFBYiRYJUWuLO1HZ0W8x7FB2Sl0P</t>
        </is>
      </c>
      <c r="X1056" s="1" t="inlineStr">
        <is>
          <t>https://drive.google.com/uc?export=view&amp;id=19VnHOFBYiRYJUWuLO1HZ0W8x7FB2Sl0P</t>
        </is>
      </c>
      <c r="Y1056" t="inlineStr">
        <is>
          <t>https://drive.google.com/uc?export=view&amp;id=19VnHOFBYiRYJUWuLO1HZ0W8x7FB2Sl0P</t>
        </is>
      </c>
      <c r="Z1056" s="1" t="inlineStr">
        <is>
          <t>https://drive.google.com/uc?export=view&amp;id=19VnHOFBYiRYJUWuLO1HZ0W8x7FB2Sl0P</t>
        </is>
      </c>
      <c r="AA1056" s="1" t="inlineStr">
        <is>
          <t>Unverified</t>
        </is>
      </c>
      <c r="AB1056" s="1" t="n"/>
      <c r="AC1056" s="1" t="n"/>
      <c r="AD1056" s="10" t="n"/>
      <c r="AE1056" s="1" t="n"/>
      <c r="AF1056" s="1" t="inlineStr">
        <is>
          <t>No</t>
        </is>
      </c>
      <c r="AG1056" s="1" t="n"/>
      <c r="AH1056" s="1" t="n"/>
    </row>
    <row r="1057" ht="12.5" customHeight="1">
      <c r="A1057" s="6" t="n">
        <v>45181</v>
      </c>
      <c r="B1057" s="1" t="inlineStr">
        <is>
          <t>ORG_1655</t>
        </is>
      </c>
      <c r="C1057" s="1" t="b">
        <v>1</v>
      </c>
      <c r="D1057" s="1" t="inlineStr">
        <is>
          <t>H4Young</t>
        </is>
      </c>
      <c r="E1057" s="10" t="inlineStr">
        <is>
          <t>www.h4young.it</t>
        </is>
      </c>
      <c r="F1057" t="inlineStr">
        <is>
          <t>h4young.it</t>
        </is>
      </c>
      <c r="G1057" s="1" t="inlineStr">
        <is>
          <t>H4Young is a space where every young person can find multiple opportunities to discover their own value, cultivate their passions and reach their goals.
The project aims to assist the youngest generations during the process of looking for a new study or before choosing the most suitable work experience. Resources and instruments are organised to offer qualified help and valid guidance. Through a variety of tools users can enter into a personalised path leading into suggested choice of learning and profession for their future.
H4Young is a HUB that works mainly in 3 directions: helping YOUNG PEOPLE, organising projects with SCHOOLS and functioning as a bridge between COMPANY , Schools and young people.</t>
        </is>
      </c>
      <c r="H1057" s="1" t="inlineStr">
        <is>
          <t>I'm not part of any EdTech association</t>
        </is>
      </c>
      <c r="I1057" s="1" t="n"/>
      <c r="J1057" s="1" t="inlineStr">
        <is>
          <t>Pordenone</t>
        </is>
      </c>
      <c r="K1057" t="inlineStr">
        <is>
          <t>Pordenone</t>
        </is>
      </c>
      <c r="L1057" t="inlineStr">
        <is>
          <t>Pordenone, Italy</t>
        </is>
      </c>
      <c r="M1057" t="n">
        <v>45.9562503</v>
      </c>
      <c r="N1057" t="n">
        <v>12.6597197</v>
      </c>
      <c r="O1057" s="1" t="inlineStr">
        <is>
          <t>Italy</t>
        </is>
      </c>
      <c r="P1057" s="1" t="inlineStr">
        <is>
          <t>Italy, Spain</t>
        </is>
      </c>
      <c r="Q1057" s="1" t="inlineStr">
        <is>
          <t>0 to 10</t>
        </is>
      </c>
      <c r="R1057" t="inlineStr">
        <is>
          <t>Micro</t>
        </is>
      </c>
      <c r="S1057" s="1" t="inlineStr">
        <is>
          <t>Business to Business, Business to Consumer, Business to Schools</t>
        </is>
      </c>
      <c r="T1057" s="1" t="inlineStr">
        <is>
          <t>Secondary Education, Higher Education, Corporate Training, Lifelong learning/Adult education</t>
        </is>
      </c>
      <c r="U1057" s="1" t="inlineStr">
        <is>
          <t>Student interfacing, Teacher interfacing, System/Administrative</t>
        </is>
      </c>
      <c r="V1057" s="1" t="inlineStr">
        <is>
          <t>To Young People</t>
        </is>
      </c>
      <c r="W1057" s="1" t="inlineStr">
        <is>
          <t>Our site offers different tests to value their skills and attitudes which lead than into courses, videos, books and guidance from mentors. 
The instruments and resources are design for youth which with to enter into the right carreer, project development of creating a new business
We also offers service as Career coaching</t>
        </is>
      </c>
      <c r="X1057" s="10" t="inlineStr">
        <is>
          <t>To School</t>
        </is>
      </c>
      <c r="Y1057" t="inlineStr">
        <is>
          <t>We offer partnership for 
- Hackaton with challenges from companies
- Creativity Camp
- Career guidance projects
- Organization of projects that bring together young people and businesses
- Training courses to learn robotics</t>
        </is>
      </c>
      <c r="Z1057" s="1" t="inlineStr">
        <is>
          <t>https://drive.google.com/uc?export=view&amp;id=1fLoaUuARhF5hJMgNySGm5ze6zpPr2Uvj</t>
        </is>
      </c>
      <c r="AA1057" s="1" t="inlineStr">
        <is>
          <t>Unverified</t>
        </is>
      </c>
      <c r="AB1057" s="1" t="n"/>
      <c r="AC1057" s="1" t="n"/>
      <c r="AD1057" s="10" t="n"/>
      <c r="AE1057" s="1" t="n"/>
      <c r="AF1057" t="inlineStr">
        <is>
          <t>Yes</t>
        </is>
      </c>
      <c r="AG1057" t="inlineStr">
        <is>
          <t>@h4young_it</t>
        </is>
      </c>
      <c r="AH1057" t="inlineStr">
        <is>
          <t>https://www.linkedin.com/company/h4young</t>
        </is>
      </c>
      <c r="AI1057" t="inlineStr">
        <is>
          <t>https://www.linkedin.com/company/h4young</t>
        </is>
      </c>
    </row>
    <row r="1058" ht="12.5" customHeight="1">
      <c r="A1058" s="6" t="n">
        <v>45181</v>
      </c>
      <c r="B1058" s="1" t="inlineStr">
        <is>
          <t>ORG_1679</t>
        </is>
      </c>
      <c r="C1058" s="1" t="b">
        <v>1</v>
      </c>
      <c r="D1058" s="1" t="inlineStr">
        <is>
          <t>Hololink</t>
        </is>
      </c>
      <c r="E1058" s="10" t="inlineStr">
        <is>
          <t>https://www.hololink.io/</t>
        </is>
      </c>
      <c r="F1058" t="inlineStr">
        <is>
          <t>hololink.io</t>
        </is>
      </c>
      <c r="G1058" s="1" t="inlineStr">
        <is>
          <t>Augmented reality for your classroom.
Hololink makes it easy for students and teachers to create interactive augmented reality learning experiences. No app download is needed. Works on any device.</t>
        </is>
      </c>
      <c r="H1058" s="1" t="inlineStr">
        <is>
          <t>EdTech Denmark</t>
        </is>
      </c>
      <c r="I1058" s="1" t="n"/>
      <c r="J1058" s="1" t="inlineStr">
        <is>
          <t>Frederiksberg C</t>
        </is>
      </c>
      <c r="K1058" t="inlineStr">
        <is>
          <t>Frederiksberg C</t>
        </is>
      </c>
      <c r="L1058" t="inlineStr">
        <is>
          <t>Frederiksberg C, Denmark</t>
        </is>
      </c>
      <c r="M1058" t="n">
        <v>55.678016</v>
      </c>
      <c r="N1058" t="n">
        <v>12.5326186</v>
      </c>
      <c r="O1058" s="1" t="inlineStr">
        <is>
          <t>Denmark</t>
        </is>
      </c>
      <c r="P1058" s="1" t="inlineStr">
        <is>
          <t>Denmark, Germany, Norway, Sweden, United Kingdom</t>
        </is>
      </c>
      <c r="Q1058" s="1" t="inlineStr">
        <is>
          <t>0 to 10</t>
        </is>
      </c>
      <c r="R1058" t="inlineStr">
        <is>
          <t>Micro</t>
        </is>
      </c>
      <c r="S1058" s="1" t="inlineStr">
        <is>
          <t>Business to Business, Business to Consumer, Business to Schools</t>
        </is>
      </c>
      <c r="T1058" s="1" t="inlineStr">
        <is>
          <t>Primary Education, Secondary Education, Higher Education, Corporate Training, Lifelong learning/Adult education</t>
        </is>
      </c>
      <c r="U1058" s="1" t="inlineStr">
        <is>
          <t>Student interfacing, Teacher interfacing, System/Administrative</t>
        </is>
      </c>
      <c r="V1058" s="1" t="inlineStr">
        <is>
          <t>Hololink</t>
        </is>
      </c>
      <c r="W1058" s="1" t="inlineStr">
        <is>
          <t>Hololink is a web-based platform that opens in the browser and enables students and teachers to create interactive augmented reality presentations, treasure hunts and quizzes.</t>
        </is>
      </c>
      <c r="X1058" s="10" t="inlineStr">
        <is>
          <t>https://drive.google.com/uc?export=view&amp;id=1s8VP7Fqjc7X3U2J0piL-pI5agyT-Fzhn</t>
        </is>
      </c>
      <c r="Y1058" t="inlineStr">
        <is>
          <t>https://drive.google.com/uc?export=view&amp;id=1s8VP7Fqjc7X3U2J0piL-pI5agyT-Fzhn</t>
        </is>
      </c>
      <c r="Z1058" s="1" t="inlineStr">
        <is>
          <t>https://drive.google.com/uc?export=view&amp;id=1s8VP7Fqjc7X3U2J0piL-pI5agyT-Fzhn</t>
        </is>
      </c>
      <c r="AA1058" s="1" t="inlineStr">
        <is>
          <t>Unverified</t>
        </is>
      </c>
      <c r="AB1058" s="1" t="n"/>
      <c r="AC1058" s="1" t="n"/>
      <c r="AD1058" s="10" t="n"/>
      <c r="AE1058" s="1" t="n"/>
      <c r="AF1058" t="inlineStr">
        <is>
          <t>Yes</t>
        </is>
      </c>
      <c r="AG1058" t="inlineStr">
        <is>
          <t>Hololink</t>
        </is>
      </c>
      <c r="AH1058" t="inlineStr">
        <is>
          <t>Hololink</t>
        </is>
      </c>
      <c r="AI1058" t="inlineStr">
        <is>
          <t>https://www.linkedin.com/company/23690079</t>
        </is>
      </c>
    </row>
    <row r="1059" ht="12.5" customHeight="1">
      <c r="A1059" s="6" t="n">
        <v>45181</v>
      </c>
      <c r="B1059" s="1" t="inlineStr">
        <is>
          <t>ORG_1680</t>
        </is>
      </c>
      <c r="C1059" s="1" t="b">
        <v>1</v>
      </c>
      <c r="D1059" s="1" t="inlineStr">
        <is>
          <t>Holy Owly</t>
        </is>
      </c>
      <c r="E1059" s="10" t="inlineStr">
        <is>
          <t>https://www.holyowly.com/</t>
        </is>
      </c>
      <c r="F1059" t="inlineStr">
        <is>
          <t>holyowly.com</t>
        </is>
      </c>
      <c r="G1059" s="1" t="inlineStr">
        <is>
          <t>Holy Owly is a language learning app for kids from 3 to 12. 
After 3 years of testing to find the perfect formula to learn languages at a young age : a 5 minute daily micro-learning sessions, with oral recognition and adaptive learning. Now a 15 people gender balanced team led by Stéphanie Bourgeois and Julie Boucon, we’re ready for our next step : from an English learning app to a global language learning game !</t>
        </is>
      </c>
      <c r="H1059" s="1" t="inlineStr">
        <is>
          <t>EdTech France</t>
        </is>
      </c>
      <c r="I1059" s="1" t="n"/>
      <c r="J1059" s="1" t="inlineStr">
        <is>
          <t>Le Village By Ca</t>
        </is>
      </c>
      <c r="K1059" t="inlineStr">
        <is>
          <t>Le Village By Ca</t>
        </is>
      </c>
      <c r="L1059" t="inlineStr">
        <is>
          <t>Le Village By Ca, France</t>
        </is>
      </c>
      <c r="M1059" t="n">
        <v>43.5937819</v>
      </c>
      <c r="N1059" t="n">
        <v>1.4481893</v>
      </c>
      <c r="O1059" s="1" t="inlineStr">
        <is>
          <t>France</t>
        </is>
      </c>
      <c r="P105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059" s="1" t="inlineStr">
        <is>
          <t>11 to 50</t>
        </is>
      </c>
      <c r="R1059" t="inlineStr">
        <is>
          <t>Small</t>
        </is>
      </c>
      <c r="S1059" s="1" t="inlineStr">
        <is>
          <t>Business to Business, Business to Consumer, Business to Schools</t>
        </is>
      </c>
      <c r="T1059" s="1" t="inlineStr">
        <is>
          <t>Primary Education</t>
        </is>
      </c>
      <c r="U1059" s="1" t="inlineStr">
        <is>
          <t>System/Administrative</t>
        </is>
      </c>
      <c r="V1059" s="10" t="inlineStr">
        <is>
          <t>Holy Owly for Family</t>
        </is>
      </c>
      <c r="W1059" s="10" t="inlineStr">
        <is>
          <t>Holy Owly for Family is an educational resource for teaching English to children from 3 to 12 years old. Our 7-step method is based on microlearning and our voice recognition system allows children to gain confidence and work on the prosody of the language. We have integrated adaptive learning so that each learner progresses at their own pace.</t>
        </is>
      </c>
      <c r="X1059" s="10" t="inlineStr">
        <is>
          <t>Holy Owly for School</t>
        </is>
      </c>
      <c r="Y1059" t="inlineStr">
        <is>
          <t>Holy Owly is an educational resource for teaching English to children aged 6 to 11. Our 7-step method is based on microlearning and our voice recognition system allows children to gain confidence and work on the prosody of the language. This gamified application allows children to learn 3 words or 3 sentences per day on a tablet in class or in a video-projected way.</t>
        </is>
      </c>
      <c r="Z1059" s="1" t="inlineStr">
        <is>
          <t>https://drive.google.com/uc?export=view&amp;id=1cMaC9znsQMT5AF9twNzp_kFuIBn-3Y0h</t>
        </is>
      </c>
      <c r="AA1059" s="1" t="inlineStr">
        <is>
          <t>Unverified</t>
        </is>
      </c>
      <c r="AB1059" s="1" t="n"/>
      <c r="AC1059" s="1" t="n"/>
      <c r="AD1059" s="10" t="n"/>
      <c r="AE1059" s="1" t="n"/>
      <c r="AF1059" t="inlineStr">
        <is>
          <t>Yes</t>
        </is>
      </c>
      <c r="AG1059" t="inlineStr">
        <is>
          <t>https://www.instagram.com/holyowlyapp/?hl=fr</t>
        </is>
      </c>
      <c r="AH1059" t="inlineStr">
        <is>
          <t>https://twitter.com/HolyOwlyApp?ref_src=twsrc%5Egoogle%7Ctwcamp%5Eserp%7Ctwgr%5Eauthor</t>
        </is>
      </c>
      <c r="AI1059" t="inlineStr">
        <is>
          <t>https://www.linkedin.com/company/holy-owly-app/?originalSubdomain=fr</t>
        </is>
      </c>
    </row>
    <row r="1060" ht="12.5" customHeight="1">
      <c r="A1060" s="6" t="n">
        <v>45181</v>
      </c>
      <c r="B1060" s="1" t="inlineStr">
        <is>
          <t>ORG_1689</t>
        </is>
      </c>
      <c r="C1060" s="1" t="b">
        <v>1</v>
      </c>
      <c r="D1060" s="1" t="inlineStr">
        <is>
          <t>HUH Corporate</t>
        </is>
      </c>
      <c r="E1060" s="10" t="inlineStr">
        <is>
          <t>www.huhcorporate.com</t>
        </is>
      </c>
      <c r="F1060" t="inlineStr">
        <is>
          <t>huhcorporate.com</t>
        </is>
      </c>
      <c r="G1060" s="1" t="inlineStr">
        <is>
          <t>HUH Corporate offers mobile learning solutions via their learning chatbots. Our solution enables to deploy any training program and ensure skill improvement. Thanks to our unique hybrid learning system, trainers can follow the learners real-time progress and interact with them.</t>
        </is>
      </c>
      <c r="H1060" s="1" t="inlineStr">
        <is>
          <t>I'm not part of any EdTech association</t>
        </is>
      </c>
      <c r="I1060" s="1" t="n"/>
      <c r="J1060" s="1" t="inlineStr">
        <is>
          <t>Creteil</t>
        </is>
      </c>
      <c r="K1060" t="inlineStr">
        <is>
          <t>Creteil</t>
        </is>
      </c>
      <c r="L1060" t="inlineStr">
        <is>
          <t>Creteil, France</t>
        </is>
      </c>
      <c r="M1060" t="n">
        <v>48.7771486</v>
      </c>
      <c r="N1060" t="n">
        <v>2.4530731</v>
      </c>
      <c r="O1060" s="1" t="inlineStr">
        <is>
          <t>France</t>
        </is>
      </c>
      <c r="P1060" s="1" t="inlineStr">
        <is>
          <t>Austria, Belgium, France, Germany, Spain, United Kingdom</t>
        </is>
      </c>
      <c r="Q1060" s="1" t="inlineStr">
        <is>
          <t>11 to 50</t>
        </is>
      </c>
      <c r="R1060" t="inlineStr">
        <is>
          <t>Small</t>
        </is>
      </c>
      <c r="S1060" s="1" t="inlineStr">
        <is>
          <t>Business to Business, Business to Consumer, Business to Schools</t>
        </is>
      </c>
      <c r="T1060" s="1" t="inlineStr">
        <is>
          <t>Corporate Training, Lifelong learning/Adult education</t>
        </is>
      </c>
      <c r="U1060" s="1" t="inlineStr">
        <is>
          <t>Teacher interfacing, Student interfacing, System/Administrative</t>
        </is>
      </c>
      <c r="V1060" s="1" t="n"/>
      <c r="W1060" s="1" t="inlineStr">
        <is>
          <t>https://drive.google.com/uc?export=view&amp;id=1NJUL6eclXUWLh5YZAVoAV8A735aZLHCw</t>
        </is>
      </c>
      <c r="X1060" s="1" t="inlineStr">
        <is>
          <t>https://drive.google.com/uc?export=view&amp;id=1NJUL6eclXUWLh5YZAVoAV8A735aZLHCw</t>
        </is>
      </c>
      <c r="Y1060" t="inlineStr">
        <is>
          <t>https://drive.google.com/uc?export=view&amp;id=1NJUL6eclXUWLh5YZAVoAV8A735aZLHCw</t>
        </is>
      </c>
      <c r="Z1060" s="1" t="inlineStr">
        <is>
          <t>https://drive.google.com/uc?export=view&amp;id=1NJUL6eclXUWLh5YZAVoAV8A735aZLHCw</t>
        </is>
      </c>
      <c r="AA1060" s="1" t="inlineStr">
        <is>
          <t>Unverified</t>
        </is>
      </c>
      <c r="AB1060" s="1" t="n"/>
      <c r="AC1060" s="1" t="n"/>
      <c r="AD1060" s="10" t="n"/>
      <c r="AE1060" s="1" t="n"/>
      <c r="AF1060" s="1" t="inlineStr">
        <is>
          <t>No</t>
        </is>
      </c>
      <c r="AG1060" s="1" t="n"/>
      <c r="AH1060" s="1" t="n"/>
    </row>
    <row r="1061" ht="12.5" customHeight="1">
      <c r="A1061" s="6" t="n">
        <v>45181</v>
      </c>
      <c r="B1061" s="1" t="inlineStr">
        <is>
          <t>ORG_1707</t>
        </is>
      </c>
      <c r="C1061" s="1" t="b">
        <v>1</v>
      </c>
      <c r="D1061" s="1" t="inlineStr">
        <is>
          <t>IeXa Academy</t>
        </is>
      </c>
      <c r="E1061" s="10" t="inlineStr">
        <is>
          <t>https://www.iexa.it/</t>
        </is>
      </c>
      <c r="F1061" t="inlineStr">
        <is>
          <t>iexa.it</t>
        </is>
      </c>
      <c r="G1061" s="1" t="inlineStr">
        <is>
          <t>Today there are tons of online resources to learn and grow but most people don't complete the courses they sign up for. It's necessary to strengthen the model with 1-t-1 tutoring and chort based learning services. Sintropy Platform (by IeXa Academy) is a marketplace that in a sustainable, scalable and open way will allow everyone to complete their growth paths!
Our mission is Democratize Techcnical Learning for everyone through the Sintropy Network Platform that disintermediates the traditional supply chains of "Learning Market" and directly connects those who want to offer their skills with those who need to learn.
All the Colearning centers distributed throughout Italy and Europe that wish to join this network will also be connected to the platform.
Sintropy is a Phygital project. A network platform and a series of physical "Colearning Spaces" distributed to host students online and offer value-added services for students.</t>
        </is>
      </c>
      <c r="H1061" s="1" t="inlineStr">
        <is>
          <t>I'm not part of any EdTech association</t>
        </is>
      </c>
      <c r="I1061" s="1" t="n"/>
      <c r="J1061" s="1" t="inlineStr">
        <is>
          <t>Rome</t>
        </is>
      </c>
      <c r="K1061" t="inlineStr">
        <is>
          <t>Rome</t>
        </is>
      </c>
      <c r="L1061" t="inlineStr">
        <is>
          <t>Rome, Italy</t>
        </is>
      </c>
      <c r="M1061" t="n">
        <v>41.8933203</v>
      </c>
      <c r="N1061" t="n">
        <v>12.4829321</v>
      </c>
      <c r="O1061" s="1" t="inlineStr">
        <is>
          <t>Italy</t>
        </is>
      </c>
      <c r="P1061" s="1" t="inlineStr">
        <is>
          <t>Italy</t>
        </is>
      </c>
      <c r="Q1061" s="1" t="inlineStr">
        <is>
          <t>0 to 10</t>
        </is>
      </c>
      <c r="R1061" t="inlineStr">
        <is>
          <t>Micro</t>
        </is>
      </c>
      <c r="S1061" s="1" t="inlineStr">
        <is>
          <t>Business to Business, Business to Consumer, Business to Schools</t>
        </is>
      </c>
      <c r="T1061" s="1" t="inlineStr">
        <is>
          <t>Higher Education, Corporate Training, Lifelong learning/Adult education</t>
        </is>
      </c>
      <c r="U1061" s="1" t="inlineStr">
        <is>
          <t>System/Administrative, Student interfacing, Teacher interfacing</t>
        </is>
      </c>
      <c r="V1061" s="1" t="n"/>
      <c r="W1061" s="1" t="inlineStr">
        <is>
          <t>https://drive.google.com/uc?export=view&amp;id=14lMi8IvIfDpc-U1HSyr850-cIRi2ZF0g</t>
        </is>
      </c>
      <c r="X1061" s="1" t="inlineStr">
        <is>
          <t>https://drive.google.com/uc?export=view&amp;id=14lMi8IvIfDpc-U1HSyr850-cIRi2ZF0g</t>
        </is>
      </c>
      <c r="Y1061" t="inlineStr">
        <is>
          <t>https://drive.google.com/uc?export=view&amp;id=14lMi8IvIfDpc-U1HSyr850-cIRi2ZF0g</t>
        </is>
      </c>
      <c r="Z1061" s="1" t="inlineStr">
        <is>
          <t>https://drive.google.com/uc?export=view&amp;id=14lMi8IvIfDpc-U1HSyr850-cIRi2ZF0g</t>
        </is>
      </c>
      <c r="AA1061" s="1" t="inlineStr">
        <is>
          <t>Unverified</t>
        </is>
      </c>
      <c r="AB1061" s="1" t="n"/>
      <c r="AC1061" s="1" t="n"/>
      <c r="AD1061" s="10" t="n"/>
      <c r="AE1061" s="1" t="n"/>
      <c r="AF1061" t="inlineStr">
        <is>
          <t>No</t>
        </is>
      </c>
    </row>
    <row r="1062" ht="12.5" customHeight="1">
      <c r="A1062" s="6" t="n">
        <v>45181</v>
      </c>
      <c r="B1062" s="1" t="inlineStr">
        <is>
          <t>ORG_1719</t>
        </is>
      </c>
      <c r="C1062" s="1" t="b">
        <v>1</v>
      </c>
      <c r="D1062" s="1" t="inlineStr">
        <is>
          <t>IMTLazarus</t>
        </is>
      </c>
      <c r="E1062" s="10" t="inlineStr">
        <is>
          <t>www.imtlazarus.com</t>
        </is>
      </c>
      <c r="F1062" t="inlineStr">
        <is>
          <t>imtlazarus.com</t>
        </is>
      </c>
      <c r="G1062" s="1" t="inlineStr">
        <is>
          <t>IMTLazarus is a manufacturer of a cloud-based solution for devices' management in education, providing Security and Control 24H and in all technologies.
Integrating with schools current digital tools and providing them a wide variety of 3p digital solutions, eases and enhance at the same time the digital daily use of teachers and school Admin team.
With a variable security settings we ensure each user is applied security policies depending on the circunstances (school hours or family time, age, grade, specific needs) to guarantee a normalised class management.
Active participation of teachers and families ensures a proper and safe use of technology by underage while respecting their rights at all given time.
Adapting to each school needs, digital model and environment eases a fluent and smooth use of technology while creating a secured and control environment for all players involved.</t>
        </is>
      </c>
      <c r="H1062" s="1" t="inlineStr">
        <is>
          <t>I'm not part of any EdTech association</t>
        </is>
      </c>
      <c r="I1062" s="1" t="inlineStr">
        <is>
          <t>Spanish, Catalan, English, Basque, Italian, Portuguese, Chinese, Arabic, Dutch, Malay, Norwegian, Greek, Turkish, Korean, Lithuanian, Japanese, Finnish, Swedish, Polish, Bulgarian, Czech, Danish, Slovakian, Welsh, Irish, Icelandic, Latvian, Thai, Romanian</t>
        </is>
      </c>
      <c r="J1062" s="1" t="inlineStr">
        <is>
          <t>Bilbao</t>
        </is>
      </c>
      <c r="K1062" t="inlineStr">
        <is>
          <t>Bilbao</t>
        </is>
      </c>
      <c r="L1062" t="inlineStr">
        <is>
          <t>Bilbao, Spain</t>
        </is>
      </c>
      <c r="M1062" t="n">
        <v>43.2630018</v>
      </c>
      <c r="N1062" t="n">
        <v>-2.9350039</v>
      </c>
      <c r="O1062" s="1" t="inlineStr">
        <is>
          <t>Spain</t>
        </is>
      </c>
      <c r="P1062" s="1" t="inlineStr">
        <is>
          <t>Spain</t>
        </is>
      </c>
      <c r="Q1062" s="1" t="inlineStr">
        <is>
          <t>11 to 50</t>
        </is>
      </c>
      <c r="R1062" t="inlineStr">
        <is>
          <t>Small</t>
        </is>
      </c>
      <c r="S1062" s="1" t="inlineStr">
        <is>
          <t>Business to Business, Business to Consumer, Business to Schools</t>
        </is>
      </c>
      <c r="T1062" s="1" t="inlineStr">
        <is>
          <t>Secondary Education</t>
        </is>
      </c>
      <c r="U1062" s="1" t="inlineStr">
        <is>
          <t>System/Administrative, Teacher interfacing</t>
        </is>
      </c>
      <c r="V1062" s="1" t="inlineStr">
        <is>
          <t>IMTLazarus</t>
        </is>
      </c>
      <c r="W1062" s="10" t="inlineStr">
        <is>
          <t>Cloud solution for device management, with fully customizable and self-management for teachers, classroom management, and security and monitor features.
- Fully technologically agnostic
- Involving Teachers and Families in responsible use of technology by the underage
- Data Persistence environment through working spaces
- Enhancing teachers' digital experience</t>
        </is>
      </c>
      <c r="X1062" s="10" t="inlineStr">
        <is>
          <t>IMTFusion</t>
        </is>
      </c>
      <c r="Y1062" t="inlineStr">
        <is>
          <t>Part of the IMTLazarus ecosystem, put in place a set of imbrication technologies, that display students' valuable data from IMTLaarus itself or any other educational platform onto the trusted and commonly used teachers' platform, so smoothing their digital interactions in a more comprehensive way.</t>
        </is>
      </c>
      <c r="Z1062" s="1" t="inlineStr">
        <is>
          <t>https://drive.google.com/uc?export=view&amp;id=173KfMTzwbhXC9kva11Z4fAZaOcL6S2aP</t>
        </is>
      </c>
      <c r="AA1062" s="1" t="inlineStr">
        <is>
          <t>Unverified</t>
        </is>
      </c>
      <c r="AB1062" s="1" t="n"/>
      <c r="AC1062" s="1" t="n"/>
      <c r="AD1062" s="10" t="n"/>
      <c r="AE1062" s="1" t="n"/>
      <c r="AF1062" s="1" t="inlineStr">
        <is>
          <t>Yes</t>
        </is>
      </c>
      <c r="AG1062" s="1" t="inlineStr">
        <is>
          <t>https://twitter.com/IMTLazarus_EN</t>
        </is>
      </c>
      <c r="AH1062" s="1" t="inlineStr">
        <is>
          <t>https://twitter.com/IMTLazarus_EN</t>
        </is>
      </c>
      <c r="AI1062" t="inlineStr">
        <is>
          <t>https://es.linkedin.com/company/imtlazarus</t>
        </is>
      </c>
    </row>
    <row r="1063" ht="12.5" customHeight="1">
      <c r="A1063" s="6" t="n">
        <v>45181</v>
      </c>
      <c r="B1063" s="1" t="inlineStr">
        <is>
          <t>ORG_1730</t>
        </is>
      </c>
      <c r="C1063" s="1" t="b">
        <v>1</v>
      </c>
      <c r="D1063" s="1" t="inlineStr">
        <is>
          <t>INTERFORA IFAIP</t>
        </is>
      </c>
      <c r="E1063" s="10" t="inlineStr">
        <is>
          <t>https://www.interfora-ifaip.fr/</t>
        </is>
      </c>
      <c r="F1063" t="inlineStr">
        <is>
          <t>interfora-ifaip.fr</t>
        </is>
      </c>
      <c r="G1063" s="1" t="inlineStr">
        <is>
          <t>INTERFORA IFAIP develops online training program for the chemical industry. From e-learning modules to 3D experience, we strive to propose a collaborative and immersive learning. We developed a simulator to immerse the learners in a chemical working environment, in order to teach the handiwork link to the occupational hazards and understand the fundamentals of the craft.</t>
        </is>
      </c>
      <c r="H1063" s="1" t="inlineStr">
        <is>
          <t>EdTech France</t>
        </is>
      </c>
      <c r="I1063" s="1" t="n"/>
      <c r="J1063" s="1" t="inlineStr">
        <is>
          <t>St Fons</t>
        </is>
      </c>
      <c r="K1063" t="inlineStr">
        <is>
          <t>St Fons</t>
        </is>
      </c>
      <c r="L1063" t="inlineStr">
        <is>
          <t>St Fons, France</t>
        </is>
      </c>
      <c r="M1063" t="n">
        <v>43.9073193</v>
      </c>
      <c r="N1063" t="n">
        <v>4.2066593</v>
      </c>
      <c r="O1063" s="1" t="inlineStr">
        <is>
          <t>France</t>
        </is>
      </c>
      <c r="P1063" s="1" t="inlineStr">
        <is>
          <t>France</t>
        </is>
      </c>
      <c r="Q1063" s="1" t="inlineStr">
        <is>
          <t>11 to 50</t>
        </is>
      </c>
      <c r="R1063" t="inlineStr">
        <is>
          <t>Small</t>
        </is>
      </c>
      <c r="S1063" s="1" t="inlineStr">
        <is>
          <t>Business to Business, Business to Government</t>
        </is>
      </c>
      <c r="T1063" s="1" t="inlineStr">
        <is>
          <t>Primary Education, Secondary Education, Higher Education, Corporate Training, Lifelong learning/Adult education</t>
        </is>
      </c>
      <c r="U1063" s="1" t="inlineStr">
        <is>
          <t>Student interfacing, System/Administrative</t>
        </is>
      </c>
      <c r="V1063" s="10" t="inlineStr">
        <is>
          <t>On-line and immersive trainning for industry</t>
        </is>
      </c>
      <c r="W1063" s="10" t="inlineStr">
        <is>
          <t>INTERFORA IFAIP develops online training program for the chemical industry. From e-learning modules to 3D experience, we strive to propose a collaborative and immersive learning. We developed a simulator to immerse the learners in a chemical working environment, in order to teach the handiwork link to the occupational hazards and understand the fundamentals of the craft.</t>
        </is>
      </c>
      <c r="X1063" s="10" t="inlineStr">
        <is>
          <t>https://drive.google.com/uc?export=view&amp;id=1LOaY9H53U_PbwFFxBCzno9ZLNy9XoUrQ</t>
        </is>
      </c>
      <c r="Y1063" t="inlineStr">
        <is>
          <t>https://drive.google.com/uc?export=view&amp;id=1LOaY9H53U_PbwFFxBCzno9ZLNy9XoUrQ</t>
        </is>
      </c>
      <c r="Z1063" s="1" t="inlineStr">
        <is>
          <t>https://drive.google.com/uc?export=view&amp;id=1LOaY9H53U_PbwFFxBCzno9ZLNy9XoUrQ</t>
        </is>
      </c>
      <c r="AA1063" s="1" t="inlineStr">
        <is>
          <t>Unverified</t>
        </is>
      </c>
      <c r="AB1063" s="1" t="n"/>
      <c r="AC1063" s="1" t="n"/>
      <c r="AD1063" s="10" t="n"/>
      <c r="AE1063" s="1" t="n"/>
      <c r="AF1063" s="1" t="inlineStr">
        <is>
          <t>Yes</t>
        </is>
      </c>
      <c r="AG1063" s="1" t="inlineStr">
        <is>
          <t>https://www.instagram.com/interfora_ifaip/</t>
        </is>
      </c>
      <c r="AH1063" s="1" t="inlineStr">
        <is>
          <t>https://twitter.com/Interfora_Ifaip</t>
        </is>
      </c>
      <c r="AI1063" t="inlineStr">
        <is>
          <t>https://www.linkedin.com/company/interfora-ifaip/</t>
        </is>
      </c>
    </row>
    <row r="1064" ht="12.5" customHeight="1">
      <c r="A1064" s="6" t="n">
        <v>45181</v>
      </c>
      <c r="B1064" s="1" t="inlineStr">
        <is>
          <t>ORG_1759</t>
        </is>
      </c>
      <c r="C1064" s="1" t="b">
        <v>1</v>
      </c>
      <c r="D1064" s="1" t="inlineStr">
        <is>
          <t>Jungle Program</t>
        </is>
      </c>
      <c r="E1064" s="10" t="inlineStr">
        <is>
          <t>https://www.jungleprogram.com</t>
        </is>
      </c>
      <c r="F1064" t="inlineStr">
        <is>
          <t>jungleprogram.com</t>
        </is>
      </c>
      <c r="G1064" s="1" t="inlineStr">
        <is>
          <t>We supercharge your tech team to deliver better software faster. Get matched with senior engineers to guide your team in solving your tech challenges.</t>
        </is>
      </c>
      <c r="H1064" s="1" t="inlineStr">
        <is>
          <t>EdTech France</t>
        </is>
      </c>
      <c r="I1064" s="1" t="n"/>
      <c r="J1064" s="1" t="inlineStr">
        <is>
          <t>Berlin</t>
        </is>
      </c>
      <c r="K1064" t="inlineStr">
        <is>
          <t>Berlin</t>
        </is>
      </c>
      <c r="L1064" t="inlineStr">
        <is>
          <t>Berlin, Germany</t>
        </is>
      </c>
      <c r="M1064" t="n">
        <v>52.5173885</v>
      </c>
      <c r="N1064" t="n">
        <v>13.3951309</v>
      </c>
      <c r="O1064" s="1" t="inlineStr">
        <is>
          <t>Germany</t>
        </is>
      </c>
      <c r="P1064" s="1" t="inlineStr">
        <is>
          <t>France, Germany</t>
        </is>
      </c>
      <c r="Q1064" s="1" t="inlineStr">
        <is>
          <t>0 to 10</t>
        </is>
      </c>
      <c r="R1064" t="inlineStr">
        <is>
          <t>Micro</t>
        </is>
      </c>
      <c r="S1064" s="1" t="inlineStr">
        <is>
          <t>Business to Business, Business to Government</t>
        </is>
      </c>
      <c r="T1064" s="1" t="inlineStr">
        <is>
          <t>Corporate Training, Lifelong learning/Adult education</t>
        </is>
      </c>
      <c r="U1064" s="1" t="inlineStr">
        <is>
          <t>Teacher interfacing, System/Administrative, Student interfacing</t>
        </is>
      </c>
      <c r="V1064" s="1" t="inlineStr">
        <is>
          <t>Jungle Program</t>
        </is>
      </c>
      <c r="W1064" s="10" t="inlineStr">
        <is>
          <t>Any developer can request expert help on their current issue at hand, and get connected in a few hours with a senior experienced developer with high knowledge on the subject.</t>
        </is>
      </c>
      <c r="X1064" s="10" t="n"/>
      <c r="Z1064" s="1" t="n"/>
      <c r="AA1064" s="1" t="inlineStr">
        <is>
          <t>Unverified</t>
        </is>
      </c>
      <c r="AB1064" s="1" t="n"/>
      <c r="AC1064" s="1" t="n"/>
      <c r="AD1064" s="1" t="n"/>
      <c r="AE1064" s="1" t="n"/>
      <c r="AF1064" t="inlineStr">
        <is>
          <t>Yes</t>
        </is>
      </c>
      <c r="AG1064" t="inlineStr">
        <is>
          <t>https://twitter.com/jungleprogram</t>
        </is>
      </c>
      <c r="AH1064" t="inlineStr">
        <is>
          <t>https://twitter.com/jungleprogram</t>
        </is>
      </c>
      <c r="AI1064" t="inlineStr">
        <is>
          <t>https://www.linkedin.com/school/jungleprogram</t>
        </is>
      </c>
    </row>
    <row r="1065" ht="12.5" customHeight="1">
      <c r="A1065" s="6" t="n">
        <v>45181</v>
      </c>
      <c r="B1065" s="1" t="inlineStr">
        <is>
          <t>ORG_1779</t>
        </is>
      </c>
      <c r="C1065" s="1" t="b">
        <v>1</v>
      </c>
      <c r="D1065" s="1" t="inlineStr">
        <is>
          <t>Kiron Digital</t>
        </is>
      </c>
      <c r="E1065" s="10" t="inlineStr">
        <is>
          <t>https://kiron.digital</t>
        </is>
      </c>
      <c r="F1065" t="inlineStr">
        <is>
          <t>kiron.digital</t>
        </is>
      </c>
      <c r="G1065" s="1" t="inlineStr">
        <is>
          <t>Kiron Digital is the backbone of a new education ecosystem, that enables organisations around the world to create, deliver and retain better collective learning experiences.
Our SaaS digital learning experience platform not only empowers the digital transformation within organisations. Part of our revenue also goes to the NGO Kiron, which is educating refugees worldwide, which makes us a social enterprise.
We want to enable organisations to scale their impact without equally scaling costs. Many other solutions price per learner, course taken or admin, which is very expensive if not completely impossible for many. We developed an innovative pricing model, making digital education and therefore the benefits of digitalization accessible to all.</t>
        </is>
      </c>
      <c r="H1065" s="1" t="inlineStr">
        <is>
          <t>I'm not part of any EdTech association</t>
        </is>
      </c>
      <c r="I1065" s="1" t="n"/>
      <c r="J1065" s="1" t="inlineStr">
        <is>
          <t>Berlin</t>
        </is>
      </c>
      <c r="K1065" t="inlineStr">
        <is>
          <t>Berlin</t>
        </is>
      </c>
      <c r="L1065" t="inlineStr">
        <is>
          <t>Berlin, Germany</t>
        </is>
      </c>
      <c r="M1065" t="n">
        <v>52.5173885</v>
      </c>
      <c r="N1065" t="n">
        <v>13.3951309</v>
      </c>
      <c r="O1065" s="1" t="inlineStr">
        <is>
          <t>Germany</t>
        </is>
      </c>
      <c r="P1065" s="1" t="inlineStr">
        <is>
          <t>Austria, Germany, Netherlands, Spain, Switzerland, United Kingdom</t>
        </is>
      </c>
      <c r="Q1065" s="1" t="inlineStr">
        <is>
          <t>0 to 10</t>
        </is>
      </c>
      <c r="R1065" t="inlineStr">
        <is>
          <t>Micro</t>
        </is>
      </c>
      <c r="S1065" s="1" t="inlineStr">
        <is>
          <t>Business to Business, Business to Government</t>
        </is>
      </c>
      <c r="T1065" s="1" t="inlineStr">
        <is>
          <t>Primary Education, Secondary Education, Corporate Training</t>
        </is>
      </c>
      <c r="U1065" s="1" t="inlineStr">
        <is>
          <t>Student interfacing, Teacher interfacing, System/Administrative</t>
        </is>
      </c>
      <c r="V1065" s="1" t="n"/>
      <c r="W1065" s="1" t="inlineStr">
        <is>
          <t>https://drive.google.com/uc?export=view&amp;id=1LsOoOykKzqrTGROuCPsZETbdb2PRPjFW</t>
        </is>
      </c>
      <c r="X1065" s="1" t="inlineStr">
        <is>
          <t>https://drive.google.com/uc?export=view&amp;id=1LsOoOykKzqrTGROuCPsZETbdb2PRPjFW</t>
        </is>
      </c>
      <c r="Y1065" t="inlineStr">
        <is>
          <t>https://drive.google.com/uc?export=view&amp;id=1LsOoOykKzqrTGROuCPsZETbdb2PRPjFW</t>
        </is>
      </c>
      <c r="Z1065" s="1" t="inlineStr">
        <is>
          <t>https://drive.google.com/uc?export=view&amp;id=1LsOoOykKzqrTGROuCPsZETbdb2PRPjFW</t>
        </is>
      </c>
      <c r="AA1065" s="1" t="inlineStr">
        <is>
          <t>Unverified</t>
        </is>
      </c>
      <c r="AB1065" s="1" t="n"/>
      <c r="AC1065" s="1" t="n"/>
      <c r="AD1065" s="10" t="n"/>
      <c r="AE1065" s="1" t="n"/>
      <c r="AF1065" t="inlineStr">
        <is>
          <t>No</t>
        </is>
      </c>
    </row>
    <row r="1066" ht="12.5" customHeight="1">
      <c r="A1066" s="6" t="n">
        <v>45181</v>
      </c>
      <c r="B1066" s="1" t="inlineStr">
        <is>
          <t>ORG_1790</t>
        </is>
      </c>
      <c r="C1066" s="1" t="b">
        <v>1</v>
      </c>
      <c r="D1066" s="1" t="inlineStr">
        <is>
          <t>Kronos</t>
        </is>
      </c>
      <c r="E1066" s="10" t="inlineStr">
        <is>
          <t>https://www.kronos.fr/</t>
        </is>
      </c>
      <c r="F1066" t="inlineStr">
        <is>
          <t>kronos.fr</t>
        </is>
      </c>
      <c r="G1066" s="1" t="inlineStr">
        <is>
          <t>Our mindset:
With us, everything is possible. Let's start together from what you imagine for your company and find the tailor-made solution to help you to achieve it. We stand for an original approach. When we operate somewhere, the whole company is set in motion and we are driven by this desire to empower everyone.
Our uniqueness:
In our core business, tailor-made training, and skills development, we are reinventing the managerial relationship to bring the teams to live the “leadership – membership” duo and then, create a “partner” relationship, which is an assumed, solid and powerful relationship between managers and employees. Our signature translate this: Empower People</t>
        </is>
      </c>
      <c r="H1066" s="1" t="inlineStr">
        <is>
          <t>I'm not part of any EdTech association</t>
        </is>
      </c>
      <c r="I1066" s="1" t="n"/>
      <c r="J1066" s="1" t="inlineStr">
        <is>
          <t>Lezennes</t>
        </is>
      </c>
      <c r="K1066" t="inlineStr">
        <is>
          <t>Lezennes</t>
        </is>
      </c>
      <c r="L1066" t="inlineStr">
        <is>
          <t>Lezennes, France</t>
        </is>
      </c>
      <c r="M1066" t="n">
        <v>50.6146341</v>
      </c>
      <c r="N1066" t="n">
        <v>3.1165338</v>
      </c>
      <c r="O1066" s="1" t="inlineStr">
        <is>
          <t>France</t>
        </is>
      </c>
      <c r="P1066" s="1" t="inlineStr">
        <is>
          <t>France</t>
        </is>
      </c>
      <c r="Q1066" s="1" t="inlineStr">
        <is>
          <t>11 to 50</t>
        </is>
      </c>
      <c r="R1066" t="inlineStr">
        <is>
          <t>Small</t>
        </is>
      </c>
      <c r="S1066" s="1" t="inlineStr">
        <is>
          <t>Business to Business, Business to Government</t>
        </is>
      </c>
      <c r="T1066" s="1" t="inlineStr">
        <is>
          <t>Corporate Training, Lifelong learning/Adult education</t>
        </is>
      </c>
      <c r="U1066" s="1" t="inlineStr">
        <is>
          <t>Teacher interfacing, Student interfacing, System/Administrative</t>
        </is>
      </c>
      <c r="V1066" s="1" t="n"/>
      <c r="W1066" s="1" t="inlineStr">
        <is>
          <t>https://drive.google.com/uc?export=view&amp;id=1FEZ6r1CdlG7vxHY_OTIsNF0FnxbHOzPi</t>
        </is>
      </c>
      <c r="X1066" s="1" t="inlineStr">
        <is>
          <t>https://drive.google.com/uc?export=view&amp;id=1FEZ6r1CdlG7vxHY_OTIsNF0FnxbHOzPi</t>
        </is>
      </c>
      <c r="Y1066" t="inlineStr">
        <is>
          <t>https://drive.google.com/uc?export=view&amp;id=1FEZ6r1CdlG7vxHY_OTIsNF0FnxbHOzPi</t>
        </is>
      </c>
      <c r="Z1066" s="1" t="inlineStr">
        <is>
          <t>https://drive.google.com/uc?export=view&amp;id=1FEZ6r1CdlG7vxHY_OTIsNF0FnxbHOzPi</t>
        </is>
      </c>
      <c r="AA1066" s="1" t="inlineStr">
        <is>
          <t>Unverified</t>
        </is>
      </c>
      <c r="AB1066" s="1" t="n"/>
      <c r="AC1066" s="1" t="n"/>
      <c r="AD1066" s="10" t="n"/>
      <c r="AE1066" s="1" t="n"/>
      <c r="AF1066" s="1" t="inlineStr">
        <is>
          <t>No</t>
        </is>
      </c>
      <c r="AG1066" s="1" t="n"/>
      <c r="AH1066" s="1" t="n"/>
      <c r="AI1066" s="1" t="n"/>
      <c r="AJ1066" s="1" t="n"/>
    </row>
    <row r="1067" ht="12.5" customHeight="1">
      <c r="A1067" s="6" t="n">
        <v>45181</v>
      </c>
      <c r="B1067" s="1" t="inlineStr">
        <is>
          <t>ORG_1802</t>
        </is>
      </c>
      <c r="C1067" s="1" t="b">
        <v>1</v>
      </c>
      <c r="D1067" s="1" t="inlineStr">
        <is>
          <t>La Innovation Kitchen</t>
        </is>
      </c>
      <c r="E1067" s="10" t="inlineStr">
        <is>
          <t>LaInnovationKitchen.com</t>
        </is>
      </c>
      <c r="F1067" t="inlineStr">
        <is>
          <t>lainnovationkitchen.com</t>
        </is>
      </c>
      <c r="G1067" s="1" t="inlineStr">
        <is>
          <t>La Innovation Kitchen (LIK) is an experiential learning space where anyone can develop their innovation power and change-making skills through Project-Based-Learning and Learning-by-Doing Methods. 
LIK helps grow both technical and soft skills that support the formation of a critical, creative, and proactive mindset oriented to complex problem-solving. 
LIK's programs and activities involve real-life challenges that motivate participants and challenge sponsors to find practical solutions. We also provide a set of resources and mentors, that guide and support participants to develop unique solutions.
LIK has a deeply humanistic approach and a social, entrepreneurial, and professional concern for the future, in order to find new and better ways to participate in society, do business, create and run organizations and impact the natural and economic environment that surrounds us.
LIK is the evolution of traditional university or college learning program schemes, combined with a living lab and community-based action for a more agile, practical, and hands-on approach to creativity. All our efforts are applied to social and organizational problem-solving.</t>
        </is>
      </c>
      <c r="H1067" s="1" t="inlineStr">
        <is>
          <t>I'm not part of any EdTech association</t>
        </is>
      </c>
      <c r="I1067" s="1" t="n"/>
      <c r="J1067" s="1" t="inlineStr">
        <is>
          <t>St Boi De Llobregart, Barcelona</t>
        </is>
      </c>
      <c r="K1067" t="inlineStr">
        <is>
          <t>Sant Boi de Llobregat</t>
        </is>
      </c>
      <c r="L1067" t="inlineStr">
        <is>
          <t>Sant Boi de Llobregat, Spain</t>
        </is>
      </c>
      <c r="M1067" t="n">
        <v>41.3241016</v>
      </c>
      <c r="N1067" t="n">
        <v>2.0511278</v>
      </c>
      <c r="O1067" s="1" t="inlineStr">
        <is>
          <t>Spain</t>
        </is>
      </c>
      <c r="P1067" s="1" t="inlineStr">
        <is>
          <t>Austria, Germany, Netherlands, Portugal, Spain</t>
        </is>
      </c>
      <c r="Q1067" s="1" t="inlineStr">
        <is>
          <t>11 to 50</t>
        </is>
      </c>
      <c r="R1067" t="inlineStr">
        <is>
          <t>Small</t>
        </is>
      </c>
      <c r="S1067" s="1" t="inlineStr">
        <is>
          <t>Business to Business, Business to Government</t>
        </is>
      </c>
      <c r="T1067" s="1" t="inlineStr">
        <is>
          <t>Higher Education, Corporate Training, Lifelong learning/Adult education</t>
        </is>
      </c>
      <c r="U1067" s="1" t="inlineStr">
        <is>
          <t>Teacher interfacing, Student interfacing, System/Administrative</t>
        </is>
      </c>
      <c r="V1067" s="1" t="n"/>
      <c r="W1067" s="1" t="inlineStr">
        <is>
          <t>https://drive.google.com/uc?export=view&amp;id=1d0iLg0HA6WZQNwzkpCEa4ROxe7vaKIum</t>
        </is>
      </c>
      <c r="X1067" s="1" t="inlineStr">
        <is>
          <t>https://drive.google.com/uc?export=view&amp;id=1d0iLg0HA6WZQNwzkpCEa4ROxe7vaKIum</t>
        </is>
      </c>
      <c r="Y1067" t="inlineStr">
        <is>
          <t>https://drive.google.com/uc?export=view&amp;id=1d0iLg0HA6WZQNwzkpCEa4ROxe7vaKIum</t>
        </is>
      </c>
      <c r="Z1067" s="1" t="inlineStr">
        <is>
          <t>https://drive.google.com/uc?export=view&amp;id=1d0iLg0HA6WZQNwzkpCEa4ROxe7vaKIum</t>
        </is>
      </c>
      <c r="AA1067" s="1" t="inlineStr">
        <is>
          <t>Unverified</t>
        </is>
      </c>
      <c r="AB1067" s="1" t="n"/>
      <c r="AC1067" s="1" t="n"/>
      <c r="AD1067" s="10" t="n"/>
      <c r="AE1067" s="1" t="n"/>
      <c r="AF1067" t="inlineStr">
        <is>
          <t>No</t>
        </is>
      </c>
    </row>
    <row r="1068" ht="12.5" customHeight="1">
      <c r="A1068" s="6" t="n">
        <v>45181</v>
      </c>
      <c r="B1068" s="1" t="inlineStr">
        <is>
          <t>ORG_1804</t>
        </is>
      </c>
      <c r="C1068" s="1" t="b">
        <v>1</v>
      </c>
      <c r="D1068" s="1" t="inlineStr">
        <is>
          <t>Laava Tech</t>
        </is>
      </c>
      <c r="E1068" s="10" t="inlineStr">
        <is>
          <t>www.premifarm.com</t>
        </is>
      </c>
      <c r="F1068" t="inlineStr">
        <is>
          <t>premifarm.com</t>
        </is>
      </c>
      <c r="G1068" s="1" t="inlineStr">
        <is>
          <t>Laava Tech OÜ is an Estonian technology start-up company, that develops LED growth lamps, software and related automation.
Our company has won prestigious international awards related to climate, energy, start-up and food production. 
After years of R&amp;D, we believe that our solution offers versatile learning outcomes for our customers.
We see smart greenhouses as an integral part of today's environmentally conscious society, enabling people to get excited about biology, advanced energy-
efficient agricultural technology, and healthy eating.</t>
        </is>
      </c>
      <c r="H1068" s="1" t="inlineStr">
        <is>
          <t>EdTech Estonia</t>
        </is>
      </c>
      <c r="I1068" s="1" t="n"/>
      <c r="J1068" s="1" t="inlineStr">
        <is>
          <t>Tallinn</t>
        </is>
      </c>
      <c r="K1068" t="inlineStr">
        <is>
          <t>Tallinn</t>
        </is>
      </c>
      <c r="L1068" t="inlineStr">
        <is>
          <t>Tallinn, Estonia</t>
        </is>
      </c>
      <c r="M1068" t="n">
        <v>59.437242</v>
      </c>
      <c r="N1068" t="n">
        <v>24.7572693</v>
      </c>
      <c r="O1068" s="1" t="inlineStr">
        <is>
          <t>Estonia</t>
        </is>
      </c>
      <c r="P1068" s="1" t="inlineStr">
        <is>
          <t>Denmark, Estonia, Finland, Sweden</t>
        </is>
      </c>
      <c r="Q1068" s="1" t="inlineStr">
        <is>
          <t>11 to 50</t>
        </is>
      </c>
      <c r="R1068" t="inlineStr">
        <is>
          <t>Small</t>
        </is>
      </c>
      <c r="S1068" s="1" t="inlineStr">
        <is>
          <t>Business to Business, Business to Government</t>
        </is>
      </c>
      <c r="T1068" s="1" t="inlineStr">
        <is>
          <t>Primary Education, Secondary Education, Lifelong learning/Adult education</t>
        </is>
      </c>
      <c r="U1068" s="1" t="inlineStr">
        <is>
          <t>Teacher interfacing, System/Administrative</t>
        </is>
      </c>
      <c r="V1068" s="10" t="inlineStr">
        <is>
          <t>Premifarm</t>
        </is>
      </c>
      <c r="W1068" s="1" t="inlineStr">
        <is>
          <t>PremiFarm is a vertical farm with integrated water and LED grow-lights powered
aeroponics system. Our grower allows you to grow your own sustainable food where
you live, work and study.
Grower helps students learn and understand cultivation processes from
biological/life science aspect at all stages and introduces the new vertical farming
trends in agriculture. Lack of agricultural land and expensive food production due to
increasing energy costs are the challenges vertical farms are solving.
Whether the user is student, teacher or director-vertical farm is for everybody, who
want to learn the principles of nature or to reunite to nature in todays fast-paced
society.</t>
        </is>
      </c>
      <c r="X1068" s="1" t="inlineStr">
        <is>
          <t>https://drive.google.com/uc?export=view&amp;id=1l3HxNAWC1AeSIRDqRCDhl5PvB87X5h-A</t>
        </is>
      </c>
      <c r="Y1068" t="inlineStr">
        <is>
          <t>https://drive.google.com/uc?export=view&amp;id=1l3HxNAWC1AeSIRDqRCDhl5PvB87X5h-A</t>
        </is>
      </c>
      <c r="Z1068" s="1" t="inlineStr">
        <is>
          <t>https://drive.google.com/uc?export=view&amp;id=1l3HxNAWC1AeSIRDqRCDhl5PvB87X5h-A</t>
        </is>
      </c>
      <c r="AA1068" s="1" t="inlineStr">
        <is>
          <t>Unverified</t>
        </is>
      </c>
      <c r="AB1068" s="1" t="n"/>
      <c r="AC1068" s="1" t="n"/>
      <c r="AD1068" s="10" t="n"/>
      <c r="AE1068" s="1" t="n"/>
      <c r="AF1068" t="inlineStr">
        <is>
          <t>Yes</t>
        </is>
      </c>
      <c r="AG1068" t="inlineStr">
        <is>
          <t>https://www.instagram.com/premifarm/</t>
        </is>
      </c>
    </row>
    <row r="1069" ht="12.5" customHeight="1">
      <c r="A1069" s="6" t="n">
        <v>45181</v>
      </c>
      <c r="B1069" s="1" t="inlineStr">
        <is>
          <t>ORG_1805</t>
        </is>
      </c>
      <c r="C1069" s="1" t="b">
        <v>1</v>
      </c>
      <c r="D1069" s="1" t="inlineStr">
        <is>
          <t>Labla</t>
        </is>
      </c>
      <c r="E1069" s="10" t="inlineStr">
        <is>
          <t>labla.net</t>
        </is>
      </c>
      <c r="F1069" t="inlineStr">
        <is>
          <t>labla.net</t>
        </is>
      </c>
      <c r="G1069" s="1" t="inlineStr">
        <is>
          <t>You can create gamification based digital education platform very quickly and cheap with Labla</t>
        </is>
      </c>
      <c r="H1069" s="1" t="inlineStr">
        <is>
          <t>I'm not part of any EdTech association</t>
        </is>
      </c>
      <c r="I1069" s="1" t="n"/>
      <c r="J1069" s="1" t="inlineStr">
        <is>
          <t>Yenimahalle / Ankara</t>
        </is>
      </c>
      <c r="K1069" t="inlineStr">
        <is>
          <t>Ankara</t>
        </is>
      </c>
      <c r="L1069" t="inlineStr">
        <is>
          <t>Ankara, Turkiye</t>
        </is>
      </c>
      <c r="M1069" t="n">
        <v>39.9207759</v>
      </c>
      <c r="N1069" t="n">
        <v>32.8540497</v>
      </c>
      <c r="O1069" s="1" t="inlineStr">
        <is>
          <t>Turkiye</t>
        </is>
      </c>
      <c r="P1069" s="1" t="inlineStr">
        <is>
          <t>Turkey</t>
        </is>
      </c>
      <c r="Q1069" s="1" t="inlineStr">
        <is>
          <t>0 to 10</t>
        </is>
      </c>
      <c r="R1069" t="inlineStr">
        <is>
          <t>Micro</t>
        </is>
      </c>
      <c r="S1069" s="1" t="inlineStr">
        <is>
          <t>Business to Business, Business to Government</t>
        </is>
      </c>
      <c r="T1069" s="1" t="inlineStr">
        <is>
          <t>Early childhood development (0-5 years), Primary Education, Secondary Education</t>
        </is>
      </c>
      <c r="U1069" s="1" t="inlineStr">
        <is>
          <t>System/Administrative, Student interfacing</t>
        </is>
      </c>
      <c r="V1069" s="1" t="n"/>
      <c r="W1069" s="1" t="inlineStr">
        <is>
          <t>https://drive.google.com/uc?export=view&amp;id=1rINpLjvPr4ml2VKhJ0lJf_0610NrjaSG</t>
        </is>
      </c>
      <c r="X1069" s="1" t="inlineStr">
        <is>
          <t>https://drive.google.com/uc?export=view&amp;id=1rINpLjvPr4ml2VKhJ0lJf_0610NrjaSG</t>
        </is>
      </c>
      <c r="Y1069" t="inlineStr">
        <is>
          <t>https://drive.google.com/uc?export=view&amp;id=1rINpLjvPr4ml2VKhJ0lJf_0610NrjaSG</t>
        </is>
      </c>
      <c r="Z1069" s="1" t="inlineStr">
        <is>
          <t>https://drive.google.com/uc?export=view&amp;id=1rINpLjvPr4ml2VKhJ0lJf_0610NrjaSG</t>
        </is>
      </c>
      <c r="AA1069" s="1" t="inlineStr">
        <is>
          <t>Unverified</t>
        </is>
      </c>
      <c r="AB1069" s="1" t="n"/>
      <c r="AC1069" s="1" t="n"/>
      <c r="AD1069" s="10" t="n"/>
      <c r="AE1069" s="1" t="n"/>
      <c r="AF1069" t="inlineStr">
        <is>
          <t>No</t>
        </is>
      </c>
    </row>
    <row r="1070" ht="12.5" customHeight="1">
      <c r="A1070" s="6" t="n">
        <v>45181</v>
      </c>
      <c r="B1070" s="1" t="inlineStr">
        <is>
          <t>ORG_1812</t>
        </is>
      </c>
      <c r="C1070" s="1" t="b">
        <v>1</v>
      </c>
      <c r="D1070" s="1" t="inlineStr">
        <is>
          <t>Language Teams</t>
        </is>
      </c>
      <c r="E1070" s="10" t="inlineStr">
        <is>
          <t>www.languageteams.com</t>
        </is>
      </c>
      <c r="F1070" t="inlineStr">
        <is>
          <t>languageteams.com</t>
        </is>
      </c>
      <c r="G1070" s="1" t="inlineStr">
        <is>
          <t>Language Teams is an online language school that offers online French, English, German, Dutch and Spanish courses adapted to the social and professional needs of its students.</t>
        </is>
      </c>
      <c r="H1070" s="1" t="inlineStr">
        <is>
          <t>I'm not part of any EdTech association</t>
        </is>
      </c>
      <c r="I1070" s="1" t="n"/>
      <c r="J1070" s="1" t="inlineStr">
        <is>
          <t>Paris</t>
        </is>
      </c>
      <c r="K1070" t="inlineStr">
        <is>
          <t>Paris</t>
        </is>
      </c>
      <c r="L1070" t="inlineStr">
        <is>
          <t>Paris, France</t>
        </is>
      </c>
      <c r="M1070" t="n">
        <v>48.8534951</v>
      </c>
      <c r="N1070" t="n">
        <v>2.3483915</v>
      </c>
      <c r="O1070" s="1" t="inlineStr">
        <is>
          <t>France</t>
        </is>
      </c>
      <c r="P1070" s="1" t="inlineStr">
        <is>
          <t>Austria, Belgium, France, Germany, Greece, Ireland, Italy, Netherlands, Spain, Sweden, Switzerland, United Kingdom</t>
        </is>
      </c>
      <c r="Q1070" s="1" t="inlineStr">
        <is>
          <t>0 to 10</t>
        </is>
      </c>
      <c r="R1070" t="inlineStr">
        <is>
          <t>Micro</t>
        </is>
      </c>
      <c r="S1070" s="1" t="inlineStr">
        <is>
          <t>Business to Business, Business to Government, Business to Schools</t>
        </is>
      </c>
      <c r="T1070" s="1" t="inlineStr">
        <is>
          <t>Higher Education, Corporate Training, Lifelong learning/Adult education</t>
        </is>
      </c>
      <c r="U1070" s="1" t="inlineStr">
        <is>
          <t>Student interfacing, System/Administrative</t>
        </is>
      </c>
      <c r="V1070" s="1" t="n"/>
      <c r="W1070" s="1" t="inlineStr">
        <is>
          <t>https://drive.google.com/uc?export=view&amp;id=1hLqxpjqiJEV7fFTAkA2Ptqt-HOTtUclf</t>
        </is>
      </c>
      <c r="X1070" s="1" t="inlineStr">
        <is>
          <t>https://drive.google.com/uc?export=view&amp;id=1hLqxpjqiJEV7fFTAkA2Ptqt-HOTtUclf</t>
        </is>
      </c>
      <c r="Y1070" t="inlineStr">
        <is>
          <t>https://drive.google.com/uc?export=view&amp;id=1hLqxpjqiJEV7fFTAkA2Ptqt-HOTtUclf</t>
        </is>
      </c>
      <c r="Z1070" s="1" t="inlineStr">
        <is>
          <t>https://drive.google.com/uc?export=view&amp;id=1hLqxpjqiJEV7fFTAkA2Ptqt-HOTtUclf</t>
        </is>
      </c>
      <c r="AA1070" s="1" t="inlineStr">
        <is>
          <t>Unverified</t>
        </is>
      </c>
      <c r="AB1070" s="1" t="n"/>
      <c r="AC1070" s="1" t="n"/>
      <c r="AD1070" s="10" t="n"/>
      <c r="AE1070" s="1" t="n"/>
      <c r="AF1070" t="inlineStr">
        <is>
          <t>No</t>
        </is>
      </c>
    </row>
    <row r="1071" ht="12.5" customHeight="1">
      <c r="A1071" s="6" t="n">
        <v>45181</v>
      </c>
      <c r="B1071" s="1" t="inlineStr">
        <is>
          <t>ORG_1824</t>
        </is>
      </c>
      <c r="C1071" s="1" t="b">
        <v>1</v>
      </c>
      <c r="D1071" s="1" t="inlineStr">
        <is>
          <t>Learn More</t>
        </is>
      </c>
      <c r="E1071" s="10" t="inlineStr">
        <is>
          <t>www.learn-more.eu</t>
        </is>
      </c>
      <c r="F1071" t="inlineStr">
        <is>
          <t>learn-more.eu</t>
        </is>
      </c>
      <c r="G1071" s="1" t="inlineStr">
        <is>
          <t>Learn More is a research and innovation centre focusing on education and learning. Our clients include the World Bank, the UN, Save the Children, the European Commission and a wide range of EdTech players.</t>
        </is>
      </c>
      <c r="H1071" s="1" t="inlineStr">
        <is>
          <t>I'm not part of any EdTech association</t>
        </is>
      </c>
      <c r="I1071" s="1" t="n"/>
      <c r="J1071" s="1" t="inlineStr">
        <is>
          <t>Milan</t>
        </is>
      </c>
      <c r="K1071" t="inlineStr">
        <is>
          <t>Milan</t>
        </is>
      </c>
      <c r="L1071" t="inlineStr">
        <is>
          <t>Milan, Italy</t>
        </is>
      </c>
      <c r="M1071" t="n">
        <v>45.4641943</v>
      </c>
      <c r="N1071" t="n">
        <v>9.1896346</v>
      </c>
      <c r="O1071" s="1" t="inlineStr">
        <is>
          <t>Italy</t>
        </is>
      </c>
      <c r="P1071" s="1" t="inlineStr">
        <is>
          <t>Belgium, France, Germany, Greece, Ireland, Italy, Netherlands, Poland, Spain, Ukraine, United Kingdom</t>
        </is>
      </c>
      <c r="Q1071" s="1" t="inlineStr">
        <is>
          <t>0 to 10</t>
        </is>
      </c>
      <c r="R1071" t="inlineStr">
        <is>
          <t>Micro</t>
        </is>
      </c>
      <c r="S1071" s="1" t="inlineStr">
        <is>
          <t>Business to Business, Business to Government, Business to Schools</t>
        </is>
      </c>
      <c r="T1071" s="1" t="inlineStr">
        <is>
          <t>Early childhood development (0-5 years), Primary Education, Secondary Education, Lifelong learning/Adult education</t>
        </is>
      </c>
      <c r="U1071" s="1" t="inlineStr">
        <is>
          <t>Teacher interfacing, System/Administrative</t>
        </is>
      </c>
      <c r="V1071" s="1" t="inlineStr">
        <is>
          <t>Docenti Zen</t>
        </is>
      </c>
      <c r="W1071" s="1" t="inlineStr">
        <is>
          <t>Learn More's Online Community of Practice for teachers.</t>
        </is>
      </c>
      <c r="X1071" s="10" t="inlineStr">
        <is>
          <t>https://drive.google.com/uc?export=view&amp;id=1qvdpm26fbOQ2XTHvWJlKI8FqVmfeFeMc</t>
        </is>
      </c>
      <c r="Y1071" t="inlineStr">
        <is>
          <t>https://drive.google.com/uc?export=view&amp;id=1qvdpm26fbOQ2XTHvWJlKI8FqVmfeFeMc</t>
        </is>
      </c>
      <c r="Z1071" s="1" t="inlineStr">
        <is>
          <t>https://drive.google.com/uc?export=view&amp;id=1qvdpm26fbOQ2XTHvWJlKI8FqVmfeFeMc</t>
        </is>
      </c>
      <c r="AA1071" s="1" t="inlineStr">
        <is>
          <t>Unverified</t>
        </is>
      </c>
      <c r="AB1071" s="1" t="n"/>
      <c r="AC1071" s="1" t="n"/>
      <c r="AD1071" s="10" t="n"/>
      <c r="AE1071" s="1" t="n"/>
      <c r="AF1071" s="1" t="inlineStr">
        <is>
          <t>Yes</t>
        </is>
      </c>
      <c r="AG1071" s="1" t="inlineStr">
        <is>
          <t>https://www.linkedin.com/company/learnmore</t>
        </is>
      </c>
      <c r="AH1071" s="1" t="inlineStr">
        <is>
          <t>https://www.linkedin.com/company/learnmore</t>
        </is>
      </c>
      <c r="AI1071" s="1" t="inlineStr">
        <is>
          <t>https://www.linkedin.com/company/learnmore</t>
        </is>
      </c>
      <c r="AJ1071" s="1" t="n"/>
    </row>
    <row r="1072" ht="12.5" customHeight="1">
      <c r="A1072" s="6" t="n">
        <v>45181</v>
      </c>
      <c r="B1072" s="1" t="inlineStr">
        <is>
          <t>ORG_1841</t>
        </is>
      </c>
      <c r="C1072" s="1" t="b">
        <v>1</v>
      </c>
      <c r="D1072" s="1" t="inlineStr">
        <is>
          <t>Learnship</t>
        </is>
      </c>
      <c r="E1072" s="10" t="inlineStr">
        <is>
          <t>www.learnship.com</t>
        </is>
      </c>
      <c r="F1072" t="inlineStr">
        <is>
          <t>learnship.com</t>
        </is>
      </c>
      <c r="G1072" s="1" t="inlineStr">
        <is>
          <t>Learnship is a leading provider of online language learning solutions. We help organizations succeed in global markets by breaking down cross-cultural communication barriers. To create more collaborative, productive, and successful workforces, we have developed the widest range of communications training solutions covering 12+ languages.
For our clients, we build impactful training programs relying on four pillars:
- A customer-centric approach, with global and local teams dedicated to delivering the best business impact
- Premium content development and delivery
- Cutting-edge digital technologies and tools, to boost learner engagement and monitor progress precisely
- A pool of 1,000+ expert trainers and coaches with relevant certifications and extensive experience</t>
        </is>
      </c>
      <c r="H1072" s="1" t="inlineStr">
        <is>
          <t>I'm not part of any EdTech association</t>
        </is>
      </c>
      <c r="I1072" s="1" t="n"/>
      <c r="J1072" s="1" t="inlineStr">
        <is>
          <t>Cologne</t>
        </is>
      </c>
      <c r="K1072" t="inlineStr">
        <is>
          <t>Cologne</t>
        </is>
      </c>
      <c r="L1072" t="inlineStr">
        <is>
          <t>Cologne, Germany</t>
        </is>
      </c>
      <c r="M1072" t="n">
        <v>50.938361</v>
      </c>
      <c r="N1072" t="n">
        <v>6.959974</v>
      </c>
      <c r="O1072" s="1" t="inlineStr">
        <is>
          <t>Germany</t>
        </is>
      </c>
      <c r="P1072"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1072" s="1" t="inlineStr">
        <is>
          <t>100+</t>
        </is>
      </c>
      <c r="R1072" t="inlineStr">
        <is>
          <t>Medium or Large (unspecified)</t>
        </is>
      </c>
      <c r="S1072" s="1" t="inlineStr">
        <is>
          <t>Business to Business, Business to Government, Business to Schools</t>
        </is>
      </c>
      <c r="T1072" s="1" t="inlineStr">
        <is>
          <t>Corporate Training, Lifelong learning/Adult education</t>
        </is>
      </c>
      <c r="U1072" s="1" t="inlineStr">
        <is>
          <t>Teacher interfacing, Student interfacing, System/Administrative</t>
        </is>
      </c>
      <c r="V1072" s="1" t="n"/>
      <c r="W1072" s="1" t="inlineStr">
        <is>
          <t>https://drive.google.com/uc?export=view&amp;id=1En0y1sVPIl3ZcYDdaoHgcj2g8m_9Vcb5</t>
        </is>
      </c>
      <c r="X1072" s="1" t="inlineStr">
        <is>
          <t>https://drive.google.com/uc?export=view&amp;id=1En0y1sVPIl3ZcYDdaoHgcj2g8m_9Vcb5</t>
        </is>
      </c>
      <c r="Y1072" t="inlineStr">
        <is>
          <t>https://drive.google.com/uc?export=view&amp;id=1En0y1sVPIl3ZcYDdaoHgcj2g8m_9Vcb5</t>
        </is>
      </c>
      <c r="Z1072" s="1" t="inlineStr">
        <is>
          <t>https://drive.google.com/uc?export=view&amp;id=1En0y1sVPIl3ZcYDdaoHgcj2g8m_9Vcb5</t>
        </is>
      </c>
      <c r="AA1072" s="1" t="inlineStr">
        <is>
          <t>Unverified</t>
        </is>
      </c>
      <c r="AB1072" s="1" t="n"/>
      <c r="AC1072" s="1" t="n"/>
      <c r="AD1072" s="10" t="n"/>
      <c r="AE1072" s="1" t="n"/>
      <c r="AF1072" t="inlineStr">
        <is>
          <t>No</t>
        </is>
      </c>
    </row>
    <row r="1073" ht="12.5" customHeight="1">
      <c r="A1073" s="6" t="n">
        <v>45181</v>
      </c>
      <c r="B1073" s="1" t="inlineStr">
        <is>
          <t>ORG_1861</t>
        </is>
      </c>
      <c r="C1073" s="1" t="b">
        <v>1</v>
      </c>
      <c r="D1073" s="1" t="inlineStr">
        <is>
          <t>Levato</t>
        </is>
      </c>
      <c r="E1073" s="10" t="inlineStr">
        <is>
          <t>www.levato.no</t>
        </is>
      </c>
      <c r="F1073" t="inlineStr">
        <is>
          <t>levato.no</t>
        </is>
      </c>
      <c r="G1073" s="1" t="inlineStr">
        <is>
          <t>Technology for Advanced Learning in Higher education and Professional Training</t>
        </is>
      </c>
      <c r="H1073" s="1" t="inlineStr">
        <is>
          <t>I'm not part of any EdTech association</t>
        </is>
      </c>
      <c r="I1073" s="1" t="n"/>
      <c r="J1073" s="1" t="inlineStr">
        <is>
          <t>Bergen</t>
        </is>
      </c>
      <c r="K1073" t="inlineStr">
        <is>
          <t>Bergen</t>
        </is>
      </c>
      <c r="L1073" t="inlineStr">
        <is>
          <t>Bergen, Norway</t>
        </is>
      </c>
      <c r="M1073" t="n">
        <v>60.3943055</v>
      </c>
      <c r="N1073" t="n">
        <v>5.3259192</v>
      </c>
      <c r="O1073" s="1" t="inlineStr">
        <is>
          <t>Norway</t>
        </is>
      </c>
      <c r="P1073" s="1" t="inlineStr">
        <is>
          <t>Norway</t>
        </is>
      </c>
      <c r="Q1073" s="1" t="inlineStr">
        <is>
          <t>0 to 10</t>
        </is>
      </c>
      <c r="R1073" t="inlineStr">
        <is>
          <t>Micro</t>
        </is>
      </c>
      <c r="S1073" s="1" t="inlineStr">
        <is>
          <t>Business to Business, Business to Government, Business to Schools</t>
        </is>
      </c>
      <c r="T1073" s="1" t="inlineStr">
        <is>
          <t>Higher Education, Corporate Training, Lifelong learning/Adult education</t>
        </is>
      </c>
      <c r="U1073" s="1" t="inlineStr">
        <is>
          <t>Student interfacing, Teacher interfacing, System/Administrative</t>
        </is>
      </c>
      <c r="V1073" s="1" t="n"/>
      <c r="W1073" s="1" t="inlineStr">
        <is>
          <t>https://drive.google.com/uc?export=view&amp;id=1FYPmR5doSU53OFph63hwrdX8hWXg31YL</t>
        </is>
      </c>
      <c r="X1073" s="1" t="inlineStr">
        <is>
          <t>https://drive.google.com/uc?export=view&amp;id=1FYPmR5doSU53OFph63hwrdX8hWXg31YL</t>
        </is>
      </c>
      <c r="Y1073" t="inlineStr">
        <is>
          <t>https://drive.google.com/uc?export=view&amp;id=1FYPmR5doSU53OFph63hwrdX8hWXg31YL</t>
        </is>
      </c>
      <c r="Z1073" s="1" t="inlineStr">
        <is>
          <t>https://drive.google.com/uc?export=view&amp;id=1FYPmR5doSU53OFph63hwrdX8hWXg31YL</t>
        </is>
      </c>
      <c r="AA1073" s="1" t="inlineStr">
        <is>
          <t>Unverified</t>
        </is>
      </c>
      <c r="AB1073" s="1" t="n"/>
      <c r="AC1073" s="1" t="n"/>
      <c r="AD1073" s="10" t="n"/>
      <c r="AE1073" s="1" t="n"/>
      <c r="AF1073" s="1" t="inlineStr">
        <is>
          <t>No</t>
        </is>
      </c>
      <c r="AG1073" s="1" t="n"/>
      <c r="AH1073" s="1" t="n"/>
      <c r="AI1073" s="1" t="n"/>
      <c r="AJ1073" s="1" t="n"/>
    </row>
    <row r="1074" ht="12.5" customHeight="1">
      <c r="A1074" s="6" t="n">
        <v>45181</v>
      </c>
      <c r="B1074" s="1" t="inlineStr">
        <is>
          <t>ORG_1879</t>
        </is>
      </c>
      <c r="C1074" s="1" t="b">
        <v>1</v>
      </c>
      <c r="D1074" s="1" t="inlineStr">
        <is>
          <t>Lincoln Method</t>
        </is>
      </c>
      <c r="E1074" s="10" t="inlineStr">
        <is>
          <t>LincolnMethod.com</t>
        </is>
      </c>
      <c r="F1074" t="inlineStr">
        <is>
          <t>lincolnmethod.com</t>
        </is>
      </c>
      <c r="G1074" s="1" t="inlineStr">
        <is>
          <t>We are an online school with qualified teachers that can help you study form any curriculum of your choice.</t>
        </is>
      </c>
      <c r="H1074" s="1" t="inlineStr">
        <is>
          <t>I'm not part of any EdTech association</t>
        </is>
      </c>
      <c r="I1074" s="1" t="n"/>
      <c r="J1074" s="1" t="inlineStr">
        <is>
          <t>Helsinki</t>
        </is>
      </c>
      <c r="K1074" t="inlineStr">
        <is>
          <t>Helsinki</t>
        </is>
      </c>
      <c r="L1074" t="inlineStr">
        <is>
          <t>Helsinki, Finland</t>
        </is>
      </c>
      <c r="M1074" t="n">
        <v>60.1666204</v>
      </c>
      <c r="N1074" t="n">
        <v>24.9435408</v>
      </c>
      <c r="O1074" s="1" t="inlineStr">
        <is>
          <t>Finland</t>
        </is>
      </c>
      <c r="P1074" s="1" t="inlineStr">
        <is>
          <t>Belgium, Cyprus, Denmark, Finland, France, Germany, Greece, Ireland, Netherlands, Portugal, Spain, Turkey, United Kingdom</t>
        </is>
      </c>
      <c r="Q1074" s="1" t="inlineStr">
        <is>
          <t>11 to 50</t>
        </is>
      </c>
      <c r="R1074" t="inlineStr">
        <is>
          <t>Small</t>
        </is>
      </c>
      <c r="S1074" s="1" t="inlineStr">
        <is>
          <t>Business to Business, Business to Government, Business to Schools</t>
        </is>
      </c>
      <c r="T1074" s="1" t="inlineStr">
        <is>
          <t>Primary Education, Secondary Education</t>
        </is>
      </c>
      <c r="U1074" s="1" t="inlineStr">
        <is>
          <t>System/Administrative, Student interfacing, Teacher interfacing</t>
        </is>
      </c>
      <c r="V1074" s="1" t="n"/>
      <c r="W1074" s="1" t="inlineStr">
        <is>
          <t>https://drive.google.com/uc?export=view&amp;id=1GlHYV1QGYuGK8K0sr1_Z3swv-sn0FA-x</t>
        </is>
      </c>
      <c r="X1074" s="1" t="inlineStr">
        <is>
          <t>https://drive.google.com/uc?export=view&amp;id=1GlHYV1QGYuGK8K0sr1_Z3swv-sn0FA-x</t>
        </is>
      </c>
      <c r="Y1074" t="inlineStr">
        <is>
          <t>https://drive.google.com/uc?export=view&amp;id=1GlHYV1QGYuGK8K0sr1_Z3swv-sn0FA-x</t>
        </is>
      </c>
      <c r="Z1074" s="1" t="inlineStr">
        <is>
          <t>https://drive.google.com/uc?export=view&amp;id=1GlHYV1QGYuGK8K0sr1_Z3swv-sn0FA-x</t>
        </is>
      </c>
      <c r="AA1074" s="1" t="inlineStr">
        <is>
          <t>Unverified</t>
        </is>
      </c>
      <c r="AB1074" s="1" t="n"/>
      <c r="AC1074" s="1" t="n"/>
      <c r="AD1074" s="10" t="n"/>
      <c r="AE1074" s="1" t="n"/>
      <c r="AF1074" s="1" t="inlineStr">
        <is>
          <t>No</t>
        </is>
      </c>
      <c r="AG1074" s="1" t="n"/>
      <c r="AH1074" s="1" t="n"/>
      <c r="AI1074" s="1" t="n"/>
      <c r="AJ1074" s="1" t="n"/>
    </row>
    <row r="1075" ht="12.5" customHeight="1">
      <c r="A1075" s="6" t="n">
        <v>45181</v>
      </c>
      <c r="B1075" s="1" t="inlineStr">
        <is>
          <t>ORG_1883</t>
        </is>
      </c>
      <c r="C1075" s="1" t="b">
        <v>1</v>
      </c>
      <c r="D1075" s="1" t="inlineStr">
        <is>
          <t>Lingua Amigos</t>
        </is>
      </c>
      <c r="E1075" s="10" t="inlineStr">
        <is>
          <t>https://www.lingua-amigos.com/</t>
        </is>
      </c>
      <c r="F1075" t="inlineStr">
        <is>
          <t>lingua-amigos.com</t>
        </is>
      </c>
      <c r="G1075" s="1" t="inlineStr">
        <is>
          <t>Learning a language is not only about grammar, it is also about discovering the cuisine, music, traditions and cultural aspects of another country. And of course, about making new friends along the way! This is the philosophy behind Lingua Amigos! 
Lingua Amigos brings together learners and native students, the Amigos, to make language learning and cultural exchanges fun, personalized and flexible, all from your home! While democratizing language learning, Lingua Amigos offers an opportunity to students who are hard hit by poverty to have access to a stable source of income while discovering their language and culture.</t>
        </is>
      </c>
      <c r="H1075" s="1" t="inlineStr">
        <is>
          <t>I'm not part of any EdTech association</t>
        </is>
      </c>
      <c r="I1075" s="1" t="n"/>
      <c r="J1075" s="1" t="inlineStr">
        <is>
          <t>Reims</t>
        </is>
      </c>
      <c r="K1075" t="inlineStr">
        <is>
          <t>Reims</t>
        </is>
      </c>
      <c r="L1075" t="inlineStr">
        <is>
          <t>Reims, France</t>
        </is>
      </c>
      <c r="M1075" t="n">
        <v>49.2577886</v>
      </c>
      <c r="N1075" t="n">
        <v>4.031926</v>
      </c>
      <c r="O1075" s="1" t="inlineStr">
        <is>
          <t>France</t>
        </is>
      </c>
      <c r="P1075" s="1" t="inlineStr">
        <is>
          <t>France</t>
        </is>
      </c>
      <c r="Q1075" s="1" t="inlineStr">
        <is>
          <t>0 to 10</t>
        </is>
      </c>
      <c r="R1075" t="inlineStr">
        <is>
          <t>Micro</t>
        </is>
      </c>
      <c r="S1075" s="1" t="inlineStr">
        <is>
          <t>Business to Business, Business to Government, Business to Schools</t>
        </is>
      </c>
      <c r="T1075" s="1" t="inlineStr">
        <is>
          <t>Lifelong learning/Adult education</t>
        </is>
      </c>
      <c r="U1075" s="1" t="inlineStr">
        <is>
          <t>System/Administrative, Student interfacing</t>
        </is>
      </c>
      <c r="V1075" s="1" t="n"/>
      <c r="W1075" s="1" t="inlineStr">
        <is>
          <t>https://drive.google.com/uc?export=view&amp;id=1DTQu3aOiOyH7AJmTEnJu0oJwYJASxIhF</t>
        </is>
      </c>
      <c r="X1075" s="1" t="inlineStr">
        <is>
          <t>https://drive.google.com/uc?export=view&amp;id=1DTQu3aOiOyH7AJmTEnJu0oJwYJASxIhF</t>
        </is>
      </c>
      <c r="Y1075" t="inlineStr">
        <is>
          <t>https://drive.google.com/uc?export=view&amp;id=1DTQu3aOiOyH7AJmTEnJu0oJwYJASxIhF</t>
        </is>
      </c>
      <c r="Z1075" s="1" t="inlineStr">
        <is>
          <t>https://drive.google.com/uc?export=view&amp;id=1DTQu3aOiOyH7AJmTEnJu0oJwYJASxIhF</t>
        </is>
      </c>
      <c r="AA1075" s="1" t="inlineStr">
        <is>
          <t>Unverified</t>
        </is>
      </c>
      <c r="AB1075" s="1" t="n"/>
      <c r="AC1075" s="1" t="n"/>
      <c r="AD1075" s="10" t="n"/>
      <c r="AE1075" s="1" t="n"/>
      <c r="AF1075" s="1" t="inlineStr">
        <is>
          <t>No</t>
        </is>
      </c>
      <c r="AG1075" s="1" t="n"/>
      <c r="AH1075" s="1" t="n"/>
    </row>
    <row r="1076" ht="12.5" customHeight="1">
      <c r="A1076" s="6" t="n">
        <v>45181</v>
      </c>
      <c r="B1076" s="1" t="inlineStr">
        <is>
          <t>ORG_1905</t>
        </is>
      </c>
      <c r="C1076" s="1" t="b">
        <v>1</v>
      </c>
      <c r="D1076" s="1" t="inlineStr">
        <is>
          <t>Mainbot</t>
        </is>
      </c>
      <c r="E1076" s="10" t="inlineStr">
        <is>
          <t>https://mainbot.me</t>
        </is>
      </c>
      <c r="F1076" t="inlineStr">
        <is>
          <t>mainbot.me</t>
        </is>
      </c>
      <c r="G1076" s="1" t="inlineStr">
        <is>
          <t>Winky is an edutainment robot for children from 5 to 12 years old. Children learn programming and robotics in a simplified and fun way with Winky and our app, Winky Code.
Combining didactic content and emotional behavior, Winky's design makes him very attractive. Winky can communicate through body language, eye expressions and "emotional" language. Children are able to create their own programs or complete challenges and games, and play them with Winky robot.
Since the end of 2021, a second application, My Winky, is available to play with the robot, and to take advantage of its various sensors through many games.
After having developed Winky, an educational robot for children connected to two edutainment applications, we are currently developing the Winkyverse : Including the metaverse for children, a 3D world kids can explore and discover. It contains endless family-friendly contents created by our team, partners and community members.</t>
        </is>
      </c>
      <c r="H1076" s="1" t="inlineStr">
        <is>
          <t>EdTech France</t>
        </is>
      </c>
      <c r="I1076" s="1" t="n"/>
      <c r="J1076" s="1" t="inlineStr">
        <is>
          <t>Paris</t>
        </is>
      </c>
      <c r="K1076" t="inlineStr">
        <is>
          <t>Paris</t>
        </is>
      </c>
      <c r="L1076" t="inlineStr">
        <is>
          <t>Paris, France</t>
        </is>
      </c>
      <c r="M1076" t="n">
        <v>48.8534951</v>
      </c>
      <c r="N1076" t="n">
        <v>2.3483915</v>
      </c>
      <c r="O1076" s="1" t="inlineStr">
        <is>
          <t>France</t>
        </is>
      </c>
      <c r="P1076" s="1" t="inlineStr">
        <is>
          <t>France, Germany, Switzerland, United Kingdom</t>
        </is>
      </c>
      <c r="Q1076" s="1" t="inlineStr">
        <is>
          <t>11 to 50</t>
        </is>
      </c>
      <c r="R1076" t="inlineStr">
        <is>
          <t>Small</t>
        </is>
      </c>
      <c r="S1076" s="1" t="inlineStr">
        <is>
          <t>Business to Business, Business to Government, Business to Schools</t>
        </is>
      </c>
      <c r="T1076" s="1" t="inlineStr">
        <is>
          <t>Primary Education, Secondary Education, Higher Education</t>
        </is>
      </c>
      <c r="U1076" s="1" t="inlineStr">
        <is>
          <t>System/Administrative, Student interfacing</t>
        </is>
      </c>
      <c r="V1076" s="1" t="inlineStr">
        <is>
          <t>Winky</t>
        </is>
      </c>
      <c r="W1076" s="10" t="inlineStr">
        <is>
          <t>The Winky robot allows children to develop their skills in programming, robotics and other school subjects, all while having fun.</t>
        </is>
      </c>
      <c r="X1076" s="10" t="inlineStr">
        <is>
          <t>Winky Code</t>
        </is>
      </c>
      <c r="Y1076" t="inlineStr">
        <is>
          <t>Children learn to code by completing numerous and varied challenges on the Winky Code application that they can then activate directly on Winky, without having to use the tablet.</t>
        </is>
      </c>
      <c r="Z1076" s="1" t="inlineStr">
        <is>
          <t>https://drive.google.com/uc?export=view&amp;id=1keCWKxnVgGNmXPPT0-Z45l2YAZFFCPFC</t>
        </is>
      </c>
      <c r="AA1076" s="1" t="inlineStr">
        <is>
          <t>Unverified</t>
        </is>
      </c>
      <c r="AB1076" s="1" t="n"/>
      <c r="AC1076" s="1" t="n"/>
      <c r="AD1076" s="10" t="n"/>
      <c r="AE1076" s="1" t="n"/>
      <c r="AF1076" s="1" t="inlineStr">
        <is>
          <t>Yes</t>
        </is>
      </c>
      <c r="AG1076" s="1" t="inlineStr">
        <is>
          <t>https://twitter.com/mainbotme</t>
        </is>
      </c>
      <c r="AH1076" s="1" t="inlineStr">
        <is>
          <t>https://twitter.com/mainbotme</t>
        </is>
      </c>
      <c r="AI1076" t="inlineStr">
        <is>
          <t>https://www.linkedin.com/company/mainbot/mycompany/</t>
        </is>
      </c>
    </row>
    <row r="1077" ht="12.5" customHeight="1">
      <c r="A1077" s="6" t="n">
        <v>45181</v>
      </c>
      <c r="B1077" s="1" t="inlineStr">
        <is>
          <t>ORG_1925</t>
        </is>
      </c>
      <c r="C1077" s="1" t="b">
        <v>1</v>
      </c>
      <c r="D1077" s="1" t="inlineStr">
        <is>
          <t>MASTTIA</t>
        </is>
      </c>
      <c r="E1077" s="10" t="inlineStr">
        <is>
          <t>masttia.com</t>
        </is>
      </c>
      <c r="F1077" t="inlineStr">
        <is>
          <t>masttia.com</t>
        </is>
      </c>
      <c r="G1077" s="1" t="inlineStr">
        <is>
          <t>Metaverse of a virtual space in which to trace the uniqueness of the humanity history, of its kings and emperors, of its priests and advisors, of the battles, pacts and conquests that have advanced the different civilizations that have shaped over the centuries the world we know today, documents that are often forgotten in archives around the planet, dumping in the Metaverse and through NFTs those original documents digitized and contextualized by the team of historians.
The company is based in the UNESCO program "Memory of the World"* and is led by a team with a great seniority in the edition of works of historical traceability of great added value and by a scientific team composed of the best researchers in the field of world history.</t>
        </is>
      </c>
      <c r="H1077" s="1" t="inlineStr">
        <is>
          <t>I'm not part of any EdTech association</t>
        </is>
      </c>
      <c r="I1077" s="1" t="n"/>
      <c r="J1077" s="1" t="inlineStr">
        <is>
          <t>Cartagena</t>
        </is>
      </c>
      <c r="K1077" t="inlineStr">
        <is>
          <t>Cartagena</t>
        </is>
      </c>
      <c r="L1077" t="inlineStr">
        <is>
          <t>Cartagena, Spain</t>
        </is>
      </c>
      <c r="M1077" t="n">
        <v>37.6155018</v>
      </c>
      <c r="N1077" t="n">
        <v>-0.987511</v>
      </c>
      <c r="O1077" s="1" t="inlineStr">
        <is>
          <t>Spain</t>
        </is>
      </c>
      <c r="P1077" s="1" t="inlineStr">
        <is>
          <t>Spain</t>
        </is>
      </c>
      <c r="Q1077" s="1" t="inlineStr">
        <is>
          <t>0 to 10</t>
        </is>
      </c>
      <c r="R1077" t="inlineStr">
        <is>
          <t>Micro</t>
        </is>
      </c>
      <c r="S1077" s="1" t="inlineStr">
        <is>
          <t>Business to Business, Business to Schools</t>
        </is>
      </c>
      <c r="T1077" s="1" t="inlineStr">
        <is>
          <t>Higher Education, Corporate Training, Lifelong learning/Adult education</t>
        </is>
      </c>
      <c r="U1077" s="1" t="inlineStr">
        <is>
          <t>System/Administrative, Student interfacing, Teacher interfacing</t>
        </is>
      </c>
      <c r="V1077" s="1" t="n"/>
      <c r="W1077" s="1" t="inlineStr">
        <is>
          <t>https://drive.google.com/uc?export=view&amp;id=1vCgKxCOBQYOE3mSNfoQStmG48H71zuxc</t>
        </is>
      </c>
      <c r="X1077" s="1" t="inlineStr">
        <is>
          <t>https://drive.google.com/uc?export=view&amp;id=1vCgKxCOBQYOE3mSNfoQStmG48H71zuxc</t>
        </is>
      </c>
      <c r="Y1077" t="inlineStr">
        <is>
          <t>https://drive.google.com/uc?export=view&amp;id=1vCgKxCOBQYOE3mSNfoQStmG48H71zuxc</t>
        </is>
      </c>
      <c r="Z1077" s="1" t="inlineStr">
        <is>
          <t>https://drive.google.com/uc?export=view&amp;id=1vCgKxCOBQYOE3mSNfoQStmG48H71zuxc</t>
        </is>
      </c>
      <c r="AA1077" s="1" t="inlineStr">
        <is>
          <t>Unverified</t>
        </is>
      </c>
      <c r="AB1077" s="1" t="n"/>
      <c r="AC1077" s="1" t="n"/>
      <c r="AD1077" s="10" t="n"/>
      <c r="AE1077" s="1" t="n"/>
      <c r="AF1077" s="1" t="inlineStr">
        <is>
          <t>No</t>
        </is>
      </c>
      <c r="AG1077" s="1" t="n"/>
      <c r="AH1077" s="1" t="n"/>
    </row>
    <row r="1078" ht="12.5" customHeight="1">
      <c r="A1078" s="6" t="n">
        <v>45181</v>
      </c>
      <c r="B1078" s="1" t="inlineStr">
        <is>
          <t>ORG_1943</t>
        </is>
      </c>
      <c r="C1078" s="1" t="b">
        <v>1</v>
      </c>
      <c r="D1078" s="1" t="inlineStr">
        <is>
          <t>meinUnterricht</t>
        </is>
      </c>
      <c r="E1078" s="10" t="inlineStr">
        <is>
          <t>www.meinunterricht.de</t>
        </is>
      </c>
      <c r="F1078" t="inlineStr">
        <is>
          <t>meinunterricht.de</t>
        </is>
      </c>
      <c r="G1078" s="1" t="inlineStr">
        <is>
          <t>We make teaching easier for teachers and want to contribute to even better teaching in the future. That is why we have been making educational technology usable with meinUnterricht and teachers prepare an average of over 100,000 lessons with us every month!</t>
        </is>
      </c>
      <c r="H1078" s="1" t="inlineStr">
        <is>
          <t>I'm not part of any EdTech association</t>
        </is>
      </c>
      <c r="I1078" s="1" t="n"/>
      <c r="J1078" s="1" t="inlineStr">
        <is>
          <t>Berlin</t>
        </is>
      </c>
      <c r="K1078" t="inlineStr">
        <is>
          <t>Berlin</t>
        </is>
      </c>
      <c r="L1078" t="inlineStr">
        <is>
          <t>Berlin, Germany</t>
        </is>
      </c>
      <c r="M1078" t="n">
        <v>52.5173885</v>
      </c>
      <c r="N1078" t="n">
        <v>13.3951309</v>
      </c>
      <c r="O1078" s="1" t="inlineStr">
        <is>
          <t>Germany</t>
        </is>
      </c>
      <c r="P1078" s="1" t="inlineStr">
        <is>
          <t>Austria, Germany, Luxembourg, Switzerland</t>
        </is>
      </c>
      <c r="Q1078" s="1" t="inlineStr">
        <is>
          <t>11 to 50</t>
        </is>
      </c>
      <c r="R1078" t="inlineStr">
        <is>
          <t>Small</t>
        </is>
      </c>
      <c r="S1078" s="1" t="inlineStr">
        <is>
          <t>Business to Business, Business to Schools</t>
        </is>
      </c>
      <c r="T1078" s="1" t="inlineStr">
        <is>
          <t>Primary Education, Secondary Education</t>
        </is>
      </c>
      <c r="U1078" s="1" t="inlineStr">
        <is>
          <t>Teacher interfacing</t>
        </is>
      </c>
      <c r="V1078" s="1" t="n"/>
      <c r="W1078" s="1" t="inlineStr">
        <is>
          <t>https://drive.google.com/uc?export=view&amp;id=1PMNCTuK9cqjFrG0k_c9E0dOsb8nFFmX1</t>
        </is>
      </c>
      <c r="X1078" s="1" t="inlineStr">
        <is>
          <t>https://drive.google.com/uc?export=view&amp;id=1PMNCTuK9cqjFrG0k_c9E0dOsb8nFFmX1</t>
        </is>
      </c>
      <c r="Y1078" t="inlineStr">
        <is>
          <t>https://drive.google.com/uc?export=view&amp;id=1PMNCTuK9cqjFrG0k_c9E0dOsb8nFFmX1</t>
        </is>
      </c>
      <c r="Z1078" s="1" t="inlineStr">
        <is>
          <t>https://drive.google.com/uc?export=view&amp;id=1PMNCTuK9cqjFrG0k_c9E0dOsb8nFFmX1</t>
        </is>
      </c>
      <c r="AA1078" s="1" t="inlineStr">
        <is>
          <t>Unverified</t>
        </is>
      </c>
      <c r="AB1078" s="1" t="n"/>
      <c r="AC1078" s="1" t="n"/>
      <c r="AD1078" s="10" t="n"/>
      <c r="AE1078" s="1" t="n"/>
      <c r="AF1078" s="1" t="inlineStr">
        <is>
          <t>No</t>
        </is>
      </c>
      <c r="AG1078" s="1" t="n"/>
      <c r="AH1078" s="1" t="n"/>
      <c r="AI1078" s="1" t="n"/>
      <c r="AJ1078" s="1" t="n"/>
    </row>
    <row r="1079" ht="12.5" customHeight="1">
      <c r="A1079" s="6" t="n">
        <v>45181</v>
      </c>
      <c r="B1079" s="1" t="inlineStr">
        <is>
          <t>ORG_1946</t>
        </is>
      </c>
      <c r="C1079" s="1" t="b">
        <v>1</v>
      </c>
      <c r="D1079" s="1" t="inlineStr">
        <is>
          <t>Memby</t>
        </is>
      </c>
      <c r="E1079" s="10" t="inlineStr">
        <is>
          <t>https://company.memby.org/</t>
        </is>
      </c>
      <c r="F1079" t="inlineStr">
        <is>
          <t>company.memby.org</t>
        </is>
      </c>
      <c r="G1079" s="1" t="inlineStr">
        <is>
          <t>Helping struggling school students to stay consistent in after-school studies Memby is an online learning platform that provides engagement-oriented real-time large group lessons.We've made after-school tutoring 5x cheaper and top-notch teachers available for everyone.</t>
        </is>
      </c>
      <c r="H1079" s="1" t="inlineStr">
        <is>
          <t>I'm not part of any EdTech association</t>
        </is>
      </c>
      <c r="I1079" s="1" t="n"/>
      <c r="J1079" s="1" t="inlineStr">
        <is>
          <t>Vilnius</t>
        </is>
      </c>
      <c r="K1079" t="inlineStr">
        <is>
          <t>Vilnius</t>
        </is>
      </c>
      <c r="L1079" t="inlineStr">
        <is>
          <t>Vilnius, Lithuania</t>
        </is>
      </c>
      <c r="M1079" t="n">
        <v>54.6870458</v>
      </c>
      <c r="N1079" t="n">
        <v>25.2829111</v>
      </c>
      <c r="O1079" s="1" t="inlineStr">
        <is>
          <t>Lithuania</t>
        </is>
      </c>
      <c r="P1079" s="1" t="inlineStr">
        <is>
          <t>Greece, Lithuania</t>
        </is>
      </c>
      <c r="Q1079" s="1" t="inlineStr">
        <is>
          <t>11 to 50</t>
        </is>
      </c>
      <c r="R1079" t="inlineStr">
        <is>
          <t>Small</t>
        </is>
      </c>
      <c r="S1079" s="1" t="inlineStr">
        <is>
          <t>Business to Business, Business to Schools</t>
        </is>
      </c>
      <c r="T1079" s="1" t="inlineStr">
        <is>
          <t>Primary Education, Secondary Education</t>
        </is>
      </c>
      <c r="U1079" s="1" t="inlineStr">
        <is>
          <t>System/Administrative, Student interfacing, Teacher interfacing</t>
        </is>
      </c>
      <c r="V1079" s="1" t="n"/>
      <c r="W1079" s="1" t="inlineStr">
        <is>
          <t>https://drive.google.com/uc?export=view&amp;id=1X_TduXYnN-dDDNEGVi_-xBdx9nu0sS0b</t>
        </is>
      </c>
      <c r="X1079" s="1" t="inlineStr">
        <is>
          <t>https://drive.google.com/uc?export=view&amp;id=1X_TduXYnN-dDDNEGVi_-xBdx9nu0sS0b</t>
        </is>
      </c>
      <c r="Y1079" t="inlineStr">
        <is>
          <t>https://drive.google.com/uc?export=view&amp;id=1X_TduXYnN-dDDNEGVi_-xBdx9nu0sS0b</t>
        </is>
      </c>
      <c r="Z1079" s="1" t="inlineStr">
        <is>
          <t>https://drive.google.com/uc?export=view&amp;id=1X_TduXYnN-dDDNEGVi_-xBdx9nu0sS0b</t>
        </is>
      </c>
      <c r="AA1079" s="1" t="inlineStr">
        <is>
          <t>Unverified</t>
        </is>
      </c>
      <c r="AB1079" s="1" t="n"/>
      <c r="AC1079" s="1" t="n"/>
      <c r="AD1079" s="10" t="n"/>
      <c r="AE1079" s="1" t="n"/>
      <c r="AF1079" s="1" t="inlineStr">
        <is>
          <t>No</t>
        </is>
      </c>
      <c r="AG1079" s="1" t="n"/>
      <c r="AH1079" s="1" t="n"/>
    </row>
    <row r="1080" ht="12.5" customHeight="1">
      <c r="A1080" s="6" t="n">
        <v>45181</v>
      </c>
      <c r="B1080" s="1" t="inlineStr">
        <is>
          <t>ORG_1953</t>
        </is>
      </c>
      <c r="C1080" s="1" t="b">
        <v>1</v>
      </c>
      <c r="D1080" s="1" t="inlineStr">
        <is>
          <t>Mentor Goal</t>
        </is>
      </c>
      <c r="E1080" s="10" t="inlineStr">
        <is>
          <t>https://mentorgoal.com</t>
        </is>
      </c>
      <c r="F1080" t="inlineStr">
        <is>
          <t>mentorgoal.com</t>
        </is>
      </c>
      <c r="G1080" s="1" t="inlineStr">
        <is>
          <t>Mentor Goal is a plateform for higher education schools and universities to help them place their students into the workforce.</t>
        </is>
      </c>
      <c r="H1080" s="1" t="inlineStr">
        <is>
          <t>EdTech France</t>
        </is>
      </c>
      <c r="I1080" s="1" t="n"/>
      <c r="J1080" s="1" t="inlineStr">
        <is>
          <t>Paris</t>
        </is>
      </c>
      <c r="K1080" t="inlineStr">
        <is>
          <t>Paris</t>
        </is>
      </c>
      <c r="L1080" t="inlineStr">
        <is>
          <t>Paris, France</t>
        </is>
      </c>
      <c r="M1080" t="n">
        <v>48.8534951</v>
      </c>
      <c r="N1080" t="n">
        <v>2.3483915</v>
      </c>
      <c r="O1080" s="1" t="inlineStr">
        <is>
          <t>France</t>
        </is>
      </c>
      <c r="P1080" s="1" t="inlineStr">
        <is>
          <t>France</t>
        </is>
      </c>
      <c r="Q1080" s="1" t="inlineStr">
        <is>
          <t>0 to 10</t>
        </is>
      </c>
      <c r="R1080" t="inlineStr">
        <is>
          <t>Micro</t>
        </is>
      </c>
      <c r="S1080" s="1" t="inlineStr">
        <is>
          <t>Business to Business, Business to Schools</t>
        </is>
      </c>
      <c r="T1080" s="1" t="inlineStr">
        <is>
          <t>Higher Education</t>
        </is>
      </c>
      <c r="U1080" s="1" t="inlineStr">
        <is>
          <t>Student interfacing, System/Administrative</t>
        </is>
      </c>
      <c r="V1080" s="1" t="n"/>
      <c r="W1080" s="1" t="inlineStr">
        <is>
          <t>https://drive.google.com/uc?export=view&amp;id=16hr25lzjVp1OfT9H3e1fvZfHGo6VFdh1</t>
        </is>
      </c>
      <c r="X1080" s="1" t="inlineStr">
        <is>
          <t>https://drive.google.com/uc?export=view&amp;id=16hr25lzjVp1OfT9H3e1fvZfHGo6VFdh1</t>
        </is>
      </c>
      <c r="Y1080" t="inlineStr">
        <is>
          <t>https://drive.google.com/uc?export=view&amp;id=16hr25lzjVp1OfT9H3e1fvZfHGo6VFdh1</t>
        </is>
      </c>
      <c r="Z1080" s="1" t="inlineStr">
        <is>
          <t>https://drive.google.com/uc?export=view&amp;id=16hr25lzjVp1OfT9H3e1fvZfHGo6VFdh1</t>
        </is>
      </c>
      <c r="AA1080" s="1" t="inlineStr">
        <is>
          <t>Unverified</t>
        </is>
      </c>
      <c r="AB1080" s="1" t="n"/>
      <c r="AC1080" s="1" t="n"/>
      <c r="AD1080" s="10" t="n"/>
      <c r="AE1080" s="1" t="n"/>
      <c r="AF1080" s="1" t="inlineStr">
        <is>
          <t>No</t>
        </is>
      </c>
      <c r="AG1080" s="1" t="n"/>
      <c r="AH1080" s="1" t="n"/>
    </row>
    <row r="1081" ht="12.5" customHeight="1">
      <c r="A1081" s="6" t="n">
        <v>45181</v>
      </c>
      <c r="B1081" s="1" t="inlineStr">
        <is>
          <t>ORG_1960</t>
        </is>
      </c>
      <c r="C1081" s="1" t="b">
        <v>1</v>
      </c>
      <c r="D1081" s="1" t="inlineStr">
        <is>
          <t>MetaED School</t>
        </is>
      </c>
      <c r="E1081" s="10" t="inlineStr">
        <is>
          <t>https://www.metaed.school/</t>
        </is>
      </c>
      <c r="F1081" t="inlineStr">
        <is>
          <t>metaed.school</t>
        </is>
      </c>
      <c r="G1081" s="1" t="inlineStr">
        <is>
          <t>The new generation remote high school (FR/US), with flexible hours, specialist in professional and immersive orientation</t>
        </is>
      </c>
      <c r="H1081" s="1" t="inlineStr">
        <is>
          <t>I'm not part of any EdTech association</t>
        </is>
      </c>
      <c r="I1081" s="1" t="n"/>
      <c r="J1081" s="1" t="inlineStr">
        <is>
          <t>Labenne</t>
        </is>
      </c>
      <c r="K1081" t="inlineStr">
        <is>
          <t>Labenne</t>
        </is>
      </c>
      <c r="L1081" t="inlineStr">
        <is>
          <t>Labenne, France</t>
        </is>
      </c>
      <c r="M1081" t="n">
        <v>43.5977</v>
      </c>
      <c r="N1081" t="n">
        <v>-1.42811</v>
      </c>
      <c r="O1081" s="1" t="inlineStr">
        <is>
          <t>France</t>
        </is>
      </c>
      <c r="P1081" s="1" t="inlineStr">
        <is>
          <t>France</t>
        </is>
      </c>
      <c r="Q1081" s="1" t="inlineStr">
        <is>
          <t>0 to 10</t>
        </is>
      </c>
      <c r="R1081" t="inlineStr">
        <is>
          <t>Micro</t>
        </is>
      </c>
      <c r="S1081" s="1" t="inlineStr">
        <is>
          <t>Business to Business, Business to Schools</t>
        </is>
      </c>
      <c r="T1081" s="1" t="inlineStr">
        <is>
          <t>Secondary Education</t>
        </is>
      </c>
      <c r="U1081" s="1" t="inlineStr">
        <is>
          <t>System/Administrative, Student interfacing</t>
        </is>
      </c>
      <c r="V1081" s="1" t="n"/>
      <c r="W1081" s="1" t="n"/>
      <c r="X1081" s="1" t="n"/>
      <c r="Z1081" s="1" t="n"/>
      <c r="AA1081" s="1" t="inlineStr">
        <is>
          <t>Unverified</t>
        </is>
      </c>
      <c r="AB1081" s="1" t="n"/>
      <c r="AC1081" s="1" t="n"/>
      <c r="AD1081" s="1" t="n"/>
      <c r="AE1081" s="1" t="n"/>
      <c r="AF1081" s="1" t="inlineStr">
        <is>
          <t>No</t>
        </is>
      </c>
      <c r="AG1081" s="1" t="n"/>
      <c r="AH1081" s="1" t="n"/>
    </row>
    <row r="1082" ht="12.5" customHeight="1">
      <c r="A1082" s="6" t="n">
        <v>45181</v>
      </c>
      <c r="B1082" s="1" t="inlineStr">
        <is>
          <t>ORG_1980</t>
        </is>
      </c>
      <c r="C1082" s="1" t="b">
        <v>1</v>
      </c>
      <c r="D1082" s="1" t="inlineStr">
        <is>
          <t>Moi Panda</t>
        </is>
      </c>
      <c r="E1082" s="10" t="inlineStr">
        <is>
          <t>www.moipanda.com</t>
        </is>
      </c>
      <c r="F1082" t="inlineStr">
        <is>
          <t>moipanda.com</t>
        </is>
      </c>
      <c r="G1082" s="1" t="inlineStr">
        <is>
          <t>Moi Panda provides a social and educational APP for both children and parents to make friends worldwide. Our mission is to help children truly become global citizens. 
We help children of all ages together with their parents to learn and practice how to choose friends, how to make friends, and how to maintain good friendships worldwide, by doing this, children get a chance to learn new languages, practice social and communication skills in multiple languages through peer-to-peer support. Meanwhile, their parents can be friends as well and exchange education-related experience and parenting tips, and share all kinds of feelings, struggles and experiences globally. 
We believe that if all children would have the chance to use Moi Panda, it would significantly reduce the loneliness, develop their social skills with diverse people and really help them feel better and become good persons.</t>
        </is>
      </c>
      <c r="H1082" s="1" t="inlineStr">
        <is>
          <t>EdTech Finland</t>
        </is>
      </c>
      <c r="I1082" s="1" t="n"/>
      <c r="J1082" s="1" t="inlineStr">
        <is>
          <t>Helsinki</t>
        </is>
      </c>
      <c r="K1082" t="inlineStr">
        <is>
          <t>Helsinki</t>
        </is>
      </c>
      <c r="L1082" t="inlineStr">
        <is>
          <t>Helsinki, Finland</t>
        </is>
      </c>
      <c r="M1082" t="n">
        <v>60.1666204</v>
      </c>
      <c r="N1082" t="n">
        <v>24.9435408</v>
      </c>
      <c r="O1082" s="1" t="inlineStr">
        <is>
          <t>Finland</t>
        </is>
      </c>
      <c r="P1082" s="1" t="inlineStr">
        <is>
          <t>Austria, Belgium, Croatia, Denmark, Estonia, Finland, France, Germany, Greece, Hungary, Iceland, Ireland, Italy, Latvia, Lithuania, Luxembourg, Malta, Monaco, Netherlands, Norway, Poland, Portugal, Romania, Spain, Sweden, Switzerland, Ukraine, United Kingdom</t>
        </is>
      </c>
      <c r="Q1082" s="1" t="inlineStr">
        <is>
          <t>0 to 10</t>
        </is>
      </c>
      <c r="R1082" t="inlineStr">
        <is>
          <t>Micro</t>
        </is>
      </c>
      <c r="S1082" s="1" t="inlineStr">
        <is>
          <t>Business to Business, Business to Schools</t>
        </is>
      </c>
      <c r="T1082" s="1" t="inlineStr">
        <is>
          <t>Early childhood development (0-5 years), Primary Education, Secondary Education, Lifelong learning/Adult education</t>
        </is>
      </c>
      <c r="U1082" s="1" t="inlineStr">
        <is>
          <t>System/Administrative, Student interfacing</t>
        </is>
      </c>
      <c r="V1082" s="1" t="n"/>
      <c r="W1082" s="1" t="inlineStr">
        <is>
          <t>https://drive.google.com/uc?export=view&amp;id=191pn5U3stLrtaiCKDnAWz8gNidh9l4Al</t>
        </is>
      </c>
      <c r="X1082" s="1" t="inlineStr">
        <is>
          <t>https://drive.google.com/uc?export=view&amp;id=191pn5U3stLrtaiCKDnAWz8gNidh9l4Al</t>
        </is>
      </c>
      <c r="Y1082" t="inlineStr">
        <is>
          <t>https://drive.google.com/uc?export=view&amp;id=191pn5U3stLrtaiCKDnAWz8gNidh9l4Al</t>
        </is>
      </c>
      <c r="Z1082" s="1" t="inlineStr">
        <is>
          <t>https://drive.google.com/uc?export=view&amp;id=191pn5U3stLrtaiCKDnAWz8gNidh9l4Al</t>
        </is>
      </c>
      <c r="AA1082" s="1" t="inlineStr">
        <is>
          <t>Unverified</t>
        </is>
      </c>
      <c r="AB1082" s="1" t="n"/>
      <c r="AC1082" s="1" t="n"/>
      <c r="AD1082" s="10" t="n"/>
      <c r="AE1082" s="1" t="n"/>
      <c r="AF1082" s="1" t="inlineStr">
        <is>
          <t>No</t>
        </is>
      </c>
      <c r="AG1082" s="1" t="n"/>
      <c r="AH1082" s="1" t="n"/>
      <c r="AI1082" s="1" t="n"/>
      <c r="AJ1082" s="1" t="n"/>
    </row>
    <row r="1083" ht="12.5" customHeight="1">
      <c r="A1083" s="6" t="n">
        <v>45181</v>
      </c>
      <c r="B1083" s="1" t="inlineStr">
        <is>
          <t>ORG_1998</t>
        </is>
      </c>
      <c r="C1083" s="1" t="b">
        <v>1</v>
      </c>
      <c r="D1083" s="1" t="inlineStr">
        <is>
          <t>My Data Protection World</t>
        </is>
      </c>
      <c r="E1083" s="10" t="inlineStr">
        <is>
          <t>https://www.mydataprotection.world</t>
        </is>
      </c>
      <c r="F1083" t="inlineStr">
        <is>
          <t>mydataprotection.world</t>
        </is>
      </c>
      <c r="G1083" s="1" t="inlineStr">
        <is>
          <t>Helping EdTech vendors find solutions for Privacy by Design and by Default. 
No two EdTech solutions are the same, so helping vendors understand how they can support schools around Privacy, Data Protection, Safeguarding and CyberSecurity is essential. 
Clear language, transparency and empathic approaches will be nurtured and you will be provided with tools to support your growth.</t>
        </is>
      </c>
      <c r="H1083" s="1" t="inlineStr">
        <is>
          <t>I'm not part of any EdTech association</t>
        </is>
      </c>
      <c r="I1083" s="1" t="n"/>
      <c r="J1083" s="1" t="inlineStr">
        <is>
          <t>London</t>
        </is>
      </c>
      <c r="K1083" t="inlineStr">
        <is>
          <t>London</t>
        </is>
      </c>
      <c r="L1083" t="inlineStr">
        <is>
          <t>London, United Kingdom</t>
        </is>
      </c>
      <c r="M1083" t="n">
        <v>51.5074456</v>
      </c>
      <c r="N1083" t="n">
        <v>-0.1277653</v>
      </c>
      <c r="O1083" s="1" t="inlineStr">
        <is>
          <t>United Kingdom</t>
        </is>
      </c>
      <c r="P1083" s="1" t="inlineStr">
        <is>
          <t>Ireland, United Kingdom</t>
        </is>
      </c>
      <c r="Q1083" s="1" t="inlineStr">
        <is>
          <t>0 to 10</t>
        </is>
      </c>
      <c r="R1083" t="inlineStr">
        <is>
          <t>Micro</t>
        </is>
      </c>
      <c r="S1083" s="1" t="inlineStr">
        <is>
          <t>Business to Consumer</t>
        </is>
      </c>
      <c r="T1083" s="1" t="inlineStr">
        <is>
          <t>Early childhood development (0-5 years), Primary Education, Secondary Education, Higher Education, Corporate Training, Lifelong learning/Adult education</t>
        </is>
      </c>
      <c r="U1083" s="1" t="inlineStr">
        <is>
          <t>System/Administrative</t>
        </is>
      </c>
      <c r="V1083" s="1" t="n"/>
      <c r="W1083" s="1" t="inlineStr">
        <is>
          <t>https://drive.google.com/uc?export=view&amp;id=1HjHBZOFgbvSAalKajK_KY3ax1MzgBsUi</t>
        </is>
      </c>
      <c r="X1083" s="1" t="inlineStr">
        <is>
          <t>https://drive.google.com/uc?export=view&amp;id=1HjHBZOFgbvSAalKajK_KY3ax1MzgBsUi</t>
        </is>
      </c>
      <c r="Y1083" t="inlineStr">
        <is>
          <t>https://drive.google.com/uc?export=view&amp;id=1HjHBZOFgbvSAalKajK_KY3ax1MzgBsUi</t>
        </is>
      </c>
      <c r="Z1083" s="1" t="inlineStr">
        <is>
          <t>https://drive.google.com/uc?export=view&amp;id=1HjHBZOFgbvSAalKajK_KY3ax1MzgBsUi</t>
        </is>
      </c>
      <c r="AA1083" s="1" t="inlineStr">
        <is>
          <t>Unverified</t>
        </is>
      </c>
      <c r="AB1083" s="1" t="n"/>
      <c r="AC1083" s="1" t="n"/>
      <c r="AD1083" s="10" t="n"/>
      <c r="AE1083" s="1" t="n"/>
      <c r="AF1083" s="1" t="inlineStr">
        <is>
          <t>No</t>
        </is>
      </c>
      <c r="AG1083" s="1" t="n"/>
      <c r="AH1083" s="1" t="n"/>
    </row>
    <row r="1084" ht="12.5" customHeight="1">
      <c r="A1084" s="6" t="n">
        <v>45181</v>
      </c>
      <c r="B1084" s="1" t="inlineStr">
        <is>
          <t>ORG_2017</t>
        </is>
      </c>
      <c r="C1084" s="1" t="b">
        <v>1</v>
      </c>
      <c r="D1084" s="1" t="inlineStr">
        <is>
          <t>Naimrod</t>
        </is>
      </c>
      <c r="E1084" s="10" t="inlineStr">
        <is>
          <t>naimrod.com</t>
        </is>
      </c>
      <c r="F1084" t="inlineStr">
        <is>
          <t>naimrod.com</t>
        </is>
      </c>
      <c r="G1084" s="1" t="inlineStr">
        <is>
          <t>Naimrod makes language learning addictive. Our algorithm allows students to replace tiresome manuals and Apps with lessons based on binge-worthy TV series, karaoke songs and comic books. The technology we have developed at Inria, the French Institute for Computer Science, automatically spots content written for native speakers, but that is suited to the level and interests of language learners. We turn this content into bite-sized language lessons which English and Mandarin teachers, and three French universities, are now testing in classrooms across Paris.</t>
        </is>
      </c>
      <c r="H1084" s="1" t="inlineStr">
        <is>
          <t>EdTech France</t>
        </is>
      </c>
      <c r="I1084" s="1" t="n"/>
      <c r="J1084" s="1" t="inlineStr">
        <is>
          <t>Paris</t>
        </is>
      </c>
      <c r="K1084" t="inlineStr">
        <is>
          <t>Paris</t>
        </is>
      </c>
      <c r="L1084" t="inlineStr">
        <is>
          <t>Paris, France</t>
        </is>
      </c>
      <c r="M1084" t="n">
        <v>48.8534951</v>
      </c>
      <c r="N1084" t="n">
        <v>2.3483915</v>
      </c>
      <c r="O1084" s="1" t="inlineStr">
        <is>
          <t>France</t>
        </is>
      </c>
      <c r="P1084" s="1" t="inlineStr">
        <is>
          <t>Belgium, France</t>
        </is>
      </c>
      <c r="Q1084" s="1" t="inlineStr">
        <is>
          <t>0 to 10</t>
        </is>
      </c>
      <c r="R1084" t="inlineStr">
        <is>
          <t>Micro</t>
        </is>
      </c>
      <c r="S1084" s="1" t="inlineStr">
        <is>
          <t>Business to Consumer</t>
        </is>
      </c>
      <c r="T1084" s="1" t="inlineStr">
        <is>
          <t>Secondary Education, Higher Education, Corporate Training, Lifelong learning/Adult education</t>
        </is>
      </c>
      <c r="U1084" s="1" t="inlineStr">
        <is>
          <t>Student interfacing, Teacher interfacing, System/Administrative</t>
        </is>
      </c>
      <c r="V1084" s="1" t="inlineStr">
        <is>
          <t>English language teaching resources</t>
        </is>
      </c>
      <c r="W1084" s="1" t="inlineStr">
        <is>
          <t>Naimrod sells teaching resources to English instructors. Our material is based on movies, TED talks, TV series, podcasts and comic strips, and tailored to the level of students.</t>
        </is>
      </c>
      <c r="X1084" s="1" t="inlineStr">
        <is>
          <t>Mandarin language teaching resources</t>
        </is>
      </c>
      <c r="Y1084" t="inlineStr">
        <is>
          <t>Naimrod sells teaching resources to Mandarin instructors. Our material is based on movies, TED talks, TV series, podcasts and comic strips, and tailored to the level of students.</t>
        </is>
      </c>
      <c r="Z1084" s="1" t="inlineStr">
        <is>
          <t>https://drive.google.com/uc?export=view&amp;id=1EEuu_E6NqhcxsCHD4ELZ1DsZ30jLYS3J</t>
        </is>
      </c>
      <c r="AA1084" s="1" t="inlineStr">
        <is>
          <t>Unverified</t>
        </is>
      </c>
      <c r="AB1084" s="1" t="n"/>
      <c r="AC1084" s="1" t="n"/>
      <c r="AD1084" s="10" t="n"/>
      <c r="AE1084" s="1" t="n"/>
      <c r="AF1084" t="inlineStr">
        <is>
          <t>Yes</t>
        </is>
      </c>
      <c r="AI1084" t="inlineStr">
        <is>
          <t>https:www.linkedin.com/company/69396888/admin/</t>
        </is>
      </c>
    </row>
    <row r="1085" ht="12.5" customHeight="1">
      <c r="A1085" s="6" t="n">
        <v>45181</v>
      </c>
      <c r="B1085" s="1" t="inlineStr">
        <is>
          <t>ORG_2045</t>
        </is>
      </c>
      <c r="C1085" s="1" t="b">
        <v>1</v>
      </c>
      <c r="D1085" s="1" t="inlineStr">
        <is>
          <t>Novatice Technologies</t>
        </is>
      </c>
      <c r="E1085" s="10" t="inlineStr">
        <is>
          <t>https://www.novatice.com/</t>
        </is>
      </c>
      <c r="F1085" t="inlineStr">
        <is>
          <t>novatice.com</t>
        </is>
      </c>
      <c r="G1085" s="1" t="inlineStr">
        <is>
          <t>Forerunner in the field of IT asset management for more than 18 years, Novatice supervises all digital devices and software modules, and aggregates all their data in order to offer innovative uses for the city and education of tomorrow. Today, Novatice has 3 million users in 5 countries and 3 patents registered.</t>
        </is>
      </c>
      <c r="H1085" s="1" t="inlineStr">
        <is>
          <t>EdTech France</t>
        </is>
      </c>
      <c r="I1085" s="1" t="n"/>
      <c r="J1085" s="1" t="inlineStr">
        <is>
          <t>Bois-Guillaume</t>
        </is>
      </c>
      <c r="K1085" t="inlineStr">
        <is>
          <t>Bois-Guillaume</t>
        </is>
      </c>
      <c r="L1085" t="inlineStr">
        <is>
          <t>Bois-Guillaume, France</t>
        </is>
      </c>
      <c r="M1085" t="n">
        <v>49.4704819</v>
      </c>
      <c r="N1085" t="n">
        <v>1.1199476</v>
      </c>
      <c r="O1085" s="1" t="inlineStr">
        <is>
          <t>France</t>
        </is>
      </c>
      <c r="P1085" s="1" t="inlineStr">
        <is>
          <t>Belgium, France</t>
        </is>
      </c>
      <c r="Q1085" s="1" t="inlineStr">
        <is>
          <t>11 to 50</t>
        </is>
      </c>
      <c r="R1085" t="inlineStr">
        <is>
          <t>Small</t>
        </is>
      </c>
      <c r="S1085" s="1" t="inlineStr">
        <is>
          <t>Business to Consumer</t>
        </is>
      </c>
      <c r="T1085" s="1" t="inlineStr">
        <is>
          <t>Early childhood development (0-5 years), Primary Education, Secondary Education, Higher Education</t>
        </is>
      </c>
      <c r="U1085" s="1" t="inlineStr">
        <is>
          <t>Student interfacing, Teacher interfacing, System/Administrative</t>
        </is>
      </c>
      <c r="V1085" s="1" t="inlineStr">
        <is>
          <t>Novatice Solutions</t>
        </is>
      </c>
      <c r="W1085" s="10" t="inlineStr">
        <is>
          <t>The Novatice platform makes it possible to make connected devices interoperable and to pool their data in order to develop new innovative services for education, health and safety within communities.</t>
        </is>
      </c>
      <c r="X1085" s="10" t="inlineStr">
        <is>
          <t>https://drive.google.com/uc?export=view&amp;id=17CDnpDVWJVNkjXPjxCeYixjOHlaHb61f</t>
        </is>
      </c>
      <c r="Y1085" t="inlineStr">
        <is>
          <t>https://drive.google.com/uc?export=view&amp;id=17CDnpDVWJVNkjXPjxCeYixjOHlaHb61f</t>
        </is>
      </c>
      <c r="Z1085" s="1" t="inlineStr">
        <is>
          <t>https://drive.google.com/uc?export=view&amp;id=17CDnpDVWJVNkjXPjxCeYixjOHlaHb61f</t>
        </is>
      </c>
      <c r="AA1085" s="1" t="inlineStr">
        <is>
          <t>Unverified</t>
        </is>
      </c>
      <c r="AB1085" s="1" t="n"/>
      <c r="AC1085" s="1" t="n"/>
      <c r="AD1085" s="10" t="n"/>
      <c r="AE1085" s="1" t="n"/>
      <c r="AF1085" s="1" t="inlineStr">
        <is>
          <t>Yes</t>
        </is>
      </c>
      <c r="AG1085" s="1" t="inlineStr">
        <is>
          <t>https://twitter.com/NovaticeTech</t>
        </is>
      </c>
      <c r="AH1085" s="1" t="inlineStr">
        <is>
          <t>https://twitter.com/NovaticeTech</t>
        </is>
      </c>
      <c r="AI1085" s="1" t="inlineStr">
        <is>
          <t>https://www.linkedin.com/company/novatice/</t>
        </is>
      </c>
      <c r="AJ1085" s="1" t="n"/>
    </row>
    <row r="1086" ht="12.5" customHeight="1">
      <c r="A1086" s="6" t="n">
        <v>45181</v>
      </c>
      <c r="B1086" s="1" t="inlineStr">
        <is>
          <t>ORG_2059</t>
        </is>
      </c>
      <c r="C1086" s="1" t="b">
        <v>1</v>
      </c>
      <c r="D1086" s="1" t="inlineStr">
        <is>
          <t>Oktonine</t>
        </is>
      </c>
      <c r="E1086" s="10" t="inlineStr">
        <is>
          <t>www.oktonine.com</t>
        </is>
      </c>
      <c r="F1086" t="inlineStr">
        <is>
          <t>oktonine.com</t>
        </is>
      </c>
      <c r="G1086" s="1" t="inlineStr">
        <is>
          <t>Oktonine is a platform that supports higher education institutions in deploying large-scale and sustainable project-based learning experiences. It helps teachers in defining their pedagogical projects or using ready-to-use ones, provided by companies, or designed by their peers. Oktonine enables time-saving, teachers' skills evolution, a better learners' engagement, and better preparation of learners, to tackle the 21st-century companies and society challenges.
In addition, Oktonine is designed around a competency-based assessment approach, it allows a better identification and assessment of the acquired competencies within project-based learning experiences</t>
        </is>
      </c>
      <c r="H1086" s="1" t="inlineStr">
        <is>
          <t>EdTech France</t>
        </is>
      </c>
      <c r="I1086" s="1" t="n"/>
      <c r="J1086" s="1" t="inlineStr">
        <is>
          <t>Boulogne-Billancourt</t>
        </is>
      </c>
      <c r="K1086" t="inlineStr">
        <is>
          <t>Boulogne-Billancourt</t>
        </is>
      </c>
      <c r="L1086" t="inlineStr">
        <is>
          <t>Boulogne-Billancourt, France</t>
        </is>
      </c>
      <c r="M1086" t="n">
        <v>48.8356649</v>
      </c>
      <c r="N1086" t="n">
        <v>2.240206</v>
      </c>
      <c r="O1086" s="1" t="inlineStr">
        <is>
          <t>France</t>
        </is>
      </c>
      <c r="P1086" s="1" t="inlineStr">
        <is>
          <t>France, Spain</t>
        </is>
      </c>
      <c r="Q1086" s="1" t="inlineStr">
        <is>
          <t>0 to 10</t>
        </is>
      </c>
      <c r="R1086" t="inlineStr">
        <is>
          <t>Micro</t>
        </is>
      </c>
      <c r="S1086" s="1" t="inlineStr">
        <is>
          <t>Business to Consumer, Business to Government</t>
        </is>
      </c>
      <c r="T1086" s="1" t="inlineStr">
        <is>
          <t>Higher Education, Corporate Training</t>
        </is>
      </c>
      <c r="U1086" s="1" t="inlineStr">
        <is>
          <t>Teacher interfacing, System/Administrative</t>
        </is>
      </c>
      <c r="V1086" s="1" t="inlineStr">
        <is>
          <t>Oktonine</t>
        </is>
      </c>
      <c r="W1086" s="1" t="inlineStr">
        <is>
          <t>Oktonine is a project-based learning platform. It helps teachers in defining their pedagogical projects or using ready-to-use ones, provided by companies, or designed by their peers. Oktonine enables time-saving, teachers' skills evolution, a better learners' engagement, and better preparation of learners, to tackle the 21st-century companies and society challenges.</t>
        </is>
      </c>
      <c r="X1086" s="10" t="inlineStr">
        <is>
          <t>https://drive.google.com/uc?export=view&amp;id=1S_WdB3w1Yg5rnjw4irIFDSGEqxosxuMU</t>
        </is>
      </c>
      <c r="Y1086" t="inlineStr">
        <is>
          <t>https://drive.google.com/uc?export=view&amp;id=1S_WdB3w1Yg5rnjw4irIFDSGEqxosxuMU</t>
        </is>
      </c>
      <c r="Z1086" s="1" t="inlineStr">
        <is>
          <t>https://drive.google.com/uc?export=view&amp;id=1S_WdB3w1Yg5rnjw4irIFDSGEqxosxuMU</t>
        </is>
      </c>
      <c r="AA1086" s="1" t="inlineStr">
        <is>
          <t>Unverified</t>
        </is>
      </c>
      <c r="AB1086" s="1" t="n"/>
      <c r="AC1086" s="1" t="n"/>
      <c r="AD1086" s="10" t="n"/>
      <c r="AE1086" s="1" t="n"/>
      <c r="AF1086" s="1" t="inlineStr">
        <is>
          <t>Yes</t>
        </is>
      </c>
      <c r="AG1086" s="1" t="inlineStr">
        <is>
          <t>https://www.linkedin.com/company/oktonine</t>
        </is>
      </c>
      <c r="AH1086" s="1" t="inlineStr">
        <is>
          <t>https://www.linkedin.com/company/oktonine</t>
        </is>
      </c>
      <c r="AI1086" t="inlineStr">
        <is>
          <t>https://www.linkedin.com/company/oktonine</t>
        </is>
      </c>
    </row>
    <row r="1087" ht="12.5" customHeight="1">
      <c r="A1087" s="6" t="n">
        <v>45181</v>
      </c>
      <c r="B1087" s="1" t="inlineStr">
        <is>
          <t>ORG_2107</t>
        </is>
      </c>
      <c r="C1087" s="1" t="b">
        <v>1</v>
      </c>
      <c r="D1087" s="1" t="inlineStr">
        <is>
          <t>PLACE TO LEARN</t>
        </is>
      </c>
      <c r="E1087" s="10" t="inlineStr">
        <is>
          <t>www.placetolearn.fr</t>
        </is>
      </c>
      <c r="F1087" t="inlineStr">
        <is>
          <t>placetolearn.fr</t>
        </is>
      </c>
      <c r="G1087" s="1" t="inlineStr">
        <is>
          <t>Place to Learn deploys bespoke training programs, face-to-face, blended or remote, in the fields of real estate and wealth management, management, communication and marketing to “enable each company to build the best version of herself”. We consider that consistency is a major lever in the performance of the company. This leads us to build approaches that support the rise of employees skills while maintaining the company's DNA. Our digital courses are offered on our Open Source solution, LearnDash, customizable, or with our client's LMS. They offer original training contents, designed by our team of business experts, our Multimedia Educational Engineer and our Video and Motion Design Studio.</t>
        </is>
      </c>
      <c r="H1087" s="1" t="inlineStr">
        <is>
          <t>I'm not part of any EdTech association</t>
        </is>
      </c>
      <c r="I1087" s="1" t="n"/>
      <c r="J1087" s="1" t="inlineStr">
        <is>
          <t>Lyon</t>
        </is>
      </c>
      <c r="K1087" t="inlineStr">
        <is>
          <t>Lyon</t>
        </is>
      </c>
      <c r="L1087" t="inlineStr">
        <is>
          <t>Lyon, France</t>
        </is>
      </c>
      <c r="M1087" t="n">
        <v>45.7578137</v>
      </c>
      <c r="N1087" t="n">
        <v>4.8320114</v>
      </c>
      <c r="O1087" s="1" t="inlineStr">
        <is>
          <t>France</t>
        </is>
      </c>
      <c r="P1087" s="1" t="inlineStr">
        <is>
          <t>France</t>
        </is>
      </c>
      <c r="Q1087" s="1" t="inlineStr">
        <is>
          <t>0 to 10</t>
        </is>
      </c>
      <c r="R1087" t="inlineStr">
        <is>
          <t>Micro</t>
        </is>
      </c>
      <c r="S1087" s="1" t="inlineStr">
        <is>
          <t>Business to Consumer, Business to Government</t>
        </is>
      </c>
      <c r="T1087" s="1" t="inlineStr">
        <is>
          <t>Corporate Training, Lifelong learning/Adult education</t>
        </is>
      </c>
      <c r="U1087" s="1" t="inlineStr">
        <is>
          <t>System/Administrative</t>
        </is>
      </c>
      <c r="V1087" s="1" t="n"/>
      <c r="W1087" s="1" t="inlineStr">
        <is>
          <t>https://drive.google.com/uc?export=view&amp;id=1mZzi_c5NfU_h2tdxi6AVtiKwTnfy_l3_</t>
        </is>
      </c>
      <c r="X1087" s="1" t="inlineStr">
        <is>
          <t>https://drive.google.com/uc?export=view&amp;id=1mZzi_c5NfU_h2tdxi6AVtiKwTnfy_l3_</t>
        </is>
      </c>
      <c r="Y1087" t="inlineStr">
        <is>
          <t>https://drive.google.com/uc?export=view&amp;id=1mZzi_c5NfU_h2tdxi6AVtiKwTnfy_l3_</t>
        </is>
      </c>
      <c r="Z1087" s="1" t="inlineStr">
        <is>
          <t>https://drive.google.com/uc?export=view&amp;id=1mZzi_c5NfU_h2tdxi6AVtiKwTnfy_l3_</t>
        </is>
      </c>
      <c r="AA1087" s="1" t="inlineStr">
        <is>
          <t>Unverified</t>
        </is>
      </c>
      <c r="AB1087" s="1" t="n"/>
      <c r="AC1087" s="1" t="n"/>
      <c r="AD1087" s="10" t="n"/>
      <c r="AE1087" s="1" t="n"/>
      <c r="AF1087" s="1" t="inlineStr">
        <is>
          <t>No</t>
        </is>
      </c>
      <c r="AG1087" s="1" t="n"/>
      <c r="AH1087" s="1" t="n"/>
      <c r="AI1087" s="1" t="n"/>
      <c r="AJ1087" s="1" t="n"/>
    </row>
    <row r="1088" ht="12.5" customHeight="1">
      <c r="A1088" s="6" t="n">
        <v>45181</v>
      </c>
      <c r="B1088" s="1" t="inlineStr">
        <is>
          <t>ORG_2140</t>
        </is>
      </c>
      <c r="C1088" s="1" t="b">
        <v>1</v>
      </c>
      <c r="D1088" s="1" t="inlineStr">
        <is>
          <t>Qlosr</t>
        </is>
      </c>
      <c r="E1088" s="10" t="inlineStr">
        <is>
          <t>https://qlosr.se/skola/</t>
        </is>
      </c>
      <c r="F1088" t="inlineStr">
        <is>
          <t>qlosr.se/skola</t>
        </is>
      </c>
      <c r="G1088" s="1" t="inlineStr">
        <is>
          <t>Qlosr Group AB is a full-service supplier of core IT services mainly sold on a subscription basis. Our largest part of our business is based in the Nordics where we mainly offer workstation management, network and server operations. Out three primary customers we work with are SMEs, private school companies and the public sector.
Through the years, we’ve helped our education customers with Google Workspace, M365 including Teams for Education and many other solutions. We work closely with a range of partners that have allowed us to develop services such as School Identity in which we offer provisioning of users to federations such as the Swedish Skolfederation.</t>
        </is>
      </c>
      <c r="H1088" s="1" t="inlineStr">
        <is>
          <t>Swedish EdTech Industry</t>
        </is>
      </c>
      <c r="I1088" s="1" t="n"/>
      <c r="J1088" s="1" t="inlineStr">
        <is>
          <t>Stockholm</t>
        </is>
      </c>
      <c r="K1088" t="inlineStr">
        <is>
          <t>Stockholm</t>
        </is>
      </c>
      <c r="L1088" t="inlineStr">
        <is>
          <t>Stockholm, Sweden</t>
        </is>
      </c>
      <c r="M1088" t="n">
        <v>59.3251172</v>
      </c>
      <c r="N1088" t="n">
        <v>18.0710935</v>
      </c>
      <c r="O1088" s="1" t="inlineStr">
        <is>
          <t>Sweden</t>
        </is>
      </c>
      <c r="P1088" s="1" t="inlineStr">
        <is>
          <t>Denmark, Sweden</t>
        </is>
      </c>
      <c r="Q1088" s="1" t="inlineStr">
        <is>
          <t>100+</t>
        </is>
      </c>
      <c r="R1088" t="inlineStr">
        <is>
          <t>Medium or Large (unspecified)</t>
        </is>
      </c>
      <c r="S1088" s="1" t="inlineStr">
        <is>
          <t>Business to Consumer, Business to Schools</t>
        </is>
      </c>
      <c r="T1088" s="1" t="inlineStr">
        <is>
          <t>Early childhood development (0-5 years), Primary Education, Secondary Education, Higher Education, Corporate Training, Lifelong learning/Adult education</t>
        </is>
      </c>
      <c r="U1088" s="1" t="inlineStr">
        <is>
          <t>Teacher interfacing, Student interfacing, System/Administrative</t>
        </is>
      </c>
      <c r="V1088" s="1" t="inlineStr">
        <is>
          <t>School Identity</t>
        </is>
      </c>
      <c r="W1088" s="1" t="inlineStr">
        <is>
          <t>We support our customers in automating account creation, i.e. provisioning, and implementing secure authentication with our Qlosr Identity Management Services (QIMS). We offer support for Skolfederation and identity services such as BankID, FrejaID and FIDO-supported keys. The difference between schools and common businesses is the sheer number of identities they manage due to all the students. With QIMS implemented, all your identities will be secure and the IT environment work efficiently.</t>
        </is>
      </c>
      <c r="X1088" s="10" t="inlineStr">
        <is>
          <t>School Clients</t>
        </is>
      </c>
      <c r="Y1088" t="inlineStr">
        <is>
          <t>Chromebooks, Macs, PCs and tablets together with the hybrid workplace of working from anywhere make the IT environment in schools today complex, but it’s with the end user in mind which is great. Making sure the clients are secure and have all the applications the users require is what we do. The clients also need to connect to projectors and printers. We provide a full suite of services so that you can focus on what matters, educating the next generation.</t>
        </is>
      </c>
      <c r="Z1088" s="1" t="inlineStr">
        <is>
          <t>https://drive.google.com/uc?export=view&amp;id=1WtttCqoXImTMuJLSidez_UBy20amODRP</t>
        </is>
      </c>
      <c r="AA1088" s="1" t="inlineStr">
        <is>
          <t>Unverified</t>
        </is>
      </c>
      <c r="AB1088" s="1" t="n"/>
      <c r="AC1088" s="1" t="n"/>
      <c r="AD1088" s="10" t="n"/>
      <c r="AE1088" s="1" t="n"/>
      <c r="AF1088" s="1" t="inlineStr">
        <is>
          <t>Yes</t>
        </is>
      </c>
      <c r="AG1088" s="1" t="inlineStr">
        <is>
          <t>Qlosr</t>
        </is>
      </c>
      <c r="AH1088" s="1" t="inlineStr">
        <is>
          <t>Qlosr</t>
        </is>
      </c>
      <c r="AI1088" s="1" t="inlineStr">
        <is>
          <t>https://www.linkedin.com/company/qlosr-ab/mycompany/</t>
        </is>
      </c>
      <c r="AJ1088" s="1" t="n"/>
    </row>
    <row r="1089" ht="12.5" customHeight="1">
      <c r="A1089" s="6" t="n">
        <v>45181</v>
      </c>
      <c r="B1089" s="1" t="inlineStr">
        <is>
          <t>ORG_2151</t>
        </is>
      </c>
      <c r="C1089" s="1" t="b">
        <v>1</v>
      </c>
      <c r="D1089" s="1" t="inlineStr">
        <is>
          <t>QWAMPUS (rebranding still in process)</t>
        </is>
      </c>
      <c r="E1089" s="10" t="inlineStr">
        <is>
          <t>Www.fullstreet.co</t>
        </is>
      </c>
      <c r="F1089" t="inlineStr">
        <is>
          <t>fullstreet.co</t>
        </is>
      </c>
      <c r="G1089" s="1" t="inlineStr">
        <is>
          <t>Our software enable any entrepreneurship educational support program to deploy their own online incubator in a few days. 
- an entrepreneurial digital path,
- an e-learning dedicated platform,
- and a professional services marketplace
are embedded within the solution.
As a global tool, it helps entrepreneurs win visibility, time and money.</t>
        </is>
      </c>
      <c r="H1089" s="1" t="inlineStr">
        <is>
          <t>EdTech France</t>
        </is>
      </c>
      <c r="I1089" s="1" t="n"/>
      <c r="J1089" s="1" t="inlineStr">
        <is>
          <t>Meaux</t>
        </is>
      </c>
      <c r="K1089" t="inlineStr">
        <is>
          <t>Meaux</t>
        </is>
      </c>
      <c r="L1089" t="inlineStr">
        <is>
          <t>Meaux, France</t>
        </is>
      </c>
      <c r="M1089" t="n">
        <v>48.9582708</v>
      </c>
      <c r="N1089" t="n">
        <v>2.8773541</v>
      </c>
      <c r="O1089" s="1" t="inlineStr">
        <is>
          <t>France</t>
        </is>
      </c>
      <c r="P1089" s="1" t="inlineStr">
        <is>
          <t>France</t>
        </is>
      </c>
      <c r="Q1089" s="1" t="inlineStr">
        <is>
          <t>0 to 10</t>
        </is>
      </c>
      <c r="R1089" t="inlineStr">
        <is>
          <t>Micro</t>
        </is>
      </c>
      <c r="S1089" s="1" t="inlineStr">
        <is>
          <t>Business to Consumer, Business to Schools</t>
        </is>
      </c>
      <c r="T1089" s="1" t="inlineStr">
        <is>
          <t>Higher Education, Lifelong learning/Adult education</t>
        </is>
      </c>
      <c r="U1089" s="1" t="inlineStr">
        <is>
          <t>Teacher interfacing, System/Administrative</t>
        </is>
      </c>
      <c r="V1089" s="1" t="inlineStr">
        <is>
          <t>QWAMPUS</t>
        </is>
      </c>
      <c r="W1089" s="1" t="inlineStr">
        <is>
          <t>Our software enable any entrepreneurship educational support program to deploy their own online incubator in a few days.
- an entrepreneurial digital path,
- an e-learning plateform,
- a professional services marketplace
Are embedded within the solution.
As a global tool, it helps students entrepreneurs gain visibility, time and money.</t>
        </is>
      </c>
      <c r="X1089" s="10" t="inlineStr">
        <is>
          <t>https://drive.google.com/uc?export=view&amp;id=1FrJe0rEBZ3Fcou02KCujv-DNlgjTUfC4</t>
        </is>
      </c>
      <c r="Y1089" t="inlineStr">
        <is>
          <t>https://drive.google.com/uc?export=view&amp;id=1FrJe0rEBZ3Fcou02KCujv-DNlgjTUfC4</t>
        </is>
      </c>
      <c r="Z1089" s="1" t="inlineStr">
        <is>
          <t>https://drive.google.com/uc?export=view&amp;id=1FrJe0rEBZ3Fcou02KCujv-DNlgjTUfC4</t>
        </is>
      </c>
      <c r="AA1089" s="1" t="inlineStr">
        <is>
          <t>Unverified</t>
        </is>
      </c>
      <c r="AB1089" s="1" t="n"/>
      <c r="AC1089" s="1" t="n"/>
      <c r="AD1089" s="10" t="n"/>
      <c r="AE1089" s="1" t="n"/>
      <c r="AF1089" s="1" t="inlineStr">
        <is>
          <t>Yes</t>
        </is>
      </c>
      <c r="AG1089" s="1" t="inlineStr">
        <is>
          <t>https://www.linkedin.com/company/fullstreet</t>
        </is>
      </c>
      <c r="AH1089" s="1" t="inlineStr">
        <is>
          <t>https://www.linkedin.com/company/fullstreet</t>
        </is>
      </c>
      <c r="AI1089" t="inlineStr">
        <is>
          <t>https://www.linkedin.com/company/fullstreet</t>
        </is>
      </c>
    </row>
    <row r="1090" ht="12.5" customHeight="1">
      <c r="A1090" s="6" t="n">
        <v>45181</v>
      </c>
      <c r="B1090" s="1" t="inlineStr">
        <is>
          <t>ORG_2218</t>
        </is>
      </c>
      <c r="C1090" s="1" t="b">
        <v>1</v>
      </c>
      <c r="D1090" s="1" t="inlineStr">
        <is>
          <t>Scobees</t>
        </is>
      </c>
      <c r="E1090" s="10" t="inlineStr">
        <is>
          <t>scobees.com</t>
        </is>
      </c>
      <c r="F1090" t="inlineStr">
        <is>
          <t>scobees.com</t>
        </is>
      </c>
      <c r="G1090" s="1" t="inlineStr">
        <is>
          <t>The cloud-based learning system Scobees takes digital learning in school life to the next level with personalized learning paths and creates digitality in schools. By introducing self-organized learning, it is possible to accompany each student 1:1 in learning. With Scobees it is possible to focus on the individual learning development of the students, to recognize potential and to strengthen the personalities of the learners.
Scobees was designed with Germany's most innovative schools. Our learning system works for every type of school and supports the monitoring of learning developments for teachers in a data-driven and feedback-based manner. Scobees offers smart networks - within and across schools - the introduction of a modern learning format and, with the right integration of bonding partners, ensures that the administrative effort in everyday learning is simplified and rigid learning structures are replaced in the "one fits all" concept.</t>
        </is>
      </c>
      <c r="H1090" s="1" t="inlineStr">
        <is>
          <t>I'm not part of any EdTech association</t>
        </is>
      </c>
      <c r="I1090" s="1" t="n"/>
      <c r="J1090" s="1" t="inlineStr">
        <is>
          <t>Cologne</t>
        </is>
      </c>
      <c r="K1090" t="inlineStr">
        <is>
          <t>Cologne</t>
        </is>
      </c>
      <c r="L1090" t="inlineStr">
        <is>
          <t>Cologne, Germany</t>
        </is>
      </c>
      <c r="M1090" t="n">
        <v>50.938361</v>
      </c>
      <c r="N1090" t="n">
        <v>6.959974</v>
      </c>
      <c r="O1090" s="1" t="inlineStr">
        <is>
          <t>Germany</t>
        </is>
      </c>
      <c r="P1090" s="1" t="inlineStr">
        <is>
          <t>Austria, Bulgaria, Czechia, Germany, Greece, Romania, Switzerland</t>
        </is>
      </c>
      <c r="Q1090" s="1" t="inlineStr">
        <is>
          <t>0 to 10</t>
        </is>
      </c>
      <c r="R1090" t="inlineStr">
        <is>
          <t>Micro</t>
        </is>
      </c>
      <c r="S1090" s="1" t="inlineStr">
        <is>
          <t>Business to Consumer, Business to Schools</t>
        </is>
      </c>
      <c r="T1090" s="1" t="inlineStr">
        <is>
          <t>Primary Education, Secondary Education, Higher Education, Lifelong learning/Adult education</t>
        </is>
      </c>
      <c r="U1090" s="1" t="inlineStr">
        <is>
          <t>System/Administrative, Student interfacing, Teacher interfacing</t>
        </is>
      </c>
      <c r="V1090" s="1" t="n"/>
      <c r="W1090" s="1" t="inlineStr">
        <is>
          <t>https://drive.google.com/uc?export=view&amp;id=1OOtFfs3FVMbshDFilyvReyPuDOH0GF_Q</t>
        </is>
      </c>
      <c r="X1090" s="1" t="inlineStr">
        <is>
          <t>https://drive.google.com/uc?export=view&amp;id=1OOtFfs3FVMbshDFilyvReyPuDOH0GF_Q</t>
        </is>
      </c>
      <c r="Y1090" t="inlineStr">
        <is>
          <t>https://drive.google.com/uc?export=view&amp;id=1OOtFfs3FVMbshDFilyvReyPuDOH0GF_Q</t>
        </is>
      </c>
      <c r="Z1090" s="1" t="inlineStr">
        <is>
          <t>https://drive.google.com/uc?export=view&amp;id=1OOtFfs3FVMbshDFilyvReyPuDOH0GF_Q</t>
        </is>
      </c>
      <c r="AA1090" s="1" t="inlineStr">
        <is>
          <t>Unverified</t>
        </is>
      </c>
      <c r="AB1090" s="1" t="n"/>
      <c r="AC1090" s="1" t="n"/>
      <c r="AD1090" s="10" t="n"/>
      <c r="AE1090" s="1" t="n"/>
      <c r="AF1090" s="1" t="inlineStr">
        <is>
          <t>No</t>
        </is>
      </c>
      <c r="AG1090" s="1" t="n"/>
      <c r="AH1090" s="1" t="n"/>
    </row>
    <row r="1091" ht="12.5" customHeight="1">
      <c r="A1091" s="6" t="n">
        <v>45181</v>
      </c>
      <c r="B1091" s="1" t="inlineStr">
        <is>
          <t>ORG_2265</t>
        </is>
      </c>
      <c r="C1091" s="1" t="b">
        <v>1</v>
      </c>
      <c r="D1091" s="1" t="inlineStr">
        <is>
          <t>Skola24</t>
        </is>
      </c>
      <c r="E1091" s="10" t="inlineStr">
        <is>
          <t>https://www.skola24.com/</t>
        </is>
      </c>
      <c r="F1091" t="inlineStr">
        <is>
          <t>skola24.com</t>
        </is>
      </c>
      <c r="G1091" s="1" t="inlineStr">
        <is>
          <t>Skola24 is a SaaS company with more than +35 years’ experience in Edtech business, more than 600 customers and active in about 10 countries in Europe/worldwide. The School24 inforamtion plattform affords effctive and user centric tools for timetabling, resource planning, absence/presence and more on. Skola24s focus is to help students achieve more powerd by tools making their schooling easier. Skola24 helps customers within public sector and private schools.</t>
        </is>
      </c>
      <c r="H1091" s="1" t="inlineStr">
        <is>
          <t>Swedish EdTech Industry</t>
        </is>
      </c>
      <c r="I1091" s="1" t="n"/>
      <c r="J1091" s="1" t="inlineStr">
        <is>
          <t>Falköping</t>
        </is>
      </c>
      <c r="K1091" t="inlineStr">
        <is>
          <t>Falköping</t>
        </is>
      </c>
      <c r="L1091" t="inlineStr">
        <is>
          <t>Falköping, Sweden</t>
        </is>
      </c>
      <c r="M1091" t="n">
        <v>58.1695083</v>
      </c>
      <c r="N1091" t="n">
        <v>13.5542412</v>
      </c>
      <c r="O1091" s="1" t="inlineStr">
        <is>
          <t>Sweden</t>
        </is>
      </c>
      <c r="P1091" s="1" t="inlineStr">
        <is>
          <t>Sweden</t>
        </is>
      </c>
      <c r="Q1091" s="1" t="inlineStr">
        <is>
          <t>51 to 100</t>
        </is>
      </c>
      <c r="R1091" t="inlineStr">
        <is>
          <t>Medium</t>
        </is>
      </c>
      <c r="S1091" s="1" t="inlineStr">
        <is>
          <t>Business to Consumer, Business to Schools</t>
        </is>
      </c>
      <c r="T1091" s="1" t="inlineStr">
        <is>
          <t>Early childhood development (0-5 years), Primary Education, Secondary Education, Higher Education</t>
        </is>
      </c>
      <c r="U1091" s="1" t="inlineStr">
        <is>
          <t>System/Administrative, Student interfacing, Teacher interfacing</t>
        </is>
      </c>
      <c r="V1091" s="10" t="inlineStr">
        <is>
          <t>Skola24 Timetabling</t>
        </is>
      </c>
      <c r="W1091" s="1" t="inlineStr">
        <is>
          <t>Skola24 offers a flexible multi user solution (SaaS) for timetabling evolved during more than 35 years. The core concept is to support the timetabling process with a rich setup of intuitive context sensitive tools, that enables you to try out different scenarios in a graphical drag and drop/ undo and redo environment. A wide range of conditions can be configured to set up the framework for your timetabling. The system can handle complex timetabling for large organizations with individual timetables.</t>
        </is>
      </c>
      <c r="X1091" s="10" t="inlineStr">
        <is>
          <t>Skola24 Attendance</t>
        </is>
      </c>
      <c r="Y1091" t="inlineStr">
        <is>
          <t>Skola24 offers a solution (SaaS) for registration and follow up of attendance for children and students. The attendance registration is based on published timetables for individual students to ensure a correct follow up. The solution enables teachers and administrators to change specific activities to map the actual situation in the classroom. The solution includes reports and messages representing attendance and absence for individual students as well as groups of students. Aggregated statistics are available for all schools in your organization.</t>
        </is>
      </c>
      <c r="Z1091" s="1" t="inlineStr">
        <is>
          <t>https://drive.google.com/uc?export=view&amp;id=1_mYi7St9K0GQSD6pdgL34rwtjLu4myXX</t>
        </is>
      </c>
      <c r="AA1091" s="1" t="inlineStr">
        <is>
          <t>Unverified</t>
        </is>
      </c>
      <c r="AB1091" s="1" t="n"/>
      <c r="AC1091" s="1" t="n"/>
      <c r="AD1091" s="10" t="n"/>
      <c r="AE1091" s="1" t="n"/>
      <c r="AF1091" t="inlineStr">
        <is>
          <t>Yes</t>
        </is>
      </c>
      <c r="AG1091" t="inlineStr">
        <is>
          <t>https://www.instagram.com/skola24</t>
        </is>
      </c>
      <c r="AH1091" t="inlineStr">
        <is>
          <t>https://www.linkedin.com/company/skola24/mycompany/?viewAsMember=true</t>
        </is>
      </c>
      <c r="AI1091" t="inlineStr">
        <is>
          <t>https://www.linkedin.com/company/skola24/mycompany/?viewAsMember=true</t>
        </is>
      </c>
    </row>
    <row r="1092" ht="12.5" customHeight="1">
      <c r="A1092" s="6" t="n">
        <v>45181</v>
      </c>
      <c r="B1092" s="1" t="inlineStr">
        <is>
          <t>ORG_2317</t>
        </is>
      </c>
      <c r="C1092" s="1" t="b">
        <v>1</v>
      </c>
      <c r="D1092" s="1" t="inlineStr">
        <is>
          <t>start2impact | B Corp</t>
        </is>
      </c>
      <c r="E1092" s="10" t="inlineStr">
        <is>
          <t>https://www.start2impact.com/</t>
        </is>
      </c>
      <c r="F1092" t="inlineStr">
        <is>
          <t>start2impact.com</t>
        </is>
      </c>
      <c r="G1092" s="1" t="inlineStr">
        <is>
          <t>Our mission is to inspire and train young talents to find their own path and make a positive impact on people's lives and on the planet thanks to their digital skills.
Start2impact is an online training school about digital professions where students introduce themselves to companies thanks to a Practical Projects Portfolio with which they show theirs skills.</t>
        </is>
      </c>
      <c r="H1092" s="1" t="inlineStr">
        <is>
          <t>I'm not part of any EdTech association</t>
        </is>
      </c>
      <c r="I1092" s="1" t="n"/>
      <c r="J1092" s="1" t="inlineStr">
        <is>
          <t>Rieti</t>
        </is>
      </c>
      <c r="K1092" t="inlineStr">
        <is>
          <t>Rieti</t>
        </is>
      </c>
      <c r="L1092" t="inlineStr">
        <is>
          <t>Rieti, Italy</t>
        </is>
      </c>
      <c r="M1092" t="n">
        <v>42.4147364</v>
      </c>
      <c r="N1092" t="n">
        <v>12.8858881</v>
      </c>
      <c r="O1092" s="1" t="inlineStr">
        <is>
          <t>Italy</t>
        </is>
      </c>
      <c r="P1092" s="1" t="inlineStr">
        <is>
          <t>Italy</t>
        </is>
      </c>
      <c r="Q1092" s="1" t="inlineStr">
        <is>
          <t>11 to 50</t>
        </is>
      </c>
      <c r="R1092" t="inlineStr">
        <is>
          <t>Small</t>
        </is>
      </c>
      <c r="S1092" s="1" t="inlineStr">
        <is>
          <t>Business to Consumer, Business to Schools</t>
        </is>
      </c>
      <c r="T1092" s="1" t="inlineStr">
        <is>
          <t>Higher Education, Lifelong learning/Adult education</t>
        </is>
      </c>
      <c r="U1092" s="1" t="inlineStr">
        <is>
          <t>Student interfacing</t>
        </is>
      </c>
      <c r="V1092" s="1" t="n"/>
      <c r="W1092" s="1" t="inlineStr">
        <is>
          <t>https://drive.google.com/uc?export=view&amp;id=1jEbBvhLEFTFmQQcyn8D-bJWKTlunt6Ua</t>
        </is>
      </c>
      <c r="X1092" s="1" t="inlineStr">
        <is>
          <t>https://drive.google.com/uc?export=view&amp;id=1jEbBvhLEFTFmQQcyn8D-bJWKTlunt6Ua</t>
        </is>
      </c>
      <c r="Y1092" t="inlineStr">
        <is>
          <t>https://drive.google.com/uc?export=view&amp;id=1jEbBvhLEFTFmQQcyn8D-bJWKTlunt6Ua</t>
        </is>
      </c>
      <c r="Z1092" s="1" t="inlineStr">
        <is>
          <t>https://drive.google.com/uc?export=view&amp;id=1jEbBvhLEFTFmQQcyn8D-bJWKTlunt6Ua</t>
        </is>
      </c>
      <c r="AA1092" s="1" t="inlineStr">
        <is>
          <t>Unverified</t>
        </is>
      </c>
      <c r="AB1092" s="1" t="n"/>
      <c r="AC1092" s="1" t="n"/>
      <c r="AD1092" s="10" t="n"/>
      <c r="AE1092" s="1" t="n"/>
      <c r="AF1092" s="1" t="inlineStr">
        <is>
          <t>No</t>
        </is>
      </c>
      <c r="AG1092" s="1" t="n"/>
      <c r="AH1092" s="1" t="n"/>
    </row>
    <row r="1093" ht="12.5" customHeight="1">
      <c r="A1093" s="6" t="n">
        <v>45181</v>
      </c>
      <c r="B1093" s="1" t="inlineStr">
        <is>
          <t>ORG_2318</t>
        </is>
      </c>
      <c r="C1093" s="1" t="b">
        <v>1</v>
      </c>
      <c r="D1093" s="1" t="inlineStr">
        <is>
          <t>Startlab Education</t>
        </is>
      </c>
      <c r="E1093" s="10" t="inlineStr">
        <is>
          <t>https://www.startlab-education.com/en</t>
        </is>
      </c>
      <c r="F1093" t="inlineStr">
        <is>
          <t>startlab-education.com/en</t>
        </is>
      </c>
      <c r="G1093" s="1" t="inlineStr">
        <is>
          <t>Fastlane Education imagines and designs innovative digital learning solutions to develop 21st century skills for 15 - 25 year old.
Startlab is our first e-learning program. Its objective is to teach entrepreneurship and develop 21st century skills by proposing an immersive learning experience, easy to implement in any education or training environment : university, vocational training centres, high schools.</t>
        </is>
      </c>
      <c r="H1093" s="1" t="inlineStr">
        <is>
          <t>EdTech France</t>
        </is>
      </c>
      <c r="I1093" s="1" t="n"/>
      <c r="J1093" s="1" t="inlineStr">
        <is>
          <t>Paris</t>
        </is>
      </c>
      <c r="K1093" t="inlineStr">
        <is>
          <t>Paris</t>
        </is>
      </c>
      <c r="L1093" t="inlineStr">
        <is>
          <t>Paris, France</t>
        </is>
      </c>
      <c r="M1093" t="n">
        <v>48.8534951</v>
      </c>
      <c r="N1093" t="n">
        <v>2.3483915</v>
      </c>
      <c r="O1093" s="1" t="inlineStr">
        <is>
          <t>France</t>
        </is>
      </c>
      <c r="P1093" s="1" t="inlineStr">
        <is>
          <t>Belgium, France, Italy, Luxembourg</t>
        </is>
      </c>
      <c r="Q1093" s="1" t="inlineStr">
        <is>
          <t>0 to 10</t>
        </is>
      </c>
      <c r="R1093" t="inlineStr">
        <is>
          <t>Micro</t>
        </is>
      </c>
      <c r="S1093" s="1" t="inlineStr">
        <is>
          <t>Business to Consumer, Business to Schools</t>
        </is>
      </c>
      <c r="T1093" s="1" t="inlineStr">
        <is>
          <t>Secondary Education, Higher Education</t>
        </is>
      </c>
      <c r="U1093" s="1" t="inlineStr">
        <is>
          <t>Student interfacing, Teacher interfacing</t>
        </is>
      </c>
      <c r="V1093" s="1" t="inlineStr">
        <is>
          <t>Startlab</t>
        </is>
      </c>
      <c r="W1093" s="1" t="inlineStr">
        <is>
          <t>Startlab is the leading program to teach entrepreneurship and develop 21st century skills.
Suited for age 15 - 25, it offers an immersive learning experience easy to implement in any education or training system : university, vocational training, high schools.
It includes a full set of resources (gamified app, webseries, teaching material) and a certificate from Sorbonne Entrepreneur Paris to prepare students for future of work.</t>
        </is>
      </c>
      <c r="X1093" s="10" t="inlineStr">
        <is>
          <t>https://drive.google.com/uc?export=view&amp;id=1miKp0nzXbN-SMhjJKyfAqB215r20D14v</t>
        </is>
      </c>
      <c r="Y1093" t="inlineStr">
        <is>
          <t>https://drive.google.com/uc?export=view&amp;id=1miKp0nzXbN-SMhjJKyfAqB215r20D14v</t>
        </is>
      </c>
      <c r="Z1093" s="1" t="inlineStr">
        <is>
          <t>https://drive.google.com/uc?export=view&amp;id=1miKp0nzXbN-SMhjJKyfAqB215r20D14v</t>
        </is>
      </c>
      <c r="AA1093" s="1" t="inlineStr">
        <is>
          <t>Unverified</t>
        </is>
      </c>
      <c r="AB1093" s="1" t="n"/>
      <c r="AC1093" s="1" t="n"/>
      <c r="AD1093" s="10" t="n"/>
      <c r="AE1093" s="1" t="n"/>
      <c r="AF1093" t="inlineStr">
        <is>
          <t>Yes</t>
        </is>
      </c>
      <c r="AG1093" t="inlineStr">
        <is>
          <t>https://www.linkedin.com/company/fastlane-education/?viewAsMember=true</t>
        </is>
      </c>
      <c r="AH1093" t="inlineStr">
        <is>
          <t>https://www.linkedin.com/company/fastlane-education/?viewAsMember=true</t>
        </is>
      </c>
      <c r="AI1093" t="inlineStr">
        <is>
          <t>https://www.linkedin.com/company/fastlane-education/?viewAsMember=true</t>
        </is>
      </c>
    </row>
    <row r="1094" ht="12.5" customHeight="1">
      <c r="A1094" s="6" t="n">
        <v>45181</v>
      </c>
      <c r="B1094" s="1" t="inlineStr">
        <is>
          <t>ORG_2327</t>
        </is>
      </c>
      <c r="C1094" s="1" t="b">
        <v>1</v>
      </c>
      <c r="D1094" s="1" t="inlineStr">
        <is>
          <t>Storyals</t>
        </is>
      </c>
      <c r="E1094" s="10" t="inlineStr">
        <is>
          <t>https://storyals.com</t>
        </is>
      </c>
      <c r="F1094" t="inlineStr">
        <is>
          <t>storyals.com</t>
        </is>
      </c>
      <c r="G1094" s="1" t="inlineStr">
        <is>
          <t>Storyals is a Swedish EdTech company with a modern training product for organizations to continuously upskill their workforce on new digital ways of working using Microsoft 365. With a unique training concept, based on storytelling and blended learning, Storyals training product is designed to INSPIRE, MOTIVATE and EDUCATE people to achieve more in the digital workplace - one story at a time.</t>
        </is>
      </c>
      <c r="H1094" s="1" t="n"/>
      <c r="I1094" s="1" t="n"/>
      <c r="J1094" s="1" t="inlineStr">
        <is>
          <t>Stockholm</t>
        </is>
      </c>
      <c r="K1094" t="inlineStr">
        <is>
          <t>Stockholm</t>
        </is>
      </c>
      <c r="L1094" t="inlineStr">
        <is>
          <t>Stockholm, Sweden</t>
        </is>
      </c>
      <c r="M1094" t="n">
        <v>59.3251172</v>
      </c>
      <c r="N1094" t="n">
        <v>18.0710935</v>
      </c>
      <c r="O1094" s="1" t="inlineStr">
        <is>
          <t>Sweden</t>
        </is>
      </c>
      <c r="P1094" s="1" t="inlineStr">
        <is>
          <t>Germany, Sweden, United Kingdom</t>
        </is>
      </c>
      <c r="Q1094" s="1" t="inlineStr">
        <is>
          <t>11 to 50</t>
        </is>
      </c>
      <c r="R1094" t="inlineStr">
        <is>
          <t>Small</t>
        </is>
      </c>
      <c r="S1094" s="1" t="inlineStr">
        <is>
          <t>Business to Government, Business to Schools</t>
        </is>
      </c>
      <c r="T1094" s="1" t="inlineStr">
        <is>
          <t>Corporate Training</t>
        </is>
      </c>
      <c r="U1094" s="1" t="inlineStr">
        <is>
          <t>Student interfacing, System/Administrative</t>
        </is>
      </c>
      <c r="V1094" s="10" t="inlineStr">
        <is>
          <t>Storyals WorkplaceBuddy</t>
        </is>
      </c>
      <c r="W1094" s="10" t="inlineStr">
        <is>
          <t>Storyals WorkplaceBuddy is a cutting-edge training product for organizations looking for a smart and modern way of training employees on new digital ways of working with Microsoft – directly from within Microsoft Teams and in the flow of work. Storyals WorkplaceBuddy brings together the best of e-learning, chatbot technology, and real-life coaching in a modern and fun training experience. This Teams app training product is ideal for businesses looking for an easy and effective way to provide employees with continuous training for the digital workplace. https://storyals.com/storyals-workplacebuddy</t>
        </is>
      </c>
      <c r="X1094" s="10" t="inlineStr">
        <is>
          <t>Storyals Lite</t>
        </is>
      </c>
      <c r="Y1094" t="inlineStr">
        <is>
          <t>Storyals Lite provides employees with on-demand, story-based training on how to work smarter with Microsoft 365. Storyals Lite is installed in your own Microsoft 365 environment and the streamed courses are automatically updated. In addition to Storyals courses, employees get access to product guides provided by Microsoft via Microsoft 365 learning pathways. Storyals Lite is the best option if you already have invested in a Learning Management System and you just want access to the Storyals courses, or if you want to provide your workforce with independent learning in your SharePoint intranet. https://storyals.com/storyalslite</t>
        </is>
      </c>
      <c r="Z1094" s="1" t="inlineStr">
        <is>
          <t>https://drive.google.com/uc?export=view&amp;id=1vfqEgCbDipVxz0cKRsRo6A0-4j2O0eWP</t>
        </is>
      </c>
      <c r="AA1094" s="1" t="inlineStr">
        <is>
          <t>Unverified</t>
        </is>
      </c>
      <c r="AB1094" s="1" t="n"/>
      <c r="AC1094" s="1" t="n"/>
      <c r="AD1094" s="10" t="n"/>
      <c r="AE1094" s="1" t="n"/>
      <c r="AF1094" s="1" t="inlineStr">
        <is>
          <t>Yes</t>
        </is>
      </c>
      <c r="AG1094" s="1" t="inlineStr">
        <is>
          <t>https://www.instagram.com/storyals_/</t>
        </is>
      </c>
      <c r="AH1094" s="1" t="inlineStr">
        <is>
          <t>https://twitter.com/Storyals_</t>
        </is>
      </c>
      <c r="AI1094" t="inlineStr">
        <is>
          <t>https://www.linkedin.com/company/storyals/</t>
        </is>
      </c>
    </row>
    <row r="1095" ht="12.5" customHeight="1">
      <c r="A1095" s="6" t="n">
        <v>45181</v>
      </c>
      <c r="B1095" s="1" t="inlineStr">
        <is>
          <t>ORG_2340</t>
        </is>
      </c>
      <c r="C1095" s="1" t="b">
        <v>1</v>
      </c>
      <c r="D1095" s="1" t="inlineStr">
        <is>
          <t>StudyCentral</t>
        </is>
      </c>
      <c r="E1095" s="10" t="inlineStr">
        <is>
          <t>www.studycentral.eu</t>
        </is>
      </c>
      <c r="F1095" t="inlineStr">
        <is>
          <t>studycentral.eu</t>
        </is>
      </c>
      <c r="G1095" s="1" t="inlineStr">
        <is>
          <t>We build a collaboration platform for higher education. We break up digital silos and facilitate joint modules, degrees and programs across universities with a lean, secure and enganging community management platform.</t>
        </is>
      </c>
      <c r="H1095" s="1" t="inlineStr">
        <is>
          <t>I'm not part of any EdTech association</t>
        </is>
      </c>
      <c r="I1095" s="1" t="n"/>
      <c r="J1095" s="1" t="inlineStr">
        <is>
          <t>Berlin</t>
        </is>
      </c>
      <c r="K1095" t="inlineStr">
        <is>
          <t>Berlin</t>
        </is>
      </c>
      <c r="L1095" t="inlineStr">
        <is>
          <t>Berlin, Germany</t>
        </is>
      </c>
      <c r="M1095" t="n">
        <v>52.5173885</v>
      </c>
      <c r="N1095" t="n">
        <v>13.3951309</v>
      </c>
      <c r="O1095" s="1" t="inlineStr">
        <is>
          <t>Germany</t>
        </is>
      </c>
      <c r="P1095" s="1" t="inlineStr">
        <is>
          <t>Germany, Spain</t>
        </is>
      </c>
      <c r="Q1095" s="1" t="inlineStr">
        <is>
          <t>0 to 10</t>
        </is>
      </c>
      <c r="R1095" t="inlineStr">
        <is>
          <t>Micro</t>
        </is>
      </c>
      <c r="S1095" s="1" t="inlineStr">
        <is>
          <t>Business to Government, Business to Schools</t>
        </is>
      </c>
      <c r="T1095" s="1" t="inlineStr">
        <is>
          <t>Higher Education, Lifelong learning/Adult education</t>
        </is>
      </c>
      <c r="U1095" s="1" t="inlineStr">
        <is>
          <t>Teacher interfacing</t>
        </is>
      </c>
      <c r="V1095" s="1" t="n"/>
      <c r="W1095" s="1" t="inlineStr">
        <is>
          <t>https://drive.google.com/uc?export=view&amp;id=1YSYfnrNgaLtZH5hubpGOBAaUyXQK393Q</t>
        </is>
      </c>
      <c r="X1095" s="1" t="inlineStr">
        <is>
          <t>https://drive.google.com/uc?export=view&amp;id=1YSYfnrNgaLtZH5hubpGOBAaUyXQK393Q</t>
        </is>
      </c>
      <c r="Y1095" t="inlineStr">
        <is>
          <t>https://drive.google.com/uc?export=view&amp;id=1YSYfnrNgaLtZH5hubpGOBAaUyXQK393Q</t>
        </is>
      </c>
      <c r="Z1095" s="1" t="inlineStr">
        <is>
          <t>https://drive.google.com/uc?export=view&amp;id=1YSYfnrNgaLtZH5hubpGOBAaUyXQK393Q</t>
        </is>
      </c>
      <c r="AA1095" s="1" t="inlineStr">
        <is>
          <t>Unverified</t>
        </is>
      </c>
      <c r="AB1095" s="1" t="n"/>
      <c r="AC1095" s="1" t="n"/>
      <c r="AD1095" s="10" t="n"/>
      <c r="AE1095" s="1" t="n"/>
      <c r="AF1095" s="1" t="inlineStr">
        <is>
          <t>No</t>
        </is>
      </c>
      <c r="AG1095" s="1" t="n"/>
      <c r="AH1095" s="1" t="n"/>
    </row>
    <row r="1096" ht="12.5" customHeight="1">
      <c r="A1096" s="6" t="n">
        <v>45181</v>
      </c>
      <c r="B1096" s="1" t="inlineStr">
        <is>
          <t>ORG_2347</t>
        </is>
      </c>
      <c r="C1096" s="1" t="b">
        <v>1</v>
      </c>
      <c r="D1096" s="1" t="inlineStr">
        <is>
          <t>Stuudium</t>
        </is>
      </c>
      <c r="E1096" s="10" t="inlineStr">
        <is>
          <t>https://stuudium.com</t>
        </is>
      </c>
      <c r="F1096" t="inlineStr">
        <is>
          <t>stuudium.com</t>
        </is>
      </c>
      <c r="G1096" s="1" t="inlineStr">
        <is>
          <t>Stuudium is a suite of online apps for schools that connects teachers, parents and students. Study materials, information about academic progress and simple messaging are accessible in one online environment.</t>
        </is>
      </c>
      <c r="H1096" s="1" t="inlineStr">
        <is>
          <t>EdTech Estonia</t>
        </is>
      </c>
      <c r="I1096" s="1" t="n"/>
      <c r="J1096" s="1" t="inlineStr">
        <is>
          <t>Viimsi</t>
        </is>
      </c>
      <c r="K1096" t="inlineStr">
        <is>
          <t>Viimsi</t>
        </is>
      </c>
      <c r="L1096" t="inlineStr">
        <is>
          <t>Viimsi, Estonia</t>
        </is>
      </c>
      <c r="M1096" t="n">
        <v>59.5161416</v>
      </c>
      <c r="N1096" t="n">
        <v>24.8620444</v>
      </c>
      <c r="O1096" s="1" t="inlineStr">
        <is>
          <t>Estonia</t>
        </is>
      </c>
      <c r="P1096" s="1" t="inlineStr">
        <is>
          <t>Estonia</t>
        </is>
      </c>
      <c r="Q1096" s="1" t="inlineStr">
        <is>
          <t>0 to 10</t>
        </is>
      </c>
      <c r="R1096" t="inlineStr">
        <is>
          <t>Micro</t>
        </is>
      </c>
      <c r="S1096" s="1" t="inlineStr">
        <is>
          <t>Business to Government, Business to Schools</t>
        </is>
      </c>
      <c r="T1096" s="1" t="inlineStr">
        <is>
          <t>Early childhood development (0-5 years), Primary Education, Secondary Education</t>
        </is>
      </c>
      <c r="U1096" s="1" t="inlineStr">
        <is>
          <t>System/Administrative, Student interfacing, Teacher interfacing</t>
        </is>
      </c>
      <c r="V1096" s="1" t="inlineStr">
        <is>
          <t>Stuudium</t>
        </is>
      </c>
      <c r="W1096" s="1" t="inlineStr">
        <is>
          <t>Stuudium is a comprehensive suite of online apps for schools that connects teachers, parents and students. Study materials, information about academic progress and simple messaging are accessible in one online environment.</t>
        </is>
      </c>
      <c r="X1096" s="1" t="inlineStr">
        <is>
          <t>https://drive.google.com/uc?export=view&amp;id=1nznwHt_LH3nTgLIr6zXkQDYR4ZSCaNqE</t>
        </is>
      </c>
      <c r="Y1096" t="inlineStr">
        <is>
          <t>https://drive.google.com/uc?export=view&amp;id=1nznwHt_LH3nTgLIr6zXkQDYR4ZSCaNqE</t>
        </is>
      </c>
      <c r="Z1096" s="1" t="inlineStr">
        <is>
          <t>https://drive.google.com/uc?export=view&amp;id=1nznwHt_LH3nTgLIr6zXkQDYR4ZSCaNqE</t>
        </is>
      </c>
      <c r="AA1096" s="1" t="inlineStr">
        <is>
          <t>Unverified</t>
        </is>
      </c>
      <c r="AB1096" s="1" t="n"/>
      <c r="AC1096" s="1" t="n"/>
      <c r="AD1096" s="10" t="n"/>
      <c r="AE1096" s="1" t="n"/>
      <c r="AF1096" s="1" t="inlineStr">
        <is>
          <t>No</t>
        </is>
      </c>
      <c r="AG1096" s="1" t="n"/>
      <c r="AH1096" s="1" t="n"/>
      <c r="AI1096" s="1" t="n"/>
      <c r="AJ1096" s="1" t="n"/>
    </row>
    <row r="1097" ht="12.5" customHeight="1">
      <c r="A1097" s="6" t="n">
        <v>45181</v>
      </c>
      <c r="B1097" s="1" t="inlineStr">
        <is>
          <t>ORG_2433</t>
        </is>
      </c>
      <c r="C1097" s="1" t="b">
        <v>1</v>
      </c>
      <c r="D1097" s="1" t="inlineStr">
        <is>
          <t>Triumf Health</t>
        </is>
      </c>
      <c r="E1097" s="1" t="inlineStr">
        <is>
          <t>triumf.health</t>
        </is>
      </c>
      <c r="F1097" t="inlineStr">
        <is>
          <t>triumf.health</t>
        </is>
      </c>
      <c r="G1097" s="1" t="inlineStr">
        <is>
          <t>Triumf Health is created to offer mental health support for children in the ages of 7-12. Through our evidence-based mobile game we aim to promote talking more openly about mental health and giving children control over their own mental well-being. We have created an engaging game, in which children will have an animal side-kick that never leaves their side- no one should feel alone! Within the game they will also learn how to understand and regulate their emotions, manage anxiety and stress, create healthy habits and routine and will gain empathy through helping others.</t>
        </is>
      </c>
      <c r="H1097" s="1" t="inlineStr">
        <is>
          <t>EdTech Estonia</t>
        </is>
      </c>
      <c r="I1097" s="1" t="n"/>
      <c r="J1097" s="1" t="inlineStr">
        <is>
          <t>Tartu</t>
        </is>
      </c>
      <c r="K1097" t="inlineStr">
        <is>
          <t>Tartu</t>
        </is>
      </c>
      <c r="L1097" t="inlineStr">
        <is>
          <t>Tartu, Estonia</t>
        </is>
      </c>
      <c r="M1097" t="n">
        <v>58.3779528</v>
      </c>
      <c r="N1097" t="n">
        <v>26.7290023</v>
      </c>
      <c r="O1097" s="1" t="inlineStr">
        <is>
          <t>Estonia</t>
        </is>
      </c>
      <c r="P1097" s="1" t="inlineStr">
        <is>
          <t>Estonia, Finland, Latvia, Lithuania, Norway, Romania, Slovakia, Sweden, Ukraine</t>
        </is>
      </c>
      <c r="Q1097" s="1" t="inlineStr">
        <is>
          <t>0 to 10</t>
        </is>
      </c>
      <c r="R1097" t="inlineStr">
        <is>
          <t>Micro</t>
        </is>
      </c>
      <c r="S1097" s="1" t="inlineStr">
        <is>
          <t>Business to Government, Business to Schools</t>
        </is>
      </c>
      <c r="T1097" s="1" t="inlineStr">
        <is>
          <t>Primary Education, Secondary Education</t>
        </is>
      </c>
      <c r="U1097" s="1" t="inlineStr">
        <is>
          <t>System/Administrative, Student interfacing, Teacher interfacing</t>
        </is>
      </c>
      <c r="V1097" s="1" t="inlineStr">
        <is>
          <t>Triumf Hero</t>
        </is>
      </c>
      <c r="W1097" s="1" t="inlineStr">
        <is>
          <t>LIGHT VERSION: Triumf Hero is a mobile game that is made to teach children about the importance of taking care of yourself. The game environment is engaging and challenging. It will teach children cope with everyday life with the help of behavioural psychology that is imbued into the game with a science based algorithm. Playing Triumf Hero consistently will help decrease the chances of developing mental health disorders later in life.</t>
        </is>
      </c>
      <c r="X1097" s="1" t="inlineStr">
        <is>
          <t>Triumfland Saga</t>
        </is>
      </c>
      <c r="Y1097" t="inlineStr">
        <is>
          <t>FULL VERSION: Mobile game designed specifically for and with children to offer personalised behavioural support and help break unhealthy habits. The game environment is engaging and challenging. It will teach children cope with everyday life with the help of behavioural psychology that is imbued into the game with a science based algorithm. Recommended for every child to support their mental wellbeing. Playing Triumfland Saga consistently will help decrease the chances of developing mental health disorders later in life.</t>
        </is>
      </c>
      <c r="Z1097" s="1" t="n"/>
      <c r="AA1097" s="1" t="inlineStr">
        <is>
          <t>Unverified</t>
        </is>
      </c>
      <c r="AB1097" s="1" t="n"/>
      <c r="AC1097" s="1" t="n"/>
      <c r="AD1097" s="1" t="n"/>
      <c r="AE1097" s="1" t="n"/>
      <c r="AF1097" s="1" t="inlineStr">
        <is>
          <t>Yes</t>
        </is>
      </c>
      <c r="AG1097" s="1" t="inlineStr">
        <is>
          <t>TriumfHQ</t>
        </is>
      </c>
      <c r="AH1097" s="1" t="inlineStr">
        <is>
          <t>TriumfHQ</t>
        </is>
      </c>
      <c r="AI1097" t="inlineStr">
        <is>
          <t>Triumf Health</t>
        </is>
      </c>
    </row>
    <row r="1098" ht="12.5" customHeight="1">
      <c r="A1098" s="6" t="n">
        <v>45181</v>
      </c>
      <c r="B1098" s="1" t="inlineStr">
        <is>
          <t>ORG_2479</t>
        </is>
      </c>
      <c r="C1098" s="1" t="b">
        <v>1</v>
      </c>
      <c r="D1098" s="1" t="inlineStr">
        <is>
          <t>Usophy</t>
        </is>
      </c>
      <c r="E1098" s="10" t="inlineStr">
        <is>
          <t>https://usophy.com/</t>
        </is>
      </c>
      <c r="F1098" t="inlineStr">
        <is>
          <t>usophy.com</t>
        </is>
      </c>
      <c r="G1098" s="1" t="inlineStr">
        <is>
          <t>Usophy is an education technology company that offers ebooks subscription through e-learning platforms.
Usophy, where eBooks are loved by kids as cartoons, and learners exceed their knowledge with the best authors in the world.</t>
        </is>
      </c>
      <c r="H1098" s="1" t="inlineStr">
        <is>
          <t>EdTech Italia</t>
        </is>
      </c>
      <c r="I1098" s="1" t="n"/>
      <c r="J1098" s="1" t="inlineStr">
        <is>
          <t>Torino</t>
        </is>
      </c>
      <c r="K1098" t="inlineStr">
        <is>
          <t>Torino</t>
        </is>
      </c>
      <c r="L1098" t="inlineStr">
        <is>
          <t>Torino, Italy</t>
        </is>
      </c>
      <c r="M1098" t="n">
        <v>45.0677551</v>
      </c>
      <c r="N1098" t="n">
        <v>7.6824892</v>
      </c>
      <c r="O1098" s="1" t="inlineStr">
        <is>
          <t>Italy</t>
        </is>
      </c>
      <c r="P1098" s="1" t="inlineStr">
        <is>
          <t>Italy</t>
        </is>
      </c>
      <c r="Q1098" s="1" t="inlineStr">
        <is>
          <t>0 to 10</t>
        </is>
      </c>
      <c r="R1098" t="inlineStr">
        <is>
          <t>Micro</t>
        </is>
      </c>
      <c r="S1098" s="1" t="inlineStr">
        <is>
          <t>Business to Government, Business to Schools</t>
        </is>
      </c>
      <c r="T1098" s="1" t="inlineStr">
        <is>
          <t>Early childhood development (0-5 years), Primary Education, Higher Education, Corporate Training, Lifelong learning/Adult education</t>
        </is>
      </c>
      <c r="U1098" s="1" t="inlineStr">
        <is>
          <t>System/Administrative, Student interfacing, Teacher interfacing</t>
        </is>
      </c>
      <c r="V1098" s="10" t="inlineStr">
        <is>
          <t>Usophy</t>
        </is>
      </c>
      <c r="W1098" s="1" t="inlineStr">
        <is>
          <t>Usophy.com offers an over-the-top subscription to learning ebooks featuring titles from publishers like Hoepli, Utet DeAgostini to name a few.
We also provide the University's digital library service at the Pegaso Online University, therefore to +100,000 students.</t>
        </is>
      </c>
      <c r="X1098" s="10" t="inlineStr">
        <is>
          <t>Usophy Kids</t>
        </is>
      </c>
      <c r="Y1098" t="inlineStr">
        <is>
          <t>Usophy Kids is the reading and learning app for children under 12. 
It offers unlimited access to +10000 of ebooks, audiobooks and educational content from +25 leading publishers worldwide!
We provide books and videos on various topics such as adventure, animals, science etc and we support pupils reading with tools like Read-to-me and Dictionary Look Up.
Our Mission?
To spark children curiosity and build their reading confidence :)</t>
        </is>
      </c>
      <c r="Z1098" s="1" t="inlineStr">
        <is>
          <t>https://drive.google.com/uc?export=view&amp;id=1dBnQ0FmUzBP-laXDtmtfx5dtXuUlMKvc</t>
        </is>
      </c>
      <c r="AA1098" s="1" t="inlineStr">
        <is>
          <t>Unverified</t>
        </is>
      </c>
      <c r="AB1098" s="1" t="n"/>
      <c r="AC1098" s="1" t="n"/>
      <c r="AD1098" s="10" t="n"/>
      <c r="AE1098" s="1" t="n"/>
      <c r="AF1098" s="1" t="inlineStr">
        <is>
          <t>Yes</t>
        </is>
      </c>
      <c r="AG1098" s="1" t="inlineStr">
        <is>
          <t>https://www.instagram.com/usophy_books/</t>
        </is>
      </c>
      <c r="AH1098" s="1" t="inlineStr">
        <is>
          <t>https://www.linkedin.com/company/usophy</t>
        </is>
      </c>
      <c r="AI1098" t="inlineStr">
        <is>
          <t>https://www.linkedin.com/company/usophy</t>
        </is>
      </c>
    </row>
    <row r="1099" ht="12.5" customHeight="1">
      <c r="A1099" s="6" t="n">
        <v>45181</v>
      </c>
      <c r="B1099" s="1" t="inlineStr">
        <is>
          <t>ORG_2499</t>
        </is>
      </c>
      <c r="C1099" s="1" t="b">
        <v>1</v>
      </c>
      <c r="D1099" s="1" t="inlineStr">
        <is>
          <t>Visibly</t>
        </is>
      </c>
      <c r="E1099" s="10" t="inlineStr">
        <is>
          <t>https://visiblyhq.com</t>
        </is>
      </c>
      <c r="F1099" t="inlineStr">
        <is>
          <t>visiblyhq.com</t>
        </is>
      </c>
      <c r="G1099" s="1" t="inlineStr">
        <is>
          <t>Visibly is a skills-building and supervision app that motivates field engineers to improve their skills and deliver more high quality work, without in-person monitoring.</t>
        </is>
      </c>
      <c r="H1099" s="1" t="inlineStr">
        <is>
          <t>I'm not part of any EdTech association</t>
        </is>
      </c>
      <c r="I1099" s="1" t="n"/>
      <c r="J1099" s="1" t="inlineStr">
        <is>
          <t>London</t>
        </is>
      </c>
      <c r="K1099" t="inlineStr">
        <is>
          <t>London</t>
        </is>
      </c>
      <c r="L1099" t="inlineStr">
        <is>
          <t>London, United Kingdom</t>
        </is>
      </c>
      <c r="M1099" t="n">
        <v>51.5074456</v>
      </c>
      <c r="N1099" t="n">
        <v>-0.1277653</v>
      </c>
      <c r="O1099" s="1" t="inlineStr">
        <is>
          <t>United Kingdom</t>
        </is>
      </c>
      <c r="P1099" s="1" t="inlineStr">
        <is>
          <t>France, Germany, United Kingdom</t>
        </is>
      </c>
      <c r="Q1099" s="1" t="inlineStr">
        <is>
          <t>0 to 10</t>
        </is>
      </c>
      <c r="R1099" t="inlineStr">
        <is>
          <t>Micro</t>
        </is>
      </c>
      <c r="S1099" s="1" t="inlineStr">
        <is>
          <t>Business to Schools</t>
        </is>
      </c>
      <c r="T1099" s="1" t="inlineStr">
        <is>
          <t>Lifelong learning/Adult education</t>
        </is>
      </c>
      <c r="U1099" s="1" t="inlineStr">
        <is>
          <t>Student interfacing, System/Administrative</t>
        </is>
      </c>
      <c r="V1099" s="1" t="n"/>
      <c r="W1099" s="1" t="inlineStr">
        <is>
          <t>https://drive.google.com/uc?export=view&amp;id=1UTZF8YwWtwxhOT11z5gDbgymHIVkuX2p</t>
        </is>
      </c>
      <c r="X1099" s="1" t="inlineStr">
        <is>
          <t>https://drive.google.com/uc?export=view&amp;id=1UTZF8YwWtwxhOT11z5gDbgymHIVkuX2p</t>
        </is>
      </c>
      <c r="Y1099" t="inlineStr">
        <is>
          <t>https://drive.google.com/uc?export=view&amp;id=1UTZF8YwWtwxhOT11z5gDbgymHIVkuX2p</t>
        </is>
      </c>
      <c r="Z1099" s="1" t="inlineStr">
        <is>
          <t>https://drive.google.com/uc?export=view&amp;id=1UTZF8YwWtwxhOT11z5gDbgymHIVkuX2p</t>
        </is>
      </c>
      <c r="AA1099" s="1" t="inlineStr">
        <is>
          <t>Unverified</t>
        </is>
      </c>
      <c r="AB1099" s="1" t="n"/>
      <c r="AC1099" s="1" t="n"/>
      <c r="AD1099" s="10" t="n"/>
      <c r="AE1099" s="1" t="n"/>
      <c r="AF1099" s="1" t="inlineStr">
        <is>
          <t>No</t>
        </is>
      </c>
      <c r="AG1099" s="1" t="n"/>
      <c r="AH1099" s="1" t="n"/>
    </row>
    <row r="1100" ht="12.5" customHeight="1">
      <c r="A1100" s="6" t="n">
        <v>45181</v>
      </c>
      <c r="B1100" s="1" t="inlineStr">
        <is>
          <t>ORG_2530</t>
        </is>
      </c>
      <c r="C1100" s="1" t="b">
        <v>1</v>
      </c>
      <c r="D1100" s="1" t="inlineStr">
        <is>
          <t>Wibo</t>
        </is>
      </c>
      <c r="E1100" s="10" t="inlineStr">
        <is>
          <t>https://wibo.app</t>
        </is>
      </c>
      <c r="F1100" t="inlineStr">
        <is>
          <t>wibo.app</t>
        </is>
      </c>
      <c r="G1100" s="1" t="inlineStr">
        <is>
          <t>Wibo makes corporate education a memorable experience.
Wibo is the platform that makes corporate education fun, memorable and interactive through micro-learning, gamification and meaningfull meetings.
We are a learner centric company, focused on improving talents development and engagement adopting cutting edge technology.
We mixed the best innovative education solutions to create Wibo Experiences, cohort-based learning and team building experiences for talent development, social learning and engagement.</t>
        </is>
      </c>
      <c r="H1100" s="1" t="inlineStr">
        <is>
          <t>I'm not part of any EdTech association</t>
        </is>
      </c>
      <c r="I1100" s="1" t="n"/>
      <c r="J1100" s="1" t="inlineStr">
        <is>
          <t>Torino</t>
        </is>
      </c>
      <c r="K1100" t="inlineStr">
        <is>
          <t>Torino</t>
        </is>
      </c>
      <c r="L1100" t="inlineStr">
        <is>
          <t>Torino, Italy</t>
        </is>
      </c>
      <c r="M1100" t="n">
        <v>45.0677551</v>
      </c>
      <c r="N1100" t="n">
        <v>7.6824892</v>
      </c>
      <c r="O1100" s="1" t="inlineStr">
        <is>
          <t>Italy</t>
        </is>
      </c>
      <c r="P1100" s="1" t="inlineStr">
        <is>
          <t>Italy</t>
        </is>
      </c>
      <c r="Q1100" s="1" t="inlineStr">
        <is>
          <t>0 to 10</t>
        </is>
      </c>
      <c r="R1100" t="inlineStr">
        <is>
          <t>Micro</t>
        </is>
      </c>
      <c r="S1100" s="1" t="inlineStr">
        <is>
          <t>Business to Schools</t>
        </is>
      </c>
      <c r="T1100" s="1" t="inlineStr">
        <is>
          <t>Corporate Training, Lifelong learning/Adult education</t>
        </is>
      </c>
      <c r="U1100" s="1" t="inlineStr">
        <is>
          <t>Student interfacing, System/Administrative</t>
        </is>
      </c>
      <c r="V1100" s="10" t="inlineStr">
        <is>
          <t>Wibo Experience</t>
        </is>
      </c>
      <c r="W1100" s="1" t="inlineStr">
        <is>
          <t>Customizable, mobile-first, cohort-based learning experiences with contents from the best learning providers.</t>
        </is>
      </c>
      <c r="X1100" s="10" t="inlineStr">
        <is>
          <t>https://drive.google.com/uc?export=view&amp;id=1OAe2L3Xn1xHCy5KMWQsykLWYXs92J1vv</t>
        </is>
      </c>
      <c r="Y1100" t="inlineStr">
        <is>
          <t>https://drive.google.com/uc?export=view&amp;id=1OAe2L3Xn1xHCy5KMWQsykLWYXs92J1vv</t>
        </is>
      </c>
      <c r="Z1100" s="1" t="inlineStr">
        <is>
          <t>https://drive.google.com/uc?export=view&amp;id=1OAe2L3Xn1xHCy5KMWQsykLWYXs92J1vv</t>
        </is>
      </c>
      <c r="AA1100" s="1" t="inlineStr">
        <is>
          <t>Unverified</t>
        </is>
      </c>
      <c r="AB1100" s="1" t="n"/>
      <c r="AC1100" s="1" t="n"/>
      <c r="AD1100" s="10" t="n"/>
      <c r="AE1100" s="1" t="n"/>
      <c r="AF1100" t="inlineStr">
        <is>
          <t>Yes</t>
        </is>
      </c>
      <c r="AG1100" t="inlineStr">
        <is>
          <t>https://www.instagram.com/wibo.family/</t>
        </is>
      </c>
      <c r="AH1100" t="inlineStr">
        <is>
          <t>https://www.linkedin.com/company/wiboapp/</t>
        </is>
      </c>
      <c r="AI1100" t="inlineStr">
        <is>
          <t>https://www.linkedin.com/company/wiboapp/</t>
        </is>
      </c>
    </row>
    <row r="1101" ht="12.5" customHeight="1">
      <c r="A1101" s="6" t="n">
        <v>45181</v>
      </c>
      <c r="B1101" s="1" t="inlineStr">
        <is>
          <t>ORG_2545</t>
        </is>
      </c>
      <c r="C1101" s="1" t="b">
        <v>1</v>
      </c>
      <c r="D1101" s="1" t="inlineStr">
        <is>
          <t>Wonderful Education</t>
        </is>
      </c>
      <c r="E1101" s="10" t="inlineStr">
        <is>
          <t>https://www.wef.education/</t>
        </is>
      </c>
      <c r="F1101" t="inlineStr">
        <is>
          <t>wef.education</t>
        </is>
      </c>
      <c r="G1101" s="1" t="inlineStr">
        <is>
          <t>We research, design, develop and accelerate technologically-rich and socially-impactful educational experiences, across a variety of formats and targets.
We employ a range of tech-centered approaches, including machine learning, NLP, educational data mining and open hardware, to generate effective learning processes on core 21st century skills. Those include language L1 learning, sustainability education, mathematical thinking and arts' education.</t>
        </is>
      </c>
      <c r="H1101" s="1" t="inlineStr">
        <is>
          <t>EdTech Italia</t>
        </is>
      </c>
      <c r="I1101" s="1" t="n"/>
      <c r="J1101" s="1" t="inlineStr">
        <is>
          <t>Modena</t>
        </is>
      </c>
      <c r="K1101" t="inlineStr">
        <is>
          <t>Modena</t>
        </is>
      </c>
      <c r="L1101" t="inlineStr">
        <is>
          <t>Modena, Italy</t>
        </is>
      </c>
      <c r="M1101" t="n">
        <v>44.5384728</v>
      </c>
      <c r="N1101" t="n">
        <v>10.9359609</v>
      </c>
      <c r="O1101" s="1" t="inlineStr">
        <is>
          <t>Italy</t>
        </is>
      </c>
      <c r="P1101" s="1" t="inlineStr">
        <is>
          <t>Italy</t>
        </is>
      </c>
      <c r="Q1101" s="1" t="inlineStr">
        <is>
          <t>11 to 50</t>
        </is>
      </c>
      <c r="R1101" t="inlineStr">
        <is>
          <t>Small</t>
        </is>
      </c>
      <c r="S1101" s="1" t="inlineStr">
        <is>
          <t>Business to Schools</t>
        </is>
      </c>
      <c r="T1101" s="1" t="inlineStr">
        <is>
          <t>Primary Education, Secondary Education, Higher Education, Corporate Training, Lifelong learning/Adult education</t>
        </is>
      </c>
      <c r="U1101" s="1" t="inlineStr">
        <is>
          <t>System/Administrative, Student interfacing, Teacher interfacing</t>
        </is>
      </c>
      <c r="V1101" s="1" t="inlineStr">
        <is>
          <t>LINDA</t>
        </is>
      </c>
      <c r="W1101" s="1" t="inlineStr">
        <is>
          <t>LINDA is a digital platform designed to improve language L1 skills for lower and upper secondary school students and to offer automated linguistic and pedagogic support to language L1 and civic education teachers.
It is designed around state-of-the-art cognitive linguistics research rooted in NLP/NLU models based on open source computational linguistics AI, aligned to state-of-the-art pedagogical research on language L1 didactics.</t>
        </is>
      </c>
      <c r="X1101" s="10" t="inlineStr">
        <is>
          <t>Pinxit: Augmented Arts</t>
        </is>
      </c>
      <c r="Y1101" t="inlineStr">
        <is>
          <t>Pinxit is a digitally-augmented experience for enhancing and innovating arts education.
It is based on: a digital platform allowing users to interact with Gigapixed HD arts images (powered by HaltaDefinizione) through a set of interactive tools; a new STEAM methodology rooted in an innovative learning scenario bank; a 3d printed HD replica of famous paintings.</t>
        </is>
      </c>
      <c r="Z1101" s="1" t="inlineStr">
        <is>
          <t>https://drive.google.com/uc?export=view&amp;id=1u_ilA_MMlH_8XOOoUrxXAxw81xb5AfUv</t>
        </is>
      </c>
      <c r="AA1101" s="1" t="inlineStr">
        <is>
          <t>Unverified</t>
        </is>
      </c>
      <c r="AB1101" s="1" t="n"/>
      <c r="AC1101" s="1" t="n"/>
      <c r="AD1101" s="10" t="n"/>
      <c r="AE1101" s="1" t="n"/>
      <c r="AF1101" t="inlineStr">
        <is>
          <t>Yes</t>
        </is>
      </c>
      <c r="AG1101" t="inlineStr">
        <is>
          <t>https://it.linkedin.com/company/wonderfuleducation</t>
        </is>
      </c>
      <c r="AH1101" t="inlineStr">
        <is>
          <t>https://it.linkedin.com/company/wonderfuleducation</t>
        </is>
      </c>
      <c r="AI1101" t="inlineStr">
        <is>
          <t>https://it.linkedin.com/company/wonderfuleducation</t>
        </is>
      </c>
    </row>
    <row r="1102" ht="12.5" customHeight="1">
      <c r="A1102" s="6" t="n">
        <v>45181</v>
      </c>
      <c r="B1102" s="1" t="inlineStr">
        <is>
          <t>ORG_2558</t>
        </is>
      </c>
      <c r="C1102" s="1" t="b">
        <v>1</v>
      </c>
      <c r="D1102" s="1" t="inlineStr">
        <is>
          <t>XIMDEX</t>
        </is>
      </c>
      <c r="E1102" s="10" t="inlineStr">
        <is>
          <t>https://www.ximdex.com</t>
        </is>
      </c>
      <c r="F1102" t="inlineStr">
        <is>
          <t>ximdex.com</t>
        </is>
      </c>
      <c r="G1102" s="1" t="inlineStr">
        <is>
          <t>The Ximdex Platform provides tools for simultaneous management of data and content through services such as intelligent search engines, concept recommendation, information aggregators, editors, image and text recognition, analysis and visualization.
In the educational arena we have developed a mobile oriented LMS with offline mode (XEDU), an activity and assessment service (XEVAL) and a transformer of Adobe indesign and MS word documents into scorm.</t>
        </is>
      </c>
      <c r="H1102" s="1" t="inlineStr">
        <is>
          <t>I'm not part of any EdTech association</t>
        </is>
      </c>
      <c r="I1102" s="1" t="inlineStr">
        <is>
          <t>English, Spanish</t>
        </is>
      </c>
      <c r="J1102" s="1" t="inlineStr">
        <is>
          <t>Sevilla</t>
        </is>
      </c>
      <c r="K1102" t="inlineStr">
        <is>
          <t>Sevilla</t>
        </is>
      </c>
      <c r="L1102" t="inlineStr">
        <is>
          <t>Sevilla, Spain</t>
        </is>
      </c>
      <c r="M1102" t="n">
        <v>37.3886303</v>
      </c>
      <c r="N1102" t="n">
        <v>-5.9953403</v>
      </c>
      <c r="O1102" s="1" t="inlineStr">
        <is>
          <t>Spain</t>
        </is>
      </c>
      <c r="P1102" s="1" t="inlineStr">
        <is>
          <t>Spain</t>
        </is>
      </c>
      <c r="Q1102" s="1" t="inlineStr">
        <is>
          <t>11 to 50</t>
        </is>
      </c>
      <c r="R1102" t="inlineStr">
        <is>
          <t>Small</t>
        </is>
      </c>
      <c r="S1102" s="1" t="inlineStr">
        <is>
          <t>Business to Schools</t>
        </is>
      </c>
      <c r="T1102" s="1" t="inlineStr">
        <is>
          <t>Early childhood development (0-5 years), Primary Education, Secondary Education, Corporate Training, Lifelong learning/Adult education, Vocational Education and Training (VET), Higher Education</t>
        </is>
      </c>
      <c r="U1102" s="1" t="inlineStr">
        <is>
          <t>System/Administrative</t>
        </is>
      </c>
      <c r="V1102" s="1" t="inlineStr">
        <is>
          <t>XEDU</t>
        </is>
      </c>
      <c r="W1102" s="10" t="inlineStr">
        <is>
          <t>Omnichannel LMS with offline capabilities in the mobile version. It includes Editors, APP, Web, user management, WhatsApp style messaging, catalogue of resources and courses, gallery of courses, multi-language, etc.</t>
        </is>
      </c>
      <c r="X1102" s="10" t="inlineStr">
        <is>
          <t>INDESIGN SCORM generator</t>
        </is>
      </c>
      <c r="Y1102" t="inlineStr">
        <is>
          <t>Generator of SCORM from Indesign files.</t>
        </is>
      </c>
      <c r="Z1102" s="1" t="inlineStr">
        <is>
          <t>https://drive.google.com/uc?export=view&amp;id=1YS76ueaqGBQVwjri4R2Mxg-nC6fNm3Ey</t>
        </is>
      </c>
      <c r="AA1102" s="1" t="inlineStr">
        <is>
          <t>Unverified</t>
        </is>
      </c>
      <c r="AB1102" s="1" t="n"/>
      <c r="AC1102" s="1" t="n"/>
      <c r="AD1102" s="10" t="n"/>
      <c r="AE1102" s="1" t="n"/>
      <c r="AF1102" t="inlineStr">
        <is>
          <t>Yes</t>
        </is>
      </c>
      <c r="AG1102" t="inlineStr">
        <is>
          <t>https://twitter.com/ximdex</t>
        </is>
      </c>
      <c r="AH1102" t="inlineStr">
        <is>
          <t>https://twitter.com/ximdex</t>
        </is>
      </c>
      <c r="AI1102" t="inlineStr">
        <is>
          <t>https://www.linkedin.com/company/ximdex</t>
        </is>
      </c>
    </row>
    <row r="1103" ht="12.5" customHeight="1">
      <c r="A1103" s="6" t="n">
        <v>45181</v>
      </c>
      <c r="B1103" s="1" t="inlineStr">
        <is>
          <t>ORG_2560</t>
        </is>
      </c>
      <c r="C1103" s="1" t="b">
        <v>1</v>
      </c>
      <c r="D1103" s="1" t="inlineStr">
        <is>
          <t>XRCONSOLE</t>
        </is>
      </c>
      <c r="E1103" s="10" t="inlineStr">
        <is>
          <t>www.xrconsole.net</t>
        </is>
      </c>
      <c r="F1103" t="inlineStr">
        <is>
          <t>xrconsole.net</t>
        </is>
      </c>
      <c r="G1103" s="1" t="inlineStr">
        <is>
          <t>XRCONSOLE develops immersive learning and training concepts for companies and educational institutions. With the synergy of innovative training methodology and state of the art virtual reality, we are reshaping the future of training.</t>
        </is>
      </c>
      <c r="H1103" s="1" t="inlineStr">
        <is>
          <t>EdTech Austria</t>
        </is>
      </c>
      <c r="I1103" s="1" t="n"/>
      <c r="J1103" s="1" t="inlineStr">
        <is>
          <t>Graz</t>
        </is>
      </c>
      <c r="K1103" t="inlineStr">
        <is>
          <t>Graz</t>
        </is>
      </c>
      <c r="L1103" t="inlineStr">
        <is>
          <t>Graz, Austria</t>
        </is>
      </c>
      <c r="M1103" t="n">
        <v>47.0708678</v>
      </c>
      <c r="N1103" t="n">
        <v>15.4382786</v>
      </c>
      <c r="O1103" s="1" t="inlineStr">
        <is>
          <t>Austria</t>
        </is>
      </c>
      <c r="P1103" s="1" t="inlineStr">
        <is>
          <t>Austria, Germany, Switzerland</t>
        </is>
      </c>
      <c r="Q1103" s="1" t="inlineStr">
        <is>
          <t>0 to 10</t>
        </is>
      </c>
      <c r="R1103" t="inlineStr">
        <is>
          <t>Micro</t>
        </is>
      </c>
      <c r="S1103" s="1" t="inlineStr">
        <is>
          <t>Business to Schools</t>
        </is>
      </c>
      <c r="T1103" s="1" t="inlineStr">
        <is>
          <t>Corporate Training</t>
        </is>
      </c>
      <c r="U1103" s="1" t="inlineStr">
        <is>
          <t>Student interfacing, Teacher interfacing, System/Administrative</t>
        </is>
      </c>
      <c r="V1103" s="1" t="inlineStr">
        <is>
          <t>Holistic immersive learning and training concepts</t>
        </is>
      </c>
      <c r="W1103" s="1" t="inlineStr">
        <is>
          <t>The focus is on experience-based training. Learning content is experienced instead of just being read or heard. In the virtual training world, people perform interaction actions just as they do in the real world, activating the same psychological and physiological areas of the brain. Training using XR technology leads to real and measurable performance and contributes significantly to more effective and efficient learning outcomes.</t>
        </is>
      </c>
      <c r="X1103" s="10" t="inlineStr">
        <is>
          <t>https://drive.google.com/uc?export=view&amp;id=1FNlObN3rntGIE_wLr9hXRWcjDrhrHak2</t>
        </is>
      </c>
      <c r="Y1103" t="inlineStr">
        <is>
          <t>https://drive.google.com/uc?export=view&amp;id=1FNlObN3rntGIE_wLr9hXRWcjDrhrHak2</t>
        </is>
      </c>
      <c r="Z1103" s="1" t="inlineStr">
        <is>
          <t>https://drive.google.com/uc?export=view&amp;id=1FNlObN3rntGIE_wLr9hXRWcjDrhrHak2</t>
        </is>
      </c>
      <c r="AA1103" s="1" t="inlineStr">
        <is>
          <t>Unverified</t>
        </is>
      </c>
      <c r="AB1103" s="1" t="n"/>
      <c r="AC1103" s="1" t="n"/>
      <c r="AD1103" s="10" t="n"/>
      <c r="AE1103" s="1" t="n"/>
      <c r="AF1103" s="1" t="inlineStr">
        <is>
          <t>Yes</t>
        </is>
      </c>
      <c r="AG1103" s="1" t="inlineStr">
        <is>
          <t>https://www.linkedin.com/company/xrconsole</t>
        </is>
      </c>
      <c r="AH1103" s="1" t="inlineStr">
        <is>
          <t>https://www.linkedin.com/company/xrconsole</t>
        </is>
      </c>
      <c r="AI1103" t="inlineStr">
        <is>
          <t>https://www.linkedin.com/company/xrconsole</t>
        </is>
      </c>
    </row>
    <row r="1104" ht="12.5" customHeight="1">
      <c r="A1104" s="6" t="n">
        <v>45181</v>
      </c>
      <c r="B1104" s="1" t="inlineStr">
        <is>
          <t>ORG_2569</t>
        </is>
      </c>
      <c r="C1104" s="1" t="b">
        <v>1</v>
      </c>
      <c r="D1104" s="10" t="inlineStr">
        <is>
          <t>Zapiens.ai</t>
        </is>
      </c>
      <c r="E1104" s="10" t="inlineStr">
        <is>
          <t>https://zapiens.ai</t>
        </is>
      </c>
      <c r="F1104" t="inlineStr">
        <is>
          <t>zapiens.ai</t>
        </is>
      </c>
      <c r="G1104" s="1" t="inlineStr">
        <is>
          <t>Zapiens.ai is a knowledge management software. A cloud-based tool that allows remote training, manage recruitment and onboarding processes and share the organization's internal knowledge.</t>
        </is>
      </c>
      <c r="H1104" s="1" t="inlineStr">
        <is>
          <t>I'm not part of any EdTech association</t>
        </is>
      </c>
      <c r="I1104" s="1" t="n"/>
      <c r="J1104" s="1" t="inlineStr">
        <is>
          <t>Gijon</t>
        </is>
      </c>
      <c r="K1104" t="inlineStr">
        <is>
          <t>Gijon</t>
        </is>
      </c>
      <c r="L1104" t="inlineStr">
        <is>
          <t>Gijon, Spain</t>
        </is>
      </c>
      <c r="M1104" t="n">
        <v>43.5449422</v>
      </c>
      <c r="N1104" t="n">
        <v>-5.66275</v>
      </c>
      <c r="O1104" s="1" t="inlineStr">
        <is>
          <t>Spain</t>
        </is>
      </c>
      <c r="P1104" s="1" t="inlineStr">
        <is>
          <t>Spain</t>
        </is>
      </c>
      <c r="Q1104" s="1" t="inlineStr">
        <is>
          <t>0 to 10</t>
        </is>
      </c>
      <c r="R1104" t="inlineStr">
        <is>
          <t>Micro</t>
        </is>
      </c>
      <c r="S1104" s="1" t="inlineStr">
        <is>
          <t>Business to Business</t>
        </is>
      </c>
      <c r="T1104" s="1" t="inlineStr">
        <is>
          <t>Primary Education, Corporate Training, Lifelong learning/Adult education</t>
        </is>
      </c>
      <c r="U1104" s="1" t="inlineStr">
        <is>
          <t>Student interfacing, Teacher interfacing, System/Administrative</t>
        </is>
      </c>
      <c r="V1104" s="1" t="n"/>
      <c r="W1104" s="1" t="inlineStr">
        <is>
          <t>https://drive.google.com/uc?export=view&amp;id=1Jug6aKOywa74jh867TJJ3qNGBYzluz7Z</t>
        </is>
      </c>
      <c r="X1104" s="1" t="inlineStr">
        <is>
          <t>https://drive.google.com/uc?export=view&amp;id=1Jug6aKOywa74jh867TJJ3qNGBYzluz7Z</t>
        </is>
      </c>
      <c r="Y1104" t="inlineStr">
        <is>
          <t>https://drive.google.com/uc?export=view&amp;id=1Jug6aKOywa74jh867TJJ3qNGBYzluz7Z</t>
        </is>
      </c>
      <c r="Z1104" s="1" t="inlineStr">
        <is>
          <t>https://drive.google.com/uc?export=view&amp;id=1Jug6aKOywa74jh867TJJ3qNGBYzluz7Z</t>
        </is>
      </c>
      <c r="AA1104" s="1" t="inlineStr">
        <is>
          <t>Unverified</t>
        </is>
      </c>
      <c r="AB1104" s="1" t="n"/>
      <c r="AC1104" s="1" t="n"/>
      <c r="AD1104" s="10" t="n"/>
      <c r="AE1104" s="1" t="n"/>
      <c r="AF1104" t="inlineStr">
        <is>
          <t>No</t>
        </is>
      </c>
    </row>
    <row r="1105" ht="12.5" customHeight="1">
      <c r="A1105" s="6" t="n">
        <v>45181</v>
      </c>
      <c r="B1105" s="1" t="inlineStr">
        <is>
          <t>ORG_1014</t>
        </is>
      </c>
      <c r="C1105" s="1" t="b">
        <v>1</v>
      </c>
      <c r="D1105" s="1" t="inlineStr">
        <is>
          <t>4INDATA</t>
        </is>
      </c>
      <c r="E1105" s="10" t="inlineStr">
        <is>
          <t>https://4indata.com/fr/</t>
        </is>
      </c>
      <c r="F1105" t="inlineStr">
        <is>
          <t>4indata.com/fr</t>
        </is>
      </c>
      <c r="G1105" s="1" t="inlineStr">
        <is>
          <t>4INDATA is a Paris-based French tech startup. We have developed an application called 4INSHIELD, to protect children and teenagers against violence in cyberspace and to educate them about Internet safety. Our goal is to automate the detection of diverse cyber-risks, including online sexual abuse, hate speech, and harassment, in real-time to alert parents, teachers, and educators about harmful or illegal online content that young people are exposed to at home and at school.</t>
        </is>
      </c>
      <c r="H1105" s="1" t="inlineStr">
        <is>
          <t>I'm not part of any EdTech association</t>
        </is>
      </c>
      <c r="I1105" s="1" t="n"/>
      <c r="J1105" s="1" t="inlineStr">
        <is>
          <t>Fontenay-Sous-Bois</t>
        </is>
      </c>
      <c r="K1105" t="inlineStr">
        <is>
          <t>Fontenay-Sous-Bois</t>
        </is>
      </c>
      <c r="L1105" t="inlineStr">
        <is>
          <t>Fontenay-Sous-Bois, France</t>
        </is>
      </c>
      <c r="M1105" t="n">
        <v>48.8490721</v>
      </c>
      <c r="N1105" t="n">
        <v>2.4749347</v>
      </c>
      <c r="O1105" s="1" t="inlineStr">
        <is>
          <t>France</t>
        </is>
      </c>
      <c r="P1105" s="1" t="inlineStr">
        <is>
          <t>France</t>
        </is>
      </c>
      <c r="Q1105" s="1" t="inlineStr">
        <is>
          <t>0 to 10</t>
        </is>
      </c>
      <c r="R1105" t="inlineStr">
        <is>
          <t>Micro</t>
        </is>
      </c>
      <c r="S1105" s="1" t="inlineStr">
        <is>
          <t>Business to Business</t>
        </is>
      </c>
      <c r="T1105" s="1" t="inlineStr">
        <is>
          <t>Secondary Education, Corporate Training, Lifelong learning/Adult education</t>
        </is>
      </c>
      <c r="U1105" s="1" t="inlineStr">
        <is>
          <t>System/Administrative, Student interfacing</t>
        </is>
      </c>
      <c r="V1105" s="1" t="n"/>
      <c r="W1105" s="1" t="inlineStr">
        <is>
          <t>https://drive.google.com/uc?export=view&amp;id=18O4BIdudHf_Cn21RGpL2QCN0tybnoJ19</t>
        </is>
      </c>
      <c r="X1105" s="1" t="inlineStr">
        <is>
          <t>https://drive.google.com/uc?export=view&amp;id=18O4BIdudHf_Cn21RGpL2QCN0tybnoJ19</t>
        </is>
      </c>
      <c r="Y1105" t="inlineStr">
        <is>
          <t>https://drive.google.com/uc?export=view&amp;id=18O4BIdudHf_Cn21RGpL2QCN0tybnoJ19</t>
        </is>
      </c>
      <c r="Z1105" s="1" t="inlineStr">
        <is>
          <t>https://drive.google.com/uc?export=view&amp;id=18O4BIdudHf_Cn21RGpL2QCN0tybnoJ19</t>
        </is>
      </c>
      <c r="AA1105" s="1" t="inlineStr">
        <is>
          <t>Unverified</t>
        </is>
      </c>
      <c r="AB1105" s="1" t="n"/>
      <c r="AC1105" s="1" t="n"/>
      <c r="AD1105" s="10" t="n"/>
      <c r="AE1105" s="1" t="n"/>
      <c r="AF1105" s="1" t="inlineStr">
        <is>
          <t>No</t>
        </is>
      </c>
      <c r="AG1105" s="1" t="n"/>
      <c r="AH1105" s="1" t="n"/>
    </row>
    <row r="1106" ht="12.5" customHeight="1">
      <c r="A1106" s="6" t="n">
        <v>45181</v>
      </c>
      <c r="B1106" s="1" t="inlineStr">
        <is>
          <t>ORG_1015</t>
        </is>
      </c>
      <c r="C1106" s="1" t="b">
        <v>1</v>
      </c>
      <c r="D1106" s="1" t="inlineStr">
        <is>
          <t>5miles</t>
        </is>
      </c>
      <c r="E1106" s="10" t="inlineStr">
        <is>
          <t>https://www.5miles.nl</t>
        </is>
      </c>
      <c r="F1106" t="inlineStr">
        <is>
          <t>5miles.nl</t>
        </is>
      </c>
      <c r="G1106" s="1" t="inlineStr">
        <is>
          <t>5miles is an online learning tool where professionals can improve their data &amp; digital skills in an innovative and inspiring way – and that in just 5 minutes a day. Using our unique challenge-based method, people become better, faster and more accurate in the tools they use on a daily basis – like Excel, PowerPoint and Power BI.
Companies already benefiting from 5miles on a global scale include ABN AMRO, Achmea and KPMG.
Founded in 2015, the company is based in Amsterdam with a team of 15.</t>
        </is>
      </c>
      <c r="H1106" s="1" t="inlineStr">
        <is>
          <t>Dutch EdTech</t>
        </is>
      </c>
      <c r="I1106" s="1" t="inlineStr">
        <is>
          <t>English, German, Dutch, French</t>
        </is>
      </c>
      <c r="J1106" s="1" t="inlineStr">
        <is>
          <t>Amsterdam</t>
        </is>
      </c>
      <c r="K1106" t="inlineStr">
        <is>
          <t>Amsterdam</t>
        </is>
      </c>
      <c r="L1106" t="inlineStr">
        <is>
          <t>Amsterdam, The Netherlands</t>
        </is>
      </c>
      <c r="M1106" t="n">
        <v>52.3701984</v>
      </c>
      <c r="N1106" t="n">
        <v>4.892168</v>
      </c>
      <c r="O1106" s="1" t="inlineStr">
        <is>
          <t>The Netherlands</t>
        </is>
      </c>
      <c r="P1106" s="1" t="inlineStr">
        <is>
          <t>Belgium, France, Germany, Netherlands, United Kingdom</t>
        </is>
      </c>
      <c r="Q1106" s="1" t="inlineStr">
        <is>
          <t>6 to 10</t>
        </is>
      </c>
      <c r="R1106" t="inlineStr">
        <is>
          <t>Micro</t>
        </is>
      </c>
      <c r="S1106" s="1" t="inlineStr">
        <is>
          <t>Business to Business</t>
        </is>
      </c>
      <c r="T1106" s="1" t="inlineStr">
        <is>
          <t>Corporate Training, Lifelong learning/Adult education</t>
        </is>
      </c>
      <c r="U1106" s="1" t="inlineStr">
        <is>
          <t>System/Administrative</t>
        </is>
      </c>
      <c r="V1106" s="10" t="inlineStr">
        <is>
          <t>5miles online learning tool</t>
        </is>
      </c>
      <c r="W1106" s="10" t="inlineStr">
        <is>
          <t>Using a micro-learning approach, 5miles enables busy professionals to learn something new every day in just 5 minutes - giving them the insights they need to work smarter.
In particular, 5miles is a great match for professionals in the finance, consulting and insurance sectors. Companies where data and analytical skills are very important, influencing the quality of decision making and productivity. 
5miles started by offering courses in Microsoft Excel, VBA and PowerPoint, and recently added its first Outlook, Power BI and Teams modules. We continue to grow our training offering to meet the expanding needs of today and tomorrow’s workforce.</t>
        </is>
      </c>
      <c r="X1106" s="10" t="inlineStr">
        <is>
          <t>https://drive.google.com/uc?export=view&amp;id=1InudfeaVxj--tjRsSJE3W4hhdKVrU1ps</t>
        </is>
      </c>
      <c r="Y1106" t="inlineStr">
        <is>
          <t>https://drive.google.com/uc?export=view&amp;id=1InudfeaVxj--tjRsSJE3W4hhdKVrU1ps</t>
        </is>
      </c>
      <c r="Z1106" s="1" t="inlineStr">
        <is>
          <t>https://drive.google.com/uc?export=view&amp;id=1InudfeaVxj--tjRsSJE3W4hhdKVrU1ps</t>
        </is>
      </c>
      <c r="AA1106" s="1" t="inlineStr">
        <is>
          <t>Unverified</t>
        </is>
      </c>
      <c r="AB1106" s="1" t="n"/>
      <c r="AC1106" s="1" t="n"/>
      <c r="AD1106" s="10" t="n"/>
      <c r="AE1106" s="1" t="n"/>
      <c r="AF1106" s="1" t="inlineStr">
        <is>
          <t>Yes</t>
        </is>
      </c>
      <c r="AG1106" s="1" t="inlineStr">
        <is>
          <t>https://www.instagram.com/5mileshq/</t>
        </is>
      </c>
      <c r="AH1106" s="1" t="inlineStr">
        <is>
          <t>https://twitter.com/5milesHQ/</t>
        </is>
      </c>
      <c r="AI1106" t="inlineStr">
        <is>
          <t>https://www.linkedin.com/company/5miles/</t>
        </is>
      </c>
    </row>
    <row r="1107" ht="12.5" customHeight="1">
      <c r="A1107" s="6" t="n">
        <v>45181</v>
      </c>
      <c r="B1107" s="1" t="inlineStr">
        <is>
          <t>ORG_1050</t>
        </is>
      </c>
      <c r="C1107" s="1" t="b">
        <v>1</v>
      </c>
      <c r="D1107" s="1" t="inlineStr">
        <is>
          <t>Algor Education</t>
        </is>
      </c>
      <c r="E1107" s="10" t="inlineStr">
        <is>
          <t>https://www.algoreducation.com</t>
        </is>
      </c>
      <c r="F1107" t="inlineStr">
        <is>
          <t>algoreducation.com</t>
        </is>
      </c>
      <c r="G1107" s="1" t="inlineStr">
        <is>
          <t>Algor Lab is an Italian startup based in Turin. Our mission is to improve students' learning through our AI tools applied on text. Our product is Algor Education, a digital platform made of several tools for making learning more stimulating, collaborative and inclusive, particularly for students with Specific Learning Disorders. Algor Maps is its first web application where students and educators can create, personalize and share concept and mind maps on a digital multimedia whiteboard starting from text documents with the help of our NLP tools for automatic synthesis and concepts extraction. Algor Lab is initially addressing B2C Italian EdTech market with a SaaS freemium model. We are incubated in I3P, we raised €180k from CDI and collaborate with Italian Dyslexia Association.</t>
        </is>
      </c>
      <c r="H1107" s="1" t="inlineStr">
        <is>
          <t>EdTech Italia</t>
        </is>
      </c>
      <c r="I1107" s="1" t="n"/>
      <c r="J1107" s="1" t="inlineStr">
        <is>
          <t>Torino</t>
        </is>
      </c>
      <c r="K1107" t="inlineStr">
        <is>
          <t>Torino</t>
        </is>
      </c>
      <c r="L1107" t="inlineStr">
        <is>
          <t>Torino, Italy</t>
        </is>
      </c>
      <c r="M1107" t="n">
        <v>45.0677551</v>
      </c>
      <c r="N1107" t="n">
        <v>7.6824892</v>
      </c>
      <c r="O1107" s="1" t="inlineStr">
        <is>
          <t>Italy</t>
        </is>
      </c>
      <c r="P1107" s="1" t="inlineStr">
        <is>
          <t>Italy</t>
        </is>
      </c>
      <c r="Q1107" s="1" t="inlineStr">
        <is>
          <t>0 to 10</t>
        </is>
      </c>
      <c r="R1107" t="inlineStr">
        <is>
          <t>Micro</t>
        </is>
      </c>
      <c r="S1107" s="1" t="inlineStr">
        <is>
          <t>Business to Business</t>
        </is>
      </c>
      <c r="T1107" s="1" t="inlineStr">
        <is>
          <t>Primary Education, Secondary Education, Higher Education, Lifelong learning/Adult education</t>
        </is>
      </c>
      <c r="U1107" s="1" t="inlineStr">
        <is>
          <t>Student interfacing, Teacher interfacing</t>
        </is>
      </c>
      <c r="V1107" s="1" t="n"/>
      <c r="W1107" s="1" t="inlineStr">
        <is>
          <t>https://drive.google.com/uc?export=view&amp;id=1nCgMiupgH6gzSJbHvg0x5KpUQ_i6v3II</t>
        </is>
      </c>
      <c r="X1107" s="1" t="inlineStr">
        <is>
          <t>https://drive.google.com/uc?export=view&amp;id=1nCgMiupgH6gzSJbHvg0x5KpUQ_i6v3II</t>
        </is>
      </c>
      <c r="Y1107" t="inlineStr">
        <is>
          <t>https://drive.google.com/uc?export=view&amp;id=1nCgMiupgH6gzSJbHvg0x5KpUQ_i6v3II</t>
        </is>
      </c>
      <c r="Z1107" s="1" t="inlineStr">
        <is>
          <t>https://drive.google.com/uc?export=view&amp;id=1nCgMiupgH6gzSJbHvg0x5KpUQ_i6v3II</t>
        </is>
      </c>
      <c r="AA1107" s="1" t="inlineStr">
        <is>
          <t>Unverified</t>
        </is>
      </c>
      <c r="AB1107" s="1" t="n"/>
      <c r="AC1107" s="1" t="n"/>
      <c r="AD1107" s="10" t="n"/>
      <c r="AE1107" s="1" t="n"/>
      <c r="AF1107" s="1" t="inlineStr">
        <is>
          <t>No</t>
        </is>
      </c>
      <c r="AG1107" s="1" t="n"/>
      <c r="AH1107" s="1" t="n"/>
    </row>
    <row r="1108" ht="12.5" customHeight="1">
      <c r="A1108" s="6" t="n">
        <v>45181</v>
      </c>
      <c r="B1108" s="1" t="inlineStr">
        <is>
          <t>ORG_1109</t>
        </is>
      </c>
      <c r="C1108" s="1" t="b">
        <v>1</v>
      </c>
      <c r="D1108" s="1" t="inlineStr">
        <is>
          <t>Aski Raski</t>
        </is>
      </c>
      <c r="E1108" s="10" t="inlineStr">
        <is>
          <t>https://askiraski.no/</t>
        </is>
      </c>
      <c r="F1108" t="inlineStr">
        <is>
          <t>askiraski.no</t>
        </is>
      </c>
      <c r="G1108" s="1" t="inlineStr">
        <is>
          <t>Aski Raski is a web-based reading programme, where the students practice their ability to decode the words correctly and rapidly. Decoding is the technical part of reading and plays a major role in the students' reading experience. 
The programme can also be used as a tool to practice pronunciation and spelling.</t>
        </is>
      </c>
      <c r="H1108" s="1" t="inlineStr">
        <is>
          <t>I'm not part of any EdTech association</t>
        </is>
      </c>
      <c r="I1108" s="1" t="n"/>
      <c r="J1108" s="1" t="inlineStr">
        <is>
          <t>Sandnes</t>
        </is>
      </c>
      <c r="K1108" t="inlineStr">
        <is>
          <t>Sandnes</t>
        </is>
      </c>
      <c r="L1108" t="inlineStr">
        <is>
          <t>Sandnes, Norway</t>
        </is>
      </c>
      <c r="M1108" t="n">
        <v>58.9831321</v>
      </c>
      <c r="N1108" t="n">
        <v>6.394641</v>
      </c>
      <c r="O1108" s="1" t="inlineStr">
        <is>
          <t>Norway</t>
        </is>
      </c>
      <c r="P1108" s="1" t="inlineStr">
        <is>
          <t>Norway</t>
        </is>
      </c>
      <c r="Q1108" s="1" t="inlineStr">
        <is>
          <t>0 to 10</t>
        </is>
      </c>
      <c r="R1108" t="inlineStr">
        <is>
          <t>Micro</t>
        </is>
      </c>
      <c r="S1108" s="1" t="inlineStr">
        <is>
          <t>Business to Business</t>
        </is>
      </c>
      <c r="T1108" s="1" t="inlineStr">
        <is>
          <t>Early childhood development (0-5 years), Primary Education, Secondary Education, Lifelong learning/Adult education</t>
        </is>
      </c>
      <c r="U1108" s="1" t="inlineStr">
        <is>
          <t>System/Administrative, Student interfacing, Teacher interfacing</t>
        </is>
      </c>
      <c r="V1108" s="10" t="inlineStr">
        <is>
          <t>Aski Raski - a web-based reading programme</t>
        </is>
      </c>
      <c r="W1108" s="1" t="inlineStr">
        <is>
          <t>Aski Raski is a web-based reading programme, where the students practice their ability to decode the words correctly and rapidly. Decoding is the technical part of reading and plays a major role in the students' reading experience. 
The programme can also be used as a tool to practice pronunciation and spelling. 
It is a structured, cumulative, multi-sensory programme containing sound support, where the students learn through listening, finding, writing and reading a set of sentences, words, syllables and graphemes.</t>
        </is>
      </c>
      <c r="X1108" s="10" t="inlineStr">
        <is>
          <t>https://drive.google.com/uc?export=view&amp;id=12ahJ1GmDHL5RsvQf1_BueJp6zLrtwtlE</t>
        </is>
      </c>
      <c r="Y1108" t="inlineStr">
        <is>
          <t>https://drive.google.com/uc?export=view&amp;id=12ahJ1GmDHL5RsvQf1_BueJp6zLrtwtlE</t>
        </is>
      </c>
      <c r="Z1108" s="1" t="inlineStr">
        <is>
          <t>https://drive.google.com/uc?export=view&amp;id=12ahJ1GmDHL5RsvQf1_BueJp6zLrtwtlE</t>
        </is>
      </c>
      <c r="AA1108" s="1" t="inlineStr">
        <is>
          <t>Unverified</t>
        </is>
      </c>
      <c r="AB1108" s="1" t="n"/>
      <c r="AC1108" s="1" t="n"/>
      <c r="AD1108" s="10" t="n"/>
      <c r="AE1108" s="1" t="n"/>
      <c r="AF1108" s="1" t="inlineStr">
        <is>
          <t>Yes</t>
        </is>
      </c>
      <c r="AG1108" s="1" t="inlineStr">
        <is>
          <t>https://www.instagram.com/askiraskinorge/</t>
        </is>
      </c>
      <c r="AH1108" s="1" t="inlineStr">
        <is>
          <t>https://www.linkedin.com/company/aski-raski-as/</t>
        </is>
      </c>
      <c r="AI1108" s="1" t="inlineStr">
        <is>
          <t>https://www.linkedin.com/company/aski-raski-as/</t>
        </is>
      </c>
      <c r="AJ1108" s="1" t="n"/>
    </row>
    <row r="1109" ht="12.5" customHeight="1">
      <c r="A1109" s="6" t="n">
        <v>45181</v>
      </c>
      <c r="B1109" s="1" t="inlineStr">
        <is>
          <t>ORG_1121</t>
        </is>
      </c>
      <c r="C1109" s="1" t="b">
        <v>1</v>
      </c>
      <c r="D1109" s="1" t="inlineStr">
        <is>
          <t>Au Pair BUTRFLY</t>
        </is>
      </c>
      <c r="E1109" s="10" t="inlineStr">
        <is>
          <t>https://www.aupairbutrfly.com/</t>
        </is>
      </c>
      <c r="F1109" t="inlineStr">
        <is>
          <t>aupairbutrfly.com</t>
        </is>
      </c>
      <c r="G1109" s="1" t="inlineStr">
        <is>
          <t>ButrFly connects au pairs and families in Europe 🇪🇺, Canada 🇨🇦 and Mexico 🇲🇽.
ButrFly supports parents in their work-life balance.
ButrFly accompanies ambitious young people in their life plans.</t>
        </is>
      </c>
      <c r="H1109" s="1" t="inlineStr">
        <is>
          <t>EdTech France</t>
        </is>
      </c>
      <c r="I1109" s="1" t="n"/>
      <c r="J1109" s="1" t="inlineStr">
        <is>
          <t>Biarritz</t>
        </is>
      </c>
      <c r="K1109" t="inlineStr">
        <is>
          <t>Biarritz</t>
        </is>
      </c>
      <c r="L1109" t="inlineStr">
        <is>
          <t>Biarritz, France</t>
        </is>
      </c>
      <c r="M1109" t="n">
        <v>43.4832523</v>
      </c>
      <c r="N1109" t="n">
        <v>-1.5592776</v>
      </c>
      <c r="O1109" s="1" t="inlineStr">
        <is>
          <t>France</t>
        </is>
      </c>
      <c r="P1109" s="1" t="inlineStr">
        <is>
          <t>France</t>
        </is>
      </c>
      <c r="Q1109" s="1" t="inlineStr">
        <is>
          <t>0 to 10</t>
        </is>
      </c>
      <c r="R1109" t="inlineStr">
        <is>
          <t>Micro</t>
        </is>
      </c>
      <c r="S1109" s="1" t="inlineStr">
        <is>
          <t>Business to Business, Business to Consumer</t>
        </is>
      </c>
      <c r="T1109" s="1" t="inlineStr">
        <is>
          <t>Higher Education, Lifelong learning/Adult education</t>
        </is>
      </c>
      <c r="U1109" s="1" t="inlineStr">
        <is>
          <t>System/Administrative, Student interfacing</t>
        </is>
      </c>
      <c r="V1109" s="1" t="inlineStr">
        <is>
          <t>Au Pair BUTRFLY</t>
        </is>
      </c>
      <c r="W1109" s="1" t="inlineStr">
        <is>
          <t>ButrFly connects au pairs and families in Europe 🇪🇺, Canada 🇨🇦 and Mexico 🇲🇽.
ButrFly supports parents in their work-life balance.
ButrFly accompanies bold young people in their life plans.</t>
        </is>
      </c>
      <c r="X1109" s="1" t="inlineStr">
        <is>
          <t>Life coaching BUTRFLY</t>
        </is>
      </c>
      <c r="Y1109" t="inlineStr">
        <is>
          <t>ButrFly accompanies bold young people in their life plans.</t>
        </is>
      </c>
      <c r="Z1109" s="1" t="inlineStr">
        <is>
          <t>https://drive.google.com/uc?export=view&amp;id=1fl6_hsnV2PD138NPaNgJByG-KFZ1msWS</t>
        </is>
      </c>
      <c r="AA1109" s="1" t="inlineStr">
        <is>
          <t>Unverified</t>
        </is>
      </c>
      <c r="AB1109" s="1" t="n"/>
      <c r="AC1109" s="1" t="n"/>
      <c r="AD1109" s="10" t="n"/>
      <c r="AE1109" s="1" t="n"/>
      <c r="AF1109" s="1" t="inlineStr">
        <is>
          <t>Yes</t>
        </is>
      </c>
      <c r="AG1109" s="1" t="inlineStr">
        <is>
          <t>BUTRFLY</t>
        </is>
      </c>
      <c r="AH1109" s="1" t="inlineStr">
        <is>
          <t>BUTRFLY</t>
        </is>
      </c>
      <c r="AI1109" t="inlineStr">
        <is>
          <t>BUTRFLY</t>
        </is>
      </c>
    </row>
    <row r="1110" ht="12.5" customHeight="1">
      <c r="A1110" s="6" t="n">
        <v>45181</v>
      </c>
      <c r="B1110" s="1" t="inlineStr">
        <is>
          <t>ORG_1160</t>
        </is>
      </c>
      <c r="C1110" s="1" t="b">
        <v>1</v>
      </c>
      <c r="D1110" s="1" t="inlineStr">
        <is>
          <t>BEYOND THE BOX</t>
        </is>
      </c>
      <c r="E1110" s="10" t="inlineStr">
        <is>
          <t>https://beyondthebox.it</t>
        </is>
      </c>
      <c r="F1110" t="inlineStr">
        <is>
          <t>beyondthebox.it</t>
        </is>
      </c>
      <c r="G1110" s="1" t="inlineStr">
        <is>
          <t>BEYOND THE BOX is the subscription-based skills platform for enterprises that harnesses the power of artificial intelligence to match the professional requests of employees with the right experts and connects them, over one-to-one video calls of 20 or 40 minutes, to get support for their daily challenges and learn through interaction.
We will become the first Italian EdTech company that makes accessible to all enterprises the skills they need to grow.</t>
        </is>
      </c>
      <c r="H1110" s="1" t="inlineStr">
        <is>
          <t>EdTech Italia</t>
        </is>
      </c>
      <c r="I1110" s="1" t="n"/>
      <c r="J1110" s="1" t="inlineStr">
        <is>
          <t>Milan</t>
        </is>
      </c>
      <c r="K1110" t="inlineStr">
        <is>
          <t>Milan</t>
        </is>
      </c>
      <c r="L1110" t="inlineStr">
        <is>
          <t>Milan, Italy</t>
        </is>
      </c>
      <c r="M1110" t="n">
        <v>45.4641943</v>
      </c>
      <c r="N1110" t="n">
        <v>9.1896346</v>
      </c>
      <c r="O1110" s="1" t="inlineStr">
        <is>
          <t>Italy</t>
        </is>
      </c>
      <c r="P1110" s="1" t="inlineStr">
        <is>
          <t>Italy</t>
        </is>
      </c>
      <c r="Q1110" s="1" t="inlineStr">
        <is>
          <t>0 to 10</t>
        </is>
      </c>
      <c r="R1110" t="inlineStr">
        <is>
          <t>Micro</t>
        </is>
      </c>
      <c r="S1110" s="1" t="inlineStr">
        <is>
          <t>Business to Business, Business to Consumer</t>
        </is>
      </c>
      <c r="T1110" s="1" t="inlineStr">
        <is>
          <t>Corporate Training</t>
        </is>
      </c>
      <c r="U1110" s="1" t="inlineStr">
        <is>
          <t>System/Administrative</t>
        </is>
      </c>
      <c r="V1110" s="10" t="inlineStr">
        <is>
          <t>/BeyondTheBox</t>
        </is>
      </c>
      <c r="W1110" s="1" t="inlineStr">
        <is>
          <t>/BeyondTheBox is a web-based platform for employees: they get 360° support and practical advice easily and worry-free with one subscription that gives them access to unlimited sessions with thousands of experts.
How it works:
1) Employees simply type their requests
2) Our AI matches the request with the skills of our experts
3) Employees book a 20/40 min meeting
4) They meet in 1:1 video call on the platform</t>
        </is>
      </c>
      <c r="X1110" s="10" t="inlineStr">
        <is>
          <t>https://drive.google.com/uc?export=view&amp;id=1eAOStAsEFJzYvdYASrhiWfIeSKuj4Vp-</t>
        </is>
      </c>
      <c r="Y1110" t="inlineStr">
        <is>
          <t>https://drive.google.com/uc?export=view&amp;id=1eAOStAsEFJzYvdYASrhiWfIeSKuj4Vp-</t>
        </is>
      </c>
      <c r="Z1110" s="1" t="inlineStr">
        <is>
          <t>https://drive.google.com/uc?export=view&amp;id=1eAOStAsEFJzYvdYASrhiWfIeSKuj4Vp-</t>
        </is>
      </c>
      <c r="AA1110" s="1" t="inlineStr">
        <is>
          <t>Unverified</t>
        </is>
      </c>
      <c r="AB1110" s="1" t="n"/>
      <c r="AC1110" s="1" t="n"/>
      <c r="AD1110" s="10" t="n"/>
      <c r="AE1110" s="1" t="n"/>
      <c r="AF1110" t="inlineStr">
        <is>
          <t>Yes</t>
        </is>
      </c>
      <c r="AG1110" t="inlineStr">
        <is>
          <t>https://www.instagram.com/_beyondthebox_/</t>
        </is>
      </c>
      <c r="AH1110" t="inlineStr">
        <is>
          <t>https://www.linkedin.com/company/sharingcompetencies/?viewAsMember=true</t>
        </is>
      </c>
      <c r="AI1110" t="inlineStr">
        <is>
          <t>https://www.linkedin.com/company/sharingcompetencies/?viewAsMember=true</t>
        </is>
      </c>
    </row>
    <row r="1111" ht="12.5" customHeight="1">
      <c r="A1111" s="6" t="n">
        <v>45181</v>
      </c>
      <c r="B1111" s="1" t="inlineStr">
        <is>
          <t>ORG_1183</t>
        </is>
      </c>
      <c r="C1111" s="1" t="b">
        <v>1</v>
      </c>
      <c r="D1111" s="1" t="inlineStr">
        <is>
          <t>Boksnok</t>
        </is>
      </c>
      <c r="E1111" s="10" t="inlineStr">
        <is>
          <t>https://boksnok.de</t>
        </is>
      </c>
      <c r="F1111" t="inlineStr">
        <is>
          <t>boksnok.de</t>
        </is>
      </c>
      <c r="G1111" s="1" t="inlineStr">
        <is>
          <t>Boksnok is the app that awakens the children's desire to read in a digital world. With captivating stories and innovative technology, our kids' books app creates a more enjoyable reading experience and inspires a life as a reader. Together with the best publishers, authors and creators, Boksnok offers unlimited access to a magical world with thousands of engaging titles, from new hits to old classics.</t>
        </is>
      </c>
      <c r="H1111" s="1" t="inlineStr">
        <is>
          <t>I'm not part of any EdTech association</t>
        </is>
      </c>
      <c r="I1111" s="1" t="n"/>
      <c r="J1111" s="1" t="inlineStr">
        <is>
          <t>Medborgarplatsen 25</t>
        </is>
      </c>
      <c r="L1111" t="inlineStr">
        <is>
          <t>Medborgarplatsen 25, Sweden</t>
        </is>
      </c>
      <c r="O1111" s="1" t="inlineStr">
        <is>
          <t>Sweden</t>
        </is>
      </c>
      <c r="P1111" s="1" t="inlineStr">
        <is>
          <t>Austria, Germany, Sweden, Switzerland</t>
        </is>
      </c>
      <c r="Q1111" s="1" t="inlineStr">
        <is>
          <t>0 to 10</t>
        </is>
      </c>
      <c r="R1111" t="inlineStr">
        <is>
          <t>Micro</t>
        </is>
      </c>
      <c r="S1111" s="1" t="inlineStr">
        <is>
          <t>Business to Business, Business to Consumer</t>
        </is>
      </c>
      <c r="T1111" s="1" t="inlineStr">
        <is>
          <t>Early childhood development (0-5 years)</t>
        </is>
      </c>
      <c r="U1111" s="1" t="inlineStr">
        <is>
          <t>System/Administrative, Student interfacing</t>
        </is>
      </c>
      <c r="V1111" s="1" t="n"/>
      <c r="W1111" s="1" t="inlineStr">
        <is>
          <t>https://drive.google.com/uc?export=view&amp;id=1ciBeCVvmEgHTxhdW7i2O7KVetsC79GxP</t>
        </is>
      </c>
      <c r="X1111" s="1" t="inlineStr">
        <is>
          <t>https://drive.google.com/uc?export=view&amp;id=1ciBeCVvmEgHTxhdW7i2O7KVetsC79GxP</t>
        </is>
      </c>
      <c r="Y1111" t="inlineStr">
        <is>
          <t>https://drive.google.com/uc?export=view&amp;id=1ciBeCVvmEgHTxhdW7i2O7KVetsC79GxP</t>
        </is>
      </c>
      <c r="Z1111" s="1" t="inlineStr">
        <is>
          <t>https://drive.google.com/uc?export=view&amp;id=1ciBeCVvmEgHTxhdW7i2O7KVetsC79GxP</t>
        </is>
      </c>
      <c r="AA1111" s="1" t="inlineStr">
        <is>
          <t>Unverified</t>
        </is>
      </c>
      <c r="AB1111" s="1" t="n"/>
      <c r="AC1111" s="1" t="n"/>
      <c r="AD1111" s="10" t="n"/>
      <c r="AE1111" s="1" t="n"/>
      <c r="AF1111" t="inlineStr">
        <is>
          <t>No</t>
        </is>
      </c>
    </row>
    <row r="1112" ht="12.5" customHeight="1">
      <c r="A1112" s="6" t="n">
        <v>45181</v>
      </c>
      <c r="B1112" s="1" t="inlineStr">
        <is>
          <t>ORG_1185</t>
        </is>
      </c>
      <c r="C1112" s="1" t="b">
        <v>1</v>
      </c>
      <c r="D1112" s="1" t="inlineStr">
        <is>
          <t>BOOKR Kids</t>
        </is>
      </c>
      <c r="E1112" s="10" t="inlineStr">
        <is>
          <t>Corp.bookrkids.com</t>
        </is>
      </c>
      <c r="F1112" t="inlineStr">
        <is>
          <t>corp.bookrkids.com</t>
        </is>
      </c>
      <c r="G1112" s="1" t="inlineStr">
        <is>
          <t>BOOKR is an industry-leading publisher, pioneering interactive reading-based edutainment tools to help children foster native and/or second language skills.
BOOKR is best known about it's award winning ESL/EFL product: BOOKR Class.</t>
        </is>
      </c>
      <c r="H1112" s="1" t="inlineStr">
        <is>
          <t>I'm not part of any EdTech association</t>
        </is>
      </c>
      <c r="I1112" s="1" t="n"/>
      <c r="J1112" s="1" t="inlineStr">
        <is>
          <t>Budapest</t>
        </is>
      </c>
      <c r="K1112" t="inlineStr">
        <is>
          <t>Budapest</t>
        </is>
      </c>
      <c r="L1112" t="inlineStr">
        <is>
          <t>Budapest, Hungary</t>
        </is>
      </c>
      <c r="M1112" t="n">
        <v>47.481849</v>
      </c>
      <c r="N1112" t="n">
        <v>19.1449053</v>
      </c>
      <c r="O1112" s="1" t="inlineStr">
        <is>
          <t>Hungary</t>
        </is>
      </c>
      <c r="P1112" s="1" t="inlineStr">
        <is>
          <t>Germany, Greece, Hungary, Turkey, United Kingdom</t>
        </is>
      </c>
      <c r="Q1112" s="1" t="inlineStr">
        <is>
          <t>11 to 50</t>
        </is>
      </c>
      <c r="R1112" t="inlineStr">
        <is>
          <t>Small</t>
        </is>
      </c>
      <c r="S1112" s="1" t="inlineStr">
        <is>
          <t>Business to Business, Business to Consumer</t>
        </is>
      </c>
      <c r="T1112" s="1" t="inlineStr">
        <is>
          <t>Primary Education</t>
        </is>
      </c>
      <c r="U1112" s="1" t="inlineStr">
        <is>
          <t>Student interfacing, Teacher interfacing</t>
        </is>
      </c>
      <c r="V1112" s="1" t="n"/>
      <c r="W1112" s="1" t="inlineStr">
        <is>
          <t>https://drive.google.com/uc?export=view&amp;id=1zlDBPLKYwmzyt1x9u41pDB6JqNpoLTqR</t>
        </is>
      </c>
      <c r="X1112" s="1" t="inlineStr">
        <is>
          <t>https://drive.google.com/uc?export=view&amp;id=1zlDBPLKYwmzyt1x9u41pDB6JqNpoLTqR</t>
        </is>
      </c>
      <c r="Y1112" t="inlineStr">
        <is>
          <t>https://drive.google.com/uc?export=view&amp;id=1zlDBPLKYwmzyt1x9u41pDB6JqNpoLTqR</t>
        </is>
      </c>
      <c r="Z1112" s="1" t="inlineStr">
        <is>
          <t>https://drive.google.com/uc?export=view&amp;id=1zlDBPLKYwmzyt1x9u41pDB6JqNpoLTqR</t>
        </is>
      </c>
      <c r="AA1112" s="1" t="inlineStr">
        <is>
          <t>Unverified</t>
        </is>
      </c>
      <c r="AB1112" s="1" t="n"/>
      <c r="AC1112" s="1" t="n"/>
      <c r="AD1112" s="10" t="n"/>
      <c r="AE1112" s="1" t="n"/>
      <c r="AF1112" t="inlineStr">
        <is>
          <t>No</t>
        </is>
      </c>
    </row>
    <row r="1113" ht="12.5" customHeight="1">
      <c r="A1113" s="6" t="n">
        <v>45181</v>
      </c>
      <c r="B1113" s="1" t="inlineStr">
        <is>
          <t>ORG_1242</t>
        </is>
      </c>
      <c r="C1113" s="1" t="b">
        <v>1</v>
      </c>
      <c r="D1113" s="1" t="inlineStr">
        <is>
          <t>Clanbeat</t>
        </is>
      </c>
      <c r="E1113" s="10" t="inlineStr">
        <is>
          <t>https://clanbeat.com/</t>
        </is>
      </c>
      <c r="F1113" t="inlineStr">
        <is>
          <t>clanbeat.com</t>
        </is>
      </c>
      <c r="G1113" s="1" t="inlineStr">
        <is>
          <t>Clanbeat is a student's wellbeing solution with social learners communities.</t>
        </is>
      </c>
      <c r="H1113" s="1" t="inlineStr">
        <is>
          <t>EdTech Estonia</t>
        </is>
      </c>
      <c r="I1113" s="1" t="n"/>
      <c r="J1113" s="1" t="inlineStr">
        <is>
          <t>Tallinn</t>
        </is>
      </c>
      <c r="K1113" t="inlineStr">
        <is>
          <t>Tallinn</t>
        </is>
      </c>
      <c r="L1113" t="inlineStr">
        <is>
          <t>Tallinn, Estonia</t>
        </is>
      </c>
      <c r="M1113" t="n">
        <v>59.437242</v>
      </c>
      <c r="N1113" t="n">
        <v>24.7572693</v>
      </c>
      <c r="O1113" s="1" t="inlineStr">
        <is>
          <t>Estonia</t>
        </is>
      </c>
      <c r="P1113" s="1" t="inlineStr">
        <is>
          <t>Estonia, Finland, France, Georgia, Germany, Netherlands, Spain, Sweden, Turkey, United Kingdom</t>
        </is>
      </c>
      <c r="Q1113" s="1" t="inlineStr">
        <is>
          <t>0 to 10</t>
        </is>
      </c>
      <c r="R1113" t="inlineStr">
        <is>
          <t>Micro</t>
        </is>
      </c>
      <c r="S1113" s="1" t="inlineStr">
        <is>
          <t>Business to Business, Business to Consumer</t>
        </is>
      </c>
      <c r="T1113" s="1" t="inlineStr">
        <is>
          <t>Secondary Education, Higher Education</t>
        </is>
      </c>
      <c r="U1113" s="1" t="inlineStr">
        <is>
          <t>Student interfacing, Teacher interfacing</t>
        </is>
      </c>
      <c r="V1113" s="10" t="inlineStr">
        <is>
          <t>Clanbeat</t>
        </is>
      </c>
      <c r="W1113" s="10" t="inlineStr">
        <is>
          <t>Clanbeat provides a positive cycle of planning, acting and reflecting to support the self-directed learning and well-being of students. And monitors how students feel, perform and learn. Impact comes, in addition to developing positive habits and good relationship with themselves and their peers also from reflecting the data back in the form of insights for improvement. The end result is a solution that supports and motivates each student to nurture his or her passions, make connections between different learning experiences and opportunities - to design their own learning and processes in collaboration with others.</t>
        </is>
      </c>
      <c r="X1113" s="10" t="inlineStr">
        <is>
          <t>https://drive.google.com/uc?export=view&amp;id=1yqo5yj5FlZY6wmuVmyMVJhT1ADnV2kAV</t>
        </is>
      </c>
      <c r="Y1113" t="inlineStr">
        <is>
          <t>https://drive.google.com/uc?export=view&amp;id=1yqo5yj5FlZY6wmuVmyMVJhT1ADnV2kAV</t>
        </is>
      </c>
      <c r="Z1113" s="1" t="inlineStr">
        <is>
          <t>https://drive.google.com/uc?export=view&amp;id=1yqo5yj5FlZY6wmuVmyMVJhT1ADnV2kAV</t>
        </is>
      </c>
      <c r="AA1113" s="1" t="inlineStr">
        <is>
          <t>Unverified</t>
        </is>
      </c>
      <c r="AB1113" s="1" t="n"/>
      <c r="AC1113" s="1" t="n"/>
      <c r="AD1113" s="10" t="n"/>
      <c r="AE1113" s="1" t="n"/>
      <c r="AF1113" t="inlineStr">
        <is>
          <t>Yes</t>
        </is>
      </c>
      <c r="AG1113" t="inlineStr">
        <is>
          <t>https://instagram.com/clanbeat</t>
        </is>
      </c>
      <c r="AH1113" t="inlineStr">
        <is>
          <t>https://twitter.com/ClanbeatApp</t>
        </is>
      </c>
      <c r="AI1113" t="inlineStr">
        <is>
          <t>https://www.linkedin.com/company/clanbeat-education/</t>
        </is>
      </c>
    </row>
    <row r="1114" ht="12.5" customHeight="1">
      <c r="A1114" s="6" t="n">
        <v>45181</v>
      </c>
      <c r="B1114" s="1" t="inlineStr">
        <is>
          <t>ORG_1305</t>
        </is>
      </c>
      <c r="C1114" s="1" t="b">
        <v>1</v>
      </c>
      <c r="D1114" s="1" t="inlineStr">
        <is>
          <t>courseticket</t>
        </is>
      </c>
      <c r="E1114" s="10" t="inlineStr">
        <is>
          <t>https://join.courseticket.com</t>
        </is>
      </c>
      <c r="F1114" t="inlineStr">
        <is>
          <t>join.courseticket.com</t>
        </is>
      </c>
      <c r="G1114" s="1" t="inlineStr">
        <is>
          <t>Building the next generation of Learning Experience Platforms: The first customizable white label platform that enables "Business-to-Employee", "Business-to-Customer" &amp; "Business-to-Business-to-Employee" booking processes and allows "Self-driven", "Supervised" &amp; "Collaborative" learning experiences.
Serving international clients with highly customizable next-generation L&amp;D platforms as SaaS or white labeled. Focusing on R&amp;D in skills alignment &amp; artificial intelligence and predictive analytics for next-generation learning platforms with e-commerce capabilities.</t>
        </is>
      </c>
      <c r="H1114" s="1" t="inlineStr">
        <is>
          <t>EdTech Austria</t>
        </is>
      </c>
      <c r="I1114" s="1" t="n"/>
      <c r="J1114" s="1" t="inlineStr">
        <is>
          <t>Liechtensteinstraße 111-115</t>
        </is>
      </c>
      <c r="L1114" t="inlineStr">
        <is>
          <t>Liechtensteinstraße 111-115, Austria</t>
        </is>
      </c>
      <c r="O1114" s="1" t="inlineStr">
        <is>
          <t>Austria</t>
        </is>
      </c>
      <c r="P1114" s="1" t="inlineStr">
        <is>
          <t>Austria, Germany, Spain, Switzerland, United Kingdom</t>
        </is>
      </c>
      <c r="Q1114" s="1" t="inlineStr">
        <is>
          <t>11 to 50</t>
        </is>
      </c>
      <c r="R1114" t="inlineStr">
        <is>
          <t>Small</t>
        </is>
      </c>
      <c r="S1114" s="1" t="inlineStr">
        <is>
          <t>Business to Business, Business to Consumer</t>
        </is>
      </c>
      <c r="T1114" s="1" t="inlineStr">
        <is>
          <t>Corporate Training, Lifelong learning/Adult education</t>
        </is>
      </c>
      <c r="U1114" s="1" t="inlineStr">
        <is>
          <t>System/Administrative</t>
        </is>
      </c>
      <c r="V1114" s="1" t="inlineStr">
        <is>
          <t>customizable LXP for B2C, B2E &amp; B2B2E</t>
        </is>
      </c>
      <c r="W1114" s="1" t="inlineStr">
        <is>
          <t>Building the next generation of Learning Experience Platforms: The first customizable white label platform that enables "Business-to-Employee", "Business-to-Customer" &amp; "Business-to-Business-to-Employee" booking processes and allows "Self-driven", "Supervised" &amp; "Collaborative" learning experiences.</t>
        </is>
      </c>
      <c r="X1114" s="10" t="inlineStr">
        <is>
          <t>https://drive.google.com/uc?export=view&amp;id=1E7_a2TFwuEiwZQCppHPJYOnjJupGZQ47</t>
        </is>
      </c>
      <c r="Y1114" t="inlineStr">
        <is>
          <t>https://drive.google.com/uc?export=view&amp;id=1E7_a2TFwuEiwZQCppHPJYOnjJupGZQ47</t>
        </is>
      </c>
      <c r="Z1114" s="1" t="inlineStr">
        <is>
          <t>https://drive.google.com/uc?export=view&amp;id=1E7_a2TFwuEiwZQCppHPJYOnjJupGZQ47</t>
        </is>
      </c>
      <c r="AA1114" s="1" t="inlineStr">
        <is>
          <t>Unverified</t>
        </is>
      </c>
      <c r="AB1114" s="1" t="n"/>
      <c r="AC1114" s="1" t="n"/>
      <c r="AD1114" s="10" t="n"/>
      <c r="AE1114" s="1" t="n"/>
      <c r="AF1114" t="inlineStr">
        <is>
          <t>Yes</t>
        </is>
      </c>
      <c r="AG1114" t="inlineStr">
        <is>
          <t>https://www.linkedin.com/company/courseticket-com</t>
        </is>
      </c>
      <c r="AH1114" t="inlineStr">
        <is>
          <t>https://www.linkedin.com/company/courseticket-com</t>
        </is>
      </c>
      <c r="AI1114" t="inlineStr">
        <is>
          <t>https://www.linkedin.com/company/courseticket-com</t>
        </is>
      </c>
    </row>
    <row r="1115" ht="12.5" customHeight="1">
      <c r="A1115" s="6" t="n">
        <v>45181</v>
      </c>
      <c r="B1115" s="1" t="inlineStr">
        <is>
          <t>ORG_1320</t>
        </is>
      </c>
      <c r="C1115" s="1" t="b">
        <v>1</v>
      </c>
      <c r="D1115" s="1" t="inlineStr">
        <is>
          <t>CyberEDU</t>
        </is>
      </c>
      <c r="E1115" s="10" t="inlineStr">
        <is>
          <t>https://cyberedu.ro/</t>
        </is>
      </c>
      <c r="F1115" t="inlineStr">
        <is>
          <t>cyberedu.ro</t>
        </is>
      </c>
      <c r="G1115" s="1" t="inlineStr">
        <is>
          <t>CyberEDU uniquely bridges the gap between theory and practice, differentiating the experience from the standard cybersecurity learning journey. CyberEDU’s mission is to be an active booster in increasing and improving cybersecurity skills worldwide, by supporting individuals--as well as companies and universities--to learn practical cybersecurity using exercises inspired by real-life scenarios.</t>
        </is>
      </c>
      <c r="H1115" s="1" t="inlineStr">
        <is>
          <t>I'm not part of any EdTech association</t>
        </is>
      </c>
      <c r="I1115" s="1" t="n"/>
      <c r="J1115" s="1" t="inlineStr">
        <is>
          <t>Bucharest</t>
        </is>
      </c>
      <c r="K1115" t="inlineStr">
        <is>
          <t>Bucharest</t>
        </is>
      </c>
      <c r="L1115" t="inlineStr">
        <is>
          <t>Bucharest, Romania</t>
        </is>
      </c>
      <c r="M1115" t="n">
        <v>44.4361414</v>
      </c>
      <c r="N1115" t="n">
        <v>26.102684</v>
      </c>
      <c r="O1115" s="1" t="inlineStr">
        <is>
          <t>Romania</t>
        </is>
      </c>
      <c r="P1115" s="1" t="inlineStr">
        <is>
          <t>Romania</t>
        </is>
      </c>
      <c r="Q1115" s="1" t="inlineStr">
        <is>
          <t>0 to 10</t>
        </is>
      </c>
      <c r="R1115" t="inlineStr">
        <is>
          <t>Micro</t>
        </is>
      </c>
      <c r="S1115" s="1" t="inlineStr">
        <is>
          <t>Business to Business, Business to Consumer</t>
        </is>
      </c>
      <c r="T1115" s="1" t="inlineStr">
        <is>
          <t>Higher Education, Corporate Training</t>
        </is>
      </c>
      <c r="U1115" s="1" t="inlineStr">
        <is>
          <t>Student interfacing, Teacher interfacing, System/Administrative</t>
        </is>
      </c>
      <c r="V1115" s="1" t="n"/>
      <c r="W1115" s="1" t="inlineStr">
        <is>
          <t>https://drive.google.com/uc?export=view&amp;id=1Me2Yr-3JYg0rlFMKUX5LvwSPSsVm8rin</t>
        </is>
      </c>
      <c r="X1115" s="1" t="inlineStr">
        <is>
          <t>https://drive.google.com/uc?export=view&amp;id=1Me2Yr-3JYg0rlFMKUX5LvwSPSsVm8rin</t>
        </is>
      </c>
      <c r="Y1115" t="inlineStr">
        <is>
          <t>https://drive.google.com/uc?export=view&amp;id=1Me2Yr-3JYg0rlFMKUX5LvwSPSsVm8rin</t>
        </is>
      </c>
      <c r="Z1115" s="1" t="inlineStr">
        <is>
          <t>https://drive.google.com/uc?export=view&amp;id=1Me2Yr-3JYg0rlFMKUX5LvwSPSsVm8rin</t>
        </is>
      </c>
      <c r="AA1115" s="1" t="inlineStr">
        <is>
          <t>Unverified</t>
        </is>
      </c>
      <c r="AB1115" s="1" t="n"/>
      <c r="AC1115" s="1" t="n"/>
      <c r="AD1115" s="10" t="n"/>
      <c r="AE1115" s="1" t="n"/>
      <c r="AF1115" t="inlineStr">
        <is>
          <t>No</t>
        </is>
      </c>
    </row>
    <row r="1116" ht="12.5" customHeight="1">
      <c r="A1116" s="6" t="n">
        <v>45181</v>
      </c>
      <c r="B1116" s="1" t="inlineStr">
        <is>
          <t>ORG_1353</t>
        </is>
      </c>
      <c r="C1116" s="1" t="b">
        <v>1</v>
      </c>
      <c r="D1116" s="1" t="inlineStr">
        <is>
          <t>Digiexam</t>
        </is>
      </c>
      <c r="E1116" s="10" t="inlineStr">
        <is>
          <t>https://www.digiexam.com/</t>
        </is>
      </c>
      <c r="F1116" t="inlineStr">
        <is>
          <t>digiexam.com</t>
        </is>
      </c>
      <c r="G1116" s="1" t="inlineStr">
        <is>
          <t>Digiexam is an examination platform, built out of Sweden, with over a decade of experience. 
We focus on security, reliability, and ease of use to ensure the highest academic integrity and a world-class user experience for our users. Our unique and robust platform is built on proprietary technology, which enables us to offer the most secure lock-down environment in our application, for your most important exams in both BYOD and managed environments. 
Our customers can be found within Higher Education, K12, Professional and awarding bodies. All praise our customer support, flexibility and ease of use, which helps drive exceptional adoption.</t>
        </is>
      </c>
      <c r="H1116" s="1" t="inlineStr">
        <is>
          <t>Swedish EdTech Industry</t>
        </is>
      </c>
      <c r="I1116" s="1" t="n"/>
      <c r="J1116" s="1" t="inlineStr">
        <is>
          <t>Stockholm</t>
        </is>
      </c>
      <c r="K1116" t="inlineStr">
        <is>
          <t>Stockholm</t>
        </is>
      </c>
      <c r="L1116" t="inlineStr">
        <is>
          <t>Stockholm, Sweden</t>
        </is>
      </c>
      <c r="M1116" t="n">
        <v>59.3251172</v>
      </c>
      <c r="N1116" t="n">
        <v>18.0710935</v>
      </c>
      <c r="O1116" s="1" t="inlineStr">
        <is>
          <t>Sweden</t>
        </is>
      </c>
      <c r="P1116" s="1" t="inlineStr">
        <is>
          <t>Finland, Germany, Iceland, Latvia, Sweden, United Kingdom</t>
        </is>
      </c>
      <c r="Q1116" s="1" t="inlineStr">
        <is>
          <t>11 to 50</t>
        </is>
      </c>
      <c r="R1116" t="inlineStr">
        <is>
          <t>Small</t>
        </is>
      </c>
      <c r="S1116" s="1" t="inlineStr">
        <is>
          <t>Business to Business, Business to Consumer, Business to Government, Business to Schools</t>
        </is>
      </c>
      <c r="T1116" s="1" t="inlineStr">
        <is>
          <t>Secondary Education, Higher Education, Corporate Training</t>
        </is>
      </c>
      <c r="U1116" s="1" t="inlineStr">
        <is>
          <t>Teacher interfacing, System/Administrative</t>
        </is>
      </c>
      <c r="V1116" s="1" t="inlineStr">
        <is>
          <t>Digiexam Exam Platform</t>
        </is>
      </c>
      <c r="W1116" s="10" t="inlineStr">
        <is>
          <t>Digiexam is an end-to-end exam platform enabling institutions to create, set up, start, distribute and grade exams. Students take the exam in a lock-down application with offline functionality and auto-saving of the produced answers. The platform is designed as a hybrid solution with an administrator web application and a lock-down application for students connected and packaged as a cloud service. The platform runs on iPads, Mac, Windows, and managed Chromebooks.</t>
        </is>
      </c>
      <c r="X1116" s="10" t="inlineStr">
        <is>
          <t>Digiexam Online Proctoring</t>
        </is>
      </c>
      <c r="Y1116" t="inlineStr">
        <is>
          <t>Digiexam’s online proctoring solution is an add-on integrated into the platform. It is used to run remote exams where security is crucial. Together with the lock-down application for students, proctoring adds monitoring through the camera, screen recording and automated algorithms to track and warn of misconduct, all fully automated. The solution produces a credibility report so institutions can assess the full performance of students. Institutions can also choose from various settings to accommodate their specific needs (GDPR) and proctoring setup.</t>
        </is>
      </c>
      <c r="Z1116" s="1" t="inlineStr">
        <is>
          <t>https://drive.google.com/uc?export=view&amp;id=1qvs908scc6Aal-klOcbuahuWnTu1LdLs</t>
        </is>
      </c>
      <c r="AA1116" s="1" t="inlineStr">
        <is>
          <t>Unverified</t>
        </is>
      </c>
      <c r="AB1116" s="1" t="n"/>
      <c r="AC1116" s="1" t="n"/>
      <c r="AD1116" s="10" t="n"/>
      <c r="AE1116" s="1" t="n"/>
      <c r="AF1116" s="1" t="inlineStr">
        <is>
          <t>Yes</t>
        </is>
      </c>
      <c r="AG1116" s="1" t="inlineStr">
        <is>
          <t>https://twitter.com/DigiExam</t>
        </is>
      </c>
      <c r="AH1116" s="1" t="inlineStr">
        <is>
          <t>https://twitter.com/DigiExam</t>
        </is>
      </c>
      <c r="AI1116" s="1" t="inlineStr">
        <is>
          <t>https://www.linkedin.com/company/digiexams</t>
        </is>
      </c>
      <c r="AJ1116" s="1" t="n"/>
    </row>
    <row r="1117" ht="12.5" customHeight="1">
      <c r="A1117" s="6" t="n">
        <v>45181</v>
      </c>
      <c r="B1117" s="1" t="inlineStr">
        <is>
          <t>ORG_1430</t>
        </is>
      </c>
      <c r="C1117" s="1" t="b">
        <v>1</v>
      </c>
      <c r="D1117" s="1" t="inlineStr">
        <is>
          <t>Education Digitale</t>
        </is>
      </c>
      <c r="E1117" s="10" t="inlineStr">
        <is>
          <t>https://www.educationdigitale.com/</t>
        </is>
      </c>
      <c r="F1117" t="inlineStr">
        <is>
          <t>educationdigitale.com</t>
        </is>
      </c>
      <c r="G1117" s="1" t="inlineStr">
        <is>
          <t>Éducation Digitale is a content production, training, and consulting company aiming to transform learning experiences. 
Our ambition is to democratize the uses of digital technologies to make them understandable and accessible to everyone.
We support our customers through their digital transformation, their professional development, and the adoption of new digital practices.
We respond to the need for innovation while integrating the challenges of a constantly changing society: digital gaps, accelerated business transformation, gender equity, better inclusion, development of 21st-century skills...
We believe in reasoned and responsible digital technology, source of benefits and new opportunities for everyone, and able to help each citizen in his daily life.</t>
        </is>
      </c>
      <c r="H1117" s="1" t="inlineStr">
        <is>
          <t>EdTech France</t>
        </is>
      </c>
      <c r="I1117" s="1" t="n"/>
      <c r="J1117" s="1" t="inlineStr">
        <is>
          <t>Paris</t>
        </is>
      </c>
      <c r="K1117" t="inlineStr">
        <is>
          <t>Paris</t>
        </is>
      </c>
      <c r="L1117" t="inlineStr">
        <is>
          <t>Paris, France</t>
        </is>
      </c>
      <c r="M1117" t="n">
        <v>48.8534951</v>
      </c>
      <c r="N1117" t="n">
        <v>2.3483915</v>
      </c>
      <c r="O1117" s="1" t="inlineStr">
        <is>
          <t>France</t>
        </is>
      </c>
      <c r="P1117" s="1" t="inlineStr">
        <is>
          <t>Belgium, France, Monaco</t>
        </is>
      </c>
      <c r="Q1117" s="1" t="inlineStr">
        <is>
          <t>0 to 10</t>
        </is>
      </c>
      <c r="R1117" t="inlineStr">
        <is>
          <t>Micro</t>
        </is>
      </c>
      <c r="S1117" s="1" t="inlineStr">
        <is>
          <t>Business to Business, Business to Consumer, Business to Government, Business to Schools</t>
        </is>
      </c>
      <c r="T1117" s="1" t="inlineStr">
        <is>
          <t>Primary Education, Secondary Education, Higher Education, Corporate Training, Lifelong learning/Adult education</t>
        </is>
      </c>
      <c r="U1117" s="1" t="inlineStr">
        <is>
          <t>Student interfacing, Teacher interfacing</t>
        </is>
      </c>
      <c r="V1117" s="1" t="inlineStr">
        <is>
          <t>Training</t>
        </is>
      </c>
      <c r="W1117" s="1" t="inlineStr">
        <is>
          <t>We support and train teaching professionals, practitioners, and all employees to use new technologies in their practices. 
We help our customers developing new digital uses: collaboration, immersive learning (3D, Virtual Reality, Augmented Reality) and many more. From change management to training we can support your digital journey in many ways to ensure its success.</t>
        </is>
      </c>
      <c r="X1117" s="10" t="inlineStr">
        <is>
          <t>Design of new learning experiences</t>
        </is>
      </c>
      <c r="Y1117" t="inlineStr">
        <is>
          <t>We create content and new learning experiences tailored to our customers' specific audiences.
We can develop learning content under many formats, designed for general use or related to one particular topic or subject. We can create immersive learning environments using XR, enhance visitors' experience (for museums &amp; cultural institutions), produce pedagogical textbooks, and many more.</t>
        </is>
      </c>
      <c r="Z1117" s="1" t="inlineStr">
        <is>
          <t>https://drive.google.com/uc?export=view&amp;id=1FYhDkLHvQycAP3E_b1nxIpFuP9FrvfVp</t>
        </is>
      </c>
      <c r="AA1117" s="1" t="inlineStr">
        <is>
          <t>Unverified</t>
        </is>
      </c>
      <c r="AB1117" s="1" t="n"/>
      <c r="AC1117" s="1" t="n"/>
      <c r="AD1117" s="10" t="n"/>
      <c r="AE1117" s="1" t="n"/>
      <c r="AF1117" s="1" t="inlineStr">
        <is>
          <t>Yes</t>
        </is>
      </c>
      <c r="AG1117" s="1" t="inlineStr">
        <is>
          <t>https://www.linkedin.com/company/%C3%A9ducation-digitale/</t>
        </is>
      </c>
      <c r="AH1117" s="1" t="inlineStr">
        <is>
          <t>@educationdigi</t>
        </is>
      </c>
      <c r="AI1117" t="inlineStr">
        <is>
          <t>https://www.linkedin.com/company/%C3%A9ducation-digitale/</t>
        </is>
      </c>
    </row>
    <row r="1118" ht="12.5" customHeight="1">
      <c r="A1118" s="6" t="n">
        <v>45181</v>
      </c>
      <c r="B1118" s="1" t="inlineStr">
        <is>
          <t>ORG_1447</t>
        </is>
      </c>
      <c r="C1118" s="1" t="b">
        <v>1</v>
      </c>
      <c r="D1118" s="1" t="inlineStr">
        <is>
          <t>Edulinxs Club</t>
        </is>
      </c>
      <c r="E1118" s="10" t="inlineStr">
        <is>
          <t>www.edulinxs.club</t>
        </is>
      </c>
      <c r="F1118" t="inlineStr">
        <is>
          <t>edulinxs.club</t>
        </is>
      </c>
      <c r="G1118" s="1" t="inlineStr">
        <is>
          <t>Edulinxs Club offers an online preschool learning program for 3-4-year-olds. This includes lesson plans, activity printables and also recorded circle time sessions for children to interact with as well as guidance for parents and educators.</t>
        </is>
      </c>
      <c r="H1118" s="1" t="inlineStr">
        <is>
          <t>I'm not part of any EdTech association</t>
        </is>
      </c>
      <c r="I1118" s="1" t="n"/>
      <c r="J1118" s="1" t="inlineStr">
        <is>
          <t>London</t>
        </is>
      </c>
      <c r="K1118" t="inlineStr">
        <is>
          <t>London</t>
        </is>
      </c>
      <c r="L1118" t="inlineStr">
        <is>
          <t>London, United Kingdom</t>
        </is>
      </c>
      <c r="M1118" t="n">
        <v>51.5074456</v>
      </c>
      <c r="N1118" t="n">
        <v>-0.1277653</v>
      </c>
      <c r="O1118" s="1" t="inlineStr">
        <is>
          <t>United Kingdom</t>
        </is>
      </c>
      <c r="P1118" s="1" t="inlineStr">
        <is>
          <t>United Kingdom</t>
        </is>
      </c>
      <c r="Q1118" s="1" t="inlineStr">
        <is>
          <t>0 to 10</t>
        </is>
      </c>
      <c r="R1118" t="inlineStr">
        <is>
          <t>Micro</t>
        </is>
      </c>
      <c r="S1118" s="1" t="inlineStr">
        <is>
          <t>Business to Business, Business to Consumer, Business to Government, Business to Schools</t>
        </is>
      </c>
      <c r="T1118" s="1" t="inlineStr">
        <is>
          <t>Early childhood development (0-5 years)</t>
        </is>
      </c>
      <c r="U1118" s="1" t="inlineStr">
        <is>
          <t>System/Administrative, Student interfacing, Teacher interfacing</t>
        </is>
      </c>
      <c r="V1118" s="1" t="n"/>
      <c r="W1118" s="1" t="inlineStr">
        <is>
          <t>https://drive.google.com/uc?export=view&amp;id=1MdHnXnvnuV6XXcjUrsDFZIiG1ls7L_dM</t>
        </is>
      </c>
      <c r="X1118" s="1" t="inlineStr">
        <is>
          <t>https://drive.google.com/uc?export=view&amp;id=1MdHnXnvnuV6XXcjUrsDFZIiG1ls7L_dM</t>
        </is>
      </c>
      <c r="Y1118" t="inlineStr">
        <is>
          <t>https://drive.google.com/uc?export=view&amp;id=1MdHnXnvnuV6XXcjUrsDFZIiG1ls7L_dM</t>
        </is>
      </c>
      <c r="Z1118" s="1" t="inlineStr">
        <is>
          <t>https://drive.google.com/uc?export=view&amp;id=1MdHnXnvnuV6XXcjUrsDFZIiG1ls7L_dM</t>
        </is>
      </c>
      <c r="AA1118" s="1" t="inlineStr">
        <is>
          <t>Unverified</t>
        </is>
      </c>
      <c r="AB1118" s="1" t="n"/>
      <c r="AC1118" s="1" t="n"/>
      <c r="AD1118" s="10" t="n"/>
      <c r="AE1118" s="1" t="n"/>
      <c r="AF1118" s="1" t="inlineStr">
        <is>
          <t>No</t>
        </is>
      </c>
      <c r="AG1118" s="1" t="n"/>
      <c r="AH1118" s="1" t="n"/>
      <c r="AI1118" s="1" t="n"/>
      <c r="AJ1118" s="1" t="n"/>
    </row>
    <row r="1119" ht="12.5" customHeight="1">
      <c r="A1119" s="6" t="n">
        <v>45181</v>
      </c>
      <c r="B1119" s="1" t="inlineStr">
        <is>
          <t>ORG_1467</t>
        </is>
      </c>
      <c r="C1119" s="1" t="b">
        <v>1</v>
      </c>
      <c r="D1119" s="1" t="inlineStr">
        <is>
          <t>Eduxim</t>
        </is>
      </c>
      <c r="E1119" s="10" t="inlineStr">
        <is>
          <t>https://www.eduxim.com</t>
        </is>
      </c>
      <c r="F1119" t="inlineStr">
        <is>
          <t>eduxim.com</t>
        </is>
      </c>
      <c r="G1119" s="1" t="inlineStr">
        <is>
          <t>Eduxim is a competency-based assessment tool that makes teachers' daily lives easier and increases students' chances of success! To achieve these objectives, Eduxim relies on an assessment strategy where the notion of competency is at the heart of learning.</t>
        </is>
      </c>
      <c r="H1119" s="1" t="inlineStr">
        <is>
          <t>EdTech France</t>
        </is>
      </c>
      <c r="I1119" s="1" t="n"/>
      <c r="J1119" s="1" t="inlineStr">
        <is>
          <t>Grenoble</t>
        </is>
      </c>
      <c r="K1119" t="inlineStr">
        <is>
          <t>Grenoble</t>
        </is>
      </c>
      <c r="L1119" t="inlineStr">
        <is>
          <t>Grenoble, France</t>
        </is>
      </c>
      <c r="M1119" t="n">
        <v>45.1875602</v>
      </c>
      <c r="N1119" t="n">
        <v>5.7357819</v>
      </c>
      <c r="O1119" s="1" t="inlineStr">
        <is>
          <t>France</t>
        </is>
      </c>
      <c r="P1119" s="1" t="inlineStr">
        <is>
          <t>France</t>
        </is>
      </c>
      <c r="Q1119" s="1" t="inlineStr">
        <is>
          <t>0 to 10</t>
        </is>
      </c>
      <c r="R1119" t="inlineStr">
        <is>
          <t>Micro</t>
        </is>
      </c>
      <c r="S1119" s="1" t="inlineStr">
        <is>
          <t>Business to Business, Business to Consumer, Business to Government, Business to Schools</t>
        </is>
      </c>
      <c r="T1119" s="1" t="inlineStr">
        <is>
          <t>Primary Education, Secondary Education, Higher Education</t>
        </is>
      </c>
      <c r="U1119" s="1" t="inlineStr">
        <is>
          <t>Student interfacing, Teacher interfacing, System/Administrative</t>
        </is>
      </c>
      <c r="V1119" s="1" t="inlineStr">
        <is>
          <t>Eduxim App</t>
        </is>
      </c>
      <c r="W1119" s="10" t="inlineStr">
        <is>
          <t>For educational teams, managing assessments has never been easier thanks to criteria-based assessment grids. For their part, students can use self-evaluation, consult an individualized skills acquisition report at any time and take stock of their progress throughout the training course.</t>
        </is>
      </c>
      <c r="X1119" s="10" t="inlineStr">
        <is>
          <t>Competency-based assessment Coaching</t>
        </is>
      </c>
      <c r="Y1119" t="inlineStr">
        <is>
          <t>More than a tool, Eduxim is a team of people who are passionate about education and who are fully prepared to support you in driving change and implementing a proven learning method based on pedagogical alignment and skills assessment.</t>
        </is>
      </c>
      <c r="Z1119" s="1" t="inlineStr">
        <is>
          <t>https://drive.google.com/uc?export=view&amp;id=1zwmzypNMh3xWzmnktR4CEVROKUIm4iH4</t>
        </is>
      </c>
      <c r="AA1119" s="1" t="inlineStr">
        <is>
          <t>Unverified</t>
        </is>
      </c>
      <c r="AB1119" s="1" t="n"/>
      <c r="AC1119" s="1" t="n"/>
      <c r="AD1119" s="10" t="n"/>
      <c r="AE1119" s="1" t="n"/>
      <c r="AF1119" s="1" t="inlineStr">
        <is>
          <t>Yes</t>
        </is>
      </c>
      <c r="AG1119" s="1" t="inlineStr">
        <is>
          <t>https://twitter.com/eduximapp</t>
        </is>
      </c>
      <c r="AH1119" s="1" t="inlineStr">
        <is>
          <t>https://twitter.com/eduximapp</t>
        </is>
      </c>
      <c r="AI1119" s="1" t="inlineStr">
        <is>
          <t>https://www.linkedin.com/company/eduxim</t>
        </is>
      </c>
      <c r="AJ1119" s="1" t="n"/>
    </row>
    <row r="1120" ht="12.5" customHeight="1">
      <c r="A1120" s="6" t="n">
        <v>45181</v>
      </c>
      <c r="B1120" s="1" t="inlineStr">
        <is>
          <t>ORG_1477</t>
        </is>
      </c>
      <c r="C1120" s="1" t="b">
        <v>1</v>
      </c>
      <c r="D1120" s="1" t="inlineStr">
        <is>
          <t>EISF</t>
        </is>
      </c>
      <c r="E1120" s="10" t="inlineStr">
        <is>
          <t>www.eisf.fr</t>
        </is>
      </c>
      <c r="F1120" t="inlineStr">
        <is>
          <t>eisf.fr</t>
        </is>
      </c>
      <c r="G1120" s="1" t="inlineStr">
        <is>
          <t>EISF is a native digital training company.
It provides digital training in specifically French manual trades: French cuisine, French pastry, French bakery and chocolate maker.
It gives access to this traditional know-how recognized throughout the world, in French, Chinese and English.
In France, EISF learners successfully pass the state exam. Many of them become great chefs.</t>
        </is>
      </c>
      <c r="H1120" s="1" t="inlineStr">
        <is>
          <t>I'm not part of any EdTech association</t>
        </is>
      </c>
      <c r="I1120" s="1" t="inlineStr">
        <is>
          <t>French, English, Chinese</t>
        </is>
      </c>
      <c r="J1120" s="1" t="inlineStr">
        <is>
          <t>Paris</t>
        </is>
      </c>
      <c r="K1120" t="inlineStr">
        <is>
          <t>Paris</t>
        </is>
      </c>
      <c r="L1120" t="inlineStr">
        <is>
          <t>Paris, France</t>
        </is>
      </c>
      <c r="M1120" t="n">
        <v>48.8534951</v>
      </c>
      <c r="N1120" t="n">
        <v>2.3483915</v>
      </c>
      <c r="O1120" s="1" t="inlineStr">
        <is>
          <t>France</t>
        </is>
      </c>
      <c r="P1120" s="1" t="inlineStr">
        <is>
          <t>Austria, Belgium, France, Germany, Luxembourg, Poland, Spain, Switzerland, United Kingdom</t>
        </is>
      </c>
      <c r="Q1120" s="1" t="inlineStr">
        <is>
          <t>11 to 50</t>
        </is>
      </c>
      <c r="R1120" t="inlineStr">
        <is>
          <t>Small</t>
        </is>
      </c>
      <c r="S1120" s="1" t="inlineStr">
        <is>
          <t>Business to Business, Business to Consumer, Business to Government, Business to Schools</t>
        </is>
      </c>
      <c r="T1120" s="1" t="inlineStr">
        <is>
          <t>Vocational Education and Training (VET)</t>
        </is>
      </c>
      <c r="U1120" s="1" t="inlineStr">
        <is>
          <t>Student interfacing</t>
        </is>
      </c>
      <c r="V1120" s="10" t="inlineStr">
        <is>
          <t>CAP Pâtissier</t>
        </is>
      </c>
      <c r="W1120" s="1" t="inlineStr">
        <is>
          <t>Vocational training to become pastry chef</t>
        </is>
      </c>
      <c r="X1120" s="10" t="inlineStr">
        <is>
          <t>CAP boulanger</t>
        </is>
      </c>
      <c r="Y1120" t="inlineStr">
        <is>
          <t>Vocational training to become baker</t>
        </is>
      </c>
      <c r="Z1120" s="1" t="inlineStr">
        <is>
          <t>https://drive.google.com/uc?export=view&amp;id=1CTWyvYoxaPe_FLOGdKKVjHkGRUZoS9um</t>
        </is>
      </c>
      <c r="AA1120" s="1" t="inlineStr">
        <is>
          <t>Unverified</t>
        </is>
      </c>
      <c r="AB1120" s="1" t="n"/>
      <c r="AC1120" s="1" t="n"/>
      <c r="AD1120" s="10" t="n"/>
      <c r="AE1120" s="1" t="n"/>
      <c r="AF1120" t="inlineStr">
        <is>
          <t>Yes</t>
        </is>
      </c>
      <c r="AG1120" t="inlineStr">
        <is>
          <t>https://www.instagram.com/e_i_s_f/</t>
        </is>
      </c>
      <c r="AH1120" t="inlineStr">
        <is>
          <t>https://www.linkedin.com/company/27158557/admin/feed/posts/?feedType=following</t>
        </is>
      </c>
      <c r="AI1120" t="inlineStr">
        <is>
          <t>https://www.linkedin.com/company/27158557/admin/feed/posts/?feedType=following</t>
        </is>
      </c>
    </row>
    <row r="1121" ht="12.5" customHeight="1">
      <c r="A1121" s="6" t="n">
        <v>45181</v>
      </c>
      <c r="B1121" s="1" t="inlineStr">
        <is>
          <t>ORG_1552</t>
        </is>
      </c>
      <c r="C1121" s="1" t="b">
        <v>1</v>
      </c>
      <c r="D1121" s="1" t="inlineStr">
        <is>
          <t>Farma Leaders Talento</t>
        </is>
      </c>
      <c r="E1121" s="10" t="inlineStr">
        <is>
          <t>https://farmaleaderstalento.com/</t>
        </is>
      </c>
      <c r="F1121" t="inlineStr">
        <is>
          <t>farmaleaderstalento.com</t>
        </is>
      </c>
      <c r="G1121" s="1" t="inlineStr">
        <is>
          <t>Farma Leaders Talento is the biggest Pharmaceutical, Biotechnological and Healthtech professional community in Spain. In that sense, we have a revolutionary master degree specialized in the pharma, biotech and healthtech industry 100% online, based on microlearning approach, Youtube style, with internships assured in the sector! If you want to join the pharmaceutical industry world, we put our 5k members community at your service so you can connect and expand your contact network. You want more? We have our Talent Pool where people can find their dreamed job! And, as We are very dynamic people, we frequently have events, webinars and everything you ever were looking to access to this marvelous sector!</t>
        </is>
      </c>
      <c r="H1121" s="1" t="inlineStr">
        <is>
          <t>I'm not part of any EdTech association</t>
        </is>
      </c>
      <c r="I1121" s="1" t="n"/>
      <c r="J1121" s="1" t="inlineStr">
        <is>
          <t>Valencia</t>
        </is>
      </c>
      <c r="K1121" t="inlineStr">
        <is>
          <t>Valencia</t>
        </is>
      </c>
      <c r="L1121" t="inlineStr">
        <is>
          <t>Valencia, Spain</t>
        </is>
      </c>
      <c r="M1121" t="n">
        <v>39.6819591</v>
      </c>
      <c r="N1121" t="n">
        <v>-0.7654406</v>
      </c>
      <c r="O1121" s="1" t="inlineStr">
        <is>
          <t>Spain</t>
        </is>
      </c>
      <c r="P1121" s="1" t="inlineStr">
        <is>
          <t>Spain</t>
        </is>
      </c>
      <c r="Q1121" s="1" t="inlineStr">
        <is>
          <t>0 to 10</t>
        </is>
      </c>
      <c r="R1121" t="inlineStr">
        <is>
          <t>Micro</t>
        </is>
      </c>
      <c r="S1121" s="1" t="inlineStr">
        <is>
          <t>Business to Business, Business to Consumer, Business to Government, Business to Schools</t>
        </is>
      </c>
      <c r="T1121" s="1" t="inlineStr">
        <is>
          <t>Higher Education</t>
        </is>
      </c>
      <c r="U1121" s="1" t="inlineStr">
        <is>
          <t>Student interfacing</t>
        </is>
      </c>
      <c r="V1121" s="1" t="n"/>
      <c r="W1121" s="1" t="inlineStr">
        <is>
          <t>https://drive.google.com/uc?export=view&amp;id=1lwRkUIaufzIjvDHq6iULrUvrn3WVZ7-i</t>
        </is>
      </c>
      <c r="X1121" s="1" t="inlineStr">
        <is>
          <t>https://drive.google.com/uc?export=view&amp;id=1lwRkUIaufzIjvDHq6iULrUvrn3WVZ7-i</t>
        </is>
      </c>
      <c r="Y1121" t="inlineStr">
        <is>
          <t>https://drive.google.com/uc?export=view&amp;id=1lwRkUIaufzIjvDHq6iULrUvrn3WVZ7-i</t>
        </is>
      </c>
      <c r="Z1121" s="1" t="inlineStr">
        <is>
          <t>https://drive.google.com/uc?export=view&amp;id=1lwRkUIaufzIjvDHq6iULrUvrn3WVZ7-i</t>
        </is>
      </c>
      <c r="AA1121" s="1" t="inlineStr">
        <is>
          <t>Unverified</t>
        </is>
      </c>
      <c r="AB1121" s="1" t="n"/>
      <c r="AC1121" s="1" t="n"/>
      <c r="AD1121" s="10" t="n"/>
      <c r="AE1121" s="1" t="n"/>
      <c r="AF1121" t="inlineStr">
        <is>
          <t>No</t>
        </is>
      </c>
    </row>
    <row r="1122" ht="12.5" customHeight="1">
      <c r="A1122" s="6" t="n">
        <v>45181</v>
      </c>
      <c r="B1122" s="1" t="inlineStr">
        <is>
          <t>ORG_1585</t>
        </is>
      </c>
      <c r="C1122" s="1" t="b">
        <v>1</v>
      </c>
      <c r="D1122" s="1" t="inlineStr">
        <is>
          <t>French Lab</t>
        </is>
      </c>
      <c r="E1122" s="10" t="inlineStr">
        <is>
          <t>https://www.frenchlab.io/</t>
        </is>
      </c>
      <c r="F1122" t="inlineStr">
        <is>
          <t>frenchlab.io</t>
        </is>
      </c>
      <c r="G1122" s="1" t="inlineStr">
        <is>
          <t>French Lab is a French EdTech company providing French courses on Facebook through a Messenger Chatbot. 
Committed to widen access to French language teaching, French Lab explores the most used and accessible digital environment. By using a familiar interface, French Lab chatbot application provides learners easygoing interactions, so that learning French can happen anywhere and everywhere in a fun &amp; interactive way. 
French Lab provides quality &amp; engaging content through messaging apps in order to create learning opportunities for all.</t>
        </is>
      </c>
      <c r="H1122" s="1" t="inlineStr">
        <is>
          <t>AFINEF, EdTech France</t>
        </is>
      </c>
      <c r="I1122" s="1" t="n"/>
      <c r="J1122" s="1" t="inlineStr">
        <is>
          <t>Paris</t>
        </is>
      </c>
      <c r="K1122" t="inlineStr">
        <is>
          <t>Paris</t>
        </is>
      </c>
      <c r="L1122" t="inlineStr">
        <is>
          <t>Paris, France</t>
        </is>
      </c>
      <c r="M1122" t="n">
        <v>48.8534951</v>
      </c>
      <c r="N1122" t="n">
        <v>2.3483915</v>
      </c>
      <c r="O1122" s="1" t="inlineStr">
        <is>
          <t>France</t>
        </is>
      </c>
      <c r="P1122" s="1" t="inlineStr">
        <is>
          <t>France</t>
        </is>
      </c>
      <c r="Q1122" s="1" t="inlineStr">
        <is>
          <t>0 to 10</t>
        </is>
      </c>
      <c r="R1122" t="inlineStr">
        <is>
          <t>Micro</t>
        </is>
      </c>
      <c r="S1122" s="1" t="inlineStr">
        <is>
          <t>Business to Business, Business to Consumer, Business to Schools</t>
        </is>
      </c>
      <c r="T1122" s="1" t="inlineStr">
        <is>
          <t>Secondary Education, Higher Education, Corporate Training, Lifelong learning/Adult education</t>
        </is>
      </c>
      <c r="U1122" s="1" t="inlineStr">
        <is>
          <t>Student interfacing, Teacher interfacing, System/Administrative</t>
        </is>
      </c>
      <c r="V1122" s="1" t="inlineStr">
        <is>
          <t>A Chatbot app to learn French</t>
        </is>
      </c>
      <c r="W1122" s="1" t="inlineStr">
        <is>
          <t>Being based on a messaging app, our chatbot delivers French courses the same way you chat with your tutor. Users can test their initial level, follow a curriculum based on CEFR (Common European Framework for Languages) and track their own progress on a personalized dashboard. 
Using social media as a digital medium, French Lab chatbot app aims at improving access to learning French by offering educational opportunities within one of the most used, accessible and familiar social network.</t>
        </is>
      </c>
      <c r="X1122" s="10" t="inlineStr">
        <is>
          <t>French Lab Platform</t>
        </is>
      </c>
      <c r="Y1122" t="inlineStr">
        <is>
          <t>French Lab platform helps educational stakeholders to follow and analyse the cohorts of students using French Lab chatbot on Facebook. 
Once our chatbot is connected to the Facebook page of your choice, the French Lab platform gives teachers and administrators real-time dashboards so that they can track registrations, students engagement and progress.</t>
        </is>
      </c>
      <c r="Z1122" s="1" t="inlineStr">
        <is>
          <t>https://drive.google.com/uc?export=view&amp;id=10zIFETR9VnCQbzphZqFNUseA67Zdj6UO</t>
        </is>
      </c>
      <c r="AA1122" s="1" t="inlineStr">
        <is>
          <t>Unverified</t>
        </is>
      </c>
      <c r="AB1122" s="1" t="n"/>
      <c r="AC1122" s="1" t="n"/>
      <c r="AD1122" s="10" t="n"/>
      <c r="AE1122" s="1" t="n"/>
      <c r="AF1122" t="inlineStr">
        <is>
          <t>Yes</t>
        </is>
      </c>
      <c r="AG1122" t="inlineStr">
        <is>
          <t>French Lab</t>
        </is>
      </c>
      <c r="AH1122" t="inlineStr">
        <is>
          <t>French Lab</t>
        </is>
      </c>
      <c r="AI1122" t="inlineStr">
        <is>
          <t>https://www.linkedin.com/company/french-lab/?viewAsMember=true</t>
        </is>
      </c>
    </row>
    <row r="1123" ht="12.5" customHeight="1">
      <c r="A1123" s="6" t="n">
        <v>45181</v>
      </c>
      <c r="B1123" s="1" t="inlineStr">
        <is>
          <t>ORG_1662</t>
        </is>
      </c>
      <c r="C1123" s="1" t="b">
        <v>1</v>
      </c>
      <c r="D1123" s="1" t="inlineStr">
        <is>
          <t>halfonse</t>
        </is>
      </c>
      <c r="E1123" s="10" t="inlineStr">
        <is>
          <t>https://halfonse.com</t>
        </is>
      </c>
      <c r="F1123" t="inlineStr">
        <is>
          <t>halfonse.com</t>
        </is>
      </c>
      <c r="G1123" s="1" t="inlineStr">
        <is>
          <t>halfonse is an online platform that facilitates the educational and administrative follow-up of students in companies.
It allows teaching teams to simply visualize the status of students in internships or work-study programs and to identify the issues to support the progress and professional development of students.
By collecting educational data, halfonse allows higher education institutions to strengthen their relationships with companies, maintain links with students and consolidate their training offer.
Thanks to the platform digital assistant, which acts as a trusted third party, students can follow their development progress and refine their professional project. On their side, companies are helped to onboard and welcome their students through managerial contents provided by halfonse. 
The platform gathers schools, students and businesses together to foster professional development and employability.</t>
        </is>
      </c>
      <c r="H1123" s="1" t="inlineStr">
        <is>
          <t>EdTech France</t>
        </is>
      </c>
      <c r="I1123" s="1" t="n"/>
      <c r="J1123" s="1" t="inlineStr">
        <is>
          <t>Lyon</t>
        </is>
      </c>
      <c r="K1123" t="inlineStr">
        <is>
          <t>Lyon</t>
        </is>
      </c>
      <c r="L1123" t="inlineStr">
        <is>
          <t>Lyon, France</t>
        </is>
      </c>
      <c r="M1123" t="n">
        <v>45.7578137</v>
      </c>
      <c r="N1123" t="n">
        <v>4.8320114</v>
      </c>
      <c r="O1123" s="1" t="inlineStr">
        <is>
          <t>France</t>
        </is>
      </c>
      <c r="P1123" s="1" t="inlineStr">
        <is>
          <t>France</t>
        </is>
      </c>
      <c r="Q1123" s="1" t="inlineStr">
        <is>
          <t>0 to 2</t>
        </is>
      </c>
      <c r="R1123" t="inlineStr">
        <is>
          <t>Solo entrepreneur</t>
        </is>
      </c>
      <c r="S1123" s="1" t="inlineStr">
        <is>
          <t>Business to Business, Business to Consumer, Business to Schools</t>
        </is>
      </c>
      <c r="T1123" s="1" t="inlineStr">
        <is>
          <t>Lifelong learning/Adult education, Vocational Education and Training (VET), Higher Education</t>
        </is>
      </c>
      <c r="U1123" s="1" t="inlineStr">
        <is>
          <t>Student interfacing, Teacher interfacing, System/Administrative</t>
        </is>
      </c>
      <c r="V1123" s="1" t="inlineStr">
        <is>
          <t>Internship follow-up</t>
        </is>
      </c>
      <c r="W1123" s="10" t="inlineStr">
        <is>
          <t>- Follow-up survey
- Detection of alerts
- Internship report
- Internship evaluation
- Global vision of student well-being</t>
        </is>
      </c>
      <c r="X1123" s="10" t="inlineStr">
        <is>
          <t>Work-Study training program follow-up</t>
        </is>
      </c>
      <c r="Y1123" t="inlineStr">
        <is>
          <t>- Follow-up survey
- Detection of alerts
- Tracking Points
- Document exchanges
- Global vision of student well-being
Compliant with Work-Study training program obligations</t>
        </is>
      </c>
      <c r="Z1123" s="1" t="inlineStr">
        <is>
          <t>https://drive.google.com/uc?export=view&amp;id=1dhZWAW57pRo4MtrONDpYx4V5CxzN81Gn</t>
        </is>
      </c>
      <c r="AA1123" s="1" t="inlineStr">
        <is>
          <t>Unverified</t>
        </is>
      </c>
      <c r="AB1123" s="1" t="n"/>
      <c r="AC1123" s="1" t="n"/>
      <c r="AD1123" s="10" t="n"/>
      <c r="AE1123" s="1" t="n"/>
      <c r="AF1123" s="1" t="inlineStr">
        <is>
          <t>Yes</t>
        </is>
      </c>
      <c r="AG1123" s="1" t="inlineStr">
        <is>
          <t>https://twitter.com/GetHalfonse</t>
        </is>
      </c>
      <c r="AH1123" s="1" t="inlineStr">
        <is>
          <t>https://twitter.com/GetHalfonse</t>
        </is>
      </c>
      <c r="AI1123" t="inlineStr">
        <is>
          <t>https://www.linkedin.com/company/halfonse</t>
        </is>
      </c>
    </row>
    <row r="1124" ht="12.5" customHeight="1">
      <c r="A1124" s="6" t="n">
        <v>45181</v>
      </c>
      <c r="B1124" s="1" t="inlineStr">
        <is>
          <t>ORG_1672</t>
        </is>
      </c>
      <c r="C1124" s="1" t="b">
        <v>1</v>
      </c>
      <c r="D1124" s="1" t="inlineStr">
        <is>
          <t>HelloWork Group</t>
        </is>
      </c>
      <c r="E1124" s="10" t="inlineStr">
        <is>
          <t>https://www.hellowork-group.com/</t>
        </is>
      </c>
      <c r="F1124" t="inlineStr">
        <is>
          <t>hellowork-group.com</t>
        </is>
      </c>
      <c r="G1124" s="1" t="inlineStr">
        <is>
          <t>HelloWork Group is the leading digital player in France for employment, recruitment and training, supports workers throughout their professional life, and companies, recruitment consultants and trainers in their HR challenges and recruitment, and helps training centres/schools develop their training products. 
HelloWork Group builds 2 Edtech platforms :
•	the professional training platform MaFormation.fr
•	the platform for guidance in higher education Diplomeo.com
In 2021, those 2 platforms have brought more than 1 million of French people together with training organisations, schools or university students and staff.</t>
        </is>
      </c>
      <c r="H1124" s="1" t="inlineStr">
        <is>
          <t>EdTech France</t>
        </is>
      </c>
      <c r="I1124" s="1" t="n"/>
      <c r="J1124" s="1" t="inlineStr">
        <is>
          <t>Rennes</t>
        </is>
      </c>
      <c r="K1124" t="inlineStr">
        <is>
          <t>Rennes</t>
        </is>
      </c>
      <c r="L1124" t="inlineStr">
        <is>
          <t>Rennes, France</t>
        </is>
      </c>
      <c r="M1124" t="n">
        <v>48.1113387</v>
      </c>
      <c r="N1124" t="n">
        <v>-1.6800198</v>
      </c>
      <c r="O1124" s="1" t="inlineStr">
        <is>
          <t>France</t>
        </is>
      </c>
      <c r="P1124" s="1" t="inlineStr">
        <is>
          <t>France</t>
        </is>
      </c>
      <c r="Q1124" s="1" t="inlineStr">
        <is>
          <t>100+</t>
        </is>
      </c>
      <c r="R1124" t="inlineStr">
        <is>
          <t>Medium or Large (unspecified)</t>
        </is>
      </c>
      <c r="S1124" s="1" t="inlineStr">
        <is>
          <t>Business to Business, Business to Consumer, Business to Schools</t>
        </is>
      </c>
      <c r="T1124" s="1" t="inlineStr">
        <is>
          <t>Higher Education, Corporate Training, Lifelong learning/Adult education</t>
        </is>
      </c>
      <c r="U1124" s="1" t="inlineStr">
        <is>
          <t>System/Administrative, Student interfacing, Teacher interfacing</t>
        </is>
      </c>
      <c r="V1124" s="1" t="inlineStr">
        <is>
          <t>MaFormation.fr</t>
        </is>
      </c>
      <c r="W1124" s="10" t="inlineStr">
        <is>
          <t>- MaFormation, the platform dedicated to professional training -
MaFormation.fr is the first private platform to connect candidates and training organizations in France.
Edited by HelloWork Group, it will have more than 1 million users each month by 2021. As an expert in the sector, MaFormation assists working people in their search for professional training, notably with news on their rights and procedures, as well as trend analyses. In May 2022, nearly 400,000 training courses are available on the platform.</t>
        </is>
      </c>
      <c r="X1124" s="10" t="inlineStr">
        <is>
          <t>Diplomeo</t>
        </is>
      </c>
      <c r="Y1124" t="inlineStr">
        <is>
          <t>- Diplomeo, the platform dedicated to higher education orientation -
Diplomeo is the first platform to connect students and higher education institutions in France. 
Edited by HelloWork Group, the platform accompanies each year more than 40% of high school graduates and their parents in their search for education.
More than 300,000 future students are put in contact each year with the more than 15,000 schools listed on Diplomeo.com
The students can also learn about their future school by discovering photos and videos of the premises and testimonies of current students. Many news about orientation, diplomas or procedures are also proposed.</t>
        </is>
      </c>
      <c r="Z1124" s="10" t="inlineStr">
        <is>
          <t>https://drive.google.com/uc?export=view&amp;id=1y1mKcFMyZQAk-Cu9psKnqN9bF75hOfaL</t>
        </is>
      </c>
      <c r="AA1124" s="1" t="inlineStr">
        <is>
          <t>Unverified</t>
        </is>
      </c>
      <c r="AB1124" s="1" t="n"/>
      <c r="AC1124" s="1" t="n"/>
      <c r="AD1124" s="10" t="n"/>
      <c r="AE1124" s="1" t="n"/>
      <c r="AF1124" s="1" t="inlineStr">
        <is>
          <t>Yes</t>
        </is>
      </c>
      <c r="AG1124" s="1" t="inlineStr">
        <is>
          <t>https://twitter.com/helloworkgroup</t>
        </is>
      </c>
      <c r="AH1124" s="1" t="inlineStr">
        <is>
          <t>https://twitter.com/helloworkgroup</t>
        </is>
      </c>
      <c r="AI1124" t="inlineStr">
        <is>
          <t>https://www.linkedin.com/company/helloworkcom/</t>
        </is>
      </c>
    </row>
    <row r="1125" ht="12.5" customHeight="1">
      <c r="A1125" s="6" t="n">
        <v>45181</v>
      </c>
      <c r="B1125" s="1" t="inlineStr">
        <is>
          <t>ORG_1697</t>
        </is>
      </c>
      <c r="C1125" s="1" t="b">
        <v>1</v>
      </c>
      <c r="D1125" s="1" t="inlineStr">
        <is>
          <t>HYPNOLEDGE</t>
        </is>
      </c>
      <c r="E1125" s="10" t="inlineStr">
        <is>
          <t>www.hypnoledge.com</t>
        </is>
      </c>
      <c r="F1125" t="inlineStr">
        <is>
          <t>hypnoledge.com</t>
        </is>
      </c>
      <c r="G1125" s="1" t="inlineStr">
        <is>
          <t>Founded by psychologist, hypnotherapists and native speakers, Hypnoledge is a Elearning solution to learn foreign languages through hypnosis. The objective is to associate language learning and personal growth/self awareness. Thanks to a unique sensory immersion, the user finds himself in a state of hyperconcentration, deep relaxation that enables to overcome emotional barriers and boost confidence so one can reveal their full potential</t>
        </is>
      </c>
      <c r="H1125" s="1" t="inlineStr">
        <is>
          <t>EdTech France</t>
        </is>
      </c>
      <c r="I1125" s="1" t="n"/>
      <c r="J1125" s="1" t="inlineStr">
        <is>
          <t>Bordeaux</t>
        </is>
      </c>
      <c r="K1125" t="inlineStr">
        <is>
          <t>Bordeaux</t>
        </is>
      </c>
      <c r="L1125" t="inlineStr">
        <is>
          <t>Bordeaux, France</t>
        </is>
      </c>
      <c r="M1125" t="n">
        <v>44.841225</v>
      </c>
      <c r="N1125" t="n">
        <v>-0.5800364</v>
      </c>
      <c r="O1125" s="1" t="inlineStr">
        <is>
          <t>France</t>
        </is>
      </c>
      <c r="P1125" s="1" t="inlineStr">
        <is>
          <t>Belgium, France, Spain, United Kingdom</t>
        </is>
      </c>
      <c r="Q1125" s="1" t="inlineStr">
        <is>
          <t>0 to 10</t>
        </is>
      </c>
      <c r="R1125" t="inlineStr">
        <is>
          <t>Micro</t>
        </is>
      </c>
      <c r="S1125" s="1" t="inlineStr">
        <is>
          <t>Business to Business, Business to Government</t>
        </is>
      </c>
      <c r="T1125" s="1" t="inlineStr">
        <is>
          <t>Primary Education, Secondary Education, Higher Education, Corporate Training, Lifelong learning/Adult education</t>
        </is>
      </c>
      <c r="U1125" s="1" t="inlineStr">
        <is>
          <t>System/Administrative, Student interfacing, Teacher interfacing</t>
        </is>
      </c>
      <c r="V1125" s="10" t="inlineStr">
        <is>
          <t>Languages</t>
        </is>
      </c>
      <c r="W1125" s="1" t="inlineStr">
        <is>
          <t>Our solution is available for french, spanish and english speakers
5 languages available: French, English, Italian, Spanish, German
4 levels Help</t>
        </is>
      </c>
      <c r="X1125" s="10" t="inlineStr">
        <is>
          <t>Soft Skills</t>
        </is>
      </c>
      <c r="Y1125" t="inlineStr">
        <is>
          <t>https://drive.google.com/uc?export=view&amp;id=1pRQ55hCd9YswBOb9F2DHaFOPDkdwbZ54</t>
        </is>
      </c>
      <c r="Z1125" s="1" t="inlineStr">
        <is>
          <t>https://drive.google.com/uc?export=view&amp;id=1pRQ55hCd9YswBOb9F2DHaFOPDkdwbZ54</t>
        </is>
      </c>
      <c r="AA1125" s="1" t="inlineStr">
        <is>
          <t>Unverified</t>
        </is>
      </c>
      <c r="AB1125" s="1" t="n"/>
      <c r="AC1125" s="1" t="n"/>
      <c r="AD1125" s="10" t="n"/>
      <c r="AE1125" s="1" t="n"/>
      <c r="AF1125" s="1" t="inlineStr">
        <is>
          <t>Yes</t>
        </is>
      </c>
      <c r="AG1125" s="1" t="inlineStr">
        <is>
          <t>https://www.instagram.com/hypnoledge/</t>
        </is>
      </c>
      <c r="AH1125" s="1" t="inlineStr">
        <is>
          <t>https://www.linkedin.com/company/hypnoledge</t>
        </is>
      </c>
      <c r="AI1125" t="inlineStr">
        <is>
          <t>https://www.linkedin.com/company/hypnoledge</t>
        </is>
      </c>
    </row>
    <row r="1126" ht="12.5" customHeight="1">
      <c r="A1126" s="6" t="n">
        <v>45181</v>
      </c>
      <c r="B1126" s="1" t="inlineStr">
        <is>
          <t>ORG_1785</t>
        </is>
      </c>
      <c r="C1126" s="1" t="b">
        <v>1</v>
      </c>
      <c r="D1126" s="1" t="inlineStr">
        <is>
          <t>KOBI</t>
        </is>
      </c>
      <c r="E1126" s="10" t="inlineStr">
        <is>
          <t>https://kobiapp.io</t>
        </is>
      </c>
      <c r="F1126" t="inlineStr">
        <is>
          <t>kobiapp.io</t>
        </is>
      </c>
      <c r="G1126" s="1" t="inlineStr">
        <is>
          <t>Hopalai is developing tech (and no-tech) for children who have difficulty learning to read, with a mission to make reading a happy experience for all children. Hopalai's core product is KOBI, a specialised reader app that provides necessary adjustments, guidance, and progress tracking. It is effective, multilingual, user-friendly and beautiful - and promotes a child's intrinsic motivation. KOBI has become a trusted brand and edtech provider in Slovenia and is available globally since 2022.</t>
        </is>
      </c>
      <c r="H1126" s="1" t="inlineStr">
        <is>
          <t>EdTech Slovenia</t>
        </is>
      </c>
      <c r="I1126" s="1" t="inlineStr">
        <is>
          <t>English, Spanish, Slovenian, Dutch</t>
        </is>
      </c>
      <c r="J1126" s="1" t="inlineStr">
        <is>
          <t>Sempeter Pri Novi Gorici</t>
        </is>
      </c>
      <c r="K1126" t="inlineStr">
        <is>
          <t>Sempeter Pri Novi Gorici</t>
        </is>
      </c>
      <c r="L1126" t="inlineStr">
        <is>
          <t>Sempeter Pri Novi Gorici, Slovenia</t>
        </is>
      </c>
      <c r="M1126" t="n">
        <v>45.919334</v>
      </c>
      <c r="N1126" t="n">
        <v>13.6570193</v>
      </c>
      <c r="O1126" s="1" t="inlineStr">
        <is>
          <t>Slovenia</t>
        </is>
      </c>
      <c r="P1126" s="1" t="inlineStr">
        <is>
          <t>Belgium, Germany, Ireland, Italy, Netherlands, Slovenia, Spain, Switzerland, United Kingdom</t>
        </is>
      </c>
      <c r="Q1126" s="1" t="inlineStr">
        <is>
          <t>3 to 5</t>
        </is>
      </c>
      <c r="R1126" t="inlineStr">
        <is>
          <t>Micro</t>
        </is>
      </c>
      <c r="S1126" s="1" t="inlineStr">
        <is>
          <t>Business to Business, Business to Government, Business to Schools</t>
        </is>
      </c>
      <c r="T1126" s="1" t="inlineStr">
        <is>
          <t>Early childhood development (0-5 years), Primary Education</t>
        </is>
      </c>
      <c r="U1126" s="1" t="inlineStr">
        <is>
          <t>System/Administrative, Student interfacing, Teacher interfacing</t>
        </is>
      </c>
      <c r="V1126" s="1" t="inlineStr">
        <is>
          <t>KOBI Helps Children Read</t>
        </is>
      </c>
      <c r="W1126" s="1" t="inlineStr">
        <is>
          <t>KOBI is a premium subscription eReader app for children with dyslexia, ADHD, and those who are looking to improve their reading skills. Our eReader is designed with innovative and proven methods, tested by experts and approved by kids. With over 1 million minutes read in the past year, nearly 97% of our users agree that Kobi is the best eReader for children with learning differences on the market.</t>
        </is>
      </c>
      <c r="X1126" s="1" t="inlineStr">
        <is>
          <t>https://drive.google.com/uc?export=view&amp;id=1DKvbZiSfu6NtenK9icr0BAbJfKvTHPqV</t>
        </is>
      </c>
      <c r="Y1126" t="inlineStr">
        <is>
          <t>https://drive.google.com/uc?export=view&amp;id=1DKvbZiSfu6NtenK9icr0BAbJfKvTHPqV</t>
        </is>
      </c>
      <c r="Z1126" s="1" t="inlineStr">
        <is>
          <t>https://drive.google.com/uc?export=view&amp;id=1DKvbZiSfu6NtenK9icr0BAbJfKvTHPqV</t>
        </is>
      </c>
      <c r="AA1126" s="1" t="inlineStr">
        <is>
          <t>Unverified</t>
        </is>
      </c>
      <c r="AB1126" s="1" t="n"/>
      <c r="AC1126" s="1" t="n"/>
      <c r="AD1126" s="10" t="n"/>
      <c r="AE1126" s="1" t="n"/>
      <c r="AF1126" s="1" t="inlineStr">
        <is>
          <t>No</t>
        </is>
      </c>
      <c r="AG1126" s="1" t="n"/>
      <c r="AH1126" s="1" t="n"/>
      <c r="AI1126" s="1" t="n"/>
      <c r="AJ1126" s="1" t="n"/>
    </row>
    <row r="1127" ht="12.5" customHeight="1">
      <c r="A1127" s="6" t="n">
        <v>45181</v>
      </c>
      <c r="B1127" s="1" t="inlineStr">
        <is>
          <t>ORG_1870</t>
        </is>
      </c>
      <c r="C1127" s="1" t="b">
        <v>1</v>
      </c>
      <c r="D1127" s="1" t="inlineStr">
        <is>
          <t>Liber</t>
        </is>
      </c>
      <c r="E1127" s="10" t="inlineStr">
        <is>
          <t>liber.se</t>
        </is>
      </c>
      <c r="F1127" t="inlineStr">
        <is>
          <t>liber.se</t>
        </is>
      </c>
      <c r="G1127" s="1" t="inlineStr">
        <is>
          <t>Liber is an Educational Publisher serving the Swedish market with printed and digital products from pre-school to Higher Education.</t>
        </is>
      </c>
      <c r="H1127" s="1" t="inlineStr">
        <is>
          <t>Swedish EdTech Industry</t>
        </is>
      </c>
      <c r="I1127" s="1" t="n"/>
      <c r="J1127" s="1" t="inlineStr">
        <is>
          <t>Stockholm</t>
        </is>
      </c>
      <c r="K1127" t="inlineStr">
        <is>
          <t>Stockholm</t>
        </is>
      </c>
      <c r="L1127" t="inlineStr">
        <is>
          <t>Stockholm, Sweden</t>
        </is>
      </c>
      <c r="M1127" t="n">
        <v>59.3251172</v>
      </c>
      <c r="N1127" t="n">
        <v>18.0710935</v>
      </c>
      <c r="O1127" s="1" t="inlineStr">
        <is>
          <t>Sweden</t>
        </is>
      </c>
      <c r="P1127" s="1" t="inlineStr">
        <is>
          <t>Sweden</t>
        </is>
      </c>
      <c r="Q1127" s="1" t="inlineStr">
        <is>
          <t>100+</t>
        </is>
      </c>
      <c r="R1127" t="inlineStr">
        <is>
          <t>Medium or Large (unspecified)</t>
        </is>
      </c>
      <c r="S1127" s="1" t="inlineStr">
        <is>
          <t>Business to Business, Business to Government, Business to Schools</t>
        </is>
      </c>
      <c r="T1127" s="1" t="inlineStr">
        <is>
          <t>Early childhood development (0-5 years), Primary Education, Secondary Education, Higher Education, Corporate Training, Lifelong learning/Adult education</t>
        </is>
      </c>
      <c r="U1127" s="1" t="inlineStr">
        <is>
          <t>Student interfacing, Teacher interfacing, System/Administrative</t>
        </is>
      </c>
      <c r="V1127" s="1" t="inlineStr">
        <is>
          <t>Blended material</t>
        </is>
      </c>
      <c r="W1127" s="1" t="inlineStr">
        <is>
          <t>Liber offers fully digital and/or blended products for all Educational segments and for a large variety of subjects.</t>
        </is>
      </c>
      <c r="X1127" s="10" t="inlineStr">
        <is>
          <t>https://drive.google.com/uc?export=view&amp;id=1Z0cvhsQA8I_GgnDTJ64_s1PQHJUOwCDV</t>
        </is>
      </c>
      <c r="Y1127" t="inlineStr">
        <is>
          <t>https://drive.google.com/uc?export=view&amp;id=1Z0cvhsQA8I_GgnDTJ64_s1PQHJUOwCDV</t>
        </is>
      </c>
      <c r="Z1127" s="1" t="inlineStr">
        <is>
          <t>https://drive.google.com/uc?export=view&amp;id=1Z0cvhsQA8I_GgnDTJ64_s1PQHJUOwCDV</t>
        </is>
      </c>
      <c r="AA1127" s="1" t="inlineStr">
        <is>
          <t>Unverified</t>
        </is>
      </c>
      <c r="AB1127" s="1" t="n"/>
      <c r="AC1127" s="1" t="n"/>
      <c r="AD1127" s="10" t="n"/>
      <c r="AE1127" s="1" t="n"/>
      <c r="AF1127" s="1" t="inlineStr">
        <is>
          <t>Yes</t>
        </is>
      </c>
      <c r="AG1127" s="1" t="inlineStr">
        <is>
          <t>@liber.se</t>
        </is>
      </c>
      <c r="AH1127" s="1" t="inlineStr">
        <is>
          <t>@LiberAB</t>
        </is>
      </c>
      <c r="AI1127" s="1" t="inlineStr">
        <is>
          <t>https://www.linkedin.com/company/liber-ab</t>
        </is>
      </c>
      <c r="AJ1127" s="1" t="n"/>
    </row>
    <row r="1128" ht="12.5" customHeight="1">
      <c r="A1128" s="6" t="n">
        <v>45181</v>
      </c>
      <c r="B1128" s="1" t="inlineStr">
        <is>
          <t>ORG_1872</t>
        </is>
      </c>
      <c r="C1128" s="1" t="b">
        <v>1</v>
      </c>
      <c r="D1128" s="1" t="inlineStr">
        <is>
          <t>Lifeed</t>
        </is>
      </c>
      <c r="E1128" s="10" t="inlineStr">
        <is>
          <t>https://lifeed.io/en/</t>
        </is>
      </c>
      <c r="F1128" t="inlineStr">
        <is>
          <t>lifeed.io/en</t>
        </is>
      </c>
      <c r="G1128" s="1" t="inlineStr">
        <is>
          <t>Lifeed® by LBV is the Education Technology company that has been creating innovative solutions for the development and sustainability of human capital since 2015. Through a proprietary learning method, Life Based Learning®, Lifeed® transforms life transitions and care relationships into opportunities of learning and development of soft skills, which increase up to 35%. Cited by McKinsey &amp; Company as one of the 10 most innovative and inclusive reskilling initiatives in the world, the Lifeed® digital platform is now used by over 30,000 people in 80 companies. Lifeed® is also the first and only Italian company among the 16 rapidly growing disruptive and innovative companies selected by Unreasonable Group to join the Unreasonable Future community, the international program created to help co-plan the future of the world of work.</t>
        </is>
      </c>
      <c r="H1128" s="1" t="inlineStr">
        <is>
          <t>I'm not part of any EdTech association</t>
        </is>
      </c>
      <c r="I1128" s="1" t="n"/>
      <c r="J1128" s="1" t="inlineStr">
        <is>
          <t>Milan</t>
        </is>
      </c>
      <c r="K1128" t="inlineStr">
        <is>
          <t>Milan</t>
        </is>
      </c>
      <c r="L1128" t="inlineStr">
        <is>
          <t>Milan, Italy</t>
        </is>
      </c>
      <c r="M1128" t="n">
        <v>45.4641943</v>
      </c>
      <c r="N1128" t="n">
        <v>9.1896346</v>
      </c>
      <c r="O1128" s="1" t="inlineStr">
        <is>
          <t>Italy</t>
        </is>
      </c>
      <c r="P1128" s="1" t="inlineStr">
        <is>
          <t>Italy, United Kingdom</t>
        </is>
      </c>
      <c r="Q1128" s="1" t="inlineStr">
        <is>
          <t>11 to 50</t>
        </is>
      </c>
      <c r="R1128" t="inlineStr">
        <is>
          <t>Small</t>
        </is>
      </c>
      <c r="S1128" s="1" t="inlineStr">
        <is>
          <t>Business to Business, Business to Government, Business to Schools</t>
        </is>
      </c>
      <c r="T1128" s="1" t="inlineStr">
        <is>
          <t>Corporate Training, Lifelong learning/Adult education</t>
        </is>
      </c>
      <c r="U1128" s="1" t="inlineStr">
        <is>
          <t>System/Administrative, Student interfacing</t>
        </is>
      </c>
      <c r="V1128" s="1" t="n"/>
      <c r="W1128" s="1" t="inlineStr">
        <is>
          <t>https://drive.google.com/uc?export=view&amp;id=14yaaUe2PSEVHUwQi8Zo7gTqTJPpns8xT</t>
        </is>
      </c>
      <c r="X1128" s="1" t="inlineStr">
        <is>
          <t>https://drive.google.com/uc?export=view&amp;id=14yaaUe2PSEVHUwQi8Zo7gTqTJPpns8xT</t>
        </is>
      </c>
      <c r="Y1128" t="inlineStr">
        <is>
          <t>https://drive.google.com/uc?export=view&amp;id=14yaaUe2PSEVHUwQi8Zo7gTqTJPpns8xT</t>
        </is>
      </c>
      <c r="Z1128" s="1" t="inlineStr">
        <is>
          <t>https://drive.google.com/uc?export=view&amp;id=14yaaUe2PSEVHUwQi8Zo7gTqTJPpns8xT</t>
        </is>
      </c>
      <c r="AA1128" s="1" t="inlineStr">
        <is>
          <t>Unverified</t>
        </is>
      </c>
      <c r="AB1128" s="1" t="n"/>
      <c r="AC1128" s="1" t="n"/>
      <c r="AD1128" s="10" t="n"/>
      <c r="AE1128" s="1" t="n"/>
      <c r="AF1128" s="1" t="inlineStr">
        <is>
          <t>No</t>
        </is>
      </c>
      <c r="AG1128" s="1" t="n"/>
      <c r="AH1128" s="1" t="n"/>
    </row>
    <row r="1129" ht="12.5" customHeight="1">
      <c r="A1129" s="6" t="n">
        <v>45181</v>
      </c>
      <c r="B1129" s="1" t="inlineStr">
        <is>
          <t>ORG_1940</t>
        </is>
      </c>
      <c r="C1129" s="1" t="b">
        <v>1</v>
      </c>
      <c r="D1129" s="1" t="inlineStr">
        <is>
          <t>Meek Ventures</t>
        </is>
      </c>
      <c r="E1129" s="10" t="inlineStr">
        <is>
          <t>www.meek.ventures</t>
        </is>
      </c>
      <c r="F1129" t="inlineStr">
        <is>
          <t>meek.ventures</t>
        </is>
      </c>
      <c r="G1129" s="1" t="inlineStr">
        <is>
          <t>Meek is a unique platform and ecosystem where students, entrepreneurs, mentors and investors co-create success stories.
A place to engage with like-minded people who want to set up their start-up dreams, find people or groups with similar ideas, collaborate with businesses, learn and grow. A place for mentors and investors to seek ideas and start-ups to invest in.
Meek provides the capabilities through learning, societies, skills and networks to scale an idea and streamline the entrepreneurial journey.</t>
        </is>
      </c>
      <c r="H1129" s="1" t="inlineStr">
        <is>
          <t>I'm not part of any EdTech association</t>
        </is>
      </c>
      <c r="I1129" s="1" t="n"/>
      <c r="J1129" s="1" t="inlineStr">
        <is>
          <t>Watlington</t>
        </is>
      </c>
      <c r="K1129" t="inlineStr">
        <is>
          <t>Watlington</t>
        </is>
      </c>
      <c r="L1129" t="inlineStr">
        <is>
          <t>Watlington, United Kingdom</t>
        </is>
      </c>
      <c r="M1129" t="n">
        <v>51.6451586</v>
      </c>
      <c r="N1129" t="n">
        <v>-1.0043458</v>
      </c>
      <c r="O1129" s="1" t="inlineStr">
        <is>
          <t>United Kingdom</t>
        </is>
      </c>
      <c r="P1129" s="1" t="inlineStr">
        <is>
          <t>United Kingdom</t>
        </is>
      </c>
      <c r="Q1129" s="1" t="inlineStr">
        <is>
          <t>11 to 50</t>
        </is>
      </c>
      <c r="R1129" t="inlineStr">
        <is>
          <t>Small</t>
        </is>
      </c>
      <c r="S1129" s="1" t="inlineStr">
        <is>
          <t>Business to Business, Business to Government, Business to Schools</t>
        </is>
      </c>
      <c r="T1129" s="1" t="inlineStr">
        <is>
          <t>Higher Education, Corporate Training, Lifelong learning/Adult education</t>
        </is>
      </c>
      <c r="U1129" s="1" t="inlineStr">
        <is>
          <t>Student interfacing, Teacher interfacing, System/Administrative</t>
        </is>
      </c>
      <c r="V1129" s="1" t="n"/>
      <c r="W1129" s="1" t="inlineStr">
        <is>
          <t>https://drive.google.com/uc?export=view&amp;id=1os1Xez8U30hKK1JTpHDUCvcK-LvrRvtg</t>
        </is>
      </c>
      <c r="X1129" s="1" t="inlineStr">
        <is>
          <t>https://drive.google.com/uc?export=view&amp;id=1os1Xez8U30hKK1JTpHDUCvcK-LvrRvtg</t>
        </is>
      </c>
      <c r="Y1129" t="inlineStr">
        <is>
          <t>https://drive.google.com/uc?export=view&amp;id=1os1Xez8U30hKK1JTpHDUCvcK-LvrRvtg</t>
        </is>
      </c>
      <c r="Z1129" s="1" t="inlineStr">
        <is>
          <t>https://drive.google.com/uc?export=view&amp;id=1os1Xez8U30hKK1JTpHDUCvcK-LvrRvtg</t>
        </is>
      </c>
      <c r="AA1129" s="1" t="inlineStr">
        <is>
          <t>Unverified</t>
        </is>
      </c>
      <c r="AB1129" s="1" t="n"/>
      <c r="AC1129" s="1" t="n"/>
      <c r="AD1129" s="10" t="n"/>
      <c r="AE1129" s="1" t="n"/>
      <c r="AF1129" s="1" t="inlineStr">
        <is>
          <t>No</t>
        </is>
      </c>
      <c r="AG1129" s="1" t="n"/>
      <c r="AH1129" s="1" t="n"/>
    </row>
    <row r="1130" ht="12.5" customHeight="1">
      <c r="A1130" s="6" t="n">
        <v>45181</v>
      </c>
      <c r="B1130" s="1" t="inlineStr">
        <is>
          <t>ORG_1963</t>
        </is>
      </c>
      <c r="C1130" s="1" t="b">
        <v>1</v>
      </c>
      <c r="D1130" s="1" t="inlineStr">
        <is>
          <t>Mightifier</t>
        </is>
      </c>
      <c r="E1130" s="10" t="inlineStr">
        <is>
          <t>https://mightifier.com/</t>
        </is>
      </c>
      <c r="F1130" t="inlineStr">
        <is>
          <t>mightifier.com</t>
        </is>
      </c>
      <c r="G1130" s="1" t="inlineStr">
        <is>
          <t>Mightifier is a social-emotional learning and character development company. We provide professional training, SEL curriculum K-12 and self and peer evaluations on personal character development and emotional well-being. 
Using the program regularly improves classroom spirit and creates a strong sense of belonging. There’s less bullying and more positive interactions between students. Also, Mightifier boosts self-awareness – students recognize their own and other’s strengths. Finally, the program also develops language skills and students can evaluate their own and other’s behaviour and communicate more openly.</t>
        </is>
      </c>
      <c r="H1130" s="1" t="inlineStr">
        <is>
          <t>EdTech Finland</t>
        </is>
      </c>
      <c r="I1130" s="1" t="n"/>
      <c r="J1130" s="1" t="inlineStr">
        <is>
          <t>Helsinki</t>
        </is>
      </c>
      <c r="K1130" t="inlineStr">
        <is>
          <t>Helsinki</t>
        </is>
      </c>
      <c r="L1130" t="inlineStr">
        <is>
          <t>Helsinki, Finland</t>
        </is>
      </c>
      <c r="M1130" t="n">
        <v>60.1666204</v>
      </c>
      <c r="N1130" t="n">
        <v>24.9435408</v>
      </c>
      <c r="O1130" s="1" t="inlineStr">
        <is>
          <t>Finland</t>
        </is>
      </c>
      <c r="P1130" s="1" t="inlineStr">
        <is>
          <t>Finland, Malta, United Kingdom</t>
        </is>
      </c>
      <c r="Q1130" s="1" t="inlineStr">
        <is>
          <t>0 to 10</t>
        </is>
      </c>
      <c r="R1130" t="inlineStr">
        <is>
          <t>Micro</t>
        </is>
      </c>
      <c r="S1130" s="1" t="inlineStr">
        <is>
          <t>Business to Business, Business to Schools</t>
        </is>
      </c>
      <c r="T1130" s="1" t="inlineStr">
        <is>
          <t>Early childhood development (0-5 years), Primary Education, Secondary Education</t>
        </is>
      </c>
      <c r="U1130" s="1" t="inlineStr">
        <is>
          <t>Teacher interfacing</t>
        </is>
      </c>
      <c r="V1130" s="1" t="inlineStr">
        <is>
          <t>Mightifier</t>
        </is>
      </c>
      <c r="W1130" s="1" t="inlineStr">
        <is>
          <t>Mightifier program is for K-12 educational institutions. We empower school leaders and teachers to implement SEL with impact in their schools.</t>
        </is>
      </c>
      <c r="X1130" s="1" t="inlineStr">
        <is>
          <t>https://drive.google.com/uc?export=view&amp;id=1BHhnIib2H2NWAc8-XhTTmarNh3YdPwaI</t>
        </is>
      </c>
      <c r="Y1130" t="inlineStr">
        <is>
          <t>https://drive.google.com/uc?export=view&amp;id=1BHhnIib2H2NWAc8-XhTTmarNh3YdPwaI</t>
        </is>
      </c>
      <c r="Z1130" s="1" t="inlineStr">
        <is>
          <t>https://drive.google.com/uc?export=view&amp;id=1BHhnIib2H2NWAc8-XhTTmarNh3YdPwaI</t>
        </is>
      </c>
      <c r="AA1130" s="1" t="inlineStr">
        <is>
          <t>Unverified</t>
        </is>
      </c>
      <c r="AB1130" s="1" t="n"/>
      <c r="AC1130" s="1" t="n"/>
      <c r="AD1130" s="10" t="n"/>
      <c r="AE1130" s="1" t="n"/>
      <c r="AF1130" s="1" t="inlineStr">
        <is>
          <t>Yes</t>
        </is>
      </c>
      <c r="AG1130" s="1" t="n"/>
      <c r="AH1130" s="1" t="n"/>
      <c r="AI1130" t="inlineStr">
        <is>
          <t>Mightifier</t>
        </is>
      </c>
    </row>
    <row r="1131" ht="12.5" customHeight="1">
      <c r="A1131" s="6" t="n">
        <v>45181</v>
      </c>
      <c r="B1131" s="1" t="inlineStr">
        <is>
          <t>ORG_2004</t>
        </is>
      </c>
      <c r="C1131" s="1" t="b">
        <v>1</v>
      </c>
      <c r="D1131" s="1" t="inlineStr">
        <is>
          <t>MY VIRTUAL CLASSROOM</t>
        </is>
      </c>
      <c r="E1131" s="10" t="inlineStr">
        <is>
          <t>https://www.myclassevirtuelle.fr</t>
        </is>
      </c>
      <c r="F1131" t="inlineStr">
        <is>
          <t>myclassevirtuelle.fr</t>
        </is>
      </c>
      <c r="G1131" s="1" t="inlineStr">
        <is>
          <t>Yes, human virtual events where you never get bored exist!
We are your partner to professionalise your virtual training, webinar, and online meeting.
For more than 15 years, we have supported the development of trainers, facilitators, designers, coordinators, and attendees ' skills. Acquire a better posture on online events to offer engaging virtual trainings, get together with webinars, progress with online meetings, unite with seminars.
Focus on substance and animation, we take care of the organisation, design, and facilitation of your online and live events for up to 20,000 people. Available on the main platforms on the market (Teams, Zoom, WebEx, Adobe Connect, Google Meet), in French and English.
Try different training methods ranging from virtual classroom, coaching, codevelopment to immersive learning.
We also offer a platform to manage your events: invitations, self-registration, reminders, easy login, reports, etc.
Do you have a new challenge?
Let's make it real!</t>
        </is>
      </c>
      <c r="H1131" s="1" t="inlineStr">
        <is>
          <t>EdTech France</t>
        </is>
      </c>
      <c r="I1131" s="1" t="n"/>
      <c r="J1131" s="1" t="inlineStr">
        <is>
          <t>Paris</t>
        </is>
      </c>
      <c r="K1131" t="inlineStr">
        <is>
          <t>Paris</t>
        </is>
      </c>
      <c r="L1131" t="inlineStr">
        <is>
          <t>Paris, France</t>
        </is>
      </c>
      <c r="M1131" t="n">
        <v>48.8534951</v>
      </c>
      <c r="N1131" t="n">
        <v>2.3483915</v>
      </c>
      <c r="O1131" s="1" t="inlineStr">
        <is>
          <t>France</t>
        </is>
      </c>
      <c r="P1131" s="1" t="inlineStr">
        <is>
          <t>France, Germany, Switzerland</t>
        </is>
      </c>
      <c r="Q1131" s="1" t="inlineStr">
        <is>
          <t>0 to 10</t>
        </is>
      </c>
      <c r="R1131" t="inlineStr">
        <is>
          <t>Micro</t>
        </is>
      </c>
      <c r="S1131" s="1" t="inlineStr">
        <is>
          <t>Business to Business, Business to Schools</t>
        </is>
      </c>
      <c r="T1131" s="1" t="inlineStr">
        <is>
          <t>Higher Education, Corporate Training, Lifelong learning/Adult education</t>
        </is>
      </c>
      <c r="U1131" s="1" t="inlineStr">
        <is>
          <t>Teacher interfacing, Student interfacing, System/Administrative</t>
        </is>
      </c>
      <c r="V1131" s="1" t="inlineStr">
        <is>
          <t>Training of facilitators - online trainers</t>
        </is>
      </c>
      <c r="W1131" s="10" t="inlineStr">
        <is>
          <t>We train and support your virtual class trainers and webinar facilitators with our proven method based on 5 major skill families and numerous exercises and role plays.</t>
        </is>
      </c>
      <c r="X1131" s="10" t="inlineStr">
        <is>
          <t>Design of virtual classes and webinars</t>
        </is>
      </c>
      <c r="Y1131" t="inlineStr">
        <is>
          <t>From your raw content (docs, face-to-face training, e-learning), we help you to script and develop a real online and live experience. We use our 6-step structuring tool to build memorable sessions.</t>
        </is>
      </c>
      <c r="Z1131" s="1" t="inlineStr">
        <is>
          <t>https://drive.google.com/uc?export=view&amp;id=1klq0uLURnL21FWjhjfpJxJhcnzvpB35Q</t>
        </is>
      </c>
      <c r="AA1131" s="1" t="inlineStr">
        <is>
          <t>Unverified</t>
        </is>
      </c>
      <c r="AB1131" s="1" t="n"/>
      <c r="AC1131" s="1" t="n"/>
      <c r="AD1131" s="10" t="n"/>
      <c r="AE1131" s="1" t="n"/>
      <c r="AF1131" s="1" t="inlineStr">
        <is>
          <t>Yes</t>
        </is>
      </c>
      <c r="AG1131" s="1" t="inlineStr">
        <is>
          <t>https://twitter.com/MyVClassroom</t>
        </is>
      </c>
      <c r="AH1131" s="1" t="inlineStr">
        <is>
          <t>https://twitter.com/MyVClassroom</t>
        </is>
      </c>
      <c r="AI1131" t="inlineStr">
        <is>
          <t>https://www.linkedin.com/company/my-virtual-classroom/</t>
        </is>
      </c>
    </row>
    <row r="1132" ht="12.5" customHeight="1">
      <c r="A1132" s="6" t="n">
        <v>45181</v>
      </c>
      <c r="B1132" s="1" t="inlineStr">
        <is>
          <t>ORG_2042</t>
        </is>
      </c>
      <c r="C1132" s="1" t="b">
        <v>1</v>
      </c>
      <c r="D1132" s="1" t="inlineStr">
        <is>
          <t>NOMAD EDUCATION</t>
        </is>
      </c>
      <c r="E1132" s="10" t="inlineStr">
        <is>
          <t>https://nomadeducation.fr/</t>
        </is>
      </c>
      <c r="F1132" t="inlineStr">
        <is>
          <t>nomadeducation.fr</t>
        </is>
      </c>
      <c r="G1132" s="1" t="inlineStr">
        <is>
          <t>By providing one free app gathering 350 degrees, with no need for internet connexion, we allow every pupil all accross the french speaking african countries to access free quality education, no matter their gender, social level or geographic position. We believe that education can save lives, that's why we chose a universal device (the smartphone), gratuity and a wide range of diplomas. All our contents are written by teachers who want to spread their knowledge wider.
This all makes Nomad Education a unique solution.</t>
        </is>
      </c>
      <c r="H1132" s="1" t="inlineStr">
        <is>
          <t>AFINEF, EdTech France</t>
        </is>
      </c>
      <c r="I1132" s="1" t="n"/>
      <c r="J1132" s="1" t="inlineStr">
        <is>
          <t>Paris</t>
        </is>
      </c>
      <c r="K1132" t="inlineStr">
        <is>
          <t>Paris</t>
        </is>
      </c>
      <c r="L1132" t="inlineStr">
        <is>
          <t>Paris, France</t>
        </is>
      </c>
      <c r="M1132" t="n">
        <v>48.8534951</v>
      </c>
      <c r="N1132" t="n">
        <v>2.3483915</v>
      </c>
      <c r="O1132" s="1" t="inlineStr">
        <is>
          <t>France</t>
        </is>
      </c>
      <c r="P113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132" s="1" t="inlineStr">
        <is>
          <t>11 to 50</t>
        </is>
      </c>
      <c r="R1132" t="inlineStr">
        <is>
          <t>Small</t>
        </is>
      </c>
      <c r="S1132" s="1" t="inlineStr">
        <is>
          <t>Business to Business, Business to Schools</t>
        </is>
      </c>
      <c r="T1132" s="1" t="inlineStr">
        <is>
          <t>Primary Education, Secondary Education, Higher Education</t>
        </is>
      </c>
      <c r="U1132" s="1" t="inlineStr">
        <is>
          <t>System/Administrative, Student interfacing</t>
        </is>
      </c>
      <c r="V1132" s="10" t="inlineStr">
        <is>
          <t>Brevet Bac Sup</t>
        </is>
      </c>
      <c r="W1132" s="10" t="inlineStr">
        <is>
          <t>Here is what caracterizes our free educational app : 
- it is free 
- it is 100% mobile and prevents equipment issues (no need for computer) 
- it is inclusive and addresses a wide range of diplomas : 350+ degrees and diplomas 
- our 10 000+ courses and 150 000+ quizzes are entirely written by French or local teachers 
- it is already used by 1M+ users every year, which acknowledges for our efficient and fluid UX/UI 
- the app is found by pupils / students themselves with no external intervention (parents, teachers), fostering empowerment of young people in their own studies and success 
- Our users say they regained confidence and better grades thanks to the app
- Our content is created by 350 teachers</t>
        </is>
      </c>
      <c r="X1132" s="10" t="inlineStr">
        <is>
          <t>Tests de Français</t>
        </is>
      </c>
      <c r="Y1132" t="inlineStr">
        <is>
          <t>We created one app to help everyone accross the globe to learn french and succeed in their french tests (DELF B1, B2, TCF, TEF and TFI) so that they can study or work in France afterwards. Our members can succeed thanks to various and numerous contents and tools : exercices, trainings, complete tests in exam mode... Everything to perform both in written and spoken french exams.</t>
        </is>
      </c>
      <c r="Z1132" s="1" t="inlineStr">
        <is>
          <t>https://drive.google.com/uc?export=view&amp;id=1_wweovvH_7FtaOfaLmIdqqNR4kQ7A276</t>
        </is>
      </c>
      <c r="AA1132" s="1" t="inlineStr">
        <is>
          <t>Unverified</t>
        </is>
      </c>
      <c r="AB1132" s="1" t="n"/>
      <c r="AC1132" s="1" t="n"/>
      <c r="AD1132" s="10" t="n"/>
      <c r="AE1132" s="1" t="n"/>
      <c r="AF1132" s="1" t="inlineStr">
        <is>
          <t>Yes</t>
        </is>
      </c>
      <c r="AG1132" s="1" t="inlineStr">
        <is>
          <t>https://www.instagram.com/nomad_education/</t>
        </is>
      </c>
      <c r="AH1132" s="1" t="inlineStr">
        <is>
          <t>https://twitter.com/nomadeducation?lang=fr</t>
        </is>
      </c>
      <c r="AI1132" t="inlineStr">
        <is>
          <t>https://www.linkedin.com/company/nomad-education</t>
        </is>
      </c>
    </row>
    <row r="1133" ht="12.5" customHeight="1">
      <c r="A1133" s="6" t="n">
        <v>45181</v>
      </c>
      <c r="B1133" s="1" t="inlineStr">
        <is>
          <t>ORG_2095</t>
        </is>
      </c>
      <c r="C1133" s="1" t="b">
        <v>1</v>
      </c>
      <c r="D1133" s="1" t="inlineStr">
        <is>
          <t>Perfectly Spoken</t>
        </is>
      </c>
      <c r="E1133" s="10" t="inlineStr">
        <is>
          <t>www.perfectlyspoken.com</t>
        </is>
      </c>
      <c r="F1133" t="inlineStr">
        <is>
          <t>perfectlyspoken.com</t>
        </is>
      </c>
      <c r="G1133" s="1" t="inlineStr">
        <is>
          <t>Perfectly Spoken is a B2B and B2C award winning affordable and flexible custom built web application that provides the opportunity for students worldwide to learn English online with any internet connected device. Learning is delivered through on demand instruction, that can be combined with additional bespoke live services.
Structured video courses created and delivered by expert English language teachers form the foundation of the offer: over 1000 lessons and mini lessons in the form of general English courses - from Elementary to Proficiency following the CEFR framework - are complemented by a wide range of specialist premium courses.
An additional 3000+ supporting learning and practice activities are available to help consolidate learning. These include familiarising students with natural, authentic English through guided learning using the latest news and current affairs from global media partner Reuters.</t>
        </is>
      </c>
      <c r="H1133" s="1" t="inlineStr">
        <is>
          <t>I'm not part of any EdTech association</t>
        </is>
      </c>
      <c r="I1133" s="1" t="n"/>
      <c r="J1133" s="1" t="inlineStr">
        <is>
          <t>London</t>
        </is>
      </c>
      <c r="K1133" t="inlineStr">
        <is>
          <t>London</t>
        </is>
      </c>
      <c r="L1133" t="inlineStr">
        <is>
          <t>London, United Kingdom</t>
        </is>
      </c>
      <c r="M1133" t="n">
        <v>51.5074456</v>
      </c>
      <c r="N1133" t="n">
        <v>-0.1277653</v>
      </c>
      <c r="O1133" s="1" t="inlineStr">
        <is>
          <t>United Kingdom</t>
        </is>
      </c>
      <c r="P1133"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133" s="1" t="inlineStr">
        <is>
          <t>0 to 10</t>
        </is>
      </c>
      <c r="R1133" t="inlineStr">
        <is>
          <t>Micro</t>
        </is>
      </c>
      <c r="S1133" s="1" t="inlineStr">
        <is>
          <t>Business to Business, Business to Schools</t>
        </is>
      </c>
      <c r="T1133" s="1" t="inlineStr">
        <is>
          <t>Higher Education, Corporate Training, Lifelong learning/Adult education</t>
        </is>
      </c>
      <c r="U1133" s="1" t="inlineStr">
        <is>
          <t>Student interfacing, Teacher interfacing, System/Administrative</t>
        </is>
      </c>
      <c r="V1133" s="1" t="n"/>
      <c r="W1133" s="1" t="inlineStr">
        <is>
          <t>https://drive.google.com/uc?export=view&amp;id=1uKcYx5AuDuhTH0Is6daQe3dj_rD7a7jj</t>
        </is>
      </c>
      <c r="X1133" s="1" t="inlineStr">
        <is>
          <t>https://drive.google.com/uc?export=view&amp;id=1uKcYx5AuDuhTH0Is6daQe3dj_rD7a7jj</t>
        </is>
      </c>
      <c r="Y1133" t="inlineStr">
        <is>
          <t>https://drive.google.com/uc?export=view&amp;id=1uKcYx5AuDuhTH0Is6daQe3dj_rD7a7jj</t>
        </is>
      </c>
      <c r="Z1133" s="1" t="inlineStr">
        <is>
          <t>https://drive.google.com/uc?export=view&amp;id=1uKcYx5AuDuhTH0Is6daQe3dj_rD7a7jj</t>
        </is>
      </c>
      <c r="AA1133" s="1" t="inlineStr">
        <is>
          <t>Unverified</t>
        </is>
      </c>
      <c r="AB1133" s="1" t="n"/>
      <c r="AC1133" s="1" t="n"/>
      <c r="AD1133" s="10" t="n"/>
      <c r="AE1133" s="1" t="n"/>
      <c r="AF1133" s="1" t="inlineStr">
        <is>
          <t>No</t>
        </is>
      </c>
      <c r="AG1133" s="1" t="n"/>
      <c r="AH1133" s="1" t="n"/>
    </row>
    <row r="1134" ht="12.5" customHeight="1">
      <c r="A1134" s="6" t="n">
        <v>45181</v>
      </c>
      <c r="B1134" s="1" t="inlineStr">
        <is>
          <t>ORG_2198</t>
        </is>
      </c>
      <c r="C1134" s="1" t="b">
        <v>1</v>
      </c>
      <c r="D1134" s="1" t="inlineStr">
        <is>
          <t>Rockbotic Educacion</t>
        </is>
      </c>
      <c r="E1134" s="10" t="inlineStr">
        <is>
          <t>Www.rockbotic.com</t>
        </is>
      </c>
      <c r="F1134" t="inlineStr">
        <is>
          <t>rockbotic.com</t>
        </is>
      </c>
      <c r="G1134" s="1" t="inlineStr">
        <is>
          <t>Edtech based in Madrid. Focus on creating steam educational contents and teaching educators to use Exponential technologies in the classroom.</t>
        </is>
      </c>
      <c r="H1134" s="1" t="inlineStr">
        <is>
          <t>I'm not part of any EdTech association</t>
        </is>
      </c>
      <c r="I1134" s="1" t="n"/>
      <c r="J1134" s="1" t="inlineStr">
        <is>
          <t>Madrid</t>
        </is>
      </c>
      <c r="K1134" t="inlineStr">
        <is>
          <t>Madrid</t>
        </is>
      </c>
      <c r="L1134" t="inlineStr">
        <is>
          <t>Madrid, Spain</t>
        </is>
      </c>
      <c r="M1134" t="n">
        <v>40.416782</v>
      </c>
      <c r="N1134" t="n">
        <v>-3.703507</v>
      </c>
      <c r="O1134" s="1" t="inlineStr">
        <is>
          <t>Spain</t>
        </is>
      </c>
      <c r="P1134" s="1" t="inlineStr">
        <is>
          <t>Spain</t>
        </is>
      </c>
      <c r="Q1134" s="1" t="inlineStr">
        <is>
          <t>0 to 10</t>
        </is>
      </c>
      <c r="R1134" t="inlineStr">
        <is>
          <t>Micro</t>
        </is>
      </c>
      <c r="S1134" s="1" t="inlineStr">
        <is>
          <t>Business to Business, Business to Schools</t>
        </is>
      </c>
      <c r="T1134" s="1" t="inlineStr">
        <is>
          <t>Early childhood development (0-5 years), Primary Education, Secondary Education</t>
        </is>
      </c>
      <c r="U1134" s="1" t="inlineStr">
        <is>
          <t>System/Administrative, Student interfacing, Teacher interfacing</t>
        </is>
      </c>
      <c r="V1134" s="1" t="n"/>
      <c r="W1134" s="1" t="inlineStr">
        <is>
          <t>https://drive.google.com/uc?export=view&amp;id=1mcTtk7dikufJVG_9_BC-qT47FEHd21nE</t>
        </is>
      </c>
      <c r="X1134" s="1" t="inlineStr">
        <is>
          <t>https://drive.google.com/uc?export=view&amp;id=1mcTtk7dikufJVG_9_BC-qT47FEHd21nE</t>
        </is>
      </c>
      <c r="Y1134" t="inlineStr">
        <is>
          <t>https://drive.google.com/uc?export=view&amp;id=1mcTtk7dikufJVG_9_BC-qT47FEHd21nE</t>
        </is>
      </c>
      <c r="Z1134" s="1" t="inlineStr">
        <is>
          <t>https://drive.google.com/uc?export=view&amp;id=1mcTtk7dikufJVG_9_BC-qT47FEHd21nE</t>
        </is>
      </c>
      <c r="AA1134" s="1" t="inlineStr">
        <is>
          <t>Unverified</t>
        </is>
      </c>
      <c r="AB1134" s="1" t="n"/>
      <c r="AC1134" s="1" t="n"/>
      <c r="AD1134" s="10" t="n"/>
      <c r="AE1134" s="1" t="n"/>
      <c r="AF1134" s="1" t="inlineStr">
        <is>
          <t>No</t>
        </is>
      </c>
      <c r="AG1134" s="1" t="n"/>
      <c r="AH1134" s="1" t="n"/>
    </row>
    <row r="1135" ht="12.5" customHeight="1">
      <c r="A1135" s="6" t="n">
        <v>45181</v>
      </c>
      <c r="B1135" s="1" t="inlineStr">
        <is>
          <t>ORG_2246</t>
        </is>
      </c>
      <c r="C1135" s="1" t="b">
        <v>1</v>
      </c>
      <c r="D1135" s="1" t="inlineStr">
        <is>
          <t>SimTrade</t>
        </is>
      </c>
      <c r="E1135" s="10" t="inlineStr">
        <is>
          <t>https://www.simtrade.com/</t>
        </is>
      </c>
      <c r="F1135" t="inlineStr">
        <is>
          <t>simtrade.com</t>
        </is>
      </c>
      <c r="G1135" s="1" t="inlineStr">
        <is>
          <t>SimTrade is an EdTech &amp; FinTech company. 
The mission of SimTrade is to help individuals understand the mechanisms of the financial markets and gain financial freedom. Empower yourself! 
We offer an educational product to discover financial markets in a pedagogical and playful way. For the B2B version, our clients are both academic institutions and financial institutions.</t>
        </is>
      </c>
      <c r="H1135" s="1" t="inlineStr">
        <is>
          <t>I'm not part of any EdTech association</t>
        </is>
      </c>
      <c r="I1135" s="1" t="n"/>
      <c r="J1135" s="1" t="inlineStr">
        <is>
          <t>Le Vesinet</t>
        </is>
      </c>
      <c r="K1135" t="inlineStr">
        <is>
          <t>Le Vesinet</t>
        </is>
      </c>
      <c r="L1135" t="inlineStr">
        <is>
          <t>Le Vesinet, France</t>
        </is>
      </c>
      <c r="M1135" t="n">
        <v>48.894254</v>
      </c>
      <c r="N1135" t="n">
        <v>2.1347291</v>
      </c>
      <c r="O1135" s="1" t="inlineStr">
        <is>
          <t>France</t>
        </is>
      </c>
      <c r="P1135" s="1" t="inlineStr">
        <is>
          <t>France</t>
        </is>
      </c>
      <c r="Q1135" s="1" t="inlineStr">
        <is>
          <t>0 to 10</t>
        </is>
      </c>
      <c r="R1135" t="inlineStr">
        <is>
          <t>Micro</t>
        </is>
      </c>
      <c r="S1135" s="1" t="inlineStr">
        <is>
          <t>Business to Consumer</t>
        </is>
      </c>
      <c r="T1135" s="1" t="inlineStr">
        <is>
          <t>Higher Education, Corporate Training, Lifelong learning/Adult education</t>
        </is>
      </c>
      <c r="U1135" s="1" t="inlineStr">
        <is>
          <t>Student interfacing</t>
        </is>
      </c>
      <c r="V1135" s="1" t="n"/>
      <c r="W1135" s="1" t="inlineStr">
        <is>
          <t>https://drive.google.com/uc?export=view&amp;id=1fKHXcgPf-g0xmCjeuTNRIHN9Z_0juRNC</t>
        </is>
      </c>
      <c r="X1135" s="1" t="inlineStr">
        <is>
          <t>https://drive.google.com/uc?export=view&amp;id=1fKHXcgPf-g0xmCjeuTNRIHN9Z_0juRNC</t>
        </is>
      </c>
      <c r="Y1135" t="inlineStr">
        <is>
          <t>https://drive.google.com/uc?export=view&amp;id=1fKHXcgPf-g0xmCjeuTNRIHN9Z_0juRNC</t>
        </is>
      </c>
      <c r="Z1135" s="1" t="inlineStr">
        <is>
          <t>https://drive.google.com/uc?export=view&amp;id=1fKHXcgPf-g0xmCjeuTNRIHN9Z_0juRNC</t>
        </is>
      </c>
      <c r="AA1135" s="1" t="inlineStr">
        <is>
          <t>Unverified</t>
        </is>
      </c>
      <c r="AB1135" s="1" t="n"/>
      <c r="AC1135" s="1" t="n"/>
      <c r="AD1135" s="10" t="n"/>
      <c r="AE1135" s="1" t="n"/>
      <c r="AF1135" s="1" t="inlineStr">
        <is>
          <t>No</t>
        </is>
      </c>
      <c r="AG1135" s="1" t="n"/>
      <c r="AH1135" s="1" t="n"/>
    </row>
    <row r="1136" ht="12.5" customHeight="1">
      <c r="A1136" s="6" t="n">
        <v>45181</v>
      </c>
      <c r="B1136" s="1" t="inlineStr">
        <is>
          <t>ORG_2314</t>
        </is>
      </c>
      <c r="C1136" s="1" t="b">
        <v>1</v>
      </c>
      <c r="D1136" s="1" t="inlineStr">
        <is>
          <t>SPX Lab</t>
        </is>
      </c>
      <c r="E1136" s="10" t="inlineStr">
        <is>
          <t>https://www.spxlab.com/</t>
        </is>
      </c>
      <c r="F1136" t="inlineStr">
        <is>
          <t>spxlab.com</t>
        </is>
      </c>
      <c r="G1136" s="1" t="inlineStr">
        <is>
          <t>SPX Lab is a laboratory of digital technologies and creativity that experiments and produces products, services and solutions in the field of educational, software development, marketing automation and smart forniture. In SPX Lab we develop innovative technologies in order to meet the needs of people and companies, applying Agile Methodology and User Experience Design for the digital transformation. SPX Lab wants to demonstrate how to react to changes by absorbing new needs and building together with its customers those experiences that have not yet been imagined, through experimentation, communication and dissemination thanks to networking of excellence and new media. SPX Lab is a limited company based in Italy, connected to the world.</t>
        </is>
      </c>
      <c r="H1136" s="1" t="inlineStr">
        <is>
          <t>I'm not part of any EdTech association</t>
        </is>
      </c>
      <c r="I1136" s="1" t="n"/>
      <c r="J1136" s="1" t="inlineStr">
        <is>
          <t>Genova</t>
        </is>
      </c>
      <c r="K1136" t="inlineStr">
        <is>
          <t>Genova</t>
        </is>
      </c>
      <c r="L1136" t="inlineStr">
        <is>
          <t>Genova, Italy</t>
        </is>
      </c>
      <c r="M1136" t="n">
        <v>44.40726</v>
      </c>
      <c r="N1136" t="n">
        <v>8.933862400000001</v>
      </c>
      <c r="O1136" s="1" t="inlineStr">
        <is>
          <t>Italy</t>
        </is>
      </c>
      <c r="P1136" s="1" t="inlineStr">
        <is>
          <t>Italy</t>
        </is>
      </c>
      <c r="Q1136" s="1" t="inlineStr">
        <is>
          <t>11 to 50</t>
        </is>
      </c>
      <c r="R1136" t="inlineStr">
        <is>
          <t>Small</t>
        </is>
      </c>
      <c r="S1136" s="1" t="inlineStr">
        <is>
          <t>Business to Consumer, Business to Government, Business to Schools</t>
        </is>
      </c>
      <c r="T1136" s="1" t="inlineStr">
        <is>
          <t>Primary Education, Secondary Education, Higher Education, Corporate Training, Lifelong learning/Adult education</t>
        </is>
      </c>
      <c r="U1136" s="1" t="inlineStr">
        <is>
          <t>Student interfacing, Teacher interfacing, System/Administrative</t>
        </is>
      </c>
      <c r="V1136" s="1" t="n"/>
      <c r="W1136" s="1" t="inlineStr">
        <is>
          <t>https://drive.google.com/uc?export=view&amp;id=1uKSlqxsQEZ1vOH19B0FaL48UwEOAvWBs</t>
        </is>
      </c>
      <c r="X1136" s="1" t="inlineStr">
        <is>
          <t>https://drive.google.com/uc?export=view&amp;id=1uKSlqxsQEZ1vOH19B0FaL48UwEOAvWBs</t>
        </is>
      </c>
      <c r="Y1136" t="inlineStr">
        <is>
          <t>https://drive.google.com/uc?export=view&amp;id=1uKSlqxsQEZ1vOH19B0FaL48UwEOAvWBs</t>
        </is>
      </c>
      <c r="Z1136" s="1" t="inlineStr">
        <is>
          <t>https://drive.google.com/uc?export=view&amp;id=1uKSlqxsQEZ1vOH19B0FaL48UwEOAvWBs</t>
        </is>
      </c>
      <c r="AA1136" s="1" t="inlineStr">
        <is>
          <t>Unverified</t>
        </is>
      </c>
      <c r="AB1136" s="1" t="n"/>
      <c r="AC1136" s="1" t="n"/>
      <c r="AD1136" s="10" t="n"/>
      <c r="AE1136" s="1" t="n"/>
      <c r="AF1136" s="1" t="inlineStr">
        <is>
          <t>No</t>
        </is>
      </c>
      <c r="AG1136" s="1" t="n"/>
      <c r="AH1136" s="1" t="n"/>
    </row>
    <row r="1137" ht="12.5" customHeight="1">
      <c r="A1137" s="6" t="n">
        <v>45181</v>
      </c>
      <c r="B1137" s="1" t="inlineStr">
        <is>
          <t>ORG_2329</t>
        </is>
      </c>
      <c r="C1137" s="1" t="b">
        <v>1</v>
      </c>
      <c r="D1137" s="1" t="inlineStr">
        <is>
          <t>Stratsys</t>
        </is>
      </c>
      <c r="E1137" s="10" t="inlineStr">
        <is>
          <t>https://www.stratsys.com/</t>
        </is>
      </c>
      <c r="F1137" t="inlineStr">
        <is>
          <t>stratsys.com</t>
        </is>
      </c>
      <c r="G1137" s="1" t="inlineStr">
        <is>
          <t>Stratsys is a Swedish SaaS company which help the organisation with better workflow through all processes in the organisation.
As for education we are specialized in Quality management for schools and resource planning that aim to improve the efficiency concerning finance and timetables.</t>
        </is>
      </c>
      <c r="H1137" s="1" t="inlineStr">
        <is>
          <t>Swedish EdTech Industry</t>
        </is>
      </c>
      <c r="I1137" s="1" t="n"/>
      <c r="J1137" s="1" t="inlineStr">
        <is>
          <t>Brahegatan 10</t>
        </is>
      </c>
      <c r="L1137" t="inlineStr">
        <is>
          <t>Brahegatan 10, Sweden</t>
        </is>
      </c>
      <c r="O1137" s="1" t="inlineStr">
        <is>
          <t>Sweden</t>
        </is>
      </c>
      <c r="P1137" s="1" t="inlineStr">
        <is>
          <t>Denmark, Norway, Sweden</t>
        </is>
      </c>
      <c r="Q1137" s="1" t="inlineStr">
        <is>
          <t>100+</t>
        </is>
      </c>
      <c r="R1137" t="inlineStr">
        <is>
          <t>Medium or Large (unspecified)</t>
        </is>
      </c>
      <c r="S1137" s="1" t="inlineStr">
        <is>
          <t>Business to Consumer, Business to Schools</t>
        </is>
      </c>
      <c r="T1137" s="1" t="inlineStr">
        <is>
          <t>Primary Education, Secondary Education, Higher Education</t>
        </is>
      </c>
      <c r="U1137" s="1" t="inlineStr">
        <is>
          <t>System/Administrative</t>
        </is>
      </c>
      <c r="V1137" s="1" t="inlineStr">
        <is>
          <t>Resource planning</t>
        </is>
      </c>
      <c r="W1137" s="1" t="inlineStr">
        <is>
          <t>Our product handle the process from budget to staffing. It ensures quality planning and execution to live up both financial requirements and legal requirements regarding teaching.
It's an easy use product for head of schools, finance and HR.</t>
        </is>
      </c>
      <c r="X1137" s="10" t="inlineStr">
        <is>
          <t>Quality managemant for education</t>
        </is>
      </c>
      <c r="Y1137" t="inlineStr">
        <is>
          <t>Simplify and improve the process for the quality work i school. All data cab be aggregated to constantly improve and clarify how the goal work proceed.</t>
        </is>
      </c>
      <c r="Z1137" s="1" t="n"/>
      <c r="AA1137" s="1" t="inlineStr">
        <is>
          <t>Unverified</t>
        </is>
      </c>
      <c r="AB1137" s="1" t="n"/>
      <c r="AC1137" s="1" t="n"/>
      <c r="AD1137" s="1" t="n"/>
      <c r="AE1137" s="1" t="n"/>
      <c r="AF1137" s="1" t="inlineStr">
        <is>
          <t>Yes</t>
        </is>
      </c>
      <c r="AG1137" s="1" t="inlineStr">
        <is>
          <t>stratsyssverige</t>
        </is>
      </c>
      <c r="AH1137" s="1" t="inlineStr">
        <is>
          <t>https://www.linkedin.com/company/stratsys/mycompany/verification/</t>
        </is>
      </c>
      <c r="AI1137" t="inlineStr">
        <is>
          <t>https://www.linkedin.com/company/stratsys/mycompany/verification/</t>
        </is>
      </c>
    </row>
    <row r="1138" ht="12.5" customHeight="1">
      <c r="A1138" s="6" t="n">
        <v>45181</v>
      </c>
      <c r="B1138" s="1" t="inlineStr">
        <is>
          <t>ORG_2371</t>
        </is>
      </c>
      <c r="C1138" s="1" t="b">
        <v>1</v>
      </c>
      <c r="D1138" s="1" t="inlineStr">
        <is>
          <t>Teach on Mars</t>
        </is>
      </c>
      <c r="E1138" s="10" t="inlineStr">
        <is>
          <t>https://www.teachonmars.com/</t>
        </is>
      </c>
      <c r="F1138" t="inlineStr">
        <is>
          <t>teachonmars.com</t>
        </is>
      </c>
      <c r="G1138" s="1" t="inlineStr">
        <is>
          <t>Teach on Mars publishes a new generation digital training platform for companies. It is a mobile and social platform that relies on the latest advances in artificial intelligence to provide users with relevant content every day and accelerate the development of their skills.
Awarded numerous prizes in France and abroad, the company is the European leader in the mobile learning sector. Since its creation in 2013, Teach on Mars has deployed its solution to more than 200 prestigious international clients, in over 39 languages and across more than 90 countries worldwide. Today, 80 Teach on Mars employees and a network of 50 international partners are at the service of companies wishing to create their own next-generation training ecosystem. Convinced that modern companies must make a strong commitment to the planet, Teach on Mars dedicates 1% of its annual turnover to educational projects linked to the UN's sustainable development goals.</t>
        </is>
      </c>
      <c r="H1138" s="1" t="inlineStr">
        <is>
          <t>EdTech France</t>
        </is>
      </c>
      <c r="I1138" s="1" t="n"/>
      <c r="J1138" s="1" t="inlineStr">
        <is>
          <t>Mougins</t>
        </is>
      </c>
      <c r="K1138" t="inlineStr">
        <is>
          <t>Mougins</t>
        </is>
      </c>
      <c r="L1138" t="inlineStr">
        <is>
          <t>Mougins, France</t>
        </is>
      </c>
      <c r="M1138" t="n">
        <v>43.6008898</v>
      </c>
      <c r="N1138" t="n">
        <v>6.9963543</v>
      </c>
      <c r="O1138" s="1" t="inlineStr">
        <is>
          <t>France</t>
        </is>
      </c>
      <c r="P1138" s="1" t="inlineStr">
        <is>
          <t>Albania, Armenia, Austria, Azerbaijan, Belarus, Belgium, Bosnia and Herzegovina, Cyprus, Czechia, Denmark, Estonia, Finland, France, Georgia, Germany, Greece, Hungary, Iceland, Ireland, Italy, Kazakhstan, Kosovo, Latvia, Lithuania, Luxembourg, Malta, Moldova, Montenegro, Netherlands, North Macedonia, Norway, Poland, Portugal, Romania, Russia, Serbia, Slovakia, Slovenia, Spain, Sweden, Switzerland, Turkey, Ukraine, United Kingdom</t>
        </is>
      </c>
      <c r="Q1138" s="1" t="inlineStr">
        <is>
          <t>51 to 100</t>
        </is>
      </c>
      <c r="R1138" t="inlineStr">
        <is>
          <t>Medium</t>
        </is>
      </c>
      <c r="S1138" s="1" t="inlineStr">
        <is>
          <t>Business to Consumer, Business to Schools</t>
        </is>
      </c>
      <c r="T1138" s="1" t="inlineStr">
        <is>
          <t>Corporate Training</t>
        </is>
      </c>
      <c r="U1138" s="1" t="inlineStr">
        <is>
          <t>Teacher interfacing, Student interfacing, System/Administrative</t>
        </is>
      </c>
      <c r="V1138" s="10" t="inlineStr">
        <is>
          <t>Teach on Mars</t>
        </is>
      </c>
      <c r="W1138" s="10" t="inlineStr">
        <is>
          <t>Teach on Mars reinvents digital learning by combining a modern digital training experience with unique communication features to develop user engagement and support change over time. Our solution immerses employees in a continuous learning experience that enhances the brand and corporate culture. Our applications incorporate the latest training technologies and include numerous customization options. Our solution is designed to interface with all mobile devices through its native applications. Also, we have developed the social learning allowing the user to have a social learning dimension. The Teach on Mars solution allows for rapid deployment of training courses by reconciling agility and creativity with an integrated authoring tool to design numerous programs: from anchor activities to complete training courses. In addition, we offer quality off-the-shelf resources in a variety of formats (modules, podcasts, videos, articles...).
Teach on Mars has made the quality of its support and availability a recognized trademark: companies obtain the best deployment and engagement rates on the market thanks to a methodology built on hundreds of successful projects. Our application integrates business intelligence, artificial intelligence and a team dedicated to the success of training projects. With connectors and extensions deployed globally, Teach on Mars extends the capabilities of HRIS or LMS and consolidates an already established training ecosystem, also integrating with everyday tools to deliver an integrated learning experience.</t>
        </is>
      </c>
      <c r="X1138" s="10" t="inlineStr">
        <is>
          <t>https://drive.google.com/uc?export=view&amp;id=1pwL-tiOHYjkp1ORNV9aQtNAF2S90Im14</t>
        </is>
      </c>
      <c r="Y1138" t="inlineStr">
        <is>
          <t>https://drive.google.com/uc?export=view&amp;id=1pwL-tiOHYjkp1ORNV9aQtNAF2S90Im14</t>
        </is>
      </c>
      <c r="Z1138" s="1" t="inlineStr">
        <is>
          <t>https://drive.google.com/uc?export=view&amp;id=1pwL-tiOHYjkp1ORNV9aQtNAF2S90Im14</t>
        </is>
      </c>
      <c r="AA1138" s="1" t="inlineStr">
        <is>
          <t>Unverified</t>
        </is>
      </c>
      <c r="AB1138" s="1" t="n"/>
      <c r="AC1138" s="1" t="n"/>
      <c r="AD1138" s="10" t="n"/>
      <c r="AE1138" s="1" t="n"/>
      <c r="AF1138" s="1" t="inlineStr">
        <is>
          <t>Yes</t>
        </is>
      </c>
      <c r="AG1138" s="1" t="inlineStr">
        <is>
          <t>https://www.instagram.com/teachonmarsfr/</t>
        </is>
      </c>
      <c r="AH1138" s="1" t="inlineStr">
        <is>
          <t>https://twitter.com/TeachonMarsfr</t>
        </is>
      </c>
      <c r="AI1138" t="inlineStr">
        <is>
          <t>https://www.linkedin.com/company/teach-on-mars/</t>
        </is>
      </c>
    </row>
    <row r="1139" ht="12.5" customHeight="1">
      <c r="A1139" s="6" t="n">
        <v>45181</v>
      </c>
      <c r="B1139" s="1" t="inlineStr">
        <is>
          <t>ORG_2373</t>
        </is>
      </c>
      <c r="C1139" s="1" t="b">
        <v>1</v>
      </c>
      <c r="D1139" s="1" t="inlineStr">
        <is>
          <t>Teachers Lead Tech</t>
        </is>
      </c>
      <c r="E1139" s="10" t="inlineStr">
        <is>
          <t>https://www.linkedin.com/company/teachers-lead-tech/mycompany/?viewAsMember=true</t>
        </is>
      </c>
      <c r="F1139" t="inlineStr">
        <is>
          <t>linkedin.com/company/teachers-lead-tech/mycompany/?viewasmember=true</t>
        </is>
      </c>
      <c r="G1139" s="1" t="inlineStr">
        <is>
          <t>Teachers Lead Tech is helping education systems to make sure that EVERY kid
 learns to create with technology as a basic skill, next to reading and writing. Despite their gender, location, or socioeconomic background.
We are very honored to work with our power squad – primary school teachers. By upskilling one teacher, technology creativity skills reach at least 20 kids in a classroom at their crucial learning age. 
On a path to upskill 1M teachers globally by 2025.</t>
        </is>
      </c>
      <c r="H1139" s="1" t="inlineStr">
        <is>
          <t>EdTech Lithuania</t>
        </is>
      </c>
      <c r="I1139" s="1" t="n"/>
      <c r="J1139" s="1" t="inlineStr">
        <is>
          <t>Vilnius</t>
        </is>
      </c>
      <c r="K1139" t="inlineStr">
        <is>
          <t>Vilnius</t>
        </is>
      </c>
      <c r="L1139" t="inlineStr">
        <is>
          <t>Vilnius, Lithuania</t>
        </is>
      </c>
      <c r="M1139" t="n">
        <v>54.6870458</v>
      </c>
      <c r="N1139" t="n">
        <v>25.2829111</v>
      </c>
      <c r="O1139" s="1" t="inlineStr">
        <is>
          <t>Lithuania</t>
        </is>
      </c>
      <c r="P1139" s="1" t="inlineStr">
        <is>
          <t>Lithuania, Poland</t>
        </is>
      </c>
      <c r="Q1139" s="1" t="inlineStr">
        <is>
          <t>11 to 50</t>
        </is>
      </c>
      <c r="R1139" t="inlineStr">
        <is>
          <t>Small</t>
        </is>
      </c>
      <c r="S1139" s="1" t="inlineStr">
        <is>
          <t>Business to Consumer, Business to Schools</t>
        </is>
      </c>
      <c r="T1139" s="1" t="inlineStr">
        <is>
          <t>Primary Education</t>
        </is>
      </c>
      <c r="U1139" s="1" t="inlineStr">
        <is>
          <t>Teacher interfacing</t>
        </is>
      </c>
      <c r="V1139" s="1" t="inlineStr">
        <is>
          <t>Teachers Lead Tech</t>
        </is>
      </c>
      <c r="W1139" s="1" t="inlineStr">
        <is>
          <t>A guided learning system for primary school teachers, brining tech skills to classrooms.</t>
        </is>
      </c>
      <c r="X1139" s="10" t="inlineStr">
        <is>
          <t>https://drive.google.com/uc?export=view&amp;id=1fKPPoRVDCo28EdqAjxHjsTgzJClB4iZ4</t>
        </is>
      </c>
      <c r="Y1139" t="inlineStr">
        <is>
          <t>https://drive.google.com/uc?export=view&amp;id=1fKPPoRVDCo28EdqAjxHjsTgzJClB4iZ4</t>
        </is>
      </c>
      <c r="Z1139" s="1" t="inlineStr">
        <is>
          <t>https://drive.google.com/uc?export=view&amp;id=1fKPPoRVDCo28EdqAjxHjsTgzJClB4iZ4</t>
        </is>
      </c>
      <c r="AA1139" s="1" t="inlineStr">
        <is>
          <t>Unverified</t>
        </is>
      </c>
      <c r="AB1139" s="1" t="n"/>
      <c r="AC1139" s="1" t="n"/>
      <c r="AD1139" s="10" t="n"/>
      <c r="AE1139" s="1" t="n"/>
      <c r="AF1139" s="1" t="inlineStr">
        <is>
          <t>Yes</t>
        </is>
      </c>
      <c r="AG1139" s="1" t="inlineStr">
        <is>
          <t>UAB Vedliai</t>
        </is>
      </c>
      <c r="AH1139" s="1" t="inlineStr">
        <is>
          <t>UAB Vedliai</t>
        </is>
      </c>
      <c r="AI1139" t="inlineStr">
        <is>
          <t>https://www.linkedin.com/company/teachers-lead-tech/about/?viewAsMember=true</t>
        </is>
      </c>
    </row>
    <row r="1140" ht="12.5" customHeight="1">
      <c r="A1140" s="6" t="n">
        <v>45181</v>
      </c>
      <c r="B1140" s="1" t="inlineStr">
        <is>
          <t>ORG_2445</t>
        </is>
      </c>
      <c r="C1140" s="1" t="b">
        <v>1</v>
      </c>
      <c r="D1140" s="1" t="inlineStr">
        <is>
          <t>TwentyOne Skills</t>
        </is>
      </c>
      <c r="E1140" s="10" t="inlineStr">
        <is>
          <t>www.twentyoneskills.de</t>
        </is>
      </c>
      <c r="F1140" t="inlineStr">
        <is>
          <t>twentyoneskills.de</t>
        </is>
      </c>
      <c r="G1140" s="1" t="inlineStr">
        <is>
          <t>"TwentyOne Skills" is the largest digital training platform for scientists in the German-speaking world. We prepare doctoral students, postdocs and future-oriented professors from all disciplines for the challenges of the 21st century.
With our e-learning academy, our customers (universities and research institutions) expand and supplement their qualification offerings with a digital learning platform that is accessible at any time and any place. Overcrowded courses, long journeys or inappropriate appointments are now a thing of the past.
All courses are also barrier-free and thus accessible to truly everyone. Our value proposition is: Learn when you want and where you want!</t>
        </is>
      </c>
      <c r="H1140" s="1" t="inlineStr">
        <is>
          <t>I'm not part of any EdTech association</t>
        </is>
      </c>
      <c r="I1140" s="1" t="n"/>
      <c r="J1140" s="1" t="inlineStr">
        <is>
          <t>Köln</t>
        </is>
      </c>
      <c r="K1140" t="inlineStr">
        <is>
          <t>Köln</t>
        </is>
      </c>
      <c r="L1140" t="inlineStr">
        <is>
          <t>Köln, Germany</t>
        </is>
      </c>
      <c r="M1140" t="n">
        <v>50.938361</v>
      </c>
      <c r="N1140" t="n">
        <v>6.959974</v>
      </c>
      <c r="O1140" s="1" t="inlineStr">
        <is>
          <t>Germany</t>
        </is>
      </c>
      <c r="P1140" s="1" t="inlineStr">
        <is>
          <t>Austria, Germany, Switzerland</t>
        </is>
      </c>
      <c r="Q1140" s="1" t="inlineStr">
        <is>
          <t>0 to 10</t>
        </is>
      </c>
      <c r="R1140" t="inlineStr">
        <is>
          <t>Micro</t>
        </is>
      </c>
      <c r="S1140" s="1" t="inlineStr">
        <is>
          <t>Business to Government, Business to Schools</t>
        </is>
      </c>
      <c r="T1140" s="1" t="inlineStr">
        <is>
          <t>Higher Education</t>
        </is>
      </c>
      <c r="U1140" s="1" t="inlineStr">
        <is>
          <t>Student interfacing</t>
        </is>
      </c>
      <c r="V1140" s="1" t="n"/>
      <c r="W1140" s="1" t="inlineStr">
        <is>
          <t>https://drive.google.com/uc?export=view&amp;id=1VzirD7DC1hTZKWXw0vUbkKPoB41CVUik</t>
        </is>
      </c>
      <c r="X1140" s="1" t="inlineStr">
        <is>
          <t>https://drive.google.com/uc?export=view&amp;id=1VzirD7DC1hTZKWXw0vUbkKPoB41CVUik</t>
        </is>
      </c>
      <c r="Y1140" t="inlineStr">
        <is>
          <t>https://drive.google.com/uc?export=view&amp;id=1VzirD7DC1hTZKWXw0vUbkKPoB41CVUik</t>
        </is>
      </c>
      <c r="Z1140" s="1" t="inlineStr">
        <is>
          <t>https://drive.google.com/uc?export=view&amp;id=1VzirD7DC1hTZKWXw0vUbkKPoB41CVUik</t>
        </is>
      </c>
      <c r="AA1140" s="1" t="inlineStr">
        <is>
          <t>Unverified</t>
        </is>
      </c>
      <c r="AB1140" s="1" t="n"/>
      <c r="AC1140" s="1" t="n"/>
      <c r="AD1140" s="10" t="n"/>
      <c r="AE1140" s="1" t="n"/>
      <c r="AF1140" s="1" t="inlineStr">
        <is>
          <t>No</t>
        </is>
      </c>
      <c r="AG1140" s="1" t="n"/>
      <c r="AH1140" s="1" t="n"/>
    </row>
    <row r="1141" ht="12.5" customHeight="1">
      <c r="A1141" s="6" t="n">
        <v>45181</v>
      </c>
      <c r="B1141" s="1" t="inlineStr">
        <is>
          <t>ORG_2495</t>
        </is>
      </c>
      <c r="C1141" s="1" t="b">
        <v>1</v>
      </c>
      <c r="D1141" s="1" t="inlineStr">
        <is>
          <t>Vilma</t>
        </is>
      </c>
      <c r="E1141" s="10" t="inlineStr">
        <is>
          <t>https://www.holavilma.com/</t>
        </is>
      </c>
      <c r="F1141" t="inlineStr">
        <is>
          <t>holavilma.com</t>
        </is>
      </c>
      <c r="G1141" s="1" t="inlineStr">
        <is>
          <t>Vilma is the reference community of senior people focused on aging in a healthy way by learning new practical skills through online, live, multi-category classes, while socializing with other students and having fun.</t>
        </is>
      </c>
      <c r="H1141" s="1" t="inlineStr">
        <is>
          <t>I'm not part of any EdTech association</t>
        </is>
      </c>
      <c r="I1141" s="1" t="n"/>
      <c r="J1141" s="1" t="inlineStr">
        <is>
          <t>Barcelona</t>
        </is>
      </c>
      <c r="K1141" t="inlineStr">
        <is>
          <t>Barcelona</t>
        </is>
      </c>
      <c r="L1141" t="inlineStr">
        <is>
          <t>Barcelona, Spain</t>
        </is>
      </c>
      <c r="M1141" t="n">
        <v>41.3825802</v>
      </c>
      <c r="N1141" t="n">
        <v>2.177073</v>
      </c>
      <c r="O1141" s="1" t="inlineStr">
        <is>
          <t>Spain</t>
        </is>
      </c>
      <c r="P1141" s="1" t="inlineStr">
        <is>
          <t>Spain</t>
        </is>
      </c>
      <c r="Q1141" s="1" t="inlineStr">
        <is>
          <t>11 to 50</t>
        </is>
      </c>
      <c r="R1141" t="inlineStr">
        <is>
          <t>Small</t>
        </is>
      </c>
      <c r="S1141" s="1" t="inlineStr">
        <is>
          <t>Business to Schools</t>
        </is>
      </c>
      <c r="T1141" s="1" t="inlineStr">
        <is>
          <t>Lifelong learning/Adult education</t>
        </is>
      </c>
      <c r="U1141" s="1" t="inlineStr">
        <is>
          <t>System/Administrative, Student interfacing</t>
        </is>
      </c>
      <c r="V1141" s="1" t="n"/>
      <c r="W1141" s="1" t="inlineStr">
        <is>
          <t>https://drive.google.com/uc?export=view&amp;id=1HU9tuKqV6FPahvdKKhpw6vRYIGB-n1s1</t>
        </is>
      </c>
      <c r="X1141" s="1" t="inlineStr">
        <is>
          <t>https://drive.google.com/uc?export=view&amp;id=1HU9tuKqV6FPahvdKKhpw6vRYIGB-n1s1</t>
        </is>
      </c>
      <c r="Y1141" t="inlineStr">
        <is>
          <t>https://drive.google.com/uc?export=view&amp;id=1HU9tuKqV6FPahvdKKhpw6vRYIGB-n1s1</t>
        </is>
      </c>
      <c r="Z1141" s="1" t="inlineStr">
        <is>
          <t>https://drive.google.com/uc?export=view&amp;id=1HU9tuKqV6FPahvdKKhpw6vRYIGB-n1s1</t>
        </is>
      </c>
      <c r="AA1141" s="1" t="inlineStr">
        <is>
          <t>Unverified</t>
        </is>
      </c>
      <c r="AB1141" s="1" t="n"/>
      <c r="AC1141" s="1" t="n"/>
      <c r="AD1141" s="10" t="n"/>
      <c r="AE1141" s="1" t="n"/>
      <c r="AF1141" s="1" t="inlineStr">
        <is>
          <t>No</t>
        </is>
      </c>
      <c r="AG1141" s="1" t="n"/>
      <c r="AH1141" s="1" t="n"/>
    </row>
    <row r="1142" ht="12.5" customHeight="1">
      <c r="A1142" s="6" t="n">
        <v>45181</v>
      </c>
      <c r="B1142" s="1" t="inlineStr">
        <is>
          <t>ORG_2517</t>
        </is>
      </c>
      <c r="C1142" s="1" t="b">
        <v>1</v>
      </c>
      <c r="D1142" s="1" t="inlineStr">
        <is>
          <t>WebForce3</t>
        </is>
      </c>
      <c r="E1142" s="10" t="inlineStr">
        <is>
          <t>https://wf3.fr</t>
        </is>
      </c>
      <c r="F1142" t="inlineStr">
        <is>
          <t>wf3.fr</t>
        </is>
      </c>
      <c r="G1142" s="1" t="inlineStr">
        <is>
          <t>WebForce3 is a network of schools for digital professions, approved for social utility and labeled "Grande Ecole du Numérique". WebForce3 is established in 50 territories in France and abroad. In a world where professions and technologies are changing rapidly, WebForce3's mission is to enable anyone to train quickly to acquire new skills throughout their career, and thus access, maintain or even change jobs. The inclusion and diversity of learners within schools are essential values ​​for participating in a digital society that is inclusive, ethical and sustainable.</t>
        </is>
      </c>
      <c r="H1142" s="1" t="inlineStr">
        <is>
          <t>EdTech France</t>
        </is>
      </c>
      <c r="I1142" s="1" t="n"/>
      <c r="J1142" s="1" t="inlineStr">
        <is>
          <t>Paris</t>
        </is>
      </c>
      <c r="K1142" t="inlineStr">
        <is>
          <t>Paris</t>
        </is>
      </c>
      <c r="L1142" t="inlineStr">
        <is>
          <t>Paris, France</t>
        </is>
      </c>
      <c r="M1142" t="n">
        <v>48.8534951</v>
      </c>
      <c r="N1142" t="n">
        <v>2.3483915</v>
      </c>
      <c r="O1142" s="1" t="inlineStr">
        <is>
          <t>France</t>
        </is>
      </c>
      <c r="P1142" s="1" t="inlineStr">
        <is>
          <t>Belgium, France, Luxembourg</t>
        </is>
      </c>
      <c r="Q1142" s="1" t="inlineStr">
        <is>
          <t>51 to 100</t>
        </is>
      </c>
      <c r="R1142" t="inlineStr">
        <is>
          <t>Medium</t>
        </is>
      </c>
      <c r="S1142" s="1" t="inlineStr">
        <is>
          <t>Business to Schools</t>
        </is>
      </c>
      <c r="T1142" s="1" t="inlineStr">
        <is>
          <t>Higher Education, Corporate Training, Lifelong learning/Adult education</t>
        </is>
      </c>
      <c r="U1142" s="1" t="inlineStr">
        <is>
          <t>Student interfacing, Teacher interfacing, System/Administrative</t>
        </is>
      </c>
      <c r="V1142" s="10" t="inlineStr">
        <is>
          <t>Web and Mobile Web Developer Training</t>
        </is>
      </c>
      <c r="W1142" s="10" t="inlineStr">
        <is>
          <t>Bootcamp or work-study training as a web and mobile web developer</t>
        </is>
      </c>
      <c r="X1142" s="10" t="inlineStr">
        <is>
          <t>Digital project manager</t>
        </is>
      </c>
      <c r="Y1142" t="inlineStr">
        <is>
          <t>Bootcamp or work-study training as a Digital project manager</t>
        </is>
      </c>
      <c r="Z1142" s="1" t="inlineStr">
        <is>
          <t>https://drive.google.com/uc?export=view&amp;id=1a19O-fvtUrSnDS6PIVl4Lz3SglmxyVSD</t>
        </is>
      </c>
      <c r="AA1142" s="1" t="inlineStr">
        <is>
          <t>Unverified</t>
        </is>
      </c>
      <c r="AB1142" s="1" t="n"/>
      <c r="AC1142" s="1" t="n"/>
      <c r="AD1142" s="10" t="n"/>
      <c r="AE1142" s="1" t="n"/>
      <c r="AF1142" t="inlineStr">
        <is>
          <t>Yes</t>
        </is>
      </c>
      <c r="AG1142" t="inlineStr">
        <is>
          <t>https://www.instagram.com/webforce3</t>
        </is>
      </c>
      <c r="AH1142" t="inlineStr">
        <is>
          <t>https://twitter.com/WebForce3</t>
        </is>
      </c>
      <c r="AI1142" t="inlineStr">
        <is>
          <t>https://www.linkedin.com/school/webforce3/mycompany/</t>
        </is>
      </c>
    </row>
    <row r="1143" ht="12.5" customHeight="1">
      <c r="A1143" s="6" t="n">
        <v>45181</v>
      </c>
      <c r="B1143" s="1" t="inlineStr">
        <is>
          <t>ORG_2534</t>
        </is>
      </c>
      <c r="C1143" s="1" t="b">
        <v>1</v>
      </c>
      <c r="D1143" s="1" t="inlineStr">
        <is>
          <t>Wiloki</t>
        </is>
      </c>
      <c r="E1143" s="10" t="inlineStr">
        <is>
          <t>www.wiloki.com</t>
        </is>
      </c>
      <c r="F1143" t="inlineStr">
        <is>
          <t>wiloki.com</t>
        </is>
      </c>
      <c r="G1143" s="1" t="inlineStr">
        <is>
          <t>Every child is different. So should be their education. We believe that adaptive learning and new technologies will radically transform education and fully exploit &amp; nurture the learning potential of each and every child.
Our cloud platforms Adibou and Wiloki provide the best online learning support to each child (4-14). They combine rich &amp; fun content with Artificial Intelligence to tailor-fit the teaching process to the kid’s pedagogical &amp; psychological profiles.
Adibou is an edutainment app dedicated to young children development (4-7 yo). In a playful universe, kids explore Adibou’s world and experience the joy of learning thanks to fun activities.
Wiloki (7-14 yo) offers a personalised learning platform that allow preteens (7 to 14 yo) to learn, create, get informed and have fun.</t>
        </is>
      </c>
      <c r="H1143" s="1" t="inlineStr">
        <is>
          <t>EdTech France</t>
        </is>
      </c>
      <c r="I1143" s="1" t="n"/>
      <c r="J1143" s="1" t="inlineStr">
        <is>
          <t>Les Loges-En-Josas</t>
        </is>
      </c>
      <c r="K1143" t="inlineStr">
        <is>
          <t>Les Loges-En-Josas</t>
        </is>
      </c>
      <c r="L1143" t="inlineStr">
        <is>
          <t>Les Loges-En-Josas, France</t>
        </is>
      </c>
      <c r="M1143" t="n">
        <v>48.7645251</v>
      </c>
      <c r="N1143" t="n">
        <v>2.1396015</v>
      </c>
      <c r="O1143" s="1" t="inlineStr">
        <is>
          <t>France</t>
        </is>
      </c>
      <c r="P1143" s="1" t="inlineStr">
        <is>
          <t>Belgium, France, Luxembourg, Switzerland</t>
        </is>
      </c>
      <c r="Q1143" s="1" t="inlineStr">
        <is>
          <t>0 to 10</t>
        </is>
      </c>
      <c r="R1143" t="inlineStr">
        <is>
          <t>Micro</t>
        </is>
      </c>
      <c r="S1143" s="1" t="inlineStr">
        <is>
          <t>Business to Schools</t>
        </is>
      </c>
      <c r="T1143" s="1" t="inlineStr">
        <is>
          <t>Early childhood development (0-5 years), Primary Education, Secondary Education</t>
        </is>
      </c>
      <c r="U1143" s="1" t="inlineStr">
        <is>
          <t>System/Administrative, Student interfacing, Teacher interfacing</t>
        </is>
      </c>
      <c r="V1143" s="10" t="inlineStr">
        <is>
          <t>Wiloki</t>
        </is>
      </c>
      <c r="W1143" s="10" t="inlineStr">
        <is>
          <t>Wiloki offers each child a personalised, autonomous and motivating learning experience thanks to agile algorithms and an extremely rich content: thousands of interactive videos, course summaries, exercises, rewards, podcasts and many other functionalities depending on their evolving needs.
By identifying the child’s strengths, weaknesses and motivational drivers, Wiloki adapts to their profiles.</t>
        </is>
      </c>
      <c r="X1143" s="10" t="inlineStr">
        <is>
          <t>Adibou</t>
        </is>
      </c>
      <c r="Y1143" t="inlineStr">
        <is>
          <t>Adibou is a wide universe dedicated to the development of young children (4-7 yo). The app is perfectly suited to accompany kids in their early years as it adjusts to their learning pace. Kids explore Adibou's playful world. +1,500 activities allow them to learn how to read and write and maths. They also apply their knowledge in mini-games that stimulate their memory, logic, creativity…</t>
        </is>
      </c>
      <c r="Z1143" s="1" t="inlineStr">
        <is>
          <t>https://drive.google.com/uc?export=view&amp;id=1aMe-VZ1lnKLVoCBZ34hml29Wb5wOOE98</t>
        </is>
      </c>
      <c r="AA1143" s="1" t="inlineStr">
        <is>
          <t>Unverified</t>
        </is>
      </c>
      <c r="AB1143" s="1" t="n"/>
      <c r="AC1143" s="1" t="n"/>
      <c r="AD1143" s="10" t="n"/>
      <c r="AE1143" s="1" t="n"/>
      <c r="AF1143" t="inlineStr">
        <is>
          <t>Yes</t>
        </is>
      </c>
      <c r="AG1143" t="inlineStr">
        <is>
          <t>https://www.instagram.com/wiloki_ai/</t>
        </is>
      </c>
      <c r="AH1143" t="inlineStr">
        <is>
          <t>https://twitter.com/wiloki_ai</t>
        </is>
      </c>
      <c r="AI1143" t="inlineStr">
        <is>
          <t>https://www.linkedin.com/company/wiloki/</t>
        </is>
      </c>
    </row>
    <row r="1144" ht="12.5" customHeight="1">
      <c r="A1144" s="6" t="n">
        <v>45181</v>
      </c>
      <c r="B1144" s="1" t="inlineStr">
        <is>
          <t>ORG_1145</t>
        </is>
      </c>
      <c r="C1144" s="1" t="b">
        <v>1</v>
      </c>
      <c r="D1144" s="1" t="inlineStr">
        <is>
          <t>Beedeez SAS</t>
        </is>
      </c>
      <c r="E1144" s="10" t="inlineStr">
        <is>
          <t>https://www.beedeez.com/</t>
        </is>
      </c>
      <c r="F1144" t="inlineStr">
        <is>
          <t>beedeez.com</t>
        </is>
      </c>
      <c r="G1144" s="1" t="inlineStr">
        <is>
          <t>Beedeez is a leading Mobile &amp; Social Learning solution that revolutionizes professional training. Through innovative and engaging pedagogies, Beedeez transforms corporate training into a fun, collaborative, and effective learning experience while answering time and mobility constraints.
To offer personalized training to your employees, Beedeez provides you with a complete and integrated training environment. Its collaborative and intuitive authoring platform will allow you to animate your communities of learners and create customized content for instant knowledge transmission. Freed from strict formats and supervised training, the transmission of knowledge becomes exponential, with infinite sources!</t>
        </is>
      </c>
      <c r="H1144" s="1" t="inlineStr">
        <is>
          <t>EdTech France</t>
        </is>
      </c>
      <c r="I1144" s="1" t="n"/>
      <c r="J1144" s="1" t="inlineStr">
        <is>
          <t>Paris</t>
        </is>
      </c>
      <c r="K1144" t="inlineStr">
        <is>
          <t>Paris</t>
        </is>
      </c>
      <c r="L1144" t="inlineStr">
        <is>
          <t>Paris, France</t>
        </is>
      </c>
      <c r="M1144" t="n">
        <v>48.8534951</v>
      </c>
      <c r="N1144" t="n">
        <v>2.3483915</v>
      </c>
      <c r="O1144" s="1" t="inlineStr">
        <is>
          <t>France</t>
        </is>
      </c>
      <c r="P1144" s="1" t="inlineStr">
        <is>
          <t>Belgium, France, United Kingdom</t>
        </is>
      </c>
      <c r="Q1144" s="1" t="inlineStr">
        <is>
          <t>11 to 50</t>
        </is>
      </c>
      <c r="R1144" t="inlineStr">
        <is>
          <t>Small</t>
        </is>
      </c>
      <c r="S1144" s="1" t="inlineStr">
        <is>
          <t>Business to Business</t>
        </is>
      </c>
      <c r="T1144" s="1" t="inlineStr">
        <is>
          <t>Corporate Training</t>
        </is>
      </c>
      <c r="U1144" s="1" t="inlineStr">
        <is>
          <t>System/Administrative</t>
        </is>
      </c>
      <c r="V1144" s="1" t="inlineStr">
        <is>
          <t>Beedeez</t>
        </is>
      </c>
      <c r="W1144" s="10" t="inlineStr">
        <is>
          <t>Beedeez’s value proposition is to “learn at every moment”. Learners have access to a mobile-first social hub that is gamified, easy to use, and enables them to learn whenever and wherever they want. Digital Learning Managers can create and share meaningful content in 15 minutes on a collaborative back-office. They have access to diverse content and gamification options, detailed reporting as well as the ability to personalize the learner’s experience through recommendations, diagnostics, challenges, and certifications.</t>
        </is>
      </c>
      <c r="X1144" s="10" t="inlineStr">
        <is>
          <t>https://drive.google.com/uc?export=view&amp;id=1xvGBiT6oTPSfkRGtk8TU6yW5Ynszi0bA</t>
        </is>
      </c>
      <c r="Y1144" t="inlineStr">
        <is>
          <t>https://drive.google.com/uc?export=view&amp;id=1xvGBiT6oTPSfkRGtk8TU6yW5Ynszi0bA</t>
        </is>
      </c>
      <c r="Z1144" s="1" t="inlineStr">
        <is>
          <t>https://drive.google.com/uc?export=view&amp;id=1xvGBiT6oTPSfkRGtk8TU6yW5Ynszi0bA</t>
        </is>
      </c>
      <c r="AA1144" s="1" t="inlineStr">
        <is>
          <t>Unverified</t>
        </is>
      </c>
      <c r="AB1144" s="1" t="n"/>
      <c r="AC1144" s="1" t="n"/>
      <c r="AD1144" s="10" t="n"/>
      <c r="AE1144" s="1" t="n"/>
      <c r="AF1144" s="1" t="inlineStr">
        <is>
          <t>Yes</t>
        </is>
      </c>
      <c r="AG1144" s="1" t="inlineStr">
        <is>
          <t>https://twitter.com/BeedeezApp</t>
        </is>
      </c>
      <c r="AH1144" s="1" t="inlineStr">
        <is>
          <t>https://twitter.com/BeedeezApp</t>
        </is>
      </c>
      <c r="AI1144" t="inlineStr">
        <is>
          <t>https://www.linkedin.com/company/beedeez/</t>
        </is>
      </c>
    </row>
    <row r="1145" ht="12.5" customHeight="1">
      <c r="A1145" s="6" t="n">
        <v>45181</v>
      </c>
      <c r="B1145" s="1" t="inlineStr">
        <is>
          <t>ORG_1171</t>
        </is>
      </c>
      <c r="C1145" s="1" t="b">
        <v>1</v>
      </c>
      <c r="D1145" s="1" t="inlineStr">
        <is>
          <t>bizExaminer</t>
        </is>
      </c>
      <c r="E1145" s="10" t="inlineStr">
        <is>
          <t>www.bizexaminer.com</t>
        </is>
      </c>
      <c r="F1145" t="inlineStr">
        <is>
          <t>bizexaminer.com</t>
        </is>
      </c>
      <c r="G1145" s="1" t="inlineStr">
        <is>
          <t>Manage and execute exams with bizExaminer, a software solution developed in Austria.
Workforce, higher education institutions, certification providers and public institutions are our clients in Europe, USA, Africa and India.</t>
        </is>
      </c>
      <c r="H1145" s="1" t="inlineStr">
        <is>
          <t>EdTech Austria</t>
        </is>
      </c>
      <c r="I1145" s="1" t="n"/>
      <c r="J1145" s="1" t="inlineStr">
        <is>
          <t>Vienna</t>
        </is>
      </c>
      <c r="K1145" t="inlineStr">
        <is>
          <t>Vienna</t>
        </is>
      </c>
      <c r="L1145" t="inlineStr">
        <is>
          <t>Vienna, Austria</t>
        </is>
      </c>
      <c r="M1145" t="n">
        <v>48.2083537</v>
      </c>
      <c r="N1145" t="n">
        <v>16.3725042</v>
      </c>
      <c r="O1145" s="1" t="inlineStr">
        <is>
          <t>Austria</t>
        </is>
      </c>
      <c r="P1145" s="1" t="inlineStr">
        <is>
          <t>Austria, Belgium, Croatia, Czechia, Denmark, Finland, France, Germany, Greece, Hungary, Ireland, Italy, Monaco, Netherlands, Norway, Poland, Portugal, Slovakia, Slovenia, Spain, Sweden, Switzerland, Turkey, United Kingdom</t>
        </is>
      </c>
      <c r="Q1145" s="1" t="inlineStr">
        <is>
          <t>11 to 50</t>
        </is>
      </c>
      <c r="R1145" t="inlineStr">
        <is>
          <t>Small</t>
        </is>
      </c>
      <c r="S1145" s="1" t="inlineStr">
        <is>
          <t>Business to Business</t>
        </is>
      </c>
      <c r="T1145" s="1" t="inlineStr">
        <is>
          <t>Secondary Education, Higher Education, Corporate Training, Lifelong learning/Adult education</t>
        </is>
      </c>
      <c r="U1145" s="1" t="inlineStr">
        <is>
          <t>System/Administrative</t>
        </is>
      </c>
      <c r="V1145" s="1" t="inlineStr">
        <is>
          <t>bizExaminer</t>
        </is>
      </c>
      <c r="W1145" s="1" t="inlineStr">
        <is>
          <t>Software solution available as onDemand or onPremise to manage and execute exams. 24 question types, highly customizeable, complex workflow management, very robust execution and much much more.</t>
        </is>
      </c>
      <c r="X1145" s="10" t="inlineStr">
        <is>
          <t>https://drive.google.com/uc?export=view&amp;id=1dtutgcB5phIZGSNFjxYvziqprm__qwTd</t>
        </is>
      </c>
      <c r="Y1145" t="inlineStr">
        <is>
          <t>https://drive.google.com/uc?export=view&amp;id=1dtutgcB5phIZGSNFjxYvziqprm__qwTd</t>
        </is>
      </c>
      <c r="Z1145" s="1" t="inlineStr">
        <is>
          <t>https://drive.google.com/uc?export=view&amp;id=1dtutgcB5phIZGSNFjxYvziqprm__qwTd</t>
        </is>
      </c>
      <c r="AA1145" s="1" t="inlineStr">
        <is>
          <t>Unverified</t>
        </is>
      </c>
      <c r="AB1145" s="1" t="n"/>
      <c r="AC1145" s="1" t="n"/>
      <c r="AD1145" s="10" t="n"/>
      <c r="AE1145" s="1" t="n"/>
      <c r="AF1145" t="inlineStr">
        <is>
          <t>Yes</t>
        </is>
      </c>
      <c r="AG1145" t="inlineStr">
        <is>
          <t>https://www.linkedin.com/company/18919892/</t>
        </is>
      </c>
      <c r="AH1145" t="inlineStr">
        <is>
          <t>https://www.linkedin.com/company/18919892/</t>
        </is>
      </c>
      <c r="AI1145" t="inlineStr">
        <is>
          <t>https://www.linkedin.com/company/18919892/</t>
        </is>
      </c>
    </row>
    <row r="1146" ht="12.5" customHeight="1">
      <c r="A1146" s="6" t="n">
        <v>45181</v>
      </c>
      <c r="B1146" s="1" t="inlineStr">
        <is>
          <t>ORG_1207</t>
        </is>
      </c>
      <c r="C1146" s="1" t="b">
        <v>1</v>
      </c>
      <c r="D1146" s="1" t="inlineStr">
        <is>
          <t>C&amp;C Spa</t>
        </is>
      </c>
      <c r="E1146" s="10" t="inlineStr">
        <is>
          <t>www.cec.com</t>
        </is>
      </c>
      <c r="F1146" t="inlineStr">
        <is>
          <t>cec.com</t>
        </is>
      </c>
      <c r="G1146" s="1" t="inlineStr">
        <is>
          <t>C&amp;C è un’azienda italiana leader nella fornitura di tecnologia e servizi all’avanguardia che opera in 54 sedi tra Italia e Francia.
Dal 2006, C&amp;C lavora con Apple per garantire qualità e servizi ai propri clienti: dalla formazione alla consulenza per privati, studenti, docenti, professionisti e aziende, e conta 48 Centri di Assistenza Autorizzata Apple in Europa.
prima azienda in Italia e fra le prime otto in Europa per penetrazione dei prodotti Apple nella scuola e per i risultati conseguiti con i progetti Education - è stato conferito il riconoscimento di Apple Authorised Education Specialist per aver favorito l’innovazione didattica attraverso l’utilizzo della tecnologia Apple a supporto dell’apprendimento.</t>
        </is>
      </c>
      <c r="H1146" s="1" t="inlineStr">
        <is>
          <t>I'm not part of any EdTech association</t>
        </is>
      </c>
      <c r="I1146" s="1" t="n"/>
      <c r="J1146" s="1" t="inlineStr">
        <is>
          <t>Bari</t>
        </is>
      </c>
      <c r="K1146" t="inlineStr">
        <is>
          <t>Bari</t>
        </is>
      </c>
      <c r="L1146" t="inlineStr">
        <is>
          <t>Bari, Italy</t>
        </is>
      </c>
      <c r="M1146" t="n">
        <v>41.1257843</v>
      </c>
      <c r="N1146" t="n">
        <v>16.8620293</v>
      </c>
      <c r="O1146" s="1" t="inlineStr">
        <is>
          <t>Italy</t>
        </is>
      </c>
      <c r="P1146" s="1" t="inlineStr">
        <is>
          <t>France, Italy</t>
        </is>
      </c>
      <c r="Q1146" s="1" t="inlineStr">
        <is>
          <t>100+</t>
        </is>
      </c>
      <c r="R1146" t="inlineStr">
        <is>
          <t>Medium or Large (unspecified)</t>
        </is>
      </c>
      <c r="S1146" s="1" t="inlineStr">
        <is>
          <t>Business to Business</t>
        </is>
      </c>
      <c r="T1146" s="1" t="inlineStr">
        <is>
          <t>Early childhood development (0-5 years), Primary Education, Secondary Education, Higher Education, Corporate Training, Lifelong learning/Adult education</t>
        </is>
      </c>
      <c r="U1146" s="1" t="inlineStr">
        <is>
          <t>Student interfacing, Teacher interfacing, System/Administrative</t>
        </is>
      </c>
      <c r="V1146" s="1" t="n"/>
      <c r="W1146" s="1" t="inlineStr">
        <is>
          <t>https://drive.google.com/uc?export=view&amp;id=1PUV195jj5VHdsX86t6Pmu28V3H4GiJ4Z</t>
        </is>
      </c>
      <c r="X1146" s="1" t="inlineStr">
        <is>
          <t>https://drive.google.com/uc?export=view&amp;id=1PUV195jj5VHdsX86t6Pmu28V3H4GiJ4Z</t>
        </is>
      </c>
      <c r="Y1146" t="inlineStr">
        <is>
          <t>https://drive.google.com/uc?export=view&amp;id=1PUV195jj5VHdsX86t6Pmu28V3H4GiJ4Z</t>
        </is>
      </c>
      <c r="Z1146" s="1" t="inlineStr">
        <is>
          <t>https://drive.google.com/uc?export=view&amp;id=1PUV195jj5VHdsX86t6Pmu28V3H4GiJ4Z</t>
        </is>
      </c>
      <c r="AA1146" s="1" t="inlineStr">
        <is>
          <t>Unverified</t>
        </is>
      </c>
      <c r="AB1146" s="1" t="n"/>
      <c r="AC1146" s="1" t="n"/>
      <c r="AD1146" s="10" t="n"/>
      <c r="AE1146" s="1" t="n"/>
      <c r="AF1146" t="inlineStr">
        <is>
          <t>No</t>
        </is>
      </c>
    </row>
    <row r="1147" ht="12.5" customHeight="1">
      <c r="A1147" s="6" t="n">
        <v>45181</v>
      </c>
      <c r="B1147" s="1" t="inlineStr">
        <is>
          <t>ORG_1287</t>
        </is>
      </c>
      <c r="C1147" s="1" t="b">
        <v>1</v>
      </c>
      <c r="D1147" s="1" t="inlineStr">
        <is>
          <t>CompanyGame</t>
        </is>
      </c>
      <c r="E1147" s="10" t="inlineStr">
        <is>
          <t>www.companygame.com</t>
        </is>
      </c>
      <c r="F1147" t="inlineStr">
        <is>
          <t>companygame.com</t>
        </is>
      </c>
      <c r="G1147" s="1" t="inlineStr">
        <is>
          <t>CompanyGame offers a business simulator platform that allows you to generate educational experiences in the field of business management. Students will have the opportunity to carry out business practices (finance, marketing, strategy, entrepreneurship, operations, hospitality, banking...) in the classroom with the use of simulators.
Our purpose is to collaborate with institutions, educational centers and corporations to enrich the teaching-learning process.
Currently, we work with more than 100 clients in Spain and Latin America.
CompanyGame is a 100% Spanish company with headquarters and operations in Barcelona (Spain). We are an independent company, we do not belong to any business group, with an innovative and entrepreneurial vocation.</t>
        </is>
      </c>
      <c r="H1147" s="1" t="inlineStr">
        <is>
          <t>EduTech Cluster Spain</t>
        </is>
      </c>
      <c r="I1147" s="1" t="n"/>
      <c r="J1147" s="1" t="inlineStr">
        <is>
          <t>Barcelona</t>
        </is>
      </c>
      <c r="K1147" t="inlineStr">
        <is>
          <t>Barcelona</t>
        </is>
      </c>
      <c r="L1147" t="inlineStr">
        <is>
          <t>Barcelona, Spain</t>
        </is>
      </c>
      <c r="M1147" t="n">
        <v>41.3825802</v>
      </c>
      <c r="N1147" t="n">
        <v>2.177073</v>
      </c>
      <c r="O1147" s="1" t="inlineStr">
        <is>
          <t>Spain</t>
        </is>
      </c>
      <c r="P1147" s="1" t="inlineStr">
        <is>
          <t>Spain</t>
        </is>
      </c>
      <c r="Q1147" s="1" t="inlineStr">
        <is>
          <t>0 to 10</t>
        </is>
      </c>
      <c r="R1147" t="inlineStr">
        <is>
          <t>Micro</t>
        </is>
      </c>
      <c r="S1147" s="1" t="inlineStr">
        <is>
          <t>Business to Business</t>
        </is>
      </c>
      <c r="T1147" s="1" t="inlineStr">
        <is>
          <t>Secondary Education, Higher Education, Corporate Training, Lifelong learning/Adult education</t>
        </is>
      </c>
      <c r="U1147" s="1" t="inlineStr">
        <is>
          <t>Teacher interfacing, System/Administrative</t>
        </is>
      </c>
      <c r="V1147" s="10" t="inlineStr">
        <is>
          <t>CompanyGame</t>
        </is>
      </c>
      <c r="W1147" s="10" t="inlineStr">
        <is>
          <t>We have 35 simulators of different levels of difficulty, from basic levels to complex levels. We also offer the opportunity to develop simulators tailored to institutions and educational centers.
The CompanyGame Platform offers a wide variety of functionalities that facilitate the design and monitoring of educational activity, as well as the automation of a series of tasks.</t>
        </is>
      </c>
      <c r="X1147" s="10" t="inlineStr">
        <is>
          <t>https://drive.google.com/uc?export=view&amp;id=1jrLBtwXWdujkPfQtRF9XAjBZg4n-n_HF</t>
        </is>
      </c>
      <c r="Y1147" t="inlineStr">
        <is>
          <t>https://drive.google.com/uc?export=view&amp;id=1jrLBtwXWdujkPfQtRF9XAjBZg4n-n_HF</t>
        </is>
      </c>
      <c r="Z1147" s="1" t="inlineStr">
        <is>
          <t>https://drive.google.com/uc?export=view&amp;id=1jrLBtwXWdujkPfQtRF9XAjBZg4n-n_HF</t>
        </is>
      </c>
      <c r="AA1147" s="1" t="inlineStr">
        <is>
          <t>Unverified</t>
        </is>
      </c>
      <c r="AB1147" s="1" t="n"/>
      <c r="AC1147" s="1" t="n"/>
      <c r="AD1147" s="10" t="n"/>
      <c r="AE1147" s="1" t="n"/>
      <c r="AF1147" t="inlineStr">
        <is>
          <t>Yes</t>
        </is>
      </c>
      <c r="AG1147" t="inlineStr">
        <is>
          <t>https://www.instagram.com/companygame_simuladores</t>
        </is>
      </c>
      <c r="AH1147" t="inlineStr">
        <is>
          <t>https://twitter.com/companygame</t>
        </is>
      </c>
      <c r="AI1147" t="inlineStr">
        <is>
          <t>https://es.linkedin.com/company/companygame</t>
        </is>
      </c>
    </row>
    <row r="1148" ht="12.5" customHeight="1">
      <c r="A1148" s="6" t="n">
        <v>45181</v>
      </c>
      <c r="B1148" s="1" t="inlineStr">
        <is>
          <t>ORG_1316</t>
        </is>
      </c>
      <c r="C1148" s="1" t="b">
        <v>1</v>
      </c>
      <c r="D1148" s="1" t="inlineStr">
        <is>
          <t>Cultydata</t>
        </is>
      </c>
      <c r="E1148" s="10" t="inlineStr">
        <is>
          <t>https://www.linkedin.cn/company/cultydata</t>
        </is>
      </c>
      <c r="F1148" t="inlineStr">
        <is>
          <t>linkedin.cn/company/cultydata</t>
        </is>
      </c>
      <c r="G1148" s="1" t="inlineStr">
        <is>
          <t>Tech company &amp; Edtech on Web3, Machine Learning, Iot, Maths &amp; Cryptographical System.</t>
        </is>
      </c>
      <c r="H1148" s="1" t="inlineStr">
        <is>
          <t>I'm not part of any EdTech association</t>
        </is>
      </c>
      <c r="I1148" s="1" t="n"/>
      <c r="J1148" s="1" t="inlineStr">
        <is>
          <t>Le Pecq</t>
        </is>
      </c>
      <c r="K1148" t="inlineStr">
        <is>
          <t>Le Pecq</t>
        </is>
      </c>
      <c r="L1148" t="inlineStr">
        <is>
          <t>Le Pecq, France</t>
        </is>
      </c>
      <c r="M1148" t="n">
        <v>48.8972505</v>
      </c>
      <c r="N1148" t="n">
        <v>2.1066273</v>
      </c>
      <c r="O1148" s="1" t="inlineStr">
        <is>
          <t>France</t>
        </is>
      </c>
      <c r="P1148" s="1" t="inlineStr">
        <is>
          <t>France</t>
        </is>
      </c>
      <c r="Q1148" s="1" t="inlineStr">
        <is>
          <t>0 to 10</t>
        </is>
      </c>
      <c r="R1148" t="inlineStr">
        <is>
          <t>Micro</t>
        </is>
      </c>
      <c r="S1148" s="1" t="inlineStr">
        <is>
          <t>Business to Business</t>
        </is>
      </c>
      <c r="T1148" s="1" t="inlineStr">
        <is>
          <t>Corporate Training, Lifelong learning/Adult education</t>
        </is>
      </c>
      <c r="U1148" s="1" t="inlineStr">
        <is>
          <t>Student interfacing, Teacher interfacing, System/Administrative</t>
        </is>
      </c>
      <c r="V1148" s="1" t="n"/>
      <c r="W1148" s="1" t="inlineStr">
        <is>
          <t>https://drive.google.com/uc?export=view&amp;id=1Pb8rf-_bbwpKvcrm2cRyWVgXlUbkiDSn</t>
        </is>
      </c>
      <c r="X1148" s="1" t="inlineStr">
        <is>
          <t>https://drive.google.com/uc?export=view&amp;id=1Pb8rf-_bbwpKvcrm2cRyWVgXlUbkiDSn</t>
        </is>
      </c>
      <c r="Y1148" t="inlineStr">
        <is>
          <t>https://drive.google.com/uc?export=view&amp;id=1Pb8rf-_bbwpKvcrm2cRyWVgXlUbkiDSn</t>
        </is>
      </c>
      <c r="Z1148" s="1" t="inlineStr">
        <is>
          <t>https://drive.google.com/uc?export=view&amp;id=1Pb8rf-_bbwpKvcrm2cRyWVgXlUbkiDSn</t>
        </is>
      </c>
      <c r="AA1148" s="1" t="inlineStr">
        <is>
          <t>Unverified</t>
        </is>
      </c>
      <c r="AB1148" s="1" t="n"/>
      <c r="AC1148" s="1" t="n"/>
      <c r="AD1148" s="10" t="n"/>
      <c r="AE1148" s="1" t="n"/>
      <c r="AF1148" s="1" t="inlineStr">
        <is>
          <t>No</t>
        </is>
      </c>
      <c r="AG1148" s="1" t="n"/>
      <c r="AH1148" s="1" t="n"/>
    </row>
    <row r="1149" ht="12.5" customHeight="1">
      <c r="A1149" s="6" t="n">
        <v>45181</v>
      </c>
      <c r="B1149" s="1" t="inlineStr">
        <is>
          <t>ORG_1713</t>
        </is>
      </c>
      <c r="C1149" s="1" t="b">
        <v>1</v>
      </c>
      <c r="D1149" s="1" t="inlineStr">
        <is>
          <t>imc</t>
        </is>
      </c>
      <c r="E1149" s="10" t="inlineStr">
        <is>
          <t>https://www.im-c.com/de/at/</t>
        </is>
      </c>
      <c r="F1149" t="inlineStr">
        <is>
          <t>im-c.com/de/at</t>
        </is>
      </c>
      <c r="G1149" s="1" t="inlineStr">
        <is>
          <t>We make learning better - by redefining (rewriting) the way we learn 
Experts in the fields of technology, e-learning content and strategy work hand in hand to provide holistic and customized e-learning solutions - worldwide. With 12 international locations and 350 employees, imc is the leading full-service provider for digital training. 1,300+ commercial enterprises, government organisations and educational institutes with over 10 million users around the world rely on imc's individual solutions.</t>
        </is>
      </c>
      <c r="H1149" s="1" t="inlineStr">
        <is>
          <t>EdTech Austria</t>
        </is>
      </c>
      <c r="I1149" s="1" t="n"/>
      <c r="J1149" s="1" t="inlineStr">
        <is>
          <t>Saarbrücken</t>
        </is>
      </c>
      <c r="K1149" t="inlineStr">
        <is>
          <t>Saarbrücken</t>
        </is>
      </c>
      <c r="L1149" t="inlineStr">
        <is>
          <t>Saarbrücken, Germany</t>
        </is>
      </c>
      <c r="M1149" t="n">
        <v>49.234362</v>
      </c>
      <c r="N1149" t="n">
        <v>6.996379</v>
      </c>
      <c r="O1149" s="1" t="inlineStr">
        <is>
          <t>Germany</t>
        </is>
      </c>
      <c r="P1149" s="1" t="inlineStr">
        <is>
          <t>Austria, Germany, Netherlands, Romania, Switzerland, United Kingdom</t>
        </is>
      </c>
      <c r="Q1149" s="1" t="inlineStr">
        <is>
          <t>100+</t>
        </is>
      </c>
      <c r="R1149" t="inlineStr">
        <is>
          <t>Medium or Large (unspecified)</t>
        </is>
      </c>
      <c r="S1149" s="1" t="inlineStr">
        <is>
          <t>Business to Business, Business to Consumer, Business to Government, Business to Schools</t>
        </is>
      </c>
      <c r="T1149" s="1" t="inlineStr">
        <is>
          <t>Corporate Training</t>
        </is>
      </c>
      <c r="U1149" s="1" t="inlineStr">
        <is>
          <t>Student interfacing, System/Administrative</t>
        </is>
      </c>
      <c r="V1149" s="10" t="inlineStr">
        <is>
          <t>imc Learning Suite</t>
        </is>
      </c>
      <c r="W1149" s="10" t="inlineStr">
        <is>
          <t>imc Learning Suite is the learning management system that can be smoothly integrated into any training scenario and any learning ecosystem. Classroom or digital, social, on the job, blended,
mobile or adaptive learning based on artificial intelligence – imc Learning Suite enables designed digital learning environments according to your personal needs. Manage all your learning processes in a single system, fully integrated with your IT ecosystem.</t>
        </is>
      </c>
      <c r="X1149" s="10" t="inlineStr">
        <is>
          <t>imc Express</t>
        </is>
      </c>
      <c r="Y1149" t="inlineStr">
        <is>
          <t>With imc Express your company gets everything it needs to create corporate e-learning and custom lessons with flexible authoring. The comprehensive tool kit consisting of design templates, image databases, surveys and much more ensures maximum creativity and flexibility for your employees. Also the possibility of different output formats such as text or audio ensure a perfect implementation of the learning experience. Of course, produced learning contents can be integrated into the imc Learning Suite without any problems.</t>
        </is>
      </c>
      <c r="Z1149" s="1" t="inlineStr">
        <is>
          <t>https://drive.google.com/uc?export=view&amp;id=1gdfZgbJP80bCuX24MmAYHEDY4nxJW2gR</t>
        </is>
      </c>
      <c r="AA1149" s="1" t="inlineStr">
        <is>
          <t>Unverified</t>
        </is>
      </c>
      <c r="AB1149" s="1" t="n"/>
      <c r="AC1149" s="1" t="n"/>
      <c r="AD1149" s="10" t="n"/>
      <c r="AE1149" s="1" t="n"/>
      <c r="AF1149" s="1" t="inlineStr">
        <is>
          <t>Yes</t>
        </is>
      </c>
      <c r="AG1149" s="1" t="inlineStr">
        <is>
          <t>https://www.instagram.com/imc_learning/?hl=de</t>
        </is>
      </c>
      <c r="AH1149" s="1" t="inlineStr">
        <is>
          <t>https://twitter.com/imc_learning</t>
        </is>
      </c>
      <c r="AI1149" t="inlineStr">
        <is>
          <t>https://www.linkedin.com/company/109738/admin/</t>
        </is>
      </c>
    </row>
    <row r="1150" ht="12.5" customHeight="1">
      <c r="A1150" s="6" t="n">
        <v>45181</v>
      </c>
      <c r="B1150" s="1" t="inlineStr">
        <is>
          <t>ORG_1724</t>
        </is>
      </c>
      <c r="C1150" s="1" t="b">
        <v>1</v>
      </c>
      <c r="D1150" s="1" t="inlineStr">
        <is>
          <t>Innoduel</t>
        </is>
      </c>
      <c r="E1150" s="10" t="inlineStr">
        <is>
          <t>www.innoduel.com</t>
        </is>
      </c>
      <c r="F1150" t="inlineStr">
        <is>
          <t>innoduel.com</t>
        </is>
      </c>
      <c r="G1150" s="1" t="inlineStr">
        <is>
          <t>We help educational leaders and teachers improve communities' and student groups' sense of belonging, inclusion and learning together by offering respectful methods for co-creation and engagement. Our inclusive method for gathering student feedback with immediate benefits is designed to end the era of retrospective course evaluation habits. We offer Innoduel SaaS-licenses and expert services to run amazing co-creation and engagement projects.</t>
        </is>
      </c>
      <c r="H1150" s="1" t="inlineStr">
        <is>
          <t>EdTech Finland</t>
        </is>
      </c>
      <c r="I1150" s="1" t="n"/>
      <c r="J1150" s="1" t="inlineStr">
        <is>
          <t>Helsinki</t>
        </is>
      </c>
      <c r="K1150" t="inlineStr">
        <is>
          <t>Helsinki</t>
        </is>
      </c>
      <c r="L1150" t="inlineStr">
        <is>
          <t>Helsinki, Finland</t>
        </is>
      </c>
      <c r="M1150" t="n">
        <v>60.1666204</v>
      </c>
      <c r="N1150" t="n">
        <v>24.9435408</v>
      </c>
      <c r="O1150" s="1" t="inlineStr">
        <is>
          <t>Finland</t>
        </is>
      </c>
      <c r="P1150" s="1" t="inlineStr">
        <is>
          <t>Finland, Italy</t>
        </is>
      </c>
      <c r="Q1150" s="1" t="inlineStr">
        <is>
          <t>0 to 10</t>
        </is>
      </c>
      <c r="R1150" t="inlineStr">
        <is>
          <t>Micro</t>
        </is>
      </c>
      <c r="S1150" s="1" t="inlineStr">
        <is>
          <t>Business to Business, Business to Consumer, Business to Government, Business to Schools</t>
        </is>
      </c>
      <c r="T1150" s="1" t="inlineStr">
        <is>
          <t>Secondary Education, Higher Education, Corporate Training, Lifelong learning/Adult education</t>
        </is>
      </c>
      <c r="U1150" s="1" t="inlineStr">
        <is>
          <t>Teacher interfacing, System/Administrative</t>
        </is>
      </c>
      <c r="V1150" s="1" t="inlineStr">
        <is>
          <t>Innoduel Saas -licence</t>
        </is>
      </c>
      <c r="W1150" s="10" t="inlineStr">
        <is>
          <t>For any teacher who wants to improve student groups' emotional climate by using inclusive co-creation methods. Use cases: course feed-forward, collective pedagogical activation, service design of new courses etc.
For any educational leader who wants to improve the well-being of his/her staff by utilizing inclusive and cyclic co-creation methods for better decision making.
For any educational institute wanting to scale inclusive and efficient co-creation methods for the benefit of students and employees.</t>
        </is>
      </c>
      <c r="X1150" s="10" t="inlineStr">
        <is>
          <t>Innoduel co-creation and engagement expert services</t>
        </is>
      </c>
      <c r="Y1150" t="inlineStr">
        <is>
          <t>We help leaders, educators, service designers and project managers engage focus groups in very efficient and inclusive way. By crafting beautiful engagement processes the focus groups feels sense of belonging and provide amazingly easy-to-read prioritised insight for evidence-informed decision making.
Our expert services utilise Innoduel as a digital tool and we plan the engagement process always with the customer from invitation to success celebration.</t>
        </is>
      </c>
      <c r="Z1150" s="1" t="inlineStr">
        <is>
          <t>https://drive.google.com/uc?export=view&amp;id=1ED0h_SCTDi4w-wsxOF05RHVTItOfJsvW</t>
        </is>
      </c>
      <c r="AA1150" s="1" t="inlineStr">
        <is>
          <t>Unverified</t>
        </is>
      </c>
      <c r="AB1150" s="1" t="n"/>
      <c r="AC1150" s="1" t="n"/>
      <c r="AD1150" s="10" t="n"/>
      <c r="AE1150" s="1" t="n"/>
      <c r="AF1150" s="1" t="inlineStr">
        <is>
          <t>Yes</t>
        </is>
      </c>
      <c r="AG1150" s="1" t="inlineStr">
        <is>
          <t>https://twitter.com/innoduel</t>
        </is>
      </c>
      <c r="AH1150" s="1" t="inlineStr">
        <is>
          <t>https://twitter.com/innoduel</t>
        </is>
      </c>
      <c r="AI1150" t="inlineStr">
        <is>
          <t>https://www.linkedin.com/company/innoduel</t>
        </is>
      </c>
    </row>
    <row r="1151" ht="12.5" customHeight="1">
      <c r="A1151" s="6" t="n">
        <v>45181</v>
      </c>
      <c r="B1151" s="1" t="inlineStr">
        <is>
          <t>ORG_1869</t>
        </is>
      </c>
      <c r="C1151" s="1" t="b">
        <v>1</v>
      </c>
      <c r="D1151" s="1" t="inlineStr">
        <is>
          <t>Lexplore</t>
        </is>
      </c>
      <c r="E1151" s="10" t="inlineStr">
        <is>
          <t>https://www.lexplore.com/</t>
        </is>
      </c>
      <c r="F1151" t="inlineStr">
        <is>
          <t>lexplore.com</t>
        </is>
      </c>
      <c r="G1151" s="1" t="inlineStr">
        <is>
          <t>Lexplore is all about reading development. We connect insights about each students reading ability, powered by AI, with proven reading exercises &amp; material. Our reading development platform is designed to empower teachers, motivate students and impact reading journeys everywhere.</t>
        </is>
      </c>
      <c r="H1151" s="1" t="inlineStr">
        <is>
          <t>Swedish EdTech Industry</t>
        </is>
      </c>
      <c r="I1151" s="1" t="n"/>
      <c r="J1151" s="1" t="inlineStr">
        <is>
          <t>Solna</t>
        </is>
      </c>
      <c r="K1151" t="inlineStr">
        <is>
          <t>Solna</t>
        </is>
      </c>
      <c r="L1151" t="inlineStr">
        <is>
          <t>Solna, Sweden</t>
        </is>
      </c>
      <c r="M1151" t="n">
        <v>59.366667</v>
      </c>
      <c r="N1151" t="n">
        <v>18.016667</v>
      </c>
      <c r="O1151" s="1" t="inlineStr">
        <is>
          <t>Sweden</t>
        </is>
      </c>
      <c r="P1151" s="1" t="inlineStr">
        <is>
          <t>Finland, Norway, Portugal, Sweden, United Kingdom</t>
        </is>
      </c>
      <c r="Q1151" s="1" t="inlineStr">
        <is>
          <t>11 to 50</t>
        </is>
      </c>
      <c r="R1151" t="inlineStr">
        <is>
          <t>Small</t>
        </is>
      </c>
      <c r="S1151" s="1" t="inlineStr">
        <is>
          <t>Business to Business, Business to Consumer, Business to Government, Business to Schools</t>
        </is>
      </c>
      <c r="T1151" s="1" t="inlineStr">
        <is>
          <t>Primary Education</t>
        </is>
      </c>
      <c r="U1151" s="1" t="inlineStr">
        <is>
          <t>Student interfacing, Teacher interfacing</t>
        </is>
      </c>
      <c r="V1151" s="10" t="inlineStr">
        <is>
          <t>Digital Reading Platform</t>
        </is>
      </c>
      <c r="W1151" s="10" t="inlineStr">
        <is>
          <t>The digital reading platform supports reading development at your school or in your municipality. Connecting insights about reading, powered by AI, with proven reading excercises to enable your school to learn how the students reading activities impact their reading progress and journey.</t>
        </is>
      </c>
      <c r="X1151" s="10" t="inlineStr">
        <is>
          <t>https://drive.google.com/uc?export=view&amp;id=1nRJiw6IGZE4MvGV75zFKV811KhrHJdy3</t>
        </is>
      </c>
      <c r="Y1151" t="inlineStr">
        <is>
          <t>https://drive.google.com/uc?export=view&amp;id=1nRJiw6IGZE4MvGV75zFKV811KhrHJdy3</t>
        </is>
      </c>
      <c r="Z1151" s="1" t="inlineStr">
        <is>
          <t>https://drive.google.com/uc?export=view&amp;id=1nRJiw6IGZE4MvGV75zFKV811KhrHJdy3</t>
        </is>
      </c>
      <c r="AA1151" s="1" t="inlineStr">
        <is>
          <t>Unverified</t>
        </is>
      </c>
      <c r="AB1151" s="1" t="n"/>
      <c r="AC1151" s="1" t="n"/>
      <c r="AD1151" s="10" t="n"/>
      <c r="AE1151" s="1" t="n"/>
      <c r="AF1151" s="1" t="inlineStr">
        <is>
          <t>Yes</t>
        </is>
      </c>
      <c r="AG1151" s="1" t="inlineStr">
        <is>
          <t>https://instagram.com/lexploreinc</t>
        </is>
      </c>
      <c r="AH1151" s="1" t="inlineStr">
        <is>
          <t>https://twitter.com/LexploreInc</t>
        </is>
      </c>
      <c r="AI1151" t="inlineStr">
        <is>
          <t>https://www.linkedin.com/company/lexplore-global/</t>
        </is>
      </c>
    </row>
    <row r="1152" ht="12.5" customHeight="1">
      <c r="A1152" s="6" t="n">
        <v>45181</v>
      </c>
      <c r="B1152" s="1" t="inlineStr">
        <is>
          <t>ORG_1994</t>
        </is>
      </c>
      <c r="C1152" s="1" t="b">
        <v>1</v>
      </c>
      <c r="D1152" s="1" t="inlineStr">
        <is>
          <t>Mr. Chadd</t>
        </is>
      </c>
      <c r="E1152" s="10" t="inlineStr">
        <is>
          <t>https://www.mrchadd.nl/</t>
        </is>
      </c>
      <c r="F1152" t="inlineStr">
        <is>
          <t>mrchadd.nl</t>
        </is>
      </c>
      <c r="G1152" s="1" t="inlineStr">
        <is>
          <t>Mr. Chadd: the digital teaching assistant
Teachers have a new solution in busy classrooms: Mr. Chadd. Pupils can ask their homework questions on our app that runs on mobile phone, tablet or desktop. Within ten seconds they are connected with a qualified, university student. They help the pupils until they understand the matter their questions was about. Mr. Chadd can provide help during class, or as an extra support outside the classroom.
We offer support for all courses and for all levels. By using Mr. Chadd, teachers get the opportunity to help single students, while others can ask their questions on Mr. Chadd. We see the results of the pupils that use Mr. Chadd improving and they have more fun studying!</t>
        </is>
      </c>
      <c r="H1152" s="1" t="inlineStr">
        <is>
          <t>I'm not part of any EdTech association</t>
        </is>
      </c>
      <c r="I1152" s="1" t="n"/>
      <c r="J1152" s="1" t="inlineStr">
        <is>
          <t>Groningen</t>
        </is>
      </c>
      <c r="K1152" t="inlineStr">
        <is>
          <t>Groningen</t>
        </is>
      </c>
      <c r="L1152" t="inlineStr">
        <is>
          <t>Groningen, The Netherlands</t>
        </is>
      </c>
      <c r="M1152" t="n">
        <v>53.1974568</v>
      </c>
      <c r="N1152" t="n">
        <v>6.5225217</v>
      </c>
      <c r="O1152" s="1" t="inlineStr">
        <is>
          <t>The Netherlands</t>
        </is>
      </c>
      <c r="P1152" s="1" t="inlineStr">
        <is>
          <t>Belgium, Netherlands</t>
        </is>
      </c>
      <c r="Q1152" s="1" t="inlineStr">
        <is>
          <t>11 to 50</t>
        </is>
      </c>
      <c r="R1152" t="inlineStr">
        <is>
          <t>Small</t>
        </is>
      </c>
      <c r="S1152" s="1" t="inlineStr">
        <is>
          <t>Business to Business, Business to Consumer, Business to Schools</t>
        </is>
      </c>
      <c r="T1152" s="1" t="inlineStr">
        <is>
          <t>Secondary Education, Higher Education</t>
        </is>
      </c>
      <c r="U1152" s="1" t="inlineStr">
        <is>
          <t>System/Administrative, Student interfacing, Teacher interfacing</t>
        </is>
      </c>
      <c r="V1152" s="1" t="n"/>
      <c r="W1152" s="1" t="inlineStr">
        <is>
          <t>https://drive.google.com/uc?export=view&amp;id=14fT4FXXZ-YiTbXfbqJFqfnbu1XmeJx8C</t>
        </is>
      </c>
      <c r="X1152" s="1" t="inlineStr">
        <is>
          <t>https://drive.google.com/uc?export=view&amp;id=14fT4FXXZ-YiTbXfbqJFqfnbu1XmeJx8C</t>
        </is>
      </c>
      <c r="Y1152" t="inlineStr">
        <is>
          <t>https://drive.google.com/uc?export=view&amp;id=14fT4FXXZ-YiTbXfbqJFqfnbu1XmeJx8C</t>
        </is>
      </c>
      <c r="Z1152" s="1" t="inlineStr">
        <is>
          <t>https://drive.google.com/uc?export=view&amp;id=14fT4FXXZ-YiTbXfbqJFqfnbu1XmeJx8C</t>
        </is>
      </c>
      <c r="AA1152" s="1" t="inlineStr">
        <is>
          <t>Unverified</t>
        </is>
      </c>
      <c r="AB1152" s="1" t="n"/>
      <c r="AC1152" s="1" t="n"/>
      <c r="AD1152" s="10" t="n"/>
      <c r="AE1152" s="1" t="n"/>
      <c r="AF1152" t="inlineStr">
        <is>
          <t>No</t>
        </is>
      </c>
    </row>
    <row r="1153" ht="12.5" customHeight="1">
      <c r="A1153" s="6" t="n">
        <v>45181</v>
      </c>
      <c r="B1153" s="1" t="inlineStr">
        <is>
          <t>ORG_1999</t>
        </is>
      </c>
      <c r="C1153" s="1" t="b">
        <v>1</v>
      </c>
      <c r="D1153" s="1" t="inlineStr">
        <is>
          <t>My Education Lifestyle</t>
        </is>
      </c>
      <c r="E1153" s="10" t="inlineStr">
        <is>
          <t>http://myeducation.company/</t>
        </is>
      </c>
      <c r="F1153" t="inlineStr">
        <is>
          <t>myeducation.company</t>
        </is>
      </c>
      <c r="G1153" s="1" t="inlineStr">
        <is>
          <t>Skills such as critical thinking, problem solving, financial literacy, stress resilience and active learning are at the top of the list of what young people need to develop so that they will have an interest in the next five years. And the traditional school system fails to teach them. The students experience that they do not feel heard when it comes to personal development and their mental health. They also experience that they have to switch between different apps to get to school information, which costs them time and energy. They also need balance, fun and connection. The teachers do not experience interaction through their current app and see the motivation of the students decrease. The parents experience little contact from school about their children's progress. My Education Lifestyle ensures that young people need to develop soft and hard skills and we prepare them for the increasing change of technology where traditional schools fail. We offer an all-in-one solution app that is user-friendly for the youth, schools and the parents where they will experience balance, fun and gaining knowledge at the same time. This will prepare millions of young people for the future.</t>
        </is>
      </c>
      <c r="H1153" s="1" t="inlineStr">
        <is>
          <t>I'm not part of any EdTech association</t>
        </is>
      </c>
      <c r="I1153" s="1" t="n"/>
      <c r="J1153" s="1" t="inlineStr">
        <is>
          <t>Purmerend</t>
        </is>
      </c>
      <c r="K1153" t="inlineStr">
        <is>
          <t>Purmerend</t>
        </is>
      </c>
      <c r="L1153" t="inlineStr">
        <is>
          <t>Purmerend, The Netherlands</t>
        </is>
      </c>
      <c r="M1153" t="n">
        <v>52.5149386</v>
      </c>
      <c r="N1153" t="n">
        <v>4.9911794</v>
      </c>
      <c r="O1153" s="1" t="inlineStr">
        <is>
          <t>The Netherlands</t>
        </is>
      </c>
      <c r="P1153" s="1" t="inlineStr">
        <is>
          <t>Netherlands</t>
        </is>
      </c>
      <c r="Q1153" s="1" t="inlineStr">
        <is>
          <t>0 to 10</t>
        </is>
      </c>
      <c r="R1153" t="inlineStr">
        <is>
          <t>Micro</t>
        </is>
      </c>
      <c r="S1153" s="1" t="inlineStr">
        <is>
          <t>Business to Business, Business to Consumer, Business to Schools</t>
        </is>
      </c>
      <c r="T1153" s="1" t="inlineStr">
        <is>
          <t>Secondary Education, Higher Education, Corporate Training</t>
        </is>
      </c>
      <c r="U1153" s="1" t="inlineStr">
        <is>
          <t>System/Administrative, Student interfacing, Teacher interfacing</t>
        </is>
      </c>
      <c r="V1153" s="1" t="n"/>
      <c r="W1153" s="1" t="inlineStr">
        <is>
          <t>https://drive.google.com/uc?export=view&amp;id=1DsOMND6IPzIUdf6Fhgw3TD4aVaEdsEnu</t>
        </is>
      </c>
      <c r="X1153" s="1" t="inlineStr">
        <is>
          <t>https://drive.google.com/uc?export=view&amp;id=1DsOMND6IPzIUdf6Fhgw3TD4aVaEdsEnu</t>
        </is>
      </c>
      <c r="Y1153" t="inlineStr">
        <is>
          <t>https://drive.google.com/uc?export=view&amp;id=1DsOMND6IPzIUdf6Fhgw3TD4aVaEdsEnu</t>
        </is>
      </c>
      <c r="Z1153" s="1" t="inlineStr">
        <is>
          <t>https://drive.google.com/uc?export=view&amp;id=1DsOMND6IPzIUdf6Fhgw3TD4aVaEdsEnu</t>
        </is>
      </c>
      <c r="AA1153" s="1" t="inlineStr">
        <is>
          <t>Unverified</t>
        </is>
      </c>
      <c r="AB1153" s="1" t="n"/>
      <c r="AC1153" s="1" t="n"/>
      <c r="AD1153" s="10" t="n"/>
      <c r="AE1153" s="1" t="n"/>
      <c r="AF1153" t="inlineStr">
        <is>
          <t>No</t>
        </is>
      </c>
    </row>
    <row r="1154" ht="12.5" customHeight="1">
      <c r="A1154" s="6" t="n">
        <v>45181</v>
      </c>
      <c r="B1154" s="1" t="inlineStr">
        <is>
          <t>ORG_2078</t>
        </is>
      </c>
      <c r="C1154" s="1" t="b">
        <v>1</v>
      </c>
      <c r="D1154" s="1" t="inlineStr">
        <is>
          <t>ORIENTOI</t>
        </is>
      </c>
      <c r="E1154" s="10" t="inlineStr">
        <is>
          <t>https://orientoi.fr</t>
        </is>
      </c>
      <c r="F1154" t="inlineStr">
        <is>
          <t>orientoi.fr</t>
        </is>
      </c>
      <c r="G1154" s="1" t="inlineStr">
        <is>
          <t>What if we orient ourselves through play?
Building your orientation project while having fun is possible with Orientoi: Thanks to the innovative digital platforms developed, young people play and discover new professions in a positive way.
Discover an intuitive technology based on artificial intelligence, allowing you to create a personalized route, adapted and designed for the user. Playful and connected, the platform is updated with each new interaction. The ideal solution to include young people and help them identify their talents and play a role in their orientation.
Give yourself the means to accompany them!
Orientoi provides a connected space to allow tailor-made support for everyone: parents, teachers, supervisors, psychologists and coaches. You all have superpowers.</t>
        </is>
      </c>
      <c r="H1154" s="1" t="inlineStr">
        <is>
          <t>EdTech France</t>
        </is>
      </c>
      <c r="I1154" s="1" t="n"/>
      <c r="J1154" s="1" t="inlineStr">
        <is>
          <t>Lille</t>
        </is>
      </c>
      <c r="K1154" t="inlineStr">
        <is>
          <t>Lille</t>
        </is>
      </c>
      <c r="L1154" t="inlineStr">
        <is>
          <t>Lille, France</t>
        </is>
      </c>
      <c r="M1154" t="n">
        <v>50.6365654</v>
      </c>
      <c r="N1154" t="n">
        <v>3.0635282</v>
      </c>
      <c r="O1154" s="1" t="inlineStr">
        <is>
          <t>France</t>
        </is>
      </c>
      <c r="P1154" s="1" t="inlineStr">
        <is>
          <t>France, Switzerland</t>
        </is>
      </c>
      <c r="Q1154" s="1" t="inlineStr">
        <is>
          <t>0 to 10</t>
        </is>
      </c>
      <c r="R1154" t="inlineStr">
        <is>
          <t>Micro</t>
        </is>
      </c>
      <c r="S1154" s="1" t="inlineStr">
        <is>
          <t>Business to Business, Business to Government</t>
        </is>
      </c>
      <c r="T1154" s="1" t="inlineStr">
        <is>
          <t>Secondary Education, Higher Education, Corporate Training, Lifelong learning/Adult education</t>
        </is>
      </c>
      <c r="U1154" s="1" t="inlineStr">
        <is>
          <t>System/Administrative, Student interfacing, Teacher interfacing</t>
        </is>
      </c>
      <c r="V1154" s="10" t="inlineStr">
        <is>
          <t>Orientoi Success</t>
        </is>
      </c>
      <c r="W1154" s="10" t="inlineStr">
        <is>
          <t>This digital, fun and positive solution is an innovative vision of the construction of guidance paths. By offering this concept based on use and interconnected with all guidance actors, ORIENTOI allows the user to identify their talents while playing and to discover jobs adapted to their personality.
The platform contains 2 parts: a web application for users; a dashboard for teachers and parents.</t>
        </is>
      </c>
      <c r="X1154" s="10" t="inlineStr">
        <is>
          <t>Orientoi Opportunity</t>
        </is>
      </c>
      <c r="Y1154" t="inlineStr">
        <is>
          <t>ORIENTOI has a personalized feature that allows training organizations to highlight their training, internship or work-study offers to their future candidates. The digital, fun and positive approach leads users to greater self-confidence and connects them to concrete proposals available.
The platform contains 2 parts: a web application for users; a dashboard for training and job placement advisors.</t>
        </is>
      </c>
      <c r="Z1154" s="1" t="inlineStr">
        <is>
          <t>https://drive.google.com/uc?export=view&amp;id=17moXERTj1ZGNWUaqGQ6UBPoaHz-va5EF</t>
        </is>
      </c>
      <c r="AA1154" s="1" t="inlineStr">
        <is>
          <t>Unverified</t>
        </is>
      </c>
      <c r="AB1154" s="1" t="n"/>
      <c r="AC1154" s="1" t="n"/>
      <c r="AD1154" s="10" t="n"/>
      <c r="AE1154" s="1" t="n"/>
      <c r="AF1154" t="inlineStr">
        <is>
          <t>Yes</t>
        </is>
      </c>
      <c r="AG1154" t="inlineStr">
        <is>
          <t>https://www.instagram.com/orientoi.fr/</t>
        </is>
      </c>
      <c r="AH1154" t="inlineStr">
        <is>
          <t>https://twitter.com/orientoi</t>
        </is>
      </c>
      <c r="AI1154" t="inlineStr">
        <is>
          <t>https://www.linkedin.com/company/orientoi/</t>
        </is>
      </c>
    </row>
    <row r="1155" ht="12.5" customHeight="1">
      <c r="A1155" s="6" t="n">
        <v>45181</v>
      </c>
      <c r="B1155" s="1" t="inlineStr">
        <is>
          <t>ORG_2090</t>
        </is>
      </c>
      <c r="C1155" s="1" t="b">
        <v>1</v>
      </c>
      <c r="D1155" s="1" t="inlineStr">
        <is>
          <t>pathfindr ApS</t>
        </is>
      </c>
      <c r="E1155" s="1" t="inlineStr">
        <is>
          <t>pathfindr.dev</t>
        </is>
      </c>
      <c r="F1155" t="inlineStr">
        <is>
          <t>pathfindr.dev</t>
        </is>
      </c>
      <c r="G1155" s="1" t="inlineStr">
        <is>
          <t>Pathfindr (formerly feedbackbox) provides you with a set of tools that enable you to share &amp; receive video messages, make screen recordings and comment or annotate in documents. You can seamlessly integrate our tools to your existing apps. We offer easily installed plugins, an API or an on-premise solution. Our infrastructure is ready for you to deploy immediately (incl. storage, encoding and streaming). We have pre built recorders and video players as front end components. This means, wherever you have text input today you can upgrade it to include a video and screen recorder.</t>
        </is>
      </c>
      <c r="H1155" s="1" t="inlineStr">
        <is>
          <t>EdTech Denmark</t>
        </is>
      </c>
      <c r="I1155" s="1" t="n"/>
      <c r="J1155" s="1" t="inlineStr">
        <is>
          <t>Svendborg</t>
        </is>
      </c>
      <c r="K1155" t="inlineStr">
        <is>
          <t>Svendborg</t>
        </is>
      </c>
      <c r="L1155" t="inlineStr">
        <is>
          <t>Svendborg, Denmark</t>
        </is>
      </c>
      <c r="M1155" t="n">
        <v>55.0636625</v>
      </c>
      <c r="N1155" t="n">
        <v>10.6084725</v>
      </c>
      <c r="O1155" s="1" t="inlineStr">
        <is>
          <t>Denmark</t>
        </is>
      </c>
      <c r="P1155" s="1" t="inlineStr">
        <is>
          <t>Denmark, Germany, Slovakia</t>
        </is>
      </c>
      <c r="Q1155" s="1" t="inlineStr">
        <is>
          <t>0 to 10</t>
        </is>
      </c>
      <c r="R1155" t="inlineStr">
        <is>
          <t>Micro</t>
        </is>
      </c>
      <c r="S1155" s="1" t="inlineStr">
        <is>
          <t>Business to Business, Business to Government</t>
        </is>
      </c>
      <c r="T1155" s="1" t="inlineStr">
        <is>
          <t>Early childhood development (0-5 years), Primary Education, Secondary Education, Higher Education, Corporate Training, Lifelong learning/Adult education</t>
        </is>
      </c>
      <c r="U1155" s="1" t="inlineStr">
        <is>
          <t>Teacher interfacing, System/Administrative</t>
        </is>
      </c>
      <c r="V1155" s="1" t="inlineStr">
        <is>
          <t>Annotation SDK</t>
        </is>
      </c>
      <c r="W1155" s="1" t="inlineStr">
        <is>
          <t>Move away from red marks and turn corrections into screen and camera recordings where teachers' explanations become alive and attract attention. It is an SDK that you can deploy directly into your code base and be up and running with advanced features developed in Denmark.</t>
        </is>
      </c>
      <c r="X1155" s="10" t="inlineStr">
        <is>
          <t>Video SDK</t>
        </is>
      </c>
      <c r="Y1155" t="inlineStr">
        <is>
          <t>The video SDK is a cam/screen recorder that can be embedded into existing input fields. It can be implemented wherever you have a text to write. It provides the functionality to seamlessly record, upload, store, encode and stream videos.</t>
        </is>
      </c>
      <c r="Z1155" s="1" t="inlineStr">
        <is>
          <t>https://drive.google.com/uc?export=view&amp;id=1RGRmFCFoZkr1QaDuW2XCqtsw2RiGFA4d</t>
        </is>
      </c>
      <c r="AA1155" s="1" t="inlineStr">
        <is>
          <t>Unverified</t>
        </is>
      </c>
      <c r="AB1155" s="1" t="n"/>
      <c r="AC1155" s="1" t="n"/>
      <c r="AD1155" s="10" t="n"/>
      <c r="AE1155" s="1" t="n"/>
      <c r="AF1155" t="inlineStr">
        <is>
          <t>Yes</t>
        </is>
      </c>
      <c r="AG1155" t="inlineStr">
        <is>
          <t>https://www.linkedin.com/company/feedbackbox/</t>
        </is>
      </c>
      <c r="AH1155" t="inlineStr">
        <is>
          <t>https://www.linkedin.com/company/feedbackbox/</t>
        </is>
      </c>
      <c r="AI1155" t="inlineStr">
        <is>
          <t>https://www.linkedin.com/company/feedbackbox/</t>
        </is>
      </c>
    </row>
    <row r="1156" ht="12.5" customHeight="1">
      <c r="A1156" s="6" t="n">
        <v>45181</v>
      </c>
      <c r="B1156" s="1" t="inlineStr">
        <is>
          <t>ORG_2121</t>
        </is>
      </c>
      <c r="C1156" s="1" t="b">
        <v>1</v>
      </c>
      <c r="D1156" s="1" t="inlineStr">
        <is>
          <t>Praktikal</t>
        </is>
      </c>
      <c r="E1156" s="10" t="inlineStr">
        <is>
          <t>www.praktikal.ee/en</t>
        </is>
      </c>
      <c r="F1156" t="inlineStr">
        <is>
          <t>praktikal.ee/en</t>
        </is>
      </c>
      <c r="G1156" s="1" t="inlineStr">
        <is>
          <t>Praktikal is an ecosystem for teaching STEM subjects.</t>
        </is>
      </c>
      <c r="H1156" s="1" t="inlineStr">
        <is>
          <t>EdTech Estonia</t>
        </is>
      </c>
      <c r="I1156" s="1" t="n"/>
      <c r="J1156" s="1" t="inlineStr">
        <is>
          <t>Tartu</t>
        </is>
      </c>
      <c r="K1156" t="inlineStr">
        <is>
          <t>Tartu</t>
        </is>
      </c>
      <c r="L1156" t="inlineStr">
        <is>
          <t>Tartu, Estonia</t>
        </is>
      </c>
      <c r="M1156" t="n">
        <v>58.3779528</v>
      </c>
      <c r="N1156" t="n">
        <v>26.7290023</v>
      </c>
      <c r="O1156" s="1" t="inlineStr">
        <is>
          <t>Estonia</t>
        </is>
      </c>
      <c r="P1156" s="1" t="inlineStr">
        <is>
          <t>Estonia</t>
        </is>
      </c>
      <c r="Q1156" s="1" t="inlineStr">
        <is>
          <t>0 to 10</t>
        </is>
      </c>
      <c r="R1156" t="inlineStr">
        <is>
          <t>Micro</t>
        </is>
      </c>
      <c r="S1156" s="1" t="inlineStr">
        <is>
          <t>Business to Business, Business to Government, Business to Schools</t>
        </is>
      </c>
      <c r="T1156" s="1" t="inlineStr">
        <is>
          <t>Primary Education, Secondary Education</t>
        </is>
      </c>
      <c r="U1156" s="1" t="inlineStr">
        <is>
          <t>System/Administrative, Student interfacing, Teacher interfacing</t>
        </is>
      </c>
      <c r="V1156" s="10" t="inlineStr">
        <is>
          <t>STEM experiment kits</t>
        </is>
      </c>
      <c r="W1156" s="1" t="inlineStr">
        <is>
          <t>All of the needed materials in a single solution for hands-on experiments in a single topic, eg. optics, thermodynamics.</t>
        </is>
      </c>
      <c r="X1156" s="10" t="inlineStr">
        <is>
          <t>STEM teaching materials</t>
        </is>
      </c>
      <c r="Y1156" t="inlineStr">
        <is>
          <t>It takes a lot of time and effort to create guides and lesson plans which have hands-on experiments in them. We offer ready made guides, lessons plans, videos etc. for the whole course.</t>
        </is>
      </c>
      <c r="Z1156" s="1" t="inlineStr">
        <is>
          <t>https://drive.google.com/uc?export=view&amp;id=1DahPExhIF6iqK5-ftiAVwq9CGfTBMOOF</t>
        </is>
      </c>
      <c r="AA1156" s="1" t="inlineStr">
        <is>
          <t>Unverified</t>
        </is>
      </c>
      <c r="AB1156" s="1" t="n"/>
      <c r="AC1156" s="1" t="n"/>
      <c r="AD1156" s="10" t="n"/>
      <c r="AE1156" s="1" t="n"/>
      <c r="AF1156" t="inlineStr">
        <is>
          <t>Yes</t>
        </is>
      </c>
      <c r="AG1156" t="inlineStr">
        <is>
          <t>https://www.instagram.com/praktikal_edu/</t>
        </is>
      </c>
      <c r="AH1156" t="inlineStr">
        <is>
          <t>https://www.linkedin.com/company/74497960</t>
        </is>
      </c>
      <c r="AI1156" t="inlineStr">
        <is>
          <t>https://www.linkedin.com/company/74497960</t>
        </is>
      </c>
    </row>
    <row r="1157" ht="12.5" customHeight="1">
      <c r="A1157" s="6" t="n">
        <v>45181</v>
      </c>
      <c r="B1157" s="1" t="inlineStr">
        <is>
          <t>ORG_2144</t>
        </is>
      </c>
      <c r="C1157" s="1" t="b">
        <v>1</v>
      </c>
      <c r="D1157" s="1" t="inlineStr">
        <is>
          <t>QUBS</t>
        </is>
      </c>
      <c r="E1157" s="10" t="inlineStr">
        <is>
          <t>www.qubs.toys</t>
        </is>
      </c>
      <c r="F1157" t="inlineStr">
        <is>
          <t>qubs.toys</t>
        </is>
      </c>
      <c r="G1157" s="1" t="inlineStr">
        <is>
          <t>At QUBS, we believe there are better ways for children to learn through play. That’s why we build toys that nurture creativity: enabling kids to explore their imagination and build future skills while having fun. QUBS products might look like traditional wooden toys, but there’s ingenious technology inside. Unlike other tech-enabled STEM children’s toys, QUBS products are secure to use and have an eternal shelf-life: never needing updates or linking to Wi-Fi or Bluetooth. Loved by little ones, and trusted by parents and teachers, our intuitive, gender neutral toys, make learning entertaining and accessible. Developing the next generation of thinkers and doers – no screens required.</t>
        </is>
      </c>
      <c r="H1157" s="1" t="inlineStr">
        <is>
          <t>I'm not part of any EdTech association</t>
        </is>
      </c>
      <c r="I1157" s="1" t="n"/>
      <c r="J1157" s="1" t="inlineStr">
        <is>
          <t>Zurich</t>
        </is>
      </c>
      <c r="K1157" t="inlineStr">
        <is>
          <t>Zurich</t>
        </is>
      </c>
      <c r="L1157" t="inlineStr">
        <is>
          <t>Zurich, Switzerland</t>
        </is>
      </c>
      <c r="M1157" t="n">
        <v>47.3744489</v>
      </c>
      <c r="N1157" t="n">
        <v>8.5410422</v>
      </c>
      <c r="O1157" s="1" t="inlineStr">
        <is>
          <t>Switzerland</t>
        </is>
      </c>
      <c r="P1157" s="1" t="inlineStr">
        <is>
          <t>Austria, Belgium, Cyprus, Denmark, France, Germany, Greece, Italy, Lithuania, Luxembourg, Malta, Monaco, Netherlands, Norway, Poland, Portugal, Romania, San Marino, Spain, Sweden, Switzerland, United Kingdom</t>
        </is>
      </c>
      <c r="Q1157" s="1" t="inlineStr">
        <is>
          <t>0 to 10</t>
        </is>
      </c>
      <c r="R1157" t="inlineStr">
        <is>
          <t>Micro</t>
        </is>
      </c>
      <c r="S1157" s="1" t="inlineStr">
        <is>
          <t>Business to Business, Business to Government, Business to Schools</t>
        </is>
      </c>
      <c r="T1157" s="1" t="inlineStr">
        <is>
          <t>Early childhood development (0-5 years), Primary Education</t>
        </is>
      </c>
      <c r="U1157" s="1" t="inlineStr">
        <is>
          <t>System/Administrative, Student interfacing, Teacher interfacing</t>
        </is>
      </c>
      <c r="V1157" s="1" t="n"/>
      <c r="W1157" s="1" t="inlineStr">
        <is>
          <t>https://drive.google.com/uc?export=view&amp;id=18G2xDI5-8mV4ir5tfLVViKDuERCKjdF7</t>
        </is>
      </c>
      <c r="X1157" s="1" t="inlineStr">
        <is>
          <t>https://drive.google.com/uc?export=view&amp;id=18G2xDI5-8mV4ir5tfLVViKDuERCKjdF7</t>
        </is>
      </c>
      <c r="Y1157" t="inlineStr">
        <is>
          <t>https://drive.google.com/uc?export=view&amp;id=18G2xDI5-8mV4ir5tfLVViKDuERCKjdF7</t>
        </is>
      </c>
      <c r="Z1157" s="1" t="inlineStr">
        <is>
          <t>https://drive.google.com/uc?export=view&amp;id=18G2xDI5-8mV4ir5tfLVViKDuERCKjdF7</t>
        </is>
      </c>
      <c r="AA1157" s="1" t="inlineStr">
        <is>
          <t>Unverified</t>
        </is>
      </c>
      <c r="AB1157" s="1" t="n"/>
      <c r="AC1157" s="1" t="n"/>
      <c r="AD1157" s="10" t="n"/>
      <c r="AE1157" s="1" t="n"/>
      <c r="AF1157" t="inlineStr">
        <is>
          <t>No</t>
        </is>
      </c>
    </row>
    <row r="1158" ht="12.5" customHeight="1">
      <c r="A1158" s="6" t="n">
        <v>45181</v>
      </c>
      <c r="B1158" s="1" t="inlineStr">
        <is>
          <t>ORG_2159</t>
        </is>
      </c>
      <c r="C1158" s="1" t="b">
        <v>1</v>
      </c>
      <c r="D1158" s="1" t="inlineStr">
        <is>
          <t>RE-L Network</t>
        </is>
      </c>
      <c r="E1158" s="10" t="inlineStr">
        <is>
          <t>https://re-l.network/</t>
        </is>
      </c>
      <c r="F1158" t="inlineStr">
        <is>
          <t>re-l.network</t>
        </is>
      </c>
      <c r="G1158" s="1" t="inlineStr">
        <is>
          <t>RE-L Network is the all-in-one people development and live events platform for the real estate industry and built world organizations.
Our platform provides businesses support to grow their teams, from the first hire to employee promotion and advancement. 
RE-L Network Business brings all the infrastructure and tools for an effective people management strategy, team building and improved communications.
RE-L Network is the cloud-based solution that features the latest tools for faster training delivery and successful employee onboarding: live sessions, professional events, personalized coaching, and any types of e-learning content. 
For experts, RE-L Network Marketplace is the opportunity to build a community online and turn knowledge into a scalable venture.
We enable organisations increase their leadership and focus on their most important asset: their people. 
Our mission is to enhance the workplace experience for a whole industry.</t>
        </is>
      </c>
      <c r="H1158" s="1" t="inlineStr">
        <is>
          <t>I'm not part of any EdTech association</t>
        </is>
      </c>
      <c r="I1158" s="1" t="n"/>
      <c r="J1158" s="1" t="inlineStr">
        <is>
          <t>London</t>
        </is>
      </c>
      <c r="K1158" t="inlineStr">
        <is>
          <t>London</t>
        </is>
      </c>
      <c r="L1158" t="inlineStr">
        <is>
          <t>London, United Kingdom</t>
        </is>
      </c>
      <c r="M1158" t="n">
        <v>51.5074456</v>
      </c>
      <c r="N1158" t="n">
        <v>-0.1277653</v>
      </c>
      <c r="O1158" s="1" t="inlineStr">
        <is>
          <t>United Kingdom</t>
        </is>
      </c>
      <c r="P1158" s="1" t="inlineStr">
        <is>
          <t>United Kingdom</t>
        </is>
      </c>
      <c r="Q1158" s="1" t="inlineStr">
        <is>
          <t>0 to 10</t>
        </is>
      </c>
      <c r="R1158" t="inlineStr">
        <is>
          <t>Micro</t>
        </is>
      </c>
      <c r="S1158" s="1" t="inlineStr">
        <is>
          <t>Business to Business, Business to Government, Business to Schools</t>
        </is>
      </c>
      <c r="T1158" s="1" t="inlineStr">
        <is>
          <t>Corporate Training, Lifelong learning/Adult education</t>
        </is>
      </c>
      <c r="U1158" s="1" t="inlineStr">
        <is>
          <t>Teacher interfacing, System/Administrative</t>
        </is>
      </c>
      <c r="V1158" s="1" t="n"/>
      <c r="W1158" s="1" t="inlineStr">
        <is>
          <t>https://drive.google.com/uc?export=view&amp;id=1Rl0kN3f3VuTBY5fY2ahciCgSG7vkgaaP</t>
        </is>
      </c>
      <c r="X1158" s="1" t="inlineStr">
        <is>
          <t>https://drive.google.com/uc?export=view&amp;id=1Rl0kN3f3VuTBY5fY2ahciCgSG7vkgaaP</t>
        </is>
      </c>
      <c r="Y1158" t="inlineStr">
        <is>
          <t>https://drive.google.com/uc?export=view&amp;id=1Rl0kN3f3VuTBY5fY2ahciCgSG7vkgaaP</t>
        </is>
      </c>
      <c r="Z1158" s="1" t="inlineStr">
        <is>
          <t>https://drive.google.com/uc?export=view&amp;id=1Rl0kN3f3VuTBY5fY2ahciCgSG7vkgaaP</t>
        </is>
      </c>
      <c r="AA1158" s="1" t="inlineStr">
        <is>
          <t>Unverified</t>
        </is>
      </c>
      <c r="AB1158" s="1" t="n"/>
      <c r="AC1158" s="1" t="n"/>
      <c r="AD1158" s="10" t="n"/>
      <c r="AE1158" s="1" t="n"/>
      <c r="AF1158" t="inlineStr">
        <is>
          <t>No</t>
        </is>
      </c>
    </row>
    <row r="1159" ht="12.5" customHeight="1">
      <c r="A1159" s="6" t="n">
        <v>45181</v>
      </c>
      <c r="B1159" s="1" t="inlineStr">
        <is>
          <t>ORG_2269</t>
        </is>
      </c>
      <c r="C1159" s="1" t="b">
        <v>1</v>
      </c>
      <c r="D1159" s="1" t="inlineStr">
        <is>
          <t>SKOLENGO</t>
        </is>
      </c>
      <c r="E1159" s="10" t="inlineStr">
        <is>
          <t>https://www.skolengo.com/en/</t>
        </is>
      </c>
      <c r="F1159" t="inlineStr">
        <is>
          <t>skolengo.com/en</t>
        </is>
      </c>
      <c r="G1159" s="1" t="inlineStr">
        <is>
          <t>Skolengo is a major player in European Digital Education sector and, for more than 20 years, has been assisting schools, junior schools, high schools or Higher Education establishments as well as the institutions which administer them, in their process of integrating digital technology at all levels.
Our teams are composed of 120 educational specialists and digital experts, and, in collaboration with stakeholders in the field, have designed a solution which allows the educational community to concentrate on its missions while greatly easing the technical constraints which weigh on schools and universities.
A highly innovative company, we work together to offer digital solutions adapted to schools which are more and more connected, personalised and adaptive.</t>
        </is>
      </c>
      <c r="H1159" s="1" t="inlineStr">
        <is>
          <t>AFINEF, EdTech France</t>
        </is>
      </c>
      <c r="I1159" s="1" t="n"/>
      <c r="J1159" s="1" t="inlineStr">
        <is>
          <t>Nantes</t>
        </is>
      </c>
      <c r="K1159" t="inlineStr">
        <is>
          <t>Nantes</t>
        </is>
      </c>
      <c r="L1159" t="inlineStr">
        <is>
          <t>Nantes, France</t>
        </is>
      </c>
      <c r="M1159" t="n">
        <v>47.2186371</v>
      </c>
      <c r="N1159" t="n">
        <v>-1.5541362</v>
      </c>
      <c r="O1159" s="1" t="inlineStr">
        <is>
          <t>France</t>
        </is>
      </c>
      <c r="P1159" s="1" t="inlineStr">
        <is>
          <t>France</t>
        </is>
      </c>
      <c r="Q1159" s="1" t="inlineStr">
        <is>
          <t>100+</t>
        </is>
      </c>
      <c r="R1159" t="inlineStr">
        <is>
          <t>Medium or Large (unspecified)</t>
        </is>
      </c>
      <c r="S1159" s="1" t="inlineStr">
        <is>
          <t>Business to Business, Business to Schools</t>
        </is>
      </c>
      <c r="T1159" s="1" t="inlineStr">
        <is>
          <t>Primary Education, Secondary Education, Higher Education, Lifelong learning/Adult education</t>
        </is>
      </c>
      <c r="U1159" s="1" t="inlineStr">
        <is>
          <t>System/Administrative, Student interfacing, Teacher interfacing</t>
        </is>
      </c>
      <c r="V1159" s="1" t="inlineStr">
        <is>
          <t>Skolengo</t>
        </is>
      </c>
      <c r="W1159" s="10" t="inlineStr">
        <is>
          <t>Skolengo, the EMS (Education Management Software), is an SaaS platform dedicated to teaching and training establishments but also to the institutions managing school networks.
Its goal: to closely adapt to the needs of education and to optimise the operation of schools though all their facets.
Skolengo adapts to each school's own needs. Opt for modules that interest you and our teams will integrate them into your existing information system : 
- Communication
Develop and reinforce the links within your educational community
- Collaborative
Reinforce the collaboration between teachers and their pupils/students but also between all members of your educational community
- Teaching
Liven up your teaching activities and provide each student with individual assistance
- Schooling
Provide a tailored follow-up for each learner: management of absences, assessments, student records, punishments/sanctions; internship management, etc.
- Timetable
Design and modify your school’s timetable easily
- Administrative &amp; Finance
Provide efficient management of your school and simplify the administrative and financial procedures of the school and families
- Catering
No more uncounted entries! Gain in efficiency in the management of catering and its billing
- Training &amp; Course Choice
Assisting students in building their educational and professional path</t>
        </is>
      </c>
      <c r="X1159" s="1" t="inlineStr">
        <is>
          <t>https://drive.google.com/uc?export=view&amp;id=1Fr4xey2vcvAVdqnR9bN2y88ZENlS6Spc</t>
        </is>
      </c>
      <c r="Y1159" t="inlineStr">
        <is>
          <t>https://drive.google.com/uc?export=view&amp;id=1Fr4xey2vcvAVdqnR9bN2y88ZENlS6Spc</t>
        </is>
      </c>
      <c r="Z1159" s="1" t="inlineStr">
        <is>
          <t>https://drive.google.com/uc?export=view&amp;id=1Fr4xey2vcvAVdqnR9bN2y88ZENlS6Spc</t>
        </is>
      </c>
      <c r="AA1159" s="1" t="inlineStr">
        <is>
          <t>Unverified</t>
        </is>
      </c>
      <c r="AB1159" s="1" t="n"/>
      <c r="AC1159" s="1" t="n"/>
      <c r="AD1159" s="10" t="n"/>
      <c r="AE1159" s="1" t="n"/>
      <c r="AF1159" s="1" t="inlineStr">
        <is>
          <t>Yes</t>
        </is>
      </c>
      <c r="AG1159" s="1" t="inlineStr">
        <is>
          <t>https://twitter.com/skolengo</t>
        </is>
      </c>
      <c r="AH1159" s="1" t="inlineStr">
        <is>
          <t>https://twitter.com/skolengo</t>
        </is>
      </c>
      <c r="AI1159" s="1" t="n"/>
      <c r="AJ1159" s="1" t="n"/>
    </row>
    <row r="1160" ht="12.5" customHeight="1">
      <c r="A1160" s="6" t="n">
        <v>45181</v>
      </c>
      <c r="B1160" s="1" t="inlineStr">
        <is>
          <t>ORG_2270</t>
        </is>
      </c>
      <c r="C1160" s="1" t="b">
        <v>1</v>
      </c>
      <c r="D1160" s="1" t="inlineStr">
        <is>
          <t>Skolon</t>
        </is>
      </c>
      <c r="E1160" s="10" t="inlineStr">
        <is>
          <t>https://skolon.com</t>
        </is>
      </c>
      <c r="F1160" t="inlineStr">
        <is>
          <t>skolon.com</t>
        </is>
      </c>
      <c r="G1160" s="1" t="inlineStr">
        <is>
          <t>Skolon enables easy access to all digital tools for students and teachers, in the classroom and remotely. The Skolon Platform gathers all the school’s digital resources in a personal view for each teacher and student, accessible via one login with Single Sign On. Skolon also provides a unique licensing management function for managing the school’s various tools and licenses from different providers, all in one place. A single view allows you to clearly see and control who has access to what.
Skolon has a built in EduStore where our users can search, try out, find and buy new digital resources and tools, quickly and easily, with automated distribution and assignment for each user.</t>
        </is>
      </c>
      <c r="H1160" s="1" t="inlineStr">
        <is>
          <t>Swedish EdTech Industry</t>
        </is>
      </c>
      <c r="I1160" s="1" t="n"/>
      <c r="J1160" s="1" t="inlineStr">
        <is>
          <t>Karlshamn</t>
        </is>
      </c>
      <c r="K1160" t="inlineStr">
        <is>
          <t>Karlshamn</t>
        </is>
      </c>
      <c r="L1160" t="inlineStr">
        <is>
          <t>Karlshamn, Sweden</t>
        </is>
      </c>
      <c r="M1160" t="n">
        <v>56.1701723</v>
      </c>
      <c r="N1160" t="n">
        <v>14.8631279</v>
      </c>
      <c r="O1160" s="1" t="inlineStr">
        <is>
          <t>Sweden</t>
        </is>
      </c>
      <c r="P1160" s="1" t="inlineStr">
        <is>
          <t>Denmark, Finland, Norway, Sweden, United Kingdom</t>
        </is>
      </c>
      <c r="Q1160" s="1" t="inlineStr">
        <is>
          <t>11 to 50</t>
        </is>
      </c>
      <c r="R1160" t="inlineStr">
        <is>
          <t>Small</t>
        </is>
      </c>
      <c r="S1160" s="1" t="inlineStr">
        <is>
          <t>Business to Business, Business to Schools</t>
        </is>
      </c>
      <c r="T1160" s="1" t="inlineStr">
        <is>
          <t>Early childhood development (0-5 years), Primary Education, Secondary Education</t>
        </is>
      </c>
      <c r="U1160" s="1" t="inlineStr">
        <is>
          <t>Student interfacing, Teacher interfacing, System/Administrative</t>
        </is>
      </c>
      <c r="V1160" s="10" t="inlineStr">
        <is>
          <t>Skolon</t>
        </is>
      </c>
      <c r="W1160" s="1" t="inlineStr">
        <is>
          <t>Skolon gives teachers and students a personal collection for all their digital tools – in other words, all their resources. “My Collection” makes it easy to search for, sort and organise tools, and the tools shown are the ones that each individual has access to. Click on a tool and it launches immediately – working digitally at school has never been easier.</t>
        </is>
      </c>
      <c r="X1160" s="10" t="inlineStr">
        <is>
          <t>https://drive.google.com/uc?export=view&amp;id=1rgxspV0aJxBpygfV6i_6NJHZN9vRBHEU</t>
        </is>
      </c>
      <c r="Y1160" t="inlineStr">
        <is>
          <t>https://drive.google.com/uc?export=view&amp;id=1rgxspV0aJxBpygfV6i_6NJHZN9vRBHEU</t>
        </is>
      </c>
      <c r="Z1160" s="1" t="inlineStr">
        <is>
          <t>https://drive.google.com/uc?export=view&amp;id=1rgxspV0aJxBpygfV6i_6NJHZN9vRBHEU</t>
        </is>
      </c>
      <c r="AA1160" s="1" t="inlineStr">
        <is>
          <t>Unverified</t>
        </is>
      </c>
      <c r="AB1160" s="1" t="n"/>
      <c r="AC1160" s="1" t="n"/>
      <c r="AD1160" s="10" t="n"/>
      <c r="AE1160" s="1" t="n"/>
      <c r="AF1160" s="1" t="inlineStr">
        <is>
          <t>Yes</t>
        </is>
      </c>
      <c r="AG1160" s="1" t="inlineStr">
        <is>
          <t>https://www.instagram.com/skolonsverige/?hl=en</t>
        </is>
      </c>
      <c r="AH1160" s="1" t="inlineStr">
        <is>
          <t>https://www.linkedin.com/company/skolon/mycompany/</t>
        </is>
      </c>
      <c r="AI1160" t="inlineStr">
        <is>
          <t>https://www.linkedin.com/company/skolon/mycompany/</t>
        </is>
      </c>
    </row>
    <row r="1161" ht="12.5" customHeight="1">
      <c r="A1161" s="6" t="n">
        <v>45181</v>
      </c>
      <c r="B1161" s="1" t="inlineStr">
        <is>
          <t>ORG_2384</t>
        </is>
      </c>
      <c r="C1161" s="1" t="b">
        <v>1</v>
      </c>
      <c r="D1161" s="1" t="inlineStr">
        <is>
          <t>Televic Education</t>
        </is>
      </c>
      <c r="E1161" s="10" t="inlineStr">
        <is>
          <t>https://assessmentq.com/?lang=en</t>
        </is>
      </c>
      <c r="F1161" t="inlineStr">
        <is>
          <t>assessmentq.com/?lang=en</t>
        </is>
      </c>
      <c r="G1161" s="1" t="inlineStr">
        <is>
          <t>TELEVIC EDUCATION
Televic Education is a world leader in the development of smart solutions for training, evaluation, certification, accreditation, and collaboration in many different industries.
Based on its long-standing know-how in education technology, Televic has created assessmentQ: the most versatile platform for online assessment and practice.
VERSATILE
assessmentQ can be used for the assessment of knowledge and 21st century skills. With 20+ unique question types, it gives you unrivalled possibilities.
CLEVER
With assessmentQ, you can deliver objective tests and get reliable insights. It lets you turn assessments into real learning opportunities.
RELIABLE
assessmentQ is reliable in all circumstances, for small or large groups, with solid or unstable internet connections. 
LET’S TALK
Let’s schedule a 15-minute call, so we can discuss your specific e-assessment and e-practice needs. Simply go to www.assessmentq.com.</t>
        </is>
      </c>
      <c r="H1161" s="1" t="inlineStr">
        <is>
          <t>I'm not part of any EdTech association</t>
        </is>
      </c>
      <c r="I1161" s="1" t="n"/>
      <c r="J1161" s="1" t="inlineStr">
        <is>
          <t>Izegem</t>
        </is>
      </c>
      <c r="K1161" t="inlineStr">
        <is>
          <t>Izegem</t>
        </is>
      </c>
      <c r="L1161" t="inlineStr">
        <is>
          <t>Izegem, Belgium</t>
        </is>
      </c>
      <c r="M1161" t="n">
        <v>50.9137743</v>
      </c>
      <c r="N1161" t="n">
        <v>3.2091066</v>
      </c>
      <c r="O1161" s="1" t="inlineStr">
        <is>
          <t>Belgium</t>
        </is>
      </c>
      <c r="P1161" s="1" t="inlineStr">
        <is>
          <t>Albania, Andorra, Austria, Belgium, Bosnia and Herzegovina, Bulgaria, Croatia, Cyprus, Czechia, Denmark, Estonia, Finland, France, Germany, Greece, Hungary, Iceland, Ireland, Italy, Latvia, Liechtenstein, Lithuania, Luxembourg, Malta, Monaco, Montenegro, Netherlands, North Macedonia, Norway, Poland, Portugal, Romania, Russia, San Marino, Serbia, Slovakia, Slovenia, Spain, Sweden, Switzerland, Turkey, Ukraine, United Kingdom</t>
        </is>
      </c>
      <c r="Q1161" s="1" t="inlineStr">
        <is>
          <t>500+</t>
        </is>
      </c>
      <c r="R1161" t="inlineStr">
        <is>
          <t>Large</t>
        </is>
      </c>
      <c r="S1161" s="1" t="inlineStr">
        <is>
          <t>Business to Consumer, Business to Government, Business to Schools</t>
        </is>
      </c>
      <c r="T1161" s="1" t="inlineStr">
        <is>
          <t>Primary Education, Secondary Education, Higher Education, Corporate Training, Lifelong learning/Adult education</t>
        </is>
      </c>
      <c r="U1161" s="1" t="inlineStr">
        <is>
          <t>Teacher interfacing, Student interfacing, System/Administrative</t>
        </is>
      </c>
      <c r="V1161" s="1" t="n"/>
      <c r="W1161" s="1" t="inlineStr">
        <is>
          <t>https://drive.google.com/uc?export=view&amp;id=1JROZxNsm7AVJVqIsOsqAzx0nd97mn14k</t>
        </is>
      </c>
      <c r="X1161" s="1" t="inlineStr">
        <is>
          <t>https://drive.google.com/uc?export=view&amp;id=1JROZxNsm7AVJVqIsOsqAzx0nd97mn14k</t>
        </is>
      </c>
      <c r="Y1161" t="inlineStr">
        <is>
          <t>https://drive.google.com/uc?export=view&amp;id=1JROZxNsm7AVJVqIsOsqAzx0nd97mn14k</t>
        </is>
      </c>
      <c r="Z1161" s="1" t="inlineStr">
        <is>
          <t>https://drive.google.com/uc?export=view&amp;id=1JROZxNsm7AVJVqIsOsqAzx0nd97mn14k</t>
        </is>
      </c>
      <c r="AA1161" s="1" t="inlineStr">
        <is>
          <t>Unverified</t>
        </is>
      </c>
      <c r="AB1161" s="1" t="n"/>
      <c r="AC1161" s="1" t="n"/>
      <c r="AD1161" s="10" t="n"/>
      <c r="AE1161" s="1" t="n"/>
      <c r="AF1161" s="1" t="inlineStr">
        <is>
          <t>No</t>
        </is>
      </c>
      <c r="AG1161" s="1" t="n"/>
      <c r="AH1161" s="1" t="n"/>
    </row>
    <row r="1162" ht="12.5" customHeight="1">
      <c r="A1162" s="6" t="n">
        <v>45181</v>
      </c>
      <c r="B1162" s="1" t="inlineStr">
        <is>
          <t>ORG_2406</t>
        </is>
      </c>
      <c r="C1162" s="1" t="b">
        <v>1</v>
      </c>
      <c r="D1162" s="1" t="inlineStr">
        <is>
          <t>Themis</t>
        </is>
      </c>
      <c r="E1162" s="10" t="inlineStr">
        <is>
          <t>https://themis.eu/</t>
        </is>
      </c>
      <c r="F1162" t="inlineStr">
        <is>
          <t>themis.eu</t>
        </is>
      </c>
      <c r="G1162" s="1" t="inlineStr">
        <is>
          <t>Themis is the Change Acceleration Platform that empowers employees to radically accelerate internal change processes through AI-assisted knowledge sharing, data-driven transformation journeys and cross-organizational collaboration. Whether it’s 50, 500, or 5000, we detect what employees need, align them behind a shared purpose, and measure the success of change projects.</t>
        </is>
      </c>
      <c r="H1162" s="1" t="inlineStr">
        <is>
          <t>I'm not part of any EdTech association</t>
        </is>
      </c>
      <c r="I1162" s="1" t="n"/>
      <c r="J1162" s="1" t="inlineStr">
        <is>
          <t>Berlin</t>
        </is>
      </c>
      <c r="K1162" t="inlineStr">
        <is>
          <t>Berlin</t>
        </is>
      </c>
      <c r="L1162" t="inlineStr">
        <is>
          <t>Berlin, Germany</t>
        </is>
      </c>
      <c r="M1162" t="n">
        <v>52.5173885</v>
      </c>
      <c r="N1162" t="n">
        <v>13.3951309</v>
      </c>
      <c r="O1162" s="1" t="inlineStr">
        <is>
          <t>Germany</t>
        </is>
      </c>
      <c r="P1162" s="1" t="inlineStr">
        <is>
          <t>Germany</t>
        </is>
      </c>
      <c r="Q1162" s="1" t="inlineStr">
        <is>
          <t>0 to 10</t>
        </is>
      </c>
      <c r="R1162" t="inlineStr">
        <is>
          <t>Micro</t>
        </is>
      </c>
      <c r="S1162" s="1" t="inlineStr">
        <is>
          <t>Business to Consumer, Business to Schools</t>
        </is>
      </c>
      <c r="T1162" s="1" t="inlineStr">
        <is>
          <t>Corporate Training, Lifelong learning/Adult education</t>
        </is>
      </c>
      <c r="U1162" s="1" t="inlineStr">
        <is>
          <t>Student interfacing, System/Administrative</t>
        </is>
      </c>
      <c r="V1162" s="1" t="n"/>
      <c r="W1162" s="1" t="inlineStr">
        <is>
          <t>https://drive.google.com/uc?export=view&amp;id=1nlVzrTtyGmWy6H-gb8Jp30AwQQWArBiA</t>
        </is>
      </c>
      <c r="X1162" s="1" t="inlineStr">
        <is>
          <t>https://drive.google.com/uc?export=view&amp;id=1nlVzrTtyGmWy6H-gb8Jp30AwQQWArBiA</t>
        </is>
      </c>
      <c r="Y1162" t="inlineStr">
        <is>
          <t>https://drive.google.com/uc?export=view&amp;id=1nlVzrTtyGmWy6H-gb8Jp30AwQQWArBiA</t>
        </is>
      </c>
      <c r="Z1162" s="1" t="inlineStr">
        <is>
          <t>https://drive.google.com/uc?export=view&amp;id=1nlVzrTtyGmWy6H-gb8Jp30AwQQWArBiA</t>
        </is>
      </c>
      <c r="AA1162" s="1" t="inlineStr">
        <is>
          <t>Unverified</t>
        </is>
      </c>
      <c r="AB1162" s="1" t="n"/>
      <c r="AC1162" s="1" t="n"/>
      <c r="AD1162" s="10" t="n"/>
      <c r="AE1162" s="1" t="n"/>
      <c r="AF1162" s="1" t="inlineStr">
        <is>
          <t>No</t>
        </is>
      </c>
      <c r="AG1162" s="1" t="n"/>
      <c r="AH1162" s="1" t="n"/>
    </row>
    <row r="1163" ht="12.5" customHeight="1">
      <c r="A1163" s="6" t="n">
        <v>45181</v>
      </c>
      <c r="B1163" s="1" t="inlineStr">
        <is>
          <t>ORG_2504</t>
        </is>
      </c>
      <c r="C1163" s="1" t="b">
        <v>1</v>
      </c>
      <c r="D1163" s="1" t="inlineStr">
        <is>
          <t>Vividbooks</t>
        </is>
      </c>
      <c r="E1163" s="10" t="inlineStr">
        <is>
          <t>www.vividbooks.com</t>
        </is>
      </c>
      <c r="F1163" t="inlineStr">
        <is>
          <t>vividbooks.com</t>
        </is>
      </c>
      <c r="G1163" s="1" t="inlineStr">
        <is>
          <t>Vividbooks are interactive textbooks with augmented reality, thanks to which science comes to life right in front of you.</t>
        </is>
      </c>
      <c r="H1163" s="1" t="inlineStr">
        <is>
          <t>I'm not part of any EdTech association</t>
        </is>
      </c>
      <c r="I1163" s="1" t="inlineStr">
        <is>
          <t>Czech, Spanish, Slovak</t>
        </is>
      </c>
      <c r="J1163" s="1" t="inlineStr">
        <is>
          <t>Nad Královskou Oborou 33</t>
        </is>
      </c>
      <c r="L1163" t="inlineStr">
        <is>
          <t>Nad Královskou Oborou 33, Czech Republic</t>
        </is>
      </c>
      <c r="O1163" s="1" t="inlineStr">
        <is>
          <t>Czech Republic</t>
        </is>
      </c>
      <c r="P1163" s="1" t="inlineStr">
        <is>
          <t>Czechia, Slovakia, Spain</t>
        </is>
      </c>
      <c r="Q1163" s="1" t="inlineStr">
        <is>
          <t>11 to 50</t>
        </is>
      </c>
      <c r="R1163" t="inlineStr">
        <is>
          <t>Small</t>
        </is>
      </c>
      <c r="S1163" s="1" t="inlineStr">
        <is>
          <t>Business to Consumer, Business to Schools</t>
        </is>
      </c>
      <c r="T1163" s="1" t="inlineStr">
        <is>
          <t>Primary Education, Secondary Education, Corporate Training, Lifelong learning/Adult education</t>
        </is>
      </c>
      <c r="U1163" s="1" t="inlineStr">
        <is>
          <t>Teacher interfacing, System/Administrative</t>
        </is>
      </c>
      <c r="V1163" s="1" t="n"/>
      <c r="W1163" s="1" t="inlineStr">
        <is>
          <t>https://drive.google.com/uc?export=view&amp;id=19kCFsDgYXiSDplXrz0QLBPeOW8Fm6ulA</t>
        </is>
      </c>
      <c r="X1163" s="1" t="inlineStr">
        <is>
          <t>https://drive.google.com/uc?export=view&amp;id=19kCFsDgYXiSDplXrz0QLBPeOW8Fm6ulA</t>
        </is>
      </c>
      <c r="Y1163" t="inlineStr">
        <is>
          <t>https://drive.google.com/uc?export=view&amp;id=19kCFsDgYXiSDplXrz0QLBPeOW8Fm6ulA</t>
        </is>
      </c>
      <c r="Z1163" s="1" t="inlineStr">
        <is>
          <t>https://drive.google.com/uc?export=view&amp;id=19kCFsDgYXiSDplXrz0QLBPeOW8Fm6ulA</t>
        </is>
      </c>
      <c r="AA1163" s="1" t="inlineStr">
        <is>
          <t>Unverified</t>
        </is>
      </c>
      <c r="AB1163" s="1" t="n"/>
      <c r="AC1163" s="1" t="n"/>
      <c r="AD1163" s="10" t="n"/>
      <c r="AE1163" s="1" t="n"/>
      <c r="AF1163" t="inlineStr">
        <is>
          <t>No</t>
        </is>
      </c>
    </row>
    <row r="1164" ht="12.5" customHeight="1">
      <c r="A1164" s="6" t="n">
        <v>45181</v>
      </c>
      <c r="B1164" s="1" t="inlineStr">
        <is>
          <t>ORG_1062</t>
        </is>
      </c>
      <c r="C1164" s="1" t="b">
        <v>1</v>
      </c>
      <c r="D1164" s="1" t="inlineStr">
        <is>
          <t>Altri fiumi</t>
        </is>
      </c>
      <c r="E1164" s="10" t="inlineStr">
        <is>
          <t>https://altrifiumi.com/</t>
        </is>
      </c>
      <c r="F1164" t="inlineStr">
        <is>
          <t>altrifiumi.com</t>
        </is>
      </c>
      <c r="G1164" s="1" t="inlineStr">
        <is>
          <t>We design universes. We are a network which combines design, technology and innovation consultancy. Our job is to help organizations to conceive and to deliver experiences that people want. Our aim is to build up new and innovative ways of doing business.
We expand universes. We tailor our services and solutions to the needs of every customer, developing integrated, out-of-the-box, innovative and disruptive solutions. We follow analytical methodologies and processes in order to guarantee the effectiveness of our projects.
We help organizations to design. Book, Interaction, Games, Information, Web and Apps, Digital tools.
We make use of data visualization and illustration to enhance the comprehension and enjoyment of your contents.</t>
        </is>
      </c>
      <c r="H1164" s="1" t="inlineStr">
        <is>
          <t>I'm not part of any EdTech association</t>
        </is>
      </c>
      <c r="I1164" s="1" t="n"/>
      <c r="J1164" s="1" t="inlineStr">
        <is>
          <t>Trezzo Sull'Adda, Milano</t>
        </is>
      </c>
      <c r="K1164" t="inlineStr">
        <is>
          <t>Trezzo sull'Adda</t>
        </is>
      </c>
      <c r="L1164" t="inlineStr">
        <is>
          <t>Trezzo sull'Adda, Italy</t>
        </is>
      </c>
      <c r="M1164" t="n">
        <v>45.6095134</v>
      </c>
      <c r="N1164" t="n">
        <v>9.5193394</v>
      </c>
      <c r="O1164" s="1" t="inlineStr">
        <is>
          <t>Italy</t>
        </is>
      </c>
      <c r="P1164" s="1" t="inlineStr">
        <is>
          <t>Italy</t>
        </is>
      </c>
      <c r="Q1164" s="1" t="inlineStr">
        <is>
          <t>11 to 50</t>
        </is>
      </c>
      <c r="R1164" t="inlineStr">
        <is>
          <t>Small</t>
        </is>
      </c>
      <c r="S1164" s="1" t="inlineStr">
        <is>
          <t>Business to Business</t>
        </is>
      </c>
      <c r="T1164" s="1" t="inlineStr">
        <is>
          <t>Early childhood development (0-5 years), Primary Education, Secondary Education, Higher Education, Corporate Training, Lifelong learning/Adult education</t>
        </is>
      </c>
      <c r="U1164" s="1" t="inlineStr">
        <is>
          <t>Student interfacing, Teacher interfacing, System/Administrative</t>
        </is>
      </c>
      <c r="V1164" s="1" t="n"/>
      <c r="W1164" s="1" t="inlineStr">
        <is>
          <t>https://drive.google.com/uc?export=view&amp;id=1eVPKvX4rFBGdpsV_nVFgQLD7-IW_MxbQ</t>
        </is>
      </c>
      <c r="X1164" s="1" t="inlineStr">
        <is>
          <t>https://drive.google.com/uc?export=view&amp;id=1eVPKvX4rFBGdpsV_nVFgQLD7-IW_MxbQ</t>
        </is>
      </c>
      <c r="Y1164" t="inlineStr">
        <is>
          <t>https://drive.google.com/uc?export=view&amp;id=1eVPKvX4rFBGdpsV_nVFgQLD7-IW_MxbQ</t>
        </is>
      </c>
      <c r="Z1164" s="1" t="inlineStr">
        <is>
          <t>https://drive.google.com/uc?export=view&amp;id=1eVPKvX4rFBGdpsV_nVFgQLD7-IW_MxbQ</t>
        </is>
      </c>
      <c r="AA1164" s="1" t="inlineStr">
        <is>
          <t>Unverified</t>
        </is>
      </c>
      <c r="AB1164" s="1" t="n"/>
      <c r="AC1164" s="1" t="n"/>
      <c r="AD1164" s="10" t="n"/>
      <c r="AE1164" s="1" t="n"/>
      <c r="AF1164" t="inlineStr">
        <is>
          <t>No</t>
        </is>
      </c>
    </row>
    <row r="1165" ht="12.5" customHeight="1">
      <c r="A1165" s="6" t="n">
        <v>45181</v>
      </c>
      <c r="B1165" s="1" t="inlineStr">
        <is>
          <t>ORG_1084</t>
        </is>
      </c>
      <c r="C1165" s="1" t="b">
        <v>1</v>
      </c>
      <c r="D1165" s="1" t="inlineStr">
        <is>
          <t>Apollo Edtech</t>
        </is>
      </c>
      <c r="E1165" s="10" t="inlineStr">
        <is>
          <t>simbound.com</t>
        </is>
      </c>
      <c r="F1165" t="inlineStr">
        <is>
          <t>simbound.com</t>
        </is>
      </c>
      <c r="G1165" s="1" t="inlineStr">
        <is>
          <t>A platform for digital marketing simulation used in higher education and corporate training. 
With +10 years of experience and a global customer base we are at the forefront of the active learning methodology for topics such as: website management, online ads, e-mail marketing and online brand community management. 
Visit our website today and test your digital marketing skills and also to request your instructor account which will allow you to host your next memorable course.</t>
        </is>
      </c>
      <c r="H1165" s="1" t="inlineStr">
        <is>
          <t>I'm not part of any EdTech association</t>
        </is>
      </c>
      <c r="I1165" s="1" t="n"/>
      <c r="J1165" s="1" t="inlineStr">
        <is>
          <t>Cluj-Napoca</t>
        </is>
      </c>
      <c r="K1165" t="inlineStr">
        <is>
          <t>Cluj-Napoca</t>
        </is>
      </c>
      <c r="L1165" t="inlineStr">
        <is>
          <t>Cluj-Napoca, Romania</t>
        </is>
      </c>
      <c r="M1165" t="n">
        <v>46.769379</v>
      </c>
      <c r="N1165" t="n">
        <v>23.5899542</v>
      </c>
      <c r="O1165" s="1" t="inlineStr">
        <is>
          <t>Romania</t>
        </is>
      </c>
      <c r="P1165" s="1" t="inlineStr">
        <is>
          <t>Austria, Czechia, France, Netherlands, Norway, Poland, Portugal, Romania, Switzerland, United Kingdom</t>
        </is>
      </c>
      <c r="Q1165" s="1" t="inlineStr">
        <is>
          <t>0 to 10</t>
        </is>
      </c>
      <c r="R1165" t="inlineStr">
        <is>
          <t>Micro</t>
        </is>
      </c>
      <c r="S1165" s="1" t="inlineStr">
        <is>
          <t>Business to Business</t>
        </is>
      </c>
      <c r="T1165" s="1" t="inlineStr">
        <is>
          <t>Higher Education, Corporate Training</t>
        </is>
      </c>
      <c r="U1165" s="1" t="inlineStr">
        <is>
          <t>Student interfacing, Teacher interfacing, System/Administrative</t>
        </is>
      </c>
      <c r="V1165" s="1" t="n"/>
      <c r="W1165" s="1" t="inlineStr">
        <is>
          <t>https://drive.google.com/uc?export=view&amp;id=1s4OZ7a7GYnpUhRSEZzRrEsNlrBbOoumR</t>
        </is>
      </c>
      <c r="X1165" s="1" t="inlineStr">
        <is>
          <t>https://drive.google.com/uc?export=view&amp;id=1s4OZ7a7GYnpUhRSEZzRrEsNlrBbOoumR</t>
        </is>
      </c>
      <c r="Y1165" t="inlineStr">
        <is>
          <t>https://drive.google.com/uc?export=view&amp;id=1s4OZ7a7GYnpUhRSEZzRrEsNlrBbOoumR</t>
        </is>
      </c>
      <c r="Z1165" s="1" t="inlineStr">
        <is>
          <t>https://drive.google.com/uc?export=view&amp;id=1s4OZ7a7GYnpUhRSEZzRrEsNlrBbOoumR</t>
        </is>
      </c>
      <c r="AA1165" s="1" t="inlineStr">
        <is>
          <t>Unverified</t>
        </is>
      </c>
      <c r="AB1165" s="1" t="n"/>
      <c r="AC1165" s="1" t="n"/>
      <c r="AD1165" s="10" t="n"/>
      <c r="AE1165" s="1" t="n"/>
      <c r="AF1165" t="inlineStr">
        <is>
          <t>No</t>
        </is>
      </c>
    </row>
    <row r="1166" ht="12.5" customHeight="1">
      <c r="A1166" s="6" t="n">
        <v>45181</v>
      </c>
      <c r="B1166" s="1" t="inlineStr">
        <is>
          <t>ORG_1113</t>
        </is>
      </c>
      <c r="C1166" s="1" t="b">
        <v>1</v>
      </c>
      <c r="D1166" s="1" t="inlineStr">
        <is>
          <t>Astrid</t>
        </is>
      </c>
      <c r="E1166" s="10" t="inlineStr">
        <is>
          <t>https://www.astrideducation.com/</t>
        </is>
      </c>
      <c r="F1166" t="inlineStr">
        <is>
          <t>astrideducation.com</t>
        </is>
      </c>
      <c r="G1166" s="1" t="inlineStr">
        <is>
          <t>Astrid is an EdTech company providing an AI-powered language learning app to make high-quality private English tutoring more affordable and accessible. Astrid enables students from around the world to compete in the global talent market by helping them become fluent, confident English speakers. 
Astrid's complementary and diverse team consists of experienced engineers, academics, and company builders with backgrounds ranging from EF, Spotify, King and Kry. Astrid is located in Stockholm, Sweden, and Oxford, UK, and backed by a global group of renowned tech entrepreneurs, investors, and advisers.</t>
        </is>
      </c>
      <c r="H1166" s="1" t="inlineStr">
        <is>
          <t>Swedish EdTech Industry</t>
        </is>
      </c>
      <c r="I1166" s="1" t="n"/>
      <c r="J1166" s="1" t="inlineStr">
        <is>
          <t>Stockholm</t>
        </is>
      </c>
      <c r="K1166" t="inlineStr">
        <is>
          <t>Stockholm</t>
        </is>
      </c>
      <c r="L1166" t="inlineStr">
        <is>
          <t>Stockholm, Sweden</t>
        </is>
      </c>
      <c r="M1166" t="n">
        <v>59.3251172</v>
      </c>
      <c r="N1166" t="n">
        <v>18.0710935</v>
      </c>
      <c r="O1166" s="1" t="inlineStr">
        <is>
          <t>Sweden</t>
        </is>
      </c>
      <c r="P1166" s="1" t="inlineStr">
        <is>
          <t>Belgium, Denmark, France, Germany, Greece, Italy, Kosovo, Montenegro, Netherlands, Norway, Poland, Portugal, Romania, Serbia, Slovakia, Sweden, United Kingdom</t>
        </is>
      </c>
      <c r="Q1166" s="1" t="inlineStr">
        <is>
          <t>11 to 50</t>
        </is>
      </c>
      <c r="R1166" t="inlineStr">
        <is>
          <t>Small</t>
        </is>
      </c>
      <c r="S1166" s="1" t="inlineStr">
        <is>
          <t>Business to Business</t>
        </is>
      </c>
      <c r="T1166" s="1" t="inlineStr">
        <is>
          <t>Primary Education, Corporate Training, Lifelong learning/Adult education</t>
        </is>
      </c>
      <c r="U1166" s="1" t="inlineStr">
        <is>
          <t>System/Administrative, Student interfacing, Teacher interfacing</t>
        </is>
      </c>
      <c r="V1166" s="10" t="inlineStr">
        <is>
          <t>Astrid</t>
        </is>
      </c>
      <c r="W1166" s="10" t="inlineStr">
        <is>
          <t>Utilising AI and cutting-edge speech recognition, Astrid is voice-based and personalised at the core. The unique combination of research-based technology and academics ensures an engaging and effective learning journey. Astrid provides personalized speaking and pronunciation practice, giving young learners a new, fun way to practice English in a stress-free environment. Astrid listens, evaluates, and supports English speaking and pronunciation skills in real-time, allowing learners to compare their speech to a native speaker’s, study their mistakes, and receive recommendations for improvement.</t>
        </is>
      </c>
      <c r="X1166" s="10" t="inlineStr">
        <is>
          <t>https://drive.google.com/uc?export=view&amp;id=13lP_0bfeg62-5ZCqTLTk3wnzQv1XKwBw</t>
        </is>
      </c>
      <c r="Y1166" t="inlineStr">
        <is>
          <t>https://drive.google.com/uc?export=view&amp;id=13lP_0bfeg62-5ZCqTLTk3wnzQv1XKwBw</t>
        </is>
      </c>
      <c r="Z1166" s="1" t="inlineStr">
        <is>
          <t>https://drive.google.com/uc?export=view&amp;id=13lP_0bfeg62-5ZCqTLTk3wnzQv1XKwBw</t>
        </is>
      </c>
      <c r="AA1166" s="1" t="inlineStr">
        <is>
          <t>Unverified</t>
        </is>
      </c>
      <c r="AB1166" s="1" t="n"/>
      <c r="AC1166" s="1" t="n"/>
      <c r="AD1166" s="10" t="n"/>
      <c r="AE1166" s="1" t="n"/>
      <c r="AF1166" t="inlineStr">
        <is>
          <t>Yes</t>
        </is>
      </c>
      <c r="AG1166" t="inlineStr">
        <is>
          <t>https://www.instagram.com/astrideducation/</t>
        </is>
      </c>
      <c r="AH1166" t="inlineStr">
        <is>
          <t>https://twitter.com/astrideducation</t>
        </is>
      </c>
      <c r="AI1166" t="inlineStr">
        <is>
          <t>https://www.linkedin.com/company/astrid-education</t>
        </is>
      </c>
    </row>
    <row r="1167" ht="12.5" customHeight="1">
      <c r="A1167" s="6" t="n">
        <v>45181</v>
      </c>
      <c r="B1167" s="1" t="inlineStr">
        <is>
          <t>ORG_1124</t>
        </is>
      </c>
      <c r="C1167" s="1" t="b">
        <v>1</v>
      </c>
      <c r="D1167" s="1" t="inlineStr">
        <is>
          <t>Aulab</t>
        </is>
      </c>
      <c r="E1167" s="10" t="inlineStr">
        <is>
          <t>aulab.it/</t>
        </is>
      </c>
      <c r="F1167" t="inlineStr">
        <is>
          <t>aulab.it</t>
        </is>
      </c>
      <c r="G1167" s="1" t="inlineStr">
        <is>
          <t>Aulab is the first Italian Coding Factory active since 2014 in training and
software development sector. With our courses we train resources in the
IT sector to be placed in companies looking for staff.
We are also a software house, where many students have the opportunity
to put into practice what they have learned during our courses.
Aulab Hackademy, our main product, is an intensive full-time online course which allows to acquire the skills necessary to write code and start a
new professional career as a web developer.</t>
        </is>
      </c>
      <c r="H1167" s="1" t="inlineStr">
        <is>
          <t>I'm not part of any EdTech association</t>
        </is>
      </c>
      <c r="I1167" s="1" t="n"/>
      <c r="J1167" s="1" t="inlineStr">
        <is>
          <t>Bari</t>
        </is>
      </c>
      <c r="K1167" t="inlineStr">
        <is>
          <t>Bari</t>
        </is>
      </c>
      <c r="L1167" t="inlineStr">
        <is>
          <t>Bari, Italy</t>
        </is>
      </c>
      <c r="M1167" t="n">
        <v>41.1257843</v>
      </c>
      <c r="N1167" t="n">
        <v>16.8620293</v>
      </c>
      <c r="O1167" s="1" t="inlineStr">
        <is>
          <t>Italy</t>
        </is>
      </c>
      <c r="P1167" s="1" t="inlineStr">
        <is>
          <t>Italy, Spain</t>
        </is>
      </c>
      <c r="Q1167" s="1" t="inlineStr">
        <is>
          <t>11 to 50</t>
        </is>
      </c>
      <c r="R1167" t="inlineStr">
        <is>
          <t>Small</t>
        </is>
      </c>
      <c r="S1167" s="1" t="inlineStr">
        <is>
          <t>Business to Business</t>
        </is>
      </c>
      <c r="T1167" s="1" t="inlineStr">
        <is>
          <t>Higher Education, Corporate Training, Lifelong learning/Adult education</t>
        </is>
      </c>
      <c r="U1167" s="1" t="inlineStr">
        <is>
          <t>Student interfacing, Teacher interfacing, System/Administrative</t>
        </is>
      </c>
      <c r="V1167" s="1" t="n"/>
      <c r="W1167" s="1" t="n"/>
      <c r="X1167" s="1" t="n"/>
      <c r="Z1167" s="1" t="n"/>
      <c r="AA1167" s="1" t="inlineStr">
        <is>
          <t>Unverified</t>
        </is>
      </c>
      <c r="AB1167" s="1" t="n"/>
      <c r="AC1167" s="1" t="n"/>
      <c r="AD1167" s="1" t="n"/>
      <c r="AE1167" s="1" t="n"/>
      <c r="AF1167" s="1" t="inlineStr">
        <is>
          <t>No</t>
        </is>
      </c>
      <c r="AG1167" s="1" t="n"/>
      <c r="AH1167" s="1" t="n"/>
      <c r="AI1167" s="1" t="n"/>
      <c r="AJ1167" s="1" t="n"/>
    </row>
    <row r="1168" ht="12.5" customHeight="1">
      <c r="A1168" s="6" t="n">
        <v>45181</v>
      </c>
      <c r="B1168" s="1" t="inlineStr">
        <is>
          <t>ORG_1139</t>
        </is>
      </c>
      <c r="C1168" s="1" t="b">
        <v>1</v>
      </c>
      <c r="D1168" s="1" t="inlineStr">
        <is>
          <t>BCdiploma</t>
        </is>
      </c>
      <c r="E1168" s="10" t="inlineStr">
        <is>
          <t>https://www.bcdiploma.com</t>
        </is>
      </c>
      <c r="F1168" t="inlineStr">
        <is>
          <t>bcdiploma.com</t>
        </is>
      </c>
      <c r="G1168" s="1" t="inlineStr">
        <is>
          <t>The blockchain-based credentialing solution for all your online certificates, academic credentials, micro-credentials, transcripts, digital badges and open-badges. 
#TOEIC &amp; 120+ institutions on 4 continents rely on us.</t>
        </is>
      </c>
      <c r="H1168" s="1" t="inlineStr">
        <is>
          <t>EdTech France</t>
        </is>
      </c>
      <c r="I1168" s="1" t="n"/>
      <c r="J1168" s="1" t="inlineStr">
        <is>
          <t>Paris</t>
        </is>
      </c>
      <c r="K1168" t="inlineStr">
        <is>
          <t>Paris</t>
        </is>
      </c>
      <c r="L1168" t="inlineStr">
        <is>
          <t>Paris, France</t>
        </is>
      </c>
      <c r="M1168" t="n">
        <v>48.8534951</v>
      </c>
      <c r="N1168" t="n">
        <v>2.3483915</v>
      </c>
      <c r="O1168" s="1" t="inlineStr">
        <is>
          <t>France</t>
        </is>
      </c>
      <c r="P1168" s="1" t="inlineStr">
        <is>
          <t>France, Hungary, Monaco, Spain, Switzerland</t>
        </is>
      </c>
      <c r="Q1168" s="1" t="inlineStr">
        <is>
          <t>11 to 50</t>
        </is>
      </c>
      <c r="R1168" t="inlineStr">
        <is>
          <t>Small</t>
        </is>
      </c>
      <c r="S1168" s="1" t="inlineStr">
        <is>
          <t>Business to Business</t>
        </is>
      </c>
      <c r="T1168" s="1" t="inlineStr">
        <is>
          <t>Higher Education, Corporate Training, Lifelong learning/Adult education</t>
        </is>
      </c>
      <c r="U1168" s="1" t="inlineStr">
        <is>
          <t>System/Administrative</t>
        </is>
      </c>
      <c r="V1168" s="1" t="inlineStr">
        <is>
          <t>BCdiploma Digital Credentials</t>
        </is>
      </c>
      <c r="W1168" s="10" t="inlineStr">
        <is>
          <t>All your diplomas, certifications, transcripts or acquired skills become tamper-proof and verifiable using the Blockchain technology system. BCdiploma also lets you customize the content and the design of all your academic documents.</t>
        </is>
      </c>
      <c r="X1168" s="10" t="inlineStr">
        <is>
          <t>BCdiploma Micro-Credentials</t>
        </is>
      </c>
      <c r="Y1168" t="inlineStr">
        <is>
          <t>Add value to your training courses and acquired skills with our micro-credentials. Create, customize and secure your micro-credentials in a few clicks. With the Blockchain technology by BCdiploma, your micro-credentials are forgery-proof and durable.</t>
        </is>
      </c>
      <c r="Z1168" s="1" t="inlineStr">
        <is>
          <t>https://drive.google.com/uc?export=view&amp;id=1jgF-5lSUcH-u8WXqMzbtjbOqyoKtdIns</t>
        </is>
      </c>
      <c r="AA1168" s="1" t="inlineStr">
        <is>
          <t>Unverified</t>
        </is>
      </c>
      <c r="AB1168" s="1" t="n"/>
      <c r="AC1168" s="1" t="n"/>
      <c r="AD1168" s="10" t="n"/>
      <c r="AE1168" s="1" t="n"/>
      <c r="AF1168" s="1" t="inlineStr">
        <is>
          <t>Yes</t>
        </is>
      </c>
      <c r="AG1168" s="1" t="inlineStr">
        <is>
          <t>https://twitter.com/BCDiploma</t>
        </is>
      </c>
      <c r="AH1168" s="1" t="inlineStr">
        <is>
          <t>https://twitter.com/BCDiploma</t>
        </is>
      </c>
      <c r="AI1168" t="inlineStr">
        <is>
          <t>https://www.linkedin.com/company/blockchaincertifieddata</t>
        </is>
      </c>
    </row>
    <row r="1169" ht="12.5" customHeight="1">
      <c r="A1169" s="6" t="n">
        <v>45181</v>
      </c>
      <c r="B1169" s="1" t="inlineStr">
        <is>
          <t>ORG_1172</t>
        </is>
      </c>
      <c r="C1169" s="1" t="b">
        <v>1</v>
      </c>
      <c r="D1169" s="1" t="inlineStr">
        <is>
          <t>Bizplay</t>
        </is>
      </c>
      <c r="E1169" s="10" t="inlineStr">
        <is>
          <t>https://bizplay.ee/</t>
        </is>
      </c>
      <c r="F1169" t="inlineStr">
        <is>
          <t>bizplay.ee</t>
        </is>
      </c>
      <c r="G1169" s="1" t="inlineStr">
        <is>
          <t>Bizplay combines role-playing games and a web-based application to create a practical and playful learning format for practicing entrepreneurship. We have developed games with different topics and difficulty levels. Students get fun real-life content to reach their goals! Teachers can facilitate the process &amp; help to analyze situations.</t>
        </is>
      </c>
      <c r="H1169" s="1" t="inlineStr">
        <is>
          <t>EdTech Estonia</t>
        </is>
      </c>
      <c r="I1169" s="1" t="n"/>
      <c r="J1169" s="1" t="inlineStr">
        <is>
          <t>Tartu</t>
        </is>
      </c>
      <c r="K1169" t="inlineStr">
        <is>
          <t>Tartu</t>
        </is>
      </c>
      <c r="L1169" t="inlineStr">
        <is>
          <t>Tartu, Estonia</t>
        </is>
      </c>
      <c r="M1169" t="n">
        <v>58.3779528</v>
      </c>
      <c r="N1169" t="n">
        <v>26.7290023</v>
      </c>
      <c r="O1169" s="1" t="inlineStr">
        <is>
          <t>Estonia</t>
        </is>
      </c>
      <c r="P1169" s="1" t="inlineStr">
        <is>
          <t>Estonia</t>
        </is>
      </c>
      <c r="Q1169" s="1" t="inlineStr">
        <is>
          <t>0 to 10</t>
        </is>
      </c>
      <c r="R1169" t="inlineStr">
        <is>
          <t>Micro</t>
        </is>
      </c>
      <c r="S1169" s="1" t="inlineStr">
        <is>
          <t>Business to Business</t>
        </is>
      </c>
      <c r="T1169" s="1" t="inlineStr">
        <is>
          <t>Primary Education, Secondary Education, Higher Education</t>
        </is>
      </c>
      <c r="U1169" s="1" t="inlineStr">
        <is>
          <t>Student interfacing, Teacher interfacing</t>
        </is>
      </c>
      <c r="V1169" s="1" t="inlineStr">
        <is>
          <t>Business Battle</t>
        </is>
      </c>
      <c r="W1169" s="1" t="inlineStr">
        <is>
          <t>Business Battle is an intensive learning game that involves digital tools, but is played in real time in one room. It helps to understand the challenges of a start-up.
The players come up with a business idea that suits them and must be able to outperform other companies operating in the same market as them.
Structure of the game is divided into stages and the process is managed by a facilitator. Stages change quickly during the game to hold the dynamics and to keep up the pace.
Age: 13+y
Group: 15-100 players</t>
        </is>
      </c>
      <c r="X1169" s="10" t="inlineStr">
        <is>
          <t>Entrepreneurial Citizen</t>
        </is>
      </c>
      <c r="Y1169" t="inlineStr">
        <is>
          <t>Entrepreneurial Citizen is a roleplay game that teaches how to run a business and the basics of taxes and economy. Game involves digital tools, but is played in real time in one room.
Young entrepreneurs need to manage their small businesses and come up with a plan how to raise value while making profit and keeping employees motivated. All options are possible but can they solve their problems? Entrepreneurial citizens work for their business and City government is collecting taxes to cover social and governmental expenses. Facilitator helps players to understand what the learning points were and
what can be done differently next time.
Age: 12-16y
Group: 20-30 players</t>
        </is>
      </c>
      <c r="Z1169" s="1" t="inlineStr">
        <is>
          <t>https://drive.google.com/uc?export=view&amp;id=1JlPAvMlMYFYX5A0Bwxvo2YEnp47hgQfy</t>
        </is>
      </c>
      <c r="AA1169" s="1" t="inlineStr">
        <is>
          <t>Unverified</t>
        </is>
      </c>
      <c r="AB1169" s="1" t="n"/>
      <c r="AC1169" s="1" t="n"/>
      <c r="AD1169" s="10" t="n"/>
      <c r="AE1169" s="1" t="n"/>
      <c r="AF1169" s="1" t="inlineStr">
        <is>
          <t>Yes</t>
        </is>
      </c>
      <c r="AG1169" s="1" t="inlineStr">
        <is>
          <t>https://www.linkedin.com/company/bizplay-o%C3%BC</t>
        </is>
      </c>
      <c r="AH1169" s="1" t="inlineStr">
        <is>
          <t>https://www.linkedin.com/company/bizplay-o%C3%BC</t>
        </is>
      </c>
      <c r="AI1169" s="1" t="inlineStr">
        <is>
          <t>https://www.linkedin.com/company/bizplay-o%C3%BC</t>
        </is>
      </c>
      <c r="AJ1169" s="1" t="n"/>
    </row>
    <row r="1170" ht="12.5" customHeight="1">
      <c r="A1170" s="6" t="n">
        <v>45181</v>
      </c>
      <c r="B1170" s="1" t="inlineStr">
        <is>
          <t>ORG_1374</t>
        </is>
      </c>
      <c r="C1170" s="1" t="b">
        <v>1</v>
      </c>
      <c r="D1170" s="1" t="inlineStr">
        <is>
          <t>Dokki</t>
        </is>
      </c>
      <c r="E1170" s="10" t="inlineStr">
        <is>
          <t>https://www.dokki.app/</t>
        </is>
      </c>
      <c r="F1170" t="inlineStr">
        <is>
          <t>dokki.app</t>
        </is>
      </c>
      <c r="G1170" s="1" t="inlineStr">
        <is>
          <t>Dokki is the Cloud Learning application, allowing you to learn a little every day in small sequences of 30 seconds to 5 minutes. Dokki is also a digitalization service for micro-training. We offer an extensive catalog of training courses. We also can produce training or information content entirely tailored to specific business needs, whatever they may be. And finally, we can integrate the content made by companies directly into the application. Dokki is a technology available on the computer, the tablet, the mobile, and tomorrow the VR, backed by a pedagogical approach adapted to the current world, the MicroLearning.</t>
        </is>
      </c>
      <c r="H1170" s="1" t="inlineStr">
        <is>
          <t>EdTech France</t>
        </is>
      </c>
      <c r="I1170" s="1" t="n"/>
      <c r="J1170" s="1" t="inlineStr">
        <is>
          <t>Herouville Saint Clair</t>
        </is>
      </c>
      <c r="K1170" t="inlineStr">
        <is>
          <t>Herouville Saint Clair</t>
        </is>
      </c>
      <c r="L1170" t="inlineStr">
        <is>
          <t>Herouville Saint Clair, France</t>
        </is>
      </c>
      <c r="M1170" t="n">
        <v>49.2031097</v>
      </c>
      <c r="N1170" t="n">
        <v>-0.3353513</v>
      </c>
      <c r="O1170" s="1" t="inlineStr">
        <is>
          <t>France</t>
        </is>
      </c>
      <c r="P1170" s="1" t="inlineStr">
        <is>
          <t>Denmark, Finland, France, Sweden</t>
        </is>
      </c>
      <c r="Q1170" s="1" t="inlineStr">
        <is>
          <t>11 to 50</t>
        </is>
      </c>
      <c r="R1170" t="inlineStr">
        <is>
          <t>Small</t>
        </is>
      </c>
      <c r="S1170" s="1" t="inlineStr">
        <is>
          <t>Business to Business</t>
        </is>
      </c>
      <c r="T1170" s="1" t="inlineStr">
        <is>
          <t>Corporate Training</t>
        </is>
      </c>
      <c r="U1170" s="1" t="inlineStr">
        <is>
          <t>System/Administrative</t>
        </is>
      </c>
      <c r="V1170" s="10" t="inlineStr">
        <is>
          <t>Dokki</t>
        </is>
      </c>
      <c r="W1170" s="10" t="inlineStr">
        <is>
          <t>Dokki is the Cloud Learning application, allowing you to learn a little every day in small sequences of 30 seconds to 5 minutes. Dokki is also a digitalization service for micro-training. We offer an extensive catalog of training courses. We also can produce training or information content entirely tailored to specific business needs, whatever they may be. And finally, we can integrate the content made by companies directly into the application. Dokki is a technology available on the computer, the tablet, the mobile, and tomorrow the VR, backed by a pedagogical approach adapted to the current world, the MicroLearning.</t>
        </is>
      </c>
      <c r="X1170" s="10" t="inlineStr">
        <is>
          <t>https://drive.google.com/uc?export=view&amp;id=1uFPKRU_mc0lOZWYzTkgtx16m4eGYXeF4</t>
        </is>
      </c>
      <c r="Y1170" t="inlineStr">
        <is>
          <t>https://drive.google.com/uc?export=view&amp;id=1uFPKRU_mc0lOZWYzTkgtx16m4eGYXeF4</t>
        </is>
      </c>
      <c r="Z1170" s="1" t="inlineStr">
        <is>
          <t>https://drive.google.com/uc?export=view&amp;id=1uFPKRU_mc0lOZWYzTkgtx16m4eGYXeF4</t>
        </is>
      </c>
      <c r="AA1170" s="1" t="inlineStr">
        <is>
          <t>Unverified</t>
        </is>
      </c>
      <c r="AB1170" s="1" t="n"/>
      <c r="AC1170" s="1" t="n"/>
      <c r="AD1170" s="10" t="n"/>
      <c r="AE1170" s="1" t="n"/>
      <c r="AF1170" s="1" t="inlineStr">
        <is>
          <t>Yes</t>
        </is>
      </c>
      <c r="AG1170" s="1" t="inlineStr">
        <is>
          <t>https://www.instagram.com/dokkiapp</t>
        </is>
      </c>
      <c r="AH1170" s="1" t="inlineStr">
        <is>
          <t>https://twitter.com/dokkiapp</t>
        </is>
      </c>
      <c r="AI1170" s="1" t="inlineStr">
        <is>
          <t>https://www.linkedin.com/company/dokki</t>
        </is>
      </c>
      <c r="AJ1170" s="1" t="n"/>
    </row>
    <row r="1171" ht="12.5" customHeight="1">
      <c r="A1171" s="6" t="n">
        <v>45181</v>
      </c>
      <c r="B1171" s="1" t="inlineStr">
        <is>
          <t>ORG_1386</t>
        </is>
      </c>
      <c r="C1171" s="1" t="b">
        <v>1</v>
      </c>
      <c r="D1171" s="1" t="inlineStr">
        <is>
          <t>DYNSEO</t>
        </is>
      </c>
      <c r="E1171" s="10" t="inlineStr">
        <is>
          <t>https://www.dynseo.com/en</t>
        </is>
      </c>
      <c r="F1171" t="inlineStr">
        <is>
          <t>dynseo.com/en</t>
        </is>
      </c>
      <c r="G1171" s="1" t="inlineStr">
        <is>
          <t>DYNSEO is an e-health company developing brain and educational training programs for seniors, adults and children, available on tablets and smartphones. 
Our apps include more than 30 games, adapted to all the levels of cognition and culturally adapted as well.
With the Clint and Coco apps, you can personalize the training and participate in the children's development through playful and educational games targeting language, reading and written skills, attention and reflexes among other things.
The apps can be used as a training tool for special needs children with cognitive impairments (down syndrome), developmental disorders (autism)and learning disabilities like DYS disorders. 
Thanks to 3 levels of difficulty for each game and the possibility to create a profile to follow your evolution.</t>
        </is>
      </c>
      <c r="H1171" s="1" t="inlineStr">
        <is>
          <t>EdTech France</t>
        </is>
      </c>
      <c r="I1171" s="1" t="n"/>
      <c r="J1171" s="1" t="inlineStr">
        <is>
          <t>Paris</t>
        </is>
      </c>
      <c r="K1171" t="inlineStr">
        <is>
          <t>Paris</t>
        </is>
      </c>
      <c r="L1171" t="inlineStr">
        <is>
          <t>Paris, France</t>
        </is>
      </c>
      <c r="M1171" t="n">
        <v>48.8534951</v>
      </c>
      <c r="N1171" t="n">
        <v>2.3483915</v>
      </c>
      <c r="O1171" s="1" t="inlineStr">
        <is>
          <t>France</t>
        </is>
      </c>
      <c r="P1171" s="1" t="inlineStr">
        <is>
          <t>Belgium, Denmark, France, Ireland, Italy, Luxembourg, Monaco, Netherlands, Portugal, Switzerland, United Kingdom</t>
        </is>
      </c>
      <c r="Q1171" s="1" t="inlineStr">
        <is>
          <t>0 to 10</t>
        </is>
      </c>
      <c r="R1171" t="inlineStr">
        <is>
          <t>Micro</t>
        </is>
      </c>
      <c r="S1171" s="1" t="inlineStr">
        <is>
          <t>Business to Business, Business to Consumer</t>
        </is>
      </c>
      <c r="T1171" s="1" t="inlineStr">
        <is>
          <t>Early childhood development (0-5 years), Primary Education, Secondary Education, Lifelong learning/Adult education</t>
        </is>
      </c>
      <c r="U1171" s="1" t="inlineStr">
        <is>
          <t>System/Administrative, Student interfacing, Teacher interfacing</t>
        </is>
      </c>
      <c r="V1171" s="10" t="inlineStr">
        <is>
          <t>COCO</t>
        </is>
      </c>
      <c r="W1171" s="1" t="inlineStr">
        <is>
          <t>COCO is an educational app for children from 5 to 10 years old, which includes more than 30 games, to be used at home with the parents, in school with teachers and assistants, or during therapy with health professionals.
All the games are adapted for children with cognitive impairments and can be adapted for all levels of cognition. 
The Coco app includes a Sports break after 15 minutes of screen time to help fight sedentary behaviors and teach a measured use of screens. These physical games can be played at any time or after 15 minutes of game time to allow the children to clear their brains and do some physical activity.</t>
        </is>
      </c>
      <c r="X1171" s="10" t="inlineStr">
        <is>
          <t>CLINT</t>
        </is>
      </c>
      <c r="Y1171" t="inlineStr">
        <is>
          <t>The Clint training program is an app available on smartphones and tablets for adults wishing to train their brain and stimulate all their cognitive functions. 
The app contains more than 30 fun and cultural games to train the memory, attention, reflexes and so much more, all while having fun. 
It can be used by adults for a general training as well as teenagers with cognitive impairment as a tool for cognitive development.</t>
        </is>
      </c>
      <c r="Z1171" s="1" t="inlineStr">
        <is>
          <t>https://drive.google.com/uc?export=view&amp;id=1bV1NLlGEtI69C60Koyh8oEFV7ei_SYTK</t>
        </is>
      </c>
      <c r="AA1171" s="1" t="inlineStr">
        <is>
          <t>Unverified</t>
        </is>
      </c>
      <c r="AB1171" s="1" t="n"/>
      <c r="AC1171" s="1" t="n"/>
      <c r="AD1171" s="10" t="n"/>
      <c r="AE1171" s="1" t="n"/>
      <c r="AF1171" s="1" t="inlineStr">
        <is>
          <t>Yes</t>
        </is>
      </c>
      <c r="AG1171" s="1" t="inlineStr">
        <is>
          <t>https://www.instagram.com/coco_educationalgames/</t>
        </is>
      </c>
      <c r="AH1171" s="1" t="inlineStr">
        <is>
          <t>DYNSEO</t>
        </is>
      </c>
      <c r="AI1171" t="inlineStr">
        <is>
          <t>https://www.linkedin.com/company/dynseo</t>
        </is>
      </c>
    </row>
    <row r="1172" ht="12.5" customHeight="1">
      <c r="A1172" s="6" t="n">
        <v>45181</v>
      </c>
      <c r="B1172" s="1" t="inlineStr">
        <is>
          <t>ORG_1389</t>
        </is>
      </c>
      <c r="C1172" s="1" t="b">
        <v>1</v>
      </c>
      <c r="D1172" s="1" t="inlineStr">
        <is>
          <t>e-Pitinglish</t>
        </is>
      </c>
      <c r="E1172" s="10" t="inlineStr">
        <is>
          <t>www.e-pitinglish.com</t>
        </is>
      </c>
      <c r="F1172" t="inlineStr">
        <is>
          <t>e-pitinglish.com</t>
        </is>
      </c>
      <c r="G1172" s="1" t="inlineStr">
        <is>
          <t>e-Pitinglish is an edtech startup that offers online English services for Spanish-speaking children from 5 to 12 years old through its disruptive technology platform based on AI + gamification. The e-Pitinglish methodology is focused on stimulating children's motivation through different techniques based on neuroeducation, good e-teachers and always based on the tastes and interests of the students.</t>
        </is>
      </c>
      <c r="H1172" s="1" t="inlineStr">
        <is>
          <t>I'm not part of any EdTech association</t>
        </is>
      </c>
      <c r="I1172" s="1" t="n"/>
      <c r="J1172" s="1" t="inlineStr">
        <is>
          <t>Calle Lluis Domenech I Muntaner, 6</t>
        </is>
      </c>
      <c r="L1172" t="inlineStr">
        <is>
          <t>Calle Lluis Domenech I Muntaner, 6, Spain</t>
        </is>
      </c>
      <c r="O1172" s="1" t="inlineStr">
        <is>
          <t>Spain</t>
        </is>
      </c>
      <c r="P1172" s="1" t="inlineStr">
        <is>
          <t>Spain</t>
        </is>
      </c>
      <c r="Q1172" s="1" t="inlineStr">
        <is>
          <t>0 to 2</t>
        </is>
      </c>
      <c r="R1172" t="inlineStr">
        <is>
          <t>Solo entrepreneur</t>
        </is>
      </c>
      <c r="S1172" s="1" t="inlineStr">
        <is>
          <t>Business to Business, Business to Consumer</t>
        </is>
      </c>
      <c r="T1172" s="1" t="inlineStr">
        <is>
          <t>Primary Education</t>
        </is>
      </c>
      <c r="U1172" s="1" t="inlineStr">
        <is>
          <t>System/Administrative, Student interfacing, Teacher interfacing</t>
        </is>
      </c>
      <c r="V1172" s="1" t="n"/>
      <c r="W1172" s="1" t="inlineStr">
        <is>
          <t>https://drive.google.com/uc?export=view&amp;id=1z3_EfMU529IcyDjE6sICyEfO1KjnSH0C</t>
        </is>
      </c>
      <c r="X1172" s="1" t="inlineStr">
        <is>
          <t>https://drive.google.com/uc?export=view&amp;id=1z3_EfMU529IcyDjE6sICyEfO1KjnSH0C</t>
        </is>
      </c>
      <c r="Y1172" t="inlineStr">
        <is>
          <t>https://drive.google.com/uc?export=view&amp;id=1z3_EfMU529IcyDjE6sICyEfO1KjnSH0C</t>
        </is>
      </c>
      <c r="Z1172" s="1" t="inlineStr">
        <is>
          <t>https://drive.google.com/uc?export=view&amp;id=1z3_EfMU529IcyDjE6sICyEfO1KjnSH0C</t>
        </is>
      </c>
      <c r="AA1172" s="1" t="inlineStr">
        <is>
          <t>Unverified</t>
        </is>
      </c>
      <c r="AB1172" s="1" t="n"/>
      <c r="AC1172" s="1" t="n"/>
      <c r="AD1172" s="10" t="n"/>
      <c r="AE1172" s="1" t="n"/>
      <c r="AF1172" s="1" t="inlineStr">
        <is>
          <t>No</t>
        </is>
      </c>
      <c r="AG1172" s="1" t="n"/>
      <c r="AH1172" s="1" t="n"/>
    </row>
    <row r="1173" ht="12.5" customHeight="1">
      <c r="A1173" s="6" t="n">
        <v>45181</v>
      </c>
      <c r="B1173" s="1" t="inlineStr">
        <is>
          <t>ORG_1441</t>
        </is>
      </c>
      <c r="C1173" s="1" t="b">
        <v>1</v>
      </c>
      <c r="D1173" s="1" t="inlineStr">
        <is>
          <t>EDUKARE</t>
        </is>
      </c>
      <c r="E1173" s="10" t="inlineStr">
        <is>
          <t>www.edukare.fr</t>
        </is>
      </c>
      <c r="F1173" t="inlineStr">
        <is>
          <t>edukare.fr</t>
        </is>
      </c>
      <c r="G1173" s="1" t="inlineStr">
        <is>
          <t>Our mission is to facilitate access to higher education, helping family to finance courses with an high level of employability. With Edukare as a platform:
School promote their accessibility program. Family achieve to access to quality education courses. Banks invest into futur customer with a high level of revenue. Sponsors help candidates to integrate a successfull career.</t>
        </is>
      </c>
      <c r="H1173" s="1" t="inlineStr">
        <is>
          <t>I'm not part of any EdTech association</t>
        </is>
      </c>
      <c r="I1173" s="1" t="n"/>
      <c r="J1173" s="1" t="inlineStr">
        <is>
          <t>Gignac-La-Nerthe</t>
        </is>
      </c>
      <c r="K1173" t="inlineStr">
        <is>
          <t>Gignac-La-Nerthe</t>
        </is>
      </c>
      <c r="L1173" t="inlineStr">
        <is>
          <t>Gignac-La-Nerthe, France</t>
        </is>
      </c>
      <c r="M1173" t="n">
        <v>43.3887665</v>
      </c>
      <c r="N1173" t="n">
        <v>5.2329106</v>
      </c>
      <c r="O1173" s="1" t="inlineStr">
        <is>
          <t>France</t>
        </is>
      </c>
      <c r="P1173" s="1" t="inlineStr">
        <is>
          <t>France</t>
        </is>
      </c>
      <c r="Q1173" s="1" t="inlineStr">
        <is>
          <t>0 to 10</t>
        </is>
      </c>
      <c r="R1173" t="inlineStr">
        <is>
          <t>Micro</t>
        </is>
      </c>
      <c r="S1173" s="1" t="inlineStr">
        <is>
          <t>Business to Business, Business to Consumer</t>
        </is>
      </c>
      <c r="T1173" s="1" t="inlineStr">
        <is>
          <t>Higher Education</t>
        </is>
      </c>
      <c r="U1173" s="1" t="inlineStr">
        <is>
          <t>System/Administrative, Student interfacing</t>
        </is>
      </c>
      <c r="V1173" s="1" t="n"/>
      <c r="W1173" s="1" t="inlineStr">
        <is>
          <t>https://drive.google.com/uc?export=view&amp;id=1ZV-gB3H0L106StF9dx07y077PVx0mQlJ</t>
        </is>
      </c>
      <c r="X1173" s="1" t="inlineStr">
        <is>
          <t>https://drive.google.com/uc?export=view&amp;id=1ZV-gB3H0L106StF9dx07y077PVx0mQlJ</t>
        </is>
      </c>
      <c r="Y1173" t="inlineStr">
        <is>
          <t>https://drive.google.com/uc?export=view&amp;id=1ZV-gB3H0L106StF9dx07y077PVx0mQlJ</t>
        </is>
      </c>
      <c r="Z1173" s="1" t="inlineStr">
        <is>
          <t>https://drive.google.com/uc?export=view&amp;id=1ZV-gB3H0L106StF9dx07y077PVx0mQlJ</t>
        </is>
      </c>
      <c r="AA1173" s="1" t="inlineStr">
        <is>
          <t>Unverified</t>
        </is>
      </c>
      <c r="AB1173" s="1" t="n"/>
      <c r="AC1173" s="1" t="n"/>
      <c r="AD1173" s="10" t="n"/>
      <c r="AE1173" s="1" t="n"/>
      <c r="AF1173" t="inlineStr">
        <is>
          <t>No</t>
        </is>
      </c>
    </row>
    <row r="1174" ht="12.5" customHeight="1">
      <c r="A1174" s="6" t="n">
        <v>45181</v>
      </c>
      <c r="B1174" s="1" t="inlineStr">
        <is>
          <t>ORG_1451</t>
        </is>
      </c>
      <c r="C1174" s="1" t="b">
        <v>1</v>
      </c>
      <c r="D1174" s="1" t="inlineStr">
        <is>
          <t>Edumundo</t>
        </is>
      </c>
      <c r="E1174" s="10" t="inlineStr">
        <is>
          <t>https://www.edumundo.com/home</t>
        </is>
      </c>
      <c r="F1174" t="inlineStr">
        <is>
          <t>edumundo.com/home</t>
        </is>
      </c>
      <c r="G1174" s="1" t="inlineStr">
        <is>
          <t>Edumundo is een educatieve uitgeverij voor het hoger en beroepsonderwijs. Wij ontwikkelen online leertools die docenten optimaal faciliteren om studenten zoveel mogelijk uit een vak te laten halen. De tools bevatten elementen van gaming, gamification en activerende didactiek en laten studenten meer plezier in hun studie ervaren. We maken leren leuker en interactiever met als resultaat: betrokken studenten en een hoger leerrendement.</t>
        </is>
      </c>
      <c r="H1174" s="1" t="inlineStr">
        <is>
          <t>I'm not part of any EdTech association</t>
        </is>
      </c>
      <c r="I1174" s="1" t="n"/>
      <c r="J1174" s="1" t="inlineStr">
        <is>
          <t>Den Haag</t>
        </is>
      </c>
      <c r="K1174" t="inlineStr">
        <is>
          <t>Den Haag</t>
        </is>
      </c>
      <c r="L1174" t="inlineStr">
        <is>
          <t>Den Haag, The Netherlands</t>
        </is>
      </c>
      <c r="M1174" t="n">
        <v>52.0749456</v>
      </c>
      <c r="N1174" t="n">
        <v>4.2696802</v>
      </c>
      <c r="O1174" s="1" t="inlineStr">
        <is>
          <t>The Netherlands</t>
        </is>
      </c>
      <c r="P1174" s="1" t="inlineStr">
        <is>
          <t>Belgium, France, Germany, Luxembourg, Netherlands, Norway, Spain, Switzerland, Turkey, United Kingdom</t>
        </is>
      </c>
      <c r="Q1174" s="1" t="inlineStr">
        <is>
          <t>11 to 50</t>
        </is>
      </c>
      <c r="R1174" t="inlineStr">
        <is>
          <t>Small</t>
        </is>
      </c>
      <c r="S1174" s="1" t="inlineStr">
        <is>
          <t>Business to Business, Business to Consumer, Business to Government</t>
        </is>
      </c>
      <c r="T1174" s="1" t="inlineStr">
        <is>
          <t>Higher Education</t>
        </is>
      </c>
      <c r="U1174" s="1" t="inlineStr">
        <is>
          <t>Teacher interfacing, System/Administrative</t>
        </is>
      </c>
      <c r="V1174" s="1" t="n"/>
      <c r="W1174" s="1" t="inlineStr">
        <is>
          <t>https://drive.google.com/uc?export=view&amp;id=1_6JWyTz8R897Uo0FOjgZGG1X_jgpfLiY</t>
        </is>
      </c>
      <c r="X1174" s="1" t="inlineStr">
        <is>
          <t>https://drive.google.com/uc?export=view&amp;id=1_6JWyTz8R897Uo0FOjgZGG1X_jgpfLiY</t>
        </is>
      </c>
      <c r="Y1174" t="inlineStr">
        <is>
          <t>https://drive.google.com/uc?export=view&amp;id=1_6JWyTz8R897Uo0FOjgZGG1X_jgpfLiY</t>
        </is>
      </c>
      <c r="Z1174" s="1" t="inlineStr">
        <is>
          <t>https://drive.google.com/uc?export=view&amp;id=1_6JWyTz8R897Uo0FOjgZGG1X_jgpfLiY</t>
        </is>
      </c>
      <c r="AA1174" s="1" t="inlineStr">
        <is>
          <t>Unverified</t>
        </is>
      </c>
      <c r="AB1174" s="1" t="n"/>
      <c r="AC1174" s="1" t="n"/>
      <c r="AD1174" s="10" t="n"/>
      <c r="AE1174" s="1" t="n"/>
      <c r="AF1174" s="1" t="inlineStr">
        <is>
          <t>No</t>
        </is>
      </c>
      <c r="AG1174" s="1" t="n"/>
      <c r="AH1174" s="1" t="n"/>
    </row>
    <row r="1175" ht="12.5" customHeight="1">
      <c r="A1175" s="6" t="n">
        <v>45181</v>
      </c>
      <c r="B1175" s="1" t="inlineStr">
        <is>
          <t>ORG_1530</t>
        </is>
      </c>
      <c r="C1175" s="1" t="b">
        <v>1</v>
      </c>
      <c r="D1175" s="1" t="inlineStr">
        <is>
          <t>Evolutiel</t>
        </is>
      </c>
      <c r="E1175" s="10" t="inlineStr">
        <is>
          <t>www.evolutiel.com</t>
        </is>
      </c>
      <c r="F1175" t="inlineStr">
        <is>
          <t>evolutiel.com</t>
        </is>
      </c>
      <c r="G1175" s="1" t="inlineStr">
        <is>
          <t>A platform with applications for analyzing skills and training, for HR and recruiter
It use business case and serious gaming</t>
        </is>
      </c>
      <c r="H1175" s="1" t="inlineStr">
        <is>
          <t>I'm not part of any EdTech association</t>
        </is>
      </c>
      <c r="I1175" s="1" t="n"/>
      <c r="J1175" s="1" t="inlineStr">
        <is>
          <t>Lyon</t>
        </is>
      </c>
      <c r="K1175" t="inlineStr">
        <is>
          <t>Lyon</t>
        </is>
      </c>
      <c r="L1175" t="inlineStr">
        <is>
          <t>Lyon, France</t>
        </is>
      </c>
      <c r="M1175" t="n">
        <v>45.7578137</v>
      </c>
      <c r="N1175" t="n">
        <v>4.8320114</v>
      </c>
      <c r="O1175" s="1" t="inlineStr">
        <is>
          <t>France</t>
        </is>
      </c>
      <c r="P1175" s="1" t="inlineStr">
        <is>
          <t>France</t>
        </is>
      </c>
      <c r="Q1175" s="1" t="inlineStr">
        <is>
          <t>0 to 10</t>
        </is>
      </c>
      <c r="R1175" t="inlineStr">
        <is>
          <t>Micro</t>
        </is>
      </c>
      <c r="S1175" s="1" t="inlineStr">
        <is>
          <t>Business to Business, Business to Consumer, Business to Schools</t>
        </is>
      </c>
      <c r="T1175" s="1" t="inlineStr">
        <is>
          <t>Primary Education, Secondary Education, Higher Education, Corporate Training, Lifelong learning/Adult education</t>
        </is>
      </c>
      <c r="U1175" s="1" t="inlineStr">
        <is>
          <t>Teacher interfacing, Student interfacing, System/Administrative</t>
        </is>
      </c>
      <c r="V1175" s="1" t="n"/>
      <c r="W1175" s="1" t="inlineStr">
        <is>
          <t>https://drive.google.com/uc?export=view&amp;id=1h7QWrA0dCXYIurTvpeD5ViaF6R_-9k8A</t>
        </is>
      </c>
      <c r="X1175" s="1" t="inlineStr">
        <is>
          <t>https://drive.google.com/uc?export=view&amp;id=1h7QWrA0dCXYIurTvpeD5ViaF6R_-9k8A</t>
        </is>
      </c>
      <c r="Y1175" t="inlineStr">
        <is>
          <t>https://drive.google.com/uc?export=view&amp;id=1h7QWrA0dCXYIurTvpeD5ViaF6R_-9k8A</t>
        </is>
      </c>
      <c r="Z1175" s="1" t="inlineStr">
        <is>
          <t>https://drive.google.com/uc?export=view&amp;id=1h7QWrA0dCXYIurTvpeD5ViaF6R_-9k8A</t>
        </is>
      </c>
      <c r="AA1175" s="1" t="inlineStr">
        <is>
          <t>Unverified</t>
        </is>
      </c>
      <c r="AB1175" s="1" t="n"/>
      <c r="AC1175" s="1" t="n"/>
      <c r="AD1175" s="10" t="n"/>
      <c r="AE1175" s="1" t="n"/>
      <c r="AF1175" s="1" t="inlineStr">
        <is>
          <t>No</t>
        </is>
      </c>
      <c r="AG1175" s="1" t="n"/>
      <c r="AH1175" s="1" t="n"/>
    </row>
    <row r="1176" ht="12.5" customHeight="1">
      <c r="A1176" s="6" t="n">
        <v>45181</v>
      </c>
      <c r="B1176" s="1" t="inlineStr">
        <is>
          <t>ORG_1633</t>
        </is>
      </c>
      <c r="C1176" s="1" t="b">
        <v>1</v>
      </c>
      <c r="D1176" s="1" t="inlineStr">
        <is>
          <t>GoLearn</t>
        </is>
      </c>
      <c r="E1176" s="10" t="inlineStr">
        <is>
          <t>www.golearn.dk</t>
        </is>
      </c>
      <c r="F1176" t="inlineStr">
        <is>
          <t>golearn.dk</t>
        </is>
      </c>
      <c r="G1176" s="1" t="inlineStr">
        <is>
          <t>We provide state of the art subscription based E-learning for the commercial sector - Netflix for Companies.
The company was founded four years ago and currently have 155.000 users and experiences rapid growth.</t>
        </is>
      </c>
      <c r="H1176" s="1" t="inlineStr">
        <is>
          <t>I'm not part of any EdTech association</t>
        </is>
      </c>
      <c r="I1176" s="1" t="n"/>
      <c r="J1176" s="1" t="inlineStr">
        <is>
          <t>Ballerup</t>
        </is>
      </c>
      <c r="K1176" t="inlineStr">
        <is>
          <t>Ballerup</t>
        </is>
      </c>
      <c r="L1176" t="inlineStr">
        <is>
          <t>Ballerup, Denmark</t>
        </is>
      </c>
      <c r="M1176" t="n">
        <v>55.7303589</v>
      </c>
      <c r="N1176" t="n">
        <v>12.3612313</v>
      </c>
      <c r="O1176" s="1" t="inlineStr">
        <is>
          <t>Denmark</t>
        </is>
      </c>
      <c r="P1176" s="1" t="inlineStr">
        <is>
          <t>Denmark</t>
        </is>
      </c>
      <c r="Q1176" s="1" t="inlineStr">
        <is>
          <t>11 to 50</t>
        </is>
      </c>
      <c r="R1176" t="inlineStr">
        <is>
          <t>Small</t>
        </is>
      </c>
      <c r="S1176" s="1" t="inlineStr">
        <is>
          <t>Business to Business, Business to Consumer, Business to Schools</t>
        </is>
      </c>
      <c r="T1176" s="1" t="inlineStr">
        <is>
          <t>Corporate Training</t>
        </is>
      </c>
      <c r="U1176" s="1" t="inlineStr">
        <is>
          <t>Student interfacing, System/Administrative</t>
        </is>
      </c>
      <c r="V1176" s="1" t="n"/>
      <c r="W1176" s="1" t="inlineStr">
        <is>
          <t>https://drive.google.com/uc?export=view&amp;id=1cyhB5pk1v9YEuEI-IKFPFWyNGDfTmH4L</t>
        </is>
      </c>
      <c r="X1176" s="1" t="inlineStr">
        <is>
          <t>https://drive.google.com/uc?export=view&amp;id=1cyhB5pk1v9YEuEI-IKFPFWyNGDfTmH4L</t>
        </is>
      </c>
      <c r="Y1176" t="inlineStr">
        <is>
          <t>https://drive.google.com/uc?export=view&amp;id=1cyhB5pk1v9YEuEI-IKFPFWyNGDfTmH4L</t>
        </is>
      </c>
      <c r="Z1176" s="1" t="inlineStr">
        <is>
          <t>https://drive.google.com/uc?export=view&amp;id=1cyhB5pk1v9YEuEI-IKFPFWyNGDfTmH4L</t>
        </is>
      </c>
      <c r="AA1176" s="1" t="inlineStr">
        <is>
          <t>Unverified</t>
        </is>
      </c>
      <c r="AB1176" s="1" t="n"/>
      <c r="AC1176" s="1" t="n"/>
      <c r="AD1176" s="10" t="n"/>
      <c r="AE1176" s="1" t="n"/>
      <c r="AF1176" t="inlineStr">
        <is>
          <t>No</t>
        </is>
      </c>
    </row>
    <row r="1177" ht="12.5" customHeight="1">
      <c r="A1177" s="6" t="n">
        <v>45181</v>
      </c>
      <c r="B1177" s="1" t="inlineStr">
        <is>
          <t>ORG_1686</t>
        </is>
      </c>
      <c r="C1177" s="1" t="b">
        <v>1</v>
      </c>
      <c r="D1177" s="1" t="inlineStr">
        <is>
          <t>Howdou</t>
        </is>
      </c>
      <c r="E1177" s="10" t="inlineStr">
        <is>
          <t>howdou.net</t>
        </is>
      </c>
      <c r="F1177" t="inlineStr">
        <is>
          <t>howdou.net</t>
        </is>
      </c>
      <c r="G1177" s="1" t="inlineStr">
        <is>
          <t>We believe that hands-on learning is far more efficient than videos, and definitely more fun and engaging.
That's why we created Howdou.
A new way of learning and assessing software based skills.
Practical scenario based workflows for learning or assessing digital skills.
- Forget videos, howtos and assessment questions
- Work Hands-on in the system, and get personalised feedback and guidance
- AI driven objects to make the learning more effective
- Rapid, engaging, innovative and a guaranteed behaviour change</t>
        </is>
      </c>
      <c r="H1177" s="1" t="inlineStr">
        <is>
          <t>Swedish EdTech Industry</t>
        </is>
      </c>
      <c r="I1177" s="1" t="n"/>
      <c r="J1177" s="1" t="inlineStr">
        <is>
          <t>Stockholm</t>
        </is>
      </c>
      <c r="K1177" t="inlineStr">
        <is>
          <t>Stockholm</t>
        </is>
      </c>
      <c r="L1177" t="inlineStr">
        <is>
          <t>Stockholm, Sweden</t>
        </is>
      </c>
      <c r="M1177" t="n">
        <v>59.3251172</v>
      </c>
      <c r="N1177" t="n">
        <v>18.0710935</v>
      </c>
      <c r="O1177" s="1" t="inlineStr">
        <is>
          <t>Sweden</t>
        </is>
      </c>
      <c r="P1177" s="1" t="inlineStr">
        <is>
          <t>Belgium, Denmark, Finland, France, Germany, Greece, Norway, Portugal, Spain, Sweden, United Kingdom</t>
        </is>
      </c>
      <c r="Q1177" s="1" t="inlineStr">
        <is>
          <t>0 to 10</t>
        </is>
      </c>
      <c r="R1177" t="inlineStr">
        <is>
          <t>Micro</t>
        </is>
      </c>
      <c r="S1177" s="1" t="inlineStr">
        <is>
          <t>Business to Business, Business to Consumer, Business to Schools</t>
        </is>
      </c>
      <c r="T1177" s="1" t="inlineStr">
        <is>
          <t>Primary Education, Secondary Education, Higher Education, Corporate Training</t>
        </is>
      </c>
      <c r="U1177" s="1" t="inlineStr">
        <is>
          <t>Student interfacing, Teacher interfacing, System/Administrative</t>
        </is>
      </c>
      <c r="V1177" s="1" t="inlineStr">
        <is>
          <t>Howdou</t>
        </is>
      </c>
      <c r="W1177" s="1" t="inlineStr">
        <is>
          <t>We believe that hands-on learning is far more efficient than videos, and definitely more fun and engaging.
That's why we created Howdou.
A new way of learning and assessing software based skills.
Practical scenario based workflows for learning or assessing digital skills
- Forget videos, howtos and assessment questions
- Work Hands-on in the system, and get personalised feedback and guidance
- AI driven objects to make the learning more effective
- Rapid, engaging, innovative and a guaranteed behaviour change</t>
        </is>
      </c>
      <c r="X1177" s="10" t="inlineStr">
        <is>
          <t>Workspace Skills</t>
        </is>
      </c>
      <c r="Y1177" t="inlineStr">
        <is>
          <t>Self-paced Student Certification for Google Workspace
Workspace Skills is a series of interactive tutorials that help students and teachers make the most from Google Workspace for Education</t>
        </is>
      </c>
      <c r="Z1177" s="1" t="inlineStr">
        <is>
          <t>https://drive.google.com/uc?export=view&amp;id=1Fdo-da9NJNiDtDsNWYwwb2D_0_qirjCC</t>
        </is>
      </c>
      <c r="AA1177" s="1" t="inlineStr">
        <is>
          <t>Unverified</t>
        </is>
      </c>
      <c r="AB1177" s="1" t="n"/>
      <c r="AC1177" s="1" t="n"/>
      <c r="AD1177" s="10" t="n"/>
      <c r="AE1177" s="1" t="n"/>
      <c r="AF1177" s="1" t="inlineStr">
        <is>
          <t>Yes</t>
        </is>
      </c>
      <c r="AG1177" s="1" t="inlineStr">
        <is>
          <t>https://www.linkedin.com/company/evalve/</t>
        </is>
      </c>
      <c r="AH1177" s="1" t="inlineStr">
        <is>
          <t>@howdounet</t>
        </is>
      </c>
      <c r="AI1177" t="inlineStr">
        <is>
          <t>https://www.linkedin.com/company/evalve/</t>
        </is>
      </c>
    </row>
    <row r="1178" ht="12.5" customHeight="1">
      <c r="A1178" s="6" t="n">
        <v>45181</v>
      </c>
      <c r="B1178" s="1" t="inlineStr">
        <is>
          <t>ORG_1743</t>
        </is>
      </c>
      <c r="C1178" s="1" t="b">
        <v>1</v>
      </c>
      <c r="D1178" s="1" t="inlineStr">
        <is>
          <t>IST Group</t>
        </is>
      </c>
      <c r="E1178" s="10" t="inlineStr">
        <is>
          <t>www.ist.com</t>
        </is>
      </c>
      <c r="F1178" t="inlineStr">
        <is>
          <t>ist.com</t>
        </is>
      </c>
      <c r="G1178" s="1" t="inlineStr">
        <is>
          <t>Simple and smart functionality developed for the future of learning.
When you are in the business of learning you need great tools to achieve great things. We make sure you get them. With digital solutions for administration, learning and scheduling, we make everyday life easier for students, parents, teachers and managers. Every day our solutions make a difference for millions of people. 
We build the future of EdTech!</t>
        </is>
      </c>
      <c r="H1178" s="1" t="n"/>
      <c r="I1178" s="1" t="n"/>
      <c r="J1178" s="1" t="inlineStr">
        <is>
          <t>Växjö</t>
        </is>
      </c>
      <c r="K1178" t="inlineStr">
        <is>
          <t>Växjö</t>
        </is>
      </c>
      <c r="L1178" t="inlineStr">
        <is>
          <t>Växjö, Sweden</t>
        </is>
      </c>
      <c r="M1178" t="n">
        <v>56.8787183</v>
      </c>
      <c r="N1178" t="n">
        <v>14.8094385</v>
      </c>
      <c r="O1178" s="1" t="inlineStr">
        <is>
          <t>Sweden</t>
        </is>
      </c>
      <c r="P1178" s="1" t="inlineStr">
        <is>
          <t>Denmark, Germany, Norway, Sweden</t>
        </is>
      </c>
      <c r="Q1178" s="1" t="inlineStr">
        <is>
          <t>100+</t>
        </is>
      </c>
      <c r="R1178" t="inlineStr">
        <is>
          <t>Medium or Large (unspecified)</t>
        </is>
      </c>
      <c r="S1178" s="1" t="inlineStr">
        <is>
          <t>Business to Business, Business to Consumer, Business to Schools</t>
        </is>
      </c>
      <c r="T1178" s="1" t="inlineStr">
        <is>
          <t>Early childhood development (0-5 years), Primary Education, Secondary Education, Higher Education</t>
        </is>
      </c>
      <c r="U1178" s="1" t="inlineStr">
        <is>
          <t>System/Administrative, Teacher interfacing, Student interfacing</t>
        </is>
      </c>
      <c r="V1178" s="1" t="inlineStr">
        <is>
          <t>IST Administration</t>
        </is>
      </c>
      <c r="W1178" s="1" t="inlineStr">
        <is>
          <t>IST Administration is a cloud-based system that provides a wide range of smart and efficient tools for school administration on all levels. The system is user friendly, role-based and offers support through all processes – from annual planning to daily administrative tasks. Automated routines provide quicker and safer handling of tasks. By registering data centrally and distributing it for local use, you’ll get a secured handling and a higher quality of data.
IST Administration is developed both for childcare and for school administration.</t>
        </is>
      </c>
      <c r="X1178" s="10" t="inlineStr">
        <is>
          <t>IST Forms</t>
        </is>
      </c>
      <c r="Y1178" t="inlineStr">
        <is>
          <t>The time for unnecessary paper slips is over! Parents can now easily fill out their consents digitally. The administrator gets a simple overview and can share the information securely with the right people. It is easy to create different questionnaires and distribute them digitally to parents. Parents can easily and securely identify themselves with SchoolID to handle consents regarding their children and the administrator gets an easy overview of all consents and can sort them, for example, based on class groups.</t>
        </is>
      </c>
      <c r="Z1178" s="1" t="inlineStr">
        <is>
          <t>https://drive.google.com/uc?export=view&amp;id=1k2TYA4Q6roUCv7_UjExGyhoYLs24gVI1</t>
        </is>
      </c>
      <c r="AA1178" s="1" t="inlineStr">
        <is>
          <t>Unverified</t>
        </is>
      </c>
      <c r="AB1178" s="1" t="n"/>
      <c r="AC1178" s="1" t="n"/>
      <c r="AD1178" s="10" t="n"/>
      <c r="AE1178" s="1" t="n"/>
      <c r="AF1178" s="1" t="inlineStr">
        <is>
          <t>Yes</t>
        </is>
      </c>
      <c r="AG1178" s="1" t="inlineStr">
        <is>
          <t>https://www.linkedin.com/company/ist-sverige-ab/</t>
        </is>
      </c>
      <c r="AH1178" s="1" t="inlineStr">
        <is>
          <t>https://www.linkedin.com/company/ist-sverige-ab/</t>
        </is>
      </c>
      <c r="AI1178" s="1" t="inlineStr">
        <is>
          <t>https://www.linkedin.com/company/ist-sverige-ab/</t>
        </is>
      </c>
      <c r="AJ1178" s="1" t="n"/>
    </row>
    <row r="1179" ht="12.5" customHeight="1">
      <c r="A1179" s="6" t="n">
        <v>45181</v>
      </c>
      <c r="B1179" s="1" t="inlineStr">
        <is>
          <t>ORG_1764</t>
        </is>
      </c>
      <c r="C1179" s="1" t="b">
        <v>1</v>
      </c>
      <c r="D1179" s="1" t="inlineStr">
        <is>
          <t>Kalyzée</t>
        </is>
      </c>
      <c r="E1179" s="10" t="inlineStr">
        <is>
          <t>https://www.kalyzee.com/en/</t>
        </is>
      </c>
      <c r="F1179" t="inlineStr">
        <is>
          <t>kalyzee.com/en</t>
        </is>
      </c>
      <c r="G1179" s="1" t="inlineStr">
        <is>
          <t>Kalyzée is specialising in autonomous audiovisual solutions, with a lecture capture camera. Founded in 2014 by three passionate people, Kalyzée revolutionizes E-learning by offering an all-in-one and user-friendly camera, allowing to record and broadcast courses, tutorials and MOOCs.</t>
        </is>
      </c>
      <c r="H1179" s="1" t="inlineStr">
        <is>
          <t>EdTech France</t>
        </is>
      </c>
      <c r="I1179" s="1" t="n"/>
      <c r="J1179" s="1" t="inlineStr">
        <is>
          <t>Marseille</t>
        </is>
      </c>
      <c r="K1179" t="inlineStr">
        <is>
          <t>Marseille</t>
        </is>
      </c>
      <c r="L1179" t="inlineStr">
        <is>
          <t>Marseille, France</t>
        </is>
      </c>
      <c r="M1179" t="n">
        <v>43.2963986</v>
      </c>
      <c r="N1179" t="n">
        <v>5.3777888</v>
      </c>
      <c r="O1179" s="1" t="inlineStr">
        <is>
          <t>France</t>
        </is>
      </c>
      <c r="P1179" s="1" t="inlineStr">
        <is>
          <t>France, Germany, Luxembourg, Spain, United Kingdom</t>
        </is>
      </c>
      <c r="Q1179" s="1" t="inlineStr">
        <is>
          <t>11 to 50</t>
        </is>
      </c>
      <c r="R1179" t="inlineStr">
        <is>
          <t>Small</t>
        </is>
      </c>
      <c r="S1179" s="1" t="inlineStr">
        <is>
          <t>Business to Business, Business to Government, Business to Schools</t>
        </is>
      </c>
      <c r="T1179" s="1" t="inlineStr">
        <is>
          <t>Primary Education, Secondary Education, Higher Education, Corporate Training, Lifelong learning/Adult education</t>
        </is>
      </c>
      <c r="U1179" s="1" t="inlineStr">
        <is>
          <t>Teacher interfacing, System/Administrative</t>
        </is>
      </c>
      <c r="V1179" s="1" t="inlineStr">
        <is>
          <t>Kast Revolt</t>
        </is>
      </c>
      <c r="W1179" s="10" t="inlineStr">
        <is>
          <t>The Kast camera is an intelligent, intuitive, and easy-to-use camera that allows teachers to broadcast their lessons via video while integrating their presentation support. Remotely controlled via an application or a web interface, it is the first camera that has an entire software system embedded directly within the camera.</t>
        </is>
      </c>
      <c r="X1179" s="10" t="inlineStr">
        <is>
          <t>Kapture</t>
        </is>
      </c>
      <c r="Y1179" t="inlineStr">
        <is>
          <t>Kapture is a platform that allows teachers to broadcast, stream and record their content live to learners while keeping interaction at the utmost importance.</t>
        </is>
      </c>
      <c r="Z1179" s="1" t="inlineStr">
        <is>
          <t>https://drive.google.com/uc?export=view&amp;id=1B0Hi93eIeepsnwKKq_10us1Gsf78lf7W</t>
        </is>
      </c>
      <c r="AA1179" s="1" t="inlineStr">
        <is>
          <t>Unverified</t>
        </is>
      </c>
      <c r="AB1179" s="1" t="n"/>
      <c r="AC1179" s="1" t="n"/>
      <c r="AD1179" s="10" t="n"/>
      <c r="AE1179" s="1" t="n"/>
      <c r="AF1179" s="1" t="inlineStr">
        <is>
          <t>Yes</t>
        </is>
      </c>
      <c r="AG1179" s="1" t="inlineStr">
        <is>
          <t>https://twitter.com/Kalyzee</t>
        </is>
      </c>
      <c r="AH1179" s="1" t="inlineStr">
        <is>
          <t>https://twitter.com/Kalyzee</t>
        </is>
      </c>
      <c r="AI1179" t="inlineStr">
        <is>
          <t>https://www.linkedin.com/company/kalyz-e</t>
        </is>
      </c>
    </row>
    <row r="1180" ht="12.5" customHeight="1">
      <c r="A1180" s="6" t="n">
        <v>45181</v>
      </c>
      <c r="B1180" s="1" t="inlineStr">
        <is>
          <t>ORG_1793</t>
        </is>
      </c>
      <c r="C1180" s="1" t="b">
        <v>1</v>
      </c>
      <c r="D1180" s="1" t="inlineStr">
        <is>
          <t>KUMULLUS</t>
        </is>
      </c>
      <c r="E1180" s="10" t="inlineStr">
        <is>
          <t>www.kumullus.com</t>
        </is>
      </c>
      <c r="F1180" t="inlineStr">
        <is>
          <t>kumullus.com</t>
        </is>
      </c>
      <c r="G1180" s="1" t="inlineStr">
        <is>
          <t>Kumullus is a French edtech start-up that provide an Interactive Video Learning solution.
The K.Air authoring tool, launched in 2018, permit to create and deploy a new generation of learning modules to engage employees and networks on all LMS and Web platforms on the market.
95% of their learners approve this learning experience and engagement rates are multiplied by 4 compared to traditional e-learning.
The solution is already used by more than 200 key account customers in all sectors. On our tool, no less than 1,500 designers created more than 22,000 modules in 2021.</t>
        </is>
      </c>
      <c r="H1180" s="1" t="inlineStr">
        <is>
          <t>EdTech France</t>
        </is>
      </c>
      <c r="I1180" s="1" t="n"/>
      <c r="J1180" s="1" t="inlineStr">
        <is>
          <t>Rueil-Malmaison</t>
        </is>
      </c>
      <c r="K1180" t="inlineStr">
        <is>
          <t>Rueil-Malmaison</t>
        </is>
      </c>
      <c r="L1180" t="inlineStr">
        <is>
          <t>Rueil-Malmaison, France</t>
        </is>
      </c>
      <c r="M1180" t="n">
        <v>48.87778</v>
      </c>
      <c r="N1180" t="n">
        <v>2.1802832</v>
      </c>
      <c r="O1180" s="1" t="inlineStr">
        <is>
          <t>France</t>
        </is>
      </c>
      <c r="P1180" s="1" t="inlineStr">
        <is>
          <t>France, Luxembourg, Spain, United Kingdom</t>
        </is>
      </c>
      <c r="Q1180" s="1" t="inlineStr">
        <is>
          <t>11 to 50</t>
        </is>
      </c>
      <c r="R1180" t="inlineStr">
        <is>
          <t>Small</t>
        </is>
      </c>
      <c r="S1180" s="1" t="inlineStr">
        <is>
          <t>Business to Business, Business to Government, Business to Schools</t>
        </is>
      </c>
      <c r="T1180" s="1" t="inlineStr">
        <is>
          <t>Higher Education, Corporate Training</t>
        </is>
      </c>
      <c r="U1180" s="1" t="inlineStr">
        <is>
          <t>Teacher interfacing, Student interfacing, System/Administrative</t>
        </is>
      </c>
      <c r="V1180" s="1" t="n"/>
      <c r="W1180" s="1" t="inlineStr">
        <is>
          <t>https://drive.google.com/uc?export=view&amp;id=1U-EDrwZld5aZcySe-kRXjQmXTy9b9F3s</t>
        </is>
      </c>
      <c r="X1180" s="1" t="inlineStr">
        <is>
          <t>https://drive.google.com/uc?export=view&amp;id=1U-EDrwZld5aZcySe-kRXjQmXTy9b9F3s</t>
        </is>
      </c>
      <c r="Y1180" t="inlineStr">
        <is>
          <t>https://drive.google.com/uc?export=view&amp;id=1U-EDrwZld5aZcySe-kRXjQmXTy9b9F3s</t>
        </is>
      </c>
      <c r="Z1180" s="1" t="inlineStr">
        <is>
          <t>https://drive.google.com/uc?export=view&amp;id=1U-EDrwZld5aZcySe-kRXjQmXTy9b9F3s</t>
        </is>
      </c>
      <c r="AA1180" s="1" t="inlineStr">
        <is>
          <t>Unverified</t>
        </is>
      </c>
      <c r="AB1180" s="1" t="n"/>
      <c r="AC1180" s="1" t="n"/>
      <c r="AD1180" s="10" t="n"/>
      <c r="AE1180" s="1" t="n"/>
      <c r="AF1180" s="1" t="inlineStr">
        <is>
          <t>No</t>
        </is>
      </c>
      <c r="AG1180" s="1" t="n"/>
      <c r="AH1180" s="1" t="n"/>
    </row>
    <row r="1181" ht="12.5" customHeight="1">
      <c r="A1181" s="6" t="n">
        <v>45181</v>
      </c>
      <c r="B1181" s="1" t="inlineStr">
        <is>
          <t>ORG_1811</t>
        </is>
      </c>
      <c r="C1181" s="1" t="b">
        <v>1</v>
      </c>
      <c r="D1181" s="1" t="inlineStr">
        <is>
          <t>Language Clubhouse</t>
        </is>
      </c>
      <c r="E1181" s="10" t="inlineStr">
        <is>
          <t>https://language-clubhouse.com/</t>
        </is>
      </c>
      <c r="F1181" t="inlineStr">
        <is>
          <t>language-clubhouse.com</t>
        </is>
      </c>
      <c r="G1181" s="1" t="inlineStr">
        <is>
          <t>Language Clubhouse is a solution for young learners to learn English as a second language, interact with peers, and gain international exposure no matter their background or where they live. Our product is an online yearly program with thematic courses with topic lessons full of teaching and learning materials to facilitate playful, creative and interactive lessons. Our service is weekly online live English lessons for kindergarten groups at school, and for children in their homes.</t>
        </is>
      </c>
      <c r="H1181" s="1" t="inlineStr">
        <is>
          <t>EdTech Finland</t>
        </is>
      </c>
      <c r="I1181" s="1" t="n"/>
      <c r="J1181" s="1" t="inlineStr">
        <is>
          <t>Seinäjoki</t>
        </is>
      </c>
      <c r="K1181" t="inlineStr">
        <is>
          <t>Seinäjoki</t>
        </is>
      </c>
      <c r="L1181" t="inlineStr">
        <is>
          <t>Seinäjoki, Finland</t>
        </is>
      </c>
      <c r="M1181" t="n">
        <v>62.790666</v>
      </c>
      <c r="N1181" t="n">
        <v>22.8397378</v>
      </c>
      <c r="O1181" s="1" t="inlineStr">
        <is>
          <t>Finland</t>
        </is>
      </c>
      <c r="P1181" s="1" t="inlineStr">
        <is>
          <t>Finland</t>
        </is>
      </c>
      <c r="Q1181" s="1" t="inlineStr">
        <is>
          <t>0 to 2</t>
        </is>
      </c>
      <c r="R1181" t="inlineStr">
        <is>
          <t>Solo entrepreneur</t>
        </is>
      </c>
      <c r="S1181" s="1" t="inlineStr">
        <is>
          <t>Business to Business, Business to Schools</t>
        </is>
      </c>
      <c r="T1181" s="1" t="inlineStr">
        <is>
          <t>Early childhood development (0-5 years)</t>
        </is>
      </c>
      <c r="U1181" s="1" t="inlineStr">
        <is>
          <t>System/Administrative, Student interfacing, Teacher interfacing</t>
        </is>
      </c>
      <c r="V1181" s="10" t="inlineStr">
        <is>
          <t>English as a second language online program for schools.</t>
        </is>
      </c>
      <c r="W1181" s="1" t="inlineStr">
        <is>
          <t>An online educational yearly program for teachers in daycare, kindergarten and preschool. To help facilitate fun and motivating English as a second language teaching in the classroom. In addition to the online program the early child education centers can participate in weekly online live English classes virtually by Language Clubhouse with other groups of students from around the world.
The program is based on Finnish education principles and innovative pedagogical techniques. Thematic online courses (12) and topic lessons (48) that align with the 21st century learning goals. Includes videos, songs, stories, interactive games and quizzes.</t>
        </is>
      </c>
      <c r="X1181" s="10" t="inlineStr">
        <is>
          <t>English as a second language online program For Households.</t>
        </is>
      </c>
      <c r="Y1181" t="inlineStr">
        <is>
          <t>A playful online educational program for families with children aged 4-8 years old. It includes online courses and weekly online live English classes.</t>
        </is>
      </c>
      <c r="Z1181" s="1" t="inlineStr">
        <is>
          <t>https://drive.google.com/uc?export=view&amp;id=17tPygsG-MVINQNzYMvlgjJQcKDCybL7L</t>
        </is>
      </c>
      <c r="AA1181" s="1" t="inlineStr">
        <is>
          <t>Unverified</t>
        </is>
      </c>
      <c r="AB1181" s="1" t="n"/>
      <c r="AC1181" s="1" t="n"/>
      <c r="AD1181" s="10" t="n"/>
      <c r="AE1181" s="1" t="n"/>
      <c r="AF1181" s="1" t="inlineStr">
        <is>
          <t>Yes</t>
        </is>
      </c>
      <c r="AG1181" s="1" t="inlineStr">
        <is>
          <t>https://www.instagram.com/language_clubhouse/</t>
        </is>
      </c>
      <c r="AH1181" s="1" t="inlineStr">
        <is>
          <t>https://www.linkedin.com/company/language-clubhouse/?viewAsMember=true</t>
        </is>
      </c>
      <c r="AI1181" t="inlineStr">
        <is>
          <t>https://www.linkedin.com/company/language-clubhouse/?viewAsMember=true</t>
        </is>
      </c>
    </row>
    <row r="1182" ht="12.5" customHeight="1">
      <c r="A1182" s="6" t="n">
        <v>45181</v>
      </c>
      <c r="B1182" s="1" t="inlineStr">
        <is>
          <t>ORG_1860</t>
        </is>
      </c>
      <c r="C1182" s="1" t="b">
        <v>1</v>
      </c>
      <c r="D1182" s="1" t="inlineStr">
        <is>
          <t>Letry</t>
        </is>
      </c>
      <c r="E1182" s="10" t="inlineStr">
        <is>
          <t>https://www.facebook.com/profile.php?id=100075119155258</t>
        </is>
      </c>
      <c r="F1182" t="inlineStr">
        <is>
          <t>facebook.com/profile.php?id=100075119155258</t>
        </is>
      </c>
      <c r="G1182" s="1" t="inlineStr">
        <is>
          <t>Letry is an early-stage startup based in Lithuania. Letry sends personalized letters to kids with real-life content into their physical mailboxes. Letters discuss major issues for the current generation, e.g., emotional intelligence and financial literacy. 
We are here to slow things down for kids and recapture attention on important subjects!
Currently, Letry is looking for a CMO co-founder. Got interested? Contact us!</t>
        </is>
      </c>
      <c r="H1182" s="1" t="inlineStr">
        <is>
          <t>I'm not part of any EdTech association</t>
        </is>
      </c>
      <c r="I1182" s="1" t="n"/>
      <c r="J1182" s="1" t="inlineStr">
        <is>
          <t>Vilnius</t>
        </is>
      </c>
      <c r="K1182" t="inlineStr">
        <is>
          <t>Vilnius</t>
        </is>
      </c>
      <c r="L1182" t="inlineStr">
        <is>
          <t>Vilnius, Lithuania</t>
        </is>
      </c>
      <c r="M1182" t="n">
        <v>54.6870458</v>
      </c>
      <c r="N1182" t="n">
        <v>25.2829111</v>
      </c>
      <c r="O1182" s="1" t="inlineStr">
        <is>
          <t>Lithuania</t>
        </is>
      </c>
      <c r="P1182" s="1" t="inlineStr">
        <is>
          <t>Lithuania</t>
        </is>
      </c>
      <c r="Q1182" s="1" t="inlineStr">
        <is>
          <t>0 to 10</t>
        </is>
      </c>
      <c r="R1182" t="inlineStr">
        <is>
          <t>Micro</t>
        </is>
      </c>
      <c r="S1182" s="1" t="inlineStr">
        <is>
          <t>Business to Business, Business to Schools</t>
        </is>
      </c>
      <c r="T1182" s="1" t="inlineStr">
        <is>
          <t>Primary Education</t>
        </is>
      </c>
      <c r="U1182" s="1" t="inlineStr">
        <is>
          <t>System/Administrative, Student interfacing</t>
        </is>
      </c>
      <c r="V1182" s="1" t="n"/>
      <c r="W1182" s="1" t="inlineStr">
        <is>
          <t>https://drive.google.com/uc?export=view&amp;id=1gYiwJlyjv64UmVy316dVNgGXmJnLuY9S</t>
        </is>
      </c>
      <c r="X1182" s="1" t="inlineStr">
        <is>
          <t>https://drive.google.com/uc?export=view&amp;id=1gYiwJlyjv64UmVy316dVNgGXmJnLuY9S</t>
        </is>
      </c>
      <c r="Y1182" t="inlineStr">
        <is>
          <t>https://drive.google.com/uc?export=view&amp;id=1gYiwJlyjv64UmVy316dVNgGXmJnLuY9S</t>
        </is>
      </c>
      <c r="Z1182" s="1" t="inlineStr">
        <is>
          <t>https://drive.google.com/uc?export=view&amp;id=1gYiwJlyjv64UmVy316dVNgGXmJnLuY9S</t>
        </is>
      </c>
      <c r="AA1182" s="1" t="inlineStr">
        <is>
          <t>Unverified</t>
        </is>
      </c>
      <c r="AB1182" s="1" t="n"/>
      <c r="AC1182" s="1" t="n"/>
      <c r="AD1182" s="10" t="n"/>
      <c r="AE1182" s="1" t="n"/>
      <c r="AF1182" s="1" t="inlineStr">
        <is>
          <t>No</t>
        </is>
      </c>
      <c r="AG1182" s="1" t="n"/>
      <c r="AH1182" s="1" t="n"/>
    </row>
    <row r="1183" ht="12.5" customHeight="1">
      <c r="A1183" s="6" t="n">
        <v>45181</v>
      </c>
      <c r="B1183" s="1" t="inlineStr">
        <is>
          <t>ORG_1917</t>
        </is>
      </c>
      <c r="C1183" s="1" t="b">
        <v>1</v>
      </c>
      <c r="D1183" s="1" t="inlineStr">
        <is>
          <t>Marbotic</t>
        </is>
      </c>
      <c r="E1183" s="10" t="inlineStr">
        <is>
          <t>https://marbotic.com</t>
        </is>
      </c>
      <c r="F1183" t="inlineStr">
        <is>
          <t>marbotic.com</t>
        </is>
      </c>
      <c r="G1183" s="1" t="inlineStr">
        <is>
          <t>Marbotic is a multi sensory learning program that helps pre-K kids learn to read and count. 
Our products are both hardware and software and inspired by the Montessori Method. We have developed beautiful wooden letters and numbers that interact with tablets via a patented technology. 
Our Marbotic app is deployed on iPads and Android and focuses on early literacy and numeracy. 
Our solution is localised in English, French, German, Dutch, and Swedish. We sell both to parents and educators worldwide and are based in France.</t>
        </is>
      </c>
      <c r="H1183" s="1" t="inlineStr">
        <is>
          <t>EdTech France</t>
        </is>
      </c>
      <c r="I1183" s="1" t="n"/>
      <c r="J1183" s="1" t="inlineStr">
        <is>
          <t>Begles</t>
        </is>
      </c>
      <c r="K1183" t="inlineStr">
        <is>
          <t>Begles</t>
        </is>
      </c>
      <c r="L1183" t="inlineStr">
        <is>
          <t>Begles, France</t>
        </is>
      </c>
      <c r="M1183" t="n">
        <v>44.8074559</v>
      </c>
      <c r="N1183" t="n">
        <v>-0.5488542</v>
      </c>
      <c r="O1183" s="1" t="inlineStr">
        <is>
          <t>France</t>
        </is>
      </c>
      <c r="P1183" s="1" t="inlineStr">
        <is>
          <t>Austria, Belgium, Denmark, Finland, France, Germany, Luxembourg, Netherlands, Norway, Sweden, Switzerland, United Kingdom</t>
        </is>
      </c>
      <c r="Q1183" s="1" t="inlineStr">
        <is>
          <t>11 to 50</t>
        </is>
      </c>
      <c r="R1183" t="inlineStr">
        <is>
          <t>Small</t>
        </is>
      </c>
      <c r="S1183" s="1" t="inlineStr">
        <is>
          <t>Business to Business, Business to Schools</t>
        </is>
      </c>
      <c r="T1183" s="1" t="inlineStr">
        <is>
          <t>Early childhood development (0-5 years), Primary Education</t>
        </is>
      </c>
      <c r="U1183" s="1" t="inlineStr">
        <is>
          <t>System/Administrative, Teacher interfacing</t>
        </is>
      </c>
      <c r="V1183" s="10" t="inlineStr">
        <is>
          <t>Marbotic Sensory Kit</t>
        </is>
      </c>
      <c r="W1183" s="10" t="inlineStr">
        <is>
          <t>The Marbotic Sensory Kit is an innovative educational tool designed by experts to guide preschoolers on their learning journey through early reading and math skills.
It includes 26 lowercase wooden letters and 10 wooden numbers that interact with Marbotic iPad app. 
Thanks to our Montessori-inspired multisensory approach, we offer hands-on learning to preschoolers and help them learn by doing.</t>
        </is>
      </c>
      <c r="X1183" s="10" t="inlineStr">
        <is>
          <t>Marbotic Deluxe Learning Kit</t>
        </is>
      </c>
      <c r="Y1183" t="inlineStr">
        <is>
          <t>The Deluxe Learning Kit includes 26 lowercase wooden letters and 10 wooden numbers that interact with Marbotic iPad app. When your child stamps a letter or a number in Marbotic app, your tablet recognizes it. 
Thanks to our Montessori-inspired multisensory approach, we offer hands-on learning to preschoolers and help them learn by doing.</t>
        </is>
      </c>
      <c r="Z1183" s="1" t="inlineStr">
        <is>
          <t>https://drive.google.com/uc?export=view&amp;id=1UlKnqcBY5rAjnfV7bY9JsHDlVtEEU1zX</t>
        </is>
      </c>
      <c r="AA1183" s="1" t="inlineStr">
        <is>
          <t>Unverified</t>
        </is>
      </c>
      <c r="AB1183" s="1" t="n"/>
      <c r="AC1183" s="1" t="n"/>
      <c r="AD1183" s="10" t="n"/>
      <c r="AE1183" s="1" t="n"/>
      <c r="AF1183" s="1" t="inlineStr">
        <is>
          <t>Yes</t>
        </is>
      </c>
      <c r="AG1183" s="1" t="inlineStr">
        <is>
          <t>https://www.instagram.com/marbotic/</t>
        </is>
      </c>
      <c r="AH1183" s="1" t="inlineStr">
        <is>
          <t>https://twitter.com/marbotic</t>
        </is>
      </c>
      <c r="AI1183" t="inlineStr">
        <is>
          <t>https://www.linkedin.com/company/marbotic</t>
        </is>
      </c>
    </row>
    <row r="1184" ht="12.5" customHeight="1">
      <c r="A1184" s="6" t="n">
        <v>45181</v>
      </c>
      <c r="B1184" s="1" t="inlineStr">
        <is>
          <t>ORG_1930</t>
        </is>
      </c>
      <c r="C1184" s="1" t="b">
        <v>1</v>
      </c>
      <c r="D1184" s="1" t="inlineStr">
        <is>
          <t>Mathquizily</t>
        </is>
      </c>
      <c r="E1184" s="10" t="inlineStr">
        <is>
          <t>https://www.mathquizily.com</t>
        </is>
      </c>
      <c r="F1184" t="inlineStr">
        <is>
          <t>mathquizily.com</t>
        </is>
      </c>
      <c r="G1184" s="1" t="inlineStr">
        <is>
          <t>Mathquizily is an online learning platform solution for students &amp; schools that offers personalized math tests in all categories, mapping your math skills, math tests with step by step solutions, visualizing student's learning and development (Learning Analytics), generates math tests to pdf, and much more</t>
        </is>
      </c>
      <c r="H1184" s="1" t="inlineStr">
        <is>
          <t>I'm not part of any EdTech association</t>
        </is>
      </c>
      <c r="I1184" s="1" t="n"/>
      <c r="J1184" s="1" t="inlineStr">
        <is>
          <t>Hässleholm</t>
        </is>
      </c>
      <c r="K1184" t="inlineStr">
        <is>
          <t>Hässleholm</t>
        </is>
      </c>
      <c r="L1184" t="inlineStr">
        <is>
          <t>Hässleholm, Sweden</t>
        </is>
      </c>
      <c r="M1184" t="n">
        <v>56.157986</v>
      </c>
      <c r="N1184" t="n">
        <v>13.7653328</v>
      </c>
      <c r="O1184" s="1" t="inlineStr">
        <is>
          <t>Sweden</t>
        </is>
      </c>
      <c r="P1184" s="1" t="inlineStr">
        <is>
          <t>Austria, Belgium, Bosnia and Herzegovina, Croatia, Cyprus, Czechia, Denmark, Estonia, Finland, France, Germany, Greece, Hungary, Iceland, Ireland, Italy, Latvia, Liechtenstein, Lithuania, Luxembourg, Malta, Monaco, Montenegro, Netherlands, North Macedonia, Norway, Poland, Portugal, Romania, San Marino, Serbia, Slovakia, Slovenia, Spain, Sweden, Switzerland, Turkey, Ukraine, United Kingdom</t>
        </is>
      </c>
      <c r="Q1184" s="1" t="inlineStr">
        <is>
          <t>0 to 10</t>
        </is>
      </c>
      <c r="R1184" t="inlineStr">
        <is>
          <t>Micro</t>
        </is>
      </c>
      <c r="S1184" s="1" t="inlineStr">
        <is>
          <t>Business to Business, Business to Schools</t>
        </is>
      </c>
      <c r="T1184" s="1" t="inlineStr">
        <is>
          <t>Primary Education, Secondary Education</t>
        </is>
      </c>
      <c r="U1184" s="1" t="inlineStr">
        <is>
          <t>Student interfacing, Teacher interfacing</t>
        </is>
      </c>
      <c r="V1184" s="1" t="n"/>
      <c r="W1184" s="1" t="inlineStr">
        <is>
          <t>https://drive.google.com/uc?export=view&amp;id=1JaM1pBKfA-ru9EnLsTTnFNh-InnHjsLO</t>
        </is>
      </c>
      <c r="X1184" s="1" t="inlineStr">
        <is>
          <t>https://drive.google.com/uc?export=view&amp;id=1JaM1pBKfA-ru9EnLsTTnFNh-InnHjsLO</t>
        </is>
      </c>
      <c r="Y1184" t="inlineStr">
        <is>
          <t>https://drive.google.com/uc?export=view&amp;id=1JaM1pBKfA-ru9EnLsTTnFNh-InnHjsLO</t>
        </is>
      </c>
      <c r="Z1184" s="1" t="inlineStr">
        <is>
          <t>https://drive.google.com/uc?export=view&amp;id=1JaM1pBKfA-ru9EnLsTTnFNh-InnHjsLO</t>
        </is>
      </c>
      <c r="AA1184" s="1" t="inlineStr">
        <is>
          <t>Unverified</t>
        </is>
      </c>
      <c r="AB1184" s="1" t="n"/>
      <c r="AC1184" s="1" t="n"/>
      <c r="AD1184" s="10" t="n"/>
      <c r="AE1184" s="1" t="n"/>
      <c r="AF1184" s="1" t="inlineStr">
        <is>
          <t>No</t>
        </is>
      </c>
      <c r="AG1184" s="1" t="n"/>
      <c r="AH1184" s="1" t="n"/>
      <c r="AI1184" s="1" t="n"/>
      <c r="AJ1184" s="1" t="n"/>
    </row>
    <row r="1185" ht="12.5" customHeight="1">
      <c r="A1185" s="6" t="n">
        <v>45181</v>
      </c>
      <c r="B1185" s="1" t="inlineStr">
        <is>
          <t>ORG_2001</t>
        </is>
      </c>
      <c r="C1185" s="1" t="b">
        <v>1</v>
      </c>
      <c r="D1185" s="1" t="inlineStr">
        <is>
          <t>MY JOB GLASSES</t>
        </is>
      </c>
      <c r="E1185" s="10" t="inlineStr">
        <is>
          <t>www.myjobglasses.com</t>
        </is>
      </c>
      <c r="F1185" t="inlineStr">
        <is>
          <t>myjobglasses.com</t>
        </is>
      </c>
      <c r="G1185" s="1" t="inlineStr">
        <is>
          <t>Founded in 2015, My Job Glasses is a platform that brings people together with the aim of sharing professional experiences. Nowadays, its community boasts 300,000 users in 130 countries.
The vision of My Job Glasses is to write a new chapter in the world of orientation and recruitment where access to experience-sharing is democratised. These discussions have a significant impact on the quality of guidance for young people. Companies are also able to recruit young people easily and increase retention over time.
Early 2022, My Job Glasses launched Experience, a SaaS platform that simplifies experience-sharing between employees from the same organisation in order to improve onboarding, encourage professional development, internal and geographical mobility, among others.
Digital at its best!</t>
        </is>
      </c>
      <c r="H1185" s="1" t="inlineStr">
        <is>
          <t>EdTech France</t>
        </is>
      </c>
      <c r="I1185" s="1" t="n"/>
      <c r="J1185" s="1" t="inlineStr">
        <is>
          <t>Paris</t>
        </is>
      </c>
      <c r="K1185" t="inlineStr">
        <is>
          <t>Paris</t>
        </is>
      </c>
      <c r="L1185" t="inlineStr">
        <is>
          <t>Paris, France</t>
        </is>
      </c>
      <c r="M1185" t="n">
        <v>48.8534951</v>
      </c>
      <c r="N1185" t="n">
        <v>2.3483915</v>
      </c>
      <c r="O1185" s="1" t="inlineStr">
        <is>
          <t>France</t>
        </is>
      </c>
      <c r="P1185" s="1" t="inlineStr">
        <is>
          <t>France</t>
        </is>
      </c>
      <c r="Q1185" s="1" t="inlineStr">
        <is>
          <t>11 to 50</t>
        </is>
      </c>
      <c r="R1185" t="inlineStr">
        <is>
          <t>Small</t>
        </is>
      </c>
      <c r="S1185" s="1" t="inlineStr">
        <is>
          <t>Business to Business, Business to Schools</t>
        </is>
      </c>
      <c r="T1185" s="1" t="inlineStr">
        <is>
          <t>Higher Education, Corporate Training</t>
        </is>
      </c>
      <c r="U1185" s="1" t="inlineStr">
        <is>
          <t>Student interfacing, Teacher interfacing, System/Administrative</t>
        </is>
      </c>
      <c r="V1185" s="10" t="inlineStr">
        <is>
          <t>My Job Glasses</t>
        </is>
      </c>
      <c r="W1185" s="10" t="inlineStr">
        <is>
          <t>Founded in 2015, My Job Glasses is a platform that brings people together with the aim of sharing professional experiences. Nowadays, its community boasts 300,000 users in 130 countries.</t>
        </is>
      </c>
      <c r="X1185" s="10" t="n"/>
      <c r="Z1185" s="1" t="n"/>
      <c r="AA1185" s="1" t="inlineStr">
        <is>
          <t>Unverified</t>
        </is>
      </c>
      <c r="AB1185" s="1" t="n"/>
      <c r="AC1185" s="1" t="n"/>
      <c r="AD1185" s="1" t="n"/>
      <c r="AE1185" s="1" t="n"/>
      <c r="AF1185" s="1" t="inlineStr">
        <is>
          <t>Yes</t>
        </is>
      </c>
      <c r="AG1185" s="1" t="inlineStr">
        <is>
          <t>https://www.instagram.com/myjobglasses/</t>
        </is>
      </c>
      <c r="AH1185" s="1" t="inlineStr">
        <is>
          <t>https://twitter.com/myjobglasses</t>
        </is>
      </c>
      <c r="AI1185" s="1" t="inlineStr">
        <is>
          <t>https://www.linkedin.com/company/7585486</t>
        </is>
      </c>
      <c r="AJ1185" s="1" t="n"/>
    </row>
    <row r="1186" ht="12.5" customHeight="1">
      <c r="A1186" s="6" t="n">
        <v>45181</v>
      </c>
      <c r="B1186" s="1" t="inlineStr">
        <is>
          <t>ORG_2040</t>
        </is>
      </c>
      <c r="C1186" s="1" t="b">
        <v>1</v>
      </c>
      <c r="D1186" s="1" t="inlineStr">
        <is>
          <t>Niryo</t>
        </is>
      </c>
      <c r="E1186" s="10" t="inlineStr">
        <is>
          <t>https://niryo.com/</t>
        </is>
      </c>
      <c r="F1186" t="inlineStr">
        <is>
          <t>niryo.com</t>
        </is>
      </c>
      <c r="G1186" s="1" t="inlineStr">
        <is>
          <t>Niryo is specialized in robotics and was primarily founded to take students and schools toward accessible, efficient, and attractive collaborative robots. Today, Niryo's savoir-faire is recognized throughout 60 countries, from pupils to professors to apprentices. 
Prestigious universities and technical high schools have adopted Ned and Ned2, while training centers chose to integrate these cobots within their courses, often spread across multiple years. 2 500 cobots out there, 2 500 reasons for the next (and actual) generations to succeed within the expanding Industry 5.0.</t>
        </is>
      </c>
      <c r="H1186" s="1" t="inlineStr">
        <is>
          <t>I'm not part of any EdTech association</t>
        </is>
      </c>
      <c r="I1186" s="1" t="n"/>
      <c r="J1186" s="1" t="inlineStr">
        <is>
          <t>Wambrechies</t>
        </is>
      </c>
      <c r="K1186" t="inlineStr">
        <is>
          <t>Wambrechies</t>
        </is>
      </c>
      <c r="L1186" t="inlineStr">
        <is>
          <t>Wambrechies, France</t>
        </is>
      </c>
      <c r="M1186" t="n">
        <v>50.6861944</v>
      </c>
      <c r="N1186" t="n">
        <v>3.0521806</v>
      </c>
      <c r="O1186" s="1" t="inlineStr">
        <is>
          <t>France</t>
        </is>
      </c>
      <c r="P1186" s="1" t="inlineStr">
        <is>
          <t>Austria, Finland, France, Germany, Hungary, Ireland, Italy, Poland, Portugal, Slovenia, Switzerland, United Kingdom</t>
        </is>
      </c>
      <c r="Q1186" s="1" t="inlineStr">
        <is>
          <t>11 to 50</t>
        </is>
      </c>
      <c r="R1186" t="inlineStr">
        <is>
          <t>Small</t>
        </is>
      </c>
      <c r="S1186" s="1" t="inlineStr">
        <is>
          <t>Business to Business, Business to Schools</t>
        </is>
      </c>
      <c r="T1186" s="1" t="inlineStr">
        <is>
          <t>Primary Education, Secondary Education, Higher Education, Corporate Training, Lifelong learning/Adult education</t>
        </is>
      </c>
      <c r="U1186" s="1" t="inlineStr">
        <is>
          <t>Teacher interfacing, System/Administrative</t>
        </is>
      </c>
      <c r="V1186" s="1" t="n"/>
      <c r="W1186" s="1" t="inlineStr">
        <is>
          <t>https://drive.google.com/uc?export=view&amp;id=143_HP-7vU8twA5aAtNgJ9f6-tE0ifHJ_</t>
        </is>
      </c>
      <c r="X1186" s="1" t="inlineStr">
        <is>
          <t>https://drive.google.com/uc?export=view&amp;id=143_HP-7vU8twA5aAtNgJ9f6-tE0ifHJ_</t>
        </is>
      </c>
      <c r="Y1186" t="inlineStr">
        <is>
          <t>https://drive.google.com/uc?export=view&amp;id=143_HP-7vU8twA5aAtNgJ9f6-tE0ifHJ_</t>
        </is>
      </c>
      <c r="Z1186" s="1" t="inlineStr">
        <is>
          <t>https://drive.google.com/uc?export=view&amp;id=143_HP-7vU8twA5aAtNgJ9f6-tE0ifHJ_</t>
        </is>
      </c>
      <c r="AA1186" s="1" t="inlineStr">
        <is>
          <t>Unverified</t>
        </is>
      </c>
      <c r="AB1186" s="1" t="n"/>
      <c r="AC1186" s="1" t="n"/>
      <c r="AD1186" s="10" t="n"/>
      <c r="AE1186" s="1" t="n"/>
      <c r="AF1186" s="1" t="inlineStr">
        <is>
          <t>No</t>
        </is>
      </c>
      <c r="AG1186" s="1" t="n"/>
      <c r="AH1186" s="1" t="n"/>
      <c r="AI1186" s="1" t="n"/>
      <c r="AJ1186" s="1" t="n"/>
    </row>
    <row r="1187" ht="12.5" customHeight="1">
      <c r="A1187" s="6" t="n">
        <v>45181</v>
      </c>
      <c r="B1187" s="1" t="inlineStr">
        <is>
          <t>ORG_2053</t>
        </is>
      </c>
      <c r="C1187" s="1" t="b">
        <v>1</v>
      </c>
      <c r="D1187" s="1" t="inlineStr">
        <is>
          <t>Nxus</t>
        </is>
      </c>
      <c r="E1187" s="10" t="inlineStr">
        <is>
          <t>https://www.nxus.eu/</t>
        </is>
      </c>
      <c r="F1187" t="inlineStr">
        <is>
          <t>nxus.eu</t>
        </is>
      </c>
      <c r="G1187" s="1" t="inlineStr">
        <is>
          <t>Nxus is a Software as a Service startup that developed a community and bias-free career platform, with a unique focus on providing students with equal job opportunities through the skills obtained during their studies. Nxus thereby connects universities, employers, students and alumni in a unique and innovative way. The Nxus platform is already deployed universitywide by the launching partner Radboud University in Nijmegen since Q4-2021, thereby connecting more than 2,500 students, 2,000 alumni and 400 companies on the platform YTD.</t>
        </is>
      </c>
      <c r="H1187" s="1" t="inlineStr">
        <is>
          <t>Dutch EdTech</t>
        </is>
      </c>
      <c r="I1187" s="1" t="n"/>
      <c r="J1187" s="1" t="inlineStr">
        <is>
          <t>Amsterdam</t>
        </is>
      </c>
      <c r="K1187" t="inlineStr">
        <is>
          <t>Amsterdam</t>
        </is>
      </c>
      <c r="L1187" t="inlineStr">
        <is>
          <t>Amsterdam, The Netherlands</t>
        </is>
      </c>
      <c r="M1187" t="n">
        <v>52.3701984</v>
      </c>
      <c r="N1187" t="n">
        <v>4.892168</v>
      </c>
      <c r="O1187" s="1" t="inlineStr">
        <is>
          <t>The Netherlands</t>
        </is>
      </c>
      <c r="P1187" s="1" t="inlineStr">
        <is>
          <t>Netherlands</t>
        </is>
      </c>
      <c r="Q1187" s="1" t="inlineStr">
        <is>
          <t>0 to 10</t>
        </is>
      </c>
      <c r="R1187" t="inlineStr">
        <is>
          <t>Micro</t>
        </is>
      </c>
      <c r="S1187" s="1" t="inlineStr">
        <is>
          <t>Business to Consumer</t>
        </is>
      </c>
      <c r="T1187" s="1" t="inlineStr">
        <is>
          <t>Higher Education, Lifelong learning/Adult education</t>
        </is>
      </c>
      <c r="U1187" s="1" t="inlineStr">
        <is>
          <t>Student interfacing, System/Administrative</t>
        </is>
      </c>
      <c r="V1187" s="1" t="n"/>
      <c r="W1187" s="1" t="inlineStr">
        <is>
          <t>https://drive.google.com/uc?export=view&amp;id=1ln8KY8MxUUdo2gxLavfnA-a_BfCWOyhY</t>
        </is>
      </c>
      <c r="X1187" s="1" t="inlineStr">
        <is>
          <t>https://drive.google.com/uc?export=view&amp;id=1ln8KY8MxUUdo2gxLavfnA-a_BfCWOyhY</t>
        </is>
      </c>
      <c r="Y1187" t="inlineStr">
        <is>
          <t>https://drive.google.com/uc?export=view&amp;id=1ln8KY8MxUUdo2gxLavfnA-a_BfCWOyhY</t>
        </is>
      </c>
      <c r="Z1187" s="1" t="inlineStr">
        <is>
          <t>https://drive.google.com/uc?export=view&amp;id=1ln8KY8MxUUdo2gxLavfnA-a_BfCWOyhY</t>
        </is>
      </c>
      <c r="AA1187" s="1" t="inlineStr">
        <is>
          <t>Unverified</t>
        </is>
      </c>
      <c r="AB1187" s="1" t="n"/>
      <c r="AC1187" s="1" t="n"/>
      <c r="AD1187" s="10" t="n"/>
      <c r="AE1187" s="1" t="n"/>
      <c r="AF1187" s="1" t="inlineStr">
        <is>
          <t>No</t>
        </is>
      </c>
      <c r="AG1187" s="1" t="n"/>
      <c r="AH1187" s="1" t="n"/>
    </row>
    <row r="1188" ht="12.5" customHeight="1">
      <c r="A1188" s="6" t="n">
        <v>45181</v>
      </c>
      <c r="B1188" s="1" t="inlineStr">
        <is>
          <t>ORG_2122</t>
        </is>
      </c>
      <c r="C1188" s="1" t="b">
        <v>1</v>
      </c>
      <c r="D1188" s="1" t="inlineStr">
        <is>
          <t>PrepMyFuture</t>
        </is>
      </c>
      <c r="E1188" s="10" t="inlineStr">
        <is>
          <t>https://prepmyfuture.com/fr</t>
        </is>
      </c>
      <c r="F1188" t="inlineStr">
        <is>
          <t>prepmyfuture.com/fr</t>
        </is>
      </c>
      <c r="G1188" s="1" t="inlineStr">
        <is>
          <t>PrepMyFuture is an online platform specialized in preparing candidates for language certifications such as TOEFL, TOEIC, Linguaskill, IELTS, TEF, TCF, DELF, etc. as well as admission tests such as TAGE and Score IAE Message. 
We propose innovative educational materials to allow teachers to save time in the management of homework, and to help students succeed in their exams. Our platform adapts the questions to our users level, optimizing difficulty as their weaknesses are identified.</t>
        </is>
      </c>
      <c r="H1188" s="1" t="inlineStr">
        <is>
          <t>EdTech France</t>
        </is>
      </c>
      <c r="I1188" s="1" t="n"/>
      <c r="J1188" s="1" t="inlineStr">
        <is>
          <t>Paris</t>
        </is>
      </c>
      <c r="K1188" t="inlineStr">
        <is>
          <t>Paris</t>
        </is>
      </c>
      <c r="L1188" t="inlineStr">
        <is>
          <t>Paris, France</t>
        </is>
      </c>
      <c r="M1188" t="n">
        <v>48.8534951</v>
      </c>
      <c r="N1188" t="n">
        <v>2.3483915</v>
      </c>
      <c r="O1188" s="1" t="inlineStr">
        <is>
          <t>France</t>
        </is>
      </c>
      <c r="P1188" s="1" t="inlineStr">
        <is>
          <t>Austria, Belgium, France, Germany, Ireland, Italy, Luxembourg, Malta, Netherlands, Norway, Portugal, Romania, Spain, Switzerland, United Kingdom</t>
        </is>
      </c>
      <c r="Q1188" s="1" t="inlineStr">
        <is>
          <t>0 to 10</t>
        </is>
      </c>
      <c r="R1188" t="inlineStr">
        <is>
          <t>Micro</t>
        </is>
      </c>
      <c r="S1188" s="1" t="inlineStr">
        <is>
          <t>Business to Consumer</t>
        </is>
      </c>
      <c r="T1188" s="1" t="inlineStr">
        <is>
          <t>Secondary Education, Higher Education</t>
        </is>
      </c>
      <c r="U1188" s="1" t="inlineStr">
        <is>
          <t>Student interfacing, Teacher interfacing</t>
        </is>
      </c>
      <c r="V1188" s="10" t="inlineStr">
        <is>
          <t>Online preparations for language proficiency tests</t>
        </is>
      </c>
      <c r="W1188" s="1" t="inlineStr">
        <is>
          <t>Our online preparations for language certifications are designed for candidates who wish to study for a test that they choose to take, depending on their educational and professional objectives. 
Our online preparations cover the most important tests in English (TOEIC, TOEFL, Linguaskill, IELTS, Language Cert LTE, CELPIP), in French (TEF, TCF, DELF, DFP) and in Spanish (DELE, esPRO). 
Each preparation includes lesson sheets, adaptive learning exercises, mock exams, and detailed corrections.</t>
        </is>
      </c>
      <c r="X1188" s="10" t="inlineStr">
        <is>
          <t>Online preparations for admission tests</t>
        </is>
      </c>
      <c r="Y1188" t="inlineStr">
        <is>
          <t>Our online preparations for admission tests are designed for candidates who wish to apply for certain higher educational institutions, such as French business schools and French universities.
Our online preparations cover the most important admission tests such as TAGE (TAGE POST BAC, TAGE 2, TAGE MAGE) and Score IAE Message.
Each preparation includes lesson sheets, adaptive learning exercises, mock exams, and detailed corrections.</t>
        </is>
      </c>
      <c r="Z1188" s="1" t="inlineStr">
        <is>
          <t>https://drive.google.com/uc?export=view&amp;id=1zC0a8h5oU_oAvnI9CmYEKRcbxJlw2IZx</t>
        </is>
      </c>
      <c r="AA1188" s="1" t="inlineStr">
        <is>
          <t>Unverified</t>
        </is>
      </c>
      <c r="AB1188" s="1" t="n"/>
      <c r="AC1188" s="1" t="n"/>
      <c r="AD1188" s="10" t="n"/>
      <c r="AE1188" s="1" t="n"/>
      <c r="AF1188" s="1" t="inlineStr">
        <is>
          <t>Yes</t>
        </is>
      </c>
      <c r="AG1188" s="1" t="inlineStr">
        <is>
          <t>https://www.instagram.com/prepmyfuture/</t>
        </is>
      </c>
      <c r="AH1188" s="1" t="inlineStr">
        <is>
          <t>https://www.linkedin.com/company/prepmyfuture/?viewAsMember=true</t>
        </is>
      </c>
      <c r="AI1188" s="1" t="inlineStr">
        <is>
          <t>https://www.linkedin.com/company/prepmyfuture/?viewAsMember=true</t>
        </is>
      </c>
      <c r="AJ1188" s="1" t="n"/>
    </row>
    <row r="1189" ht="12.5" customHeight="1">
      <c r="A1189" s="6" t="n">
        <v>45181</v>
      </c>
      <c r="B1189" s="1" t="inlineStr">
        <is>
          <t>ORG_2245</t>
        </is>
      </c>
      <c r="C1189" s="1" t="b">
        <v>1</v>
      </c>
      <c r="D1189" s="1" t="inlineStr">
        <is>
          <t>SimSkills</t>
        </is>
      </c>
      <c r="E1189" s="10" t="inlineStr">
        <is>
          <t>https://www.simskills.io</t>
        </is>
      </c>
      <c r="F1189" t="inlineStr">
        <is>
          <t>simskills.io</t>
        </is>
      </c>
      <c r="G1189" s="1" t="inlineStr">
        <is>
          <t>SimSkills is a role-play AI simulator for leadership and soft-skills training.
A 100% practical approach SaaS that offers role-play simulations based on real-life situations to educate the users with an effective approach.</t>
        </is>
      </c>
      <c r="H1189" s="1" t="inlineStr">
        <is>
          <t>I'm not part of any EdTech association</t>
        </is>
      </c>
      <c r="I1189" s="1" t="n"/>
      <c r="J1189" s="1" t="inlineStr">
        <is>
          <t>Madrid</t>
        </is>
      </c>
      <c r="K1189" t="inlineStr">
        <is>
          <t>Madrid</t>
        </is>
      </c>
      <c r="L1189" t="inlineStr">
        <is>
          <t>Madrid, Spain</t>
        </is>
      </c>
      <c r="M1189" t="n">
        <v>40.416782</v>
      </c>
      <c r="N1189" t="n">
        <v>-3.703507</v>
      </c>
      <c r="O1189" s="1" t="inlineStr">
        <is>
          <t>Spain</t>
        </is>
      </c>
      <c r="P1189" s="1" t="inlineStr">
        <is>
          <t>Spain</t>
        </is>
      </c>
      <c r="Q1189" s="1" t="inlineStr">
        <is>
          <t>0 to 10</t>
        </is>
      </c>
      <c r="R1189" t="inlineStr">
        <is>
          <t>Micro</t>
        </is>
      </c>
      <c r="S1189" s="1" t="inlineStr">
        <is>
          <t>Business to Consumer, Business to Schools</t>
        </is>
      </c>
      <c r="T1189" s="1" t="inlineStr">
        <is>
          <t>Corporate Training, Lifelong learning/Adult education</t>
        </is>
      </c>
      <c r="U1189" s="1" t="inlineStr">
        <is>
          <t>Teacher interfacing, Student interfacing, System/Administrative</t>
        </is>
      </c>
      <c r="V1189" s="1" t="n"/>
      <c r="W1189" s="1" t="inlineStr">
        <is>
          <t>https://drive.google.com/uc?export=view&amp;id=14mzZMCXdARQ978N9OXmW7fBZB7xirp7m</t>
        </is>
      </c>
      <c r="X1189" s="1" t="inlineStr">
        <is>
          <t>https://drive.google.com/uc?export=view&amp;id=14mzZMCXdARQ978N9OXmW7fBZB7xirp7m</t>
        </is>
      </c>
      <c r="Y1189" t="inlineStr">
        <is>
          <t>https://drive.google.com/uc?export=view&amp;id=14mzZMCXdARQ978N9OXmW7fBZB7xirp7m</t>
        </is>
      </c>
      <c r="Z1189" s="1" t="inlineStr">
        <is>
          <t>https://drive.google.com/uc?export=view&amp;id=14mzZMCXdARQ978N9OXmW7fBZB7xirp7m</t>
        </is>
      </c>
      <c r="AA1189" s="1" t="inlineStr">
        <is>
          <t>Unverified</t>
        </is>
      </c>
      <c r="AB1189" s="1" t="n"/>
      <c r="AC1189" s="1" t="n"/>
      <c r="AD1189" s="10" t="n"/>
      <c r="AE1189" s="1" t="n"/>
      <c r="AF1189" s="1" t="inlineStr">
        <is>
          <t>No</t>
        </is>
      </c>
      <c r="AG1189" s="1" t="n"/>
      <c r="AH1189" s="1" t="n"/>
      <c r="AI1189" s="1" t="n"/>
      <c r="AJ1189" s="1" t="n"/>
    </row>
    <row r="1190" ht="12.5" customHeight="1">
      <c r="A1190" s="6" t="n">
        <v>45181</v>
      </c>
      <c r="B1190" s="1" t="inlineStr">
        <is>
          <t>ORG_2514</t>
        </is>
      </c>
      <c r="C1190" s="1" t="b">
        <v>1</v>
      </c>
      <c r="D1190" s="1" t="inlineStr">
        <is>
          <t>WATURA</t>
        </is>
      </c>
      <c r="E1190" s="10" t="inlineStr">
        <is>
          <t>https://www.watura.fr/</t>
        </is>
      </c>
      <c r="F1190" t="inlineStr">
        <is>
          <t>watura.fr</t>
        </is>
      </c>
      <c r="G1190" s="1" t="inlineStr">
        <is>
          <t>The first digital learning platform for professionals in the water and sewerage sector
Through our platform, you can access the largest digital library of educational content for the water and sewerage sector. With our wide variety of learning modules in the form of videos, interactive quizzes and more, you can learn at your own pace.
Since 2010, we have been the experts in technical training for the water and sewerage sector. With the help of our experts, we’ve developed an unrivaled expertise in going digital with technical training.
Our ambition is to facilitate exchange between professionals through technology to positively impact the way knowledge is shared.
To respond to the specific needs of technical professions, we provide on-demand courses adapted to you and integrate them into Learning Management Systems.</t>
        </is>
      </c>
      <c r="H1190" s="1" t="inlineStr">
        <is>
          <t>I'm not part of any EdTech association</t>
        </is>
      </c>
      <c r="I1190" s="1" t="inlineStr">
        <is>
          <t>French, English, Spanish</t>
        </is>
      </c>
      <c r="J1190" s="1" t="inlineStr">
        <is>
          <t>Neuilly Sur Seine</t>
        </is>
      </c>
      <c r="K1190" t="inlineStr">
        <is>
          <t>Neuilly Sur Seine</t>
        </is>
      </c>
      <c r="L1190" t="inlineStr">
        <is>
          <t>Neuilly Sur Seine, France</t>
        </is>
      </c>
      <c r="M1190" t="n">
        <v>48.884683</v>
      </c>
      <c r="N1190" t="n">
        <v>2.2695658</v>
      </c>
      <c r="O1190" s="1" t="inlineStr">
        <is>
          <t>France</t>
        </is>
      </c>
      <c r="P1190" s="1" t="inlineStr">
        <is>
          <t>Azerbaijan, Belgium, France, Spain, Switzerland</t>
        </is>
      </c>
      <c r="Q1190" s="1" t="inlineStr">
        <is>
          <t>11 to 50</t>
        </is>
      </c>
      <c r="R1190" t="inlineStr">
        <is>
          <t>Small</t>
        </is>
      </c>
      <c r="S1190" s="1" t="inlineStr">
        <is>
          <t>Business to Schools</t>
        </is>
      </c>
      <c r="T1190" s="1" t="inlineStr">
        <is>
          <t>Corporate Training, Lifelong learning/Adult education</t>
        </is>
      </c>
      <c r="U1190" s="1" t="inlineStr">
        <is>
          <t>System/Administrative, Student interfacing</t>
        </is>
      </c>
      <c r="V1190" s="1" t="n"/>
      <c r="W1190" s="1" t="inlineStr">
        <is>
          <t>https://drive.google.com/uc?export=view&amp;id=1U6G9KqTp9IkN7UHVWcSl4lOKpg8syK0d</t>
        </is>
      </c>
      <c r="X1190" s="1" t="inlineStr">
        <is>
          <t>https://drive.google.com/uc?export=view&amp;id=1U6G9KqTp9IkN7UHVWcSl4lOKpg8syK0d</t>
        </is>
      </c>
      <c r="Y1190" t="inlineStr">
        <is>
          <t>https://drive.google.com/uc?export=view&amp;id=1U6G9KqTp9IkN7UHVWcSl4lOKpg8syK0d</t>
        </is>
      </c>
      <c r="Z1190" s="1" t="inlineStr">
        <is>
          <t>https://drive.google.com/uc?export=view&amp;id=1U6G9KqTp9IkN7UHVWcSl4lOKpg8syK0d</t>
        </is>
      </c>
      <c r="AA1190" s="1" t="inlineStr">
        <is>
          <t>Unverified</t>
        </is>
      </c>
      <c r="AB1190" s="1" t="n"/>
      <c r="AC1190" s="1" t="n"/>
      <c r="AD1190" s="10" t="n"/>
      <c r="AE1190" s="1" t="n"/>
      <c r="AF1190" s="1" t="inlineStr">
        <is>
          <t>No</t>
        </is>
      </c>
      <c r="AG1190" s="1" t="n"/>
      <c r="AH1190" s="1" t="n"/>
    </row>
    <row r="1191" ht="12.5" customHeight="1">
      <c r="A1191" s="6" t="n">
        <v>45181</v>
      </c>
      <c r="B1191" s="1" t="inlineStr">
        <is>
          <t>ORG_1256</t>
        </is>
      </c>
      <c r="C1191" s="1" t="b">
        <v>1</v>
      </c>
      <c r="D1191" s="1" t="inlineStr">
        <is>
          <t>CleverBooks</t>
        </is>
      </c>
      <c r="E1191" s="10" t="inlineStr">
        <is>
          <t>www.cleverbooks.eu</t>
        </is>
      </c>
      <c r="F1191" t="inlineStr">
        <is>
          <t>cleverbooks.eu</t>
        </is>
      </c>
      <c r="G1191" s="1" t="inlineStr">
        <is>
          <t>CleverBooks sets the standards in Augmented Reality to help kids improve test-score by up to 33% and increases retention rate by up to 100% with the latest STEM-oriented Augmented Reality (AR) technology that supports students' individual learning styles.</t>
        </is>
      </c>
      <c r="H1191" s="1" t="inlineStr">
        <is>
          <t>I'm not part of any EdTech association</t>
        </is>
      </c>
      <c r="I1191" s="1" t="n"/>
      <c r="J1191" s="1" t="inlineStr">
        <is>
          <t>Dublin</t>
        </is>
      </c>
      <c r="K1191" t="inlineStr">
        <is>
          <t>Dublin</t>
        </is>
      </c>
      <c r="L1191" t="inlineStr">
        <is>
          <t>Dublin, Ireland</t>
        </is>
      </c>
      <c r="M1191" t="n">
        <v>53.3493795</v>
      </c>
      <c r="N1191" t="n">
        <v>-6.2605593</v>
      </c>
      <c r="O1191" s="1" t="inlineStr">
        <is>
          <t>Ireland</t>
        </is>
      </c>
      <c r="P1191" s="1" t="inlineStr">
        <is>
          <t>Austria, Belgium, Estonia, France, Germany, Greece, Ireland, Italy, Moldova, Netherlands, Poland, Portugal, Romania, Spain, Sweden, Turkey, Ukraine, United Kingdom</t>
        </is>
      </c>
      <c r="Q1191" s="1" t="inlineStr">
        <is>
          <t>11 to 50</t>
        </is>
      </c>
      <c r="R1191" t="inlineStr">
        <is>
          <t>Small</t>
        </is>
      </c>
      <c r="S1191" s="1" t="inlineStr">
        <is>
          <t>Business to Business, Business to Consumer</t>
        </is>
      </c>
      <c r="T1191" s="1" t="inlineStr">
        <is>
          <t>Primary Education</t>
        </is>
      </c>
      <c r="U1191" s="1" t="inlineStr">
        <is>
          <t>System/Administrative, Student interfacing, Teacher interfacing</t>
        </is>
      </c>
      <c r="V1191" s="1" t="n"/>
      <c r="W1191" s="1" t="inlineStr">
        <is>
          <t>https://drive.google.com/uc?export=view&amp;id=1Iqh7csED_6gKOfTTjJqV4nq6QiJ4G7ib</t>
        </is>
      </c>
      <c r="X1191" s="1" t="inlineStr">
        <is>
          <t>https://drive.google.com/uc?export=view&amp;id=1Iqh7csED_6gKOfTTjJqV4nq6QiJ4G7ib</t>
        </is>
      </c>
      <c r="Y1191" t="inlineStr">
        <is>
          <t>https://drive.google.com/uc?export=view&amp;id=1Iqh7csED_6gKOfTTjJqV4nq6QiJ4G7ib</t>
        </is>
      </c>
      <c r="Z1191" s="1" t="inlineStr">
        <is>
          <t>https://drive.google.com/uc?export=view&amp;id=1Iqh7csED_6gKOfTTjJqV4nq6QiJ4G7ib</t>
        </is>
      </c>
      <c r="AA1191" s="1" t="inlineStr">
        <is>
          <t>Unverified</t>
        </is>
      </c>
      <c r="AB1191" s="1" t="n"/>
      <c r="AC1191" s="1" t="n"/>
      <c r="AD1191" s="10" t="n"/>
      <c r="AE1191" s="1" t="n"/>
      <c r="AF1191" t="inlineStr">
        <is>
          <t>No</t>
        </is>
      </c>
    </row>
    <row r="1192" ht="12.5" customHeight="1">
      <c r="A1192" s="6" t="n">
        <v>45181</v>
      </c>
      <c r="B1192" s="1" t="inlineStr">
        <is>
          <t>ORG_1523</t>
        </is>
      </c>
      <c r="C1192" s="1" t="b">
        <v>1</v>
      </c>
      <c r="D1192" s="1" t="inlineStr">
        <is>
          <t>Eureka Simulations</t>
        </is>
      </c>
      <c r="E1192" s="10" t="inlineStr">
        <is>
          <t>https://www.eurekasimulations.com/</t>
        </is>
      </c>
      <c r="F1192" t="inlineStr">
        <is>
          <t>eurekasimulations.com</t>
        </is>
      </c>
      <c r="G1192" s="1" t="inlineStr">
        <is>
          <t>According to several studies, over 80% of acquired knowledge fades away unless it is applied in practice. Implementing simulations ensures not only a significant improvement of the assimilation of knowledge, but is also an unforgettable experience that differs from the regular sessions or business cases.
More complex simulations, competitive multiplayer ones that can last several hours or days, can become a crucial component for interactive group dynamics and unlock important insights on players profile, abilities and team work.
Eureka Simulations business executive simulations have been played by over 10000 players worldwide in the most prestigious academic institutions, such as IESE or CEIBS, and by students working at top companies who have appreciated the realism and insights gained after playing our simulations.</t>
        </is>
      </c>
      <c r="H1192" s="1" t="inlineStr">
        <is>
          <t>I'm not part of any EdTech association</t>
        </is>
      </c>
      <c r="I1192" s="1" t="n"/>
      <c r="J1192" s="1" t="inlineStr">
        <is>
          <t>Bellaterra</t>
        </is>
      </c>
      <c r="K1192" t="inlineStr">
        <is>
          <t>Bellaterra</t>
        </is>
      </c>
      <c r="L1192" t="inlineStr">
        <is>
          <t>Bellaterra, Spain</t>
        </is>
      </c>
      <c r="M1192" t="n">
        <v>41.5040164</v>
      </c>
      <c r="N1192" t="n">
        <v>2.0859223</v>
      </c>
      <c r="O1192" s="1" t="inlineStr">
        <is>
          <t>Spain</t>
        </is>
      </c>
      <c r="P1192" s="1" t="inlineStr">
        <is>
          <t>Spain</t>
        </is>
      </c>
      <c r="Q1192" s="1" t="inlineStr">
        <is>
          <t>0 to 10</t>
        </is>
      </c>
      <c r="R1192" t="inlineStr">
        <is>
          <t>Micro</t>
        </is>
      </c>
      <c r="S1192" s="1" t="inlineStr">
        <is>
          <t>Business to Business, Business to Consumer, Business to Government, Business to Schools</t>
        </is>
      </c>
      <c r="T1192" s="1" t="inlineStr">
        <is>
          <t>Higher Education, Corporate Training</t>
        </is>
      </c>
      <c r="U1192" s="1" t="inlineStr">
        <is>
          <t>System/Administrative</t>
        </is>
      </c>
      <c r="V1192" s="1" t="n"/>
      <c r="W1192" s="1" t="inlineStr">
        <is>
          <t>https://drive.google.com/uc?export=view&amp;id=15Ro0uAN97JFc7ZXn7bL6ozpgXvZHZF0o</t>
        </is>
      </c>
      <c r="X1192" s="1" t="inlineStr">
        <is>
          <t>https://drive.google.com/uc?export=view&amp;id=15Ro0uAN97JFc7ZXn7bL6ozpgXvZHZF0o</t>
        </is>
      </c>
      <c r="Y1192" t="inlineStr">
        <is>
          <t>https://drive.google.com/uc?export=view&amp;id=15Ro0uAN97JFc7ZXn7bL6ozpgXvZHZF0o</t>
        </is>
      </c>
      <c r="Z1192" s="1" t="inlineStr">
        <is>
          <t>https://drive.google.com/uc?export=view&amp;id=15Ro0uAN97JFc7ZXn7bL6ozpgXvZHZF0o</t>
        </is>
      </c>
      <c r="AA1192" s="1" t="inlineStr">
        <is>
          <t>Unverified</t>
        </is>
      </c>
      <c r="AB1192" s="1" t="n"/>
      <c r="AC1192" s="1" t="n"/>
      <c r="AD1192" s="10" t="n"/>
      <c r="AE1192" s="1" t="n"/>
      <c r="AF1192" t="inlineStr">
        <is>
          <t>No</t>
        </is>
      </c>
    </row>
    <row r="1193" ht="12.5" customHeight="1">
      <c r="A1193" s="6" t="n">
        <v>45181</v>
      </c>
      <c r="B1193" s="1" t="inlineStr">
        <is>
          <t>ORG_1566</t>
        </is>
      </c>
      <c r="C1193" s="1" t="b">
        <v>1</v>
      </c>
      <c r="D1193" s="1" t="inlineStr">
        <is>
          <t>Flexudy Education UG</t>
        </is>
      </c>
      <c r="E1193" s="10" t="inlineStr">
        <is>
          <t>www.flexudy.com</t>
        </is>
      </c>
      <c r="F1193" t="inlineStr">
        <is>
          <t>flexudy.com</t>
        </is>
      </c>
      <c r="G1193" s="1" t="inlineStr">
        <is>
          <t>Flexudy uses Artificial Intelligence and Microlearning to improve learning and teaching processes. This is done through the automatic generation of summaries and quizzes, like multiple-choice-questions, fill-in-the-blanks, open questions etc. Flexudy also automatically analyses questions, exams and student responses in order to provide didactic relevant learning and teaching analytics. 
In summary, Flexudy gives teachers, trainers and coaches the time to focus more on what is important: the learners.</t>
        </is>
      </c>
      <c r="H1193" s="1" t="inlineStr">
        <is>
          <t>I'm not part of any EdTech association</t>
        </is>
      </c>
      <c r="I1193" s="1" t="n"/>
      <c r="J1193" s="1" t="inlineStr">
        <is>
          <t>Fürth</t>
        </is>
      </c>
      <c r="K1193" t="inlineStr">
        <is>
          <t>Fürth</t>
        </is>
      </c>
      <c r="L1193" t="inlineStr">
        <is>
          <t>Fürth, Germany</t>
        </is>
      </c>
      <c r="M1193" t="n">
        <v>49.4885711</v>
      </c>
      <c r="N1193" t="n">
        <v>10.9587203</v>
      </c>
      <c r="O1193" s="1" t="inlineStr">
        <is>
          <t>Germany</t>
        </is>
      </c>
      <c r="P1193" s="1" t="inlineStr">
        <is>
          <t>Austria, Belgium, France, Germany, Italy, Netherlands, Norway, Spain, Switzerland, United Kingdom</t>
        </is>
      </c>
      <c r="Q1193" s="1" t="inlineStr">
        <is>
          <t>0 to 10</t>
        </is>
      </c>
      <c r="R1193" t="inlineStr">
        <is>
          <t>Micro</t>
        </is>
      </c>
      <c r="S1193" s="1" t="inlineStr">
        <is>
          <t>Business to Business, Business to Consumer, Business to Government, Business to Schools</t>
        </is>
      </c>
      <c r="T1193" s="1" t="inlineStr">
        <is>
          <t>Secondary Education, Higher Education, Corporate Training, Lifelong learning/Adult education</t>
        </is>
      </c>
      <c r="U1193" s="1" t="inlineStr">
        <is>
          <t>Student interfacing, Teacher interfacing, System/Administrative</t>
        </is>
      </c>
      <c r="V1193" s="1" t="n"/>
      <c r="W1193" s="1" t="inlineStr">
        <is>
          <t>https://drive.google.com/uc?export=view&amp;id=1nvH_MPgfOj__RaxgKqCDTVGk5CZcqRY_</t>
        </is>
      </c>
      <c r="X1193" s="1" t="inlineStr">
        <is>
          <t>https://drive.google.com/uc?export=view&amp;id=1nvH_MPgfOj__RaxgKqCDTVGk5CZcqRY_</t>
        </is>
      </c>
      <c r="Y1193" t="inlineStr">
        <is>
          <t>https://drive.google.com/uc?export=view&amp;id=1nvH_MPgfOj__RaxgKqCDTVGk5CZcqRY_</t>
        </is>
      </c>
      <c r="Z1193" s="1" t="inlineStr">
        <is>
          <t>https://drive.google.com/uc?export=view&amp;id=1nvH_MPgfOj__RaxgKqCDTVGk5CZcqRY_</t>
        </is>
      </c>
      <c r="AA1193" s="1" t="inlineStr">
        <is>
          <t>Unverified</t>
        </is>
      </c>
      <c r="AB1193" s="1" t="n"/>
      <c r="AC1193" s="1" t="n"/>
      <c r="AD1193" s="10" t="n"/>
      <c r="AE1193" s="1" t="n"/>
      <c r="AF1193" s="1" t="inlineStr">
        <is>
          <t>No</t>
        </is>
      </c>
      <c r="AG1193" s="1" t="n"/>
      <c r="AH1193" s="1" t="n"/>
      <c r="AI1193" s="1" t="n"/>
      <c r="AJ1193" s="1" t="n"/>
    </row>
    <row r="1194" ht="12.5" customHeight="1">
      <c r="A1194" s="6" t="n">
        <v>45181</v>
      </c>
      <c r="B1194" s="1" t="inlineStr">
        <is>
          <t>ORG_1822</t>
        </is>
      </c>
      <c r="C1194" s="1" t="b">
        <v>1</v>
      </c>
      <c r="D1194" s="1" t="inlineStr">
        <is>
          <t>Le Wagon</t>
        </is>
      </c>
      <c r="E1194" s="10" t="inlineStr">
        <is>
          <t>https://www.lewagon.com</t>
        </is>
      </c>
      <c r="F1194" t="inlineStr">
        <is>
          <t>lewagon.com</t>
        </is>
      </c>
      <c r="G1194" s="1" t="inlineStr">
        <is>
          <t>Le Wagon is an international coding school specialised in immersive bootcamps. Le Wagon teaches people the skills they need to change their lives, kick-start their tech career or launch their own startup. 
The school offers web development and data science bootcamps in 44 cities in all continents. Founded in Paris in 2013, Le Wagon now boasts a community of 15,000+ graduates from all walks of life, including a lot entrepreneurs who created 200+ tech startups and raised $500M+ globally. 
With a recognised pedagogy and human-centric approach, Le Wagon is the world's most acclaimed coding bootcamp according to student reviews on Switchup and Coursereport, and has been partnering with leading higher education institutions such as HEC Paris, IAE Business School in Argentina, or Imperial College London. 
In 2018, the school adapted its proven teaching methods to help forward-thinking enterprises hire, train and retain diverse tech talents. Le Wagon united with 50+ of the most respected global companies, including IKEA, Total, LVMH or Société Générale, transforming their workforce worldwide.</t>
        </is>
      </c>
      <c r="H1194" s="1" t="inlineStr">
        <is>
          <t>EdTech France</t>
        </is>
      </c>
      <c r="I1194" s="1" t="inlineStr">
        <is>
          <t>English, French, Spanish, Chinese, Japanese</t>
        </is>
      </c>
      <c r="J1194" s="1" t="inlineStr">
        <is>
          <t>Paris</t>
        </is>
      </c>
      <c r="K1194" t="inlineStr">
        <is>
          <t>Paris</t>
        </is>
      </c>
      <c r="L1194" t="inlineStr">
        <is>
          <t>Paris, France</t>
        </is>
      </c>
      <c r="M1194" t="n">
        <v>48.8534951</v>
      </c>
      <c r="N1194" t="n">
        <v>2.3483915</v>
      </c>
      <c r="O1194" s="1" t="inlineStr">
        <is>
          <t>France</t>
        </is>
      </c>
      <c r="P1194" s="1" t="inlineStr">
        <is>
          <t>Belgium, Denmark, France, Germany, Italy, Netherlands, Portugal, Spain, Sweden, Switzerland, United Kingdom</t>
        </is>
      </c>
      <c r="Q1194" s="1" t="inlineStr">
        <is>
          <t>101 to 500</t>
        </is>
      </c>
      <c r="R1194" t="inlineStr">
        <is>
          <t>Medium or Large (unspecified)</t>
        </is>
      </c>
      <c r="S1194" s="1" t="inlineStr">
        <is>
          <t>Business to Business, Business to Consumer, Business to Schools</t>
        </is>
      </c>
      <c r="T1194" s="1" t="inlineStr">
        <is>
          <t>Corporate Training, Lifelong learning/Adult education, Vocational Education and Training (VET)</t>
        </is>
      </c>
      <c r="U1194" s="1" t="inlineStr">
        <is>
          <t>Student interfacing, System/Administrative</t>
        </is>
      </c>
      <c r="V1194" s="10" t="inlineStr">
        <is>
          <t>Web Development Bootcamp</t>
        </is>
      </c>
      <c r="W1194" s="10" t="inlineStr">
        <is>
          <t>In 9 intensive weeks, learn all the skills of a Software Developer, code your own web applications from scratch and change your career.</t>
        </is>
      </c>
      <c r="X1194" s="10" t="inlineStr">
        <is>
          <t>Data Science Bootcamp</t>
        </is>
      </c>
      <c r="Y1194" t="inlineStr">
        <is>
          <t>In 9 intensive weeks, learn all the skills of a Data Scientist. Analyse rich data sets, make complex decisions using data and discover the power of AI &amp; Machine learning to solve real world problems.</t>
        </is>
      </c>
      <c r="Z1194" s="1" t="inlineStr">
        <is>
          <t>https://drive.google.com/uc?export=view&amp;id=1FCUNWhvhtjLFtJG5N46qPsg0vZq_gRWo</t>
        </is>
      </c>
      <c r="AA1194" s="1" t="inlineStr">
        <is>
          <t>Unverified</t>
        </is>
      </c>
      <c r="AB1194" s="1" t="n"/>
      <c r="AC1194" s="1" t="n"/>
      <c r="AD1194" s="10" t="n"/>
      <c r="AE1194" s="1" t="n"/>
      <c r="AF1194" s="1" t="inlineStr">
        <is>
          <t>Yes</t>
        </is>
      </c>
      <c r="AG1194" s="1" t="inlineStr">
        <is>
          <t>https://www.instagram.com/lewagonparis</t>
        </is>
      </c>
      <c r="AH1194" s="1" t="inlineStr">
        <is>
          <t>https://twitter.com/Lewagonparis/</t>
        </is>
      </c>
      <c r="AI1194" s="1" t="inlineStr">
        <is>
          <t>https://www.linkedin.com/school/le-wagon/</t>
        </is>
      </c>
      <c r="AJ1194" s="1" t="n"/>
    </row>
    <row r="1195" ht="12.5" customHeight="1">
      <c r="A1195" s="6" t="n">
        <v>45181</v>
      </c>
      <c r="B1195" s="1" t="inlineStr">
        <is>
          <t>ORG_1857</t>
        </is>
      </c>
      <c r="C1195" s="1" t="b">
        <v>1</v>
      </c>
      <c r="D1195" s="1" t="inlineStr">
        <is>
          <t>Les Apprentis Dev</t>
        </is>
      </c>
      <c r="E1195" s="10" t="inlineStr">
        <is>
          <t>https://lesapprentisdev.fr/</t>
        </is>
      </c>
      <c r="F1195" t="inlineStr">
        <is>
          <t>lesapprentisdev.fr</t>
        </is>
      </c>
      <c r="G1195" s="1" t="inlineStr">
        <is>
          <t>Les Apprentis Dev aims to introduce students from 10 to 15 years old to computer programming through fun courses on exciting topics such as video games, the web, or robotics. The objective is to make them understand the logic of coding, and to make them aware of new technologies, their potential and their limits.
Learning to program means learning to master all the new technologies that surround us every day. It is therefore our responsibility to prepare future generations for this evolving world by providing them the keys to computer science and programming.</t>
        </is>
      </c>
      <c r="H1195" s="1" t="inlineStr">
        <is>
          <t>I'm not part of any EdTech association</t>
        </is>
      </c>
      <c r="I1195" s="1" t="n"/>
      <c r="J1195" s="1" t="inlineStr">
        <is>
          <t>Rueil-Malmaison</t>
        </is>
      </c>
      <c r="K1195" t="inlineStr">
        <is>
          <t>Rueil-Malmaison</t>
        </is>
      </c>
      <c r="L1195" t="inlineStr">
        <is>
          <t>Rueil-Malmaison, France</t>
        </is>
      </c>
      <c r="M1195" t="n">
        <v>48.87778</v>
      </c>
      <c r="N1195" t="n">
        <v>2.1802832</v>
      </c>
      <c r="O1195" s="1" t="inlineStr">
        <is>
          <t>France</t>
        </is>
      </c>
      <c r="P1195" s="1" t="inlineStr">
        <is>
          <t>France</t>
        </is>
      </c>
      <c r="Q1195" s="1" t="inlineStr">
        <is>
          <t>0 to 10</t>
        </is>
      </c>
      <c r="R1195" t="inlineStr">
        <is>
          <t>Micro</t>
        </is>
      </c>
      <c r="S1195" s="1" t="inlineStr">
        <is>
          <t>Business to Business, Business to Consumer, Business to Schools</t>
        </is>
      </c>
      <c r="T1195" s="1" t="inlineStr">
        <is>
          <t>Secondary Education</t>
        </is>
      </c>
      <c r="U1195" s="1" t="inlineStr">
        <is>
          <t>System/Administrative, Student interfacing</t>
        </is>
      </c>
      <c r="V1195" s="1" t="n"/>
      <c r="W1195" s="1" t="inlineStr">
        <is>
          <t>https://drive.google.com/uc?export=view&amp;id=1TqAQTQvH2Js4KTC0QHHkalZl88rqt0lx</t>
        </is>
      </c>
      <c r="X1195" s="1" t="inlineStr">
        <is>
          <t>https://drive.google.com/uc?export=view&amp;id=1TqAQTQvH2Js4KTC0QHHkalZl88rqt0lx</t>
        </is>
      </c>
      <c r="Y1195" t="inlineStr">
        <is>
          <t>https://drive.google.com/uc?export=view&amp;id=1TqAQTQvH2Js4KTC0QHHkalZl88rqt0lx</t>
        </is>
      </c>
      <c r="Z1195" s="1" t="inlineStr">
        <is>
          <t>https://drive.google.com/uc?export=view&amp;id=1TqAQTQvH2Js4KTC0QHHkalZl88rqt0lx</t>
        </is>
      </c>
      <c r="AA1195" s="1" t="inlineStr">
        <is>
          <t>Unverified</t>
        </is>
      </c>
      <c r="AB1195" s="1" t="n"/>
      <c r="AC1195" s="1" t="n"/>
      <c r="AD1195" s="10" t="n"/>
      <c r="AE1195" s="1" t="n"/>
      <c r="AF1195" s="1" t="inlineStr">
        <is>
          <t>No</t>
        </is>
      </c>
      <c r="AG1195" s="1" t="n"/>
    </row>
    <row r="1196" ht="12.5" customHeight="1">
      <c r="A1196" s="6" t="n">
        <v>45181</v>
      </c>
      <c r="B1196" s="1" t="inlineStr">
        <is>
          <t>ORG_1970</t>
        </is>
      </c>
      <c r="C1196" s="1" t="b">
        <v>1</v>
      </c>
      <c r="D1196" s="1" t="inlineStr">
        <is>
          <t>Miralearn</t>
        </is>
      </c>
      <c r="E1196" s="10" t="inlineStr">
        <is>
          <t>www.miralearn.com</t>
        </is>
      </c>
      <c r="F1196" t="inlineStr">
        <is>
          <t>miralearn.com</t>
        </is>
      </c>
      <c r="G1196" s="1" t="inlineStr">
        <is>
          <t>Miralearn is the easiest, fastest and most secure password manager for schools out there. We help teachers, schools, and entire school districts to say goodbye to login frustration and reclaim more valuable learning time with lightning-fast, no-typing logins. 
We enable school leaders and IT managers to gain insight into learning services usage and help them make the right decision for future purchasing decisions, saving them from wasting money and time.</t>
        </is>
      </c>
      <c r="H1196" s="1" t="inlineStr">
        <is>
          <t>Swiss EdTech Collider</t>
        </is>
      </c>
      <c r="I1196" s="1" t="n"/>
      <c r="J1196" s="1" t="inlineStr">
        <is>
          <t>Märstetten</t>
        </is>
      </c>
      <c r="K1196" t="inlineStr">
        <is>
          <t>Märstetten</t>
        </is>
      </c>
      <c r="L1196" t="inlineStr">
        <is>
          <t>Märstetten, Switzerland</t>
        </is>
      </c>
      <c r="M1196" t="n">
        <v>47.5926085</v>
      </c>
      <c r="N1196" t="n">
        <v>9.067799600000001</v>
      </c>
      <c r="O1196" s="1" t="inlineStr">
        <is>
          <t>Switzerland</t>
        </is>
      </c>
      <c r="P1196" s="1" t="inlineStr">
        <is>
          <t>France, Germany, Italy, Liechtenstein, Spain, Switzerland</t>
        </is>
      </c>
      <c r="Q1196" s="1" t="inlineStr">
        <is>
          <t>0 to 10</t>
        </is>
      </c>
      <c r="R1196" t="inlineStr">
        <is>
          <t>Micro</t>
        </is>
      </c>
      <c r="S1196" s="1" t="inlineStr">
        <is>
          <t>Business to Business, Business to Government</t>
        </is>
      </c>
      <c r="T1196" s="1" t="inlineStr">
        <is>
          <t>Early childhood development (0-5 years), Primary Education, Secondary Education</t>
        </is>
      </c>
      <c r="U1196" s="1" t="inlineStr">
        <is>
          <t>Student interfacing, Teacher interfacing</t>
        </is>
      </c>
      <c r="V1196" s="10" t="inlineStr">
        <is>
          <t>MiraPass</t>
        </is>
      </c>
      <c r="W1196" s="1" t="inlineStr">
        <is>
          <t>MiraPass is the easiest, fastest and most secure password manager for schools. With MiraPass, a QR code login badge that eliminates typing, we help students easily log in and remember their passwords - with the help of elephants ;-)</t>
        </is>
      </c>
      <c r="X1196" s="10" t="inlineStr">
        <is>
          <t>Miralearn</t>
        </is>
      </c>
      <c r="Y1196" t="inlineStr">
        <is>
          <t>Miralearn is an exraordinary K-12 LMS that makes learning visible in a "Settlers of Catan" boardgame-style learning map! Tasks and learning content are made available to students via Miralearn and are linked to learning objectives and standards. The more they learn, the larger their own kingdom becomes, with castles, villages, farmlands and far reaching countrysides. 
Thanks to the simplified methodology: Discover - Learn - Create - Grow, standards-based lesson planning, execution and evaluation becomes a literal child's game for both students and teachers!</t>
        </is>
      </c>
      <c r="Z1196" s="1" t="inlineStr">
        <is>
          <t>https://drive.google.com/uc?export=view&amp;id=1SHUzG4dkFvGpN2PyKVU1mFc6kJhwxiaG</t>
        </is>
      </c>
      <c r="AA1196" s="1" t="inlineStr">
        <is>
          <t>Unverified</t>
        </is>
      </c>
      <c r="AB1196" s="1" t="n"/>
      <c r="AC1196" s="1" t="n"/>
      <c r="AD1196" s="10" t="n"/>
      <c r="AE1196" s="1" t="n"/>
      <c r="AF1196" s="1" t="inlineStr">
        <is>
          <t>Yes</t>
        </is>
      </c>
      <c r="AG1196" s="1" t="inlineStr">
        <is>
          <t>https://www.instagram.com/miralearn_com/</t>
        </is>
      </c>
      <c r="AH1196" s="1" t="inlineStr">
        <is>
          <t>https://www.linkedin.com/company/miralearn</t>
        </is>
      </c>
      <c r="AI1196" s="1" t="inlineStr">
        <is>
          <t>https://www.linkedin.com/company/miralearn</t>
        </is>
      </c>
      <c r="AJ1196" s="1" t="n"/>
    </row>
    <row r="1197" ht="12.5" customHeight="1">
      <c r="A1197" s="6" t="n">
        <v>45181</v>
      </c>
      <c r="B1197" s="1" t="inlineStr">
        <is>
          <t>ORG_2123</t>
        </is>
      </c>
      <c r="C1197" s="1" t="b">
        <v>1</v>
      </c>
      <c r="D1197" s="10" t="inlineStr">
        <is>
          <t>Profe.com</t>
        </is>
      </c>
      <c r="E1197" s="10" t="inlineStr">
        <is>
          <t>https://www.profe.com/</t>
        </is>
      </c>
      <c r="F1197" t="inlineStr">
        <is>
          <t>profe.com</t>
        </is>
      </c>
      <c r="G1197" s="1" t="inlineStr">
        <is>
          <t>Profe.com is an online tutoring service that helps students achieve their potential through video lessons and chat.</t>
        </is>
      </c>
      <c r="H1197" s="1" t="inlineStr">
        <is>
          <t>I'm not part of any EdTech association</t>
        </is>
      </c>
      <c r="I1197" s="1" t="n"/>
      <c r="J1197" s="1" t="inlineStr">
        <is>
          <t>Barcelona</t>
        </is>
      </c>
      <c r="K1197" t="inlineStr">
        <is>
          <t>Barcelona</t>
        </is>
      </c>
      <c r="L1197" t="inlineStr">
        <is>
          <t>Barcelona, Spain</t>
        </is>
      </c>
      <c r="M1197" t="n">
        <v>41.3825802</v>
      </c>
      <c r="N1197" t="n">
        <v>2.177073</v>
      </c>
      <c r="O1197" s="1" t="inlineStr">
        <is>
          <t>Spain</t>
        </is>
      </c>
      <c r="P1197" s="1" t="inlineStr">
        <is>
          <t>Spain</t>
        </is>
      </c>
      <c r="Q1197" s="1" t="inlineStr">
        <is>
          <t>0 to 10</t>
        </is>
      </c>
      <c r="R1197" t="inlineStr">
        <is>
          <t>Micro</t>
        </is>
      </c>
      <c r="S1197" s="1" t="inlineStr">
        <is>
          <t>Business to Consumer</t>
        </is>
      </c>
      <c r="T1197" s="1" t="inlineStr">
        <is>
          <t>Primary Education, Secondary Education</t>
        </is>
      </c>
      <c r="U1197" s="1" t="inlineStr">
        <is>
          <t>System/Administrative</t>
        </is>
      </c>
      <c r="V1197" s="1" t="n"/>
      <c r="W1197" s="1" t="inlineStr">
        <is>
          <t>https://drive.google.com/uc?export=view&amp;id=1PlOcLgjfLgqiiVU5ipq-wKU60Eax-X_d</t>
        </is>
      </c>
      <c r="X1197" s="1" t="inlineStr">
        <is>
          <t>https://drive.google.com/uc?export=view&amp;id=1PlOcLgjfLgqiiVU5ipq-wKU60Eax-X_d</t>
        </is>
      </c>
      <c r="Y1197" t="inlineStr">
        <is>
          <t>https://drive.google.com/uc?export=view&amp;id=1PlOcLgjfLgqiiVU5ipq-wKU60Eax-X_d</t>
        </is>
      </c>
      <c r="Z1197" s="1" t="inlineStr">
        <is>
          <t>https://drive.google.com/uc?export=view&amp;id=1PlOcLgjfLgqiiVU5ipq-wKU60Eax-X_d</t>
        </is>
      </c>
      <c r="AA1197" s="1" t="inlineStr">
        <is>
          <t>Unverified</t>
        </is>
      </c>
      <c r="AB1197" s="1" t="n"/>
      <c r="AC1197" s="1" t="n"/>
      <c r="AD1197" s="10" t="n"/>
      <c r="AE1197" s="1" t="n"/>
      <c r="AF1197" s="1" t="inlineStr">
        <is>
          <t>No</t>
        </is>
      </c>
      <c r="AG1197" s="1" t="n"/>
      <c r="AH1197" s="1" t="n"/>
      <c r="AI1197" s="1" t="n"/>
      <c r="AJ1197" s="1" t="n"/>
    </row>
    <row r="1198" ht="12.5" customHeight="1">
      <c r="A1198" s="6" t="n">
        <v>45181</v>
      </c>
      <c r="B1198" s="1" t="inlineStr">
        <is>
          <t>ORG_1042</t>
        </is>
      </c>
      <c r="C1198" s="1" t="b">
        <v>1</v>
      </c>
      <c r="D1198" s="1" t="inlineStr">
        <is>
          <t>Aiedu Oy</t>
        </is>
      </c>
      <c r="E1198" s="10" t="inlineStr">
        <is>
          <t>https://www.aiedus.io/</t>
        </is>
      </c>
      <c r="F1198" t="inlineStr">
        <is>
          <t>aiedus.io</t>
        </is>
      </c>
      <c r="G1198" s="1" t="inlineStr">
        <is>
          <t>Aiedu provides blended digital training to empower innovators to shape the future with digital skills. We aim to improve the accessibility of digital literacy by facilitating students and teachers.</t>
        </is>
      </c>
      <c r="H1198" s="1" t="inlineStr">
        <is>
          <t>I'm not part of any EdTech association</t>
        </is>
      </c>
      <c r="I1198" s="1" t="n"/>
      <c r="J1198" s="1" t="inlineStr">
        <is>
          <t>Helsinki</t>
        </is>
      </c>
      <c r="K1198" t="inlineStr">
        <is>
          <t>Helsinki</t>
        </is>
      </c>
      <c r="L1198" t="inlineStr">
        <is>
          <t>Helsinki, Finland</t>
        </is>
      </c>
      <c r="M1198" t="n">
        <v>60.1666204</v>
      </c>
      <c r="N1198" t="n">
        <v>24.9435408</v>
      </c>
      <c r="O1198" s="1" t="inlineStr">
        <is>
          <t>Finland</t>
        </is>
      </c>
      <c r="P1198" s="1" t="inlineStr">
        <is>
          <t>Finland, Norway, Sweden</t>
        </is>
      </c>
      <c r="Q1198" s="1" t="inlineStr">
        <is>
          <t>0 to 10</t>
        </is>
      </c>
      <c r="R1198" t="inlineStr">
        <is>
          <t>Micro</t>
        </is>
      </c>
      <c r="S1198" s="1" t="inlineStr">
        <is>
          <t>Business to Business, Business to Consumer, Business to Government, Business to Schools</t>
        </is>
      </c>
      <c r="T1198" s="1" t="inlineStr">
        <is>
          <t>Primary Education, Secondary Education, Higher Education, Lifelong learning/Adult education</t>
        </is>
      </c>
      <c r="U1198" s="1" t="inlineStr">
        <is>
          <t>System/Administrative, Student interfacing, Teacher interfacing</t>
        </is>
      </c>
      <c r="V1198" s="1" t="n"/>
      <c r="W1198" s="1" t="inlineStr">
        <is>
          <t>https://drive.google.com/uc?export=view&amp;id=1BqR_ddLLbHHt7J5yZynQHOjo0OB5Yy3Z</t>
        </is>
      </c>
      <c r="X1198" s="1" t="inlineStr">
        <is>
          <t>https://drive.google.com/uc?export=view&amp;id=1BqR_ddLLbHHt7J5yZynQHOjo0OB5Yy3Z</t>
        </is>
      </c>
      <c r="Y1198" t="inlineStr">
        <is>
          <t>https://drive.google.com/uc?export=view&amp;id=1BqR_ddLLbHHt7J5yZynQHOjo0OB5Yy3Z</t>
        </is>
      </c>
      <c r="Z1198" s="1" t="inlineStr">
        <is>
          <t>https://drive.google.com/uc?export=view&amp;id=1BqR_ddLLbHHt7J5yZynQHOjo0OB5Yy3Z</t>
        </is>
      </c>
      <c r="AA1198" s="1" t="inlineStr">
        <is>
          <t>Unverified</t>
        </is>
      </c>
      <c r="AB1198" s="1" t="n"/>
      <c r="AC1198" s="1" t="n"/>
      <c r="AD1198" s="10" t="n"/>
      <c r="AE1198" s="1" t="n"/>
      <c r="AF1198" s="1" t="inlineStr">
        <is>
          <t>No</t>
        </is>
      </c>
      <c r="AG1198" s="1" t="n"/>
    </row>
    <row r="1199" ht="12.5" customHeight="1">
      <c r="A1199" s="6" t="n">
        <v>45181</v>
      </c>
      <c r="B1199" s="1" t="inlineStr">
        <is>
          <t>ORG_1886</t>
        </is>
      </c>
      <c r="C1199" s="1" t="b">
        <v>1</v>
      </c>
      <c r="D1199" s="1" t="inlineStr">
        <is>
          <t>Linguineo</t>
        </is>
      </c>
      <c r="E1199" s="10" t="inlineStr">
        <is>
          <t>https://www.linguineo.com</t>
        </is>
      </c>
      <c r="F1199" t="inlineStr">
        <is>
          <t>linguineo.com</t>
        </is>
      </c>
      <c r="G1199" s="1" t="inlineStr">
        <is>
          <t>Linguineo wants to bring the most fun language learning games with virtual characters to the market with a strong focus on acquiring spoken &amp; written fluency</t>
        </is>
      </c>
      <c r="H1199" s="1" t="inlineStr">
        <is>
          <t>I'm not part of any EdTech association</t>
        </is>
      </c>
      <c r="I1199" s="1" t="n"/>
      <c r="J1199" s="1" t="inlineStr">
        <is>
          <t>Leuven</t>
        </is>
      </c>
      <c r="K1199" t="inlineStr">
        <is>
          <t>Leuven</t>
        </is>
      </c>
      <c r="L1199" t="inlineStr">
        <is>
          <t>Leuven, Belgium</t>
        </is>
      </c>
      <c r="M1199" t="n">
        <v>50.879202</v>
      </c>
      <c r="N1199" t="n">
        <v>4.7011675</v>
      </c>
      <c r="O1199" s="1" t="inlineStr">
        <is>
          <t>Belgium</t>
        </is>
      </c>
      <c r="P1199" s="1" t="inlineStr">
        <is>
          <t>Belgium</t>
        </is>
      </c>
      <c r="Q1199" s="1" t="inlineStr">
        <is>
          <t>0 to 10</t>
        </is>
      </c>
      <c r="R1199" t="inlineStr">
        <is>
          <t>Micro</t>
        </is>
      </c>
      <c r="S1199" s="1" t="inlineStr">
        <is>
          <t>Business to Business, Business to Government, Business to Schools</t>
        </is>
      </c>
      <c r="T1199" s="1" t="inlineStr">
        <is>
          <t>Primary Education, Secondary Education, Higher Education, Corporate Training, Lifelong learning/Adult education</t>
        </is>
      </c>
      <c r="U1199" s="1" t="inlineStr">
        <is>
          <t>System/Administrative, Student interfacing, Teacher interfacing</t>
        </is>
      </c>
      <c r="V1199" s="1" t="n"/>
      <c r="W1199" s="1" t="inlineStr">
        <is>
          <t>https://drive.google.com/uc?export=view&amp;id=1i8f0e2ouKQNHCpIh8bVuuP6eByYFJ15g</t>
        </is>
      </c>
      <c r="X1199" s="1" t="inlineStr">
        <is>
          <t>https://drive.google.com/uc?export=view&amp;id=1i8f0e2ouKQNHCpIh8bVuuP6eByYFJ15g</t>
        </is>
      </c>
      <c r="Y1199" t="inlineStr">
        <is>
          <t>https://drive.google.com/uc?export=view&amp;id=1i8f0e2ouKQNHCpIh8bVuuP6eByYFJ15g</t>
        </is>
      </c>
      <c r="Z1199" s="1" t="inlineStr">
        <is>
          <t>https://drive.google.com/uc?export=view&amp;id=1i8f0e2ouKQNHCpIh8bVuuP6eByYFJ15g</t>
        </is>
      </c>
      <c r="AA1199" s="1" t="inlineStr">
        <is>
          <t>Unverified</t>
        </is>
      </c>
      <c r="AB1199" s="1" t="n"/>
      <c r="AC1199" s="1" t="n"/>
      <c r="AD1199" s="10" t="n"/>
      <c r="AE1199" s="1" t="n"/>
      <c r="AF1199" t="inlineStr">
        <is>
          <t>No</t>
        </is>
      </c>
    </row>
    <row r="1200" ht="12.5" customHeight="1">
      <c r="A1200" s="6" t="n">
        <v>45181</v>
      </c>
      <c r="B1200" s="1" t="inlineStr">
        <is>
          <t>ORG_2138</t>
        </is>
      </c>
      <c r="C1200" s="1" t="b">
        <v>1</v>
      </c>
      <c r="D1200" s="1" t="inlineStr">
        <is>
          <t>PyctoEscritura</t>
        </is>
      </c>
      <c r="E1200" s="10" t="inlineStr">
        <is>
          <t>https://www.pictoescritura.com/</t>
        </is>
      </c>
      <c r="F1200" t="inlineStr">
        <is>
          <t>pictoescritura.com</t>
        </is>
      </c>
      <c r="G1200" s="1" t="inlineStr">
        <is>
          <t>PYCTO has developed a multimodal online platform for Primary schools to foster creativity and literacy.
PYCTO is a methodology that makes instrumental use of the image, and especially drawing, as a tool to learn to read and write and develop creative thinking. The platform covers the entire curriculum and allows the Integrated treatment of languages ​​(Spanish, Basque or Catalan, English).
The methodology sequences didactic units that promote divergent thinking, with units that work on convergent thinking, focusing on the process instead of the result.
It is an adaptive and inclusive platform that applies machine learning and artificial intelligence to respond to the diversity of learning styles that coexist in the classroom.</t>
        </is>
      </c>
      <c r="H1200" s="1" t="inlineStr">
        <is>
          <t>EduTech Cluster Spain</t>
        </is>
      </c>
      <c r="I1200" s="1" t="n"/>
      <c r="J1200" s="1" t="inlineStr">
        <is>
          <t>Barcelona</t>
        </is>
      </c>
      <c r="K1200" t="inlineStr">
        <is>
          <t>Barcelona</t>
        </is>
      </c>
      <c r="L1200" t="inlineStr">
        <is>
          <t>Barcelona, Spain</t>
        </is>
      </c>
      <c r="M1200" t="n">
        <v>41.3825802</v>
      </c>
      <c r="N1200" t="n">
        <v>2.177073</v>
      </c>
      <c r="O1200" s="1" t="inlineStr">
        <is>
          <t>Spain</t>
        </is>
      </c>
      <c r="P1200" s="1" t="inlineStr">
        <is>
          <t>Spain</t>
        </is>
      </c>
      <c r="Q1200" s="1" t="inlineStr">
        <is>
          <t>0 to 10</t>
        </is>
      </c>
      <c r="R1200" t="inlineStr">
        <is>
          <t>Micro</t>
        </is>
      </c>
      <c r="S1200" s="1" t="inlineStr">
        <is>
          <t>Business to Government, Business to Schools</t>
        </is>
      </c>
      <c r="T1200" s="1" t="inlineStr">
        <is>
          <t>Primary Education</t>
        </is>
      </c>
      <c r="U1200" s="1" t="inlineStr">
        <is>
          <t>Student interfacing, Teacher interfacing</t>
        </is>
      </c>
      <c r="V1200" s="1" t="inlineStr">
        <is>
          <t>PYCTO: www,pictoescritura.com</t>
        </is>
      </c>
      <c r="W1200" s="1" t="inlineStr">
        <is>
          <t>Online multimodal adaptative language and literacy platform for Primary Schools, which applies AI and machine learning to include all learning styles and needs.</t>
        </is>
      </c>
      <c r="X1200" s="1" t="n"/>
      <c r="Z1200" s="1" t="n"/>
      <c r="AA1200" s="1" t="inlineStr">
        <is>
          <t>Unverified</t>
        </is>
      </c>
      <c r="AB1200" s="1" t="n"/>
      <c r="AC1200" s="1" t="n"/>
      <c r="AD1200" s="1" t="n"/>
      <c r="AE1200" s="1" t="n"/>
      <c r="AF1200" t="inlineStr">
        <is>
          <t>Yes</t>
        </is>
      </c>
      <c r="AG1200" t="inlineStr">
        <is>
          <t>@PictoEscritura</t>
        </is>
      </c>
      <c r="AH1200" t="inlineStr">
        <is>
          <t>@PictoEscritura</t>
        </is>
      </c>
      <c r="AI1200" t="inlineStr">
        <is>
          <t>PictoEscritura</t>
        </is>
      </c>
    </row>
    <row r="1201" ht="12.5" customHeight="1">
      <c r="A1201" s="6" t="n">
        <v>45181</v>
      </c>
      <c r="B1201" s="1" t="inlineStr">
        <is>
          <t>ORG_1051</t>
        </is>
      </c>
      <c r="C1201" s="1" t="b">
        <v>1</v>
      </c>
      <c r="D1201" s="1" t="inlineStr">
        <is>
          <t>Aline - Learn Better</t>
        </is>
      </c>
      <c r="E1201" s="10" t="inlineStr">
        <is>
          <t>www.alinebetter.com</t>
        </is>
      </c>
      <c r="F1201" t="inlineStr">
        <is>
          <t>alinebetter.com</t>
        </is>
      </c>
      <c r="G1201" s="1" t="inlineStr">
        <is>
          <t>A unique intelligent learning platform that allows individuals to re- &amp; upskill and accelerate learning.
Aline is a subscription-based Learning Experience Platform (LXP) with a social network and marketplace of integrations with online learning providers and vocational technology services. Aline drives careers and organizations with efficiency &amp; curiosity, whilst creating more equitable opportunities for learning, and making education more dynamic and accessible.
Lifelong Learning, quantified and validated for increased productivity in the Information Age. Founded in 2021 by three passionate and driven cofounders, based in Stockholm, Sweden with ambitious growth goals for 2022 to change the way we learn, grow and adapt as adults.</t>
        </is>
      </c>
      <c r="H1201" s="1" t="inlineStr">
        <is>
          <t>xEdu</t>
        </is>
      </c>
      <c r="I1201" s="1" t="n"/>
      <c r="J1201" s="1" t="inlineStr">
        <is>
          <t>Stockholm</t>
        </is>
      </c>
      <c r="K1201" t="inlineStr">
        <is>
          <t>Stockholm</t>
        </is>
      </c>
      <c r="L1201" t="inlineStr">
        <is>
          <t>Stockholm, Sweden</t>
        </is>
      </c>
      <c r="M1201" t="n">
        <v>59.3251172</v>
      </c>
      <c r="N1201" t="n">
        <v>18.0710935</v>
      </c>
      <c r="O1201" s="1" t="inlineStr">
        <is>
          <t>Sweden</t>
        </is>
      </c>
      <c r="P1201" s="1" t="inlineStr">
        <is>
          <t>Denmark, Finland, Norway, Sweden, United Kingdom</t>
        </is>
      </c>
      <c r="Q1201" s="1" t="inlineStr">
        <is>
          <t>0 to 10</t>
        </is>
      </c>
      <c r="R1201" t="inlineStr">
        <is>
          <t>Micro</t>
        </is>
      </c>
      <c r="S1201" s="1" t="inlineStr">
        <is>
          <t>Business to Business</t>
        </is>
      </c>
      <c r="T1201" s="1" t="inlineStr">
        <is>
          <t>Corporate Training, Lifelong learning/Adult education</t>
        </is>
      </c>
      <c r="U1201" s="1" t="inlineStr">
        <is>
          <t>Student interfacing, System/Administrative</t>
        </is>
      </c>
      <c r="V1201" s="1" t="n"/>
      <c r="W1201" s="1" t="inlineStr">
        <is>
          <t>https://drive.google.com/uc?export=view&amp;id=17JNUsn2pNnxIwBAEa9Gd3ya6XKjcb65c</t>
        </is>
      </c>
      <c r="X1201" s="1" t="inlineStr">
        <is>
          <t>https://drive.google.com/uc?export=view&amp;id=17JNUsn2pNnxIwBAEa9Gd3ya6XKjcb65c</t>
        </is>
      </c>
      <c r="Y1201" t="inlineStr">
        <is>
          <t>https://drive.google.com/uc?export=view&amp;id=17JNUsn2pNnxIwBAEa9Gd3ya6XKjcb65c</t>
        </is>
      </c>
      <c r="Z1201" s="1" t="inlineStr">
        <is>
          <t>https://drive.google.com/uc?export=view&amp;id=17JNUsn2pNnxIwBAEa9Gd3ya6XKjcb65c</t>
        </is>
      </c>
      <c r="AA1201" s="1" t="inlineStr">
        <is>
          <t>Unverified</t>
        </is>
      </c>
      <c r="AB1201" s="1" t="n"/>
      <c r="AC1201" s="1" t="n"/>
      <c r="AD1201" s="10" t="n"/>
      <c r="AE1201" s="1" t="n"/>
      <c r="AF1201" s="1" t="inlineStr">
        <is>
          <t>No</t>
        </is>
      </c>
      <c r="AG1201" s="1" t="n"/>
      <c r="AH1201" s="1" t="n"/>
      <c r="AI1201" s="1" t="n"/>
      <c r="AJ1201" s="1" t="n"/>
    </row>
    <row r="1202" ht="12.5" customHeight="1">
      <c r="A1202" s="6" t="n">
        <v>45181</v>
      </c>
      <c r="B1202" s="1" t="inlineStr">
        <is>
          <t>ORG_1142</t>
        </is>
      </c>
      <c r="C1202" s="1" t="b">
        <v>1</v>
      </c>
      <c r="D1202" s="1" t="inlineStr">
        <is>
          <t>Becquerel</t>
        </is>
      </c>
      <c r="E1202" s="10" t="inlineStr">
        <is>
          <t>https://www.becquerel.es/</t>
        </is>
      </c>
      <c r="F1202" t="inlineStr">
        <is>
          <t>becquerel.es</t>
        </is>
      </c>
      <c r="G1202" s="1" t="inlineStr">
        <is>
          <t>Educational platform specialized in helping students with the preparatory exam for University.</t>
        </is>
      </c>
      <c r="H1202" s="1" t="inlineStr">
        <is>
          <t>I'm not part of any EdTech association</t>
        </is>
      </c>
      <c r="I1202" s="1" t="n"/>
      <c r="J1202" s="1" t="inlineStr">
        <is>
          <t>Alfafar</t>
        </is>
      </c>
      <c r="K1202" t="inlineStr">
        <is>
          <t>Alfafar</t>
        </is>
      </c>
      <c r="L1202" t="inlineStr">
        <is>
          <t>Alfafar, Spain</t>
        </is>
      </c>
      <c r="M1202" t="n">
        <v>39.4200749</v>
      </c>
      <c r="N1202" t="n">
        <v>-0.3891355</v>
      </c>
      <c r="O1202" s="1" t="inlineStr">
        <is>
          <t>Spain</t>
        </is>
      </c>
      <c r="P1202" s="1" t="inlineStr">
        <is>
          <t>Spain</t>
        </is>
      </c>
      <c r="Q1202" s="1" t="inlineStr">
        <is>
          <t>0 to 10</t>
        </is>
      </c>
      <c r="R1202" t="inlineStr">
        <is>
          <t>Micro</t>
        </is>
      </c>
      <c r="S1202" s="1" t="inlineStr">
        <is>
          <t>Business to Business</t>
        </is>
      </c>
      <c r="T1202" s="1" t="inlineStr">
        <is>
          <t>Secondary Education</t>
        </is>
      </c>
      <c r="U1202" s="1" t="inlineStr">
        <is>
          <t>Student interfacing</t>
        </is>
      </c>
      <c r="V1202" s="1" t="n"/>
      <c r="W1202" s="1" t="inlineStr">
        <is>
          <t>https://drive.google.com/uc?export=view&amp;id=1xpw2qFPjf_Onmwkpf7LPSKbZi-Lrz61r</t>
        </is>
      </c>
      <c r="X1202" s="1" t="inlineStr">
        <is>
          <t>https://drive.google.com/uc?export=view&amp;id=1xpw2qFPjf_Onmwkpf7LPSKbZi-Lrz61r</t>
        </is>
      </c>
      <c r="Y1202" t="inlineStr">
        <is>
          <t>https://drive.google.com/uc?export=view&amp;id=1xpw2qFPjf_Onmwkpf7LPSKbZi-Lrz61r</t>
        </is>
      </c>
      <c r="Z1202" s="1" t="inlineStr">
        <is>
          <t>https://drive.google.com/uc?export=view&amp;id=1xpw2qFPjf_Onmwkpf7LPSKbZi-Lrz61r</t>
        </is>
      </c>
      <c r="AA1202" s="1" t="inlineStr">
        <is>
          <t>Unverified</t>
        </is>
      </c>
      <c r="AB1202" s="1" t="n"/>
      <c r="AC1202" s="1" t="n"/>
      <c r="AD1202" s="10" t="n"/>
      <c r="AE1202" s="1" t="n"/>
      <c r="AF1202" s="1" t="inlineStr">
        <is>
          <t>No</t>
        </is>
      </c>
      <c r="AG1202" s="1" t="n"/>
      <c r="AH1202" s="1" t="n"/>
    </row>
    <row r="1203" ht="12.5" customHeight="1">
      <c r="A1203" s="6" t="n">
        <v>45181</v>
      </c>
      <c r="B1203" s="1" t="inlineStr">
        <is>
          <t>ORG_1175</t>
        </is>
      </c>
      <c r="C1203" s="1" t="b">
        <v>1</v>
      </c>
      <c r="D1203" s="1" t="inlineStr">
        <is>
          <t>Bloomsights</t>
        </is>
      </c>
      <c r="E1203" s="10" t="inlineStr">
        <is>
          <t>Bloomsights.com</t>
        </is>
      </c>
      <c r="F1203" t="inlineStr">
        <is>
          <t>bloomsights.com</t>
        </is>
      </c>
      <c r="G1203" s="1" t="inlineStr">
        <is>
          <t>A STUDENT-ORIENTED DIGITAL WELL-BEING TOOL
A REVOLUTIONARY NEW WAY BY BUILDING STRONG AND INCLUSIVE SCHOOL COMMUNITIES</t>
        </is>
      </c>
      <c r="H1203" s="1" t="inlineStr">
        <is>
          <t>I'm not part of any EdTech association</t>
        </is>
      </c>
      <c r="I1203" s="1" t="n"/>
      <c r="J1203" s="1" t="inlineStr">
        <is>
          <t>Gentofte</t>
        </is>
      </c>
      <c r="K1203" t="inlineStr">
        <is>
          <t>Gentofte</t>
        </is>
      </c>
      <c r="L1203" t="inlineStr">
        <is>
          <t>Gentofte, Denmark</t>
        </is>
      </c>
      <c r="M1203" t="n">
        <v>55.7535946</v>
      </c>
      <c r="N1203" t="n">
        <v>12.541436</v>
      </c>
      <c r="O1203" s="1" t="inlineStr">
        <is>
          <t>Denmark</t>
        </is>
      </c>
      <c r="P1203" s="1" t="inlineStr">
        <is>
          <t>Denmark</t>
        </is>
      </c>
      <c r="Q1203" s="1" t="inlineStr">
        <is>
          <t>0 to 10</t>
        </is>
      </c>
      <c r="R1203" t="inlineStr">
        <is>
          <t>Micro</t>
        </is>
      </c>
      <c r="S1203" s="1" t="inlineStr">
        <is>
          <t>Business to Business</t>
        </is>
      </c>
      <c r="T1203" s="1" t="inlineStr">
        <is>
          <t>Early childhood development (0-5 years), Primary Education, Secondary Education</t>
        </is>
      </c>
      <c r="U1203" s="1" t="inlineStr">
        <is>
          <t>Student interfacing, Teacher interfacing</t>
        </is>
      </c>
      <c r="V1203" s="1" t="n"/>
      <c r="W1203" s="1" t="inlineStr">
        <is>
          <t>https://drive.google.com/uc?export=view&amp;id=1r8WZSHmZGHV4m-NRrfGiGMQlnjMALDpK</t>
        </is>
      </c>
      <c r="X1203" s="1" t="inlineStr">
        <is>
          <t>https://drive.google.com/uc?export=view&amp;id=1r8WZSHmZGHV4m-NRrfGiGMQlnjMALDpK</t>
        </is>
      </c>
      <c r="Y1203" t="inlineStr">
        <is>
          <t>https://drive.google.com/uc?export=view&amp;id=1r8WZSHmZGHV4m-NRrfGiGMQlnjMALDpK</t>
        </is>
      </c>
      <c r="Z1203" s="1" t="inlineStr">
        <is>
          <t>https://drive.google.com/uc?export=view&amp;id=1r8WZSHmZGHV4m-NRrfGiGMQlnjMALDpK</t>
        </is>
      </c>
      <c r="AA1203" s="1" t="inlineStr">
        <is>
          <t>Unverified</t>
        </is>
      </c>
      <c r="AB1203" s="1" t="n"/>
      <c r="AC1203" s="1" t="n"/>
      <c r="AD1203" s="10" t="n"/>
      <c r="AE1203" s="1" t="n"/>
      <c r="AF1203" s="1" t="inlineStr">
        <is>
          <t>No</t>
        </is>
      </c>
      <c r="AG1203" s="1" t="n"/>
      <c r="AH1203" s="1" t="n"/>
      <c r="AI1203" s="1" t="n"/>
      <c r="AJ1203" s="1" t="n"/>
    </row>
    <row r="1204" ht="12.5" customHeight="1">
      <c r="A1204" s="6" t="n">
        <v>45181</v>
      </c>
      <c r="B1204" s="1" t="inlineStr">
        <is>
          <t>ORG_1261</t>
        </is>
      </c>
      <c r="C1204" s="1" t="b">
        <v>1</v>
      </c>
      <c r="D1204" s="1" t="inlineStr">
        <is>
          <t>Clio</t>
        </is>
      </c>
      <c r="E1204" s="10" t="inlineStr">
        <is>
          <t>https://www.clio.me/dk/</t>
        </is>
      </c>
      <c r="F1204" t="inlineStr">
        <is>
          <t>clio.me/dk</t>
        </is>
      </c>
      <c r="G1204" s="1" t="inlineStr">
        <is>
          <t>Clio offers a flexible digital learning platform combining the best edtech features with engaging content focusing on activity based learning. In the Danish and Swedish market we offer content for all subjects in elementary school. 
Clio Partners offer our platform white-labeled to corporations and publishers.</t>
        </is>
      </c>
      <c r="H1204" s="1" t="inlineStr">
        <is>
          <t>EdTech Denmark, Swedish EdTech Industry</t>
        </is>
      </c>
      <c r="I1204" s="1" t="n"/>
      <c r="J1204" s="1" t="inlineStr">
        <is>
          <t>København K</t>
        </is>
      </c>
      <c r="K1204" t="inlineStr">
        <is>
          <t>København K</t>
        </is>
      </c>
      <c r="L1204" t="inlineStr">
        <is>
          <t>København K, Denmark</t>
        </is>
      </c>
      <c r="M1204" t="n">
        <v>55.6867243</v>
      </c>
      <c r="N1204" t="n">
        <v>12.5700724</v>
      </c>
      <c r="O1204" s="1" t="inlineStr">
        <is>
          <t>Denmark</t>
        </is>
      </c>
      <c r="P1204" s="1" t="inlineStr">
        <is>
          <t>Denmark, Norway, Sweden</t>
        </is>
      </c>
      <c r="Q1204" s="1" t="inlineStr">
        <is>
          <t>100+</t>
        </is>
      </c>
      <c r="R1204" t="inlineStr">
        <is>
          <t>Medium or Large (unspecified)</t>
        </is>
      </c>
      <c r="S1204" s="1" t="inlineStr">
        <is>
          <t>Business to Business</t>
        </is>
      </c>
      <c r="T1204" s="1" t="inlineStr">
        <is>
          <t>Primary Education, Secondary Education</t>
        </is>
      </c>
      <c r="U1204" s="1" t="inlineStr">
        <is>
          <t>Student interfacing, Teacher interfacing</t>
        </is>
      </c>
      <c r="V1204" s="1" t="inlineStr">
        <is>
          <t>Clio</t>
        </is>
      </c>
      <c r="W1204" s="1" t="inlineStr">
        <is>
          <t>Clio offers a flexible digital learning platform combining the best edtech features with engaging content focusing on activity based learning. In the Danish and Swedish market we offer content for all subjects in elementary school. 
Clio Partners offer our platform white-labeled to corporations and publishers.</t>
        </is>
      </c>
      <c r="X1204" s="10" t="inlineStr">
        <is>
          <t>https://drive.google.com/uc?export=view&amp;id=1Ln_pHCAuCUN3KMvvObRYs0eH2z3PyQee</t>
        </is>
      </c>
      <c r="Y1204" t="inlineStr">
        <is>
          <t>https://drive.google.com/uc?export=view&amp;id=1Ln_pHCAuCUN3KMvvObRYs0eH2z3PyQee</t>
        </is>
      </c>
      <c r="Z1204" s="1" t="inlineStr">
        <is>
          <t>https://drive.google.com/uc?export=view&amp;id=1Ln_pHCAuCUN3KMvvObRYs0eH2z3PyQee</t>
        </is>
      </c>
      <c r="AA1204" s="1" t="inlineStr">
        <is>
          <t>Unverified</t>
        </is>
      </c>
      <c r="AB1204" s="1" t="n"/>
      <c r="AC1204" s="1" t="n"/>
      <c r="AD1204" s="10" t="n"/>
      <c r="AE1204" s="1" t="n"/>
      <c r="AF1204" s="1" t="inlineStr">
        <is>
          <t>Yes</t>
        </is>
      </c>
      <c r="AG1204" s="1" t="inlineStr">
        <is>
          <t>https://www.linkedin.com/company/clio-me/mycompany/verification/</t>
        </is>
      </c>
      <c r="AH1204" s="1" t="inlineStr">
        <is>
          <t>https://www.linkedin.com/company/clio-me/mycompany/verification/</t>
        </is>
      </c>
      <c r="AI1204" s="1" t="inlineStr">
        <is>
          <t>https://www.linkedin.com/company/clio-me/mycompany/verification/</t>
        </is>
      </c>
      <c r="AJ1204" s="1" t="n"/>
    </row>
    <row r="1205" ht="12.5" customHeight="1">
      <c r="A1205" s="6" t="n">
        <v>45181</v>
      </c>
      <c r="B1205" s="1" t="inlineStr">
        <is>
          <t>ORG_1377</t>
        </is>
      </c>
      <c r="C1205" s="1" t="b">
        <v>1</v>
      </c>
      <c r="D1205" s="1" t="inlineStr">
        <is>
          <t>Dotbite</t>
        </is>
      </c>
      <c r="E1205" s="10" t="inlineStr">
        <is>
          <t>www.dotbite.at</t>
        </is>
      </c>
      <c r="F1205" t="inlineStr">
        <is>
          <t>dotbite.at</t>
        </is>
      </c>
      <c r="G1205" s="1" t="inlineStr">
        <is>
          <t>Dotbite is a collective of passionate software engineers, creative designers, digital natives, innovative thinkers, and inspiring product owners who thrive in the digital world. We specialize in scalable EdTech solutions for large amounts of data, fast infrastructure, and a user experience made for humans.</t>
        </is>
      </c>
      <c r="H1205" s="1" t="inlineStr">
        <is>
          <t>EdTech Austria</t>
        </is>
      </c>
      <c r="I1205" s="1" t="n"/>
      <c r="J1205" s="1" t="inlineStr">
        <is>
          <t>Vienna</t>
        </is>
      </c>
      <c r="K1205" t="inlineStr">
        <is>
          <t>Vienna</t>
        </is>
      </c>
      <c r="L1205" t="inlineStr">
        <is>
          <t>Vienna, Austria</t>
        </is>
      </c>
      <c r="M1205" t="n">
        <v>48.2083537</v>
      </c>
      <c r="N1205" t="n">
        <v>16.3725042</v>
      </c>
      <c r="O1205" s="1" t="inlineStr">
        <is>
          <t>Austria</t>
        </is>
      </c>
      <c r="P1205" s="1" t="inlineStr">
        <is>
          <t>Austria, Germany, Switzerland</t>
        </is>
      </c>
      <c r="Q1205" s="1" t="inlineStr">
        <is>
          <t>11 to 50</t>
        </is>
      </c>
      <c r="R1205" t="inlineStr">
        <is>
          <t>Small</t>
        </is>
      </c>
      <c r="S1205" s="1" t="inlineStr">
        <is>
          <t>Business to Business</t>
        </is>
      </c>
      <c r="T1205" s="1" t="inlineStr">
        <is>
          <t>Higher Education</t>
        </is>
      </c>
      <c r="U1205" s="1" t="inlineStr">
        <is>
          <t>Student interfacing, System/Administrative</t>
        </is>
      </c>
      <c r="V1205" s="1" t="n"/>
      <c r="W1205" s="1" t="inlineStr">
        <is>
          <t>https://drive.google.com/uc?export=view&amp;id=14hbTScBNlVPFVPqIi1M61DMnbJdsZ4iN</t>
        </is>
      </c>
      <c r="X1205" s="1" t="inlineStr">
        <is>
          <t>https://drive.google.com/uc?export=view&amp;id=14hbTScBNlVPFVPqIi1M61DMnbJdsZ4iN</t>
        </is>
      </c>
      <c r="Y1205" t="inlineStr">
        <is>
          <t>https://drive.google.com/uc?export=view&amp;id=14hbTScBNlVPFVPqIi1M61DMnbJdsZ4iN</t>
        </is>
      </c>
      <c r="Z1205" s="1" t="inlineStr">
        <is>
          <t>https://drive.google.com/uc?export=view&amp;id=14hbTScBNlVPFVPqIi1M61DMnbJdsZ4iN</t>
        </is>
      </c>
      <c r="AA1205" s="1" t="inlineStr">
        <is>
          <t>Unverified</t>
        </is>
      </c>
      <c r="AB1205" s="1" t="n"/>
      <c r="AC1205" s="1" t="n"/>
      <c r="AD1205" s="10" t="n"/>
      <c r="AE1205" s="1" t="n"/>
      <c r="AF1205" s="1" t="inlineStr">
        <is>
          <t>No</t>
        </is>
      </c>
      <c r="AG1205" s="1" t="n"/>
      <c r="AH1205" s="1" t="n"/>
      <c r="AI1205" s="1" t="n"/>
      <c r="AJ1205" s="1" t="n"/>
    </row>
    <row r="1206" ht="12.5" customHeight="1">
      <c r="A1206" s="6" t="n">
        <v>45181</v>
      </c>
      <c r="B1206" s="1" t="inlineStr">
        <is>
          <t>ORG_1427</t>
        </is>
      </c>
      <c r="C1206" s="1" t="b">
        <v>1</v>
      </c>
      <c r="D1206" s="1" t="inlineStr">
        <is>
          <t>Educaria</t>
        </is>
      </c>
      <c r="E1206" s="10" t="inlineStr">
        <is>
          <t>https://www.educaria.com/</t>
        </is>
      </c>
      <c r="F1206" t="inlineStr">
        <is>
          <t>educaria.com</t>
        </is>
      </c>
      <c r="G1206" s="1" t="inlineStr">
        <is>
          <t>Educaria has over 50 years of experience developing EdTech solutions. We are currently operating at 4 countries (Spain, Chile, Argentina and Peru) and collaborating in educational innovation projects with 4.000 educational organisations.</t>
        </is>
      </c>
      <c r="H1206" s="1" t="inlineStr">
        <is>
          <t>EduTech Cluster Spain</t>
        </is>
      </c>
      <c r="I1206" s="1" t="n"/>
      <c r="J1206" s="1" t="inlineStr">
        <is>
          <t>Madrid</t>
        </is>
      </c>
      <c r="K1206" t="inlineStr">
        <is>
          <t>Madrid</t>
        </is>
      </c>
      <c r="L1206" t="inlineStr">
        <is>
          <t>Madrid, Spain</t>
        </is>
      </c>
      <c r="M1206" t="n">
        <v>40.416782</v>
      </c>
      <c r="N1206" t="n">
        <v>-3.703507</v>
      </c>
      <c r="O1206" s="1" t="inlineStr">
        <is>
          <t>Spain</t>
        </is>
      </c>
      <c r="P1206" s="1" t="inlineStr">
        <is>
          <t>Spain</t>
        </is>
      </c>
      <c r="Q1206" s="1" t="inlineStr">
        <is>
          <t>100+</t>
        </is>
      </c>
      <c r="R1206" t="inlineStr">
        <is>
          <t>Medium or Large (unspecified)</t>
        </is>
      </c>
      <c r="S1206" s="1" t="inlineStr">
        <is>
          <t>Business to Business</t>
        </is>
      </c>
      <c r="T1206" s="1" t="inlineStr">
        <is>
          <t>Early childhood development (0-5 years), Primary Education, Secondary Education, Higher Education</t>
        </is>
      </c>
      <c r="U1206" s="1" t="inlineStr">
        <is>
          <t>Teacher interfacing, Student interfacing, System/Administrative</t>
        </is>
      </c>
      <c r="V1206" s="1" t="inlineStr">
        <is>
          <t>Alexia</t>
        </is>
      </c>
      <c r="W1206" s="1" t="inlineStr">
        <is>
          <t>Alexia Suite Educativa is a full web MIS/SIS platform that meets every school needs: academic, administration, accounts&amp; finance, communication, teaching and learning. Our comprehensive API allows to connect other tools with Alexia, in a truly integrated system.</t>
        </is>
      </c>
      <c r="X1206" s="10" t="inlineStr">
        <is>
          <t>https://drive.google.com/uc?export=view&amp;id=1RXUF60jwgI4jSpZ-ixCr6JN1Fz5fPwtU</t>
        </is>
      </c>
      <c r="Y1206" t="inlineStr">
        <is>
          <t>https://drive.google.com/uc?export=view&amp;id=1RXUF60jwgI4jSpZ-ixCr6JN1Fz5fPwtU</t>
        </is>
      </c>
      <c r="Z1206" s="1" t="inlineStr">
        <is>
          <t>https://drive.google.com/uc?export=view&amp;id=1RXUF60jwgI4jSpZ-ixCr6JN1Fz5fPwtU</t>
        </is>
      </c>
      <c r="AA1206" s="1" t="inlineStr">
        <is>
          <t>Unverified</t>
        </is>
      </c>
      <c r="AB1206" s="1" t="n"/>
      <c r="AC1206" s="1" t="n"/>
      <c r="AD1206" s="10" t="n"/>
      <c r="AE1206" s="1" t="n"/>
      <c r="AF1206" s="1" t="inlineStr">
        <is>
          <t>Yes</t>
        </is>
      </c>
      <c r="AG1206" s="1" t="inlineStr">
        <is>
          <t>https://www.linkedin.com/company/educaria-euro/</t>
        </is>
      </c>
      <c r="AH1206" t="inlineStr">
        <is>
          <t>@AlexiaEducacion</t>
        </is>
      </c>
      <c r="AI1206" t="inlineStr">
        <is>
          <t>https://www.linkedin.com/company/educaria-euro/</t>
        </is>
      </c>
    </row>
    <row r="1207" ht="12.5" customHeight="1">
      <c r="A1207" s="6" t="n">
        <v>45181</v>
      </c>
      <c r="B1207" s="1" t="inlineStr">
        <is>
          <t>ORG_1435</t>
        </is>
      </c>
      <c r="C1207" s="1" t="b">
        <v>1</v>
      </c>
      <c r="D1207" s="1" t="inlineStr">
        <is>
          <t>Educlever</t>
        </is>
      </c>
      <c r="E1207" s="10" t="inlineStr">
        <is>
          <t>https://www.educlever.com</t>
        </is>
      </c>
      <c r="F1207" t="inlineStr">
        <is>
          <t>educlever.com</t>
        </is>
      </c>
      <c r="G1207" s="1" t="inlineStr">
        <is>
          <t>Educlever offers individualized learning paths in education and training through a comprehensive digital platform that could either be led with proprietary or third part content.
The platform is built on an in-house adaptive learning tool powered by the latest research in learning science and neuroscience.</t>
        </is>
      </c>
      <c r="H1207" s="1" t="inlineStr">
        <is>
          <t>AFINEF, EdTech France</t>
        </is>
      </c>
      <c r="I1207" s="1" t="n"/>
      <c r="J1207" s="1" t="inlineStr">
        <is>
          <t>Grenoble</t>
        </is>
      </c>
      <c r="K1207" t="inlineStr">
        <is>
          <t>Grenoble</t>
        </is>
      </c>
      <c r="L1207" t="inlineStr">
        <is>
          <t>Grenoble, France</t>
        </is>
      </c>
      <c r="M1207" t="n">
        <v>45.1875602</v>
      </c>
      <c r="N1207" t="n">
        <v>5.7357819</v>
      </c>
      <c r="O1207" s="1" t="inlineStr">
        <is>
          <t>France</t>
        </is>
      </c>
      <c r="P1207" s="1" t="inlineStr">
        <is>
          <t>France, Germany, Kazakhstan, Switzerland</t>
        </is>
      </c>
      <c r="Q1207" s="1" t="inlineStr">
        <is>
          <t>11 to 50</t>
        </is>
      </c>
      <c r="R1207" t="inlineStr">
        <is>
          <t>Small</t>
        </is>
      </c>
      <c r="S1207" s="1" t="inlineStr">
        <is>
          <t>Business to Business, Business to Consumer</t>
        </is>
      </c>
      <c r="T1207" s="1" t="inlineStr">
        <is>
          <t>Primary Education, Secondary Education, Higher Education, Corporate Training, Lifelong learning/Adult education</t>
        </is>
      </c>
      <c r="U1207" s="1" t="inlineStr">
        <is>
          <t>System/Administrative, Student interfacing, Teacher interfacing</t>
        </is>
      </c>
      <c r="V1207" s="1" t="inlineStr">
        <is>
          <t>Orthodidacte</t>
        </is>
      </c>
      <c r="W1207" s="10" t="inlineStr">
        <is>
          <t>With the elearning platform Orthodidacte, professionals and students improve their written skills in french. Our training paths are made for people who want to improve french as a mother tongue and those who want to learn french as a foreign language.</t>
        </is>
      </c>
      <c r="X1207" s="10" t="inlineStr">
        <is>
          <t>Enseigno</t>
        </is>
      </c>
      <c r="Y1207" t="inlineStr">
        <is>
          <t>Enseigno is a unique platform dedidacted to teachers and their students, to be used within the classroom or at home. The pedagogic actions are more interactive, effective and indivualized.</t>
        </is>
      </c>
      <c r="Z1207" s="1" t="inlineStr">
        <is>
          <t>https://drive.google.com/uc?export=view&amp;id=16yB5zNqchKLEqwXPYbc0f2S2H4h0-ZeR</t>
        </is>
      </c>
      <c r="AA1207" s="1" t="inlineStr">
        <is>
          <t>Unverified</t>
        </is>
      </c>
      <c r="AB1207" s="1" t="n"/>
      <c r="AC1207" s="1" t="n"/>
      <c r="AD1207" s="10" t="n"/>
      <c r="AE1207" s="1" t="n"/>
      <c r="AF1207" t="inlineStr">
        <is>
          <t>Yes</t>
        </is>
      </c>
      <c r="AG1207" t="inlineStr">
        <is>
          <t>https://twitter.com/educlever</t>
        </is>
      </c>
      <c r="AH1207" t="inlineStr">
        <is>
          <t>https://twitter.com/educlever</t>
        </is>
      </c>
      <c r="AI1207" t="inlineStr">
        <is>
          <t>https://www.linkedin.com/company/educlever</t>
        </is>
      </c>
    </row>
    <row r="1208" ht="12.5" customHeight="1">
      <c r="A1208" s="6" t="n">
        <v>45181</v>
      </c>
      <c r="B1208" s="1" t="inlineStr">
        <is>
          <t>ORG_1594</t>
        </is>
      </c>
      <c r="C1208" s="1" t="b">
        <v>1</v>
      </c>
      <c r="D1208" s="1" t="inlineStr">
        <is>
          <t>FunTech Rocket</t>
        </is>
      </c>
      <c r="E1208" s="10" t="inlineStr">
        <is>
          <t>https://www.funtechrocket.education/</t>
        </is>
      </c>
      <c r="F1208" t="inlineStr">
        <is>
          <t>funtechrocket.education</t>
        </is>
      </c>
      <c r="G1208" s="1" t="inlineStr">
        <is>
          <t>FunTech Rocket is an online platform to introduce children from 6 to 14 years old to learn coding! Through gamification, children learn the skill of the future in a structured, gradual and autonomous way, while having fun!</t>
        </is>
      </c>
      <c r="H1208" s="1" t="inlineStr">
        <is>
          <t>I'm not part of any EdTech association</t>
        </is>
      </c>
      <c r="I1208" s="1" t="n"/>
      <c r="J1208" s="1" t="inlineStr">
        <is>
          <t>Madrid</t>
        </is>
      </c>
      <c r="K1208" t="inlineStr">
        <is>
          <t>Madrid</t>
        </is>
      </c>
      <c r="L1208" t="inlineStr">
        <is>
          <t>Madrid, Spain</t>
        </is>
      </c>
      <c r="M1208" t="n">
        <v>40.416782</v>
      </c>
      <c r="N1208" t="n">
        <v>-3.703507</v>
      </c>
      <c r="O1208" s="1" t="inlineStr">
        <is>
          <t>Spain</t>
        </is>
      </c>
      <c r="P1208" s="1" t="inlineStr">
        <is>
          <t>Spain</t>
        </is>
      </c>
      <c r="Q1208" s="1" t="inlineStr">
        <is>
          <t>0 to 2</t>
        </is>
      </c>
      <c r="R1208" t="inlineStr">
        <is>
          <t>Solo entrepreneur</t>
        </is>
      </c>
      <c r="S1208" s="1" t="inlineStr">
        <is>
          <t>Business to Business, Business to Consumer, Business to Government, Business to Schools</t>
        </is>
      </c>
      <c r="T1208" s="1" t="inlineStr">
        <is>
          <t>Primary Education</t>
        </is>
      </c>
      <c r="U1208" s="1" t="inlineStr">
        <is>
          <t>System/Administrative, Student interfacing, Teacher interfacing</t>
        </is>
      </c>
      <c r="V1208" s="1" t="n"/>
      <c r="W1208" s="1" t="inlineStr">
        <is>
          <t>https://drive.google.com/uc?export=view&amp;id=1DsfRSls4Rt0Dt0T8YISohN3XRJS54XYC</t>
        </is>
      </c>
      <c r="X1208" s="1" t="inlineStr">
        <is>
          <t>https://drive.google.com/uc?export=view&amp;id=1DsfRSls4Rt0Dt0T8YISohN3XRJS54XYC</t>
        </is>
      </c>
      <c r="Y1208" t="inlineStr">
        <is>
          <t>https://drive.google.com/uc?export=view&amp;id=1DsfRSls4Rt0Dt0T8YISohN3XRJS54XYC</t>
        </is>
      </c>
      <c r="Z1208" s="1" t="inlineStr">
        <is>
          <t>https://drive.google.com/uc?export=view&amp;id=1DsfRSls4Rt0Dt0T8YISohN3XRJS54XYC</t>
        </is>
      </c>
      <c r="AA1208" s="1" t="inlineStr">
        <is>
          <t>Unverified</t>
        </is>
      </c>
      <c r="AB1208" s="1" t="n"/>
      <c r="AC1208" s="1" t="n"/>
      <c r="AD1208" s="10" t="n"/>
      <c r="AE1208" s="1" t="n"/>
      <c r="AF1208" t="inlineStr">
        <is>
          <t>No</t>
        </is>
      </c>
    </row>
    <row r="1209" ht="12.5" customHeight="1">
      <c r="A1209" s="6" t="n">
        <v>45181</v>
      </c>
      <c r="B1209" s="1" t="inlineStr">
        <is>
          <t>ORG_1611</t>
        </is>
      </c>
      <c r="C1209" s="1" t="b">
        <v>1</v>
      </c>
      <c r="D1209" s="1" t="inlineStr">
        <is>
          <t>GEDS</t>
        </is>
      </c>
      <c r="E1209" s="10" t="inlineStr">
        <is>
          <t>www.geds.eu</t>
        </is>
      </c>
      <c r="F1209" t="inlineStr">
        <is>
          <t>geds.eu</t>
        </is>
      </c>
      <c r="G1209" s="1" t="inlineStr">
        <is>
          <t>Geds is an Edtech specialized in international application management for European medical schools and universities.
Our platform www.hippocrate.io allows us to receive tens of thousands of applications each year and to attract the best European candidates to higher education institutions that are committed to developing their international applications.</t>
        </is>
      </c>
      <c r="H1209" s="1" t="inlineStr">
        <is>
          <t>I'm not part of any EdTech association</t>
        </is>
      </c>
      <c r="I1209" s="1" t="n"/>
      <c r="J1209" s="1" t="inlineStr">
        <is>
          <t>Porto</t>
        </is>
      </c>
      <c r="K1209" t="inlineStr">
        <is>
          <t>Porto</t>
        </is>
      </c>
      <c r="L1209" t="inlineStr">
        <is>
          <t>Porto, Portugal</t>
        </is>
      </c>
      <c r="M1209" t="n">
        <v>41.1502195</v>
      </c>
      <c r="N1209" t="n">
        <v>-8.6103497</v>
      </c>
      <c r="O1209" s="1" t="inlineStr">
        <is>
          <t>Portugal</t>
        </is>
      </c>
      <c r="P1209" s="1" t="inlineStr">
        <is>
          <t>Cyprus, France, Portugal</t>
        </is>
      </c>
      <c r="Q1209" s="1" t="inlineStr">
        <is>
          <t>11 to 50</t>
        </is>
      </c>
      <c r="R1209" t="inlineStr">
        <is>
          <t>Small</t>
        </is>
      </c>
      <c r="S1209" s="1" t="inlineStr">
        <is>
          <t>Business to Business, Business to Consumer, Business to Government, Business to Schools</t>
        </is>
      </c>
      <c r="T1209" s="1" t="inlineStr">
        <is>
          <t>Higher Education</t>
        </is>
      </c>
      <c r="U1209" s="1" t="inlineStr">
        <is>
          <t>Teacher interfacing, System/Administrative</t>
        </is>
      </c>
      <c r="V1209" s="1" t="n"/>
      <c r="W1209" s="1" t="inlineStr">
        <is>
          <t>https://drive.google.com/uc?export=view&amp;id=18ei3Uow6vWmoq8TIdUP7L33Y2hA6SXWB</t>
        </is>
      </c>
      <c r="X1209" s="1" t="inlineStr">
        <is>
          <t>https://drive.google.com/uc?export=view&amp;id=18ei3Uow6vWmoq8TIdUP7L33Y2hA6SXWB</t>
        </is>
      </c>
      <c r="Y1209" t="inlineStr">
        <is>
          <t>https://drive.google.com/uc?export=view&amp;id=18ei3Uow6vWmoq8TIdUP7L33Y2hA6SXWB</t>
        </is>
      </c>
      <c r="Z1209" s="1" t="inlineStr">
        <is>
          <t>https://drive.google.com/uc?export=view&amp;id=18ei3Uow6vWmoq8TIdUP7L33Y2hA6SXWB</t>
        </is>
      </c>
      <c r="AA1209" s="1" t="inlineStr">
        <is>
          <t>Unverified</t>
        </is>
      </c>
      <c r="AB1209" s="1" t="n"/>
      <c r="AC1209" s="1" t="n"/>
      <c r="AD1209" s="10" t="n"/>
      <c r="AE1209" s="1" t="n"/>
      <c r="AF1209" s="1" t="inlineStr">
        <is>
          <t>No</t>
        </is>
      </c>
      <c r="AG1209" s="1" t="n"/>
      <c r="AH1209" s="1" t="n"/>
    </row>
    <row r="1210" ht="12.5" customHeight="1">
      <c r="A1210" s="6" t="n">
        <v>45181</v>
      </c>
      <c r="B1210" s="1" t="inlineStr">
        <is>
          <t>ORG_1625</t>
        </is>
      </c>
      <c r="C1210" s="1" t="b">
        <v>1</v>
      </c>
      <c r="D1210" s="1" t="inlineStr">
        <is>
          <t>Gleechi</t>
        </is>
      </c>
      <c r="E1210" s="10" t="inlineStr">
        <is>
          <t>https://www.gleechi.com/</t>
        </is>
      </c>
      <c r="F1210" t="inlineStr">
        <is>
          <t>gleechi.com</t>
        </is>
      </c>
      <c r="G1210" s="1" t="inlineStr">
        <is>
          <t>Gleechi is a Stockholm-based startup that enables interactive Virtual Reality-based training and certification of practical work tasks. Gleechi's solution is based on extensive interaction research at the Royal Institute of Technology and is the first no-code approach to make it easy to create and maintain VR training.</t>
        </is>
      </c>
      <c r="H1210" s="1" t="inlineStr">
        <is>
          <t>Swedish EdTech Industry</t>
        </is>
      </c>
      <c r="I1210" s="1" t="n"/>
      <c r="J1210" s="1" t="inlineStr">
        <is>
          <t>Stockholm</t>
        </is>
      </c>
      <c r="K1210" t="inlineStr">
        <is>
          <t>Stockholm</t>
        </is>
      </c>
      <c r="L1210" t="inlineStr">
        <is>
          <t>Stockholm, Sweden</t>
        </is>
      </c>
      <c r="M1210" t="n">
        <v>59.3251172</v>
      </c>
      <c r="N1210" t="n">
        <v>18.0710935</v>
      </c>
      <c r="O1210" s="1" t="inlineStr">
        <is>
          <t>Sweden</t>
        </is>
      </c>
      <c r="P1210" s="1" t="inlineStr">
        <is>
          <t>Finland, France, Germany, Norway, Sweden</t>
        </is>
      </c>
      <c r="Q1210" s="1" t="inlineStr">
        <is>
          <t>11 to 50</t>
        </is>
      </c>
      <c r="R1210" t="inlineStr">
        <is>
          <t>Small</t>
        </is>
      </c>
      <c r="S1210" s="1" t="inlineStr">
        <is>
          <t>Business to Business, Business to Consumer, Business to Government, Business to Schools</t>
        </is>
      </c>
      <c r="T1210" s="1" t="inlineStr">
        <is>
          <t>Higher Education, Corporate Training, Lifelong learning/Adult education</t>
        </is>
      </c>
      <c r="U1210" s="1" t="inlineStr">
        <is>
          <t>Teacher interfacing, Student interfacing, System/Administrative</t>
        </is>
      </c>
      <c r="V1210" s="1" t="inlineStr">
        <is>
          <t>Gleechi VR Training Platform</t>
        </is>
      </c>
      <c r="W1210" s="1" t="inlineStr">
        <is>
          <t>Gleechi's VR training platform enables an easy no-code approach to creating interactive metaverse-based training and education for vocational education and blue-collar workers. The software includes tools to create and customize your own hands-on learning courses, a assessment center to track the progress of the students as well as device management systems to distribute the applications.
The Gleechi VR training platform is accessed through a subscription starting at €200 per month and has been proven to significantly enhance the memory retention among students.</t>
        </is>
      </c>
      <c r="X1210" s="10" t="inlineStr">
        <is>
          <t>https://drive.google.com/uc?export=view&amp;id=1efK9du1CESB3KJK_qp7Dm3BAKQy7D9iY</t>
        </is>
      </c>
      <c r="Y1210" t="inlineStr">
        <is>
          <t>https://drive.google.com/uc?export=view&amp;id=1efK9du1CESB3KJK_qp7Dm3BAKQy7D9iY</t>
        </is>
      </c>
      <c r="Z1210" s="1" t="inlineStr">
        <is>
          <t>https://drive.google.com/uc?export=view&amp;id=1efK9du1CESB3KJK_qp7Dm3BAKQy7D9iY</t>
        </is>
      </c>
      <c r="AA1210" s="1" t="inlineStr">
        <is>
          <t>Unverified</t>
        </is>
      </c>
      <c r="AB1210" s="1" t="n"/>
      <c r="AC1210" s="1" t="n"/>
      <c r="AD1210" s="10" t="n"/>
      <c r="AE1210" s="1" t="n"/>
      <c r="AF1210" t="inlineStr">
        <is>
          <t>Yes</t>
        </is>
      </c>
      <c r="AG1210" t="inlineStr">
        <is>
          <t>https://www.linkedin.com/company/gleechi</t>
        </is>
      </c>
      <c r="AH1210" t="inlineStr">
        <is>
          <t>https://www.linkedin.com/company/gleechi</t>
        </is>
      </c>
      <c r="AI1210" t="inlineStr">
        <is>
          <t>https://www.linkedin.com/company/gleechi</t>
        </is>
      </c>
    </row>
    <row r="1211" ht="12.5" customHeight="1">
      <c r="A1211" s="6" t="n">
        <v>45181</v>
      </c>
      <c r="B1211" s="1" t="inlineStr">
        <is>
          <t>ORG_1729</t>
        </is>
      </c>
      <c r="C1211" s="1" t="b">
        <v>1</v>
      </c>
      <c r="D1211" s="1" t="inlineStr">
        <is>
          <t>Instructure</t>
        </is>
      </c>
      <c r="E1211" s="10" t="inlineStr">
        <is>
          <t>https://www.instructure.com/en-gb</t>
        </is>
      </c>
      <c r="F1211" t="inlineStr">
        <is>
          <t>instructure.com/en-gb</t>
        </is>
      </c>
      <c r="G1211" s="1" t="inlineStr">
        <is>
          <t>Sparked in 2008 by two enterprising grad students, Instructure is the home of Canvas LMS and the Instructure Learning Platform that benefits millions of students and teachers worldwide, every single day.
Canvas sets a new, open standard for education technology as the only true, native cloud LMS. Since January 2010, Instructure has:
* Created a Canvas App Center, a rapidly-growing app library with over 450 education apps;
* Created Canvas Catalog, a branded marketplace for school's online course offerings;
* Released Canvas Studio, an interactive video platform;
* Acquired Eesysoft (now Impact), the technology adoption platform.
About us:
* Over 6,000 customers globally
* 99.9% system uptime
* 6 million+ concurrent users - without a hiccup
* Over 90%+ best in class customer satisfaction score</t>
        </is>
      </c>
      <c r="H1211" s="1" t="inlineStr">
        <is>
          <t>EduTech Cluster Spain</t>
        </is>
      </c>
      <c r="I1211" s="1" t="n"/>
      <c r="J1211" s="1" t="inlineStr">
        <is>
          <t>London</t>
        </is>
      </c>
      <c r="K1211" t="inlineStr">
        <is>
          <t>London</t>
        </is>
      </c>
      <c r="L1211" t="inlineStr">
        <is>
          <t>London, United Kingdom</t>
        </is>
      </c>
      <c r="M1211" t="n">
        <v>51.5074456</v>
      </c>
      <c r="N1211" t="n">
        <v>-0.1277653</v>
      </c>
      <c r="O1211" s="1" t="inlineStr">
        <is>
          <t>United Kingdom</t>
        </is>
      </c>
      <c r="P121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1211" s="1" t="inlineStr">
        <is>
          <t>500+</t>
        </is>
      </c>
      <c r="R1211" t="inlineStr">
        <is>
          <t>Large</t>
        </is>
      </c>
      <c r="S1211" s="1" t="inlineStr">
        <is>
          <t>Business to Business, Business to Consumer, Business to Government, Business to Schools</t>
        </is>
      </c>
      <c r="T1211" s="1" t="inlineStr">
        <is>
          <t>Secondary Education, Higher Education</t>
        </is>
      </c>
      <c r="U1211" s="1" t="inlineStr">
        <is>
          <t>Student interfacing, Teacher interfacing, System/Administrative</t>
        </is>
      </c>
      <c r="V1211" s="1" t="inlineStr">
        <is>
          <t>Canvass</t>
        </is>
      </c>
      <c r="W1211" s="1" t="inlineStr">
        <is>
          <t>Canvas LMS is part of the Instructure Learning Platform and is a fully cloud-based learning environment that streamlines interactions and builds strong relationships between teachers and students. 
Canvas is the hub of a digital classroom—whether that's in-person, online, or in a blended environment. It’s where teaching and learning happens, in one convenient interface on your desktop or in our much-loved mobile apps for students, parents, and teachers.</t>
        </is>
      </c>
      <c r="X1211" s="1" t="inlineStr">
        <is>
          <t>Catalog</t>
        </is>
      </c>
      <c r="Y1211" t="inlineStr">
        <is>
          <t>Canvas Catalog is our course catalogue, registration, enrollment, and payment gateway, providing customers with the ability to build a beautiful and customisable marketplace for their courses.
Catalog makes it easy for customers to offer self-registration, self-enrollment, and self-payment options while automatically placing students in their Canvas LMS courses, tracking their progress, and rewarding their completion with the appropriate certificates — all without the need for any administration along the way.﻿</t>
        </is>
      </c>
      <c r="Z1211" s="1" t="inlineStr">
        <is>
          <t>https://drive.google.com/uc?export=view&amp;id=1A6rcLa-VqlOz2nEshbdpXB4xM64g7zU8</t>
        </is>
      </c>
      <c r="AA1211" s="1" t="inlineStr">
        <is>
          <t>Unverified</t>
        </is>
      </c>
      <c r="AB1211" s="1" t="n"/>
      <c r="AC1211" s="1" t="n"/>
      <c r="AD1211" s="10" t="n"/>
      <c r="AE1211" s="1" t="n"/>
      <c r="AF1211" t="inlineStr">
        <is>
          <t>Yes</t>
        </is>
      </c>
      <c r="AH1211" t="inlineStr">
        <is>
          <t>@Canvas_by_Inst @Instructure</t>
        </is>
      </c>
      <c r="AI1211" t="inlineStr">
        <is>
          <t>Canvas LMS, Instructure</t>
        </is>
      </c>
    </row>
    <row r="1212" ht="12.5" customHeight="1">
      <c r="A1212" s="6" t="n">
        <v>45181</v>
      </c>
      <c r="B1212" s="1" t="inlineStr">
        <is>
          <t>ORG_1803</t>
        </is>
      </c>
      <c r="C1212" s="1" t="b">
        <v>1</v>
      </c>
      <c r="D1212" s="1" t="inlineStr">
        <is>
          <t>La Manufacture des Talents</t>
        </is>
      </c>
      <c r="E1212" s="1" t="inlineStr">
        <is>
          <t>In Progress</t>
        </is>
      </c>
      <c r="F1212" t="inlineStr">
        <is>
          <t>in progress</t>
        </is>
      </c>
      <c r="G1212" s="1" t="inlineStr">
        <is>
          <t>As the embodiment of Michelin's sustainable strategy, ​LA Manufacture des Talents aims to give people ​from all backgrounds the means:​ to develop their talents to build their future​ &amp; to support the major transformations​ by creating the conditions for a successful ‘lifelong learnability’.</t>
        </is>
      </c>
      <c r="H1212" s="1" t="inlineStr">
        <is>
          <t>EdTech France</t>
        </is>
      </c>
      <c r="I1212" s="1" t="n"/>
      <c r="J1212" s="1" t="inlineStr">
        <is>
          <t>Clermont Ferrand</t>
        </is>
      </c>
      <c r="K1212" t="inlineStr">
        <is>
          <t>Clermont Ferrand</t>
        </is>
      </c>
      <c r="L1212" t="inlineStr">
        <is>
          <t>Clermont Ferrand, France</t>
        </is>
      </c>
      <c r="M1212" t="n">
        <v>45.7774551</v>
      </c>
      <c r="N1212" t="n">
        <v>3.0819427</v>
      </c>
      <c r="O1212" s="1" t="inlineStr">
        <is>
          <t>France</t>
        </is>
      </c>
      <c r="P1212" s="1" t="inlineStr">
        <is>
          <t>France, Germany, Hungary, Italy, Poland, Spain, United Kingdom</t>
        </is>
      </c>
      <c r="Q1212" s="1" t="inlineStr">
        <is>
          <t>51 to 100</t>
        </is>
      </c>
      <c r="R1212" t="inlineStr">
        <is>
          <t>Medium</t>
        </is>
      </c>
      <c r="S1212" s="1" t="inlineStr">
        <is>
          <t>Business to Business, Business to Consumer, Business to Schools</t>
        </is>
      </c>
      <c r="T1212" s="1" t="inlineStr">
        <is>
          <t>Corporate Training, Lifelong learning/Adult education</t>
        </is>
      </c>
      <c r="U1212" s="1" t="inlineStr">
        <is>
          <t>Student interfacing, Teacher interfacing, System/Administrative</t>
        </is>
      </c>
      <c r="V1212" s="1" t="n"/>
      <c r="W1212" s="1" t="inlineStr">
        <is>
          <t>https://drive.google.com/uc?export=view&amp;id=1H1umrveXjDwdmFwqudd8y248oRSi-3hm</t>
        </is>
      </c>
      <c r="X1212" s="1" t="inlineStr">
        <is>
          <t>https://drive.google.com/uc?export=view&amp;id=1H1umrveXjDwdmFwqudd8y248oRSi-3hm</t>
        </is>
      </c>
      <c r="Y1212" t="inlineStr">
        <is>
          <t>https://drive.google.com/uc?export=view&amp;id=1H1umrveXjDwdmFwqudd8y248oRSi-3hm</t>
        </is>
      </c>
      <c r="Z1212" s="1" t="inlineStr">
        <is>
          <t>https://drive.google.com/uc?export=view&amp;id=1H1umrveXjDwdmFwqudd8y248oRSi-3hm</t>
        </is>
      </c>
      <c r="AA1212" s="1" t="inlineStr">
        <is>
          <t>Unverified</t>
        </is>
      </c>
      <c r="AB1212" s="1" t="n"/>
      <c r="AC1212" s="1" t="n"/>
      <c r="AD1212" s="10" t="n"/>
      <c r="AE1212" s="1" t="n"/>
      <c r="AF1212" s="1" t="inlineStr">
        <is>
          <t>No</t>
        </is>
      </c>
      <c r="AG1212" s="1" t="n"/>
      <c r="AH1212" s="1" t="n"/>
      <c r="AI1212" s="1" t="n"/>
      <c r="AJ1212" s="1" t="n"/>
    </row>
    <row r="1213" ht="12.5" customHeight="1">
      <c r="A1213" s="6" t="n">
        <v>45181</v>
      </c>
      <c r="B1213" s="1" t="inlineStr">
        <is>
          <t>ORG_1967</t>
        </is>
      </c>
      <c r="C1213" s="1" t="b">
        <v>1</v>
      </c>
      <c r="D1213" s="1" t="inlineStr">
        <is>
          <t>MIMA CAMPUS</t>
        </is>
      </c>
      <c r="E1213" s="10" t="inlineStr">
        <is>
          <t>https://mima-campus.com/</t>
        </is>
      </c>
      <c r="F1213" t="inlineStr">
        <is>
          <t>mima-campus.com</t>
        </is>
      </c>
      <c r="G1213" s="1" t="inlineStr">
        <is>
          <t>Mima Campus, a consulting agency in digital education, was born above all of a common vocation, that of fully integrating into the training of new innovative pedagogical uses, promoting professional development. Mima Campus thus brings together 5 associates with complementary expertise in pedagogy and technology. Our skills and knowledge of the techno-educational ecosystem allow us to work on all the market solutions, both proprietary and open source, and thus to provide neutral and objective advice to our customers, mainly: OF, training companies and companies with a Apprentice Training Center or an enterprise academy.</t>
        </is>
      </c>
      <c r="H1213" s="1" t="inlineStr">
        <is>
          <t>EdTech France</t>
        </is>
      </c>
      <c r="I1213" s="1" t="n"/>
      <c r="J1213" s="1" t="inlineStr">
        <is>
          <t>Montpellier</t>
        </is>
      </c>
      <c r="K1213" t="inlineStr">
        <is>
          <t>Montpellier</t>
        </is>
      </c>
      <c r="L1213" t="inlineStr">
        <is>
          <t>Montpellier, France</t>
        </is>
      </c>
      <c r="M1213" t="n">
        <v>43.6112422</v>
      </c>
      <c r="N1213" t="n">
        <v>3.8767337</v>
      </c>
      <c r="O1213" s="1" t="inlineStr">
        <is>
          <t>France</t>
        </is>
      </c>
      <c r="P1213" s="1" t="inlineStr">
        <is>
          <t>France</t>
        </is>
      </c>
      <c r="Q1213" s="1" t="inlineStr">
        <is>
          <t>11 to 50</t>
        </is>
      </c>
      <c r="R1213" t="inlineStr">
        <is>
          <t>Small</t>
        </is>
      </c>
      <c r="S1213" s="1" t="inlineStr">
        <is>
          <t>Business to Business, Business to Consumer, Business to Schools</t>
        </is>
      </c>
      <c r="T1213" s="1" t="inlineStr">
        <is>
          <t>Primary Education, Secondary Education, Higher Education, Corporate Training, Lifelong learning/Adult education</t>
        </is>
      </c>
      <c r="U1213" s="1" t="inlineStr">
        <is>
          <t>Student interfacing, Teacher interfacing, System/Administrative</t>
        </is>
      </c>
      <c r="V1213" s="1" t="inlineStr">
        <is>
          <t>Consulting in digital training</t>
        </is>
      </c>
      <c r="W1213" s="1" t="inlineStr">
        <is>
          <t>Management support. 
Strategic Master plan. 
Technical governance and digital uses. 
Help in choosing digital platforms and tools.</t>
        </is>
      </c>
      <c r="X1213" s="10" t="inlineStr">
        <is>
          <t>Techno-educational engineering and content production</t>
        </is>
      </c>
      <c r="Y1213" t="inlineStr">
        <is>
          <t>Creation and update of hybrid and remote training courses.
Integration in UX/UI LMS Inclusion Video capsules, VR, AR, mixed reality, escape games, serious games, mobile learning, adaptive learning, podcasts, gamification.
Content creation for e-learning purposes.</t>
        </is>
      </c>
      <c r="Z1213" s="1" t="inlineStr">
        <is>
          <t>https://drive.google.com/uc?export=view&amp;id=1ovsluXIcFcfBK8NChkreSxAX9Kn5FUku</t>
        </is>
      </c>
      <c r="AA1213" s="1" t="inlineStr">
        <is>
          <t>Unverified</t>
        </is>
      </c>
      <c r="AB1213" s="1" t="n"/>
      <c r="AC1213" s="1" t="n"/>
      <c r="AD1213" s="10" t="n"/>
      <c r="AE1213" s="1" t="n"/>
      <c r="AF1213" s="1" t="inlineStr">
        <is>
          <t>Yes</t>
        </is>
      </c>
      <c r="AG1213" s="1" t="inlineStr">
        <is>
          <t>https://www.linkedin.com/company/mima-campus</t>
        </is>
      </c>
      <c r="AH1213" s="1" t="inlineStr">
        <is>
          <t>https://www.linkedin.com/company/mima-campus</t>
        </is>
      </c>
      <c r="AI1213" t="inlineStr">
        <is>
          <t>https://www.linkedin.com/company/mima-campus</t>
        </is>
      </c>
    </row>
    <row r="1214" ht="12.5" customHeight="1">
      <c r="A1214" s="6" t="n">
        <v>45181</v>
      </c>
      <c r="B1214" s="1" t="inlineStr">
        <is>
          <t>ORG_1986</t>
        </is>
      </c>
      <c r="C1214" s="1" t="b">
        <v>1</v>
      </c>
      <c r="D1214" s="1" t="inlineStr">
        <is>
          <t>mootion</t>
        </is>
      </c>
      <c r="E1214" s="10" t="inlineStr">
        <is>
          <t>www.mootion.fr</t>
        </is>
      </c>
      <c r="F1214" t="inlineStr">
        <is>
          <t>mootion.fr</t>
        </is>
      </c>
      <c r="G1214" s="1" t="inlineStr">
        <is>
          <t>mootion creates immersive and contactless interactive training screens
compatible with on-the-job training (AFEST)</t>
        </is>
      </c>
      <c r="H1214" s="1" t="inlineStr">
        <is>
          <t>I'm not part of any EdTech association</t>
        </is>
      </c>
      <c r="I1214" s="1" t="n"/>
      <c r="J1214" s="1" t="inlineStr">
        <is>
          <t>Toulon</t>
        </is>
      </c>
      <c r="K1214" t="inlineStr">
        <is>
          <t>Toulon</t>
        </is>
      </c>
      <c r="L1214" t="inlineStr">
        <is>
          <t>Toulon, France</t>
        </is>
      </c>
      <c r="M1214" t="n">
        <v>43.1257311</v>
      </c>
      <c r="N1214" t="n">
        <v>5.9304919</v>
      </c>
      <c r="O1214" s="1" t="inlineStr">
        <is>
          <t>France</t>
        </is>
      </c>
      <c r="P1214" s="1" t="inlineStr">
        <is>
          <t>France</t>
        </is>
      </c>
      <c r="Q1214" s="1" t="inlineStr">
        <is>
          <t>0 to 10</t>
        </is>
      </c>
      <c r="R1214" t="inlineStr">
        <is>
          <t>Micro</t>
        </is>
      </c>
      <c r="S1214" s="1" t="inlineStr">
        <is>
          <t>Business to Business, Business to Government</t>
        </is>
      </c>
      <c r="T1214" s="1" t="inlineStr">
        <is>
          <t>Higher Education, Corporate Training, Lifelong learning/Adult education</t>
        </is>
      </c>
      <c r="U1214" s="1" t="inlineStr">
        <is>
          <t>Student interfacing, Teacher interfacing, System/Administrative</t>
        </is>
      </c>
      <c r="V1214" s="1" t="n"/>
      <c r="W1214" s="1" t="inlineStr">
        <is>
          <t>https://drive.google.com/uc?export=view&amp;id=1XzzKcjRiNkr8eThaUjE3EVkcBpXGLtjY</t>
        </is>
      </c>
      <c r="X1214" s="1" t="inlineStr">
        <is>
          <t>https://drive.google.com/uc?export=view&amp;id=1XzzKcjRiNkr8eThaUjE3EVkcBpXGLtjY</t>
        </is>
      </c>
      <c r="Y1214" t="inlineStr">
        <is>
          <t>https://drive.google.com/uc?export=view&amp;id=1XzzKcjRiNkr8eThaUjE3EVkcBpXGLtjY</t>
        </is>
      </c>
      <c r="Z1214" s="1" t="inlineStr">
        <is>
          <t>https://drive.google.com/uc?export=view&amp;id=1XzzKcjRiNkr8eThaUjE3EVkcBpXGLtjY</t>
        </is>
      </c>
      <c r="AA1214" s="1" t="inlineStr">
        <is>
          <t>Unverified</t>
        </is>
      </c>
      <c r="AB1214" s="1" t="n"/>
      <c r="AC1214" s="1" t="n"/>
      <c r="AD1214" s="10" t="n"/>
      <c r="AE1214" s="1" t="n"/>
      <c r="AF1214" s="1" t="inlineStr">
        <is>
          <t>No</t>
        </is>
      </c>
      <c r="AG1214" s="1" t="n"/>
      <c r="AH1214" s="1" t="n"/>
    </row>
    <row r="1215" ht="12.5" customHeight="1">
      <c r="A1215" s="6" t="n">
        <v>45181</v>
      </c>
      <c r="B1215" s="1" t="inlineStr">
        <is>
          <t>ORG_2205</t>
        </is>
      </c>
      <c r="C1215" s="1" t="b">
        <v>1</v>
      </c>
      <c r="D1215" s="1" t="inlineStr">
        <is>
          <t>Sanoma Utbildning</t>
        </is>
      </c>
      <c r="E1215" s="10" t="inlineStr">
        <is>
          <t>https://www.sanomautbildning.se</t>
        </is>
      </c>
      <c r="F1215" t="inlineStr">
        <is>
          <t>sanomautbildning.se</t>
        </is>
      </c>
      <c r="G1215" s="1" t="inlineStr">
        <is>
          <t>Sanoma Utbildning wants to make it possible for teachers to help each student reach their full potential. We do this by offering well-proven and high qualitative printed and digital learning material, as well as digital learning and teaching platforms for primary, secondary, and vocational education in Sweden.
Every teacher has their own way of teaching and regardless of whether you choose printed, digital or blended, we make sure that all of our teaching materials give you inspiration, guidance and save you valuable time.
Sanoma Utbildning, together with Finnish Sanoma Pro, is part of the Sanoma Learning Group. The group comprises eight different companies around Europe and is one of Europe's market-leading edtech companies. Together, we educate over 20 million students in eleven countries.</t>
        </is>
      </c>
      <c r="H1215" s="1" t="inlineStr">
        <is>
          <t>Swedish EdTech Industry</t>
        </is>
      </c>
      <c r="I1215" s="1" t="n"/>
      <c r="J1215" s="1" t="inlineStr">
        <is>
          <t>Stockholm</t>
        </is>
      </c>
      <c r="K1215" t="inlineStr">
        <is>
          <t>Stockholm</t>
        </is>
      </c>
      <c r="L1215" t="inlineStr">
        <is>
          <t>Stockholm, Sweden</t>
        </is>
      </c>
      <c r="M1215" t="n">
        <v>59.3251172</v>
      </c>
      <c r="N1215" t="n">
        <v>18.0710935</v>
      </c>
      <c r="O1215" s="1" t="inlineStr">
        <is>
          <t>Sweden</t>
        </is>
      </c>
      <c r="P1215" s="1" t="inlineStr">
        <is>
          <t>Sweden</t>
        </is>
      </c>
      <c r="Q1215" s="1" t="inlineStr">
        <is>
          <t>51 to 100</t>
        </is>
      </c>
      <c r="R1215" t="inlineStr">
        <is>
          <t>Medium</t>
        </is>
      </c>
      <c r="S1215" s="1" t="inlineStr">
        <is>
          <t>Business to Business, Business to Schools</t>
        </is>
      </c>
      <c r="T1215" s="1" t="inlineStr">
        <is>
          <t>Primary Education, Secondary Education, Higher Education, Corporate Training</t>
        </is>
      </c>
      <c r="U1215" s="1" t="inlineStr">
        <is>
          <t>Teacher interfacing</t>
        </is>
      </c>
      <c r="V1215" s="10" t="inlineStr">
        <is>
          <t>Bingel</t>
        </is>
      </c>
      <c r="W1215" s="1" t="inlineStr">
        <is>
          <t>Bingel supports school teams (management, teachers, ICT &amp; care coordinators and whoever combines these roles) with their extensive range of tasks and pupils with their learning. We support teachers during and after class so they can save time for the most important thing: class fun and time for individual coaching. By digitizing and personalizing instruction with Bingel Board Books and Board Lessons, letting the students practice on the Bingel Islands and differentiate via the Bingel differentiation module, planning and monitoring via Bingel Planner, Bingel Care and Bingel Evaluation, Bingel supports the school team in every aspect of the teacher flow.</t>
        </is>
      </c>
      <c r="X1215" s="10" t="inlineStr">
        <is>
          <t>Kampus</t>
        </is>
      </c>
      <c r="Y1215" t="inlineStr">
        <is>
          <t>For the teachers in middle school, high school, secondary and post secondary who wishes digital alternatives, we have our digital platform Kampus. The platform focuses on how teachers want to work with digital teaching materials. In addition to our teaching materials in digital form, there are interactive exercises for the student, teacher support and lesson planning as well as a teacher view where the teacher can follow each student's development. The teacher can also add his/hers own material, in order to adapt the content to each teachers specific teaching.</t>
        </is>
      </c>
      <c r="Z1215" s="1" t="inlineStr">
        <is>
          <t>https://drive.google.com/uc?export=view&amp;id=1890FeLf1stHnwdtQv2JrgtOz4gJd4SqV</t>
        </is>
      </c>
      <c r="AA1215" s="1" t="inlineStr">
        <is>
          <t>Unverified</t>
        </is>
      </c>
      <c r="AB1215" s="1" t="n"/>
      <c r="AC1215" s="1" t="n"/>
      <c r="AD1215" s="10" t="n"/>
      <c r="AE1215" s="1" t="n"/>
      <c r="AF1215" t="inlineStr">
        <is>
          <t>Yes</t>
        </is>
      </c>
      <c r="AG1215" t="inlineStr">
        <is>
          <t>https://www.instagram.com/sanoma_utbildning/</t>
        </is>
      </c>
      <c r="AH1215" t="inlineStr">
        <is>
          <t>https://www.linkedin.com/company/sanoma-utbildning/</t>
        </is>
      </c>
      <c r="AI1215" t="inlineStr">
        <is>
          <t>https://www.linkedin.com/company/sanoma-utbildning/</t>
        </is>
      </c>
    </row>
    <row r="1216" ht="12.5" customHeight="1">
      <c r="A1216" s="6" t="n">
        <v>45181</v>
      </c>
      <c r="B1216" s="1" t="inlineStr">
        <is>
          <t>ORG_2225</t>
        </is>
      </c>
      <c r="C1216" s="1" t="b">
        <v>1</v>
      </c>
      <c r="D1216" s="1" t="inlineStr">
        <is>
          <t>Seedling</t>
        </is>
      </c>
      <c r="E1216" s="10" t="inlineStr">
        <is>
          <t>https://teachwithseedling.com/</t>
        </is>
      </c>
      <c r="F1216" t="inlineStr">
        <is>
          <t>teachwithseedling.com</t>
        </is>
      </c>
      <c r="G1216" s="1" t="inlineStr">
        <is>
          <t>Seedling is a digital platform for teachers to create personalised educational games and activities. Teachers simply choose from a variety of templates, then add their learning content and a game or activity is produced for their students. Games can be created in minutes and teachers can produce multiple versions of each game template to suit different groups of learners.
The seedling platform can create learning materials in any language so it is particularly useful for teachers of indigenous and minority languages. Schools and districts across the U.S. and Canada are using Seedling to provide Native American and First Nations students with engaging, digital, learning experiences in their own language.
See what teachers are creating with Seedling, please visit https://teachwithseedling.com</t>
        </is>
      </c>
      <c r="H1216" s="1" t="inlineStr">
        <is>
          <t>I'm not part of any EdTech association</t>
        </is>
      </c>
      <c r="I1216" s="1" t="n"/>
      <c r="J1216" s="1" t="inlineStr">
        <is>
          <t>Belfast</t>
        </is>
      </c>
      <c r="K1216" t="inlineStr">
        <is>
          <t>Belfast</t>
        </is>
      </c>
      <c r="L1216" t="inlineStr">
        <is>
          <t>Belfast, United Kingdom</t>
        </is>
      </c>
      <c r="M1216" t="n">
        <v>54.596391</v>
      </c>
      <c r="N1216" t="n">
        <v>-5.9301829</v>
      </c>
      <c r="O1216" s="1" t="inlineStr">
        <is>
          <t>United Kingdom</t>
        </is>
      </c>
      <c r="P1216" s="1" t="inlineStr">
        <is>
          <t>Germany, Ireland, United Kingdom</t>
        </is>
      </c>
      <c r="Q1216" s="1" t="inlineStr">
        <is>
          <t>0 to 10</t>
        </is>
      </c>
      <c r="R1216" t="inlineStr">
        <is>
          <t>Micro</t>
        </is>
      </c>
      <c r="S1216" s="1" t="inlineStr">
        <is>
          <t>Business to Consumer</t>
        </is>
      </c>
      <c r="T1216" s="1" t="inlineStr">
        <is>
          <t>Primary Education</t>
        </is>
      </c>
      <c r="U1216" s="1" t="inlineStr">
        <is>
          <t>Teacher interfacing</t>
        </is>
      </c>
      <c r="V1216" s="1" t="n"/>
      <c r="W1216" s="1" t="inlineStr">
        <is>
          <t>https://drive.google.com/uc?export=view&amp;id=1xyOn6ajqpvQVC82irrLTbdhEwIACfv1o</t>
        </is>
      </c>
      <c r="X1216" s="1" t="inlineStr">
        <is>
          <t>https://drive.google.com/uc?export=view&amp;id=1xyOn6ajqpvQVC82irrLTbdhEwIACfv1o</t>
        </is>
      </c>
      <c r="Y1216" t="inlineStr">
        <is>
          <t>https://drive.google.com/uc?export=view&amp;id=1xyOn6ajqpvQVC82irrLTbdhEwIACfv1o</t>
        </is>
      </c>
      <c r="Z1216" s="1" t="inlineStr">
        <is>
          <t>https://drive.google.com/uc?export=view&amp;id=1xyOn6ajqpvQVC82irrLTbdhEwIACfv1o</t>
        </is>
      </c>
      <c r="AA1216" s="1" t="inlineStr">
        <is>
          <t>Unverified</t>
        </is>
      </c>
      <c r="AB1216" s="1" t="n"/>
      <c r="AC1216" s="1" t="n"/>
      <c r="AD1216" s="10" t="n"/>
      <c r="AE1216" s="1" t="n"/>
      <c r="AF1216" t="inlineStr">
        <is>
          <t>No</t>
        </is>
      </c>
    </row>
    <row r="1217" ht="12.5" customHeight="1">
      <c r="A1217" s="6" t="n">
        <v>45181</v>
      </c>
      <c r="B1217" s="1" t="inlineStr">
        <is>
          <t>ORG_2242</t>
        </is>
      </c>
      <c r="C1217" s="1" t="b">
        <v>1</v>
      </c>
      <c r="D1217" s="1" t="inlineStr">
        <is>
          <t>SIMBEL</t>
        </is>
      </c>
      <c r="E1217" s="10" t="inlineStr">
        <is>
          <t>simbel.fr</t>
        </is>
      </c>
      <c r="F1217" t="inlineStr">
        <is>
          <t>simbel.fr</t>
        </is>
      </c>
      <c r="G1217" s="1" t="inlineStr">
        <is>
          <t>We transform companies into great places to learn. SMBs still fail at helping their teams grow. Simbel is the all-in-one platform for teams to learn and develop: 
- create an impactful academy
- empower your teams
- run your L&amp;D “on autopilot”</t>
        </is>
      </c>
      <c r="H1217" s="1" t="inlineStr">
        <is>
          <t>I'm not part of any EdTech association</t>
        </is>
      </c>
      <c r="I1217" s="1" t="inlineStr">
        <is>
          <t>French, English, German, Italian</t>
        </is>
      </c>
      <c r="J1217" s="1" t="inlineStr">
        <is>
          <t>Paris</t>
        </is>
      </c>
      <c r="K1217" t="inlineStr">
        <is>
          <t>Paris</t>
        </is>
      </c>
      <c r="L1217" t="inlineStr">
        <is>
          <t>Paris, France</t>
        </is>
      </c>
      <c r="M1217" t="n">
        <v>48.8534951</v>
      </c>
      <c r="N1217" t="n">
        <v>2.3483915</v>
      </c>
      <c r="O1217" s="1" t="inlineStr">
        <is>
          <t>France</t>
        </is>
      </c>
      <c r="P1217" s="1" t="inlineStr">
        <is>
          <t>Belgium, France</t>
        </is>
      </c>
      <c r="Q1217" s="1" t="inlineStr">
        <is>
          <t>11 to 50</t>
        </is>
      </c>
      <c r="R1217" t="inlineStr">
        <is>
          <t>Small</t>
        </is>
      </c>
      <c r="S1217" s="1" t="inlineStr">
        <is>
          <t>Business to Consumer</t>
        </is>
      </c>
      <c r="T1217" s="1" t="inlineStr">
        <is>
          <t>Corporate Training, Lifelong learning/Adult education</t>
        </is>
      </c>
      <c r="U1217" s="1" t="inlineStr">
        <is>
          <t>System/Administrative</t>
        </is>
      </c>
      <c r="V1217" s="1" t="inlineStr">
        <is>
          <t>Training Management System</t>
        </is>
      </c>
      <c r="W1217" s="1" t="inlineStr">
        <is>
          <t>Streamline your learning and development operations and easily drive your key performance indicators</t>
        </is>
      </c>
      <c r="X1217" s="10" t="inlineStr">
        <is>
          <t>Learning Management System</t>
        </is>
      </c>
      <c r="Y1217" t="inlineStr">
        <is>
          <t>Create and publish your internal trainings in just a few clics</t>
        </is>
      </c>
      <c r="Z1217" s="1" t="inlineStr">
        <is>
          <t>https://drive.google.com/uc?export=view&amp;id=14xNPUjN_F1jF6zo9kxdfB9vVwoHbLQ3q</t>
        </is>
      </c>
      <c r="AA1217" s="1" t="inlineStr">
        <is>
          <t>Unverified</t>
        </is>
      </c>
      <c r="AB1217" s="1" t="n"/>
      <c r="AC1217" s="1" t="n"/>
      <c r="AD1217" s="10" t="n"/>
      <c r="AE1217" s="1" t="n"/>
      <c r="AF1217" s="1" t="inlineStr">
        <is>
          <t>Yes</t>
        </is>
      </c>
      <c r="AG1217" s="1" t="inlineStr">
        <is>
          <t>https://www.linkedin.com/company/71783451/admin/feed/posts/</t>
        </is>
      </c>
      <c r="AH1217" s="1" t="inlineStr">
        <is>
          <t>https://www.linkedin.com/company/71783451/admin/feed/posts/</t>
        </is>
      </c>
      <c r="AI1217" t="inlineStr">
        <is>
          <t>https://www.linkedin.com/company/71783451/admin/feed/posts/</t>
        </is>
      </c>
    </row>
    <row r="1218" ht="12.5" customHeight="1">
      <c r="A1218" s="6" t="n">
        <v>45181</v>
      </c>
      <c r="B1218" s="1" t="inlineStr">
        <is>
          <t>ORG_2268</t>
        </is>
      </c>
      <c r="C1218" s="1" t="b">
        <v>1</v>
      </c>
      <c r="D1218" s="1" t="inlineStr">
        <is>
          <t>Skolen Online</t>
        </is>
      </c>
      <c r="E1218" s="10" t="inlineStr">
        <is>
          <t>https://www.skolenonline.dk</t>
        </is>
      </c>
      <c r="F1218" t="inlineStr">
        <is>
          <t>skolenonline.dk</t>
        </is>
      </c>
      <c r="G1218" s="1" t="inlineStr">
        <is>
          <t>Skolen Online provides a learning environment for students of the age +7. Be it students not thriving in traditional school boundaries and not belonging in school for kids with special needs, homeschooling, digital nomads or students on elite-sport contracts traveling and not being able to attend traditional schedules. Online classes, live lessons, learn-boxes and the possibility to self-study.</t>
        </is>
      </c>
      <c r="H1218" s="1" t="inlineStr">
        <is>
          <t>EdTech Denmark</t>
        </is>
      </c>
      <c r="I1218" s="1" t="n"/>
      <c r="J1218" s="1" t="inlineStr">
        <is>
          <t>Haslev</t>
        </is>
      </c>
      <c r="K1218" t="inlineStr">
        <is>
          <t>Haslev</t>
        </is>
      </c>
      <c r="L1218" t="inlineStr">
        <is>
          <t>Haslev, Denmark</t>
        </is>
      </c>
      <c r="M1218" t="n">
        <v>55.3271115</v>
      </c>
      <c r="N1218" t="n">
        <v>11.9567297</v>
      </c>
      <c r="O1218" s="1" t="inlineStr">
        <is>
          <t>Denmark</t>
        </is>
      </c>
      <c r="P1218" s="1" t="inlineStr">
        <is>
          <t>Bulgaria, Denmark, Poland, Spain, Turkey</t>
        </is>
      </c>
      <c r="Q1218" s="1" t="inlineStr">
        <is>
          <t>6 to 10</t>
        </is>
      </c>
      <c r="R1218" t="inlineStr">
        <is>
          <t>Micro</t>
        </is>
      </c>
      <c r="S1218" s="1" t="inlineStr">
        <is>
          <t>Business to Consumer</t>
        </is>
      </c>
      <c r="T1218" s="1" t="inlineStr">
        <is>
          <t>Primary Education, Secondary Education, Lifelong learning/Adult education, Higher Education</t>
        </is>
      </c>
      <c r="U1218" s="1" t="inlineStr">
        <is>
          <t>System/Administrative</t>
        </is>
      </c>
      <c r="V1218" s="10" t="inlineStr">
        <is>
          <t>Online Classes</t>
        </is>
      </c>
      <c r="W1218" s="1" t="inlineStr">
        <is>
          <t>Live online classes from 0'grade to 10'th grade. Lessons, assignments, guidance and feedback. We ensure that students get ready to finish grade school.</t>
        </is>
      </c>
      <c r="X1218" s="10" t="inlineStr">
        <is>
          <t>EduLearn Club</t>
        </is>
      </c>
      <c r="Y1218" t="inlineStr">
        <is>
          <t>An online global learning network.</t>
        </is>
      </c>
      <c r="Z1218" s="1" t="inlineStr">
        <is>
          <t>https://drive.google.com/uc?export=view&amp;id=1OQppT-C4ZfD0gsbXuUEBkXLiELaoFvSB</t>
        </is>
      </c>
      <c r="AA1218" s="1" t="inlineStr">
        <is>
          <t>Unverified</t>
        </is>
      </c>
      <c r="AB1218" s="1" t="n"/>
      <c r="AC1218" s="1" t="n"/>
      <c r="AD1218" s="10" t="n"/>
      <c r="AE1218" s="1" t="n"/>
      <c r="AF1218" t="inlineStr">
        <is>
          <t>Yes</t>
        </is>
      </c>
      <c r="AG1218" t="inlineStr">
        <is>
          <t>https://www.instagram.com/skolenonline/</t>
        </is>
      </c>
      <c r="AH1218" t="inlineStr">
        <is>
          <t>https://www.linkedin.com/company/skolen-online</t>
        </is>
      </c>
      <c r="AI1218" t="inlineStr">
        <is>
          <t>https://www.linkedin.com/company/skolen-online</t>
        </is>
      </c>
    </row>
    <row r="1219" ht="12.5" customHeight="1">
      <c r="A1219" s="6" t="n">
        <v>45181</v>
      </c>
      <c r="B1219" s="1" t="inlineStr">
        <is>
          <t>ORG_2350</t>
        </is>
      </c>
      <c r="C1219" s="1" t="b">
        <v>1</v>
      </c>
      <c r="D1219" s="1" t="inlineStr">
        <is>
          <t>Supermood</t>
        </is>
      </c>
      <c r="E1219" s="10" t="inlineStr">
        <is>
          <t>www.supermood.com</t>
        </is>
      </c>
      <c r="F1219" t="inlineStr">
        <is>
          <t>supermood.com</t>
        </is>
      </c>
      <c r="G1219" s="1" t="inlineStr">
        <is>
          <t>Supermood is a feedback data-platform for employees that make you understand what's happening in your company.</t>
        </is>
      </c>
      <c r="H1219" s="1" t="inlineStr">
        <is>
          <t>I'm not part of any EdTech association</t>
        </is>
      </c>
      <c r="I1219" s="1" t="n"/>
      <c r="J1219" s="1" t="inlineStr">
        <is>
          <t>Paris</t>
        </is>
      </c>
      <c r="K1219" t="inlineStr">
        <is>
          <t>Paris</t>
        </is>
      </c>
      <c r="L1219" t="inlineStr">
        <is>
          <t>Paris, France</t>
        </is>
      </c>
      <c r="M1219" t="n">
        <v>48.8534951</v>
      </c>
      <c r="N1219" t="n">
        <v>2.3483915</v>
      </c>
      <c r="O1219" s="1" t="inlineStr">
        <is>
          <t>France</t>
        </is>
      </c>
      <c r="P1219" s="1" t="inlineStr">
        <is>
          <t>France, Switzerland</t>
        </is>
      </c>
      <c r="Q1219" s="1" t="inlineStr">
        <is>
          <t>11 to 50</t>
        </is>
      </c>
      <c r="R1219" t="inlineStr">
        <is>
          <t>Small</t>
        </is>
      </c>
      <c r="S1219" s="1" t="inlineStr">
        <is>
          <t>Business to Consumer, Business to Schools</t>
        </is>
      </c>
      <c r="T1219" s="1" t="inlineStr">
        <is>
          <t>Corporate Training</t>
        </is>
      </c>
      <c r="U1219" s="1" t="inlineStr">
        <is>
          <t>System/Administrative</t>
        </is>
      </c>
      <c r="V1219" s="1" t="n"/>
      <c r="W1219" s="1" t="inlineStr">
        <is>
          <t>https://drive.google.com/uc?export=view&amp;id=1nOoKGPesbFM76tucOE-aWKXpQ-Z2LyJh</t>
        </is>
      </c>
      <c r="X1219" s="1" t="inlineStr">
        <is>
          <t>https://drive.google.com/uc?export=view&amp;id=1nOoKGPesbFM76tucOE-aWKXpQ-Z2LyJh</t>
        </is>
      </c>
      <c r="Y1219" t="inlineStr">
        <is>
          <t>https://drive.google.com/uc?export=view&amp;id=1nOoKGPesbFM76tucOE-aWKXpQ-Z2LyJh</t>
        </is>
      </c>
      <c r="Z1219" s="1" t="inlineStr">
        <is>
          <t>https://drive.google.com/uc?export=view&amp;id=1nOoKGPesbFM76tucOE-aWKXpQ-Z2LyJh</t>
        </is>
      </c>
      <c r="AA1219" s="1" t="inlineStr">
        <is>
          <t>Unverified</t>
        </is>
      </c>
      <c r="AB1219" s="1" t="n"/>
      <c r="AC1219" s="1" t="n"/>
      <c r="AD1219" s="10" t="n"/>
      <c r="AE1219" s="1" t="n"/>
      <c r="AF1219" s="1" t="inlineStr">
        <is>
          <t>No</t>
        </is>
      </c>
      <c r="AG1219" s="1" t="n"/>
      <c r="AH1219" s="1" t="n"/>
    </row>
    <row r="1220" ht="12.5" customHeight="1">
      <c r="A1220" s="6" t="n">
        <v>45181</v>
      </c>
      <c r="B1220" s="1" t="inlineStr">
        <is>
          <t>ORG_2358</t>
        </is>
      </c>
      <c r="C1220" s="1" t="b">
        <v>1</v>
      </c>
      <c r="D1220" s="1" t="inlineStr">
        <is>
          <t>Symbaloo</t>
        </is>
      </c>
      <c r="E1220" s="10" t="inlineStr">
        <is>
          <t>https://www.symbaloo.com</t>
        </is>
      </c>
      <c r="F1220" t="inlineStr">
        <is>
          <t>symbaloo.com</t>
        </is>
      </c>
      <c r="G1220" s="1" t="inlineStr">
        <is>
          <t>Symbaloo for Education is the ultimate platform for managing and distributing personalized content. It helps teachers within the School and make it easy to save and share educational resources online. Set up your school homepage, or use Symbaloo as your bookmark manager.</t>
        </is>
      </c>
      <c r="H1220" s="1" t="inlineStr">
        <is>
          <t>I'm not part of any EdTech association</t>
        </is>
      </c>
      <c r="I1220" s="1" t="n"/>
      <c r="J1220" s="1" t="inlineStr">
        <is>
          <t>Delft</t>
        </is>
      </c>
      <c r="K1220" t="inlineStr">
        <is>
          <t>Delft</t>
        </is>
      </c>
      <c r="L1220" t="inlineStr">
        <is>
          <t>Delft, The Netherlands</t>
        </is>
      </c>
      <c r="M1220" t="n">
        <v>52.0016196</v>
      </c>
      <c r="N1220" t="n">
        <v>4.3680178</v>
      </c>
      <c r="O1220" s="1" t="inlineStr">
        <is>
          <t>The Netherlands</t>
        </is>
      </c>
      <c r="P1220"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1220" s="1" t="inlineStr">
        <is>
          <t>11 to 50</t>
        </is>
      </c>
      <c r="R1220" t="inlineStr">
        <is>
          <t>Small</t>
        </is>
      </c>
      <c r="S1220" s="1" t="inlineStr">
        <is>
          <t>Business to Government, Business to Schools</t>
        </is>
      </c>
      <c r="T1220" s="1" t="inlineStr">
        <is>
          <t>Early childhood development (0-5 years), Primary Education, Secondary Education</t>
        </is>
      </c>
      <c r="U1220" s="1" t="inlineStr">
        <is>
          <t>Teacher interfacing</t>
        </is>
      </c>
      <c r="V1220" s="1" t="n"/>
      <c r="W1220" s="1" t="inlineStr">
        <is>
          <t>https://drive.google.com/uc?export=view&amp;id=1eE--0NXX_cPLmxzHsOLWML-hxE2qYwjt</t>
        </is>
      </c>
      <c r="X1220" s="1" t="inlineStr">
        <is>
          <t>https://drive.google.com/uc?export=view&amp;id=1eE--0NXX_cPLmxzHsOLWML-hxE2qYwjt</t>
        </is>
      </c>
      <c r="Y1220" t="inlineStr">
        <is>
          <t>https://drive.google.com/uc?export=view&amp;id=1eE--0NXX_cPLmxzHsOLWML-hxE2qYwjt</t>
        </is>
      </c>
      <c r="Z1220" s="1" t="inlineStr">
        <is>
          <t>https://drive.google.com/uc?export=view&amp;id=1eE--0NXX_cPLmxzHsOLWML-hxE2qYwjt</t>
        </is>
      </c>
      <c r="AA1220" s="1" t="inlineStr">
        <is>
          <t>Unverified</t>
        </is>
      </c>
      <c r="AB1220" s="1" t="n"/>
      <c r="AC1220" s="1" t="n"/>
      <c r="AD1220" s="10" t="n"/>
      <c r="AE1220" s="1" t="n"/>
      <c r="AF1220" s="1" t="inlineStr">
        <is>
          <t>No</t>
        </is>
      </c>
      <c r="AG1220" s="1" t="n"/>
      <c r="AH1220" s="1" t="n"/>
    </row>
    <row r="1221" ht="12.5" customHeight="1">
      <c r="A1221" s="6" t="n">
        <v>45181</v>
      </c>
      <c r="B1221" s="1" t="inlineStr">
        <is>
          <t>ORG_2537</t>
        </is>
      </c>
      <c r="C1221" s="1" t="b">
        <v>1</v>
      </c>
      <c r="D1221" s="1" t="inlineStr">
        <is>
          <t>WIPER GAMING</t>
        </is>
      </c>
      <c r="E1221" s="10" t="inlineStr">
        <is>
          <t>www.wipergaming.com</t>
        </is>
      </c>
      <c r="F1221" t="inlineStr">
        <is>
          <t>wipergaming.com</t>
        </is>
      </c>
      <c r="G1221" s="1" t="inlineStr">
        <is>
          <t>Our goal as a startup is to professionalize the world of esports through training and education. 
we are developing the best training for gamers to play better, on the one hand. and on the other hand we are also creating the training of the professions of the sector</t>
        </is>
      </c>
      <c r="H1221" s="1" t="inlineStr">
        <is>
          <t>I'm not part of any EdTech association</t>
        </is>
      </c>
      <c r="I1221" s="1" t="n"/>
      <c r="J1221" s="1" t="inlineStr">
        <is>
          <t>Madrid</t>
        </is>
      </c>
      <c r="K1221" t="inlineStr">
        <is>
          <t>Madrid</t>
        </is>
      </c>
      <c r="L1221" t="inlineStr">
        <is>
          <t>Madrid, Spain</t>
        </is>
      </c>
      <c r="M1221" t="n">
        <v>40.416782</v>
      </c>
      <c r="N1221" t="n">
        <v>-3.703507</v>
      </c>
      <c r="O1221" s="1" t="inlineStr">
        <is>
          <t>Spain</t>
        </is>
      </c>
      <c r="P1221" s="1" t="inlineStr">
        <is>
          <t>Andorra, Spain</t>
        </is>
      </c>
      <c r="Q1221" s="1" t="inlineStr">
        <is>
          <t>11 to 50</t>
        </is>
      </c>
      <c r="R1221" t="inlineStr">
        <is>
          <t>Small</t>
        </is>
      </c>
      <c r="S1221" s="1" t="inlineStr">
        <is>
          <t>Business to Schools</t>
        </is>
      </c>
      <c r="T1221" s="1" t="inlineStr">
        <is>
          <t>Early childhood development (0-5 years), Primary Education, Secondary Education, Higher Education</t>
        </is>
      </c>
      <c r="U1221" s="1" t="inlineStr">
        <is>
          <t>Student interfacing</t>
        </is>
      </c>
      <c r="V1221" s="1" t="n"/>
      <c r="W1221" s="1" t="inlineStr">
        <is>
          <t>https://drive.google.com/uc?export=view&amp;id=1XgWsF2POgCIcBQLvHykU1qKU3jydWOiS</t>
        </is>
      </c>
      <c r="X1221" s="1" t="inlineStr">
        <is>
          <t>https://drive.google.com/uc?export=view&amp;id=1XgWsF2POgCIcBQLvHykU1qKU3jydWOiS</t>
        </is>
      </c>
      <c r="Y1221" t="inlineStr">
        <is>
          <t>https://drive.google.com/uc?export=view&amp;id=1XgWsF2POgCIcBQLvHykU1qKU3jydWOiS</t>
        </is>
      </c>
      <c r="Z1221" s="1" t="inlineStr">
        <is>
          <t>https://drive.google.com/uc?export=view&amp;id=1XgWsF2POgCIcBQLvHykU1qKU3jydWOiS</t>
        </is>
      </c>
      <c r="AA1221" s="1" t="inlineStr">
        <is>
          <t>Unverified</t>
        </is>
      </c>
      <c r="AB1221" s="1" t="n"/>
      <c r="AC1221" s="1" t="n"/>
      <c r="AD1221" s="10" t="n"/>
      <c r="AE1221" s="1" t="n"/>
      <c r="AF1221" s="1" t="inlineStr">
        <is>
          <t>No</t>
        </is>
      </c>
      <c r="AG1221" s="1" t="n"/>
      <c r="AH1221" s="1" t="n"/>
    </row>
    <row r="1222" ht="12.5" customHeight="1">
      <c r="A1222" s="6" t="n">
        <v>45181</v>
      </c>
      <c r="B1222" s="1" t="inlineStr">
        <is>
          <t>ORG_1008</t>
        </is>
      </c>
      <c r="C1222" s="1" t="b">
        <v>1</v>
      </c>
      <c r="D1222" s="1" t="inlineStr">
        <is>
          <t>33 TRUCS</t>
        </is>
      </c>
      <c r="E1222" s="10" t="inlineStr">
        <is>
          <t>www.33trucs.com</t>
        </is>
      </c>
      <c r="F1222" t="inlineStr">
        <is>
          <t>33trucs.com</t>
        </is>
      </c>
      <c r="G1222" s="1" t="inlineStr">
        <is>
          <t>33 TRUCS is a collaborative learning app that aims to build and engage large professional communities through knowledge sharing. Its unique learning experience is inspired by B2C media engaging features (including snack content and peer learning) and makes every day learnings special. We believe in nugget learning, particularly when sharing the bucket with fellows.
It allows companies to broaden their employee experience and to mobilize their human capital to achieve its daily challenges : keeping its skills up to date, onboarding new recruits, spreading methodologies or culture, feeding employer brand, gaining greater market recognition, etc.</t>
        </is>
      </c>
      <c r="H1222" s="1" t="inlineStr">
        <is>
          <t>I'm not part of any EdTech association</t>
        </is>
      </c>
      <c r="I1222" s="1" t="n"/>
      <c r="J1222" s="1" t="inlineStr">
        <is>
          <t>Marseille</t>
        </is>
      </c>
      <c r="K1222" t="inlineStr">
        <is>
          <t>Marseille</t>
        </is>
      </c>
      <c r="L1222" t="inlineStr">
        <is>
          <t>Marseille, France</t>
        </is>
      </c>
      <c r="M1222" t="n">
        <v>43.2963986</v>
      </c>
      <c r="N1222" t="n">
        <v>5.3777888</v>
      </c>
      <c r="O1222" s="1" t="inlineStr">
        <is>
          <t>France</t>
        </is>
      </c>
      <c r="P1222" s="1" t="inlineStr">
        <is>
          <t>France, Netherlands</t>
        </is>
      </c>
      <c r="Q1222" s="1" t="inlineStr">
        <is>
          <t>0 to 10</t>
        </is>
      </c>
      <c r="R1222" t="inlineStr">
        <is>
          <t>Micro</t>
        </is>
      </c>
      <c r="S1222" s="1" t="inlineStr">
        <is>
          <t>Business to Business</t>
        </is>
      </c>
      <c r="T1222" s="1" t="inlineStr">
        <is>
          <t>Corporate Training, Lifelong learning/Adult education</t>
        </is>
      </c>
      <c r="U1222" s="1" t="inlineStr">
        <is>
          <t>Teacher interfacing, Student interfacing, System/Administrative</t>
        </is>
      </c>
      <c r="V1222" s="1" t="n"/>
      <c r="W1222" s="1" t="inlineStr">
        <is>
          <t>https://drive.google.com/uc?export=view&amp;id=1egkE2tJl_FZPJDXSWvnYCBZYfyjGhD6C</t>
        </is>
      </c>
      <c r="X1222" s="1" t="inlineStr">
        <is>
          <t>https://drive.google.com/uc?export=view&amp;id=1egkE2tJl_FZPJDXSWvnYCBZYfyjGhD6C</t>
        </is>
      </c>
      <c r="Y1222" t="inlineStr">
        <is>
          <t>https://drive.google.com/uc?export=view&amp;id=1egkE2tJl_FZPJDXSWvnYCBZYfyjGhD6C</t>
        </is>
      </c>
      <c r="Z1222" s="1" t="inlineStr">
        <is>
          <t>https://drive.google.com/uc?export=view&amp;id=1egkE2tJl_FZPJDXSWvnYCBZYfyjGhD6C</t>
        </is>
      </c>
      <c r="AA1222" s="1" t="inlineStr">
        <is>
          <t>Unverified</t>
        </is>
      </c>
      <c r="AB1222" s="1" t="n"/>
      <c r="AC1222" s="1" t="n"/>
      <c r="AD1222" s="10" t="n"/>
      <c r="AE1222" s="1" t="n"/>
      <c r="AF1222" s="1" t="inlineStr">
        <is>
          <t>No</t>
        </is>
      </c>
      <c r="AG1222" s="1" t="n"/>
      <c r="AH1222" s="1" t="n"/>
    </row>
    <row r="1223" ht="12.5" customHeight="1">
      <c r="A1223" s="6" t="n">
        <v>45181</v>
      </c>
      <c r="B1223" s="1" t="inlineStr">
        <is>
          <t>ORG_1087</t>
        </is>
      </c>
      <c r="C1223" s="1" t="b">
        <v>1</v>
      </c>
      <c r="D1223" s="1" t="inlineStr">
        <is>
          <t>Aprendices Visuales</t>
        </is>
      </c>
      <c r="E1223" s="10" t="inlineStr">
        <is>
          <t>www.aprendicesvisuales.com</t>
        </is>
      </c>
      <c r="F1223" t="inlineStr">
        <is>
          <t>aprendicesvisuales.com</t>
        </is>
      </c>
      <c r="G1223" s="1" t="inlineStr">
        <is>
          <t>Aprendices Visuales is an organization creating visual tools and methodologies to empower K12 children´s learning.</t>
        </is>
      </c>
      <c r="H1223" s="1" t="inlineStr">
        <is>
          <t>I'm not part of any EdTech association</t>
        </is>
      </c>
      <c r="I1223" s="1" t="n"/>
      <c r="J1223" s="1" t="inlineStr">
        <is>
          <t>El Puerto De Santa Maria</t>
        </is>
      </c>
      <c r="K1223" t="inlineStr">
        <is>
          <t>El Puerto De Santa Maria</t>
        </is>
      </c>
      <c r="L1223" t="inlineStr">
        <is>
          <t>El Puerto De Santa Maria, Spain</t>
        </is>
      </c>
      <c r="M1223" t="n">
        <v>36.6004006</v>
      </c>
      <c r="N1223" t="n">
        <v>-6.2252702</v>
      </c>
      <c r="O1223" s="1" t="inlineStr">
        <is>
          <t>Spain</t>
        </is>
      </c>
      <c r="P1223" s="1" t="inlineStr">
        <is>
          <t>Spain</t>
        </is>
      </c>
      <c r="Q1223" s="1" t="inlineStr">
        <is>
          <t>0 to 10</t>
        </is>
      </c>
      <c r="R1223" t="inlineStr">
        <is>
          <t>Micro</t>
        </is>
      </c>
      <c r="S1223" s="1" t="inlineStr">
        <is>
          <t>Business to Business</t>
        </is>
      </c>
      <c r="T1223" s="1" t="inlineStr">
        <is>
          <t>Early childhood development (0-5 years), Primary Education</t>
        </is>
      </c>
      <c r="U1223" s="1" t="inlineStr">
        <is>
          <t>System/Administrative, Student interfacing, Teacher interfacing</t>
        </is>
      </c>
      <c r="V1223" s="1" t="n"/>
      <c r="W1223" s="1" t="inlineStr">
        <is>
          <t>https://drive.google.com/uc?export=view&amp;id=17s7pCJkdQN8ia8fN46zfgiiSqE0a-iLy</t>
        </is>
      </c>
      <c r="X1223" s="1" t="inlineStr">
        <is>
          <t>https://drive.google.com/uc?export=view&amp;id=17s7pCJkdQN8ia8fN46zfgiiSqE0a-iLy</t>
        </is>
      </c>
      <c r="Y1223" t="inlineStr">
        <is>
          <t>https://drive.google.com/uc?export=view&amp;id=17s7pCJkdQN8ia8fN46zfgiiSqE0a-iLy</t>
        </is>
      </c>
      <c r="Z1223" s="1" t="inlineStr">
        <is>
          <t>https://drive.google.com/uc?export=view&amp;id=17s7pCJkdQN8ia8fN46zfgiiSqE0a-iLy</t>
        </is>
      </c>
      <c r="AA1223" s="1" t="inlineStr">
        <is>
          <t>Unverified</t>
        </is>
      </c>
      <c r="AB1223" s="1" t="n"/>
      <c r="AC1223" s="1" t="n"/>
      <c r="AD1223" s="10" t="n"/>
      <c r="AE1223" s="1" t="n"/>
      <c r="AF1223" s="1" t="inlineStr">
        <is>
          <t>No</t>
        </is>
      </c>
      <c r="AG1223" s="1" t="n"/>
      <c r="AH1223" s="1" t="n"/>
    </row>
    <row r="1224" ht="12.5" customHeight="1">
      <c r="A1224" s="6" t="n">
        <v>45181</v>
      </c>
      <c r="B1224" s="1" t="inlineStr">
        <is>
          <t>ORG_1118</t>
        </is>
      </c>
      <c r="C1224" s="1" t="b">
        <v>1</v>
      </c>
      <c r="D1224" s="1" t="inlineStr">
        <is>
          <t>Atlas Primer</t>
        </is>
      </c>
      <c r="E1224" s="10" t="inlineStr">
        <is>
          <t>https://atlasprimer.com</t>
        </is>
      </c>
      <c r="F1224" t="inlineStr">
        <is>
          <t>atlasprimer.com</t>
        </is>
      </c>
      <c r="G1224" s="1" t="inlineStr">
        <is>
          <t>Atlas Primer is pioneering a new way of learning for the 1 in 5 students with a learning difficulty like dyslexia and ADHD. Atlas Primer allows anyone to create audio from notes, documents, websites, quizzes, and flashcards, and share it as easily as a YouTube link. Atlas Primer is a voice assistant that can converse with students about any subject and answers and asks questions in natural spoken language. Atlas Primer is available anytime and anywhere and our users report gaining 90 minutes per day because they can consume the audio while doing other things, while some report a 300% increase in learning efficiency compared to reading.</t>
        </is>
      </c>
      <c r="H1224" s="1" t="inlineStr">
        <is>
          <t>I'm not part of any EdTech association</t>
        </is>
      </c>
      <c r="I1224" s="1" t="n"/>
      <c r="J1224" s="1" t="inlineStr">
        <is>
          <t>Reykjavik</t>
        </is>
      </c>
      <c r="K1224" t="inlineStr">
        <is>
          <t>Reykjavik</t>
        </is>
      </c>
      <c r="L1224" t="inlineStr">
        <is>
          <t>Reykjavik, Iceland</t>
        </is>
      </c>
      <c r="M1224" t="n">
        <v>64.14598100000001</v>
      </c>
      <c r="N1224" t="n">
        <v>-21.9422367</v>
      </c>
      <c r="O1224" s="1" t="inlineStr">
        <is>
          <t>Iceland</t>
        </is>
      </c>
      <c r="P1224" s="1" t="inlineStr">
        <is>
          <t>Iceland, Ireland, United Kingdom</t>
        </is>
      </c>
      <c r="Q1224" s="1" t="inlineStr">
        <is>
          <t>0 to 10</t>
        </is>
      </c>
      <c r="R1224" t="inlineStr">
        <is>
          <t>Micro</t>
        </is>
      </c>
      <c r="S1224" s="1" t="inlineStr">
        <is>
          <t>Business to Business</t>
        </is>
      </c>
      <c r="T1224" s="1" t="inlineStr">
        <is>
          <t>Secondary Education, Higher Education, Corporate Training, Lifelong learning/Adult education</t>
        </is>
      </c>
      <c r="U1224" s="1" t="inlineStr">
        <is>
          <t>System/Administrative, Student interfacing</t>
        </is>
      </c>
      <c r="V1224" s="1" t="n"/>
      <c r="W1224" s="1" t="inlineStr">
        <is>
          <t>https://drive.google.com/uc?export=view&amp;id=1UowCD2-3pfVbNsDLoSA1WJGYLH00jHJj</t>
        </is>
      </c>
      <c r="X1224" s="1" t="inlineStr">
        <is>
          <t>https://drive.google.com/uc?export=view&amp;id=1UowCD2-3pfVbNsDLoSA1WJGYLH00jHJj</t>
        </is>
      </c>
      <c r="Y1224" t="inlineStr">
        <is>
          <t>https://drive.google.com/uc?export=view&amp;id=1UowCD2-3pfVbNsDLoSA1WJGYLH00jHJj</t>
        </is>
      </c>
      <c r="Z1224" s="1" t="inlineStr">
        <is>
          <t>https://drive.google.com/uc?export=view&amp;id=1UowCD2-3pfVbNsDLoSA1WJGYLH00jHJj</t>
        </is>
      </c>
      <c r="AA1224" s="1" t="inlineStr">
        <is>
          <t>Unverified</t>
        </is>
      </c>
      <c r="AB1224" s="1" t="n"/>
      <c r="AC1224" s="1" t="n"/>
      <c r="AD1224" s="10" t="n"/>
      <c r="AE1224" s="1" t="n"/>
      <c r="AF1224" t="inlineStr">
        <is>
          <t>No</t>
        </is>
      </c>
    </row>
    <row r="1225" ht="12.5" customHeight="1">
      <c r="A1225" s="6" t="n">
        <v>45181</v>
      </c>
      <c r="B1225" s="1" t="inlineStr">
        <is>
          <t>ORG_1143</t>
        </is>
      </c>
      <c r="C1225" s="1" t="b">
        <v>1</v>
      </c>
      <c r="D1225" s="1" t="inlineStr">
        <is>
          <t>BeCREO Technologies</t>
        </is>
      </c>
      <c r="E1225" s="10" t="inlineStr">
        <is>
          <t>https://scottiego.com/en/</t>
        </is>
      </c>
      <c r="F1225" t="inlineStr">
        <is>
          <t>scottiego.com/en</t>
        </is>
      </c>
      <c r="G1225" s="1" t="inlineStr">
        <is>
          <t>BeCREO Technologies is a Polish IT company that develops innovative educational tools for the education and consumer markets.The company’s leading product Scottie Go! is an innovative educational game series that teaches programming. It promotes the development of algorithmic intuition and competencies, according to the latest developments in methodology and technology.
The game is available in 23 languages in over 85 countries around the world, clearly increasing the prestige and achievements of Polish science and education.
The company cooperates with teachers, experts, educational institutions, and research and development entities. Products created by BeCREO Technologies are tested and supported by the School of the Future Laboratory, Poznań Supercomputing and Networking Center, and are enriched with didactic materials. The products are designed to teach programming in school and are suitable for distance learning.</t>
        </is>
      </c>
      <c r="H1225" s="1" t="inlineStr">
        <is>
          <t>EdTech Poland</t>
        </is>
      </c>
      <c r="I1225" s="1" t="n"/>
      <c r="J1225" s="1" t="inlineStr">
        <is>
          <t>Poznan</t>
        </is>
      </c>
      <c r="K1225" t="inlineStr">
        <is>
          <t>Poznan</t>
        </is>
      </c>
      <c r="L1225" t="inlineStr">
        <is>
          <t>Poznan, Poland</t>
        </is>
      </c>
      <c r="M1225" t="n">
        <v>52.4082663</v>
      </c>
      <c r="N1225" t="n">
        <v>16.9335199</v>
      </c>
      <c r="O1225" s="1" t="inlineStr">
        <is>
          <t>Poland</t>
        </is>
      </c>
      <c r="P1225" s="1" t="inlineStr">
        <is>
          <t>Poland</t>
        </is>
      </c>
      <c r="Q1225" s="1" t="inlineStr">
        <is>
          <t>0 to 10</t>
        </is>
      </c>
      <c r="R1225" t="inlineStr">
        <is>
          <t>Micro</t>
        </is>
      </c>
      <c r="S1225" s="1" t="inlineStr">
        <is>
          <t>Business to Business</t>
        </is>
      </c>
      <c r="T1225" s="1" t="inlineStr">
        <is>
          <t>Early childhood development (0-5 years), Primary Education, Secondary Education</t>
        </is>
      </c>
      <c r="U1225" s="1" t="inlineStr">
        <is>
          <t>System/Administrative, Student interfacing, Teacher interfacing</t>
        </is>
      </c>
      <c r="V1225" s="1" t="inlineStr">
        <is>
          <t>Scottie Go! EDU</t>
        </is>
      </c>
      <c r="W1225" s="1" t="inlineStr">
        <is>
          <t>Scottie Go! For education is an innovative game which introduces children to the world of programming. Specially designed cardboard blocks makes learning how to code, developing algorithmic intuition and improving logical thinking skills fun. It involves all basic concepts of programming –parameters, loops, conditional expressions, variable and functions. It includes a board and 179 cardboard tiles and an application, featuring 91 quests of increasing difficulty. A detailed Teacher’s Guide, lessons’ scenarios and worksheets are prepared for teachers to be downloaded from the website.</t>
        </is>
      </c>
      <c r="X1225" s="10" t="inlineStr">
        <is>
          <t>Scottie Go! Basic</t>
        </is>
      </c>
      <c r="Y1225" t="inlineStr">
        <is>
          <t>Scootie Go! Basic is an innovative game designed to teach programming to younger children. It develops using of pictograms to create algorithms, mathematical reasoning, teamwork. The game allows children to code without a computing device. It includes 2 cardboard overlays, 47 tokens to create quests, 3 wooden tokens to represent Scottie on the game board and a deck of action cards to modify quests on the game board. The tiles are compatible with the Sccotie Go! EDU app</t>
        </is>
      </c>
      <c r="Z1225" s="1" t="inlineStr">
        <is>
          <t>https://drive.google.com/uc?export=view&amp;id=1NKCYYOFUTViJyTZPcB0rre6WXOm6THFd</t>
        </is>
      </c>
      <c r="AA1225" s="1" t="inlineStr">
        <is>
          <t>Unverified</t>
        </is>
      </c>
      <c r="AB1225" s="1" t="n"/>
      <c r="AC1225" s="1" t="n"/>
      <c r="AD1225" s="10" t="n"/>
      <c r="AE1225" s="1" t="n"/>
      <c r="AF1225" s="1" t="inlineStr">
        <is>
          <t>Yes</t>
        </is>
      </c>
      <c r="AG1225" s="1" t="inlineStr">
        <is>
          <t>https://www.linkedin.com/company/becreo-technologies/mycompany/</t>
        </is>
      </c>
      <c r="AH1225" s="1" t="inlineStr">
        <is>
          <t>https://www.linkedin.com/company/becreo-technologies/mycompany/</t>
        </is>
      </c>
      <c r="AI1225" t="inlineStr">
        <is>
          <t>https://www.linkedin.com/company/becreo-technologies/mycompany/</t>
        </is>
      </c>
    </row>
    <row r="1226" ht="12.5" customHeight="1">
      <c r="A1226" s="6" t="n">
        <v>45181</v>
      </c>
      <c r="B1226" s="1" t="inlineStr">
        <is>
          <t>ORG_1210</t>
        </is>
      </c>
      <c r="C1226" s="1" t="b">
        <v>1</v>
      </c>
      <c r="D1226" s="1" t="inlineStr">
        <is>
          <t>Caira</t>
        </is>
      </c>
      <c r="E1226" s="10" t="inlineStr">
        <is>
          <t>https://caira.io/</t>
        </is>
      </c>
      <c r="F1226" t="inlineStr">
        <is>
          <t>caira.io</t>
        </is>
      </c>
      <c r="G1226" s="1" t="inlineStr">
        <is>
          <t>Caira is a marketplace of academic opportunities for students all around the world. We provide a platform for universities to expose and promote their courses and for students to know which of them fits their best. Right now exploring interaction areas in the metaverse and other new 3.0 student recruitment opportunities.</t>
        </is>
      </c>
      <c r="H1226" s="1" t="inlineStr">
        <is>
          <t>I'm not part of any EdTech association</t>
        </is>
      </c>
      <c r="I1226" s="1" t="n"/>
      <c r="J1226" s="1" t="inlineStr">
        <is>
          <t>Valencia</t>
        </is>
      </c>
      <c r="K1226" t="inlineStr">
        <is>
          <t>Valencia</t>
        </is>
      </c>
      <c r="L1226" t="inlineStr">
        <is>
          <t>Valencia, Spain</t>
        </is>
      </c>
      <c r="M1226" t="n">
        <v>39.6819591</v>
      </c>
      <c r="N1226" t="n">
        <v>-0.7654406</v>
      </c>
      <c r="O1226" s="1" t="inlineStr">
        <is>
          <t>Spain</t>
        </is>
      </c>
      <c r="P1226" s="1" t="inlineStr">
        <is>
          <t>Spain</t>
        </is>
      </c>
      <c r="Q1226" s="1" t="inlineStr">
        <is>
          <t>0 to 10</t>
        </is>
      </c>
      <c r="R1226" t="inlineStr">
        <is>
          <t>Micro</t>
        </is>
      </c>
      <c r="S1226" s="1" t="inlineStr">
        <is>
          <t>Business to Business</t>
        </is>
      </c>
      <c r="T1226" s="1" t="inlineStr">
        <is>
          <t>Higher Education, Corporate Training, Lifelong learning/Adult education</t>
        </is>
      </c>
      <c r="U1226" s="1" t="inlineStr">
        <is>
          <t>Student interfacing</t>
        </is>
      </c>
      <c r="V1226" s="1" t="n"/>
      <c r="W1226" s="1" t="inlineStr">
        <is>
          <t>https://drive.google.com/uc?export=view&amp;id=1sfr5Y0nH1hvxkczEjzC9mfGbtU-m5swr</t>
        </is>
      </c>
      <c r="X1226" s="1" t="inlineStr">
        <is>
          <t>https://drive.google.com/uc?export=view&amp;id=1sfr5Y0nH1hvxkczEjzC9mfGbtU-m5swr</t>
        </is>
      </c>
      <c r="Y1226" t="inlineStr">
        <is>
          <t>https://drive.google.com/uc?export=view&amp;id=1sfr5Y0nH1hvxkczEjzC9mfGbtU-m5swr</t>
        </is>
      </c>
      <c r="Z1226" s="1" t="inlineStr">
        <is>
          <t>https://drive.google.com/uc?export=view&amp;id=1sfr5Y0nH1hvxkczEjzC9mfGbtU-m5swr</t>
        </is>
      </c>
      <c r="AA1226" s="1" t="inlineStr">
        <is>
          <t>Unverified</t>
        </is>
      </c>
      <c r="AB1226" s="1" t="n"/>
      <c r="AC1226" s="1" t="n"/>
      <c r="AD1226" s="10" t="n"/>
      <c r="AE1226" s="1" t="n"/>
      <c r="AF1226" s="1" t="inlineStr">
        <is>
          <t>No</t>
        </is>
      </c>
      <c r="AG1226" s="1" t="n"/>
      <c r="AH1226" s="1" t="n"/>
    </row>
    <row r="1227" ht="12.5" customHeight="1">
      <c r="A1227" s="6" t="n">
        <v>45181</v>
      </c>
      <c r="B1227" s="1" t="inlineStr">
        <is>
          <t>ORG_1296</t>
        </is>
      </c>
      <c r="C1227" s="1" t="b">
        <v>1</v>
      </c>
      <c r="D1227" s="1" t="inlineStr">
        <is>
          <t>Coorpacademy by Go1</t>
        </is>
      </c>
      <c r="E1227" s="10" t="inlineStr">
        <is>
          <t>https://www.coorpacademy.com/</t>
        </is>
      </c>
      <c r="F1227" t="inlineStr">
        <is>
          <t>coorpacademy.com</t>
        </is>
      </c>
      <c r="G1227" s="1" t="inlineStr">
        <is>
          <t>Coorpacademy is a European leading Edtech startup in Digital Learning. Our mission is revolutionising online corporate training with a platform and a Smart Content Library that integrates the latest innovations in instructional design, including gamification, microlearning, adaptive and social learning. We promise a more fun, flexible and collaborative learning experience, focused on the learner. Based in Paris and in Lausanne at the Swiss EdTech Collider of the Swiss Federal Institute of Technology (EPFL), we are at the heart of research on new learning methods.
Coorpacademy offers tailor-made content for its Enterprise customers and their 1,000,000 employees, but also a catalogue of over 1,800 courses produced with top industry content partners like Forbes, IBM, Wolters Kluwer and Video Arts to upskill employees on Future of Work topics and develop their employability.
#Enjoy Learning.</t>
        </is>
      </c>
      <c r="H1227" s="1" t="inlineStr">
        <is>
          <t>EdTech France, Swiss EdTech Collider</t>
        </is>
      </c>
      <c r="I1227" s="1" t="n"/>
      <c r="J1227" s="1" t="inlineStr">
        <is>
          <t>Paris</t>
        </is>
      </c>
      <c r="K1227" t="inlineStr">
        <is>
          <t>Paris</t>
        </is>
      </c>
      <c r="L1227" t="inlineStr">
        <is>
          <t>Paris, France</t>
        </is>
      </c>
      <c r="M1227" t="n">
        <v>48.8534951</v>
      </c>
      <c r="N1227" t="n">
        <v>2.3483915</v>
      </c>
      <c r="O1227" s="1" t="inlineStr">
        <is>
          <t>France</t>
        </is>
      </c>
      <c r="P1227" s="1" t="inlineStr">
        <is>
          <t>Austria, Finland, France, Germany, Italy, Netherlands, Poland, Spain, Switzerland, United Kingdom</t>
        </is>
      </c>
      <c r="Q1227" s="1" t="inlineStr">
        <is>
          <t>51 to 100</t>
        </is>
      </c>
      <c r="R1227" t="inlineStr">
        <is>
          <t>Medium</t>
        </is>
      </c>
      <c r="S1227" s="1" t="inlineStr">
        <is>
          <t>Business to Business</t>
        </is>
      </c>
      <c r="T1227" s="1" t="inlineStr">
        <is>
          <t>Corporate Training, Lifelong learning/Adult education</t>
        </is>
      </c>
      <c r="U1227" s="1" t="inlineStr">
        <is>
          <t>System/Administrative</t>
        </is>
      </c>
      <c r="V1227" s="1" t="inlineStr">
        <is>
          <t>Coorpacademy by Go1</t>
        </is>
      </c>
      <c r="W1227" s="1" t="inlineStr">
        <is>
          <t>Coorpacademy by Go1 offers an innovating Digital Learning solution to companies, focused on learner’s engagement. Coorpacademy is a user-centric digital learning solution which integrates the latest innovations in online education. You can access all our courses on any device, wherever and whenever you want.
Our online training platform provides personalized recommendations and a Smart Content Library that integrates the latest innovations in instructional design, including gamification, microlearning, adaptive and social learning. 
Our catalog features over 1800 premium courses created by a team of instructional engineers or training partners and MOOC designers. In order to engage learners, our courses are designed through reversed pedagogy: we start by asking the learner questions, in the form of a quiz. Then they can access the correction, which includes a short course video so that learners can learn what they don’t already know !</t>
        </is>
      </c>
      <c r="X1227" s="1" t="inlineStr">
        <is>
          <t>https://drive.google.com/uc?export=view&amp;id=1U7quaYZAC0Qu15iU_FwQd7QtjocSjYli</t>
        </is>
      </c>
      <c r="Y1227" t="inlineStr">
        <is>
          <t>https://drive.google.com/uc?export=view&amp;id=1U7quaYZAC0Qu15iU_FwQd7QtjocSjYli</t>
        </is>
      </c>
      <c r="Z1227" s="1" t="inlineStr">
        <is>
          <t>https://drive.google.com/uc?export=view&amp;id=1U7quaYZAC0Qu15iU_FwQd7QtjocSjYli</t>
        </is>
      </c>
      <c r="AA1227" s="1" t="inlineStr">
        <is>
          <t>Unverified</t>
        </is>
      </c>
      <c r="AB1227" s="1" t="n"/>
      <c r="AC1227" s="1" t="n"/>
      <c r="AD1227" s="10" t="n"/>
      <c r="AE1227" s="1" t="n"/>
      <c r="AF1227" s="1" t="inlineStr">
        <is>
          <t>Yes</t>
        </is>
      </c>
      <c r="AG1227" s="1" t="inlineStr">
        <is>
          <t>Coorpacademy</t>
        </is>
      </c>
      <c r="AH1227" s="1" t="inlineStr">
        <is>
          <t>Coorpacademy</t>
        </is>
      </c>
      <c r="AI1227" t="inlineStr">
        <is>
          <t>Coorpacademy by Go1</t>
        </is>
      </c>
    </row>
    <row r="1228" ht="12.5" customHeight="1">
      <c r="A1228" s="6" t="n">
        <v>45181</v>
      </c>
      <c r="B1228" s="1" t="inlineStr">
        <is>
          <t>ORG_1332</t>
        </is>
      </c>
      <c r="C1228" s="1" t="b">
        <v>1</v>
      </c>
      <c r="D1228" s="1" t="inlineStr">
        <is>
          <t>DCCS</t>
        </is>
      </c>
      <c r="E1228" s="10" t="inlineStr">
        <is>
          <t>https://dccs-edu.at/</t>
        </is>
      </c>
      <c r="F1228" t="inlineStr">
        <is>
          <t>dccs-edu.at</t>
        </is>
      </c>
      <c r="G1228" s="1" t="inlineStr">
        <is>
          <t>DCCS IT solutions are tailored to the specific needs of educational institutions and take into account the pedagogical and organizational requirements of the everyday school life.
We accompany schools in every step of the way - from the concept to the implementation and to the every day support.</t>
        </is>
      </c>
      <c r="H1228" s="1" t="inlineStr">
        <is>
          <t>EdTech Austria</t>
        </is>
      </c>
      <c r="I1228" s="1" t="n"/>
      <c r="J1228" s="1" t="inlineStr">
        <is>
          <t>Graz</t>
        </is>
      </c>
      <c r="K1228" t="inlineStr">
        <is>
          <t>Graz</t>
        </is>
      </c>
      <c r="L1228" t="inlineStr">
        <is>
          <t>Graz, Austria</t>
        </is>
      </c>
      <c r="M1228" t="n">
        <v>47.0708678</v>
      </c>
      <c r="N1228" t="n">
        <v>15.4382786</v>
      </c>
      <c r="O1228" s="1" t="inlineStr">
        <is>
          <t>Austria</t>
        </is>
      </c>
      <c r="P1228" s="1" t="inlineStr">
        <is>
          <t>Austria</t>
        </is>
      </c>
      <c r="Q1228" s="1" t="inlineStr">
        <is>
          <t>100+</t>
        </is>
      </c>
      <c r="R1228" t="inlineStr">
        <is>
          <t>Medium or Large (unspecified)</t>
        </is>
      </c>
      <c r="S1228" s="1" t="inlineStr">
        <is>
          <t>Business to Business</t>
        </is>
      </c>
      <c r="T1228" s="1" t="inlineStr">
        <is>
          <t>Early childhood development (0-5 years), Primary Education, Secondary Education, Higher Education, Corporate Training</t>
        </is>
      </c>
      <c r="U1228" s="1" t="inlineStr">
        <is>
          <t>Student interfacing, Teacher interfacing, System/Administrative</t>
        </is>
      </c>
      <c r="V1228" s="1" t="n"/>
      <c r="W1228" s="1" t="inlineStr">
        <is>
          <t>https://drive.google.com/uc?export=view&amp;id=1BPQztl38z9iZDNXwiQiL_pFQhtSWKzX2</t>
        </is>
      </c>
      <c r="X1228" s="1" t="inlineStr">
        <is>
          <t>https://drive.google.com/uc?export=view&amp;id=1BPQztl38z9iZDNXwiQiL_pFQhtSWKzX2</t>
        </is>
      </c>
      <c r="Y1228" t="inlineStr">
        <is>
          <t>https://drive.google.com/uc?export=view&amp;id=1BPQztl38z9iZDNXwiQiL_pFQhtSWKzX2</t>
        </is>
      </c>
      <c r="Z1228" s="1" t="inlineStr">
        <is>
          <t>https://drive.google.com/uc?export=view&amp;id=1BPQztl38z9iZDNXwiQiL_pFQhtSWKzX2</t>
        </is>
      </c>
      <c r="AA1228" s="1" t="inlineStr">
        <is>
          <t>Unverified</t>
        </is>
      </c>
      <c r="AB1228" s="1" t="n"/>
      <c r="AC1228" s="1" t="n"/>
      <c r="AD1228" s="10" t="n"/>
      <c r="AE1228" s="1" t="n"/>
      <c r="AF1228" s="1" t="inlineStr">
        <is>
          <t>No</t>
        </is>
      </c>
      <c r="AG1228" s="1" t="n"/>
      <c r="AH1228" s="1" t="n"/>
    </row>
    <row r="1229" ht="12.5" customHeight="1">
      <c r="A1229" s="6" t="n">
        <v>45181</v>
      </c>
      <c r="B1229" s="1" t="inlineStr">
        <is>
          <t>ORG_1385</t>
        </is>
      </c>
      <c r="C1229" s="1" t="b">
        <v>1</v>
      </c>
      <c r="D1229" s="1" t="inlineStr">
        <is>
          <t>Dugga Assessment</t>
        </is>
      </c>
      <c r="E1229" s="10" t="inlineStr">
        <is>
          <t>www.dugga.com</t>
        </is>
      </c>
      <c r="F1229" t="inlineStr">
        <is>
          <t>dugga.com</t>
        </is>
      </c>
      <c r="G1229" s="1" t="inlineStr">
        <is>
          <t>The all-in-one assessment platform for teacher heroes
Exams Tests Quizzes Assignments
Save time and avoid stress with all types of assessment! Create, schedule and grade exams seamlessly in one place. With Dugga schools can provide equal opportunities with assessment which is crucial for each student’s learning process.
“We believe that we can dramatically improve quality in learning with digital assessment“
No one’s grade should be based on one’s gender, last name, skin colour or in-class behaviour.</t>
        </is>
      </c>
      <c r="H1229" s="1" t="inlineStr">
        <is>
          <t>Swedish EdTech Industry, SuperCharger Ventures</t>
        </is>
      </c>
      <c r="I1229" s="1" t="n"/>
      <c r="J1229" s="1" t="inlineStr">
        <is>
          <t>Stockholm</t>
        </is>
      </c>
      <c r="K1229" t="inlineStr">
        <is>
          <t>Stockholm</t>
        </is>
      </c>
      <c r="L1229" t="inlineStr">
        <is>
          <t>Stockholm, Sweden</t>
        </is>
      </c>
      <c r="M1229" t="n">
        <v>59.3251172</v>
      </c>
      <c r="N1229" t="n">
        <v>18.0710935</v>
      </c>
      <c r="O1229" s="1" t="inlineStr">
        <is>
          <t>Sweden</t>
        </is>
      </c>
      <c r="P1229" s="1" t="inlineStr">
        <is>
          <t>Austria, Belgium, Cyprus, Denmark, France, Germany, Greece, Iceland, Ireland, Italy, Luxembourg, Malta, Netherlands, Norway, Portugal, Spain, Sweden, Switzerland, Turkey, Ukraine, United Kingdom</t>
        </is>
      </c>
      <c r="Q1229" s="1" t="inlineStr">
        <is>
          <t>11 to 50</t>
        </is>
      </c>
      <c r="R1229" t="inlineStr">
        <is>
          <t>Small</t>
        </is>
      </c>
      <c r="S1229" s="1" t="inlineStr">
        <is>
          <t>Business to Business</t>
        </is>
      </c>
      <c r="T1229" s="1" t="inlineStr">
        <is>
          <t>Early childhood development (0-5 years), Primary Education, Secondary Education, Higher Education, Corporate Training, Lifelong learning/Adult education</t>
        </is>
      </c>
      <c r="U1229" s="1" t="inlineStr">
        <is>
          <t>Student interfacing, Teacher interfacing, System/Administrative</t>
        </is>
      </c>
      <c r="V1229" s="10" t="inlineStr">
        <is>
          <t>Dugga Teacher Hero</t>
        </is>
      </c>
      <c r="W1229" s="10" t="inlineStr">
        <is>
          <t>Teacher license for all types of digital tests, exams, quizzes and assignments.</t>
        </is>
      </c>
      <c r="X1229" s="10" t="inlineStr">
        <is>
          <t>Dugga School Pro</t>
        </is>
      </c>
      <c r="Y1229" t="inlineStr">
        <is>
          <t>School license for teachers, students and admins.</t>
        </is>
      </c>
      <c r="Z1229" s="1" t="inlineStr">
        <is>
          <t>https://drive.google.com/uc?export=view&amp;id=1iiJjMEiwVXUY8LML9w64_PunY1O48wnu</t>
        </is>
      </c>
      <c r="AA1229" s="1" t="inlineStr">
        <is>
          <t>Unverified</t>
        </is>
      </c>
      <c r="AB1229" s="1" t="n"/>
      <c r="AC1229" s="1" t="n"/>
      <c r="AD1229" s="10" t="n"/>
      <c r="AE1229" s="1" t="n"/>
      <c r="AF1229" s="1" t="inlineStr">
        <is>
          <t>Yes</t>
        </is>
      </c>
      <c r="AG1229" s="1" t="inlineStr">
        <is>
          <t>https://www.instagram.com/dugga.assessment/</t>
        </is>
      </c>
      <c r="AH1229" s="1" t="inlineStr">
        <is>
          <t>https://twitter.com/DuggaAssessment</t>
        </is>
      </c>
      <c r="AI1229" t="inlineStr">
        <is>
          <t>https://www.linkedin.com/company/dugga-assessment/</t>
        </is>
      </c>
    </row>
    <row r="1230" ht="12.5" customHeight="1">
      <c r="A1230" s="6" t="n">
        <v>45181</v>
      </c>
      <c r="B1230" s="1" t="inlineStr">
        <is>
          <t>ORG_1453</t>
        </is>
      </c>
      <c r="C1230" s="1" t="b">
        <v>1</v>
      </c>
      <c r="D1230" s="1" t="inlineStr">
        <is>
          <t>EDUNAO</t>
        </is>
      </c>
      <c r="E1230" s="10" t="inlineStr">
        <is>
          <t>www.edunao.com</t>
        </is>
      </c>
      <c r="F1230" t="inlineStr">
        <is>
          <t>edunao.com</t>
        </is>
      </c>
      <c r="G1230" s="1" t="inlineStr">
        <is>
          <t>Edunao offers simple &amp; comprehensive Internet learning platforms to build an online training offer. Edunao’s solutions are developed in open source, in order to offer technologies at the best price. Edunao has set up several hundred e-learning platforms for academic institutions, hundreds of LMS platforms for training centers. Platforms are fully open-source (Moodle-based) and offer hands-free administration</t>
        </is>
      </c>
      <c r="H1230" s="1" t="inlineStr">
        <is>
          <t>AFINEF, EdTech France</t>
        </is>
      </c>
      <c r="I1230" s="1" t="n"/>
      <c r="J1230" s="1" t="inlineStr">
        <is>
          <t>Paris</t>
        </is>
      </c>
      <c r="K1230" t="inlineStr">
        <is>
          <t>Paris</t>
        </is>
      </c>
      <c r="L1230" t="inlineStr">
        <is>
          <t>Paris, France</t>
        </is>
      </c>
      <c r="M1230" t="n">
        <v>48.8534951</v>
      </c>
      <c r="N1230" t="n">
        <v>2.3483915</v>
      </c>
      <c r="O1230" s="1" t="inlineStr">
        <is>
          <t>France</t>
        </is>
      </c>
      <c r="P1230" s="1" t="inlineStr">
        <is>
          <t>Austria, Belgium, Bulgaria, Croatia, Czechia, Denmark, Finland, France, Germany, Greece, Hungary, Iceland, Ireland, Italy, Liechtenstein, Luxembourg, Moldova, Monaco, Netherlands, Norway, Poland, Portugal, Romania, Slovenia, Spain, Sweden, Switzerland, Turkey, United Kingdom</t>
        </is>
      </c>
      <c r="Q1230" s="1" t="inlineStr">
        <is>
          <t>11 to 50</t>
        </is>
      </c>
      <c r="R1230" t="inlineStr">
        <is>
          <t>Small</t>
        </is>
      </c>
      <c r="S1230" s="1" t="inlineStr">
        <is>
          <t>Business to Business</t>
        </is>
      </c>
      <c r="T1230" s="1" t="inlineStr">
        <is>
          <t>Early childhood development (0-5 years), Primary Education, Secondary Education, Higher Education, Corporate Training, Lifelong learning/Adult education</t>
        </is>
      </c>
      <c r="U1230" s="1" t="inlineStr">
        <is>
          <t>Student interfacing, Teacher interfacing, System/Administrative</t>
        </is>
      </c>
      <c r="V1230" s="1" t="inlineStr">
        <is>
          <t>Lilicampus</t>
        </is>
      </c>
      <c r="W1230" s="10" t="inlineStr">
        <is>
          <t>Lilicampus is a packaged, simple to use, off-the-shelf Moodle-based Learning Management System.
Lilicampus is the easiest Moodle-based online Teaching &amp; Learning Solution!
Edunao offers ready-to-use Learning Management Systems, based on Moodle, the world leading open source solution!
With Edunao, you get a packaged, secured, hosted and supported version of Moodle. Designed by to the best Moodle team, you are also provided exceptional Moodle Support &amp; Assistance Services.</t>
        </is>
      </c>
      <c r="X1230" s="10" t="inlineStr">
        <is>
          <t>Neocampus</t>
        </is>
      </c>
      <c r="Y1230" t="inlineStr">
        <is>
          <t>Moodle lms teaching learning training, easily manage your teaching and learning in your organization, end-to-end.
Edunao offers ready-to-use Learning Management Systems, based on Moodle, the world leading open source solution!
With Edunao, you get a packaged, secured, hosted and supported version of Moodle. Designed by to the best Moodle team, you are also provided exceptional Moodle Support &amp; Assistance Services.</t>
        </is>
      </c>
      <c r="Z1230" s="1" t="inlineStr">
        <is>
          <t>https://drive.google.com/uc?export=view&amp;id=1Go2AHjjJOHYhHuD2bi6SEWNk95FRiJ0X</t>
        </is>
      </c>
      <c r="AA1230" s="1" t="inlineStr">
        <is>
          <t>Unverified</t>
        </is>
      </c>
      <c r="AB1230" s="1" t="n"/>
      <c r="AC1230" s="1" t="n"/>
      <c r="AD1230" s="10" t="n"/>
      <c r="AE1230" s="1" t="n"/>
      <c r="AF1230" s="1" t="inlineStr">
        <is>
          <t>Yes</t>
        </is>
      </c>
      <c r="AG1230" s="1" t="inlineStr">
        <is>
          <t>https://twitter.com/edunao?lang=fr</t>
        </is>
      </c>
      <c r="AH1230" s="1" t="inlineStr">
        <is>
          <t>https://twitter.com/edunao?lang=fr</t>
        </is>
      </c>
      <c r="AI1230" t="inlineStr">
        <is>
          <t>https://fr.linkedin.com/company/edunao</t>
        </is>
      </c>
    </row>
    <row r="1231" ht="12.5" customHeight="1">
      <c r="A1231" s="6" t="n">
        <v>45181</v>
      </c>
      <c r="B1231" s="1" t="inlineStr">
        <is>
          <t>ORG_1491</t>
        </is>
      </c>
      <c r="C1231" s="1" t="b">
        <v>1</v>
      </c>
      <c r="D1231" s="1" t="inlineStr">
        <is>
          <t>Empowerment Lab</t>
        </is>
      </c>
      <c r="E1231" s="10" t="inlineStr">
        <is>
          <t>https://emplab.org/</t>
        </is>
      </c>
      <c r="F1231" t="inlineStr">
        <is>
          <t>emplab.org</t>
        </is>
      </c>
      <c r="G1231" s="1" t="inlineStr">
        <is>
          <t>Empowerment Lab - a proven platform that uses the combination of proprietary personality profiling and data science to transform the lives of girls aged 11-18 — through digital education and empowerment (DEE).</t>
        </is>
      </c>
      <c r="H1231" s="1" t="inlineStr">
        <is>
          <t>EdTech Estonia, SuperCharger Ventures, Swiss EdTech Collider</t>
        </is>
      </c>
      <c r="I1231" s="1" t="n"/>
      <c r="J1231" s="1" t="inlineStr">
        <is>
          <t>Geneva</t>
        </is>
      </c>
      <c r="K1231" t="inlineStr">
        <is>
          <t>Geneva</t>
        </is>
      </c>
      <c r="L1231" t="inlineStr">
        <is>
          <t>Geneva, Switzerland</t>
        </is>
      </c>
      <c r="M1231" t="n">
        <v>46.2017559</v>
      </c>
      <c r="N1231" t="n">
        <v>6.1466014</v>
      </c>
      <c r="O1231" s="1" t="inlineStr">
        <is>
          <t>Switzerland</t>
        </is>
      </c>
      <c r="P1231" s="1" t="inlineStr">
        <is>
          <t>Estonia, France, Switzerland, Ukraine, United Kingdom</t>
        </is>
      </c>
      <c r="Q1231" s="1" t="inlineStr">
        <is>
          <t>0 to 10</t>
        </is>
      </c>
      <c r="R1231" t="inlineStr">
        <is>
          <t>Micro</t>
        </is>
      </c>
      <c r="S1231" s="1" t="inlineStr">
        <is>
          <t>Business to Business</t>
        </is>
      </c>
      <c r="T1231" s="1" t="inlineStr">
        <is>
          <t>Primary Education, Secondary Education</t>
        </is>
      </c>
      <c r="U1231" s="1" t="inlineStr">
        <is>
          <t>Student interfacing</t>
        </is>
      </c>
      <c r="V1231" s="10" t="inlineStr">
        <is>
          <t>Educational Content</t>
        </is>
      </c>
      <c r="W1231" s="1" t="inlineStr">
        <is>
          <t>Our platform offers virtual online courses in computer science and creative technology.</t>
        </is>
      </c>
      <c r="X1231" s="10" t="inlineStr">
        <is>
          <t>Career Test</t>
        </is>
      </c>
      <c r="Y1231" t="inlineStr">
        <is>
          <t>We use personality profiling and data science to match students with the best digital education courses.</t>
        </is>
      </c>
      <c r="Z1231" s="1" t="inlineStr">
        <is>
          <t>https://drive.google.com/uc?export=view&amp;id=1MjHUoQVGgMvy84uk35oI_tHrWkiRZFnG</t>
        </is>
      </c>
      <c r="AA1231" s="1" t="inlineStr">
        <is>
          <t>Unverified</t>
        </is>
      </c>
      <c r="AB1231" s="1" t="n"/>
      <c r="AC1231" s="1" t="n"/>
      <c r="AD1231" s="10" t="n"/>
      <c r="AE1231" s="1" t="n"/>
      <c r="AF1231" t="inlineStr">
        <is>
          <t>Yes</t>
        </is>
      </c>
      <c r="AG1231" t="inlineStr">
        <is>
          <t>https://www.instagram.com/accounts/login/?next=/empowermentlab/</t>
        </is>
      </c>
      <c r="AH1231" t="inlineStr">
        <is>
          <t>https://www.linkedin.com/company/28668673/admin/</t>
        </is>
      </c>
      <c r="AI1231" t="inlineStr">
        <is>
          <t>https://www.linkedin.com/company/28668673/admin/</t>
        </is>
      </c>
    </row>
    <row r="1232" ht="12.5" customHeight="1">
      <c r="A1232" s="6" t="n">
        <v>45181</v>
      </c>
      <c r="B1232" s="1" t="inlineStr">
        <is>
          <t>ORG_1558</t>
        </is>
      </c>
      <c r="C1232" s="1" t="b">
        <v>1</v>
      </c>
      <c r="D1232" s="1" t="inlineStr">
        <is>
          <t>Feed Their Minds</t>
        </is>
      </c>
      <c r="E1232" s="10" t="inlineStr">
        <is>
          <t>www.feedtheirminds.com</t>
        </is>
      </c>
      <c r="F1232" t="inlineStr">
        <is>
          <t>feedtheirminds.com</t>
        </is>
      </c>
      <c r="G1232" s="1" t="inlineStr">
        <is>
          <t>Feed Their Minds is the ICT company that aims to develop everyone's potential. The experience gained with gifted children has led us to value divergent thinking, through the training of teachers and parents and the creation of ICT games and solutions for children that involve them both in the family and at school.</t>
        </is>
      </c>
      <c r="H1232" s="1" t="inlineStr">
        <is>
          <t>EdTech Italia</t>
        </is>
      </c>
      <c r="I1232" s="1" t="n"/>
      <c r="J1232" s="1" t="inlineStr">
        <is>
          <t>Daverio</t>
        </is>
      </c>
      <c r="K1232" t="inlineStr">
        <is>
          <t>Daverio</t>
        </is>
      </c>
      <c r="L1232" t="inlineStr">
        <is>
          <t>Daverio, Italy</t>
        </is>
      </c>
      <c r="M1232" t="n">
        <v>45.7784026</v>
      </c>
      <c r="N1232" t="n">
        <v>8.7718279</v>
      </c>
      <c r="O1232" s="1" t="inlineStr">
        <is>
          <t>Italy</t>
        </is>
      </c>
      <c r="P1232" s="1" t="inlineStr">
        <is>
          <t>Italy</t>
        </is>
      </c>
      <c r="Q1232" s="1" t="inlineStr">
        <is>
          <t>0 to 10</t>
        </is>
      </c>
      <c r="R1232" t="inlineStr">
        <is>
          <t>Micro</t>
        </is>
      </c>
      <c r="S1232" s="1" t="inlineStr">
        <is>
          <t>Business to Business</t>
        </is>
      </c>
      <c r="T1232" s="1" t="inlineStr">
        <is>
          <t>Early childhood development (0-5 years), Primary Education, Lifelong learning/Adult education</t>
        </is>
      </c>
      <c r="U1232" s="1" t="inlineStr">
        <is>
          <t>System/Administrative, Student interfacing, Teacher interfacing</t>
        </is>
      </c>
      <c r="V1232" s="10" t="inlineStr">
        <is>
          <t>Feed Their Minds Screening</t>
        </is>
      </c>
      <c r="W1232" s="1" t="inlineStr">
        <is>
          <t>Screening for gifted children at school and at home. It is based on 36 question destinated to parents and teachers. It is based on studies made by Labtalento Pavia University</t>
        </is>
      </c>
      <c r="X1232" s="10" t="inlineStr">
        <is>
          <t>Feed Their Minds training</t>
        </is>
      </c>
      <c r="Y1232" t="inlineStr">
        <is>
          <t>We also offer training for parents and teachers about giftedness and about divergent thinking development. This training is distributed by our partners Rizzoli and Mondadori education and it has the certification of Italian Ministery of Instruction</t>
        </is>
      </c>
      <c r="Z1232" s="1" t="inlineStr">
        <is>
          <t>https://drive.google.com/uc?export=view&amp;id=19nE234U2T_wjywyQ42JQkTheNgpTpvsX</t>
        </is>
      </c>
      <c r="AA1232" s="1" t="inlineStr">
        <is>
          <t>Unverified</t>
        </is>
      </c>
      <c r="AB1232" s="1" t="n"/>
      <c r="AC1232" s="1" t="n"/>
      <c r="AD1232" s="10" t="n"/>
      <c r="AE1232" s="1" t="n"/>
      <c r="AF1232" s="1" t="inlineStr">
        <is>
          <t>Yes</t>
        </is>
      </c>
      <c r="AG1232" s="1" t="inlineStr">
        <is>
          <t>https://www.instagram.com/feed_their_minds/</t>
        </is>
      </c>
      <c r="AH1232" s="1" t="inlineStr">
        <is>
          <t>Lombardia</t>
        </is>
      </c>
      <c r="AI1232" t="inlineStr">
        <is>
          <t>https://www.linkedin.com/company/72175751/admin/</t>
        </is>
      </c>
    </row>
    <row r="1233" ht="12.5" customHeight="1">
      <c r="A1233" s="6" t="n">
        <v>45181</v>
      </c>
      <c r="B1233" s="1" t="inlineStr">
        <is>
          <t>ORG_1608</t>
        </is>
      </c>
      <c r="C1233" s="1" t="b">
        <v>1</v>
      </c>
      <c r="D1233" s="1" t="inlineStr">
        <is>
          <t>GAPSMOOV</t>
        </is>
      </c>
      <c r="E1233" s="10" t="inlineStr">
        <is>
          <t>https://www.gapsmoov.com/en/</t>
        </is>
      </c>
      <c r="F1233" t="inlineStr">
        <is>
          <t>gapsmoov.com/en</t>
        </is>
      </c>
      <c r="G1233" s="1" t="inlineStr">
        <is>
          <t>Gapsmoov is the inventor of the "culture decoder": a digital learning platform in cross-cultural communication and management.
By using micro-learning modules, impactful videos and virtual classes, Gapsmoov helps its users to decode the cultural behavior of their foreign partners, for improved efficiency in their projects:
“Socialize with French people”, « Negotiate with the Chinese »,
“Have a successful meeting with Americans”, “Give a presentation to Indians”, etc... 
...in total, over 90 situations enabling you to learn and understand, in a fun and interactive way, to gain in effectiveness in an international environment. 
Watch demo video: https://www.gapsmoov.com/en/our-solutions/</t>
        </is>
      </c>
      <c r="H1233" s="1" t="inlineStr">
        <is>
          <t>I'm not part of any EdTech association</t>
        </is>
      </c>
      <c r="I1233" s="1" t="n"/>
      <c r="J1233" s="1" t="inlineStr">
        <is>
          <t>Lyon</t>
        </is>
      </c>
      <c r="K1233" t="inlineStr">
        <is>
          <t>Lyon</t>
        </is>
      </c>
      <c r="L1233" t="inlineStr">
        <is>
          <t>Lyon, France</t>
        </is>
      </c>
      <c r="M1233" t="n">
        <v>45.7578137</v>
      </c>
      <c r="N1233" t="n">
        <v>4.8320114</v>
      </c>
      <c r="O1233" s="1" t="inlineStr">
        <is>
          <t>France</t>
        </is>
      </c>
      <c r="P1233" s="1" t="inlineStr">
        <is>
          <t>France, Germany, Luxembourg</t>
        </is>
      </c>
      <c r="Q1233" s="1" t="inlineStr">
        <is>
          <t>0 to 10</t>
        </is>
      </c>
      <c r="R1233" t="inlineStr">
        <is>
          <t>Micro</t>
        </is>
      </c>
      <c r="S1233" s="1" t="inlineStr">
        <is>
          <t>Business to Business, Business to Consumer</t>
        </is>
      </c>
      <c r="T1233" s="1" t="inlineStr">
        <is>
          <t>Higher Education, Corporate Training</t>
        </is>
      </c>
      <c r="U1233" s="1" t="inlineStr">
        <is>
          <t>Student interfacing, Teacher interfacing, System/Administrative</t>
        </is>
      </c>
      <c r="V1233" s="1" t="n"/>
      <c r="W1233" s="1" t="inlineStr">
        <is>
          <t>https://drive.google.com/uc?export=view&amp;id=1kIND2YSP2zKwNi_tdbuFkZV3fzbxXXa0</t>
        </is>
      </c>
      <c r="X1233" s="1" t="inlineStr">
        <is>
          <t>https://drive.google.com/uc?export=view&amp;id=1kIND2YSP2zKwNi_tdbuFkZV3fzbxXXa0</t>
        </is>
      </c>
      <c r="Y1233" t="inlineStr">
        <is>
          <t>https://drive.google.com/uc?export=view&amp;id=1kIND2YSP2zKwNi_tdbuFkZV3fzbxXXa0</t>
        </is>
      </c>
      <c r="Z1233" s="1" t="inlineStr">
        <is>
          <t>https://drive.google.com/uc?export=view&amp;id=1kIND2YSP2zKwNi_tdbuFkZV3fzbxXXa0</t>
        </is>
      </c>
      <c r="AA1233" s="1" t="inlineStr">
        <is>
          <t>Unverified</t>
        </is>
      </c>
      <c r="AB1233" s="1" t="n"/>
      <c r="AC1233" s="1" t="n"/>
      <c r="AD1233" s="10" t="n"/>
      <c r="AE1233" s="1" t="n"/>
      <c r="AF1233" t="inlineStr">
        <is>
          <t>No</t>
        </is>
      </c>
    </row>
    <row r="1234" ht="12.5" customHeight="1">
      <c r="A1234" s="6" t="n">
        <v>45181</v>
      </c>
      <c r="B1234" s="1" t="inlineStr">
        <is>
          <t>ORG_1684</t>
        </is>
      </c>
      <c r="C1234" s="1" t="b">
        <v>1</v>
      </c>
      <c r="D1234" s="1" t="inlineStr">
        <is>
          <t>House of Education</t>
        </is>
      </c>
      <c r="E1234" s="10" t="inlineStr">
        <is>
          <t>https://www.houseofeducation.com/</t>
        </is>
      </c>
      <c r="F1234" t="inlineStr">
        <is>
          <t>houseofeducation.com</t>
        </is>
      </c>
      <c r="G1234" s="1" t="inlineStr">
        <is>
          <t>Data-driven marketing is the foundation of today’s advertising strategies. It’s a requirement to deliver the personalized experience prospective students are demanding. Our marketing and data-capture tool, the Digital Advisor, gives prospective students an accurate, unbiased assessment on their match with a school or programme whilst collecting rich data. This data helps universities identify and tailor their communication to those students who will not only convert and apply, but ultimately enroll. We also offer lead nurturing and outreach strategy assistance. House of Education is a Swedish company with 15 employees from 10+ nationalities.</t>
        </is>
      </c>
      <c r="H1234" s="1" t="inlineStr">
        <is>
          <t>I'm not part of any EdTech association</t>
        </is>
      </c>
      <c r="I1234" s="1" t="n"/>
      <c r="J1234" s="1" t="inlineStr">
        <is>
          <t>Stockholm</t>
        </is>
      </c>
      <c r="K1234" t="inlineStr">
        <is>
          <t>Stockholm</t>
        </is>
      </c>
      <c r="L1234" t="inlineStr">
        <is>
          <t>Stockholm, Sweden</t>
        </is>
      </c>
      <c r="M1234" t="n">
        <v>59.3251172</v>
      </c>
      <c r="N1234" t="n">
        <v>18.0710935</v>
      </c>
      <c r="O1234" s="1" t="inlineStr">
        <is>
          <t>Sweden</t>
        </is>
      </c>
      <c r="P1234" s="1" t="inlineStr">
        <is>
          <t>Cyprus, France, Germany, Italy, Netherlands, Spain, Sweden, Switzerland, United Kingdom</t>
        </is>
      </c>
      <c r="Q1234" s="1" t="inlineStr">
        <is>
          <t>11 to 50</t>
        </is>
      </c>
      <c r="R1234" t="inlineStr">
        <is>
          <t>Small</t>
        </is>
      </c>
      <c r="S1234" s="1" t="inlineStr">
        <is>
          <t>Business to Business, Business to Consumer, Business to Government, Business to Schools</t>
        </is>
      </c>
      <c r="T1234" s="1" t="inlineStr">
        <is>
          <t>Higher Education, Corporate Training</t>
        </is>
      </c>
      <c r="U1234" s="1" t="inlineStr">
        <is>
          <t>Student interfacing</t>
        </is>
      </c>
      <c r="V1234" s="1" t="n"/>
      <c r="W1234" s="1" t="inlineStr">
        <is>
          <t>https://drive.google.com/uc?export=view&amp;id=1yBF636V4XR0ryJTh_wCVUWRVPOiwBBJR</t>
        </is>
      </c>
      <c r="X1234" s="1" t="inlineStr">
        <is>
          <t>https://drive.google.com/uc?export=view&amp;id=1yBF636V4XR0ryJTh_wCVUWRVPOiwBBJR</t>
        </is>
      </c>
      <c r="Y1234" t="inlineStr">
        <is>
          <t>https://drive.google.com/uc?export=view&amp;id=1yBF636V4XR0ryJTh_wCVUWRVPOiwBBJR</t>
        </is>
      </c>
      <c r="Z1234" s="1" t="inlineStr">
        <is>
          <t>https://drive.google.com/uc?export=view&amp;id=1yBF636V4XR0ryJTh_wCVUWRVPOiwBBJR</t>
        </is>
      </c>
      <c r="AA1234" s="1" t="inlineStr">
        <is>
          <t>Unverified</t>
        </is>
      </c>
      <c r="AB1234" s="1" t="n"/>
      <c r="AC1234" s="1" t="n"/>
      <c r="AD1234" s="10" t="n"/>
      <c r="AE1234" s="1" t="n"/>
      <c r="AF1234" s="1" t="inlineStr">
        <is>
          <t>No</t>
        </is>
      </c>
      <c r="AG1234" s="1" t="n"/>
      <c r="AH1234" s="1" t="n"/>
      <c r="AI1234" s="1" t="n"/>
      <c r="AJ1234" s="1" t="n"/>
    </row>
    <row r="1235" ht="12.5" customHeight="1">
      <c r="A1235" s="6" t="n">
        <v>45181</v>
      </c>
      <c r="B1235" s="1" t="inlineStr">
        <is>
          <t>ORG_1852</t>
        </is>
      </c>
      <c r="C1235" s="1" t="b">
        <v>1</v>
      </c>
      <c r="D1235" s="1" t="inlineStr">
        <is>
          <t>Lemon Learning</t>
        </is>
      </c>
      <c r="E1235" s="10" t="inlineStr">
        <is>
          <t>lemonlearning.com</t>
        </is>
      </c>
      <c r="F1235" t="inlineStr">
        <is>
          <t>lemonlearning.com</t>
        </is>
      </c>
      <c r="G1235" s="1" t="inlineStr">
        <is>
          <t>What if the problem with digital tools is not the software, but the uses? A Digital Adoption Platform, Lemon Learning accelerates use of key business tools and empowers your team where they work. Lemon Learning is like GPS navigation for any web-based software - procurement tool, CRM, ERP, HR system: users learn on the go thanks to interactive, in-application tips. Save on support and training costs, and boost efficiency across your teams. No more excuses for poorly- or under-utilized software!</t>
        </is>
      </c>
      <c r="H1235" s="1" t="inlineStr">
        <is>
          <t>EdTech France</t>
        </is>
      </c>
      <c r="I1235" s="1" t="n"/>
      <c r="J1235" s="1" t="inlineStr">
        <is>
          <t>Paris</t>
        </is>
      </c>
      <c r="K1235" t="inlineStr">
        <is>
          <t>Paris</t>
        </is>
      </c>
      <c r="L1235" t="inlineStr">
        <is>
          <t>Paris, France</t>
        </is>
      </c>
      <c r="M1235" t="n">
        <v>48.8534951</v>
      </c>
      <c r="N1235" t="n">
        <v>2.3483915</v>
      </c>
      <c r="O1235" s="1" t="inlineStr">
        <is>
          <t>France</t>
        </is>
      </c>
      <c r="P1235" s="1" t="inlineStr">
        <is>
          <t>Albania, Andorra, Austria, Belgium, Croatia, Czechia, Denmark, Estonia, Finland, France, Georgia, Germany, Greece, Hungary, Ireland, Italy, Kazakhstan, Latvia, Luxembourg, Moldova, Netherlands, Norway, Portugal, Romania, Russia, Slovakia, Slovenia, Spain, Sweden, Switzerland, United Kingdom</t>
        </is>
      </c>
      <c r="Q1235" s="1" t="inlineStr">
        <is>
          <t>51 to 100</t>
        </is>
      </c>
      <c r="R1235" t="inlineStr">
        <is>
          <t>Medium</t>
        </is>
      </c>
      <c r="S1235" s="1" t="inlineStr">
        <is>
          <t>Business to Business, Business to Consumer, Business to Government, Business to Schools</t>
        </is>
      </c>
      <c r="T1235" s="1" t="inlineStr">
        <is>
          <t>Corporate Training</t>
        </is>
      </c>
      <c r="U1235" s="1" t="inlineStr">
        <is>
          <t>System/Administrative</t>
        </is>
      </c>
      <c r="V1235" s="1" t="inlineStr">
        <is>
          <t>Lemon Learning</t>
        </is>
      </c>
      <c r="W1235" s="10" t="inlineStr">
        <is>
          <t>Lemon Learning provides in-application guidance to end-users directly on their tools: thanks to interactive guides, they get the right tips at the right time, step by step throughout their software. With Lemon Learning integrated directly in the software, users can launch a guide in a single click! No more searching for guidebooks or struggling through features. Lemon Learning is best for any enterprises willing to support end-users on their daily business tools.</t>
        </is>
      </c>
      <c r="X1235" s="10" t="inlineStr">
        <is>
          <t>https://drive.google.com/uc?export=view&amp;id=10HWr1Jn58jCiai9JJaqORe5yTZBW27O-</t>
        </is>
      </c>
      <c r="Y1235" t="inlineStr">
        <is>
          <t>https://drive.google.com/uc?export=view&amp;id=10HWr1Jn58jCiai9JJaqORe5yTZBW27O-</t>
        </is>
      </c>
      <c r="Z1235" s="1" t="inlineStr">
        <is>
          <t>https://drive.google.com/uc?export=view&amp;id=10HWr1Jn58jCiai9JJaqORe5yTZBW27O-</t>
        </is>
      </c>
      <c r="AA1235" s="1" t="inlineStr">
        <is>
          <t>Unverified</t>
        </is>
      </c>
      <c r="AB1235" s="1" t="n"/>
      <c r="AC1235" s="1" t="n"/>
      <c r="AD1235" s="10" t="n"/>
      <c r="AE1235" s="1" t="n"/>
      <c r="AF1235" s="1" t="inlineStr">
        <is>
          <t>Yes</t>
        </is>
      </c>
      <c r="AG1235" s="1" t="inlineStr">
        <is>
          <t>https://twitter.com/Lemon_Learning</t>
        </is>
      </c>
      <c r="AH1235" s="1" t="inlineStr">
        <is>
          <t>https://twitter.com/Lemon_Learning</t>
        </is>
      </c>
      <c r="AI1235" s="1" t="inlineStr">
        <is>
          <t>https://www.linkedin.com/company/lemon-learning/</t>
        </is>
      </c>
      <c r="AJ1235" s="1" t="n"/>
    </row>
    <row r="1236" ht="12.5" customHeight="1">
      <c r="A1236" s="6" t="n">
        <v>45181</v>
      </c>
      <c r="B1236" s="1" t="inlineStr">
        <is>
          <t>ORG_1894</t>
        </is>
      </c>
      <c r="C1236" s="1" t="b">
        <v>1</v>
      </c>
      <c r="D1236" s="1" t="inlineStr">
        <is>
          <t>LUDO-VIC</t>
        </is>
      </c>
      <c r="E1236" s="10" t="inlineStr">
        <is>
          <t>https://www.ludo-vic.com</t>
        </is>
      </c>
      <c r="F1236" t="inlineStr">
        <is>
          <t>ludo-vic.com</t>
        </is>
      </c>
      <c r="G1236" s="1" t="inlineStr">
        <is>
          <t>LUDO-VIC creates multilingual educational Apps which "break the walls of words" and that of the vernacular language, for instance by teaching the basics of any language (be it scripted or not) by the App providing instructions orally, in the learner's mother tongue (be it scripted or not). Our first App, BasicFrançais, is avalable in Bengladeshi, Dari, English, Dutch, German, Kabyle, Pashto, Portugueses, Brazilian Portuguese, Spanish, Ukrainian and Vietnamese. Other sources langaues are being prepared.
We invented an "universal engine" to teach languages. To create a BasicLanguageX will only require 6 man-monts for a teacher of that language, and less than 4 man-days to add instructions for each source language !
Given the 7000 languages spoken in the World, we are ready to give away his "universal engine" to Universities so that they could contribute to the perpuation of these languages.</t>
        </is>
      </c>
      <c r="H1236" s="1" t="inlineStr">
        <is>
          <t>AFINEF</t>
        </is>
      </c>
      <c r="I1236" s="1" t="inlineStr">
        <is>
          <t>Arabic, Bangladeshi, Dutch, English, Indian, Flemish, German, Hindi, Kabyle, Mandarin, Pashto, Portuguese, Portuguese (Brazil), Spanish, Ukrainian, Vietnamese</t>
        </is>
      </c>
      <c r="J1236" s="1" t="inlineStr">
        <is>
          <t>Paris</t>
        </is>
      </c>
      <c r="K1236" t="inlineStr">
        <is>
          <t>Paris</t>
        </is>
      </c>
      <c r="L1236" t="inlineStr">
        <is>
          <t>Paris, France</t>
        </is>
      </c>
      <c r="M1236" t="n">
        <v>48.8534951</v>
      </c>
      <c r="N1236" t="n">
        <v>2.3483915</v>
      </c>
      <c r="O1236" s="1" t="inlineStr">
        <is>
          <t>France</t>
        </is>
      </c>
      <c r="P1236" s="1" t="inlineStr">
        <is>
          <t>France</t>
        </is>
      </c>
      <c r="Q1236" s="1" t="inlineStr">
        <is>
          <t>0 to 2</t>
        </is>
      </c>
      <c r="R1236" t="inlineStr">
        <is>
          <t>Solo entrepreneur</t>
        </is>
      </c>
      <c r="S1236" s="1" t="inlineStr">
        <is>
          <t>Business to Business, Business to Consumer, Business to Government, Business to Schools</t>
        </is>
      </c>
      <c r="T1236" s="1" t="inlineStr">
        <is>
          <t>Primary Education, Secondary Education, Corporate Training, Lifelong learning/Adult education</t>
        </is>
      </c>
      <c r="U1236" s="1" t="inlineStr">
        <is>
          <t>System/Administrative, Student interfacing, Teacher interfacing</t>
        </is>
      </c>
      <c r="V1236" s="1" t="inlineStr">
        <is>
          <t>BasicFrançais</t>
        </is>
      </c>
      <c r="W1236" s="1" t="inlineStr">
        <is>
          <t>An App to learn Basic French ( level A1 of the CEFRL ) in an autonomous mode, requiring no internet connexion except to download the App.
Just another tool for French teachers so that their learners can improve on their skills in between classes.
70 lessons grouped in 23 modules, each lesson being built around a contextualised dialogue in French. each lesson ending with a quiz, the results of which can be tracked by the teacher in our Back-Office.</t>
        </is>
      </c>
      <c r="X1236" s="10" t="inlineStr">
        <is>
          <t>BasicElsässisch</t>
        </is>
      </c>
      <c r="Y1236" t="inlineStr">
        <is>
          <t>Same principle, being developed, targeted source languages will be French, English, Mandarin and Japanese given the many Asian companies having set up entities in Alsace at the heart of Europe...</t>
        </is>
      </c>
      <c r="Z1236" s="1" t="inlineStr">
        <is>
          <t>https://drive.google.com/uc?export=view&amp;id=1CHGvbFVENSsXDWEsobdzldfsSYQiY-A7</t>
        </is>
      </c>
      <c r="AA1236" s="1" t="inlineStr">
        <is>
          <t>Unverified</t>
        </is>
      </c>
      <c r="AB1236" s="1" t="n"/>
      <c r="AC1236" s="1" t="n"/>
      <c r="AD1236" s="10" t="n"/>
      <c r="AE1236" s="1" t="n"/>
      <c r="AF1236" t="inlineStr">
        <is>
          <t>Yes</t>
        </is>
      </c>
      <c r="AG1236" t="inlineStr">
        <is>
          <t>LUDO-VIC SAS</t>
        </is>
      </c>
      <c r="AH1236" t="inlineStr">
        <is>
          <t>LUDO-VIC SAS</t>
        </is>
      </c>
      <c r="AI1236" t="inlineStr">
        <is>
          <t>https://www.linkedin.com/in/jack-amberg-23b18512/?originalSubdomain=fr</t>
        </is>
      </c>
    </row>
    <row r="1237" ht="12.5" customHeight="1">
      <c r="A1237" s="6" t="n">
        <v>45181</v>
      </c>
      <c r="B1237" s="1" t="inlineStr">
        <is>
          <t>ORG_1948</t>
        </is>
      </c>
      <c r="C1237" s="1" t="b">
        <v>1</v>
      </c>
      <c r="D1237" s="1" t="inlineStr">
        <is>
          <t>Memory-Path</t>
        </is>
      </c>
      <c r="E1237" s="10" t="inlineStr">
        <is>
          <t>Memory-Path.com</t>
        </is>
      </c>
      <c r="F1237" t="inlineStr">
        <is>
          <t>memory-path.com</t>
        </is>
      </c>
      <c r="G1237" s="1" t="inlineStr">
        <is>
          <t>Memory-Path - Learn like the world champions - creates mobile software solutions to help students learn faster, healthier and easier. Our apps and learning techniques support natural learning. Through this brain-friendly approach and our technically good implementation, we additionally increase motivation. For example, our flagship product "Memory-Path" gets learners out into the fresh air and learning with movement. Through the neuro-scientifically proven memory enhancement, learning thus becomes child's play again.</t>
        </is>
      </c>
      <c r="H1237" s="1" t="inlineStr">
        <is>
          <t>EDUvation</t>
        </is>
      </c>
      <c r="I1237" s="1" t="n"/>
      <c r="J1237" s="1" t="inlineStr">
        <is>
          <t>Lüneburg</t>
        </is>
      </c>
      <c r="K1237" t="inlineStr">
        <is>
          <t>Lüneburg</t>
        </is>
      </c>
      <c r="L1237" t="inlineStr">
        <is>
          <t>Lüneburg, Germany</t>
        </is>
      </c>
      <c r="M1237" t="n">
        <v>53.248706</v>
      </c>
      <c r="N1237" t="n">
        <v>10.407855</v>
      </c>
      <c r="O1237" s="1" t="inlineStr">
        <is>
          <t>Germany</t>
        </is>
      </c>
      <c r="P1237" s="1" t="inlineStr">
        <is>
          <t>Germany</t>
        </is>
      </c>
      <c r="Q1237" s="1" t="inlineStr">
        <is>
          <t>0 to 10</t>
        </is>
      </c>
      <c r="R1237" t="inlineStr">
        <is>
          <t>Micro</t>
        </is>
      </c>
      <c r="S1237" s="1" t="inlineStr">
        <is>
          <t>Business to Business, Business to Consumer, Business to Schools</t>
        </is>
      </c>
      <c r="T1237" s="1" t="inlineStr">
        <is>
          <t>Primary Education, Secondary Education</t>
        </is>
      </c>
      <c r="U1237" s="1" t="inlineStr">
        <is>
          <t>System/Administrative, Student interfacing</t>
        </is>
      </c>
      <c r="V1237" s="10" t="inlineStr">
        <is>
          <t>Memory-Path Learning App</t>
        </is>
      </c>
      <c r="W1237" s="10" t="inlineStr">
        <is>
          <t>Memory-Path creates a mobile learning app that encourages users to learn in the fresh air with movement. The user learns by using his everyday routes like the way to school or to the supermarket. Our project optimizes the process of learning in a simple and enjoyable way, saving learners time, stress and effort. Users can create "learning paths". These contain easy-to-remember locations and are linked to learning content in the form of flashcards (question and answer). By using geographic memory with the proven loci technique, the learner can retain the material longer. Since the idea only requires just a mobile phone, most learners have access to this new learning method. The idea offers a change from digital teaching. The synergies of learning with movement in fresh air, the increase in efficiency as well as the clever integration of technology are incredible.</t>
        </is>
      </c>
      <c r="X1237" s="10" t="inlineStr">
        <is>
          <t>Memory-Path - Learning Paths</t>
        </is>
      </c>
      <c r="Y1237" t="inlineStr">
        <is>
          <t>Each Memory-Path contains any number of user-defined "Memory Points". These correspond to a specific location (e.g. a house or tree) in reality. At these "Memory Points" the user can store a learning content such as flashcards (question and answer) with picture and GPS position. The user can then walk the paths in reality and virtually. By using visual memory as well as exercise in the fresh air, learning can be made much more efficient, healthier and saving the learner time and effort. In the future, it should be possible to automatically transfer the learning material to the app on demand in school.Each learning path can be shared and becomes an important part of the Memory-Path - Learn platform. Each learning path contains knowledge on selected topics. These learning paths are available through our Marketplace.</t>
        </is>
      </c>
      <c r="Z1237" s="1" t="inlineStr">
        <is>
          <t>https://drive.google.com/uc?export=view&amp;id=1bcSYu_DBFkKTmbgceevdN80txjL3f8rh</t>
        </is>
      </c>
      <c r="AA1237" s="1" t="inlineStr">
        <is>
          <t>Unverified</t>
        </is>
      </c>
      <c r="AB1237" s="1" t="n"/>
      <c r="AC1237" s="1" t="n"/>
      <c r="AD1237" s="10" t="n"/>
      <c r="AE1237" s="1" t="n"/>
      <c r="AF1237" t="inlineStr">
        <is>
          <t>Yes</t>
        </is>
      </c>
      <c r="AG1237" t="inlineStr">
        <is>
          <t>https://instagram.com/memory__path</t>
        </is>
      </c>
      <c r="AH1237" t="inlineStr">
        <is>
          <t>https://twitter.com/PathMemory</t>
        </is>
      </c>
      <c r="AI1237" t="inlineStr">
        <is>
          <t>https://de.linkedin.com/company/memory-path</t>
        </is>
      </c>
    </row>
    <row r="1238" ht="12.5" customHeight="1">
      <c r="A1238" s="6" t="n">
        <v>45181</v>
      </c>
      <c r="B1238" s="1" t="inlineStr">
        <is>
          <t>ORG_1983</t>
        </is>
      </c>
      <c r="C1238" s="1" t="b">
        <v>1</v>
      </c>
      <c r="D1238" s="1" t="inlineStr">
        <is>
          <t>Money Masters</t>
        </is>
      </c>
      <c r="E1238" s="10" t="inlineStr">
        <is>
          <t>www.moneymasters.app</t>
        </is>
      </c>
      <c r="F1238" t="inlineStr">
        <is>
          <t>moneymasters.app</t>
        </is>
      </c>
      <c r="G1238" s="1" t="inlineStr">
        <is>
          <t>We spend our lives working for money but somehow financial education has always been ignored. This is why we created Money Masters, a fun and easy way to learn about money. We leverage technology to make education accessible, bite-sized, interactive, and fun.</t>
        </is>
      </c>
      <c r="H1238" s="1" t="inlineStr">
        <is>
          <t>I'm not part of any EdTech association</t>
        </is>
      </c>
      <c r="I1238" s="1" t="n"/>
      <c r="J1238" s="1" t="inlineStr">
        <is>
          <t>Geneva</t>
        </is>
      </c>
      <c r="K1238" t="inlineStr">
        <is>
          <t>Geneva</t>
        </is>
      </c>
      <c r="L1238" t="inlineStr">
        <is>
          <t>Geneva, Switzerland</t>
        </is>
      </c>
      <c r="M1238" t="n">
        <v>46.2017559</v>
      </c>
      <c r="N1238" t="n">
        <v>6.1466014</v>
      </c>
      <c r="O1238" s="1" t="inlineStr">
        <is>
          <t>Switzerland</t>
        </is>
      </c>
      <c r="P1238" s="1" t="inlineStr">
        <is>
          <t>Spain, Switzerland</t>
        </is>
      </c>
      <c r="Q1238" s="1" t="inlineStr">
        <is>
          <t>0 to 10</t>
        </is>
      </c>
      <c r="R1238" t="inlineStr">
        <is>
          <t>Micro</t>
        </is>
      </c>
      <c r="S1238" s="1" t="inlineStr">
        <is>
          <t>Business to Business, Business to Government</t>
        </is>
      </c>
      <c r="T1238" s="1" t="inlineStr">
        <is>
          <t>Secondary Education, Higher Education, Corporate Training, Lifelong learning/Adult education</t>
        </is>
      </c>
      <c r="U1238" s="1" t="inlineStr">
        <is>
          <t>System/Administrative, Student interfacing</t>
        </is>
      </c>
      <c r="V1238" s="1" t="n"/>
      <c r="W1238" s="1" t="inlineStr">
        <is>
          <t>https://drive.google.com/uc?export=view&amp;id=1UNoWMPXsk3vE9Pt9sOR1lUWD5jCiKpPK</t>
        </is>
      </c>
      <c r="X1238" s="1" t="inlineStr">
        <is>
          <t>https://drive.google.com/uc?export=view&amp;id=1UNoWMPXsk3vE9Pt9sOR1lUWD5jCiKpPK</t>
        </is>
      </c>
      <c r="Y1238" t="inlineStr">
        <is>
          <t>https://drive.google.com/uc?export=view&amp;id=1UNoWMPXsk3vE9Pt9sOR1lUWD5jCiKpPK</t>
        </is>
      </c>
      <c r="Z1238" s="1" t="inlineStr">
        <is>
          <t>https://drive.google.com/uc?export=view&amp;id=1UNoWMPXsk3vE9Pt9sOR1lUWD5jCiKpPK</t>
        </is>
      </c>
      <c r="AA1238" s="1" t="inlineStr">
        <is>
          <t>Unverified</t>
        </is>
      </c>
      <c r="AB1238" s="1" t="n"/>
      <c r="AC1238" s="1" t="n"/>
      <c r="AD1238" s="10" t="n"/>
      <c r="AE1238" s="1" t="n"/>
      <c r="AF1238" s="1" t="inlineStr">
        <is>
          <t>No</t>
        </is>
      </c>
      <c r="AG1238" s="1" t="n"/>
      <c r="AH1238" s="1" t="n"/>
    </row>
    <row r="1239" ht="12.5" customHeight="1">
      <c r="A1239" s="6" t="n">
        <v>45181</v>
      </c>
      <c r="B1239" s="1" t="inlineStr">
        <is>
          <t>ORG_1985</t>
        </is>
      </c>
      <c r="C1239" s="1" t="b">
        <v>1</v>
      </c>
      <c r="D1239" s="1" t="inlineStr">
        <is>
          <t>Moomin Language School</t>
        </is>
      </c>
      <c r="E1239" s="10" t="inlineStr">
        <is>
          <t>https://www.moominls.com/</t>
        </is>
      </c>
      <c r="F1239" t="inlineStr">
        <is>
          <t>moominls.com</t>
        </is>
      </c>
      <c r="G1239" s="1" t="inlineStr">
        <is>
          <t>Playvation Ltd is a Finnish EdTech company designing high-quality language learning solutions for early education institutions. Their flagship product is Moomin Language School, a playful, research-based digital language learning service. It has already captured the hearts and minds of tens of thousands of children, parents, and teachers around the globe.</t>
        </is>
      </c>
      <c r="H1239" s="1" t="inlineStr">
        <is>
          <t>EdTech Finland</t>
        </is>
      </c>
      <c r="I1239" s="1" t="n"/>
      <c r="J1239" s="1" t="inlineStr">
        <is>
          <t>Helsinki</t>
        </is>
      </c>
      <c r="K1239" t="inlineStr">
        <is>
          <t>Helsinki</t>
        </is>
      </c>
      <c r="L1239" t="inlineStr">
        <is>
          <t>Helsinki, Finland</t>
        </is>
      </c>
      <c r="M1239" t="n">
        <v>60.1666204</v>
      </c>
      <c r="N1239" t="n">
        <v>24.9435408</v>
      </c>
      <c r="O1239" s="1" t="inlineStr">
        <is>
          <t>Finland</t>
        </is>
      </c>
      <c r="P1239" s="1" t="inlineStr">
        <is>
          <t>Azerbaijan, Finland, Greece, Netherlands, Poland, Romania, Sweden, Turkey</t>
        </is>
      </c>
      <c r="Q1239" s="1" t="inlineStr">
        <is>
          <t>0 to 10</t>
        </is>
      </c>
      <c r="R1239" t="inlineStr">
        <is>
          <t>Micro</t>
        </is>
      </c>
      <c r="S1239" s="1" t="inlineStr">
        <is>
          <t>Business to Business, Business to Government, Business to Schools</t>
        </is>
      </c>
      <c r="T1239" s="1" t="inlineStr">
        <is>
          <t>Early childhood development (0-5 years), Primary Education</t>
        </is>
      </c>
      <c r="U1239" s="1" t="inlineStr">
        <is>
          <t>Teacher interfacing, System/Administrative</t>
        </is>
      </c>
      <c r="V1239" s="10" t="inlineStr">
        <is>
          <t>Moomin Language School</t>
        </is>
      </c>
      <c r="W1239" s="10" t="inlineStr">
        <is>
          <t>Moomin Language School was created for early learning organizations that yearn to give their students inspiring experiences with the English language while being at the forefront of innovation. ​​
With us, children learn more than language: they learn to express themselves creatively, to understand and value differences and to communicate empathetically with others. ​</t>
        </is>
      </c>
      <c r="X1239" s="10" t="inlineStr">
        <is>
          <t>https://drive.google.com/uc?export=view&amp;id=174Et9G6TtkXVIbzq8dqxbmrIBvoWGxE-</t>
        </is>
      </c>
      <c r="Y1239" t="inlineStr">
        <is>
          <t>https://drive.google.com/uc?export=view&amp;id=174Et9G6TtkXVIbzq8dqxbmrIBvoWGxE-</t>
        </is>
      </c>
      <c r="Z1239" s="1" t="inlineStr">
        <is>
          <t>https://drive.google.com/uc?export=view&amp;id=174Et9G6TtkXVIbzq8dqxbmrIBvoWGxE-</t>
        </is>
      </c>
      <c r="AA1239" s="1" t="inlineStr">
        <is>
          <t>Unverified</t>
        </is>
      </c>
      <c r="AB1239" s="1" t="n"/>
      <c r="AC1239" s="1" t="n"/>
      <c r="AD1239" s="10" t="n"/>
      <c r="AE1239" s="1" t="n"/>
      <c r="AF1239" s="1" t="inlineStr">
        <is>
          <t>Yes</t>
        </is>
      </c>
      <c r="AG1239" s="1" t="inlineStr">
        <is>
          <t>https://www.instagram.com/moominls/</t>
        </is>
      </c>
      <c r="AH1239" s="1" t="inlineStr">
        <is>
          <t>https://twitter.com/moominls</t>
        </is>
      </c>
      <c r="AI1239" t="inlineStr">
        <is>
          <t>https://www.linkedin.com/company/playvation</t>
        </is>
      </c>
    </row>
    <row r="1240" ht="12.5" customHeight="1">
      <c r="A1240" s="6" t="n">
        <v>45181</v>
      </c>
      <c r="B1240" s="1" t="inlineStr">
        <is>
          <t>ORG_2019</t>
        </is>
      </c>
      <c r="C1240" s="1" t="b">
        <v>1</v>
      </c>
      <c r="D1240" s="1" t="inlineStr">
        <is>
          <t>NAOTIC</t>
        </is>
      </c>
      <c r="E1240" s="10" t="inlineStr">
        <is>
          <t>www.naotic.fr</t>
        </is>
      </c>
      <c r="F1240" t="inlineStr">
        <is>
          <t>naotic.fr</t>
        </is>
      </c>
      <c r="G1240" s="1" t="inlineStr">
        <is>
          <t>Founded in 2012, Naotic is a Frenchtech company with recognized expertise in integrating new technologies into learning spaces and meeting places.
Naotic provides innovative and professional solutions that make digital devices easy to use in education, communities and business: connected luggages, charging carts and USB solutions for storage, charging and synchronization for mobile devices.
The Naotic offer is distributed by an international network of partners. A complete range of products designed and manufactured in France with one goal : to make technologies useful and usable by everyone!</t>
        </is>
      </c>
      <c r="H1240" s="1" t="inlineStr">
        <is>
          <t>AFINEF</t>
        </is>
      </c>
      <c r="I1240" s="1" t="n"/>
      <c r="J1240" s="1" t="inlineStr">
        <is>
          <t>Orvault</t>
        </is>
      </c>
      <c r="K1240" t="inlineStr">
        <is>
          <t>Orvault</t>
        </is>
      </c>
      <c r="L1240" t="inlineStr">
        <is>
          <t>Orvault, France</t>
        </is>
      </c>
      <c r="M1240" t="n">
        <v>47.2711217</v>
      </c>
      <c r="N1240" t="n">
        <v>-1.623206</v>
      </c>
      <c r="O1240" s="1" t="inlineStr">
        <is>
          <t>France</t>
        </is>
      </c>
      <c r="P1240" s="1" t="inlineStr">
        <is>
          <t>Belgium, France, Switzerland</t>
        </is>
      </c>
      <c r="Q1240" s="1" t="inlineStr">
        <is>
          <t>11 to 50</t>
        </is>
      </c>
      <c r="R1240" t="inlineStr">
        <is>
          <t>Small</t>
        </is>
      </c>
      <c r="S1240" s="1" t="inlineStr">
        <is>
          <t>Business to Business, Business to Government, Business to Schools</t>
        </is>
      </c>
      <c r="T1240" s="1" t="inlineStr">
        <is>
          <t>Primary Education, Secondary Education, Higher Education, Corporate Training, Lifelong learning/Adult education</t>
        </is>
      </c>
      <c r="U1240" s="1" t="inlineStr">
        <is>
          <t>Teacher interfacing, Student interfacing, System/Administrative</t>
        </is>
      </c>
      <c r="V1240" s="1" t="inlineStr">
        <is>
          <t>Naocase - Tabibox</t>
        </is>
      </c>
      <c r="W1240" s="10" t="inlineStr">
        <is>
          <t>A large product range of charging cases and cabinets for all your mobile devices like iPads, tablets, laptops and VR sytems. Naotic solutions include Smartypower connected charging technology or Tabipower USB-C smart charging hubs, depending on your choice.</t>
        </is>
      </c>
      <c r="X1240" s="10" t="inlineStr">
        <is>
          <t>Naocart - Tabicart</t>
        </is>
      </c>
      <c r="Y1240" t="inlineStr">
        <is>
          <t>The Naocart and Tabicart trolleys bring great mobility and security to mobile devices in your establishment. Naotic solutions include Smartypower connected charging technology or Tabipower USB-C smart charging hubs, depending on your choice.</t>
        </is>
      </c>
      <c r="Z1240" s="1" t="inlineStr">
        <is>
          <t>https://drive.google.com/uc?export=view&amp;id=19fUOeZqHmdJThOw2ef1SXSoSrqDzTteE</t>
        </is>
      </c>
      <c r="AA1240" s="1" t="inlineStr">
        <is>
          <t>Unverified</t>
        </is>
      </c>
      <c r="AB1240" s="1" t="n"/>
      <c r="AC1240" s="1" t="n"/>
      <c r="AD1240" s="10" t="n"/>
      <c r="AE1240" s="1" t="n"/>
      <c r="AF1240" t="inlineStr">
        <is>
          <t>Yes</t>
        </is>
      </c>
      <c r="AG1240" t="inlineStr">
        <is>
          <t>https://twitter.com/NaoticFR</t>
        </is>
      </c>
      <c r="AH1240" t="inlineStr">
        <is>
          <t>https://twitter.com/NaoticFR</t>
        </is>
      </c>
      <c r="AI1240" t="inlineStr">
        <is>
          <t>https://www.linkedin.com/company/naotic</t>
        </is>
      </c>
    </row>
    <row r="1241" ht="12.5" customHeight="1">
      <c r="A1241" s="6" t="n">
        <v>45181</v>
      </c>
      <c r="B1241" s="1" t="inlineStr">
        <is>
          <t>ORG_2020</t>
        </is>
      </c>
      <c r="C1241" s="1" t="b">
        <v>1</v>
      </c>
      <c r="D1241" s="1" t="inlineStr">
        <is>
          <t>NATE</t>
        </is>
      </c>
      <c r="E1241" s="10" t="inlineStr">
        <is>
          <t>https://getnate.io</t>
        </is>
      </c>
      <c r="F1241" t="inlineStr">
        <is>
          <t>getnate.io</t>
        </is>
      </c>
      <c r="G1241" s="1" t="inlineStr">
        <is>
          <t>Tech education for business professionals working at the intersection to product and tech</t>
        </is>
      </c>
      <c r="H1241" s="1" t="inlineStr">
        <is>
          <t>I'm not part of any EdTech association</t>
        </is>
      </c>
      <c r="I1241" s="1" t="n"/>
      <c r="J1241" s="1" t="inlineStr">
        <is>
          <t>Berlin</t>
        </is>
      </c>
      <c r="K1241" t="inlineStr">
        <is>
          <t>Berlin</t>
        </is>
      </c>
      <c r="L1241" t="inlineStr">
        <is>
          <t>Berlin, Germany</t>
        </is>
      </c>
      <c r="M1241" t="n">
        <v>52.5173885</v>
      </c>
      <c r="N1241" t="n">
        <v>13.3951309</v>
      </c>
      <c r="O1241" s="1" t="inlineStr">
        <is>
          <t>Germany</t>
        </is>
      </c>
      <c r="P1241" s="1" t="inlineStr">
        <is>
          <t>Austria, France, Germany, Italy, Netherlands, Portugal</t>
        </is>
      </c>
      <c r="Q1241" s="1" t="inlineStr">
        <is>
          <t>0 to 10</t>
        </is>
      </c>
      <c r="R1241" t="inlineStr">
        <is>
          <t>Micro</t>
        </is>
      </c>
      <c r="S1241" s="1" t="inlineStr">
        <is>
          <t>Business to Business, Business to Schools</t>
        </is>
      </c>
      <c r="T1241" s="1" t="inlineStr">
        <is>
          <t>Higher Education, Corporate Training, Lifelong learning/Adult education</t>
        </is>
      </c>
      <c r="U1241" s="1" t="inlineStr">
        <is>
          <t>Student interfacing, System/Administrative</t>
        </is>
      </c>
      <c r="V1241" s="1" t="n"/>
      <c r="W1241" s="1" t="inlineStr">
        <is>
          <t>https://drive.google.com/uc?export=view&amp;id=1HjpA7O-tYOaVsQBBljBl5fycNEHYuY48</t>
        </is>
      </c>
      <c r="X1241" s="1" t="inlineStr">
        <is>
          <t>https://drive.google.com/uc?export=view&amp;id=1HjpA7O-tYOaVsQBBljBl5fycNEHYuY48</t>
        </is>
      </c>
      <c r="Y1241" t="inlineStr">
        <is>
          <t>https://drive.google.com/uc?export=view&amp;id=1HjpA7O-tYOaVsQBBljBl5fycNEHYuY48</t>
        </is>
      </c>
      <c r="Z1241" s="1" t="inlineStr">
        <is>
          <t>https://drive.google.com/uc?export=view&amp;id=1HjpA7O-tYOaVsQBBljBl5fycNEHYuY48</t>
        </is>
      </c>
      <c r="AA1241" s="1" t="inlineStr">
        <is>
          <t>Unverified</t>
        </is>
      </c>
      <c r="AB1241" s="1" t="n"/>
      <c r="AC1241" s="1" t="n"/>
      <c r="AD1241" s="10" t="n"/>
      <c r="AE1241" s="1" t="n"/>
      <c r="AF1241" s="1" t="inlineStr">
        <is>
          <t>No</t>
        </is>
      </c>
      <c r="AG1241" s="1" t="n"/>
      <c r="AH1241" s="1" t="n"/>
    </row>
    <row r="1242" ht="12.5" customHeight="1">
      <c r="A1242" s="6" t="n">
        <v>45181</v>
      </c>
      <c r="B1242" s="1" t="inlineStr">
        <is>
          <t>ORG_2056</t>
        </is>
      </c>
      <c r="C1242" s="1" t="b">
        <v>1</v>
      </c>
      <c r="D1242" s="1" t="inlineStr">
        <is>
          <t>Odilo</t>
        </is>
      </c>
      <c r="E1242" s="10" t="inlineStr">
        <is>
          <t>https://www.odilo.es/workplace/?gclid=CjwKCAjw9qiTBhBbEiwAp-GE0cPP8txaza_iW_A08wBTK0NGQKLnzpuOAxmgzTsafh0wPixrNAOfDRoCh80QAvD_BwE</t>
        </is>
      </c>
      <c r="F1242" t="inlineStr">
        <is>
          <t>odilo.es/workplace/?gclid=cjwkcajw9qitbhbbeiwap-ge0cpp8txaza_iw_a08wbtk0ngqklnzpuoaxmgztsafh0wpixrnaofdroch80qavd_bwe</t>
        </is>
      </c>
      <c r="G1242" s="1" t="inlineStr">
        <is>
          <t>Odilo creates unlimited learning ecosystems for organizations to help them reach their full potential. We provide access to the best educational content in the world, thanks to more than 7,000 top providers worldwide, are present in more than 50 countries and have more than 170 million users around the world</t>
        </is>
      </c>
      <c r="H1242" s="1" t="inlineStr">
        <is>
          <t>EduTech Cluster Spain</t>
        </is>
      </c>
      <c r="I1242" s="1" t="n"/>
      <c r="J1242" s="1" t="inlineStr">
        <is>
          <t>Madrid</t>
        </is>
      </c>
      <c r="K1242" t="inlineStr">
        <is>
          <t>Madrid</t>
        </is>
      </c>
      <c r="L1242" t="inlineStr">
        <is>
          <t>Madrid, Spain</t>
        </is>
      </c>
      <c r="M1242" t="n">
        <v>40.416782</v>
      </c>
      <c r="N1242" t="n">
        <v>-3.703507</v>
      </c>
      <c r="O1242" s="1" t="inlineStr">
        <is>
          <t>Spain</t>
        </is>
      </c>
      <c r="P1242" s="1" t="inlineStr">
        <is>
          <t>Germany, Ireland, Netherlands, Portugal, Spain, Switzerland, Turkey, Ukraine, United Kingdom</t>
        </is>
      </c>
      <c r="Q1242" s="1" t="inlineStr">
        <is>
          <t>100+</t>
        </is>
      </c>
      <c r="R1242" t="inlineStr">
        <is>
          <t>Medium or Large (unspecified)</t>
        </is>
      </c>
      <c r="S1242" s="1" t="inlineStr">
        <is>
          <t>Business to Business, Business to Schools</t>
        </is>
      </c>
      <c r="T1242" s="1" t="inlineStr">
        <is>
          <t>Early childhood development (0-5 years), Primary Education, Secondary Education, Higher Education, Corporate Training, Lifelong learning/Adult education</t>
        </is>
      </c>
      <c r="U1242" s="1" t="inlineStr">
        <is>
          <t>System/Administrative, Student interfacing, Teacher interfacing</t>
        </is>
      </c>
      <c r="V1242" s="1" t="inlineStr">
        <is>
          <t>Unlimited Learning Ecosystem</t>
        </is>
      </c>
      <c r="W1242" s="1" t="inlineStr">
        <is>
          <t>Through 5 essential pillars, ODILO helps any organization expand its learning services and become a Unlimited Learning Organization. UNIFIED ACCESS TO THE BEST CONTENT, CUSTOMIZATION AND NETFLIX STYLE UX, DATA ACCESS END-TO-END, UNIQUE LEARNING EXPERIENCES
The combination of the best content available in the market, with fully personalized learning experiences.
All of this integrated in a single customized frictionless platform and with the possibility of incorporating social tools for collaborative learning and video calls in real time.</t>
        </is>
      </c>
      <c r="X1242" s="1" t="inlineStr">
        <is>
          <t>Odilo BI</t>
        </is>
      </c>
      <c r="Y1242" t="inlineStr">
        <is>
          <t>Odilo BI is a Learning Data collection service. 
We offer the most appropriate metrics to easily quantify and analyze different parameters related to learning in the organization. Supported by data we allow any organization (Schools, Universities, Governments and Companies) adapt to the learning trends.</t>
        </is>
      </c>
      <c r="Z1242" s="1" t="inlineStr">
        <is>
          <t>https://drive.google.com/uc?export=view&amp;id=1iFVB7MZA3EDO5gJQQP8GLaxNYeLdOLX6</t>
        </is>
      </c>
      <c r="AA1242" s="1" t="inlineStr">
        <is>
          <t>Unverified</t>
        </is>
      </c>
      <c r="AB1242" s="1" t="n"/>
      <c r="AC1242" s="1" t="n"/>
      <c r="AD1242" s="10" t="n"/>
      <c r="AE1242" s="1" t="n"/>
      <c r="AF1242" s="1" t="inlineStr">
        <is>
          <t>Yes</t>
        </is>
      </c>
      <c r="AG1242" s="1" t="inlineStr">
        <is>
          <t>@Odilotid</t>
        </is>
      </c>
      <c r="AH1242" s="1" t="inlineStr">
        <is>
          <t>@Odilo_eng</t>
        </is>
      </c>
      <c r="AI1242" t="inlineStr">
        <is>
          <t>@Odilo</t>
        </is>
      </c>
    </row>
    <row r="1243" ht="12.5" customHeight="1">
      <c r="A1243" s="6" t="n">
        <v>45181</v>
      </c>
      <c r="B1243" s="1" t="inlineStr">
        <is>
          <t>ORG_2084</t>
        </is>
      </c>
      <c r="C1243" s="1" t="b">
        <v>1</v>
      </c>
      <c r="D1243" s="1" t="inlineStr">
        <is>
          <t>OXSICO</t>
        </is>
      </c>
      <c r="E1243" s="10" t="inlineStr">
        <is>
          <t>www.oxsico.com</t>
        </is>
      </c>
      <c r="F1243" t="inlineStr">
        <is>
          <t>oxsico.com</t>
        </is>
      </c>
      <c r="G1243" s="1" t="inlineStr">
        <is>
          <t>Plagiarism detection for Universities, Schools, and Business. Text Similarity Checker powers the study and the research processes. We help Content creators, SEO agencies, bloggers, or other businesses by publishing content with the full confidence that there is no plagiarism left. Or the fact that you can they will find out who your thoughts are using illegally.</t>
        </is>
      </c>
      <c r="H1243" s="1" t="inlineStr">
        <is>
          <t>EdTech Lithuania</t>
        </is>
      </c>
      <c r="I1243" s="1" t="n"/>
      <c r="J1243" s="1" t="inlineStr">
        <is>
          <t>Vilnius</t>
        </is>
      </c>
      <c r="K1243" t="inlineStr">
        <is>
          <t>Vilnius</t>
        </is>
      </c>
      <c r="L1243" t="inlineStr">
        <is>
          <t>Vilnius, Lithuania</t>
        </is>
      </c>
      <c r="M1243" t="n">
        <v>54.6870458</v>
      </c>
      <c r="N1243" t="n">
        <v>25.2829111</v>
      </c>
      <c r="O1243" s="1" t="inlineStr">
        <is>
          <t>Lithuania</t>
        </is>
      </c>
      <c r="P1243"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Montenegro, Netherlands, North Macedonia, Norway, Poland, Portugal, Romania, Russia, San Marino, Serbia, Slovakia, Slovenia, Spain, Sweden, Switzerland, Turkey, Ukraine, United Kingdom</t>
        </is>
      </c>
      <c r="Q1243" s="1" t="inlineStr">
        <is>
          <t>0 to 10</t>
        </is>
      </c>
      <c r="R1243" t="inlineStr">
        <is>
          <t>Micro</t>
        </is>
      </c>
      <c r="S1243" s="1" t="inlineStr">
        <is>
          <t>Business to Consumer</t>
        </is>
      </c>
      <c r="T1243" s="1" t="inlineStr">
        <is>
          <t>Secondary Education, Higher Education, Corporate Training, Lifelong learning/Adult education</t>
        </is>
      </c>
      <c r="U1243" s="1" t="inlineStr">
        <is>
          <t>Student interfacing, Teacher interfacing, System/Administrative</t>
        </is>
      </c>
      <c r="V1243" s="1" t="n"/>
      <c r="W1243" s="1" t="inlineStr">
        <is>
          <t>https://drive.google.com/uc?export=view&amp;id=1E3Fyn3-LCXW3Y77Hc-ocH9JXvYNVa276</t>
        </is>
      </c>
      <c r="X1243" s="1" t="inlineStr">
        <is>
          <t>https://drive.google.com/uc?export=view&amp;id=1E3Fyn3-LCXW3Y77Hc-ocH9JXvYNVa276</t>
        </is>
      </c>
      <c r="Y1243" t="inlineStr">
        <is>
          <t>https://drive.google.com/uc?export=view&amp;id=1E3Fyn3-LCXW3Y77Hc-ocH9JXvYNVa276</t>
        </is>
      </c>
      <c r="Z1243" s="1" t="inlineStr">
        <is>
          <t>https://drive.google.com/uc?export=view&amp;id=1E3Fyn3-LCXW3Y77Hc-ocH9JXvYNVa276</t>
        </is>
      </c>
      <c r="AA1243" s="1" t="inlineStr">
        <is>
          <t>Unverified</t>
        </is>
      </c>
      <c r="AB1243" s="1" t="n"/>
      <c r="AC1243" s="1" t="n"/>
      <c r="AD1243" s="10" t="n"/>
      <c r="AE1243" s="1" t="n"/>
      <c r="AF1243" s="1" t="inlineStr">
        <is>
          <t>No</t>
        </is>
      </c>
      <c r="AG1243" s="1" t="n"/>
      <c r="AH1243" s="1" t="n"/>
    </row>
    <row r="1244" ht="12.5" customHeight="1">
      <c r="A1244" s="6" t="n">
        <v>45181</v>
      </c>
      <c r="B1244" s="1" t="inlineStr">
        <is>
          <t>ORG_2099</t>
        </is>
      </c>
      <c r="C1244" s="1" t="b">
        <v>1</v>
      </c>
      <c r="D1244" s="1" t="inlineStr">
        <is>
          <t>Photon Entertainment</t>
        </is>
      </c>
      <c r="E1244" s="10" t="inlineStr">
        <is>
          <t>https://photon.education/</t>
        </is>
      </c>
      <c r="F1244" t="inlineStr">
        <is>
          <t>photon.education</t>
        </is>
      </c>
      <c r="G1244" s="1" t="inlineStr">
        <is>
          <t>Photon Entertainment is a Polish producer of educational robots and accessories that help educators in everyday teaching not only of technical and STEAM competences, but also social and emotional ones. Together with educators, we strive to shape the future of humankind. The direct recipients are children and teenagers aged 4 to 19. Apart from Photon educational robots, we have 7 Photon thematic kits: Early Education, Sustainable Energy, Social-Emotional Learning, Special Education, AI Discovery, Robotics &amp; Coding, and Physics. To work with our robot, you just need to download a free of charge Photon EDU, Photon AI or Photon Magic Bridge app.</t>
        </is>
      </c>
      <c r="H1244" s="1" t="inlineStr">
        <is>
          <t>EdTech Poland</t>
        </is>
      </c>
      <c r="I1244" s="1" t="n"/>
      <c r="J1244" s="1" t="inlineStr">
        <is>
          <t>Bialystok</t>
        </is>
      </c>
      <c r="K1244" t="inlineStr">
        <is>
          <t>Bialystok</t>
        </is>
      </c>
      <c r="L1244" t="inlineStr">
        <is>
          <t>Bialystok, Poland</t>
        </is>
      </c>
      <c r="M1244" t="n">
        <v>53.127505</v>
      </c>
      <c r="N1244" t="n">
        <v>23.1470509</v>
      </c>
      <c r="O1244" s="1" t="inlineStr">
        <is>
          <t>Poland</t>
        </is>
      </c>
      <c r="P1244" s="1" t="inlineStr">
        <is>
          <t>Bulgaria, Czechia, France, Germany, Italy, Latvia, Lithuania, Netherlands, Poland, Slovakia, Slovenia, Sweden</t>
        </is>
      </c>
      <c r="Q1244" s="1" t="inlineStr">
        <is>
          <t>11 to 50</t>
        </is>
      </c>
      <c r="R1244" t="inlineStr">
        <is>
          <t>Small</t>
        </is>
      </c>
      <c r="S1244" s="1" t="inlineStr">
        <is>
          <t>Business to Consumer, Business to Schools</t>
        </is>
      </c>
      <c r="T1244" s="1" t="inlineStr">
        <is>
          <t>Early childhood development (0-5 years), Primary Education, Secondary Education</t>
        </is>
      </c>
      <c r="U1244" s="1" t="inlineStr">
        <is>
          <t>Teacher interfacing</t>
        </is>
      </c>
      <c r="V1244" s="10" t="inlineStr">
        <is>
          <t>Photon Robot</t>
        </is>
      </c>
      <c r="W1244" s="10" t="inlineStr">
        <is>
          <t>Interdisciplinary Photon Robot was designed to work with both younger and older students. You can teach core competencies or expand your lessons about planets and the solar system by taking the robot for a walk in space. Photon can be used to introduce colors, animals, or geometrical figures, or even to explain the concept of sustainable energy. Photon is also great for teaching Maths.</t>
        </is>
      </c>
      <c r="X1244" s="10" t="inlineStr">
        <is>
          <t>Photon AI Discovery Kit</t>
        </is>
      </c>
      <c r="Y1244" t="inlineStr">
        <is>
          <t>AI is one of the most important and fastest-developing contemporary technologies in the world. By introducing the concept of AI at an early age, we are arming children with the knowledge that will give them a significant advantage in both their personal and professional lives. With the Photon AI Discovery Kit, this concept can be introduced in an accessible way in any educational institution.</t>
        </is>
      </c>
      <c r="Z1244" s="1" t="inlineStr">
        <is>
          <t>https://drive.google.com/uc?export=view&amp;id=1JaEsNjXJYoeue8G5kTxt_1mD9UhsLrUX</t>
        </is>
      </c>
      <c r="AA1244" s="1" t="inlineStr">
        <is>
          <t>Unverified</t>
        </is>
      </c>
      <c r="AB1244" s="1" t="n"/>
      <c r="AC1244" s="1" t="n"/>
      <c r="AD1244" s="10" t="n"/>
      <c r="AE1244" s="1" t="n"/>
      <c r="AF1244" t="inlineStr">
        <is>
          <t>Yes</t>
        </is>
      </c>
      <c r="AG1244" t="inlineStr">
        <is>
          <t>https://www.instagram.com/photoneducation/</t>
        </is>
      </c>
      <c r="AH1244" t="inlineStr">
        <is>
          <t>https://twitter.com/Photon_Official</t>
        </is>
      </c>
      <c r="AI1244" t="inlineStr">
        <is>
          <t>https://www.linkedin.com/company/photon-entertainment-sp--z-o-o-/mycompany/</t>
        </is>
      </c>
    </row>
    <row r="1245" ht="12.5" customHeight="1">
      <c r="A1245" s="6" t="n">
        <v>45181</v>
      </c>
      <c r="B1245" s="1" t="inlineStr">
        <is>
          <t>ORG_2177</t>
        </is>
      </c>
      <c r="C1245" s="1" t="b">
        <v>1</v>
      </c>
      <c r="D1245" s="1" t="inlineStr">
        <is>
          <t>Remotion</t>
        </is>
      </c>
      <c r="E1245" s="10" t="inlineStr">
        <is>
          <t>www.remotion.live</t>
        </is>
      </c>
      <c r="F1245" t="inlineStr">
        <is>
          <t>remotion.live</t>
        </is>
      </c>
      <c r="G1245" s="1" t="inlineStr">
        <is>
          <t>Integrated Assessments system to manage online exams in one place</t>
        </is>
      </c>
      <c r="H1245" s="1" t="inlineStr">
        <is>
          <t>I'm not part of any EdTech association</t>
        </is>
      </c>
      <c r="I1245" s="1" t="n"/>
      <c r="J1245" s="1" t="inlineStr">
        <is>
          <t>Paris</t>
        </is>
      </c>
      <c r="K1245" t="inlineStr">
        <is>
          <t>Paris</t>
        </is>
      </c>
      <c r="L1245" t="inlineStr">
        <is>
          <t>Paris, France</t>
        </is>
      </c>
      <c r="M1245" t="n">
        <v>48.8534951</v>
      </c>
      <c r="N1245" t="n">
        <v>2.3483915</v>
      </c>
      <c r="O1245" s="1" t="inlineStr">
        <is>
          <t>France</t>
        </is>
      </c>
      <c r="P1245" s="1" t="inlineStr">
        <is>
          <t>France</t>
        </is>
      </c>
      <c r="Q1245" s="1" t="inlineStr">
        <is>
          <t>0 to 10</t>
        </is>
      </c>
      <c r="R1245" t="inlineStr">
        <is>
          <t>Micro</t>
        </is>
      </c>
      <c r="S1245" s="1" t="inlineStr">
        <is>
          <t>Business to Consumer, Business to Schools</t>
        </is>
      </c>
      <c r="T1245" s="1" t="inlineStr">
        <is>
          <t>Higher Education, Corporate Training</t>
        </is>
      </c>
      <c r="U1245" s="1" t="inlineStr">
        <is>
          <t>Student interfacing, Teacher interfacing, System/Administrative</t>
        </is>
      </c>
      <c r="V1245" s="1" t="n"/>
      <c r="W1245" s="1" t="inlineStr">
        <is>
          <t>https://drive.google.com/uc?export=view&amp;id=1pKVC9DdZ2fJRiGp5HXn8UukB3AByde2V</t>
        </is>
      </c>
      <c r="X1245" s="1" t="inlineStr">
        <is>
          <t>https://drive.google.com/uc?export=view&amp;id=1pKVC9DdZ2fJRiGp5HXn8UukB3AByde2V</t>
        </is>
      </c>
      <c r="Y1245" t="inlineStr">
        <is>
          <t>https://drive.google.com/uc?export=view&amp;id=1pKVC9DdZ2fJRiGp5HXn8UukB3AByde2V</t>
        </is>
      </c>
      <c r="Z1245" s="1" t="inlineStr">
        <is>
          <t>https://drive.google.com/uc?export=view&amp;id=1pKVC9DdZ2fJRiGp5HXn8UukB3AByde2V</t>
        </is>
      </c>
      <c r="AA1245" s="1" t="inlineStr">
        <is>
          <t>Unverified</t>
        </is>
      </c>
      <c r="AB1245" s="1" t="n"/>
      <c r="AC1245" s="1" t="n"/>
      <c r="AD1245" s="10" t="n"/>
      <c r="AE1245" s="1" t="n"/>
      <c r="AF1245" t="inlineStr">
        <is>
          <t>No</t>
        </is>
      </c>
    </row>
    <row r="1246" ht="12.5" customHeight="1">
      <c r="A1246" s="6" t="n">
        <v>45181</v>
      </c>
      <c r="B1246" s="1" t="inlineStr">
        <is>
          <t>ORG_2330</t>
        </is>
      </c>
      <c r="C1246" s="1" t="b">
        <v>1</v>
      </c>
      <c r="D1246" s="10" t="inlineStr">
        <is>
          <t>Strikeplagiarism.com</t>
        </is>
      </c>
      <c r="E1246" s="10" t="inlineStr">
        <is>
          <t>https://strikeplagiarism.com</t>
        </is>
      </c>
      <c r="F1246" t="inlineStr">
        <is>
          <t>strikeplagiarism.com</t>
        </is>
      </c>
      <c r="G1246" s="1" t="inlineStr">
        <is>
          <t>StrikePlagiarism.com is designed not only for detecting improper design and mistakes in academic paper, but also to improve quality of the written text.
The company has signed agreements with the leading European databases and aggregators that allows StrikePlagiarism.com clients to access the international scientific journals.
Plagiat.pl is the owner of the StrikePlagiarism.com system and was founded in 2002. Due to wide Internet access, the copy-paste method, as well as various companies writing dissertations in the form of a "ghost-writer" or contract cheating (dissertation mills) have become a global phenomenon and a serious threat to the quality of modern education and science.
Since 2002, our team has been actively engaged in changing attitudes towards academic plagiarism and developing technological, legal and procedural solutions. Plagiat.pl operates in 20 countries (Poland, Germany, Spain, Ukraine, Romania, Columbia, Georgia, Bulgaria etc.) and covers more than 700 universities, including Humboldt University in Berlin, Sofia University, Warsaw University, Jagiellonian University, etc.</t>
        </is>
      </c>
      <c r="H1246" s="1" t="inlineStr">
        <is>
          <t>I'm not part of any EdTech association</t>
        </is>
      </c>
      <c r="I1246" s="1" t="n"/>
      <c r="J1246" s="1" t="inlineStr">
        <is>
          <t>Warszawa</t>
        </is>
      </c>
      <c r="K1246" t="inlineStr">
        <is>
          <t>Warszawa</t>
        </is>
      </c>
      <c r="L1246" t="inlineStr">
        <is>
          <t>Warszawa, Poland</t>
        </is>
      </c>
      <c r="M1246" t="n">
        <v>52.2319581</v>
      </c>
      <c r="N1246" t="n">
        <v>21.0067249</v>
      </c>
      <c r="O1246" s="1" t="inlineStr">
        <is>
          <t>Poland</t>
        </is>
      </c>
      <c r="P1246" s="1" t="inlineStr">
        <is>
          <t>Azerbaijan, Bulgaria, Czechia, Georgia, Germany, Kazakhstan, Moldova, Poland, Romania, Slovakia, Slovenia, Spain, Turkey, Ukraine</t>
        </is>
      </c>
      <c r="Q1246" s="1" t="inlineStr">
        <is>
          <t>100+</t>
        </is>
      </c>
      <c r="R1246" t="inlineStr">
        <is>
          <t>Medium or Large (unspecified)</t>
        </is>
      </c>
      <c r="S1246" s="1" t="inlineStr">
        <is>
          <t>Business to Government, Business to Schools</t>
        </is>
      </c>
      <c r="T1246" s="1" t="inlineStr">
        <is>
          <t>Higher Education</t>
        </is>
      </c>
      <c r="U1246" s="1" t="inlineStr">
        <is>
          <t>Student interfacing, Teacher interfacing</t>
        </is>
      </c>
      <c r="V1246" s="1" t="n"/>
      <c r="W1246" s="1" t="inlineStr">
        <is>
          <t>https://drive.google.com/uc?export=view&amp;id=1mDhSSPOzJp9PEJ6-5YDYHwx7KypM-Lyb</t>
        </is>
      </c>
      <c r="X1246" s="1" t="inlineStr">
        <is>
          <t>https://drive.google.com/uc?export=view&amp;id=1mDhSSPOzJp9PEJ6-5YDYHwx7KypM-Lyb</t>
        </is>
      </c>
      <c r="Y1246" t="inlineStr">
        <is>
          <t>https://drive.google.com/uc?export=view&amp;id=1mDhSSPOzJp9PEJ6-5YDYHwx7KypM-Lyb</t>
        </is>
      </c>
      <c r="Z1246" s="1" t="inlineStr">
        <is>
          <t>https://drive.google.com/uc?export=view&amp;id=1mDhSSPOzJp9PEJ6-5YDYHwx7KypM-Lyb</t>
        </is>
      </c>
      <c r="AA1246" s="1" t="inlineStr">
        <is>
          <t>Unverified</t>
        </is>
      </c>
      <c r="AB1246" s="1" t="n"/>
      <c r="AC1246" s="1" t="n"/>
      <c r="AD1246" s="10" t="n"/>
      <c r="AE1246" s="1" t="n"/>
      <c r="AF1246" s="1" t="inlineStr">
        <is>
          <t>No</t>
        </is>
      </c>
      <c r="AG1246" s="1" t="n"/>
      <c r="AH1246" s="1" t="n"/>
    </row>
    <row r="1247" ht="12.5" customHeight="1">
      <c r="A1247" s="6" t="n">
        <v>45181</v>
      </c>
      <c r="B1247" s="1" t="inlineStr">
        <is>
          <t>ORG_2379</t>
        </is>
      </c>
      <c r="C1247" s="1" t="b">
        <v>1</v>
      </c>
      <c r="D1247" s="1" t="inlineStr">
        <is>
          <t>TECHNEXT®</t>
        </is>
      </c>
      <c r="E1247" s="10" t="inlineStr">
        <is>
          <t>https://www.technext.fr/</t>
        </is>
      </c>
      <c r="F1247" t="inlineStr">
        <is>
          <t>technext.fr</t>
        </is>
      </c>
      <c r="G1247" s="1" t="inlineStr">
        <is>
          <t>The mission of TechNext is to seize and combine two big opportunities:
1. Enhance the valuation of safe environment
2. Educate our youth on how to do it through E-STEAM solutions:
- Environment
- Science
- Technology
- Engineering
- Art
- Mathematics
- AI</t>
        </is>
      </c>
      <c r="H1247" s="1" t="inlineStr">
        <is>
          <t>EdTech France</t>
        </is>
      </c>
      <c r="I1247" s="1" t="n"/>
      <c r="J1247" s="1" t="inlineStr">
        <is>
          <t>Cannes</t>
        </is>
      </c>
      <c r="K1247" t="inlineStr">
        <is>
          <t>Cannes</t>
        </is>
      </c>
      <c r="L1247" t="inlineStr">
        <is>
          <t>Cannes, France</t>
        </is>
      </c>
      <c r="M1247" t="n">
        <v>43.5515198</v>
      </c>
      <c r="N1247" t="n">
        <v>7.0134418</v>
      </c>
      <c r="O1247" s="1" t="inlineStr">
        <is>
          <t>France</t>
        </is>
      </c>
      <c r="P1247" s="1" t="inlineStr">
        <is>
          <t>Austria, Belgium, Bulgaria, Croatia, Czechia, Denmark, Estonia, France, Germany, Greece, Hungary, Italy, Lithuania, Luxembourg, Monaco, Netherlands, Poland, Portugal, Romania, Serbia, Slovakia, Slovenia, Spain, Switzerland, Ukraine, United Kingdom</t>
        </is>
      </c>
      <c r="Q1247" s="1" t="inlineStr">
        <is>
          <t>0 to 10</t>
        </is>
      </c>
      <c r="R1247" t="inlineStr">
        <is>
          <t>Micro</t>
        </is>
      </c>
      <c r="S1247" s="1" t="inlineStr">
        <is>
          <t>Business to Schools</t>
        </is>
      </c>
      <c r="T1247" s="1" t="inlineStr">
        <is>
          <t>Primary Education, Secondary Education, Higher Education</t>
        </is>
      </c>
      <c r="U1247" s="1" t="inlineStr">
        <is>
          <t>System/Administrative, Teacher interfacing</t>
        </is>
      </c>
      <c r="V1247" s="1" t="n"/>
      <c r="W1247" s="1" t="inlineStr">
        <is>
          <t>https://drive.google.com/uc?export=view&amp;id=1oMfLUe1X7HpAghr8-H3mZM-KvR5_g1Vv</t>
        </is>
      </c>
      <c r="X1247" s="1" t="inlineStr">
        <is>
          <t>https://drive.google.com/uc?export=view&amp;id=1oMfLUe1X7HpAghr8-H3mZM-KvR5_g1Vv</t>
        </is>
      </c>
      <c r="Y1247" t="inlineStr">
        <is>
          <t>https://drive.google.com/uc?export=view&amp;id=1oMfLUe1X7HpAghr8-H3mZM-KvR5_g1Vv</t>
        </is>
      </c>
      <c r="Z1247" s="1" t="inlineStr">
        <is>
          <t>https://drive.google.com/uc?export=view&amp;id=1oMfLUe1X7HpAghr8-H3mZM-KvR5_g1Vv</t>
        </is>
      </c>
      <c r="AA1247" s="1" t="inlineStr">
        <is>
          <t>Unverified</t>
        </is>
      </c>
      <c r="AB1247" s="1" t="n"/>
      <c r="AC1247" s="1" t="n"/>
      <c r="AD1247" s="10" t="n"/>
      <c r="AE1247" s="1" t="n"/>
      <c r="AF1247" s="1" t="inlineStr">
        <is>
          <t>No</t>
        </is>
      </c>
      <c r="AG1247" s="1" t="n"/>
      <c r="AH1247" s="1" t="n"/>
    </row>
    <row r="1248" ht="12.5" customHeight="1">
      <c r="A1248" s="6" t="n">
        <v>45181</v>
      </c>
      <c r="B1248" s="1" t="inlineStr">
        <is>
          <t>ORG_2386</t>
        </is>
      </c>
      <c r="C1248" s="1" t="b">
        <v>1</v>
      </c>
      <c r="D1248" s="1" t="inlineStr">
        <is>
          <t>Tenors</t>
        </is>
      </c>
      <c r="E1248" s="10" t="inlineStr">
        <is>
          <t>https://www.tenors.fr</t>
        </is>
      </c>
      <c r="F1248" t="inlineStr">
        <is>
          <t>tenors.fr</t>
        </is>
      </c>
      <c r="G1248" s="1" t="inlineStr">
        <is>
          <t>Speakers recruitment tool for Higher Education.
Tenors makes Speakers' recruitment in higher education simple and expanded.</t>
        </is>
      </c>
      <c r="H1248" s="1" t="inlineStr">
        <is>
          <t>EdTech France</t>
        </is>
      </c>
      <c r="I1248" s="1" t="n"/>
      <c r="J1248" s="1" t="inlineStr">
        <is>
          <t>Bordeaux</t>
        </is>
      </c>
      <c r="K1248" t="inlineStr">
        <is>
          <t>Bordeaux</t>
        </is>
      </c>
      <c r="L1248" t="inlineStr">
        <is>
          <t>Bordeaux, France</t>
        </is>
      </c>
      <c r="M1248" t="n">
        <v>44.841225</v>
      </c>
      <c r="N1248" t="n">
        <v>-0.5800364</v>
      </c>
      <c r="O1248" s="1" t="inlineStr">
        <is>
          <t>France</t>
        </is>
      </c>
      <c r="P1248" s="1" t="inlineStr">
        <is>
          <t>France</t>
        </is>
      </c>
      <c r="Q1248" s="1" t="inlineStr">
        <is>
          <t>0 to 10</t>
        </is>
      </c>
      <c r="R1248" t="inlineStr">
        <is>
          <t>Micro</t>
        </is>
      </c>
      <c r="S1248" s="1" t="inlineStr">
        <is>
          <t>Business to Schools</t>
        </is>
      </c>
      <c r="T1248" s="1" t="inlineStr">
        <is>
          <t>Higher Education, Corporate Training</t>
        </is>
      </c>
      <c r="U1248" s="1" t="inlineStr">
        <is>
          <t>Teacher interfacing, System/Administrative, Student interfacing</t>
        </is>
      </c>
      <c r="V1248" s="1" t="inlineStr">
        <is>
          <t>Speakers recruitement Tool</t>
        </is>
      </c>
      <c r="W1248" s="10" t="inlineStr">
        <is>
          <t>Speakers' recruitment in higher education made simple and expanded</t>
        </is>
      </c>
      <c r="X1248" s="10" t="n"/>
      <c r="Z1248" s="1" t="n"/>
      <c r="AA1248" s="1" t="inlineStr">
        <is>
          <t>Unverified</t>
        </is>
      </c>
      <c r="AB1248" s="1" t="n"/>
      <c r="AC1248" s="1" t="n"/>
      <c r="AD1248" s="1" t="n"/>
      <c r="AE1248" s="1" t="n"/>
      <c r="AF1248" t="inlineStr">
        <is>
          <t>Yes</t>
        </is>
      </c>
      <c r="AG1248" t="inlineStr">
        <is>
          <t>https://twitter.com/TenorsFrance</t>
        </is>
      </c>
      <c r="AH1248" t="inlineStr">
        <is>
          <t>https://twitter.com/TenorsFrance</t>
        </is>
      </c>
      <c r="AI1248" t="inlineStr">
        <is>
          <t>https://www.linkedin.com/company/68142561/</t>
        </is>
      </c>
    </row>
    <row r="1249" ht="12.5" customHeight="1">
      <c r="A1249" s="6" t="n">
        <v>45181</v>
      </c>
      <c r="B1249" s="1" t="inlineStr">
        <is>
          <t>ORG_2494</t>
        </is>
      </c>
      <c r="C1249" s="1" t="b">
        <v>1</v>
      </c>
      <c r="D1249" s="1" t="inlineStr">
        <is>
          <t>Vigilo</t>
        </is>
      </c>
      <c r="E1249" s="10" t="inlineStr">
        <is>
          <t>www.vigilo.no</t>
        </is>
      </c>
      <c r="F1249" t="inlineStr">
        <is>
          <t>vigilo.no</t>
        </is>
      </c>
      <c r="G1249" s="1" t="inlineStr">
        <is>
          <t>Vigilo AS is an EdTech software company, providing a complete Student Information System with integrated modules for scheduling, communication, assessments and more. It currently holds 25 % of the Norwegian K-12 market three years post launch, with forthcoming international expansion. Vigilo AS was founded in 2010, with the aim of providing time saving web based software for schools and kindergartens. A close collaboration with our customers have been the key to our success. Most of Vigilo employees are former educators with solid experience. The combined expertise of the customers’ and our own experienced staff has led to highly innovative solutions that actually work in a real world environment. User friendliness, scalability and universal standards are three pillars of our platform.</t>
        </is>
      </c>
      <c r="H1249" s="1" t="inlineStr">
        <is>
          <t>Swedish EdTech Industry</t>
        </is>
      </c>
      <c r="I1249" s="1" t="n"/>
      <c r="J1249" s="1" t="inlineStr">
        <is>
          <t>Karmsund</t>
        </is>
      </c>
      <c r="K1249" t="inlineStr">
        <is>
          <t>Karmsund</t>
        </is>
      </c>
      <c r="L1249" t="inlineStr">
        <is>
          <t>Karmsund, Norway</t>
        </is>
      </c>
      <c r="M1249" t="n">
        <v>59.3755479</v>
      </c>
      <c r="N1249" t="n">
        <v>5.2963763</v>
      </c>
      <c r="O1249" s="1" t="inlineStr">
        <is>
          <t>Norway</t>
        </is>
      </c>
      <c r="P1249" s="1" t="inlineStr">
        <is>
          <t>Norway, Sweden</t>
        </is>
      </c>
      <c r="Q1249" s="1" t="inlineStr">
        <is>
          <t>11 to 50</t>
        </is>
      </c>
      <c r="R1249" t="inlineStr">
        <is>
          <t>Small</t>
        </is>
      </c>
      <c r="S1249" s="1" t="inlineStr">
        <is>
          <t>Business to Schools</t>
        </is>
      </c>
      <c r="T1249" s="1" t="inlineStr">
        <is>
          <t>Early childhood development (0-5 years), Primary Education, Secondary Education</t>
        </is>
      </c>
      <c r="U1249" s="1" t="inlineStr">
        <is>
          <t>System/Administrative, Teacher interfacing, Student interfacing</t>
        </is>
      </c>
      <c r="V1249" s="10" t="inlineStr">
        <is>
          <t>Vigilo SIS</t>
        </is>
      </c>
      <c r="W1249" s="1" t="inlineStr">
        <is>
          <t>Vigilo is a complete Student Information System for the K-12 sector, covering everything from child care admission to issuing secondary school diplomas.
Vigilo uses IMS OneRoster certified APIs for integrations, giving the customer control and ownership of their own data. Together with a modern and user friendly interface, this makes Vigilo a time saver in a world where time is scarce.</t>
        </is>
      </c>
      <c r="X1249" s="10" t="inlineStr">
        <is>
          <t>Vigilo Child Care</t>
        </is>
      </c>
      <c r="Y1249" t="inlineStr">
        <is>
          <t>Modules from Vigilo SIS can be combined to form a complete system for administration of one or more child care institutions. Vigilo can provide a suite with both admission/applications, parent communication/information, attendance, invoicing, curriculum planning and Individual Education Plans.</t>
        </is>
      </c>
      <c r="Z1249" s="1" t="inlineStr">
        <is>
          <t>https://drive.google.com/uc?export=view&amp;id=1ftgcCVzwNHGBsELjyU1tPyCfQ4rR_F7Z</t>
        </is>
      </c>
      <c r="AA1249" s="1" t="inlineStr">
        <is>
          <t>Unverified</t>
        </is>
      </c>
      <c r="AB1249" s="1" t="n"/>
      <c r="AC1249" s="1" t="n"/>
      <c r="AD1249" s="10" t="n"/>
      <c r="AE1249" s="1" t="n"/>
      <c r="AF1249" t="inlineStr">
        <is>
          <t>Yes</t>
        </is>
      </c>
      <c r="AG1249" t="inlineStr">
        <is>
          <t>https://www.instagram.com/vigilooas/</t>
        </is>
      </c>
      <c r="AH1249" t="inlineStr">
        <is>
          <t>http://www.linkedin.com/company/vigilo-as/</t>
        </is>
      </c>
      <c r="AI1249" t="inlineStr">
        <is>
          <t>www.linkedin.com/company/vigilo-as/</t>
        </is>
      </c>
    </row>
    <row r="1250" ht="12.5" customHeight="1">
      <c r="A1250" s="6" t="n">
        <v>45181</v>
      </c>
      <c r="B1250" s="1" t="inlineStr">
        <is>
          <t>ORG_1068</t>
        </is>
      </c>
      <c r="C1250" s="1" t="b">
        <v>1</v>
      </c>
      <c r="D1250" s="1" t="inlineStr">
        <is>
          <t>Amazyf</t>
        </is>
      </c>
      <c r="E1250" s="10" t="inlineStr">
        <is>
          <t>www.amazyf.com</t>
        </is>
      </c>
      <c r="F1250" t="inlineStr">
        <is>
          <t>amazyf.com</t>
        </is>
      </c>
      <c r="G1250" s="1" t="inlineStr">
        <is>
          <t>Amazyf is a company specialised into digital training for the agricultural, forestry and road works equipment. 
We are proposing services of e-learning and 3D creation along with translation services.</t>
        </is>
      </c>
      <c r="H1250" s="1" t="inlineStr">
        <is>
          <t>I'm not part of any EdTech association</t>
        </is>
      </c>
      <c r="I1250" s="1" t="n"/>
      <c r="J1250" s="1" t="inlineStr">
        <is>
          <t>Noyers Saint Martin</t>
        </is>
      </c>
      <c r="K1250" t="inlineStr">
        <is>
          <t>Noyers Saint Martin</t>
        </is>
      </c>
      <c r="L1250" t="inlineStr">
        <is>
          <t>Noyers Saint Martin, France</t>
        </is>
      </c>
      <c r="M1250" t="n">
        <v>49.5520222</v>
      </c>
      <c r="N1250" t="n">
        <v>2.262525</v>
      </c>
      <c r="O1250" s="1" t="inlineStr">
        <is>
          <t>France</t>
        </is>
      </c>
      <c r="P1250" s="1" t="inlineStr">
        <is>
          <t>France, Germany, Ireland, Italy, United Kingdom</t>
        </is>
      </c>
      <c r="Q1250" s="1" t="inlineStr">
        <is>
          <t>0 to 10</t>
        </is>
      </c>
      <c r="R1250" t="inlineStr">
        <is>
          <t>Micro</t>
        </is>
      </c>
      <c r="S1250" s="1" t="inlineStr">
        <is>
          <t>Business to Business</t>
        </is>
      </c>
      <c r="T1250" s="1" t="inlineStr">
        <is>
          <t>Primary Education, Secondary Education, Higher Education, Corporate Training</t>
        </is>
      </c>
      <c r="U1250" s="1" t="inlineStr">
        <is>
          <t>Teacher interfacing, Student interfacing, System/Administrative</t>
        </is>
      </c>
      <c r="V1250" s="1" t="n"/>
      <c r="W1250" s="1" t="inlineStr">
        <is>
          <t>https://drive.google.com/uc?export=view&amp;id=19z95nPJbzIE1wzeq2rLUCqrNAkUtdA7I</t>
        </is>
      </c>
      <c r="X1250" s="1" t="inlineStr">
        <is>
          <t>https://drive.google.com/uc?export=view&amp;id=19z95nPJbzIE1wzeq2rLUCqrNAkUtdA7I</t>
        </is>
      </c>
      <c r="Y1250" t="inlineStr">
        <is>
          <t>https://drive.google.com/uc?export=view&amp;id=19z95nPJbzIE1wzeq2rLUCqrNAkUtdA7I</t>
        </is>
      </c>
      <c r="Z1250" s="1" t="inlineStr">
        <is>
          <t>https://drive.google.com/uc?export=view&amp;id=19z95nPJbzIE1wzeq2rLUCqrNAkUtdA7I</t>
        </is>
      </c>
      <c r="AA1250" s="1" t="inlineStr">
        <is>
          <t>Unverified</t>
        </is>
      </c>
      <c r="AB1250" s="1" t="n"/>
      <c r="AC1250" s="1" t="n"/>
      <c r="AD1250" s="10" t="n"/>
      <c r="AE1250" s="1" t="n"/>
      <c r="AF1250" s="1" t="inlineStr">
        <is>
          <t>No</t>
        </is>
      </c>
      <c r="AG1250" s="1" t="n"/>
      <c r="AH1250" s="1" t="n"/>
    </row>
    <row r="1251" ht="12.5" customHeight="1">
      <c r="A1251" s="6" t="n">
        <v>45181</v>
      </c>
      <c r="B1251" s="1" t="inlineStr">
        <is>
          <t>ORG_1191</t>
        </is>
      </c>
      <c r="C1251" s="1" t="b">
        <v>1</v>
      </c>
      <c r="D1251" s="1" t="inlineStr">
        <is>
          <t>Brain Shakers</t>
        </is>
      </c>
      <c r="E1251" s="10" t="inlineStr">
        <is>
          <t>https://www.brainshakers.es/</t>
        </is>
      </c>
      <c r="F1251" t="inlineStr">
        <is>
          <t>brainshakers.es</t>
        </is>
      </c>
      <c r="G1251" s="1" t="inlineStr">
        <is>
          <t>Our mission is to ignite the creative imagination of kids through technological projects. We want to inspire future designers, makers, innovators.
We do it both through specialized toys (many of our own design) and through workshops in which children and young people experiment with technology to solve real life problems.</t>
        </is>
      </c>
      <c r="H1251" s="1" t="inlineStr">
        <is>
          <t>I'm not part of any EdTech association</t>
        </is>
      </c>
      <c r="I1251" s="1" t="n"/>
      <c r="J1251" s="1" t="inlineStr">
        <is>
          <t>Barcelona</t>
        </is>
      </c>
      <c r="K1251" t="inlineStr">
        <is>
          <t>Barcelona</t>
        </is>
      </c>
      <c r="L1251" t="inlineStr">
        <is>
          <t>Barcelona, Spain</t>
        </is>
      </c>
      <c r="M1251" t="n">
        <v>41.3825802</v>
      </c>
      <c r="N1251" t="n">
        <v>2.177073</v>
      </c>
      <c r="O1251" s="1" t="inlineStr">
        <is>
          <t>Spain</t>
        </is>
      </c>
      <c r="P1251" s="1" t="inlineStr">
        <is>
          <t>Spain</t>
        </is>
      </c>
      <c r="Q1251" s="1" t="inlineStr">
        <is>
          <t>11 to 50</t>
        </is>
      </c>
      <c r="R1251" t="inlineStr">
        <is>
          <t>Small</t>
        </is>
      </c>
      <c r="S1251" s="1" t="inlineStr">
        <is>
          <t>Business to Business</t>
        </is>
      </c>
      <c r="T1251" s="1" t="inlineStr">
        <is>
          <t>Primary Education, Secondary Education, Lifelong learning/Adult education</t>
        </is>
      </c>
      <c r="U1251" s="1" t="inlineStr">
        <is>
          <t>System/Administrative, Student interfacing, Teacher interfacing</t>
        </is>
      </c>
      <c r="V1251" s="1" t="n"/>
      <c r="W1251" s="1" t="inlineStr">
        <is>
          <t>https://drive.google.com/uc?export=view&amp;id=1zrB_KifjeHG9JtYZa5mm01Yvdm5h4Tts</t>
        </is>
      </c>
      <c r="X1251" s="1" t="inlineStr">
        <is>
          <t>https://drive.google.com/uc?export=view&amp;id=1zrB_KifjeHG9JtYZa5mm01Yvdm5h4Tts</t>
        </is>
      </c>
      <c r="Y1251" t="inlineStr">
        <is>
          <t>https://drive.google.com/uc?export=view&amp;id=1zrB_KifjeHG9JtYZa5mm01Yvdm5h4Tts</t>
        </is>
      </c>
      <c r="Z1251" s="1" t="inlineStr">
        <is>
          <t>https://drive.google.com/uc?export=view&amp;id=1zrB_KifjeHG9JtYZa5mm01Yvdm5h4Tts</t>
        </is>
      </c>
      <c r="AA1251" s="1" t="inlineStr">
        <is>
          <t>Unverified</t>
        </is>
      </c>
      <c r="AB1251" s="1" t="n"/>
      <c r="AC1251" s="1" t="n"/>
      <c r="AD1251" s="10" t="n"/>
      <c r="AE1251" s="1" t="n"/>
      <c r="AF1251" t="inlineStr">
        <is>
          <t>No</t>
        </is>
      </c>
    </row>
    <row r="1252" ht="12.5" customHeight="1">
      <c r="A1252" s="6" t="n">
        <v>45181</v>
      </c>
      <c r="B1252" s="1" t="inlineStr">
        <is>
          <t>ORG_1333</t>
        </is>
      </c>
      <c r="C1252" s="1" t="b">
        <v>1</v>
      </c>
      <c r="D1252" s="1" t="inlineStr">
        <is>
          <t>Deeplo AI</t>
        </is>
      </c>
      <c r="E1252" s="10" t="inlineStr">
        <is>
          <t>www.deeploai.com</t>
        </is>
      </c>
      <c r="F1252" t="inlineStr">
        <is>
          <t>deeploai.com</t>
        </is>
      </c>
      <c r="G1252" s="1" t="inlineStr">
        <is>
          <t>Deeplo AI is an online platform that provides free access to virtual internship programs co-designed by top companies. These programs are role-based, replicating real-world work experiences in companies through simulated tasks and assignments. By completing the programs, students learn more about the organisation and the role, gaining the essential skills required by the company, and demonstrating their commitment and capabilities. At the end, students have the opportunity to be hired by the companies.</t>
        </is>
      </c>
      <c r="H1252" s="1" t="inlineStr">
        <is>
          <t>Dutch EdTech</t>
        </is>
      </c>
      <c r="I1252" s="1" t="n"/>
      <c r="J1252" s="1" t="inlineStr">
        <is>
          <t>Amsterdam</t>
        </is>
      </c>
      <c r="K1252" t="inlineStr">
        <is>
          <t>Amsterdam</t>
        </is>
      </c>
      <c r="L1252" t="inlineStr">
        <is>
          <t>Amsterdam, The Netherlands</t>
        </is>
      </c>
      <c r="M1252" t="n">
        <v>52.3701984</v>
      </c>
      <c r="N1252" t="n">
        <v>4.892168</v>
      </c>
      <c r="O1252" s="1" t="inlineStr">
        <is>
          <t>The Netherlands</t>
        </is>
      </c>
      <c r="P1252" s="1" t="inlineStr">
        <is>
          <t>Belgium, Denmark, Finland, France, Germany, Greece, Netherlands, Poland, Spain, Sweden, Turkey, Ukraine, United Kingdom</t>
        </is>
      </c>
      <c r="Q1252" s="1" t="inlineStr">
        <is>
          <t>0 to 10</t>
        </is>
      </c>
      <c r="R1252" t="inlineStr">
        <is>
          <t>Micro</t>
        </is>
      </c>
      <c r="S1252" s="1" t="inlineStr">
        <is>
          <t>Business to Business</t>
        </is>
      </c>
      <c r="T1252" s="1" t="inlineStr">
        <is>
          <t>Higher Education, Corporate Training, Lifelong learning/Adult education</t>
        </is>
      </c>
      <c r="U1252" s="1" t="inlineStr">
        <is>
          <t>Student interfacing, Teacher interfacing, System/Administrative</t>
        </is>
      </c>
      <c r="V1252" s="1" t="inlineStr">
        <is>
          <t>Virtual Experience Programs</t>
        </is>
      </c>
      <c r="W1252" s="1" t="inlineStr">
        <is>
          <t>Virtual Experience Programs are similar to the internship programs, but are held online and open-access to all university students. These programs are bite-sized and consist of video instructions by real company employees, offering some tasks and assignments to students to mimic the real work experience of working in those companies. The programs are offered by leading companies, helping students pre skill and become job ready. At the end of the programs, students have the opportunity to be hired by the companies.</t>
        </is>
      </c>
      <c r="X1252" s="10" t="inlineStr">
        <is>
          <t>https://drive.google.com/uc?export=view&amp;id=1n2i0BCc2eWCS95Z2tQAImk0zbX49YPD9</t>
        </is>
      </c>
      <c r="Y1252" t="inlineStr">
        <is>
          <t>https://drive.google.com/uc?export=view&amp;id=1n2i0BCc2eWCS95Z2tQAImk0zbX49YPD9</t>
        </is>
      </c>
      <c r="Z1252" s="1" t="inlineStr">
        <is>
          <t>https://drive.google.com/uc?export=view&amp;id=1n2i0BCc2eWCS95Z2tQAImk0zbX49YPD9</t>
        </is>
      </c>
      <c r="AA1252" s="1" t="inlineStr">
        <is>
          <t>Unverified</t>
        </is>
      </c>
      <c r="AB1252" s="1" t="n"/>
      <c r="AC1252" s="1" t="n"/>
      <c r="AD1252" s="10" t="n"/>
      <c r="AE1252" s="1" t="n"/>
      <c r="AF1252" t="inlineStr">
        <is>
          <t>Yes</t>
        </is>
      </c>
      <c r="AG1252" t="inlineStr">
        <is>
          <t>https://www.linkedin.com/company/deeplo-ai/</t>
        </is>
      </c>
      <c r="AH1252" t="inlineStr">
        <is>
          <t>https://www.linkedin.com/company/deeplo-ai/</t>
        </is>
      </c>
      <c r="AI1252" t="inlineStr">
        <is>
          <t>https://www.linkedin.com/company/deeplo-ai/</t>
        </is>
      </c>
    </row>
    <row r="1253" ht="12.5" customHeight="1">
      <c r="A1253" s="6" t="n">
        <v>45181</v>
      </c>
      <c r="B1253" s="1" t="inlineStr">
        <is>
          <t>ORG_1354</t>
        </is>
      </c>
      <c r="C1253" s="1" t="b">
        <v>1</v>
      </c>
      <c r="D1253" s="1" t="inlineStr">
        <is>
          <t>Diginnovative Digital Learning</t>
        </is>
      </c>
      <c r="E1253" s="10" t="inlineStr">
        <is>
          <t>https://emaze.me/diginnovative#Accueil</t>
        </is>
      </c>
      <c r="F1253" t="inlineStr">
        <is>
          <t>emaze.me/diginnovative#accueil</t>
        </is>
      </c>
      <c r="G1253" s="1" t="inlineStr">
        <is>
          <t>We design and develop engaging learning programmes to help learners improve their skills.
How ? We take into account every bit of your context, expectations and needs to design the right activity at the right time of the learning journey with the right learning outcome.
Why ? Because we are convinced that motivation, engagement are the key to better learning and upskilling and reskilling.
To achieve this, we mix learning modalities and we keep learners at the heart of everything we create.</t>
        </is>
      </c>
      <c r="H1253" s="1" t="inlineStr">
        <is>
          <t>I'm not part of any EdTech association</t>
        </is>
      </c>
      <c r="I1253" s="1" t="inlineStr">
        <is>
          <t>French, English</t>
        </is>
      </c>
      <c r="J1253" s="1" t="inlineStr">
        <is>
          <t>Orange</t>
        </is>
      </c>
      <c r="K1253" t="inlineStr">
        <is>
          <t>Orange</t>
        </is>
      </c>
      <c r="L1253" t="inlineStr">
        <is>
          <t>Orange, France</t>
        </is>
      </c>
      <c r="M1253" t="n">
        <v>44.1371311</v>
      </c>
      <c r="N1253" t="n">
        <v>4.8078783</v>
      </c>
      <c r="O1253" s="1" t="inlineStr">
        <is>
          <t>France</t>
        </is>
      </c>
      <c r="P1253" s="1" t="inlineStr">
        <is>
          <t>Austria, Belgium, Croatia, Cyprus, Czechia, Denmark, Estonia, Finland, France, Germany, Greece, Iceland, Ireland, Italy, Latvia, Liechtenstein, Lithuania, Luxembourg, Malta, Netherlands, Norway, Poland, Portugal, Romania, Spain, Sweden, Switzerland, Turkey, Ukraine, United Kingdom</t>
        </is>
      </c>
      <c r="Q1253" s="1" t="inlineStr">
        <is>
          <t>0 to 2</t>
        </is>
      </c>
      <c r="R1253" t="inlineStr">
        <is>
          <t>Solo entrepreneur</t>
        </is>
      </c>
      <c r="S1253" s="1" t="inlineStr">
        <is>
          <t>Business to Business</t>
        </is>
      </c>
      <c r="T1253" s="1" t="inlineStr">
        <is>
          <t>Corporate Training, Lifelong learning/Adult education, Vocational Education and Training (VET), Higher Education</t>
        </is>
      </c>
      <c r="U1253" s="1" t="inlineStr">
        <is>
          <t>Teacher interfacing, System/Administrative, Student interfacing</t>
        </is>
      </c>
      <c r="V1253" s="1" t="inlineStr">
        <is>
          <t>Digital learning programmes design and implementation</t>
        </is>
      </c>
      <c r="W1253" s="1" t="inlineStr">
        <is>
          <t>We design and implement enriched classroom, blended learning and e-learning training courses. We design the pedagogical engineering. We create interactive modules with quizzes, video (face-to-face, animated and interactive), podcasts and dialogue simulations.
We design and run virtual classes. We mobilize our pedagogical expertise to create and deliver virtual classes that encourage interaction and exchange.
We support in-house teams' skills development with practical workshops. These workshops are dedicated to the discovery of animation techniques, the use of digital tools and the practical application of activities that encourage learner involvement.</t>
        </is>
      </c>
      <c r="X1253" s="10" t="inlineStr">
        <is>
          <t>Digitalization strategy</t>
        </is>
      </c>
      <c r="Y1253" t="inlineStr">
        <is>
          <t>We help organizations define and deploy the digitalization strategy best suited to their context.
To achieve this, we adopt a methodical approach:
- internal audit
- identification of objectives (SMART)
- co-construction of an action plan
- identification of key players and project leaders
- planning priority actions to be deployed
- Benchmarking and selection of solutions adapted to the organization's context
- support for management teams in implementing strategy
During the workshops we facilitate, we point out that one of the keys towards success is to act as a team.
What makes us appreciated by our clients is that We never come up with a preconceived solution, but with a fresh perspective for each new assignment. Every context is unique, and demands a customized solution. The phrase "one size fits all" is banned in our team!
We adjust to our clients and to their context to help them find the best way to make their digital learning project successful.</t>
        </is>
      </c>
      <c r="Z1253" s="1" t="inlineStr">
        <is>
          <t>https://drive.google.com/uc?export=view&amp;id=1sVCt5FzqQy0xVl_xu0vRuh3DVa5TlMTE</t>
        </is>
      </c>
      <c r="AA1253" s="1" t="inlineStr">
        <is>
          <t>Unverified</t>
        </is>
      </c>
      <c r="AB1253" s="1" t="n"/>
      <c r="AC1253" s="1" t="n"/>
      <c r="AD1253" s="10" t="n"/>
      <c r="AE1253" s="1" t="n"/>
      <c r="AF1253" t="inlineStr">
        <is>
          <t>Yes</t>
        </is>
      </c>
      <c r="AG1253" t="inlineStr">
        <is>
          <t>https://www.linkedin.com/company/diginnovative/</t>
        </is>
      </c>
      <c r="AH1253" t="inlineStr">
        <is>
          <t>https://www.linkedin.com/company/diginnovative/</t>
        </is>
      </c>
      <c r="AI1253" t="inlineStr">
        <is>
          <t>https://www.linkedin.com/company/diginnovative/</t>
        </is>
      </c>
    </row>
    <row r="1254" ht="12.5" customHeight="1">
      <c r="A1254" s="6" t="n">
        <v>45181</v>
      </c>
      <c r="B1254" s="1" t="inlineStr">
        <is>
          <t>ORG_1406</t>
        </is>
      </c>
      <c r="C1254" s="1" t="b">
        <v>1</v>
      </c>
      <c r="D1254" s="1" t="inlineStr">
        <is>
          <t>Edflex</t>
        </is>
      </c>
      <c r="E1254" s="10" t="inlineStr">
        <is>
          <t>edflex.com/en</t>
        </is>
      </c>
      <c r="F1254" t="inlineStr">
        <is>
          <t>edflex.com/en</t>
        </is>
      </c>
      <c r="G1254" s="1" t="inlineStr">
        <is>
          <t>We live in a world where information is everywhere. Knowledge is all around us, but finding the right information to learn and develop new skills is not that easy. 
Fake news, millions of sources on the web, quality of available and free content. Learning curation is crucial.
Edflex responds to this challenge with: 
1. Simplified access to all quality resources, classified by category.
2. A fresh content catalog with new habits modalities ( podcast, video, article...) updated everyday.
3. An instant response to train when and where you want (atawad).
Simpler, more engaging and instantaneous, directly linked with the needs of learners: this is our vision of learning.</t>
        </is>
      </c>
      <c r="H1254" s="1" t="inlineStr">
        <is>
          <t>EdTech France</t>
        </is>
      </c>
      <c r="I1254" s="1" t="n"/>
      <c r="J1254" s="1" t="inlineStr">
        <is>
          <t>Paris</t>
        </is>
      </c>
      <c r="K1254" t="inlineStr">
        <is>
          <t>Paris</t>
        </is>
      </c>
      <c r="L1254" t="inlineStr">
        <is>
          <t>Paris, France</t>
        </is>
      </c>
      <c r="M1254" t="n">
        <v>48.8534951</v>
      </c>
      <c r="N1254" t="n">
        <v>2.3483915</v>
      </c>
      <c r="O1254" s="1" t="inlineStr">
        <is>
          <t>France</t>
        </is>
      </c>
      <c r="P1254" s="1" t="inlineStr">
        <is>
          <t>Belgium, France, Germany, Luxembourg, Netherlands, Spain, Switzerland</t>
        </is>
      </c>
      <c r="Q1254" s="1" t="inlineStr">
        <is>
          <t>51 to 100</t>
        </is>
      </c>
      <c r="R1254" t="inlineStr">
        <is>
          <t>Medium</t>
        </is>
      </c>
      <c r="S1254" s="1" t="inlineStr">
        <is>
          <t>Business to Business</t>
        </is>
      </c>
      <c r="T1254" s="1" t="inlineStr">
        <is>
          <t>Corporate Training, Lifelong learning/Adult education</t>
        </is>
      </c>
      <c r="U1254" s="1" t="inlineStr">
        <is>
          <t>Teacher interfacing, Student interfacing, System/Administrative</t>
        </is>
      </c>
      <c r="V1254" s="10" t="inlineStr">
        <is>
          <t>Edflex</t>
        </is>
      </c>
      <c r="W1254" s="10" t="inlineStr">
        <is>
          <t>Edflex inspires and engages employees in their professional and personal development. More than just a simplified access to thousands of online training contents, Edflex is a SaaS solution that changes the way employees learn every day. We offer more than 40,000 expert-qualified contents (online courses, videos, podcasts, articles...) in native languages, and transform them into an intuitive catalog accessible at any time from our solution, or integrated into your LMS or HRIS. Since 2016, we have been supporting 600,000 users from large groups (including Club Med, Air France, Orange and Total Energies).</t>
        </is>
      </c>
      <c r="X1254" s="10" t="inlineStr">
        <is>
          <t>https://drive.google.com/uc?export=view&amp;id=1oqMbYQMdeDegGd1CtvU_nhKKmPiWwj9k</t>
        </is>
      </c>
      <c r="Y1254" t="inlineStr">
        <is>
          <t>https://drive.google.com/uc?export=view&amp;id=1oqMbYQMdeDegGd1CtvU_nhKKmPiWwj9k</t>
        </is>
      </c>
      <c r="Z1254" s="1" t="inlineStr">
        <is>
          <t>https://drive.google.com/uc?export=view&amp;id=1oqMbYQMdeDegGd1CtvU_nhKKmPiWwj9k</t>
        </is>
      </c>
      <c r="AA1254" s="1" t="inlineStr">
        <is>
          <t>Unverified</t>
        </is>
      </c>
      <c r="AB1254" s="1" t="n"/>
      <c r="AC1254" s="1" t="n"/>
      <c r="AD1254" s="10" t="n"/>
      <c r="AE1254" s="1" t="n"/>
      <c r="AF1254" t="inlineStr">
        <is>
          <t>Yes</t>
        </is>
      </c>
      <c r="AG1254" t="inlineStr">
        <is>
          <t>https://www.instagram.com/edflex_fr</t>
        </is>
      </c>
      <c r="AH1254" t="inlineStr">
        <is>
          <t>https://twitter.com/edflex_fr</t>
        </is>
      </c>
      <c r="AI1254" t="inlineStr">
        <is>
          <t>https://www.linkedin.com/company/edflex-hq</t>
        </is>
      </c>
    </row>
    <row r="1255" ht="12.5" customHeight="1">
      <c r="A1255" s="6" t="n">
        <v>45181</v>
      </c>
      <c r="B1255" s="1" t="inlineStr">
        <is>
          <t>ORG_1410</t>
        </is>
      </c>
      <c r="C1255" s="1" t="b">
        <v>1</v>
      </c>
      <c r="D1255" s="1" t="inlineStr">
        <is>
          <t>Edita</t>
        </is>
      </c>
      <c r="E1255" s="10" t="inlineStr">
        <is>
          <t>https://edita.fi</t>
        </is>
      </c>
      <c r="F1255" t="inlineStr">
        <is>
          <t>edita.fi</t>
        </is>
      </c>
      <c r="G1255" s="1" t="inlineStr">
        <is>
          <t>Edita is a Finnish publisher of educational materials. We provide high quality printed and digital learning materials for lower and upper secondary school and vocational studies to support learning and teaching. Our study materials combine up-to-date pedagogy and fresh research data.</t>
        </is>
      </c>
      <c r="H1255" s="1" t="inlineStr">
        <is>
          <t>I'm not part of any EdTech association</t>
        </is>
      </c>
      <c r="I1255" s="1" t="n"/>
      <c r="J1255" s="1" t="inlineStr">
        <is>
          <t>Helsinki</t>
        </is>
      </c>
      <c r="K1255" t="inlineStr">
        <is>
          <t>Helsinki</t>
        </is>
      </c>
      <c r="L1255" t="inlineStr">
        <is>
          <t>Helsinki, Finland</t>
        </is>
      </c>
      <c r="M1255" t="n">
        <v>60.1666204</v>
      </c>
      <c r="N1255" t="n">
        <v>24.9435408</v>
      </c>
      <c r="O1255" s="1" t="inlineStr">
        <is>
          <t>Finland</t>
        </is>
      </c>
      <c r="P1255" s="1" t="inlineStr">
        <is>
          <t>Finland</t>
        </is>
      </c>
      <c r="Q1255" s="1" t="inlineStr">
        <is>
          <t>100+</t>
        </is>
      </c>
      <c r="R1255" t="inlineStr">
        <is>
          <t>Medium or Large (unspecified)</t>
        </is>
      </c>
      <c r="S1255" s="1" t="inlineStr">
        <is>
          <t>Business to Business</t>
        </is>
      </c>
      <c r="T1255" s="1" t="inlineStr">
        <is>
          <t>Primary Education, Secondary Education, Higher Education, Lifelong learning/Adult education</t>
        </is>
      </c>
      <c r="U1255" s="1" t="inlineStr">
        <is>
          <t>Student interfacing, Teacher interfacing</t>
        </is>
      </c>
      <c r="V1255" s="10" t="inlineStr">
        <is>
          <t>Ioni</t>
        </is>
      </c>
      <c r="W1255" s="10" t="inlineStr">
        <is>
          <t>Edita's new high school chemistry material is a functional entity based on a printed textbook, digital book and digital teacher material. The versatile tasks of the material strengthen your chemistry skills and prepare you to have the skills needed for higher education. The study material supports the study of phenomena experimentally and guides the student to the different stages of scientific research. In-depth texts shed light on the importance of chemistry in society and guide you to research and process a variety of materials.</t>
        </is>
      </c>
      <c r="X1255" s="10" t="inlineStr">
        <is>
          <t>Quest</t>
        </is>
      </c>
      <c r="Y1255" t="inlineStr">
        <is>
          <t>Quest is a new and inspiring English learning material for high school’s new 2021 curriculum. The Quest series invites its user to an adventure where the student gets to know himself as a learner as well as the global world from different perspectives. Quest's learning materials respond to the goals of the new curriculum with pedagogically thought-out, authentic and diverse texts, differentiated task paths, and comprehensive grammar.</t>
        </is>
      </c>
      <c r="Z1255" s="1" t="inlineStr">
        <is>
          <t>https://drive.google.com/uc?export=view&amp;id=1bdGHUz7GG9taDwratfC6lAFQxObaIVq2</t>
        </is>
      </c>
      <c r="AA1255" s="1" t="inlineStr">
        <is>
          <t>Unverified</t>
        </is>
      </c>
      <c r="AB1255" s="1" t="n"/>
      <c r="AC1255" s="1" t="n"/>
      <c r="AD1255" s="10" t="n"/>
      <c r="AE1255" s="1" t="n"/>
      <c r="AF1255" t="inlineStr">
        <is>
          <t>Yes</t>
        </is>
      </c>
      <c r="AG1255" t="inlineStr">
        <is>
          <t>https://www.instagram.com/edita_oppiminen/?hl=fi</t>
        </is>
      </c>
      <c r="AH1255" t="inlineStr">
        <is>
          <t>https://twitter.com/editaoppiminen</t>
        </is>
      </c>
      <c r="AI1255" t="inlineStr">
        <is>
          <t>https://www.linkedin.com/company/edita-oppiminen?originalSubdomain=fi</t>
        </is>
      </c>
    </row>
    <row r="1256" ht="12.5" customHeight="1">
      <c r="A1256" s="6" t="n">
        <v>45181</v>
      </c>
      <c r="B1256" s="1" t="inlineStr">
        <is>
          <t>ORG_1436</t>
        </is>
      </c>
      <c r="C1256" s="1" t="b">
        <v>1</v>
      </c>
      <c r="D1256" s="1" t="inlineStr">
        <is>
          <t>educom</t>
        </is>
      </c>
      <c r="E1256" s="10" t="inlineStr">
        <is>
          <t>https://www.educom.at/</t>
        </is>
      </c>
      <c r="F1256" t="inlineStr">
        <is>
          <t>educom.at</t>
        </is>
      </c>
      <c r="G1256" s="1" t="inlineStr">
        <is>
          <t>educom - Austria's first educational mobile operator for pupils, students and teachers!
educom builds with its unbeatable cell phone and internet plans as well as the free e-learning initiative, the basis of our mission: We are committed at all levels to affordable, and in the best case free, access to education. With our loyalty program - our educoins - you can pay your cell phone bill and much more, you get the latest hardware with the best price-performance ratio at our edustore, find free goodies in our edubags and get the cheapest access to our partners' products with our edudeals. Around all this we build our educlub community - Viva la educación!</t>
        </is>
      </c>
      <c r="H1256" s="1" t="inlineStr">
        <is>
          <t>EdTech Austria</t>
        </is>
      </c>
      <c r="I1256" s="1" t="n"/>
      <c r="J1256" s="1" t="inlineStr">
        <is>
          <t>Vienna</t>
        </is>
      </c>
      <c r="K1256" t="inlineStr">
        <is>
          <t>Vienna</t>
        </is>
      </c>
      <c r="L1256" t="inlineStr">
        <is>
          <t>Vienna, Austria</t>
        </is>
      </c>
      <c r="M1256" t="n">
        <v>48.2083537</v>
      </c>
      <c r="N1256" t="n">
        <v>16.3725042</v>
      </c>
      <c r="O1256" s="1" t="inlineStr">
        <is>
          <t>Austria</t>
        </is>
      </c>
      <c r="P1256" s="1" t="inlineStr">
        <is>
          <t>Austria</t>
        </is>
      </c>
      <c r="Q1256" s="1" t="inlineStr">
        <is>
          <t>11 to 50</t>
        </is>
      </c>
      <c r="R1256" t="inlineStr">
        <is>
          <t>Small</t>
        </is>
      </c>
      <c r="S1256" s="1" t="inlineStr">
        <is>
          <t>Business to Business, Business to Consumer</t>
        </is>
      </c>
      <c r="T1256" s="1" t="inlineStr">
        <is>
          <t>Secondary Education, Higher Education</t>
        </is>
      </c>
      <c r="U1256" s="1" t="inlineStr">
        <is>
          <t>System/Administrative, Student interfacing, Teacher interfacing</t>
        </is>
      </c>
      <c r="V1256" s="10" t="inlineStr">
        <is>
          <t>mobile phone contract with free e-learning</t>
        </is>
      </c>
      <c r="W1256" s="1" t="inlineStr">
        <is>
          <t>educom offers mobile and internet plans for the educational sector. Additionally, for every plan our customers benefit from our free e-learning initiative, where no data is being deducted from their datavolume. All e-learning websites/services/apps, which are listed on free-e-learning.at, can be therefore used for free in Austria!</t>
        </is>
      </c>
      <c r="X1256" s="10" t="n"/>
      <c r="Z1256" s="1" t="n"/>
      <c r="AA1256" s="1" t="inlineStr">
        <is>
          <t>Unverified</t>
        </is>
      </c>
      <c r="AB1256" s="1" t="n"/>
      <c r="AC1256" s="1" t="n"/>
      <c r="AD1256" s="1" t="n"/>
      <c r="AE1256" s="1" t="n"/>
      <c r="AF1256" t="inlineStr">
        <is>
          <t>Yes</t>
        </is>
      </c>
      <c r="AG1256" t="inlineStr">
        <is>
          <t>https://www.instagram.com/educom.at/</t>
        </is>
      </c>
      <c r="AH1256" t="inlineStr">
        <is>
          <t>https://at.linkedin.com/company/educom-at</t>
        </is>
      </c>
      <c r="AI1256" t="inlineStr">
        <is>
          <t>https://at.linkedin.com/company/educom-at</t>
        </is>
      </c>
    </row>
    <row r="1257" ht="12.5" customHeight="1">
      <c r="A1257" s="6" t="n">
        <v>45181</v>
      </c>
      <c r="B1257" s="1" t="inlineStr">
        <is>
          <t>ORG_1482</t>
        </is>
      </c>
      <c r="C1257" s="1" t="b">
        <v>1</v>
      </c>
      <c r="D1257" s="1" t="inlineStr">
        <is>
          <t>elendi</t>
        </is>
      </c>
      <c r="E1257" s="10" t="inlineStr">
        <is>
          <t>https://www.elendi.ai/</t>
        </is>
      </c>
      <c r="F1257" t="inlineStr">
        <is>
          <t>elendi.ai</t>
        </is>
      </c>
      <c r="G1257" s="1" t="inlineStr">
        <is>
          <t>elendi is a SaaS platform building employee engagement and capabilities.</t>
        </is>
      </c>
      <c r="H1257" s="1" t="inlineStr">
        <is>
          <t>EdTech France</t>
        </is>
      </c>
      <c r="I1257" s="1" t="n"/>
      <c r="J1257" s="1" t="inlineStr">
        <is>
          <t>Paris</t>
        </is>
      </c>
      <c r="K1257" t="inlineStr">
        <is>
          <t>Paris</t>
        </is>
      </c>
      <c r="L1257" t="inlineStr">
        <is>
          <t>Paris, France</t>
        </is>
      </c>
      <c r="M1257" t="n">
        <v>48.8534951</v>
      </c>
      <c r="N1257" t="n">
        <v>2.3483915</v>
      </c>
      <c r="O1257" s="1" t="inlineStr">
        <is>
          <t>France</t>
        </is>
      </c>
      <c r="P1257" s="1" t="inlineStr">
        <is>
          <t>France</t>
        </is>
      </c>
      <c r="Q1257" s="1" t="inlineStr">
        <is>
          <t>11 to 50</t>
        </is>
      </c>
      <c r="R1257" t="inlineStr">
        <is>
          <t>Small</t>
        </is>
      </c>
      <c r="S1257" s="1" t="inlineStr">
        <is>
          <t>Business to Business, Business to Consumer</t>
        </is>
      </c>
      <c r="T1257" s="1" t="inlineStr">
        <is>
          <t>Corporate Training, Lifelong learning/Adult education</t>
        </is>
      </c>
      <c r="U1257" s="1" t="inlineStr">
        <is>
          <t>Student interfacing, System/Administrative</t>
        </is>
      </c>
      <c r="V1257" s="1" t="inlineStr">
        <is>
          <t>Learning Companion</t>
        </is>
      </c>
      <c r="W1257" s="1" t="inlineStr">
        <is>
          <t>Elendi's Learning Companion builds capabilities for your employees. 
With utmost employee-centricity, it helps your people identify critical areas of growth, benefit from best-suited learning recommendations, and reinforce their learning. 
The learning companion creates a continuous learning habit and ensures that your employees do not become obsolete.
It also supports managers to become better managers and equips HR to steer the organization's short-term and long-term capabilities to achieve strategic objectives.</t>
        </is>
      </c>
      <c r="X1257" s="1" t="inlineStr">
        <is>
          <t>Engagement Companion</t>
        </is>
      </c>
      <c r="Y1257" t="inlineStr">
        <is>
          <t>Elendi's Engagement Companion builds engagement for your employees
It heightens engagement by making your employees' voices count and providing them with immediate support, helps managers adjust their management to increase engagement, and supports HR in steering engagement through active, real-time listening.
The Engagement Companion provides actionable insights on structural engagement levers. It also actively monitors employees' pulse in every day worklife and moments that matter.</t>
        </is>
      </c>
      <c r="Z1257" s="1" t="inlineStr">
        <is>
          <t>https://drive.google.com/uc?export=view&amp;id=16QcgDUU64kqpCbdBvmWkSB-ju3w_zp2n</t>
        </is>
      </c>
      <c r="AA1257" s="1" t="inlineStr">
        <is>
          <t>Unverified</t>
        </is>
      </c>
      <c r="AB1257" s="1" t="n"/>
      <c r="AC1257" s="1" t="n"/>
      <c r="AD1257" s="10" t="n"/>
      <c r="AE1257" s="1" t="n"/>
      <c r="AF1257" t="inlineStr">
        <is>
          <t>No</t>
        </is>
      </c>
    </row>
    <row r="1258" ht="12.5" customHeight="1">
      <c r="A1258" s="6" t="n">
        <v>45181</v>
      </c>
      <c r="B1258" s="1" t="inlineStr">
        <is>
          <t>ORG_1537</t>
        </is>
      </c>
      <c r="C1258" s="1" t="b">
        <v>1</v>
      </c>
      <c r="D1258" s="1" t="inlineStr">
        <is>
          <t>eXaminer</t>
        </is>
      </c>
      <c r="E1258" s="10" t="inlineStr">
        <is>
          <t>www.examiner.ch</t>
        </is>
      </c>
      <c r="F1258" t="inlineStr">
        <is>
          <t>examiner.ch</t>
        </is>
      </c>
      <c r="G1258" s="1" t="inlineStr">
        <is>
          <t>eXaminer is the modern, cloud-based platform for online and paper exams. It has never been easier to test the knowledge of learners, employees or trainees. School exam or final exam, internal training or company training? Check whether the knowledge is available or has been learned. Simple, uncomplicated and digital.</t>
        </is>
      </c>
      <c r="H1258" s="1" t="inlineStr">
        <is>
          <t>Swiss EdTech Collider</t>
        </is>
      </c>
      <c r="I1258" s="1" t="inlineStr">
        <is>
          <t>German, English, French, Italian</t>
        </is>
      </c>
      <c r="J1258" s="1" t="inlineStr">
        <is>
          <t>St. Gallen</t>
        </is>
      </c>
      <c r="K1258" t="inlineStr">
        <is>
          <t>St. Gallen</t>
        </is>
      </c>
      <c r="L1258" t="inlineStr">
        <is>
          <t>St. Gallen, Switzerland</t>
        </is>
      </c>
      <c r="M1258" t="n">
        <v>47.425618</v>
      </c>
      <c r="N1258" t="n">
        <v>9.376239699999999</v>
      </c>
      <c r="O1258" s="1" t="inlineStr">
        <is>
          <t>Switzerland</t>
        </is>
      </c>
      <c r="P1258" s="1" t="inlineStr">
        <is>
          <t>Austria, Germany, Liechtenstein, Luxembourg, Switzerland</t>
        </is>
      </c>
      <c r="Q1258" s="1" t="inlineStr">
        <is>
          <t>3 to 5</t>
        </is>
      </c>
      <c r="R1258" t="inlineStr">
        <is>
          <t>Micro</t>
        </is>
      </c>
      <c r="S1258" s="1" t="inlineStr">
        <is>
          <t>Business to Business, Business to Consumer</t>
        </is>
      </c>
      <c r="T1258" s="1" t="inlineStr">
        <is>
          <t>Secondary Education, Corporate Training, Vocational Education and Training (VET), Higher Education</t>
        </is>
      </c>
      <c r="U1258" s="1" t="inlineStr">
        <is>
          <t>Student interfacing, Teacher interfacing, System/Administrative</t>
        </is>
      </c>
      <c r="V1258" s="1" t="inlineStr">
        <is>
          <t>eXaminer</t>
        </is>
      </c>
      <c r="W1258" s="1" t="inlineStr">
        <is>
          <t>eXaminer is the modern, cloud-based platform for online and paper exams. It has never been easier to test the knowledge of learners, employees, or trainees online. School or final exams, internal training, or continuing education? No problem with eXaminer, the modern and professional online testing tool. The eXaminer simplifies the composition and delivery of exams, certification, and learning assessments - whether online or offline; from home, in the office, or in the classroom. Simple, uncomplicated and digital. The eXaminer is 100% swiss made and data protection is one of our most important values.</t>
        </is>
      </c>
      <c r="X1258" s="10" t="inlineStr">
        <is>
          <t>https://drive.google.com/uc?export=view&amp;id=1WoMAkPAMR9AJFz6YGzNohmcGZatRC_4C</t>
        </is>
      </c>
      <c r="Y1258" t="inlineStr">
        <is>
          <t>https://drive.google.com/uc?export=view&amp;id=1WoMAkPAMR9AJFz6YGzNohmcGZatRC_4C</t>
        </is>
      </c>
      <c r="Z1258" s="1" t="inlineStr">
        <is>
          <t>https://drive.google.com/uc?export=view&amp;id=1WoMAkPAMR9AJFz6YGzNohmcGZatRC_4C</t>
        </is>
      </c>
      <c r="AA1258" s="1" t="inlineStr">
        <is>
          <t>Unverified</t>
        </is>
      </c>
      <c r="AB1258" s="1" t="n"/>
      <c r="AC1258" s="1" t="n"/>
      <c r="AD1258" s="10" t="n"/>
      <c r="AE1258" s="1" t="n"/>
      <c r="AF1258" t="inlineStr">
        <is>
          <t>Yes</t>
        </is>
      </c>
      <c r="AG1258" t="inlineStr">
        <is>
          <t>https://www.linkedin.com/company/examiner</t>
        </is>
      </c>
      <c r="AH1258" t="inlineStr">
        <is>
          <t>https://www.linkedin.com/company/examiner</t>
        </is>
      </c>
      <c r="AI1258" t="inlineStr">
        <is>
          <t>https://www.linkedin.com/company/examiner</t>
        </is>
      </c>
    </row>
    <row r="1259" ht="12.5" customHeight="1">
      <c r="A1259" s="6" t="n">
        <v>45181</v>
      </c>
      <c r="B1259" s="1" t="inlineStr">
        <is>
          <t>ORG_1595</t>
        </is>
      </c>
      <c r="C1259" s="1" t="b">
        <v>1</v>
      </c>
      <c r="D1259" s="1" t="inlineStr">
        <is>
          <t>Funzi</t>
        </is>
      </c>
      <c r="E1259" s="10" t="inlineStr">
        <is>
          <t>https://www.funzi.fi/</t>
        </is>
      </c>
      <c r="F1259" t="inlineStr">
        <is>
          <t>funzi.fi</t>
        </is>
      </c>
      <c r="G1259" s="1" t="inlineStr">
        <is>
          <t>Funzi is the world's most accessible learning ecosystem and digital consumer product. Our short self-study courses make learning 21st century skills available to anyone with a mobile device. Funzi courses are broken down into short topics that learners can take just 15 minutes a day to learn. Our unique learning pedagogy is optimized to make digesting information easy.</t>
        </is>
      </c>
      <c r="H1259" s="1" t="inlineStr">
        <is>
          <t>EdTech Finland</t>
        </is>
      </c>
      <c r="I1259" s="1" t="n"/>
      <c r="J1259" s="1" t="inlineStr">
        <is>
          <t>Espoo</t>
        </is>
      </c>
      <c r="K1259" t="inlineStr">
        <is>
          <t>Espoo</t>
        </is>
      </c>
      <c r="L1259" t="inlineStr">
        <is>
          <t>Espoo, Finland</t>
        </is>
      </c>
      <c r="M1259" t="n">
        <v>60.2049651</v>
      </c>
      <c r="N1259" t="n">
        <v>24.6559808</v>
      </c>
      <c r="O1259" s="1" t="inlineStr">
        <is>
          <t>Finland</t>
        </is>
      </c>
      <c r="P1259" s="1" t="inlineStr">
        <is>
          <t>Finland</t>
        </is>
      </c>
      <c r="Q1259" s="1" t="inlineStr">
        <is>
          <t>11 to 50</t>
        </is>
      </c>
      <c r="R1259" t="inlineStr">
        <is>
          <t>Small</t>
        </is>
      </c>
      <c r="S1259" s="1" t="inlineStr">
        <is>
          <t>Business to Business, Business to Consumer, Business to Government, Business to Schools</t>
        </is>
      </c>
      <c r="T1259" s="1" t="inlineStr">
        <is>
          <t>Secondary Education, Corporate Training, Lifelong learning/Adult education, Vocational Education and Training (VET)</t>
        </is>
      </c>
      <c r="U1259" s="1" t="inlineStr">
        <is>
          <t>System/Administrative, Student interfacing, Teacher interfacing</t>
        </is>
      </c>
      <c r="V1259" s="10" t="inlineStr">
        <is>
          <t>Funzi.mobi</t>
        </is>
      </c>
      <c r="W1259" s="10" t="inlineStr">
        <is>
          <t>Funzi.mobi is the world's most accessible learning platform that requires no app downloads. It works on any mobile browser - even feature phones - and consumes very little mobile data.</t>
        </is>
      </c>
      <c r="X1259" s="10" t="inlineStr">
        <is>
          <t>https://drive.google.com/uc?export=view&amp;id=1FMsZNqP0LSnIOfNdjIV8P-sHJV8XE4i6</t>
        </is>
      </c>
      <c r="Y1259" t="inlineStr">
        <is>
          <t>https://drive.google.com/uc?export=view&amp;id=1FMsZNqP0LSnIOfNdjIV8P-sHJV8XE4i6</t>
        </is>
      </c>
      <c r="Z1259" s="10" t="inlineStr">
        <is>
          <t>https://drive.google.com/uc?export=view&amp;id=1FMsZNqP0LSnIOfNdjIV8P-sHJV8XE4i6</t>
        </is>
      </c>
      <c r="AA1259" s="1" t="inlineStr">
        <is>
          <t>Unverified</t>
        </is>
      </c>
      <c r="AB1259" s="1" t="n"/>
      <c r="AC1259" s="1" t="n"/>
      <c r="AD1259" s="10" t="n"/>
      <c r="AE1259" s="1" t="n"/>
      <c r="AF1259" t="inlineStr">
        <is>
          <t>Yes</t>
        </is>
      </c>
      <c r="AG1259" t="inlineStr">
        <is>
          <t>https://www.instagram.com/funzimobi/</t>
        </is>
      </c>
      <c r="AH1259" t="inlineStr">
        <is>
          <t>https://twitter.com/funzi</t>
        </is>
      </c>
      <c r="AI1259" t="inlineStr">
        <is>
          <t>https://www.linkedin.com/company/funzi/</t>
        </is>
      </c>
    </row>
    <row r="1260" ht="12.5" customHeight="1">
      <c r="A1260" s="6" t="n">
        <v>45181</v>
      </c>
      <c r="B1260" s="1" t="inlineStr">
        <is>
          <t>ORG_1907</t>
        </is>
      </c>
      <c r="C1260" s="1" t="b">
        <v>1</v>
      </c>
      <c r="D1260" s="1" t="inlineStr">
        <is>
          <t>Make My Musik</t>
        </is>
      </c>
      <c r="E1260" s="10" t="inlineStr">
        <is>
          <t>https://makemymusik.fr</t>
        </is>
      </c>
      <c r="F1260" t="inlineStr">
        <is>
          <t>makemymusik.fr</t>
        </is>
      </c>
      <c r="G1260" s="1" t="inlineStr">
        <is>
          <t>Make My Musik aims to make music accessible to all children and to develop their creativity.
To do so, Make My Musik has reimagined how children discover music, with an innovative toy called izikub. Unlike toy instruments, izikub has been designed with children in mind, to make it really easy for them to make and compose music.
izikub is an intuitive, playful and evolutive musical toy, designed for children from 3 to 8 years old.
No dexterity and no music theory are needed: children discover and create music with cubes only!</t>
        </is>
      </c>
      <c r="H1260" s="1" t="inlineStr">
        <is>
          <t>I'm not part of any EdTech association</t>
        </is>
      </c>
      <c r="I1260" s="1" t="n"/>
      <c r="J1260" s="1" t="inlineStr">
        <is>
          <t>Lyon</t>
        </is>
      </c>
      <c r="K1260" t="inlineStr">
        <is>
          <t>Lyon</t>
        </is>
      </c>
      <c r="L1260" t="inlineStr">
        <is>
          <t>Lyon, France</t>
        </is>
      </c>
      <c r="M1260" t="n">
        <v>45.7578137</v>
      </c>
      <c r="N1260" t="n">
        <v>4.8320114</v>
      </c>
      <c r="O1260" s="1" t="inlineStr">
        <is>
          <t>France</t>
        </is>
      </c>
      <c r="P1260" s="1" t="inlineStr">
        <is>
          <t>Belgium, France, Switzerland</t>
        </is>
      </c>
      <c r="Q1260" s="1" t="inlineStr">
        <is>
          <t>0 to 10</t>
        </is>
      </c>
      <c r="R1260" t="inlineStr">
        <is>
          <t>Micro</t>
        </is>
      </c>
      <c r="S1260" s="1" t="inlineStr">
        <is>
          <t>Business to Business, Business to Consumer, Business to Government, Business to Schools</t>
        </is>
      </c>
      <c r="T1260" s="1" t="inlineStr">
        <is>
          <t>Early childhood development (0-5 years), Primary Education</t>
        </is>
      </c>
      <c r="U1260" s="1" t="inlineStr">
        <is>
          <t>System/Administrative, Student interfacing, Teacher interfacing</t>
        </is>
      </c>
      <c r="V1260" s="1" t="n"/>
      <c r="W1260" s="1" t="inlineStr">
        <is>
          <t>https://drive.google.com/uc?export=view&amp;id=1b4713yqA-ZbenOGmkNSR261gRoA1OYwC</t>
        </is>
      </c>
      <c r="X1260" s="1" t="inlineStr">
        <is>
          <t>https://drive.google.com/uc?export=view&amp;id=1b4713yqA-ZbenOGmkNSR261gRoA1OYwC</t>
        </is>
      </c>
      <c r="Y1260" t="inlineStr">
        <is>
          <t>https://drive.google.com/uc?export=view&amp;id=1b4713yqA-ZbenOGmkNSR261gRoA1OYwC</t>
        </is>
      </c>
      <c r="Z1260" s="1" t="inlineStr">
        <is>
          <t>https://drive.google.com/uc?export=view&amp;id=1b4713yqA-ZbenOGmkNSR261gRoA1OYwC</t>
        </is>
      </c>
      <c r="AA1260" s="1" t="inlineStr">
        <is>
          <t>Unverified</t>
        </is>
      </c>
      <c r="AB1260" s="1" t="n"/>
      <c r="AC1260" s="1" t="n"/>
      <c r="AD1260" s="10" t="n"/>
      <c r="AE1260" s="1" t="n"/>
      <c r="AF1260" t="inlineStr">
        <is>
          <t>No</t>
        </is>
      </c>
    </row>
    <row r="1261" ht="12.5" customHeight="1">
      <c r="A1261" s="6" t="n">
        <v>45181</v>
      </c>
      <c r="B1261" s="1" t="inlineStr">
        <is>
          <t>ORG_1920</t>
        </is>
      </c>
      <c r="C1261" s="1" t="b">
        <v>1</v>
      </c>
      <c r="D1261" s="1" t="inlineStr">
        <is>
          <t>Marshmallow Games</t>
        </is>
      </c>
      <c r="E1261" s="10" t="inlineStr">
        <is>
          <t>www.marshmallow-games.com</t>
        </is>
      </c>
      <c r="F1261" t="inlineStr">
        <is>
          <t>marshmallow-games.com</t>
        </is>
      </c>
      <c r="G1261" s="1" t="inlineStr">
        <is>
          <t>Marshmallow Games is an Italian edtech company that designs and develops educational apps for kids that help them learn in a fun way mixing storytelling with game. Most of our apps were featured on the Apple App Store worldwide passing 2M downloads.
Our flagship app, Smart Tales, is a collection of interactive tales and games to let preschoolers approach STEM (Science, Technology, Engineering and Math) while having fun. Smart tales is the only app that uses storytelling to let kids approach STEM. Each episode takes time to explain a scientific topic in the context of social issues that children will encounter in real life.</t>
        </is>
      </c>
      <c r="H1261" s="1" t="inlineStr">
        <is>
          <t>I'm not part of any EdTech association</t>
        </is>
      </c>
      <c r="I1261" s="1" t="n"/>
      <c r="J1261" s="1" t="inlineStr">
        <is>
          <t>Bari</t>
        </is>
      </c>
      <c r="K1261" t="inlineStr">
        <is>
          <t>Bari</t>
        </is>
      </c>
      <c r="L1261" t="inlineStr">
        <is>
          <t>Bari, Italy</t>
        </is>
      </c>
      <c r="M1261" t="n">
        <v>41.1257843</v>
      </c>
      <c r="N1261" t="n">
        <v>16.8620293</v>
      </c>
      <c r="O1261" s="1" t="inlineStr">
        <is>
          <t>Italy</t>
        </is>
      </c>
      <c r="P126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261" s="1" t="inlineStr">
        <is>
          <t>11 to 50</t>
        </is>
      </c>
      <c r="R1261" t="inlineStr">
        <is>
          <t>Small</t>
        </is>
      </c>
      <c r="S1261" s="1" t="inlineStr">
        <is>
          <t>Business to Business, Business to Consumer, Business to Schools</t>
        </is>
      </c>
      <c r="T1261" s="1" t="inlineStr">
        <is>
          <t>Early childhood development (0-5 years), Primary Education</t>
        </is>
      </c>
      <c r="U1261" s="1" t="inlineStr">
        <is>
          <t>System/Administrative, Student interfacing</t>
        </is>
      </c>
      <c r="V1261" s="1" t="n"/>
      <c r="W1261" s="1" t="inlineStr">
        <is>
          <t>https://drive.google.com/uc?export=view&amp;id=1ysUqfmQggAvfVH48LH5yVy2pexegM-cQ</t>
        </is>
      </c>
      <c r="X1261" s="1" t="inlineStr">
        <is>
          <t>https://drive.google.com/uc?export=view&amp;id=1ysUqfmQggAvfVH48LH5yVy2pexegM-cQ</t>
        </is>
      </c>
      <c r="Y1261" t="inlineStr">
        <is>
          <t>https://drive.google.com/uc?export=view&amp;id=1ysUqfmQggAvfVH48LH5yVy2pexegM-cQ</t>
        </is>
      </c>
      <c r="Z1261" s="1" t="inlineStr">
        <is>
          <t>https://drive.google.com/uc?export=view&amp;id=1ysUqfmQggAvfVH48LH5yVy2pexegM-cQ</t>
        </is>
      </c>
      <c r="AA1261" s="1" t="inlineStr">
        <is>
          <t>Unverified</t>
        </is>
      </c>
      <c r="AB1261" s="1" t="n"/>
      <c r="AC1261" s="1" t="n"/>
      <c r="AD1261" s="10" t="n"/>
      <c r="AE1261" s="1" t="n"/>
      <c r="AF1261" t="inlineStr">
        <is>
          <t>No</t>
        </is>
      </c>
    </row>
    <row r="1262" ht="12.5" customHeight="1">
      <c r="A1262" s="6" t="n">
        <v>45181</v>
      </c>
      <c r="B1262" s="1" t="inlineStr">
        <is>
          <t>ORG_2041</t>
        </is>
      </c>
      <c r="C1262" s="1" t="b">
        <v>1</v>
      </c>
      <c r="D1262" s="1" t="inlineStr">
        <is>
          <t>Nocodehackers</t>
        </is>
      </c>
      <c r="E1262" s="10" t="inlineStr">
        <is>
          <t>https://nocodehackers.es</t>
        </is>
      </c>
      <c r="F1262" t="inlineStr">
        <is>
          <t>nocodehackers.es</t>
        </is>
      </c>
      <c r="G1262" s="1" t="inlineStr">
        <is>
          <t>We empower non technical people to create digital products without code, by creating educational content about tools like Webflow, Flutterflow, Airtable, Zapier or Make creating real life projects explained step by step.</t>
        </is>
      </c>
      <c r="H1262" s="1" t="inlineStr">
        <is>
          <t>I'm not part of any EdTech association</t>
        </is>
      </c>
      <c r="I1262" s="1" t="n"/>
      <c r="J1262" s="1" t="inlineStr">
        <is>
          <t>Madrid</t>
        </is>
      </c>
      <c r="K1262" t="inlineStr">
        <is>
          <t>Madrid</t>
        </is>
      </c>
      <c r="L1262" t="inlineStr">
        <is>
          <t>Madrid, Spain</t>
        </is>
      </c>
      <c r="M1262" t="n">
        <v>40.416782</v>
      </c>
      <c r="N1262" t="n">
        <v>-3.703507</v>
      </c>
      <c r="O1262" s="1" t="inlineStr">
        <is>
          <t>Spain</t>
        </is>
      </c>
      <c r="P1262" s="1" t="inlineStr">
        <is>
          <t>Spain</t>
        </is>
      </c>
      <c r="Q1262" s="1" t="inlineStr">
        <is>
          <t>0 to 10</t>
        </is>
      </c>
      <c r="R1262" t="inlineStr">
        <is>
          <t>Micro</t>
        </is>
      </c>
      <c r="S1262" s="1" t="inlineStr">
        <is>
          <t>Business to Business, Business to Consumer, Business to Schools</t>
        </is>
      </c>
      <c r="T1262" s="1" t="inlineStr">
        <is>
          <t>Higher Education, Corporate Training, Lifelong learning/Adult education</t>
        </is>
      </c>
      <c r="U1262" s="1" t="inlineStr">
        <is>
          <t>Student interfacing, System/Administrative</t>
        </is>
      </c>
      <c r="V1262" s="1" t="n"/>
      <c r="W1262" s="1" t="inlineStr">
        <is>
          <t>https://drive.google.com/uc?export=view&amp;id=1dRnaAgzUVM7yOcWex99wbNVWUdBA5IdC</t>
        </is>
      </c>
      <c r="X1262" s="1" t="inlineStr">
        <is>
          <t>https://drive.google.com/uc?export=view&amp;id=1dRnaAgzUVM7yOcWex99wbNVWUdBA5IdC</t>
        </is>
      </c>
      <c r="Y1262" t="inlineStr">
        <is>
          <t>https://drive.google.com/uc?export=view&amp;id=1dRnaAgzUVM7yOcWex99wbNVWUdBA5IdC</t>
        </is>
      </c>
      <c r="Z1262" s="1" t="inlineStr">
        <is>
          <t>https://drive.google.com/uc?export=view&amp;id=1dRnaAgzUVM7yOcWex99wbNVWUdBA5IdC</t>
        </is>
      </c>
      <c r="AA1262" s="1" t="inlineStr">
        <is>
          <t>Unverified</t>
        </is>
      </c>
      <c r="AB1262" s="1" t="n"/>
      <c r="AC1262" s="1" t="n"/>
      <c r="AD1262" s="10" t="n"/>
      <c r="AE1262" s="1" t="n"/>
      <c r="AF1262" s="1" t="inlineStr">
        <is>
          <t>No</t>
        </is>
      </c>
      <c r="AG1262" s="1" t="n"/>
      <c r="AH1262" s="1" t="n"/>
    </row>
    <row r="1263" ht="12.5" customHeight="1">
      <c r="A1263" s="6" t="n">
        <v>45181</v>
      </c>
      <c r="B1263" s="1" t="inlineStr">
        <is>
          <t>ORG_2047</t>
        </is>
      </c>
      <c r="C1263" s="1" t="b">
        <v>1</v>
      </c>
      <c r="D1263" s="1" t="inlineStr">
        <is>
          <t>Novo3d</t>
        </is>
      </c>
      <c r="E1263" s="10" t="inlineStr">
        <is>
          <t>www.novo3d.fr</t>
        </is>
      </c>
      <c r="F1263" t="inlineStr">
        <is>
          <t>novo3d.fr</t>
        </is>
      </c>
      <c r="G1263" s="1" t="inlineStr">
        <is>
          <t>Novo3d is an innovative company created in 2013 and who aim at reconnecting the world heritage and the grand audience. We have created the "Timepods", an exclusive and completely autonomous VR system that allows teachers and tour guides to control a group of VR users from outside, in any kind of places or setups, thus creating memorable experiences where history is valuated and learning is a core part of it.</t>
        </is>
      </c>
      <c r="H1263" s="1" t="inlineStr">
        <is>
          <t>EdTech France</t>
        </is>
      </c>
      <c r="I1263" s="1" t="n"/>
      <c r="J1263" s="1" t="inlineStr">
        <is>
          <t>Angouleme</t>
        </is>
      </c>
      <c r="K1263" t="inlineStr">
        <is>
          <t>Angouleme</t>
        </is>
      </c>
      <c r="L1263" t="inlineStr">
        <is>
          <t>Angouleme, France</t>
        </is>
      </c>
      <c r="M1263" t="n">
        <v>45.6484505</v>
      </c>
      <c r="N1263" t="n">
        <v>0.1561947</v>
      </c>
      <c r="O1263" s="1" t="inlineStr">
        <is>
          <t>France</t>
        </is>
      </c>
      <c r="P1263" s="1" t="inlineStr">
        <is>
          <t>France</t>
        </is>
      </c>
      <c r="Q1263" s="1" t="inlineStr">
        <is>
          <t>0 to 10</t>
        </is>
      </c>
      <c r="R1263" t="inlineStr">
        <is>
          <t>Micro</t>
        </is>
      </c>
      <c r="S1263" s="1" t="inlineStr">
        <is>
          <t>Business to Business, Business to Consumer, Business to Schools</t>
        </is>
      </c>
      <c r="T1263" s="1" t="inlineStr">
        <is>
          <t>Secondary Education, Higher Education</t>
        </is>
      </c>
      <c r="U1263" s="1" t="inlineStr">
        <is>
          <t>System/Administrative, Student interfacing, Teacher interfacing</t>
        </is>
      </c>
      <c r="V1263" s="1" t="n"/>
      <c r="W1263" s="1" t="inlineStr">
        <is>
          <t>https://drive.google.com/uc?export=view&amp;id=1DC6kA7WaS4aFcSYz8nYrVGHtdfIdCY50</t>
        </is>
      </c>
      <c r="X1263" s="1" t="inlineStr">
        <is>
          <t>https://drive.google.com/uc?export=view&amp;id=1DC6kA7WaS4aFcSYz8nYrVGHtdfIdCY50</t>
        </is>
      </c>
      <c r="Y1263" t="inlineStr">
        <is>
          <t>https://drive.google.com/uc?export=view&amp;id=1DC6kA7WaS4aFcSYz8nYrVGHtdfIdCY50</t>
        </is>
      </c>
      <c r="Z1263" s="1" t="inlineStr">
        <is>
          <t>https://drive.google.com/uc?export=view&amp;id=1DC6kA7WaS4aFcSYz8nYrVGHtdfIdCY50</t>
        </is>
      </c>
      <c r="AA1263" s="1" t="inlineStr">
        <is>
          <t>Unverified</t>
        </is>
      </c>
      <c r="AB1263" s="1" t="n"/>
      <c r="AC1263" s="1" t="n"/>
      <c r="AD1263" s="10" t="n"/>
      <c r="AE1263" s="1" t="n"/>
      <c r="AF1263" t="inlineStr">
        <is>
          <t>No</t>
        </is>
      </c>
    </row>
    <row r="1264" ht="12.5" customHeight="1">
      <c r="A1264" s="6" t="n">
        <v>45181</v>
      </c>
      <c r="B1264" s="1" t="inlineStr">
        <is>
          <t>ORG_2070</t>
        </is>
      </c>
      <c r="C1264" s="1" t="b">
        <v>1</v>
      </c>
      <c r="D1264" s="1" t="inlineStr">
        <is>
          <t>Open Assessment Technologies</t>
        </is>
      </c>
      <c r="E1264" s="10" t="inlineStr">
        <is>
          <t>https://www.taotesting.com/</t>
        </is>
      </c>
      <c r="F1264" t="inlineStr">
        <is>
          <t>taotesting.com</t>
        </is>
      </c>
      <c r="G1264" s="1" t="inlineStr">
        <is>
          <t>TAO, from Open Assessment Technologies, is the leading digital assessment solution for education and career advancement, having delivered over 100 million tests in more than 30 languages worldwide. Modular, customizable and interoperable by design, TAO empowers you to break free from proprietary silos, eliminate expensive licensing fees, take full control of your testing resources and enjoy enterprise-class support.</t>
        </is>
      </c>
      <c r="H1264" s="1" t="inlineStr">
        <is>
          <t>EduTech Cluster Spain</t>
        </is>
      </c>
      <c r="I1264" s="1" t="n"/>
      <c r="J1264" s="1" t="inlineStr">
        <is>
          <t>Capellen</t>
        </is>
      </c>
      <c r="K1264" t="inlineStr">
        <is>
          <t>Capellen</t>
        </is>
      </c>
      <c r="L1264" t="inlineStr">
        <is>
          <t>Capellen, Luxembourg</t>
        </is>
      </c>
      <c r="M1264" t="n">
        <v>49.6350041</v>
      </c>
      <c r="N1264" t="n">
        <v>5.973325</v>
      </c>
      <c r="O1264" s="1" t="inlineStr">
        <is>
          <t>Luxembourg</t>
        </is>
      </c>
      <c r="P1264" s="1" t="inlineStr">
        <is>
          <t>Belgium, Denmark, Finland, France, Georgia, Germany, Greece, Hungary, Iceland, Ireland, Italy, Liechtenstein, Lithuania, Luxembourg, Netherlands, Norway, Poland, Portugal, Spain, Sweden, Switzerland, Ukraine, United Kingdom</t>
        </is>
      </c>
      <c r="Q1264" s="1" t="inlineStr">
        <is>
          <t>100+</t>
        </is>
      </c>
      <c r="R1264" t="inlineStr">
        <is>
          <t>Medium or Large (unspecified)</t>
        </is>
      </c>
      <c r="S1264" s="1" t="inlineStr">
        <is>
          <t>Business to Business, Business to Consumer, Business to Schools</t>
        </is>
      </c>
      <c r="T1264" s="1" t="inlineStr">
        <is>
          <t>Primary Education, Secondary Education, Higher Education, Corporate Training, Lifelong learning/Adult education</t>
        </is>
      </c>
      <c r="U1264" s="1" t="inlineStr">
        <is>
          <t>Teacher interfacing, Student interfacing, System/Administrative</t>
        </is>
      </c>
      <c r="V1264" s="1" t="inlineStr">
        <is>
          <t>TAO Ignite</t>
        </is>
      </c>
      <c r="W1264" s="10" t="inlineStr">
        <is>
          <t>TAO Ignite is our off-the-shelf, subscription-based digital assessment solution designed to bring your testing program online fast and effectively, without the technical headache. 
The platform makes it intuitive, fast, and affordable to create and manage your exams online, even without an IT team in place. Simply login via your web browser; you’ll have everything you need to start creating great assessments.
TAO Ignite is broken into 5 package tiers, based on annual volume and concurrency.</t>
        </is>
      </c>
      <c r="X1264" s="10" t="inlineStr">
        <is>
          <t>TAO Pro</t>
        </is>
      </c>
      <c r="Y1264" t="inlineStr">
        <is>
          <t>Like TAO Ignite, TAO Pro offers a turn-key assessment platform that reduces the operational overhead associated with IT infrastructure and puts the focus back on building better assessments. Designed to scale to support well over 100,000 test-takers, Pro contains the same TAO Cloud™ hosting, features, and functionalities as TAO Ignite, but with a key addition. 
Pro packages also include dedicated account management support with a TAO Solutions Specialist to ensure your online testing campaigns are running smoothly and scaling with your demand.
TAO Pro is broken into 5 package tiers, based on annual volume and concurrency.</t>
        </is>
      </c>
      <c r="Z1264" s="1" t="inlineStr">
        <is>
          <t>https://drive.google.com/uc?export=view&amp;id=1rPb2uf02C55S5F8wLOgSUtu-U7Bs9vML</t>
        </is>
      </c>
      <c r="AA1264" s="1" t="inlineStr">
        <is>
          <t>Unverified</t>
        </is>
      </c>
      <c r="AB1264" s="1" t="n"/>
      <c r="AC1264" s="1" t="n"/>
      <c r="AD1264" s="10" t="n"/>
      <c r="AE1264" s="1" t="n"/>
      <c r="AF1264" t="inlineStr">
        <is>
          <t>Yes</t>
        </is>
      </c>
      <c r="AG1264" t="inlineStr">
        <is>
          <t>https://twitter.com/TAOTesting/</t>
        </is>
      </c>
      <c r="AH1264" t="inlineStr">
        <is>
          <t>https://twitter.com/TAOTesting/</t>
        </is>
      </c>
      <c r="AI1264" t="inlineStr">
        <is>
          <t>https://www.linkedin.com/company/open-assessment-technologies-s-a-/</t>
        </is>
      </c>
    </row>
    <row r="1265" ht="12.5" customHeight="1">
      <c r="A1265" s="6" t="n">
        <v>45181</v>
      </c>
      <c r="B1265" s="1" t="inlineStr">
        <is>
          <t>ORG_2086</t>
        </is>
      </c>
      <c r="C1265" s="1" t="b">
        <v>1</v>
      </c>
      <c r="D1265" s="1" t="inlineStr">
        <is>
          <t>PAPUA Learn English</t>
        </is>
      </c>
      <c r="E1265" s="10" t="inlineStr">
        <is>
          <t>www.papua.app</t>
        </is>
      </c>
      <c r="F1265" t="inlineStr">
        <is>
          <t>papua.app</t>
        </is>
      </c>
      <c r="G1265" s="1" t="inlineStr">
        <is>
          <t>PAPUA is an app that achieves immersion in the English language by means of gamification, Artifical Intelligence, Speech Voice Recognition , and contextualised useful situations, thus learning as in real life. Millions of people have studied English, but they can’t speak it fluently, since they do not have the possibility to go abroad and get immersed in the language. That is exactly what PAPUA achieves. Linguistic contents are all covered down to the last detail, all skills are practiced in everyday useful situations, and everything is wrapped into an exciting stoyr that makes learning much more memorable (emotions).</t>
        </is>
      </c>
      <c r="H1265" s="1" t="inlineStr">
        <is>
          <t>I'm not part of any EdTech association</t>
        </is>
      </c>
      <c r="I1265" s="1" t="n"/>
      <c r="J1265" s="1" t="inlineStr">
        <is>
          <t>Móstoles, Madrid</t>
        </is>
      </c>
      <c r="K1265" t="inlineStr">
        <is>
          <t>Móstoles</t>
        </is>
      </c>
      <c r="L1265" t="inlineStr">
        <is>
          <t>Móstoles, Spain</t>
        </is>
      </c>
      <c r="M1265" t="n">
        <v>40.3238525</v>
      </c>
      <c r="N1265" t="n">
        <v>-3.8649214</v>
      </c>
      <c r="O1265" s="1" t="inlineStr">
        <is>
          <t>Spain</t>
        </is>
      </c>
      <c r="P1265" s="1" t="inlineStr">
        <is>
          <t>Spain</t>
        </is>
      </c>
      <c r="Q1265" s="1" t="inlineStr">
        <is>
          <t>0 to 10</t>
        </is>
      </c>
      <c r="R1265" t="inlineStr">
        <is>
          <t>Micro</t>
        </is>
      </c>
      <c r="S1265" s="1" t="inlineStr">
        <is>
          <t>Business to Business, Business to Consumer, Business to Schools</t>
        </is>
      </c>
      <c r="T1265" s="1" t="inlineStr">
        <is>
          <t>Secondary Education, Higher Education, Corporate Training, Lifelong learning/Adult education</t>
        </is>
      </c>
      <c r="U1265" s="1" t="inlineStr">
        <is>
          <t>Student interfacing, Teacher interfacing, System/Administrative</t>
        </is>
      </c>
      <c r="V1265" s="1" t="n"/>
      <c r="W1265" s="1" t="n"/>
      <c r="X1265" s="1" t="n"/>
      <c r="Z1265" s="1" t="n"/>
      <c r="AA1265" s="1" t="inlineStr">
        <is>
          <t>Unverified</t>
        </is>
      </c>
      <c r="AB1265" s="1" t="n"/>
      <c r="AC1265" s="1" t="n"/>
      <c r="AD1265" s="1" t="n"/>
      <c r="AE1265" s="1" t="n"/>
      <c r="AF1265" t="inlineStr">
        <is>
          <t>No</t>
        </is>
      </c>
    </row>
    <row r="1266" ht="12.5" customHeight="1">
      <c r="A1266" s="6" t="n">
        <v>45181</v>
      </c>
      <c r="B1266" s="1" t="inlineStr">
        <is>
          <t>ORG_2127</t>
        </is>
      </c>
      <c r="C1266" s="1" t="b">
        <v>1</v>
      </c>
      <c r="D1266" s="1" t="inlineStr">
        <is>
          <t>Projet Voltaire</t>
        </is>
      </c>
      <c r="E1266" s="10" t="inlineStr">
        <is>
          <t>https://www.projet-voltaire.fr/?utm_source=site&amp;utm_medium=referral_partner&amp;utm_campaign=edtech_map</t>
        </is>
      </c>
      <c r="F1266" t="inlineStr">
        <is>
          <t>projet-voltaire.fr/?utm_source=site&amp;utm_medium=referral_partner&amp;utm_campaign=edtech_map</t>
        </is>
      </c>
      <c r="G1266" s="1" t="inlineStr">
        <is>
          <t>Projet Voltaire is the n°1 training solution for French spelling, written and oral communication. 7 million people have already improved their skills thanks to this service. The mastery of French is an essential tool for communicating with others, from elementary school to work life. The consequences of spelling mistakes can be disastrous: lack of confidence when writing, loss of credibility with your audience, rejected applications... People suffering from poor communication skills often suffer in silence, fearing the judgment of others. We have created a solution making spelling and communication skills accessible to everyone. Regardless of your initial level, age, objectives or pace of acquisition, the solution will craft a perfectly customed journey for you. Two keywords: fun and efficiency! The goal is to stay away from textbooks or boring grammar lessons. Mastering French is a necessity for French speakers, but it should not be torture!</t>
        </is>
      </c>
      <c r="H1266" s="1" t="inlineStr">
        <is>
          <t>EdTech France</t>
        </is>
      </c>
      <c r="I1266" s="1" t="n"/>
      <c r="J1266" s="1" t="inlineStr">
        <is>
          <t>Lyon</t>
        </is>
      </c>
      <c r="K1266" t="inlineStr">
        <is>
          <t>Lyon</t>
        </is>
      </c>
      <c r="L1266" t="inlineStr">
        <is>
          <t>Lyon, France</t>
        </is>
      </c>
      <c r="M1266" t="n">
        <v>45.7578137</v>
      </c>
      <c r="N1266" t="n">
        <v>4.8320114</v>
      </c>
      <c r="O1266" s="1" t="inlineStr">
        <is>
          <t>France</t>
        </is>
      </c>
      <c r="P1266" s="1" t="inlineStr">
        <is>
          <t>Andorra, Belgium, France, Luxembourg, Monaco, Switzerland</t>
        </is>
      </c>
      <c r="Q1266" s="1" t="inlineStr">
        <is>
          <t>101 to 500</t>
        </is>
      </c>
      <c r="R1266" t="inlineStr">
        <is>
          <t>Medium or Large (unspecified)</t>
        </is>
      </c>
      <c r="S1266" s="1" t="inlineStr">
        <is>
          <t>Business to Business, Business to Consumer, Business to Schools</t>
        </is>
      </c>
      <c r="T1266" s="1" t="inlineStr">
        <is>
          <t>Primary Education, Secondary Education, Corporate Training, Lifelong learning/Adult education, Vocational Education and Training (VET), Higher Education</t>
        </is>
      </c>
      <c r="U1266" s="1" t="inlineStr">
        <is>
          <t>System/Administrative, Teacher interfacing, Student interfacing</t>
        </is>
      </c>
      <c r="V1266" s="1" t="inlineStr">
        <is>
          <t>Projet Voltaire</t>
        </is>
      </c>
      <c r="W1266" s="10" t="inlineStr">
        <is>
          <t>Projet Voltaire is an app that can be used on your phone or computer, offering exercises that makes you more at ease when expressing yourself. Having a good communication gives a better image of yourself through good spelling, expressing yourself clearly with the right words and developping an effective argument.</t>
        </is>
      </c>
      <c r="X1266" s="10" t="inlineStr">
        <is>
          <t>https://drive.google.com/uc?export=view&amp;id=1kD27KIuc1xvAflU1BogUqrB9ZmHzPSIB</t>
        </is>
      </c>
      <c r="Y1266" t="inlineStr">
        <is>
          <t>https://drive.google.com/uc?export=view&amp;id=1kD27KIuc1xvAflU1BogUqrB9ZmHzPSIB</t>
        </is>
      </c>
      <c r="Z1266" s="1" t="inlineStr">
        <is>
          <t>https://drive.google.com/uc?export=view&amp;id=1kD27KIuc1xvAflU1BogUqrB9ZmHzPSIB</t>
        </is>
      </c>
      <c r="AA1266" s="1" t="inlineStr">
        <is>
          <t>Unverified</t>
        </is>
      </c>
      <c r="AB1266" s="1" t="n"/>
      <c r="AC1266" s="1" t="n"/>
      <c r="AD1266" s="10" t="n"/>
      <c r="AE1266" s="1" t="n"/>
      <c r="AF1266" t="inlineStr">
        <is>
          <t>Yes</t>
        </is>
      </c>
      <c r="AG1266" t="inlineStr">
        <is>
          <t>https://www.twitter.com/projet_Voltaire</t>
        </is>
      </c>
      <c r="AH1266" t="inlineStr">
        <is>
          <t>https://www.twitter.com/projet_Voltaire</t>
        </is>
      </c>
      <c r="AI1266" t="inlineStr">
        <is>
          <t>https://www.linkedin.com/company/projet-voltaire/</t>
        </is>
      </c>
    </row>
    <row r="1267" ht="12.5" customHeight="1">
      <c r="A1267" s="6" t="n">
        <v>45181</v>
      </c>
      <c r="B1267" s="1" t="inlineStr">
        <is>
          <t>ORG_2154</t>
        </is>
      </c>
      <c r="C1267" s="1" t="b">
        <v>1</v>
      </c>
      <c r="D1267" s="1" t="inlineStr">
        <is>
          <t>Rainmaker Society</t>
        </is>
      </c>
      <c r="E1267" s="10" t="inlineStr">
        <is>
          <t>https://rainmakersociety.de</t>
        </is>
      </c>
      <c r="F1267" t="inlineStr">
        <is>
          <t>rainmakersociety.de</t>
        </is>
      </c>
      <c r="G1267" s="1" t="inlineStr">
        <is>
          <t>Rainmaker Society strives for a tomorrow where we help every top achiever to have the most fulfilling career. We provide lifelong career sparring for executives and future stars. We are candidate-centric and build a society for mutual career success. Driven by Humans, Network, and Technology.</t>
        </is>
      </c>
      <c r="H1267" s="1" t="inlineStr">
        <is>
          <t>I'm not part of any EdTech association</t>
        </is>
      </c>
      <c r="I1267" s="1" t="n"/>
      <c r="J1267" s="1" t="inlineStr">
        <is>
          <t>Berlin</t>
        </is>
      </c>
      <c r="K1267" t="inlineStr">
        <is>
          <t>Berlin</t>
        </is>
      </c>
      <c r="L1267" t="inlineStr">
        <is>
          <t>Berlin, Germany</t>
        </is>
      </c>
      <c r="M1267" t="n">
        <v>52.5173885</v>
      </c>
      <c r="N1267" t="n">
        <v>13.3951309</v>
      </c>
      <c r="O1267" s="1" t="inlineStr">
        <is>
          <t>Germany</t>
        </is>
      </c>
      <c r="P1267" s="1" t="inlineStr">
        <is>
          <t>Austria, Denmark, France, Germany, Netherlands, Switzerland</t>
        </is>
      </c>
      <c r="Q1267" s="1" t="inlineStr">
        <is>
          <t>0 to 10</t>
        </is>
      </c>
      <c r="R1267" t="inlineStr">
        <is>
          <t>Micro</t>
        </is>
      </c>
      <c r="S1267" s="1" t="inlineStr">
        <is>
          <t>Business to Business, Business to Government, Business to Schools</t>
        </is>
      </c>
      <c r="T1267" s="1" t="inlineStr">
        <is>
          <t>Corporate Training, Lifelong learning/Adult education</t>
        </is>
      </c>
      <c r="U1267" s="1" t="inlineStr">
        <is>
          <t>System/Administrative</t>
        </is>
      </c>
      <c r="V1267" s="1" t="n"/>
      <c r="W1267" s="1" t="inlineStr">
        <is>
          <t>https://drive.google.com/uc?export=view&amp;id=1BwZUf1hHXXHstkUa7vWvUgjcLKuhT0oL</t>
        </is>
      </c>
      <c r="X1267" s="1" t="inlineStr">
        <is>
          <t>https://drive.google.com/uc?export=view&amp;id=1BwZUf1hHXXHstkUa7vWvUgjcLKuhT0oL</t>
        </is>
      </c>
      <c r="Y1267" t="inlineStr">
        <is>
          <t>https://drive.google.com/uc?export=view&amp;id=1BwZUf1hHXXHstkUa7vWvUgjcLKuhT0oL</t>
        </is>
      </c>
      <c r="Z1267" s="1" t="inlineStr">
        <is>
          <t>https://drive.google.com/uc?export=view&amp;id=1BwZUf1hHXXHstkUa7vWvUgjcLKuhT0oL</t>
        </is>
      </c>
      <c r="AA1267" s="1" t="inlineStr">
        <is>
          <t>Unverified</t>
        </is>
      </c>
      <c r="AB1267" s="1" t="n"/>
      <c r="AC1267" s="1" t="n"/>
      <c r="AD1267" s="10" t="n"/>
      <c r="AE1267" s="1" t="n"/>
      <c r="AF1267" t="inlineStr">
        <is>
          <t>No</t>
        </is>
      </c>
    </row>
    <row r="1268" ht="12.5" customHeight="1">
      <c r="A1268" s="6" t="n">
        <v>45181</v>
      </c>
      <c r="B1268" s="1" t="inlineStr">
        <is>
          <t>ORG_2185</t>
        </is>
      </c>
      <c r="C1268" s="1" t="b">
        <v>1</v>
      </c>
      <c r="D1268" s="1" t="inlineStr">
        <is>
          <t>Rise Up</t>
        </is>
      </c>
      <c r="E1268" s="10" t="inlineStr">
        <is>
          <t>https://www.riseup.ai/</t>
        </is>
      </c>
      <c r="F1268" t="inlineStr">
        <is>
          <t>riseup.ai</t>
        </is>
      </c>
      <c r="G1268" s="1" t="inlineStr">
        <is>
          <t>Rise Up delivers a dynamic and impactful learning experience through an all-in-one training solution designed to support L&amp;D. Rise Up learning platform makes it easy to plan, manage and combine face-to-face, virtual training and digital learning for a hybrid and agile workforce. With an AI-driven adaptive learning capability, Rise Up is leading the way to incorporate experience, culture, need, impact and agility.</t>
        </is>
      </c>
      <c r="H1268" s="1" t="inlineStr">
        <is>
          <t>EdTech France</t>
        </is>
      </c>
      <c r="I1268" s="1" t="n"/>
      <c r="J1268" s="1" t="inlineStr">
        <is>
          <t>Paris</t>
        </is>
      </c>
      <c r="K1268" t="inlineStr">
        <is>
          <t>Paris</t>
        </is>
      </c>
      <c r="L1268" t="inlineStr">
        <is>
          <t>Paris, France</t>
        </is>
      </c>
      <c r="M1268" t="n">
        <v>48.8534951</v>
      </c>
      <c r="N1268" t="n">
        <v>2.3483915</v>
      </c>
      <c r="O1268" s="1" t="inlineStr">
        <is>
          <t>France</t>
        </is>
      </c>
      <c r="P1268" s="1" t="inlineStr">
        <is>
          <t>Belgium, France, Germany, Luxembourg, Netherlands, Portugal, United Kingdom</t>
        </is>
      </c>
      <c r="Q1268" s="1" t="inlineStr">
        <is>
          <t>100+</t>
        </is>
      </c>
      <c r="R1268" t="inlineStr">
        <is>
          <t>Medium or Large (unspecified)</t>
        </is>
      </c>
      <c r="S1268" s="1" t="inlineStr">
        <is>
          <t>Business to Business, Business to Government, Business to Schools</t>
        </is>
      </c>
      <c r="T1268" s="1" t="inlineStr">
        <is>
          <t>Corporate Training, Lifelong learning/Adult education</t>
        </is>
      </c>
      <c r="U1268" s="1" t="inlineStr">
        <is>
          <t>Teacher interfacing, Student interfacing, System/Administrative</t>
        </is>
      </c>
      <c r="V1268" s="10" t="inlineStr">
        <is>
          <t>Integrated LMS, LXP &amp; Authoring Tool</t>
        </is>
      </c>
      <c r="W1268" s="10" t="inlineStr">
        <is>
          <t>Blended Learning Platform including ready to use content. Integrated app to Microsoft Teams to allow seamless training experience. 
Our platform is also available as a mobile app to train your talents even offline !</t>
        </is>
      </c>
      <c r="X1268" s="10" t="inlineStr">
        <is>
          <t>Adaptive Learning</t>
        </is>
      </c>
      <c r="Y1268" t="inlineStr">
        <is>
          <t>Skills repository and management. Personalise &amp; adapt your trainings according to your talents needs.</t>
        </is>
      </c>
      <c r="Z1268" s="1" t="inlineStr">
        <is>
          <t>https://drive.google.com/uc?export=view&amp;id=1D5-AmnQ8dY0D9XO9SILfD4ZQeSc-3edu</t>
        </is>
      </c>
      <c r="AA1268" s="1" t="inlineStr">
        <is>
          <t>Unverified</t>
        </is>
      </c>
      <c r="AB1268" s="1" t="n"/>
      <c r="AC1268" s="1" t="n"/>
      <c r="AD1268" s="10" t="n"/>
      <c r="AE1268" s="1" t="n"/>
      <c r="AF1268" s="1" t="inlineStr">
        <is>
          <t>Yes</t>
        </is>
      </c>
      <c r="AG1268" s="1" t="inlineStr">
        <is>
          <t>https://www.instagram.com/riseup.ai/</t>
        </is>
      </c>
      <c r="AH1268" s="1" t="inlineStr">
        <is>
          <t>https://twitter.com/RiseUpAI</t>
        </is>
      </c>
      <c r="AI1268" t="inlineStr">
        <is>
          <t>https://www.linkedin.com/company/rise-up-ai-france/</t>
        </is>
      </c>
    </row>
    <row r="1269" ht="12.5" customHeight="1">
      <c r="A1269" s="6" t="n">
        <v>45181</v>
      </c>
      <c r="B1269" s="1" t="inlineStr">
        <is>
          <t>ORG_2240</t>
        </is>
      </c>
      <c r="C1269" s="1" t="b">
        <v>1</v>
      </c>
      <c r="D1269" s="1" t="inlineStr">
        <is>
          <t>Silta Education</t>
        </is>
      </c>
      <c r="E1269" s="10" t="inlineStr">
        <is>
          <t>https://siltaeducation.com/silta-for-companies/</t>
        </is>
      </c>
      <c r="F1269" t="inlineStr">
        <is>
          <t>siltaeducation.com/silta-for-companies</t>
        </is>
      </c>
      <c r="G1269" s="1" t="inlineStr">
        <is>
          <t>We build the bridge from science to practice.
For succeeding in a fast-changing, unstable world, our mission is to turn the scientific knowledge into easily applicable tools of wellbeing for students, teachers and employees alike. Wellbeing is the foundation for learning. Healthy habits are the prerequisite of focus and creativity. Our trainings are based on neuroscientific and psychological research.
"Do I have ADHD?" Our newest program, Silta Focus, is a one month online training to improve focus, stress management and motivation. Did you know that concentration is a skill that can and must be trained? Like a muscle, it doesn't appear just like that, but it has to be trained and the habits supporting it have to be practiced.</t>
        </is>
      </c>
      <c r="H1269" s="1" t="inlineStr">
        <is>
          <t>EdTech Finland</t>
        </is>
      </c>
      <c r="I1269" s="1" t="n"/>
      <c r="J1269" s="1" t="inlineStr">
        <is>
          <t>Helsinki</t>
        </is>
      </c>
      <c r="K1269" t="inlineStr">
        <is>
          <t>Helsinki</t>
        </is>
      </c>
      <c r="L1269" t="inlineStr">
        <is>
          <t>Helsinki, Finland</t>
        </is>
      </c>
      <c r="M1269" t="n">
        <v>60.1666204</v>
      </c>
      <c r="N1269" t="n">
        <v>24.9435408</v>
      </c>
      <c r="O1269" s="1" t="inlineStr">
        <is>
          <t>Finland</t>
        </is>
      </c>
      <c r="P1269" s="1" t="inlineStr">
        <is>
          <t>Finland, Germany, Ireland, United Kingdom</t>
        </is>
      </c>
      <c r="Q1269" s="1" t="inlineStr">
        <is>
          <t>0 to 10</t>
        </is>
      </c>
      <c r="R1269" t="inlineStr">
        <is>
          <t>Micro</t>
        </is>
      </c>
      <c r="S1269" s="1" t="inlineStr">
        <is>
          <t>Business to Business, Business to Government, Business to Schools</t>
        </is>
      </c>
      <c r="T1269" s="1" t="inlineStr">
        <is>
          <t>Secondary Education, Higher Education, Corporate Training</t>
        </is>
      </c>
      <c r="U1269" s="1" t="inlineStr">
        <is>
          <t>Student interfacing, Teacher interfacing, System/Administrative</t>
        </is>
      </c>
      <c r="V1269" s="1" t="inlineStr">
        <is>
          <t>Silta Focus</t>
        </is>
      </c>
      <c r="W1269" s="1" t="inlineStr">
        <is>
          <t>In an era of constant interruptions, concentration is a skill that can be learned.
For succeeding in a fast-changing, unstable world, the skill to focus is needed more than ever. Silta Focus is a neuroscience and psychology based online training aiming to improve students' concentration, stress management and motivation. Research shows that smart habits are the prerequisite of wellbeing, creativity and academic performance. Good news is that focus is a skill that can be learned.</t>
        </is>
      </c>
      <c r="X1269" s="10" t="inlineStr">
        <is>
          <t>Silta SEL training for teachers</t>
        </is>
      </c>
      <c r="Y1269" t="inlineStr">
        <is>
          <t>Research shows that skills in social and emotional learning (SEL) are the foundation for wellbeing, academic performance and good classroom behaviour.
Our mission is to develop teachers’ social and emotional competences for educating the next generation of problem-solvers. Impact only comes from teachers’ continuous professional development in social and emotional competences, rather than a short one-time training event. Our teacher training is targeted for high school and higher education teachers.</t>
        </is>
      </c>
      <c r="Z1269" s="1" t="inlineStr">
        <is>
          <t>https://drive.google.com/uc?export=view&amp;id=1G-8_9A9AguU55tqxoSqhH1CFqqJqwlDa</t>
        </is>
      </c>
      <c r="AA1269" s="1" t="inlineStr">
        <is>
          <t>Unverified</t>
        </is>
      </c>
      <c r="AB1269" s="1" t="n"/>
      <c r="AC1269" s="1" t="n"/>
      <c r="AD1269" s="10" t="n"/>
      <c r="AE1269" s="1" t="n"/>
      <c r="AF1269" t="inlineStr">
        <is>
          <t>Yes</t>
        </is>
      </c>
      <c r="AG1269" t="inlineStr">
        <is>
          <t>https://www.linkedin.com/company/silta-education/</t>
        </is>
      </c>
      <c r="AH1269" t="inlineStr">
        <is>
          <t>https://www.linkedin.com/company/silta-education/</t>
        </is>
      </c>
      <c r="AI1269" t="inlineStr">
        <is>
          <t>https://www.linkedin.com/company/silta-education/</t>
        </is>
      </c>
    </row>
    <row r="1270" ht="12.5" customHeight="1">
      <c r="A1270" s="6" t="n">
        <v>45181</v>
      </c>
      <c r="B1270" s="1" t="inlineStr">
        <is>
          <t>ORG_2241</t>
        </is>
      </c>
      <c r="C1270" s="1" t="b">
        <v>1</v>
      </c>
      <c r="D1270" s="1" t="inlineStr">
        <is>
          <t>Simango</t>
        </is>
      </c>
      <c r="E1270" s="10" t="inlineStr">
        <is>
          <t>https://simango.fr/</t>
        </is>
      </c>
      <c r="F1270" t="inlineStr">
        <is>
          <t>simango.fr</t>
        </is>
      </c>
      <c r="G1270" s="1" t="inlineStr">
        <is>
          <t>SIMANGO revolutionizes the training of healthcare professionals with an immersive and impactful solution! The startup is a key player in healthcare training and taking the traditional learning model to a new level through innovative technologies: digital simulation and serious games. It offers a complete digital training solution, enabling healthcare institutions to train their staff more efficiently, at a lower cost and in a more flexible way. Today, SIMANGO has 300 healthcare institutions as ambassadors, around 30 training programs developed and more than 600 virtual reality headsets deployed. And it doesn't stop there! In January 2022, the startup announced the development of the first metaverse training center for healthcare institutions. A collaborative, playful and immersive training space. This virtual hospital will be THE future training place for healthcare professionals.</t>
        </is>
      </c>
      <c r="H1270" s="1" t="inlineStr">
        <is>
          <t>EdTech France</t>
        </is>
      </c>
      <c r="I1270" s="1" t="n"/>
      <c r="J1270" s="1" t="inlineStr">
        <is>
          <t>Rennes</t>
        </is>
      </c>
      <c r="K1270" t="inlineStr">
        <is>
          <t>Rennes</t>
        </is>
      </c>
      <c r="L1270" t="inlineStr">
        <is>
          <t>Rennes, France</t>
        </is>
      </c>
      <c r="M1270" t="n">
        <v>48.1113387</v>
      </c>
      <c r="N1270" t="n">
        <v>-1.6800198</v>
      </c>
      <c r="O1270" s="1" t="inlineStr">
        <is>
          <t>France</t>
        </is>
      </c>
      <c r="P1270" s="1" t="inlineStr">
        <is>
          <t>France</t>
        </is>
      </c>
      <c r="Q1270" s="1" t="inlineStr">
        <is>
          <t>11 to 50</t>
        </is>
      </c>
      <c r="R1270" t="inlineStr">
        <is>
          <t>Small</t>
        </is>
      </c>
      <c r="S1270" s="1" t="inlineStr">
        <is>
          <t>Business to Business, Business to Government, Business to Schools</t>
        </is>
      </c>
      <c r="T1270" s="1" t="inlineStr">
        <is>
          <t>Higher Education, Corporate Training</t>
        </is>
      </c>
      <c r="U1270" s="1" t="inlineStr">
        <is>
          <t>Student interfacing, Teacher interfacing, System/Administrative</t>
        </is>
      </c>
      <c r="V1270" s="1" t="inlineStr">
        <is>
          <t>Immersive training</t>
        </is>
      </c>
      <c r="W1270" s="10" t="inlineStr">
        <is>
          <t>Simango offers a complete catalog of training courses, accessible in virtual reality, PC, mobile ans tablet. In a serious game format, the learner as in immersed virtual health care institution.
He must interact with objects, answer to quizzes, play mini-games. The objective is to learn in a playful way about everyday risk situation, so as not to reproduce them in real life. The pedagogical content of each training course is designed in partneship with healthcare institutions.</t>
        </is>
      </c>
      <c r="X1270" s="10" t="inlineStr">
        <is>
          <t>https://drive.google.com/uc?export=view&amp;id=1NK4JXnUUy7l_aux-msT6OrjYPsfOiKwq</t>
        </is>
      </c>
      <c r="Y1270" t="inlineStr">
        <is>
          <t>https://drive.google.com/uc?export=view&amp;id=1NK4JXnUUy7l_aux-msT6OrjYPsfOiKwq</t>
        </is>
      </c>
      <c r="Z1270" s="1" t="inlineStr">
        <is>
          <t>https://drive.google.com/uc?export=view&amp;id=1NK4JXnUUy7l_aux-msT6OrjYPsfOiKwq</t>
        </is>
      </c>
      <c r="AA1270" s="1" t="inlineStr">
        <is>
          <t>Unverified</t>
        </is>
      </c>
      <c r="AB1270" s="1" t="n"/>
      <c r="AC1270" s="1" t="n"/>
      <c r="AD1270" s="10" t="n"/>
      <c r="AE1270" s="1" t="n"/>
      <c r="AF1270" t="inlineStr">
        <is>
          <t>Yes</t>
        </is>
      </c>
      <c r="AG1270" t="inlineStr">
        <is>
          <t>https://twitter.com/simangosante</t>
        </is>
      </c>
      <c r="AH1270" t="inlineStr">
        <is>
          <t>https://twitter.com/simangosante</t>
        </is>
      </c>
      <c r="AI1270" t="inlineStr">
        <is>
          <t>https://www.linkedin.com/company/simango/</t>
        </is>
      </c>
    </row>
    <row r="1271" ht="12.5" customHeight="1">
      <c r="A1271" s="6" t="n">
        <v>45181</v>
      </c>
      <c r="B1271" s="1" t="inlineStr">
        <is>
          <t>ORG_2278</t>
        </is>
      </c>
      <c r="C1271" s="1" t="b">
        <v>1</v>
      </c>
      <c r="D1271" s="1" t="inlineStr">
        <is>
          <t>SMARTEO</t>
        </is>
      </c>
      <c r="E1271" s="10" t="inlineStr">
        <is>
          <t>https://www.smarteo.co</t>
        </is>
      </c>
      <c r="F1271" t="inlineStr">
        <is>
          <t>smarteo.co</t>
        </is>
      </c>
      <c r="G1271" s="1" t="inlineStr">
        <is>
          <t>On the edge of this 4th industrial revolution, we are experiencing extraordinary technological transformations: from robotics to Artificial Intelligence and the expansion of IOT. The way we approach things is changing very quickly and in all areas.
This is why at Smarteo, we create original learning experiences allowing everyone to become familiar with the technological tools of tomorrow. We have been working since 2018 with communities, libraries and schools and we offer them turnkey solutions to organize workshops for children, allowing them to acquire the skills of the 21st century.
Our workshops and educational materials are based on an innovative, fun and interdisciplinary approach, which introduces children to coding, robotics, 3D Printing and more. Furthermore, we leverage our AI powered digital platform to provide access to learner-centered physical equipment, online contents and coaching.</t>
        </is>
      </c>
      <c r="H1271" s="1" t="inlineStr">
        <is>
          <t>EdTech France</t>
        </is>
      </c>
      <c r="I1271" s="1" t="n"/>
      <c r="J1271" s="1" t="inlineStr">
        <is>
          <t>Sceaux</t>
        </is>
      </c>
      <c r="K1271" t="inlineStr">
        <is>
          <t>Sceaux</t>
        </is>
      </c>
      <c r="L1271" t="inlineStr">
        <is>
          <t>Sceaux, France</t>
        </is>
      </c>
      <c r="M1271" t="n">
        <v>47.5147285</v>
      </c>
      <c r="N1271" t="n">
        <v>4.0218449</v>
      </c>
      <c r="O1271" s="1" t="inlineStr">
        <is>
          <t>France</t>
        </is>
      </c>
      <c r="P1271" s="1" t="inlineStr">
        <is>
          <t>Belgium, France, Germany, Italy, Spain, Switzerland, United Kingdom</t>
        </is>
      </c>
      <c r="Q1271" s="1" t="inlineStr">
        <is>
          <t>0 to 10</t>
        </is>
      </c>
      <c r="R1271" t="inlineStr">
        <is>
          <t>Micro</t>
        </is>
      </c>
      <c r="S1271" s="1" t="inlineStr">
        <is>
          <t>Business to Business, Business to Schools</t>
        </is>
      </c>
      <c r="T1271" s="1" t="inlineStr">
        <is>
          <t>Primary Education, Secondary Education</t>
        </is>
      </c>
      <c r="U1271" s="1" t="inlineStr">
        <is>
          <t>System/Administrative, Student interfacing, Teacher interfacing</t>
        </is>
      </c>
      <c r="V1271" s="10" t="inlineStr">
        <is>
          <t>SMARTEO</t>
        </is>
      </c>
      <c r="W1271" s="10" t="inlineStr">
        <is>
          <t>Smarteo introduces children to coding, robotics, 3D printing and more, through an interdisciplinary and playful pedagogy. Our educational products combine the benefits of physical and digital learning and enable collaboration and creativity. We leverage our AI powered digital platform to provide access learner-centered physical equipment, online contents and coaching.</t>
        </is>
      </c>
      <c r="X1271" s="10" t="inlineStr">
        <is>
          <t>SMARTEOWORLDS</t>
        </is>
      </c>
      <c r="Y1271" t="inlineStr">
        <is>
          <t>SMARTEOWORLDS: Code your adventures!
We have designed a set of educational and fun boxes that allow children to live extraordinary experiences and to experiment, build and learn to code while having fun: They include manual activities, electronic components, many game accessories and 3D prints. They are also complemented by activities to do online while collaborating with other children or mentors.</t>
        </is>
      </c>
      <c r="Z1271" s="1" t="inlineStr">
        <is>
          <t>https://drive.google.com/uc?export=view&amp;id=1HPqZa_ok6oQZ1p_a5i7QEnsE2D9gpEuw</t>
        </is>
      </c>
      <c r="AA1271" s="1" t="inlineStr">
        <is>
          <t>Unverified</t>
        </is>
      </c>
      <c r="AB1271" s="1" t="n"/>
      <c r="AC1271" s="1" t="n"/>
      <c r="AD1271" s="10" t="n"/>
      <c r="AE1271" s="1" t="n"/>
      <c r="AF1271" t="inlineStr">
        <is>
          <t>Yes</t>
        </is>
      </c>
      <c r="AG1271" t="inlineStr">
        <is>
          <t>https://www.instagram.com/smarteo.co</t>
        </is>
      </c>
      <c r="AH1271" t="inlineStr">
        <is>
          <t>https://twitter.com/smarteo_co</t>
        </is>
      </c>
      <c r="AI1271" t="inlineStr">
        <is>
          <t>https://www.linkedin.com/company/smarteo-co/</t>
        </is>
      </c>
    </row>
    <row r="1272" ht="12.5" customHeight="1">
      <c r="A1272" s="6" t="n">
        <v>45181</v>
      </c>
      <c r="B1272" s="1" t="inlineStr">
        <is>
          <t>ORG_2308</t>
        </is>
      </c>
      <c r="C1272" s="1" t="b">
        <v>1</v>
      </c>
      <c r="D1272" s="1" t="inlineStr">
        <is>
          <t>Splashtop</t>
        </is>
      </c>
      <c r="E1272" s="10" t="inlineStr">
        <is>
          <t>www.splashtop.com</t>
        </is>
      </c>
      <c r="F1272" t="inlineStr">
        <is>
          <t>splashtop.com</t>
        </is>
      </c>
      <c r="G1272" s="1" t="inlineStr">
        <is>
          <t>Splashtop delivers secure remote access and support software and services to educational institutions globally. Splashtop enables students, faculty, and IT professionals to remotely access and support any device from any location. Splashtop solutions address education continuity, technology inequity gaps, help desk productivity, and maximize student potential. Our edtech solutions include: Splashtop labs, which allows students and faculty to connect to and control an high-powered, on-campus workstations from their own device; Splashtop remote support solutions increase the effectiveness of on-campus help desk to manage and maintain technology; Splashtop Classroom, allows teachers to remotely control the lesson from anywhere in the classroom, annotate, and share with students; and, with Splashtop Mirroring 360, teachers and students can mirror their content, ideas and apps on their device to the whole class.</t>
        </is>
      </c>
      <c r="H1272" s="1" t="inlineStr">
        <is>
          <t>Dutch EdTech</t>
        </is>
      </c>
      <c r="I1272" s="1" t="n"/>
      <c r="J1272" s="1" t="inlineStr">
        <is>
          <t>Amsterdam</t>
        </is>
      </c>
      <c r="K1272" t="inlineStr">
        <is>
          <t>Amsterdam</t>
        </is>
      </c>
      <c r="L1272" t="inlineStr">
        <is>
          <t>Amsterdam, The Netherlands</t>
        </is>
      </c>
      <c r="M1272" t="n">
        <v>52.3701984</v>
      </c>
      <c r="N1272" t="n">
        <v>4.892168</v>
      </c>
      <c r="O1272" s="1" t="inlineStr">
        <is>
          <t>The Netherlands</t>
        </is>
      </c>
      <c r="P1272" s="1" t="inlineStr">
        <is>
          <t>Austria, Belarus, Belgium, Bosnia and Herzegovina, Bulgaria, Croatia, Cyprus, Czechia, Denmark, Estonia, Finland, France, Georgia, Germany, Greece, Hungary, Iceland, Ireland, Italy, Latvia, Liechtenstein, Lithuania, Luxembourg, Netherlands, Norway, Poland, Portugal, Romania, Slovakia, Spain, Sweden, Switzerland, Turkey, Ukraine, United Kingdom</t>
        </is>
      </c>
      <c r="Q1272" s="1" t="inlineStr">
        <is>
          <t>100+</t>
        </is>
      </c>
      <c r="R1272" t="inlineStr">
        <is>
          <t>Medium or Large (unspecified)</t>
        </is>
      </c>
      <c r="S1272" s="1" t="inlineStr">
        <is>
          <t>Business to Business, Business to Schools</t>
        </is>
      </c>
      <c r="T1272" s="1" t="inlineStr">
        <is>
          <t>Primary Education, Secondary Education, Higher Education</t>
        </is>
      </c>
      <c r="U1272" s="1" t="inlineStr">
        <is>
          <t>System/Administrative</t>
        </is>
      </c>
      <c r="V1272" s="1" t="n"/>
      <c r="W1272" s="1" t="inlineStr">
        <is>
          <t>https://drive.google.com/uc?export=view&amp;id=1sjcwwsCR2fLzzwarvVIassgWUQGLBd72</t>
        </is>
      </c>
      <c r="X1272" s="1" t="inlineStr">
        <is>
          <t>https://drive.google.com/uc?export=view&amp;id=1sjcwwsCR2fLzzwarvVIassgWUQGLBd72</t>
        </is>
      </c>
      <c r="Y1272" t="inlineStr">
        <is>
          <t>https://drive.google.com/uc?export=view&amp;id=1sjcwwsCR2fLzzwarvVIassgWUQGLBd72</t>
        </is>
      </c>
      <c r="Z1272" s="1" t="inlineStr">
        <is>
          <t>https://drive.google.com/uc?export=view&amp;id=1sjcwwsCR2fLzzwarvVIassgWUQGLBd72</t>
        </is>
      </c>
      <c r="AA1272" s="1" t="inlineStr">
        <is>
          <t>Unverified</t>
        </is>
      </c>
      <c r="AB1272" s="1" t="n"/>
      <c r="AC1272" s="1" t="n"/>
      <c r="AD1272" s="10" t="n"/>
      <c r="AE1272" s="1" t="n"/>
      <c r="AF1272" s="1" t="inlineStr">
        <is>
          <t>No</t>
        </is>
      </c>
      <c r="AG1272" s="1" t="n"/>
      <c r="AH1272" s="1" t="n"/>
    </row>
    <row r="1273" ht="12.5" customHeight="1">
      <c r="A1273" s="6" t="n">
        <v>45181</v>
      </c>
      <c r="B1273" s="1" t="inlineStr">
        <is>
          <t>ORG_2337</t>
        </is>
      </c>
      <c r="C1273" s="1" t="b">
        <v>1</v>
      </c>
      <c r="D1273" s="1" t="inlineStr">
        <is>
          <t>Studinventive</t>
        </is>
      </c>
      <c r="E1273" s="10" t="inlineStr">
        <is>
          <t>https://studinventive.com</t>
        </is>
      </c>
      <c r="F1273" t="inlineStr">
        <is>
          <t>studinventive.com</t>
        </is>
      </c>
      <c r="G1273" s="1" t="inlineStr">
        <is>
          <t>Studinventive is an online school specializing in micro-adaptive learning. We offer personalized support adapted to the personality type and learning style of the learner.</t>
        </is>
      </c>
      <c r="H1273" s="1" t="inlineStr">
        <is>
          <t>EdTech France</t>
        </is>
      </c>
      <c r="I1273" s="1" t="n"/>
      <c r="J1273" s="1" t="inlineStr">
        <is>
          <t>Paris</t>
        </is>
      </c>
      <c r="K1273" t="inlineStr">
        <is>
          <t>Paris</t>
        </is>
      </c>
      <c r="L1273" t="inlineStr">
        <is>
          <t>Paris, France</t>
        </is>
      </c>
      <c r="M1273" t="n">
        <v>48.8534951</v>
      </c>
      <c r="N1273" t="n">
        <v>2.3483915</v>
      </c>
      <c r="O1273" s="1" t="inlineStr">
        <is>
          <t>France</t>
        </is>
      </c>
      <c r="P1273" s="1" t="inlineStr">
        <is>
          <t>France</t>
        </is>
      </c>
      <c r="Q1273" s="1" t="inlineStr">
        <is>
          <t>0 to 10</t>
        </is>
      </c>
      <c r="R1273" t="inlineStr">
        <is>
          <t>Micro</t>
        </is>
      </c>
      <c r="S1273" s="1" t="inlineStr">
        <is>
          <t>Business to Business, Business to Schools</t>
        </is>
      </c>
      <c r="T1273" s="1" t="inlineStr">
        <is>
          <t>Higher Education, Corporate Training, Lifelong learning/Adult education</t>
        </is>
      </c>
      <c r="U1273" s="1" t="inlineStr">
        <is>
          <t>Student interfacing, Teacher interfacing, System/Administrative</t>
        </is>
      </c>
      <c r="V1273" s="1" t="n"/>
      <c r="W1273" s="1" t="inlineStr">
        <is>
          <t>https://drive.google.com/uc?export=view&amp;id=1Z-LiKVWiV1z3GmBa0XWoQvl2VzWlYQsF</t>
        </is>
      </c>
      <c r="X1273" s="1" t="inlineStr">
        <is>
          <t>https://drive.google.com/uc?export=view&amp;id=1Z-LiKVWiV1z3GmBa0XWoQvl2VzWlYQsF</t>
        </is>
      </c>
      <c r="Y1273" t="inlineStr">
        <is>
          <t>https://drive.google.com/uc?export=view&amp;id=1Z-LiKVWiV1z3GmBa0XWoQvl2VzWlYQsF</t>
        </is>
      </c>
      <c r="Z1273" s="1" t="inlineStr">
        <is>
          <t>https://drive.google.com/uc?export=view&amp;id=1Z-LiKVWiV1z3GmBa0XWoQvl2VzWlYQsF</t>
        </is>
      </c>
      <c r="AA1273" s="1" t="inlineStr">
        <is>
          <t>Unverified</t>
        </is>
      </c>
      <c r="AB1273" s="1" t="n"/>
      <c r="AC1273" s="1" t="n"/>
      <c r="AD1273" s="10" t="n"/>
      <c r="AE1273" s="1" t="n"/>
      <c r="AF1273" t="inlineStr">
        <is>
          <t>No</t>
        </is>
      </c>
    </row>
    <row r="1274" ht="12.5" customHeight="1">
      <c r="A1274" s="6" t="n">
        <v>45181</v>
      </c>
      <c r="B1274" s="1" t="inlineStr">
        <is>
          <t>ORG_2370</t>
        </is>
      </c>
      <c r="C1274" s="1" t="b">
        <v>1</v>
      </c>
      <c r="D1274" s="1" t="inlineStr">
        <is>
          <t>Taskbase</t>
        </is>
      </c>
      <c r="E1274" s="10" t="inlineStr">
        <is>
          <t>https://www.taskbase.com/</t>
        </is>
      </c>
      <c r="F1274" t="inlineStr">
        <is>
          <t>taskbase.com</t>
        </is>
      </c>
      <c r="G1274" s="1" t="inlineStr">
        <is>
          <t>With Taskbase, digital learning platforms and education publishers deliver on the promise of personalized feedback with the Taskbase® feedback engine – built to take the learning outcome of the digital learning platforms to the next level.
Level-up your digital learning platform with the world’s #1 feedback engine and it's three components. 
- Evaluation: Evaluate complex tasks beyond right or wrong and give in-time, teacher-like feedback that is tailored to your educational concept.
- Advices: Provide recommendations and hints based on learners’ behavior, and lead your students through unique learning paths.
- Statistics: Detailed skill level statistics allow for clear overviews and dashboards, as well as an excellent foundation to implement advanced gamification concepts.
Provide the right feedback at the right time through a stress-free integration with our ready-to-use API, reduce the time-to-market for personalized feedback and boost the learning outcome of your students.</t>
        </is>
      </c>
      <c r="H1274" s="1" t="inlineStr">
        <is>
          <t>Swiss EdTech Collider</t>
        </is>
      </c>
      <c r="I1274" s="1" t="n"/>
      <c r="J1274" s="1" t="inlineStr">
        <is>
          <t>Zurich</t>
        </is>
      </c>
      <c r="K1274" t="inlineStr">
        <is>
          <t>Zurich</t>
        </is>
      </c>
      <c r="L1274" t="inlineStr">
        <is>
          <t>Zurich, Switzerland</t>
        </is>
      </c>
      <c r="M1274" t="n">
        <v>47.3744489</v>
      </c>
      <c r="N1274" t="n">
        <v>8.5410422</v>
      </c>
      <c r="O1274" s="1" t="inlineStr">
        <is>
          <t>Switzerland</t>
        </is>
      </c>
      <c r="P1274" s="1" t="inlineStr">
        <is>
          <t>Austria, Germany, Italy, Liechtenstein, Sweden, Switzerland, United Kingdom</t>
        </is>
      </c>
      <c r="Q1274" s="1" t="inlineStr">
        <is>
          <t>11 to 50</t>
        </is>
      </c>
      <c r="R1274" t="inlineStr">
        <is>
          <t>Small</t>
        </is>
      </c>
      <c r="S1274" s="1" t="inlineStr">
        <is>
          <t>Business to Consumer</t>
        </is>
      </c>
      <c r="T1274" s="1" t="inlineStr">
        <is>
          <t>Early childhood development (0-5 years), Primary Education, Secondary Education, Higher Education, Corporate Training, Lifelong learning/Adult education</t>
        </is>
      </c>
      <c r="U1274" s="1" t="inlineStr">
        <is>
          <t>System/Administrative</t>
        </is>
      </c>
      <c r="V1274" s="1" t="inlineStr">
        <is>
          <t>Taskbase Feedback Engine</t>
        </is>
      </c>
      <c r="W1274" s="1" t="inlineStr">
        <is>
          <t>The Taskbase Feedback Engine App enables author teams to configure personalized feedback within seconds and constantly control and manage the quality of the automated, teacher-like feedback.</t>
        </is>
      </c>
      <c r="X1274" s="10" t="inlineStr">
        <is>
          <t>https://drive.google.com/uc?export=view&amp;id=1iVeObtlTKykrJDkxj1TnO9-zCTG28e_-</t>
        </is>
      </c>
      <c r="Y1274" t="inlineStr">
        <is>
          <t>https://drive.google.com/uc?export=view&amp;id=1iVeObtlTKykrJDkxj1TnO9-zCTG28e_-</t>
        </is>
      </c>
      <c r="Z1274" s="1" t="inlineStr">
        <is>
          <t>https://drive.google.com/uc?export=view&amp;id=1iVeObtlTKykrJDkxj1TnO9-zCTG28e_-</t>
        </is>
      </c>
      <c r="AA1274" s="1" t="inlineStr">
        <is>
          <t>Unverified</t>
        </is>
      </c>
      <c r="AB1274" s="1" t="n"/>
      <c r="AC1274" s="1" t="n"/>
      <c r="AD1274" s="10" t="n"/>
      <c r="AE1274" s="1" t="n"/>
      <c r="AF1274" s="1" t="inlineStr">
        <is>
          <t>Yes</t>
        </is>
      </c>
      <c r="AG1274" s="1" t="inlineStr">
        <is>
          <t>https://www.linkedin.com/company/taskbase/</t>
        </is>
      </c>
      <c r="AH1274" s="1" t="inlineStr">
        <is>
          <t>https://www.linkedin.com/company/taskbase/</t>
        </is>
      </c>
      <c r="AI1274" t="inlineStr">
        <is>
          <t>https://www.linkedin.com/company/taskbase/</t>
        </is>
      </c>
    </row>
    <row r="1275" ht="12.5" customHeight="1">
      <c r="A1275" s="6" t="n">
        <v>45181</v>
      </c>
      <c r="B1275" s="1" t="inlineStr">
        <is>
          <t>ORG_2380</t>
        </is>
      </c>
      <c r="C1275" s="1" t="b">
        <v>1</v>
      </c>
      <c r="D1275" s="1" t="inlineStr">
        <is>
          <t>Tecive</t>
        </is>
      </c>
      <c r="E1275" s="10" t="inlineStr">
        <is>
          <t>https://www.tecive.co.uk</t>
        </is>
      </c>
      <c r="F1275" t="inlineStr">
        <is>
          <t>tecive.co.uk</t>
        </is>
      </c>
      <c r="G1275" s="1" t="inlineStr">
        <is>
          <t>There is a huge volume of communication in universities. This is because information is hard to find, stale or lost. The pandemic aggravated this due to a rush to improve the digital experience that resulted in an explosion of tools. 
On average, a lecturer spends 312 hours every year dealing with emails, finding files and answering questions. 
We reduce the time needed to deal with those issues, to improve efficiency and satisfaction. Tecive is a platform to make information easy to find and encourage knowledge reuse.</t>
        </is>
      </c>
      <c r="H1275" s="1" t="inlineStr">
        <is>
          <t>I'm not part of any EdTech association</t>
        </is>
      </c>
      <c r="I1275" s="1" t="n"/>
      <c r="J1275" s="1" t="inlineStr">
        <is>
          <t>Edinburgh</t>
        </is>
      </c>
      <c r="K1275" t="inlineStr">
        <is>
          <t>Edinburgh</t>
        </is>
      </c>
      <c r="L1275" t="inlineStr">
        <is>
          <t>Edinburgh, United Kingdom</t>
        </is>
      </c>
      <c r="M1275" t="n">
        <v>55.9533456</v>
      </c>
      <c r="N1275" t="n">
        <v>-3.1883749</v>
      </c>
      <c r="O1275" s="1" t="inlineStr">
        <is>
          <t>United Kingdom</t>
        </is>
      </c>
      <c r="P1275" s="1" t="inlineStr">
        <is>
          <t>United Kingdom</t>
        </is>
      </c>
      <c r="Q1275" s="1" t="inlineStr">
        <is>
          <t>0 to 10</t>
        </is>
      </c>
      <c r="R1275" t="inlineStr">
        <is>
          <t>Micro</t>
        </is>
      </c>
      <c r="S1275" s="1" t="inlineStr">
        <is>
          <t>Business to Consumer, Business to Government, Business to Schools</t>
        </is>
      </c>
      <c r="T1275" s="1" t="inlineStr">
        <is>
          <t>Higher Education</t>
        </is>
      </c>
      <c r="U1275" s="1" t="inlineStr">
        <is>
          <t>Student interfacing, Teacher interfacing</t>
        </is>
      </c>
      <c r="V1275" s="1" t="n"/>
      <c r="W1275" s="1" t="inlineStr">
        <is>
          <t>https://drive.google.com/uc?export=view&amp;id=1oNvt5HyELhHouUQ_x0t26UtJtA3ovKN4</t>
        </is>
      </c>
      <c r="X1275" s="1" t="inlineStr">
        <is>
          <t>https://drive.google.com/uc?export=view&amp;id=1oNvt5HyELhHouUQ_x0t26UtJtA3ovKN4</t>
        </is>
      </c>
      <c r="Y1275" t="inlineStr">
        <is>
          <t>https://drive.google.com/uc?export=view&amp;id=1oNvt5HyELhHouUQ_x0t26UtJtA3ovKN4</t>
        </is>
      </c>
      <c r="Z1275" s="1" t="inlineStr">
        <is>
          <t>https://drive.google.com/uc?export=view&amp;id=1oNvt5HyELhHouUQ_x0t26UtJtA3ovKN4</t>
        </is>
      </c>
      <c r="AA1275" s="1" t="inlineStr">
        <is>
          <t>Unverified</t>
        </is>
      </c>
      <c r="AB1275" s="1" t="n"/>
      <c r="AC1275" s="1" t="n"/>
      <c r="AD1275" s="10" t="n"/>
      <c r="AE1275" s="1" t="n"/>
      <c r="AF1275" s="1" t="inlineStr">
        <is>
          <t>No</t>
        </is>
      </c>
      <c r="AG1275" s="1" t="n"/>
      <c r="AH1275" s="1" t="n"/>
    </row>
    <row r="1276" ht="12.5" customHeight="1">
      <c r="A1276" s="6" t="n">
        <v>45181</v>
      </c>
      <c r="B1276" s="1" t="inlineStr">
        <is>
          <t>ORG_2414</t>
        </is>
      </c>
      <c r="C1276" s="1" t="b">
        <v>1</v>
      </c>
      <c r="D1276" s="1" t="inlineStr">
        <is>
          <t>TinyApp</t>
        </is>
      </c>
      <c r="E1276" s="10" t="inlineStr">
        <is>
          <t>https://www.tinyapp.biz/</t>
        </is>
      </c>
      <c r="F1276" t="inlineStr">
        <is>
          <t>tinyapp.biz</t>
        </is>
      </c>
      <c r="G1276" s="1" t="inlineStr">
        <is>
          <t>TinyApp offers all you need to know to deliver quality education in kindergartens, daycares and preschools. TinyApp is made to support educators in their pedagogical work. Educators can work towards the objectives of the early childhood education curriculum and follow-up the progress. Easier and more effective than ever before through our easy-to-use digital platform and tools. 
TinyApp is developed by HelsinkiNYC International Ltd, an education technology company from Finland.</t>
        </is>
      </c>
      <c r="H1276" s="1" t="inlineStr">
        <is>
          <t>EdTech Finland</t>
        </is>
      </c>
      <c r="I1276" s="1" t="n"/>
      <c r="J1276" s="1" t="inlineStr">
        <is>
          <t>Helsinki</t>
        </is>
      </c>
      <c r="K1276" t="inlineStr">
        <is>
          <t>Helsinki</t>
        </is>
      </c>
      <c r="L1276" t="inlineStr">
        <is>
          <t>Helsinki, Finland</t>
        </is>
      </c>
      <c r="M1276" t="n">
        <v>60.1666204</v>
      </c>
      <c r="N1276" t="n">
        <v>24.9435408</v>
      </c>
      <c r="O1276" s="1" t="inlineStr">
        <is>
          <t>Finland</t>
        </is>
      </c>
      <c r="P1276" s="1" t="inlineStr">
        <is>
          <t>Finland, Spain</t>
        </is>
      </c>
      <c r="Q1276" s="1" t="inlineStr">
        <is>
          <t>0 to 10</t>
        </is>
      </c>
      <c r="R1276" t="inlineStr">
        <is>
          <t>Micro</t>
        </is>
      </c>
      <c r="S1276" s="1" t="inlineStr">
        <is>
          <t>Business to Consumer, Business to Government, Business to Schools</t>
        </is>
      </c>
      <c r="T1276" s="1" t="inlineStr">
        <is>
          <t>Early childhood development (0-5 years)</t>
        </is>
      </c>
      <c r="U1276" s="1" t="inlineStr">
        <is>
          <t>Teacher interfacing, System/Administrative</t>
        </is>
      </c>
      <c r="V1276" s="10" t="inlineStr">
        <is>
          <t>TinyApp</t>
        </is>
      </c>
      <c r="W1276" s="1" t="inlineStr">
        <is>
          <t>TinyApp is a one-stop solution for all early education professionals: Save time through systematic, efficient &amp; transparent processes for daily pedagogical work. Use real-time data to plan, develop and assess pedagogical activities. Communicate with families easily with data-secure app. And develop your professional skills in early childhood education pedagogy.</t>
        </is>
      </c>
      <c r="X1276" s="10" t="inlineStr">
        <is>
          <t>https://drive.google.com/uc?export=view&amp;id=1fxtJ2a5U2p0E57z1j80c5smXst2SE569</t>
        </is>
      </c>
      <c r="Y1276" t="inlineStr">
        <is>
          <t>https://drive.google.com/uc?export=view&amp;id=1fxtJ2a5U2p0E57z1j80c5smXst2SE569</t>
        </is>
      </c>
      <c r="Z1276" s="1" t="inlineStr">
        <is>
          <t>https://drive.google.com/uc?export=view&amp;id=1fxtJ2a5U2p0E57z1j80c5smXst2SE569</t>
        </is>
      </c>
      <c r="AA1276" s="1" t="inlineStr">
        <is>
          <t>Unverified</t>
        </is>
      </c>
      <c r="AB1276" s="1" t="n"/>
      <c r="AC1276" s="1" t="n"/>
      <c r="AD1276" s="10" t="n"/>
      <c r="AE1276" s="1" t="n"/>
      <c r="AF1276" t="inlineStr">
        <is>
          <t>Yes</t>
        </is>
      </c>
      <c r="AG1276" t="inlineStr">
        <is>
          <t>https://www.instagram.com/tinyappes/</t>
        </is>
      </c>
      <c r="AH1276" t="inlineStr">
        <is>
          <t>https://www.linkedin.com/company/tinyapp/</t>
        </is>
      </c>
      <c r="AI1276" t="inlineStr">
        <is>
          <t>https://www.linkedin.com/company/tinyapp/</t>
        </is>
      </c>
    </row>
    <row r="1277" ht="12.5" customHeight="1">
      <c r="A1277" s="6" t="n">
        <v>45181</v>
      </c>
      <c r="B1277" s="1" t="inlineStr">
        <is>
          <t>ORG_2436</t>
        </is>
      </c>
      <c r="C1277" s="1" t="b">
        <v>1</v>
      </c>
      <c r="D1277" s="10" t="inlineStr">
        <is>
          <t>Tuto.com</t>
        </is>
      </c>
      <c r="E1277" s="10" t="inlineStr">
        <is>
          <t>https://fr.tuto.com/</t>
        </is>
      </c>
      <c r="F1277" t="inlineStr">
        <is>
          <t>fr.tuto.com</t>
        </is>
      </c>
      <c r="G1277" s="1" t="inlineStr">
        <is>
          <t>Tuto.com is an online education company, focused in Digital. The company was created in 2009 by passionate entrepreneurs in their thirties, who shared two essential values ​​: quality and customer satisfaction. Our goal is to allow our users to develop their skills on a given software or a topic, in order to develop their career or change job.For this, we have more than 90 000 online courses , but also some Mentored Online Courses, to learn a specific field from A to Z.</t>
        </is>
      </c>
      <c r="H1277" s="1" t="inlineStr">
        <is>
          <t>EdTech France</t>
        </is>
      </c>
      <c r="I1277" s="1" t="n"/>
      <c r="J1277" s="1" t="inlineStr">
        <is>
          <t>Toulon</t>
        </is>
      </c>
      <c r="K1277" t="inlineStr">
        <is>
          <t>Toulon</t>
        </is>
      </c>
      <c r="L1277" t="inlineStr">
        <is>
          <t>Toulon, France</t>
        </is>
      </c>
      <c r="M1277" t="n">
        <v>43.1257311</v>
      </c>
      <c r="N1277" t="n">
        <v>5.9304919</v>
      </c>
      <c r="O1277" s="1" t="inlineStr">
        <is>
          <t>France</t>
        </is>
      </c>
      <c r="P1277" s="1" t="inlineStr">
        <is>
          <t>France</t>
        </is>
      </c>
      <c r="Q1277" s="1" t="inlineStr">
        <is>
          <t>11 to 50</t>
        </is>
      </c>
      <c r="R1277" t="inlineStr">
        <is>
          <t>Small</t>
        </is>
      </c>
      <c r="S1277" s="1" t="inlineStr">
        <is>
          <t>Business to Consumer, Business to Schools</t>
        </is>
      </c>
      <c r="T1277" s="1" t="inlineStr">
        <is>
          <t>Higher Education, Corporate Training, Lifelong learning/Adult education</t>
        </is>
      </c>
      <c r="U1277" s="1" t="inlineStr">
        <is>
          <t>Student interfacing, System/Administrative</t>
        </is>
      </c>
      <c r="V1277" s="1" t="n"/>
      <c r="W1277" s="1" t="inlineStr">
        <is>
          <t>https://drive.google.com/uc?export=view&amp;id=1U_41NJP9Vk5YGjSXGHUBTafxvAvWHWZD</t>
        </is>
      </c>
      <c r="X1277" s="1" t="inlineStr">
        <is>
          <t>https://drive.google.com/uc?export=view&amp;id=1U_41NJP9Vk5YGjSXGHUBTafxvAvWHWZD</t>
        </is>
      </c>
      <c r="Y1277" t="inlineStr">
        <is>
          <t>https://drive.google.com/uc?export=view&amp;id=1U_41NJP9Vk5YGjSXGHUBTafxvAvWHWZD</t>
        </is>
      </c>
      <c r="Z1277" s="1" t="inlineStr">
        <is>
          <t>https://drive.google.com/uc?export=view&amp;id=1U_41NJP9Vk5YGjSXGHUBTafxvAvWHWZD</t>
        </is>
      </c>
      <c r="AA1277" s="1" t="inlineStr">
        <is>
          <t>Unverified</t>
        </is>
      </c>
      <c r="AB1277" s="1" t="n"/>
      <c r="AC1277" s="1" t="n"/>
      <c r="AD1277" s="10" t="n"/>
      <c r="AE1277" s="1" t="n"/>
      <c r="AF1277" t="inlineStr">
        <is>
          <t>No</t>
        </is>
      </c>
    </row>
    <row r="1278" ht="12.5" customHeight="1">
      <c r="A1278" s="6" t="n">
        <v>45181</v>
      </c>
      <c r="B1278" s="1" t="inlineStr">
        <is>
          <t>ORG_1043</t>
        </is>
      </c>
      <c r="C1278" s="1" t="b">
        <v>1</v>
      </c>
      <c r="D1278" s="1" t="inlineStr">
        <is>
          <t>AIMAIRA</t>
        </is>
      </c>
      <c r="E1278" s="10" t="inlineStr">
        <is>
          <t>https://www.aimaira.fr/</t>
        </is>
      </c>
      <c r="F1278" t="inlineStr">
        <is>
          <t>aimaira.fr</t>
        </is>
      </c>
      <c r="G1278" s="1" t="inlineStr">
        <is>
          <t>AIMAIRA is a Student Information System (SIS) which enables users to monitor all the steps in a college student's career from their application to their graduation.
Designed by IT &amp; field experts, this SAAS Cloud-based software provides a large array of possibilities to the internal users who can access the school's full database online at any time.</t>
        </is>
      </c>
      <c r="H1278" s="1" t="inlineStr">
        <is>
          <t>EdTech France</t>
        </is>
      </c>
      <c r="I1278" s="1" t="n"/>
      <c r="J1278" s="1" t="inlineStr">
        <is>
          <t>Mont-Saint-Aignan</t>
        </is>
      </c>
      <c r="K1278" t="inlineStr">
        <is>
          <t>Mont-Saint-Aignan</t>
        </is>
      </c>
      <c r="L1278" t="inlineStr">
        <is>
          <t>Mont-Saint-Aignan, France</t>
        </is>
      </c>
      <c r="M1278" t="n">
        <v>49.4679</v>
      </c>
      <c r="N1278" t="n">
        <v>1.0813</v>
      </c>
      <c r="O1278" s="1" t="inlineStr">
        <is>
          <t>France</t>
        </is>
      </c>
      <c r="P1278" s="1" t="inlineStr">
        <is>
          <t>France</t>
        </is>
      </c>
      <c r="Q1278" s="1" t="inlineStr">
        <is>
          <t>11 to 50</t>
        </is>
      </c>
      <c r="R1278" t="inlineStr">
        <is>
          <t>Small</t>
        </is>
      </c>
      <c r="S1278" s="1" t="inlineStr">
        <is>
          <t>Business to Business</t>
        </is>
      </c>
      <c r="T1278" s="1" t="inlineStr">
        <is>
          <t>Higher Education, Lifelong learning/Adult education</t>
        </is>
      </c>
      <c r="U1278" s="1" t="inlineStr">
        <is>
          <t>System/Administrative</t>
        </is>
      </c>
      <c r="V1278" s="1" t="inlineStr">
        <is>
          <t>Admission Management</t>
        </is>
      </c>
      <c r="W1278" s="10" t="inlineStr">
        <is>
          <t>AIMAIRA software is composed by modules. Our Admission Management solution holds 2 modules : "Candidature" and "Sélection". Candidature module permits schools to collects candidates' information and documents to assess and determine their eligibility for training. In fact, candidates apply on a special website and upload all the documents and information requested by the school. Then, their elements are accessibles to the school's managers in their own interface thanks to monitoring tables. Applications' assessment can be make by internal or external valuers on a special website. They complete an evaluation grid online for each candidate and the results are communicated to school's manager on their own interface. As a result, Candidature provides the opportunity to administrators can follow all the application process, change the status of applications and support applicants and valuers.
The process can be changed and adapted to each school. Sélection module permits the higher education's establishment to go further. This solution allows schools to organise competitive entrance exams with internal and external jurors on one or few days.</t>
        </is>
      </c>
      <c r="X1278" s="10" t="inlineStr">
        <is>
          <t>Registration Management</t>
        </is>
      </c>
      <c r="Y1278" t="inlineStr">
        <is>
          <t>AIMAIRA software is composed by modules. Our Registration Management solution holds 3 modules : "Inscription", "Finance" and "Relation Entreprise". 
Inscription module enables schools to build and sign the contract of studies. In fact, prospective students transmit their personnal information and their supporting documents on a special website. After, they sign their contract online and they chose their terms of payement for their student fees.
The financial aspect of the student's registration and journey in the school is managed by Finance module in AIMAIRA. This module gives managers an increased visibility to the real and prospective school's finances.
The process can be changed and adapted to each school. 
Relation Entreprise module permits school to handle the internship and apprenticeship contracts. The contracts can be complete and sign online by the school's administrator, the student and/or his or her host organization. 
The student's progress is tracked by the software. It is accessible to each shareholder on their own interface or website.</t>
        </is>
      </c>
      <c r="Z1278" s="1" t="inlineStr">
        <is>
          <t>https://drive.google.com/uc?export=view&amp;id=1hFYJVHg1WicHtdtRKW8y4s6uN2pNSpZ_</t>
        </is>
      </c>
      <c r="AA1278" s="1" t="inlineStr">
        <is>
          <t>Unverified</t>
        </is>
      </c>
      <c r="AB1278" s="1" t="n"/>
      <c r="AC1278" s="1" t="n"/>
      <c r="AD1278" s="10" t="n"/>
      <c r="AE1278" s="1" t="n"/>
      <c r="AF1278" t="inlineStr">
        <is>
          <t>Yes</t>
        </is>
      </c>
      <c r="AG1278" t="inlineStr">
        <is>
          <t>https://twitter.com/aimaira_erp</t>
        </is>
      </c>
      <c r="AH1278" t="inlineStr">
        <is>
          <t>https://twitter.com/aimaira_erp</t>
        </is>
      </c>
      <c r="AI1278" t="inlineStr">
        <is>
          <t>https://www.linkedin.com/company/aimaira/</t>
        </is>
      </c>
    </row>
    <row r="1279" ht="12.5" customHeight="1">
      <c r="A1279" s="6" t="n">
        <v>45181</v>
      </c>
      <c r="B1279" s="1" t="inlineStr">
        <is>
          <t>ORG_1064</t>
        </is>
      </c>
      <c r="C1279" s="1" t="b">
        <v>1</v>
      </c>
      <c r="D1279" s="1" t="inlineStr">
        <is>
          <t>AltusForm</t>
        </is>
      </c>
      <c r="E1279" s="10" t="inlineStr">
        <is>
          <t>https://altusform.fr</t>
        </is>
      </c>
      <c r="F1279" t="inlineStr">
        <is>
          <t>altusform.fr</t>
        </is>
      </c>
      <c r="G1279" s="1" t="inlineStr">
        <is>
          <t>Born from the experience of a former French Air Force instructor pilot, AltusForm has been present on the virtual reality training, communication and orientation market since September 2018.
The company aims to make the creation and use of virtual reality resources accessible to as many people as possible.
AltusForm is particularly committed to vulnerable audiences.
This is how in 2019 the Orléans science park opened its doors to him for its acceleration program.
After 18 months of development, the company was able to bring the Nixi solution to market.
Born from the experience of a French Air Force instructor pilot, AltusForm has been present on the virtual reality training and communication market since September 2018. In 2019 the Orléans science park opened its doors to him for its acceleration program. After 18 months of development, the company was able to bring the Nixi solution to market.
The company aims to make the creation and use of virtual reality resources accessible to as many people as possible. AltusForm is particularly committed to vulnerable audiences.
The types of customers for AltusForm are very varied: training centers that wish to innovate, companies with recruitment difficulties, social and professional integration structures.</t>
        </is>
      </c>
      <c r="H1279" s="1" t="inlineStr">
        <is>
          <t>EdTech France</t>
        </is>
      </c>
      <c r="I1279" s="1" t="n"/>
      <c r="J1279" s="1" t="inlineStr">
        <is>
          <t>Gien</t>
        </is>
      </c>
      <c r="K1279" t="inlineStr">
        <is>
          <t>Gien</t>
        </is>
      </c>
      <c r="L1279" t="inlineStr">
        <is>
          <t>Gien, France</t>
        </is>
      </c>
      <c r="M1279" t="n">
        <v>47.6918575</v>
      </c>
      <c r="N1279" t="n">
        <v>2.6313889</v>
      </c>
      <c r="O1279" s="1" t="inlineStr">
        <is>
          <t>France</t>
        </is>
      </c>
      <c r="P1279" s="1" t="inlineStr">
        <is>
          <t>France</t>
        </is>
      </c>
      <c r="Q1279" s="1" t="inlineStr">
        <is>
          <t>0 to 2</t>
        </is>
      </c>
      <c r="R1279" t="inlineStr">
        <is>
          <t>Solo entrepreneur</t>
        </is>
      </c>
      <c r="S1279" s="1" t="inlineStr">
        <is>
          <t>Business to Business</t>
        </is>
      </c>
      <c r="T1279" s="1" t="inlineStr">
        <is>
          <t>Secondary Education, Corporate Training, Lifelong learning/Adult education</t>
        </is>
      </c>
      <c r="U1279" s="1" t="inlineStr">
        <is>
          <t>Teacher interfacing, System/Administrative, Student interfacing</t>
        </is>
      </c>
      <c r="V1279" s="1" t="inlineStr">
        <is>
          <t>Nixi</t>
        </is>
      </c>
      <c r="W1279" s="1" t="inlineStr">
        <is>
          <t>Nixi solution is a virtual reality media creation platform for training, communication and career guidance
- Effective fun quizzes: users spontaneously answer your questionnaires and memorize knowledge while playing baseball, knocking out UFOs, catching bats with a magic wand...
- Immersive information about your jobs and your establishments with the creation of virtual tours that can be modified at any time and augmented with sound effects, chained questions...
Resources can be shared with your colleagues or with the whole community</t>
        </is>
      </c>
      <c r="X1279" s="10" t="inlineStr">
        <is>
          <t>https://drive.google.com/uc?export=view&amp;id=1r4CC6FXNc3WjBP9m5ocW05SW04WmeoxA</t>
        </is>
      </c>
      <c r="Y1279" t="inlineStr">
        <is>
          <t>https://drive.google.com/uc?export=view&amp;id=1r4CC6FXNc3WjBP9m5ocW05SW04WmeoxA</t>
        </is>
      </c>
      <c r="Z1279" s="1" t="inlineStr">
        <is>
          <t>https://drive.google.com/uc?export=view&amp;id=1r4CC6FXNc3WjBP9m5ocW05SW04WmeoxA</t>
        </is>
      </c>
      <c r="AA1279" s="1" t="inlineStr">
        <is>
          <t>Unverified</t>
        </is>
      </c>
      <c r="AB1279" s="1" t="n"/>
      <c r="AC1279" s="1" t="n"/>
      <c r="AD1279" s="10" t="n"/>
      <c r="AE1279" s="1" t="n"/>
      <c r="AF1279" s="1" t="inlineStr">
        <is>
          <t>Yes</t>
        </is>
      </c>
      <c r="AG1279" s="1" t="inlineStr">
        <is>
          <t>https://www.linkedin.com/company/altusform</t>
        </is>
      </c>
      <c r="AH1279" s="1" t="inlineStr">
        <is>
          <t>https://www.linkedin.com/company/altusform</t>
        </is>
      </c>
      <c r="AI1279" t="inlineStr">
        <is>
          <t>https://www.linkedin.com/company/altusform</t>
        </is>
      </c>
    </row>
    <row r="1280" ht="12.5" customHeight="1">
      <c r="A1280" s="6" t="n">
        <v>45181</v>
      </c>
      <c r="B1280" s="1" t="inlineStr">
        <is>
          <t>ORG_1088</t>
        </is>
      </c>
      <c r="C1280" s="1" t="b">
        <v>1</v>
      </c>
      <c r="D1280" s="1" t="inlineStr">
        <is>
          <t>AQUEDUTO (The Association for Quality Education and Training Online)</t>
        </is>
      </c>
      <c r="E1280" s="10" t="inlineStr">
        <is>
          <t>www.aqueduto.com</t>
        </is>
      </c>
      <c r="F1280" t="inlineStr">
        <is>
          <t>aqueduto.com</t>
        </is>
      </c>
      <c r="G1280" s="1" t="inlineStr">
        <is>
          <t>AQUEDUTO (Association for QUality EDUcation and Training Online) is a not-for-profit organization dedicated to promoting quality in online education programs. 
Through the creation of our Quality Assurance Framework, we strive to document standards in online course delivery for schools worldwide to guide their online curriculum and offerings. As an institution, we seek to continuously further the field of online language and teacher education through our latest research and webinar events.
Our accredited members have showcased exceptional quality in their online programs and continue to deliver exceptional online education programs.</t>
        </is>
      </c>
      <c r="H1280" s="1" t="inlineStr">
        <is>
          <t>I'm not part of any EdTech association</t>
        </is>
      </c>
      <c r="I1280" s="1" t="n"/>
      <c r="J1280" s="1" t="inlineStr">
        <is>
          <t>Norwich</t>
        </is>
      </c>
      <c r="K1280" t="inlineStr">
        <is>
          <t>Norwich</t>
        </is>
      </c>
      <c r="L1280" t="inlineStr">
        <is>
          <t>Norwich, United Kingdom</t>
        </is>
      </c>
      <c r="M1280" t="n">
        <v>52.6285576</v>
      </c>
      <c r="N1280" t="n">
        <v>1.2923954</v>
      </c>
      <c r="O1280" s="1" t="inlineStr">
        <is>
          <t>United Kingdom</t>
        </is>
      </c>
      <c r="P1280" s="1" t="inlineStr">
        <is>
          <t>Austria, Cyprus, Denmark, France, Germany, Greece, Hungary, Ireland, Italy, Kazakhstan, Lithuania, Luxembourg, Malta, Montenegro, Netherlands, North Macedonia, Norway, Poland, Portugal, Russia, Serbia, Slovakia, Spain, Switzerland, Turkey, Ukraine, United Kingdom</t>
        </is>
      </c>
      <c r="Q1280" s="1" t="inlineStr">
        <is>
          <t>0 to 10</t>
        </is>
      </c>
      <c r="R1280" t="inlineStr">
        <is>
          <t>Micro</t>
        </is>
      </c>
      <c r="S1280" s="1" t="inlineStr">
        <is>
          <t>Business to Business</t>
        </is>
      </c>
      <c r="T1280" s="1" t="inlineStr">
        <is>
          <t>Corporate Training, Lifelong learning/Adult education</t>
        </is>
      </c>
      <c r="U1280" s="1" t="inlineStr">
        <is>
          <t>Teacher interfacing, System/Administrative</t>
        </is>
      </c>
      <c r="V1280" s="1" t="n"/>
      <c r="W1280" s="1" t="inlineStr">
        <is>
          <t>https://drive.google.com/uc?export=view&amp;id=1SvTjU7nQHCZnLmY3tFDzWf7lsk_6qPl7</t>
        </is>
      </c>
      <c r="X1280" s="1" t="inlineStr">
        <is>
          <t>https://drive.google.com/uc?export=view&amp;id=1SvTjU7nQHCZnLmY3tFDzWf7lsk_6qPl7</t>
        </is>
      </c>
      <c r="Y1280" t="inlineStr">
        <is>
          <t>https://drive.google.com/uc?export=view&amp;id=1SvTjU7nQHCZnLmY3tFDzWf7lsk_6qPl7</t>
        </is>
      </c>
      <c r="Z1280" s="1" t="inlineStr">
        <is>
          <t>https://drive.google.com/uc?export=view&amp;id=1SvTjU7nQHCZnLmY3tFDzWf7lsk_6qPl7</t>
        </is>
      </c>
      <c r="AA1280" s="1" t="inlineStr">
        <is>
          <t>Unverified</t>
        </is>
      </c>
      <c r="AB1280" s="1" t="n"/>
      <c r="AC1280" s="1" t="n"/>
      <c r="AD1280" s="10" t="n"/>
      <c r="AE1280" s="1" t="n"/>
      <c r="AF1280" t="inlineStr">
        <is>
          <t>No</t>
        </is>
      </c>
    </row>
    <row r="1281" ht="12.5" customHeight="1">
      <c r="A1281" s="6" t="n">
        <v>45181</v>
      </c>
      <c r="B1281" s="1" t="inlineStr">
        <is>
          <t>ORG_1120</t>
        </is>
      </c>
      <c r="C1281" s="1" t="b">
        <v>1</v>
      </c>
      <c r="D1281" s="1" t="inlineStr">
        <is>
          <t>Attender</t>
        </is>
      </c>
      <c r="E1281" s="10" t="inlineStr">
        <is>
          <t>www.attender.uk</t>
        </is>
      </c>
      <c r="F1281" t="inlineStr">
        <is>
          <t>attender.uk</t>
        </is>
      </c>
      <c r="G1281" s="1" t="inlineStr">
        <is>
          <t>Attender is on a mission to save teachers precious class time by making attendance registration fast and fun.
We want to lower student absence and prevent dropouts by using gamification. On top of this we deliver actionable attendance data in easy-to-use statistical interfaces.
We are convinced that you will get better results with a carrot than a stick. That is why we have made a great effort to motive students to attend by using rewards like Attender Streaks, Attender Coins and Attender Badges. The school can choose if the students can redeem the coins for free lunch, gift certificates or similar to prevent absence and dropouts.
Contact us for a access to a free demo.</t>
        </is>
      </c>
      <c r="H1281" s="1" t="inlineStr">
        <is>
          <t>EdTech Denmark</t>
        </is>
      </c>
      <c r="I1281" s="1" t="inlineStr">
        <is>
          <t>English, Danish, Norwegian, Swedish, Finnish, German, Dutch, French, Spanish</t>
        </is>
      </c>
      <c r="J1281" s="1" t="inlineStr">
        <is>
          <t>Aarhus N</t>
        </is>
      </c>
      <c r="K1281" t="inlineStr">
        <is>
          <t>Aarhus N</t>
        </is>
      </c>
      <c r="L1281" t="inlineStr">
        <is>
          <t>Aarhus N, Denmark</t>
        </is>
      </c>
      <c r="M1281" t="n">
        <v>56.2237693</v>
      </c>
      <c r="N1281" t="n">
        <v>10.1238136</v>
      </c>
      <c r="O1281" s="1" t="inlineStr">
        <is>
          <t>Denmark</t>
        </is>
      </c>
      <c r="P1281" s="1" t="inlineStr">
        <is>
          <t>Denmark, Finland, Netherlands, Norway, Sweden, United Kingdom</t>
        </is>
      </c>
      <c r="Q1281" s="1" t="inlineStr">
        <is>
          <t>3 to 5</t>
        </is>
      </c>
      <c r="R1281" t="inlineStr">
        <is>
          <t>Micro</t>
        </is>
      </c>
      <c r="S1281" s="1" t="inlineStr">
        <is>
          <t>Business to Business</t>
        </is>
      </c>
      <c r="T1281" s="1" t="inlineStr">
        <is>
          <t>Early childhood development (0-5 years), Primary Education, Secondary Education, Corporate Training, Vocational Education and Training (VET), Higher Education</t>
        </is>
      </c>
      <c r="U1281" s="1" t="inlineStr">
        <is>
          <t>Teacher interfacing, System/Administrative</t>
        </is>
      </c>
      <c r="V1281" s="1" t="inlineStr">
        <is>
          <t>Attender Attendance Registration</t>
        </is>
      </c>
      <c r="W1281" s="1" t="inlineStr">
        <is>
          <t>Attender makes attendance registration fast and easy. It motivates students to attend class by using gamification.</t>
        </is>
      </c>
      <c r="X1281" s="1" t="inlineStr">
        <is>
          <t>https://drive.google.com/uc?export=view&amp;id=1_mS3n6n6zPp3FKoXsIJ1NMwxvMkJNKlM</t>
        </is>
      </c>
      <c r="Y1281" t="inlineStr">
        <is>
          <t>https://drive.google.com/uc?export=view&amp;id=1_mS3n6n6zPp3FKoXsIJ1NMwxvMkJNKlM</t>
        </is>
      </c>
      <c r="Z1281" s="1" t="inlineStr">
        <is>
          <t>https://drive.google.com/uc?export=view&amp;id=1_mS3n6n6zPp3FKoXsIJ1NMwxvMkJNKlM</t>
        </is>
      </c>
      <c r="AA1281" s="1" t="inlineStr">
        <is>
          <t>Unverified</t>
        </is>
      </c>
      <c r="AB1281" s="1" t="n"/>
      <c r="AC1281" s="1" t="n"/>
      <c r="AD1281" s="10" t="n"/>
      <c r="AE1281" s="1" t="n"/>
      <c r="AF1281" s="1" t="inlineStr">
        <is>
          <t>No</t>
        </is>
      </c>
      <c r="AG1281" s="1" t="n"/>
      <c r="AH1281" s="1" t="n"/>
    </row>
    <row r="1282" ht="12.5" customHeight="1">
      <c r="A1282" s="6" t="n">
        <v>45181</v>
      </c>
      <c r="B1282" s="1" t="inlineStr">
        <is>
          <t>ORG_1159</t>
        </is>
      </c>
      <c r="C1282" s="1" t="b">
        <v>1</v>
      </c>
      <c r="D1282" s="1" t="inlineStr">
        <is>
          <t>Beyond Education</t>
        </is>
      </c>
      <c r="E1282" s="10" t="inlineStr">
        <is>
          <t>https://beyondeducation.tech/</t>
        </is>
      </c>
      <c r="F1282" t="inlineStr">
        <is>
          <t>beyondeducation.tech</t>
        </is>
      </c>
      <c r="G1282" s="1" t="inlineStr">
        <is>
          <t>Beyond Education prepares students aged 10-21 for the future by assessing and developing 21st Century Competencies (soft skills) online, globally.</t>
        </is>
      </c>
      <c r="H1282" s="1" t="inlineStr">
        <is>
          <t>EdTech France</t>
        </is>
      </c>
      <c r="I1282" s="1" t="n"/>
      <c r="J1282" s="1" t="inlineStr">
        <is>
          <t>Paris 1Er Arrondissement</t>
        </is>
      </c>
      <c r="K1282" t="inlineStr">
        <is>
          <t>Paris</t>
        </is>
      </c>
      <c r="L1282" t="inlineStr">
        <is>
          <t>Paris, France</t>
        </is>
      </c>
      <c r="M1282" t="n">
        <v>48.8534951</v>
      </c>
      <c r="N1282" t="n">
        <v>2.3483915</v>
      </c>
      <c r="O1282" s="1" t="inlineStr">
        <is>
          <t>France</t>
        </is>
      </c>
      <c r="P1282" s="1" t="inlineStr">
        <is>
          <t>France, Italy, Portugal, Slovakia</t>
        </is>
      </c>
      <c r="Q1282" s="1" t="inlineStr">
        <is>
          <t>0 to 10</t>
        </is>
      </c>
      <c r="R1282" t="inlineStr">
        <is>
          <t>Micro</t>
        </is>
      </c>
      <c r="S1282" s="1" t="inlineStr">
        <is>
          <t>Business to Business</t>
        </is>
      </c>
      <c r="T1282" s="1" t="inlineStr">
        <is>
          <t>Secondary Education, Higher Education</t>
        </is>
      </c>
      <c r="U1282" s="1" t="inlineStr">
        <is>
          <t>Student interfacing</t>
        </is>
      </c>
      <c r="V1282" s="10" t="inlineStr">
        <is>
          <t>Competency Calculator</t>
        </is>
      </c>
      <c r="W1282" s="1" t="inlineStr">
        <is>
          <t>Research-based, scientifically validated assessment of soft-skills for 10-21 year-old.
* 1st ever validated and reliable test to assess students’ 21st century competencies*
* Personalized student report
* School report - diagnostic and recommendations
* International benchmark of schools</t>
        </is>
      </c>
      <c r="X1282" s="10" t="inlineStr">
        <is>
          <t>Beyond Education Online Programs</t>
        </is>
      </c>
      <c r="Y1282" t="inlineStr">
        <is>
          <t>Online validated learning experience to foster 21st century competencies
* Unique curricula adapted to students’ age 13-21
* Individual and group learning experiences
*Project-based learning using Design thinking
*Global Community
*Premium mentoring &amp; facilitated online sessions
*Certificate</t>
        </is>
      </c>
      <c r="Z1282" s="1" t="inlineStr">
        <is>
          <t>https://drive.google.com/uc?export=view&amp;id=1wv-QoJp0POrGv7U4efqchrGaBeznFR8V</t>
        </is>
      </c>
      <c r="AA1282" s="1" t="inlineStr">
        <is>
          <t>Unverified</t>
        </is>
      </c>
      <c r="AB1282" s="1" t="n"/>
      <c r="AC1282" s="1" t="n"/>
      <c r="AD1282" s="10" t="n"/>
      <c r="AE1282" s="1" t="n"/>
      <c r="AF1282" s="1" t="inlineStr">
        <is>
          <t>Yes</t>
        </is>
      </c>
      <c r="AG1282" s="1" t="inlineStr">
        <is>
          <t>https://www.instagram.com/beyondeducation21st/</t>
        </is>
      </c>
      <c r="AH1282" s="1" t="inlineStr">
        <is>
          <t>https://www.linkedin.com/company/be-beyond-education-company/?viewAsMember=true</t>
        </is>
      </c>
      <c r="AI1282" t="inlineStr">
        <is>
          <t>https://www.linkedin.com/company/be-beyond-education-company/?viewAsMember=true</t>
        </is>
      </c>
    </row>
    <row r="1283" ht="12.5" customHeight="1">
      <c r="A1283" s="6" t="n">
        <v>45181</v>
      </c>
      <c r="B1283" s="1" t="inlineStr">
        <is>
          <t>ORG_1181</t>
        </is>
      </c>
      <c r="C1283" s="1" t="b">
        <v>1</v>
      </c>
      <c r="D1283" s="1" t="inlineStr">
        <is>
          <t>Bodyswaps</t>
        </is>
      </c>
      <c r="E1283" s="10" t="inlineStr">
        <is>
          <t>https://bodyswaps.co/</t>
        </is>
      </c>
      <c r="F1283" t="inlineStr">
        <is>
          <t>bodyswaps.co</t>
        </is>
      </c>
      <c r="G1283" s="1" t="inlineStr">
        <is>
          <t>Bodyswaps leverages VR &amp; AI to empower learners to practise and develop their soft skills through empathy and self-reflection.
Designed for corporates and educational organisations, Bodyswaps combines a distribution platform with an off-the-shelf library of immersive simulations on communication, teamwork, leadership and job interview skills.</t>
        </is>
      </c>
      <c r="H1283" s="1" t="inlineStr">
        <is>
          <t>EdTech France</t>
        </is>
      </c>
      <c r="I1283" s="1" t="n"/>
      <c r="J1283" s="1" t="inlineStr">
        <is>
          <t>London</t>
        </is>
      </c>
      <c r="K1283" t="inlineStr">
        <is>
          <t>London</t>
        </is>
      </c>
      <c r="L1283" t="inlineStr">
        <is>
          <t>London, United Kingdom</t>
        </is>
      </c>
      <c r="M1283" t="n">
        <v>51.5074456</v>
      </c>
      <c r="N1283" t="n">
        <v>-0.1277653</v>
      </c>
      <c r="O1283" s="1" t="inlineStr">
        <is>
          <t>United Kingdom</t>
        </is>
      </c>
      <c r="P1283" s="1" t="inlineStr">
        <is>
          <t>Belgium, France, Germany, Spain, Switzerland, United Kingdom</t>
        </is>
      </c>
      <c r="Q1283" s="1" t="inlineStr">
        <is>
          <t>0 to 10</t>
        </is>
      </c>
      <c r="R1283" t="inlineStr">
        <is>
          <t>Micro</t>
        </is>
      </c>
      <c r="S1283" s="1" t="inlineStr">
        <is>
          <t>Business to Business</t>
        </is>
      </c>
      <c r="T1283" s="1" t="inlineStr">
        <is>
          <t>Higher Education, Corporate Training</t>
        </is>
      </c>
      <c r="U1283" s="1" t="inlineStr">
        <is>
          <t>Student interfacing, System/Administrative</t>
        </is>
      </c>
      <c r="V1283" s="1" t="n"/>
      <c r="W1283" s="1" t="inlineStr">
        <is>
          <t>https://drive.google.com/uc?export=view&amp;id=1PDDXU8RtDlnZcK0p1xp5t_BYdg2svavC</t>
        </is>
      </c>
      <c r="X1283" s="1" t="inlineStr">
        <is>
          <t>https://drive.google.com/uc?export=view&amp;id=1PDDXU8RtDlnZcK0p1xp5t_BYdg2svavC</t>
        </is>
      </c>
      <c r="Y1283" t="inlineStr">
        <is>
          <t>https://drive.google.com/uc?export=view&amp;id=1PDDXU8RtDlnZcK0p1xp5t_BYdg2svavC</t>
        </is>
      </c>
      <c r="Z1283" s="1" t="inlineStr">
        <is>
          <t>https://drive.google.com/uc?export=view&amp;id=1PDDXU8RtDlnZcK0p1xp5t_BYdg2svavC</t>
        </is>
      </c>
      <c r="AA1283" s="1" t="inlineStr">
        <is>
          <t>Unverified</t>
        </is>
      </c>
      <c r="AB1283" s="1" t="n"/>
      <c r="AC1283" s="1" t="n"/>
      <c r="AD1283" s="10" t="n"/>
      <c r="AE1283" s="1" t="n"/>
      <c r="AF1283" s="1" t="inlineStr">
        <is>
          <t>No</t>
        </is>
      </c>
      <c r="AG1283" s="1" t="n"/>
      <c r="AH1283" s="1" t="n"/>
    </row>
    <row r="1284" ht="12.5" customHeight="1">
      <c r="A1284" s="6" t="n">
        <v>45181</v>
      </c>
      <c r="B1284" s="1" t="inlineStr">
        <is>
          <t>ORG_1212</t>
        </is>
      </c>
      <c r="C1284" s="1" t="b">
        <v>1</v>
      </c>
      <c r="D1284" s="1" t="inlineStr">
        <is>
          <t>Cambridge International Academy</t>
        </is>
      </c>
      <c r="E1284" s="10" t="inlineStr">
        <is>
          <t>https://www.cambridgeinternational.academy/</t>
        </is>
      </c>
      <c r="F1284" t="inlineStr">
        <is>
          <t>cambridgeinternational.academy</t>
        </is>
      </c>
      <c r="G1284" s="1" t="inlineStr">
        <is>
          <t>Cambridge International Academy is an accredited and innovative academy providing high quality education to young people in Cambridge and online.
Founded in 2015, the Academy aspires to help make Cambridge style education more
accessible to international students. The Academy began its mission teaching academic focused courses in Cambridge.
Since 2019, the Academy has widened its mission by teaching courses online, benefiting students without the need to travel.
The Academy is investing in an innovative technological solution to empower 5 million young people around the world to access our quality education by 2030.</t>
        </is>
      </c>
      <c r="H1284" s="1" t="inlineStr">
        <is>
          <t>I'm not part of any EdTech association</t>
        </is>
      </c>
      <c r="I1284" s="1" t="n"/>
      <c r="J1284" s="1" t="inlineStr">
        <is>
          <t>Cambridge</t>
        </is>
      </c>
      <c r="K1284" t="inlineStr">
        <is>
          <t>Cambridge</t>
        </is>
      </c>
      <c r="L1284" t="inlineStr">
        <is>
          <t>Cambridge, United Kingdom</t>
        </is>
      </c>
      <c r="M1284" t="n">
        <v>52.2055314</v>
      </c>
      <c r="N1284" t="n">
        <v>0.1186637</v>
      </c>
      <c r="O1284" s="1" t="inlineStr">
        <is>
          <t>United Kingdom</t>
        </is>
      </c>
      <c r="P1284" s="1" t="inlineStr">
        <is>
          <t>United Kingdom</t>
        </is>
      </c>
      <c r="Q1284" s="1" t="inlineStr">
        <is>
          <t>0 to 10</t>
        </is>
      </c>
      <c r="R1284" t="inlineStr">
        <is>
          <t>Micro</t>
        </is>
      </c>
      <c r="S1284" s="1" t="inlineStr">
        <is>
          <t>Business to Business</t>
        </is>
      </c>
      <c r="T1284" s="1" t="inlineStr">
        <is>
          <t>Secondary Education</t>
        </is>
      </c>
      <c r="U1284" s="1" t="inlineStr">
        <is>
          <t>System/Administrative, Student interfacing, Teacher interfacing</t>
        </is>
      </c>
      <c r="V1284" s="1" t="n"/>
      <c r="W1284" s="1" t="inlineStr">
        <is>
          <t>https://drive.google.com/uc?export=view&amp;id=1PO0oPl0fU1tfhRv0BsjS7hsYj16UMFvT</t>
        </is>
      </c>
      <c r="X1284" s="1" t="inlineStr">
        <is>
          <t>https://drive.google.com/uc?export=view&amp;id=1PO0oPl0fU1tfhRv0BsjS7hsYj16UMFvT</t>
        </is>
      </c>
      <c r="Y1284" t="inlineStr">
        <is>
          <t>https://drive.google.com/uc?export=view&amp;id=1PO0oPl0fU1tfhRv0BsjS7hsYj16UMFvT</t>
        </is>
      </c>
      <c r="Z1284" s="1" t="inlineStr">
        <is>
          <t>https://drive.google.com/uc?export=view&amp;id=1PO0oPl0fU1tfhRv0BsjS7hsYj16UMFvT</t>
        </is>
      </c>
      <c r="AA1284" s="1" t="inlineStr">
        <is>
          <t>Unverified</t>
        </is>
      </c>
      <c r="AB1284" s="1" t="n"/>
      <c r="AC1284" s="1" t="n"/>
      <c r="AD1284" s="10" t="n"/>
      <c r="AE1284" s="1" t="n"/>
      <c r="AF1284" s="1" t="inlineStr">
        <is>
          <t>No</t>
        </is>
      </c>
      <c r="AG1284" s="1" t="n"/>
      <c r="AH1284" s="1" t="n"/>
      <c r="AI1284" s="1" t="n"/>
      <c r="AJ1284" s="1" t="n"/>
    </row>
    <row r="1285" ht="12.5" customHeight="1">
      <c r="A1285" s="6" t="n">
        <v>45181</v>
      </c>
      <c r="B1285" s="1" t="inlineStr">
        <is>
          <t>ORG_1241</t>
        </is>
      </c>
      <c r="C1285" s="1" t="b">
        <v>1</v>
      </c>
      <c r="D1285" s="1" t="inlineStr">
        <is>
          <t>Civinc</t>
        </is>
      </c>
      <c r="E1285" s="10" t="inlineStr">
        <is>
          <t>www.civinc.co</t>
        </is>
      </c>
      <c r="F1285" t="inlineStr">
        <is>
          <t>civinc.co</t>
        </is>
      </c>
      <c r="G1285" s="1" t="inlineStr">
        <is>
          <t>Civinc is a social startup that offers a customizable digital platform for civic education where students can engage in meaningful discussions on important issues with peers who think differently. In safe, anonymous, one-on-one chat-based ‘speeddates’ they can form their opinion, expand their horizon and develop vital civic skills, while the anonymized data gives teachers valuable insight on sentiment, language and performance.</t>
        </is>
      </c>
      <c r="H1285" s="1" t="inlineStr">
        <is>
          <t>Dutch EdTech</t>
        </is>
      </c>
      <c r="I1285" s="1" t="n"/>
      <c r="J1285" s="1" t="inlineStr">
        <is>
          <t>Amsterdam</t>
        </is>
      </c>
      <c r="K1285" t="inlineStr">
        <is>
          <t>Amsterdam</t>
        </is>
      </c>
      <c r="L1285" t="inlineStr">
        <is>
          <t>Amsterdam, The Netherlands</t>
        </is>
      </c>
      <c r="M1285" t="n">
        <v>52.3701984</v>
      </c>
      <c r="N1285" t="n">
        <v>4.892168</v>
      </c>
      <c r="O1285" s="1" t="inlineStr">
        <is>
          <t>The Netherlands</t>
        </is>
      </c>
      <c r="P1285" s="1" t="inlineStr">
        <is>
          <t>Netherlands</t>
        </is>
      </c>
      <c r="Q1285" s="1" t="inlineStr">
        <is>
          <t>0 to 10</t>
        </is>
      </c>
      <c r="R1285" t="inlineStr">
        <is>
          <t>Micro</t>
        </is>
      </c>
      <c r="S1285" s="1" t="inlineStr">
        <is>
          <t>Business to Business</t>
        </is>
      </c>
      <c r="T1285" s="1" t="inlineStr">
        <is>
          <t>Higher Education</t>
        </is>
      </c>
      <c r="U1285" s="1" t="inlineStr">
        <is>
          <t>Student interfacing, Teacher interfacing, System/Administrative</t>
        </is>
      </c>
      <c r="V1285" s="1" t="inlineStr">
        <is>
          <t>Civinc discussion platform</t>
        </is>
      </c>
      <c r="W1285" s="1" t="inlineStr">
        <is>
          <t>Civinc is a customizable digital platform for civic education where students can engage in meaningful discussions on important issues with peers who think differently. In safe, anonymous, one-on-one chat-based ‘speeddates’ they can form their opinion, expand their horizon and develop vital civic skills, while the anonymized data gives teachers valuable insight on sentiment, language and performance.</t>
        </is>
      </c>
      <c r="X1285" s="10" t="inlineStr">
        <is>
          <t>https://drive.google.com/uc?export=view&amp;id=1PUYazmoVsGKYvCrAxXUu4x0JpALZmURc</t>
        </is>
      </c>
      <c r="Y1285" t="inlineStr">
        <is>
          <t>https://drive.google.com/uc?export=view&amp;id=1PUYazmoVsGKYvCrAxXUu4x0JpALZmURc</t>
        </is>
      </c>
      <c r="Z1285" s="1" t="inlineStr">
        <is>
          <t>https://drive.google.com/uc?export=view&amp;id=1PUYazmoVsGKYvCrAxXUu4x0JpALZmURc</t>
        </is>
      </c>
      <c r="AA1285" s="1" t="inlineStr">
        <is>
          <t>Unverified</t>
        </is>
      </c>
      <c r="AB1285" s="1" t="n"/>
      <c r="AC1285" s="1" t="n"/>
      <c r="AD1285" s="10" t="n"/>
      <c r="AE1285" s="1" t="n"/>
      <c r="AF1285" t="inlineStr">
        <is>
          <t>Yes</t>
        </is>
      </c>
      <c r="AG1285" t="inlineStr">
        <is>
          <t>https://www.linkedin.com/company/civinc</t>
        </is>
      </c>
      <c r="AH1285" t="inlineStr">
        <is>
          <t>https://www.linkedin.com/company/civinc</t>
        </is>
      </c>
      <c r="AI1285" t="inlineStr">
        <is>
          <t>https://www.linkedin.com/company/civinc</t>
        </is>
      </c>
    </row>
    <row r="1286" ht="12.5" customHeight="1">
      <c r="A1286" s="6" t="n">
        <v>45181</v>
      </c>
      <c r="B1286" s="1" t="inlineStr">
        <is>
          <t>ORG_1249</t>
        </is>
      </c>
      <c r="C1286" s="1" t="b">
        <v>1</v>
      </c>
      <c r="D1286" s="1" t="inlineStr">
        <is>
          <t>Classlife Education</t>
        </is>
      </c>
      <c r="E1286" s="10" t="inlineStr">
        <is>
          <t>https://www.classlife.education/</t>
        </is>
      </c>
      <c r="F1286" t="inlineStr">
        <is>
          <t>classlife.education</t>
        </is>
      </c>
      <c r="G1286" s="1" t="inlineStr">
        <is>
          <t>Classlife is an all-in-one education management platform in the cloud. From Higher Education, to K-12, including vocational training and academies, any educational institution can benefit from our software. 
Classlife integrates different tools within the same platform to help all institutions manage and control all the workflows and tasks. It includes 4 modules that cover and connect all the areas of the school: marketing and sales, academic administration, financial management and online campus. It is also possible to connect third-party tools to meet all the needs the institution may have.
And all these that we just mentioned, in one single place.</t>
        </is>
      </c>
      <c r="H1286" s="1" t="inlineStr">
        <is>
          <t>EduTech Cluster Spain</t>
        </is>
      </c>
      <c r="I1286" s="1" t="n"/>
      <c r="J1286" s="1" t="inlineStr">
        <is>
          <t>Barcelona</t>
        </is>
      </c>
      <c r="K1286" t="inlineStr">
        <is>
          <t>Barcelona</t>
        </is>
      </c>
      <c r="L1286" t="inlineStr">
        <is>
          <t>Barcelona, Spain</t>
        </is>
      </c>
      <c r="M1286" t="n">
        <v>41.3825802</v>
      </c>
      <c r="N1286" t="n">
        <v>2.177073</v>
      </c>
      <c r="O1286" s="1" t="inlineStr">
        <is>
          <t>Spain</t>
        </is>
      </c>
      <c r="P1286" s="1" t="inlineStr">
        <is>
          <t>Belgium, Cyprus, Spain</t>
        </is>
      </c>
      <c r="Q1286" s="1" t="inlineStr">
        <is>
          <t>11 to 50</t>
        </is>
      </c>
      <c r="R1286" t="inlineStr">
        <is>
          <t>Small</t>
        </is>
      </c>
      <c r="S1286" s="1" t="inlineStr">
        <is>
          <t>Business to Business</t>
        </is>
      </c>
      <c r="T1286" s="1" t="inlineStr">
        <is>
          <t>Primary Education, Secondary Education, Higher Education</t>
        </is>
      </c>
      <c r="U1286" s="1" t="inlineStr">
        <is>
          <t>System/Administrative</t>
        </is>
      </c>
      <c r="V1286" s="1" t="n"/>
      <c r="W1286" s="1" t="inlineStr">
        <is>
          <t>https://drive.google.com/uc?export=view&amp;id=1KwtNLU1apZdqBSlpxD-EimE7CPxBFit1</t>
        </is>
      </c>
      <c r="X1286" s="1" t="inlineStr">
        <is>
          <t>https://drive.google.com/uc?export=view&amp;id=1KwtNLU1apZdqBSlpxD-EimE7CPxBFit1</t>
        </is>
      </c>
      <c r="Y1286" t="inlineStr">
        <is>
          <t>https://drive.google.com/uc?export=view&amp;id=1KwtNLU1apZdqBSlpxD-EimE7CPxBFit1</t>
        </is>
      </c>
      <c r="Z1286" s="1" t="inlineStr">
        <is>
          <t>https://drive.google.com/uc?export=view&amp;id=1KwtNLU1apZdqBSlpxD-EimE7CPxBFit1</t>
        </is>
      </c>
      <c r="AA1286" s="1" t="inlineStr">
        <is>
          <t>Unverified</t>
        </is>
      </c>
      <c r="AB1286" s="1" t="n"/>
      <c r="AC1286" s="1" t="n"/>
      <c r="AD1286" s="10" t="n"/>
      <c r="AE1286" s="1" t="n"/>
      <c r="AF1286" s="1" t="inlineStr">
        <is>
          <t>No</t>
        </is>
      </c>
      <c r="AG1286" s="1" t="n"/>
      <c r="AH1286" s="1" t="n"/>
    </row>
    <row r="1287" ht="12.5" customHeight="1">
      <c r="A1287" s="6" t="n">
        <v>45181</v>
      </c>
      <c r="B1287" s="1" t="inlineStr">
        <is>
          <t>ORG_1289</t>
        </is>
      </c>
      <c r="C1287" s="1" t="b">
        <v>1</v>
      </c>
      <c r="D1287" s="1" t="inlineStr">
        <is>
          <t>Comproved</t>
        </is>
      </c>
      <c r="E1287" s="10" t="inlineStr">
        <is>
          <t>https://comproved.com/en/</t>
        </is>
      </c>
      <c r="F1287" t="inlineStr">
        <is>
          <t>comproved.com/en</t>
        </is>
      </c>
      <c r="G1287" s="1" t="inlineStr">
        <is>
          <t>Comproved helps teachers and judges assess better, by providing knowledge and tooling. Years of scientific research have shown that comparative judgement works because people naturally compare when making decisions. Our comparing tool structures these comparisons and forms a valid, reliable and user-friendly instrument. The tool is perfect for large and small assessments and provides data for teachers and students to learn from.</t>
        </is>
      </c>
      <c r="H1287" s="1" t="inlineStr">
        <is>
          <t>I'm not part of any EdTech association</t>
        </is>
      </c>
      <c r="I1287" s="1" t="n"/>
      <c r="J1287" s="1" t="inlineStr">
        <is>
          <t>Deurne</t>
        </is>
      </c>
      <c r="K1287" t="inlineStr">
        <is>
          <t>Deurne</t>
        </is>
      </c>
      <c r="L1287" t="inlineStr">
        <is>
          <t>Deurne, Belgium</t>
        </is>
      </c>
      <c r="M1287" t="n">
        <v>51.20849</v>
      </c>
      <c r="N1287" t="n">
        <v>4.4719297</v>
      </c>
      <c r="O1287" s="1" t="inlineStr">
        <is>
          <t>Belgium</t>
        </is>
      </c>
      <c r="P1287" s="1" t="inlineStr">
        <is>
          <t>Belgium, Netherlands, United Kingdom</t>
        </is>
      </c>
      <c r="Q1287" s="1" t="inlineStr">
        <is>
          <t>0 to 10</t>
        </is>
      </c>
      <c r="R1287" t="inlineStr">
        <is>
          <t>Micro</t>
        </is>
      </c>
      <c r="S1287" s="1" t="inlineStr">
        <is>
          <t>Business to Business</t>
        </is>
      </c>
      <c r="T1287" s="1" t="inlineStr">
        <is>
          <t>Secondary Education, Higher Education</t>
        </is>
      </c>
      <c r="U1287" s="1" t="inlineStr">
        <is>
          <t>Teacher interfacing, System/Administrative</t>
        </is>
      </c>
      <c r="V1287" s="1" t="n"/>
      <c r="W1287" s="1" t="inlineStr">
        <is>
          <t>https://drive.google.com/uc?export=view&amp;id=1C1o3QWFEkCDG1usz6Jq7z5NpaGjwjeWN</t>
        </is>
      </c>
      <c r="X1287" s="1" t="inlineStr">
        <is>
          <t>https://drive.google.com/uc?export=view&amp;id=1C1o3QWFEkCDG1usz6Jq7z5NpaGjwjeWN</t>
        </is>
      </c>
      <c r="Y1287" t="inlineStr">
        <is>
          <t>https://drive.google.com/uc?export=view&amp;id=1C1o3QWFEkCDG1usz6Jq7z5NpaGjwjeWN</t>
        </is>
      </c>
      <c r="Z1287" s="1" t="inlineStr">
        <is>
          <t>https://drive.google.com/uc?export=view&amp;id=1C1o3QWFEkCDG1usz6Jq7z5NpaGjwjeWN</t>
        </is>
      </c>
      <c r="AA1287" s="1" t="inlineStr">
        <is>
          <t>Unverified</t>
        </is>
      </c>
      <c r="AB1287" s="1" t="n"/>
      <c r="AC1287" s="1" t="n"/>
      <c r="AD1287" s="10" t="n"/>
      <c r="AE1287" s="1" t="n"/>
      <c r="AF1287" s="1" t="inlineStr">
        <is>
          <t>No</t>
        </is>
      </c>
      <c r="AG1287" s="1" t="n"/>
      <c r="AH1287" s="1" t="n"/>
    </row>
    <row r="1288" ht="12.5" customHeight="1">
      <c r="A1288" s="6" t="n">
        <v>45181</v>
      </c>
      <c r="B1288" s="1" t="inlineStr">
        <is>
          <t>ORG_1298</t>
        </is>
      </c>
      <c r="C1288" s="1" t="b">
        <v>1</v>
      </c>
      <c r="D1288" s="1" t="inlineStr">
        <is>
          <t>Cornelsen Group</t>
        </is>
      </c>
      <c r="E1288" s="10" t="inlineStr">
        <is>
          <t>https://www.cornelsen-gruppe.de/en</t>
        </is>
      </c>
      <c r="F1288" t="inlineStr">
        <is>
          <t>cornelsen-gruppe.de/en</t>
        </is>
      </c>
      <c r="G1288" s="1" t="inlineStr">
        <is>
          <t>The Cornelsen Group is headed by its majority shareholder the Franz Cornelsen Foundation, established in 1968, and is one of the leading providers of educational media in the German-speaking world. At our headquarters in Berlin and at five other locations, more than 1,300 employees work for our well-known brands such as Cornelsen Verlag, Duden, VERITAS and Verlag an der Ruhr. Ranging from (pre-)K12 to professional learning, we aspire to shape a future where everyone can develop their full potential in a way that suits them best.
Cornelsen Verlag is one of the leading providers of educational media in the German-speaking world. Cornelsen harnesses its enormous educational expertise to develop products for teaching and individual learning – whether printed, digital or cross-media. 
Cornelsen eCademy develops online learning solutions for in-house training and development. Its customised products help educators impart standard learning content. Trainees have flexible access to content and can design their own learning journey to suit their needs. 
Cornelsen Experimenta stands for learning through experimenting, to stimulate interest in the natural sciences and ensure individual learning success in STEM subjects.
Inside Unternehmensgruppe is a leading supplier of digital solutions for inhouse training is one of the top 10 e-learning providers in Germany. Its focus is on e-learning, blended learning, workplace learning, performance support and training.</t>
        </is>
      </c>
      <c r="H1288" s="1" t="inlineStr">
        <is>
          <t>EDUvation</t>
        </is>
      </c>
      <c r="I1288" s="1" t="n"/>
      <c r="J1288" s="1" t="inlineStr">
        <is>
          <t>Berlin</t>
        </is>
      </c>
      <c r="K1288" t="inlineStr">
        <is>
          <t>Berlin</t>
        </is>
      </c>
      <c r="L1288" t="inlineStr">
        <is>
          <t>Berlin, Germany</t>
        </is>
      </c>
      <c r="M1288" t="n">
        <v>52.5173885</v>
      </c>
      <c r="N1288" t="n">
        <v>13.3951309</v>
      </c>
      <c r="O1288" s="1" t="inlineStr">
        <is>
          <t>Germany</t>
        </is>
      </c>
      <c r="P1288" s="1" t="inlineStr">
        <is>
          <t>Austria, Germany, Switzerland</t>
        </is>
      </c>
      <c r="Q1288" s="1" t="inlineStr">
        <is>
          <t>500+</t>
        </is>
      </c>
      <c r="R1288" t="inlineStr">
        <is>
          <t>Large</t>
        </is>
      </c>
      <c r="S1288" s="1" t="inlineStr">
        <is>
          <t>Business to Business</t>
        </is>
      </c>
      <c r="T1288" s="1" t="inlineStr">
        <is>
          <t>Early childhood development (0-5 years), Primary Education, Secondary Education, Higher Education, Corporate Training, Lifelong learning/Adult education</t>
        </is>
      </c>
      <c r="U1288" s="1" t="inlineStr">
        <is>
          <t>System/Administrative, Student interfacing, Teacher interfacing</t>
        </is>
      </c>
      <c r="V1288" s="1" t="n"/>
      <c r="W1288" s="1" t="inlineStr">
        <is>
          <t>https://drive.google.com/uc?export=view&amp;id=19ypDvnjn_4Z12rPjDnNL5MxmdYWeA0l8</t>
        </is>
      </c>
      <c r="X1288" s="1" t="inlineStr">
        <is>
          <t>https://drive.google.com/uc?export=view&amp;id=19ypDvnjn_4Z12rPjDnNL5MxmdYWeA0l8</t>
        </is>
      </c>
      <c r="Y1288" t="inlineStr">
        <is>
          <t>https://drive.google.com/uc?export=view&amp;id=19ypDvnjn_4Z12rPjDnNL5MxmdYWeA0l8</t>
        </is>
      </c>
      <c r="Z1288" s="1" t="inlineStr">
        <is>
          <t>https://drive.google.com/uc?export=view&amp;id=19ypDvnjn_4Z12rPjDnNL5MxmdYWeA0l8</t>
        </is>
      </c>
      <c r="AA1288" s="1" t="inlineStr">
        <is>
          <t>Unverified</t>
        </is>
      </c>
      <c r="AB1288" s="1" t="n"/>
      <c r="AC1288" s="1" t="n"/>
      <c r="AD1288" s="10" t="n"/>
      <c r="AE1288" s="1" t="n"/>
      <c r="AF1288" s="1" t="inlineStr">
        <is>
          <t>No</t>
        </is>
      </c>
      <c r="AG1288" s="1" t="n"/>
      <c r="AH1288" s="1" t="n"/>
    </row>
    <row r="1289" ht="12.5" customHeight="1">
      <c r="A1289" s="6" t="n">
        <v>45181</v>
      </c>
      <c r="B1289" s="1" t="inlineStr">
        <is>
          <t>ORG_1307</t>
        </is>
      </c>
      <c r="C1289" s="1" t="b">
        <v>1</v>
      </c>
      <c r="D1289" s="1" t="inlineStr">
        <is>
          <t>Craft AI</t>
        </is>
      </c>
      <c r="E1289" s="10" t="inlineStr">
        <is>
          <t>https://www.craft.ai/</t>
        </is>
      </c>
      <c r="F1289" t="inlineStr">
        <is>
          <t>craft.ai</t>
        </is>
      </c>
      <c r="G1289" s="1" t="inlineStr">
        <is>
          <t>Adaptive Learning, personalized training recommendations, detection of students dropping out of school, we put AI applications on the market with the aim of building the future of school.
As an EdTech startup specialist in Machine Learning, we support schools and universities in their digital revolution and educational transformation thanks to an AI that is trustworthy, privacy-friendly, energy-efficient and explainable so as to always keep humans in the loop.</t>
        </is>
      </c>
      <c r="H1289" s="1" t="inlineStr">
        <is>
          <t>EdTech France</t>
        </is>
      </c>
      <c r="I1289" s="1" t="n"/>
      <c r="J1289" s="1" t="inlineStr">
        <is>
          <t>Paris</t>
        </is>
      </c>
      <c r="K1289" t="inlineStr">
        <is>
          <t>Paris</t>
        </is>
      </c>
      <c r="L1289" t="inlineStr">
        <is>
          <t>Paris, France</t>
        </is>
      </c>
      <c r="M1289" t="n">
        <v>48.8534951</v>
      </c>
      <c r="N1289" t="n">
        <v>2.3483915</v>
      </c>
      <c r="O1289" s="1" t="inlineStr">
        <is>
          <t>France</t>
        </is>
      </c>
      <c r="P1289" s="1" t="inlineStr">
        <is>
          <t>France</t>
        </is>
      </c>
      <c r="Q1289" s="1" t="inlineStr">
        <is>
          <t>11 to 50</t>
        </is>
      </c>
      <c r="R1289" t="inlineStr">
        <is>
          <t>Small</t>
        </is>
      </c>
      <c r="S1289" s="1" t="inlineStr">
        <is>
          <t>Business to Business</t>
        </is>
      </c>
      <c r="T1289" s="1" t="inlineStr">
        <is>
          <t>Higher Education, Corporate Training, Lifelong learning/Adult education</t>
        </is>
      </c>
      <c r="U1289" s="1" t="inlineStr">
        <is>
          <t>Student interfacing, Teacher interfacing, System/Administrative</t>
        </is>
      </c>
      <c r="V1289" s="1" t="inlineStr">
        <is>
          <t>Adaptive Learning App</t>
        </is>
      </c>
      <c r="W1289" s="10" t="inlineStr">
        <is>
          <t>To support each student in a highly personalized way by allowing universities and schools to recommend content based on their own educational pathway. Our app adapts to each student's educational path and complements the teaching staff.
Our virtual tutor is based on the educational content of the courses in the form of a knowledge graph as well as on the student's profile and activity on the Learning Management System (LMS).</t>
        </is>
      </c>
      <c r="X1289" s="10" t="inlineStr">
        <is>
          <t>Recommendation of professional training</t>
        </is>
      </c>
      <c r="Y1289" t="inlineStr">
        <is>
          <t>Accompanying new employees throughout their professional life so that their career path follows their deepest aspirations as well as the evolution of the job market. In order to provide the most accurate and relevant recommendations, we integrate different sources of data on the educational and professional background of alumni or the details of available training. 
The promise of lifelong support for students contributes to the improvement of the educational offer, the strengthening of the alumni network and the better employability of students.</t>
        </is>
      </c>
      <c r="Z1289" s="1" t="inlineStr">
        <is>
          <t>https://drive.google.com/uc?export=view&amp;id=1GyQym391kyXn4a89-MetLQTbml6Ycm6N</t>
        </is>
      </c>
      <c r="AA1289" s="1" t="inlineStr">
        <is>
          <t>Unverified</t>
        </is>
      </c>
      <c r="AB1289" s="1" t="n"/>
      <c r="AC1289" s="1" t="n"/>
      <c r="AD1289" s="10" t="n"/>
      <c r="AE1289" s="1" t="n"/>
      <c r="AF1289" t="inlineStr">
        <is>
          <t>Yes</t>
        </is>
      </c>
      <c r="AG1289" t="inlineStr">
        <is>
          <t>https://twitter.com/craft_ai</t>
        </is>
      </c>
      <c r="AH1289" t="inlineStr">
        <is>
          <t>https://twitter.com/craft_ai</t>
        </is>
      </c>
      <c r="AI1289" t="inlineStr">
        <is>
          <t>https://www.linkedin.com/company/9460012/</t>
        </is>
      </c>
    </row>
    <row r="1290" ht="12.5" customHeight="1">
      <c r="A1290" s="6" t="n">
        <v>45181</v>
      </c>
      <c r="B1290" s="1" t="inlineStr">
        <is>
          <t>ORG_1373</t>
        </is>
      </c>
      <c r="C1290" s="1" t="b">
        <v>1</v>
      </c>
      <c r="D1290" s="1" t="inlineStr">
        <is>
          <t>Dokeos</t>
        </is>
      </c>
      <c r="E1290" s="10" t="inlineStr">
        <is>
          <t>www.dokeos.com</t>
        </is>
      </c>
      <c r="F1290" t="inlineStr">
        <is>
          <t>dokeos.com</t>
        </is>
      </c>
      <c r="G1290" s="1" t="inlineStr">
        <is>
          <t>Dokeos offers online training solutions and e-learning services for training centers and companies in France, the United States, Belgium and Switzerland. With Dokeos LMS, you can create your own customized training platform to enhance the skills of their learners and employees. Dokeos LMS not only delivers online training, but also assesses learners, certifies and sells professional training. 
Three words to describe Dokeos LMS : Simple, Ergonomic and Customizable.
Dokeos also has a training creation studio (Tudio) and a wide catalog of turnkey training courses, such as GxP Training. 
Since 2004, Dokeos has transformed hundreds of organizations, including IPSEN, Lagardère, Amer Sports, Keepcool, Saint-Gobain, O'Tacos, Sciences Po, La Croix-Rouge and Institut Gustave Roussy.
Visit dokeos.com and try out our platform for free!</t>
        </is>
      </c>
      <c r="H1290" s="1" t="inlineStr">
        <is>
          <t>I'm not part of any EdTech association</t>
        </is>
      </c>
      <c r="I1290" s="1" t="inlineStr">
        <is>
          <t>French, Arabic, Dutch</t>
        </is>
      </c>
      <c r="J1290" s="1" t="inlineStr">
        <is>
          <t>Paris</t>
        </is>
      </c>
      <c r="K1290" t="inlineStr">
        <is>
          <t>Paris</t>
        </is>
      </c>
      <c r="L1290" t="inlineStr">
        <is>
          <t>Paris, France</t>
        </is>
      </c>
      <c r="M1290" t="n">
        <v>48.8534951</v>
      </c>
      <c r="N1290" t="n">
        <v>2.3483915</v>
      </c>
      <c r="O1290" s="1" t="inlineStr">
        <is>
          <t>France</t>
        </is>
      </c>
      <c r="P1290" s="1" t="inlineStr">
        <is>
          <t>Belgium, France, Italy, Luxembourg, Netherlands, Switzerland, United Kingdom</t>
        </is>
      </c>
      <c r="Q1290" s="1" t="inlineStr">
        <is>
          <t>11 to 50</t>
        </is>
      </c>
      <c r="R1290" t="inlineStr">
        <is>
          <t>Small</t>
        </is>
      </c>
      <c r="S1290" s="1" t="inlineStr">
        <is>
          <t>Business to Business</t>
        </is>
      </c>
      <c r="T1290" s="1" t="inlineStr">
        <is>
          <t>Corporate Training, Lifelong learning/Adult education, Vocational Education and Training (VET), Higher Education</t>
        </is>
      </c>
      <c r="U1290" s="1" t="inlineStr">
        <is>
          <t>System/Administrative, Student interfacing</t>
        </is>
      </c>
      <c r="V1290" s="10" t="inlineStr">
        <is>
          <t>Dokeos LMS</t>
        </is>
      </c>
      <c r="W1290" s="10" t="inlineStr">
        <is>
          <t>What can you do with Dokeos LMS ? 
TRAIN, EVALUATE, ASSESS, CERTIFY, TRACK and SELL
Dokeos LMS is a white label solution that allows you to customise the design of your platform and express your brand image. Dokeos LMS collects extensive data on employees’ skills, aspirations, and gaps to provide them with additional customised training. Any improvement in skills is an important source of motivation for your employees and will have a positive impact on your organisation’s goals.</t>
        </is>
      </c>
      <c r="X1290" s="10" t="inlineStr">
        <is>
          <t>Dokeos GxP Courses</t>
        </is>
      </c>
      <c r="Y1290" t="inlineStr">
        <is>
          <t>Dokeos provides accredited compliance and regulatory courses designed for life sciences professionals. Those courses can be integrated into your learning platform (LMS) whatever its brand.
Examples of courses : GXP2146 Corrective Action and Preventive Action (CAPA), GXP2960 Introduction to Current Good Practices (CGXP), GXP2437 Management of Clinical Trial Protocols, GXP0948 Non-Interventional Studies (NIS).</t>
        </is>
      </c>
      <c r="Z1290" s="1" t="inlineStr">
        <is>
          <t>https://drive.google.com/uc?export=view&amp;id=1xGugivr8_wiL4QT2_aSQHWNhkSVjI78X</t>
        </is>
      </c>
      <c r="AA1290" s="1" t="inlineStr">
        <is>
          <t>Unverified</t>
        </is>
      </c>
      <c r="AB1290" s="1" t="n"/>
      <c r="AC1290" s="1" t="n"/>
      <c r="AD1290" s="10" t="n"/>
      <c r="AE1290" s="1" t="n"/>
      <c r="AF1290" s="1" t="inlineStr">
        <is>
          <t>Yes</t>
        </is>
      </c>
      <c r="AG1290" s="1" t="inlineStr">
        <is>
          <t>https://www.instagram.com/dokeoslms/?hl=fr</t>
        </is>
      </c>
      <c r="AH1290" s="1" t="inlineStr">
        <is>
          <t>https://twitter.com/dokeos</t>
        </is>
      </c>
      <c r="AI1290" t="inlineStr">
        <is>
          <t>https://www.linkedin.com/company/dokeos</t>
        </is>
      </c>
    </row>
    <row r="1291" ht="12.5" customHeight="1">
      <c r="A1291" s="6" t="n">
        <v>45181</v>
      </c>
      <c r="B1291" s="1" t="inlineStr">
        <is>
          <t>ORG_1554</t>
        </is>
      </c>
      <c r="C1291" s="1" t="b">
        <v>1</v>
      </c>
      <c r="D1291" s="1" t="inlineStr">
        <is>
          <t>Fasterclass</t>
        </is>
      </c>
      <c r="E1291" s="10" t="inlineStr">
        <is>
          <t>https://www.fasterclass.fr</t>
        </is>
      </c>
      <c r="F1291" t="inlineStr">
        <is>
          <t>fasterclass.fr</t>
        </is>
      </c>
      <c r="G1291" s="1" t="inlineStr">
        <is>
          <t>Fasterclass is a training organization specilized in softskills: team/time/project management, feedback, or speech for example. 
Our blended learning experience was designed with the HRD of 4 French unicorns: Aircall, Matera, Voodoo and Ornikar.
One goal: maximize the impact in a minimum of time.</t>
        </is>
      </c>
      <c r="H1291" s="1" t="inlineStr">
        <is>
          <t>EdTech France</t>
        </is>
      </c>
      <c r="I1291" s="1" t="n"/>
      <c r="J1291" s="1" t="inlineStr">
        <is>
          <t>Paris</t>
        </is>
      </c>
      <c r="K1291" t="inlineStr">
        <is>
          <t>Paris</t>
        </is>
      </c>
      <c r="L1291" t="inlineStr">
        <is>
          <t>Paris, France</t>
        </is>
      </c>
      <c r="M1291" t="n">
        <v>48.8534951</v>
      </c>
      <c r="N1291" t="n">
        <v>2.3483915</v>
      </c>
      <c r="O1291" s="1" t="inlineStr">
        <is>
          <t>France</t>
        </is>
      </c>
      <c r="P1291" s="1" t="inlineStr">
        <is>
          <t>Belgium, France</t>
        </is>
      </c>
      <c r="Q1291" s="1" t="inlineStr">
        <is>
          <t>3 to 5</t>
        </is>
      </c>
      <c r="R1291" t="inlineStr">
        <is>
          <t>Micro</t>
        </is>
      </c>
      <c r="S1291" s="1" t="inlineStr">
        <is>
          <t>Business to Business</t>
        </is>
      </c>
      <c r="T1291" s="1" t="inlineStr">
        <is>
          <t>Corporate Training</t>
        </is>
      </c>
      <c r="U1291" s="1" t="inlineStr">
        <is>
          <t>System/Administrative</t>
        </is>
      </c>
      <c r="V1291" s="1" t="inlineStr">
        <is>
          <t>Fasterclass</t>
        </is>
      </c>
      <c r="W1291" s="1" t="inlineStr">
        <is>
          <t>6-week digital training program including:
&gt; Four 90-minute workshops, every second week
&gt; A pedagogical mini-series with a dozen of 3/5-minute videos
&gt; Daily followup on Slack/Teams/WhatsApp &amp; e-mails
&gt; Impact assessment at the end of the training program
&gt; Report to customer with data about Satisfaction, Engagement &amp; Impact</t>
        </is>
      </c>
      <c r="X1291" s="10" t="inlineStr">
        <is>
          <t>https://drive.google.com/uc?export=view&amp;id=1xLZfCI4xD4uQitugXFJz9gmwak0uXHAb</t>
        </is>
      </c>
      <c r="Y1291" t="inlineStr">
        <is>
          <t>https://drive.google.com/uc?export=view&amp;id=1xLZfCI4xD4uQitugXFJz9gmwak0uXHAb</t>
        </is>
      </c>
      <c r="Z1291" s="1" t="inlineStr">
        <is>
          <t>https://drive.google.com/uc?export=view&amp;id=1xLZfCI4xD4uQitugXFJz9gmwak0uXHAb</t>
        </is>
      </c>
      <c r="AA1291" s="1" t="inlineStr">
        <is>
          <t>Unverified</t>
        </is>
      </c>
      <c r="AB1291" s="1" t="n"/>
      <c r="AC1291" s="1" t="n"/>
      <c r="AD1291" s="10" t="n"/>
      <c r="AE1291" s="1" t="n"/>
      <c r="AF1291" t="inlineStr">
        <is>
          <t>Yes</t>
        </is>
      </c>
      <c r="AG1291" t="inlineStr">
        <is>
          <t>https://www.linkedin.com/company/10414242</t>
        </is>
      </c>
      <c r="AH1291" t="inlineStr">
        <is>
          <t>https://www.linkedin.com/company/10414242</t>
        </is>
      </c>
      <c r="AI1291" t="inlineStr">
        <is>
          <t>https://www.linkedin.com/company/10414242</t>
        </is>
      </c>
    </row>
    <row r="1292" ht="12.5" customHeight="1">
      <c r="A1292" s="6" t="n">
        <v>45181</v>
      </c>
      <c r="B1292" s="1" t="inlineStr">
        <is>
          <t>ORG_1646</t>
        </is>
      </c>
      <c r="C1292" s="1" t="b">
        <v>1</v>
      </c>
      <c r="D1292" s="1" t="inlineStr">
        <is>
          <t>Grimp</t>
        </is>
      </c>
      <c r="E1292" s="10" t="inlineStr">
        <is>
          <t>https://grimp.io</t>
        </is>
      </c>
      <c r="F1292" t="inlineStr">
        <is>
          <t>grimp.io</t>
        </is>
      </c>
      <c r="G1292" s="1" t="inlineStr">
        <is>
          <t>Grimp is SaaS solution to manage your job search in one place. There is also Grimp for Schools to facilitate job placement and a product for recruiters to help them source talent.</t>
        </is>
      </c>
      <c r="H1292" s="1" t="inlineStr">
        <is>
          <t>EdTech France</t>
        </is>
      </c>
      <c r="I1292" s="1" t="n"/>
      <c r="J1292" s="1" t="inlineStr">
        <is>
          <t>Nantes</t>
        </is>
      </c>
      <c r="K1292" t="inlineStr">
        <is>
          <t>Nantes</t>
        </is>
      </c>
      <c r="L1292" t="inlineStr">
        <is>
          <t>Nantes, France</t>
        </is>
      </c>
      <c r="M1292" t="n">
        <v>47.2186371</v>
      </c>
      <c r="N1292" t="n">
        <v>-1.5541362</v>
      </c>
      <c r="O1292" s="1" t="inlineStr">
        <is>
          <t>France</t>
        </is>
      </c>
      <c r="P1292" s="1" t="inlineStr">
        <is>
          <t>France</t>
        </is>
      </c>
      <c r="Q1292" s="1" t="inlineStr">
        <is>
          <t>0 to 10</t>
        </is>
      </c>
      <c r="R1292" t="inlineStr">
        <is>
          <t>Micro</t>
        </is>
      </c>
      <c r="S1292" s="1" t="inlineStr">
        <is>
          <t>Business to Business</t>
        </is>
      </c>
      <c r="T1292" s="1" t="inlineStr">
        <is>
          <t>Secondary Education, Higher Education</t>
        </is>
      </c>
      <c r="U1292" s="1" t="inlineStr">
        <is>
          <t>Student interfacing, Teacher interfacing, System/Administrative</t>
        </is>
      </c>
      <c r="V1292" s="10" t="inlineStr">
        <is>
          <t>Grimp for Schools</t>
        </is>
      </c>
      <c r="W1292" s="10" t="inlineStr">
        <is>
          <t>A powerful and pedagogical job tracking tool and CRM for students, a career advising and outcomes tracking platform for your school.</t>
        </is>
      </c>
      <c r="X1292" s="10" t="inlineStr">
        <is>
          <t>Grimp Academy</t>
        </is>
      </c>
      <c r="Y1292" t="inlineStr">
        <is>
          <t>Track your job applications, manage your contacts and keep your job search organized, all in one place!</t>
        </is>
      </c>
      <c r="Z1292" s="1" t="inlineStr">
        <is>
          <t>https://drive.google.com/uc?export=view&amp;id=1lhWB8mgqr3GhKCYp4p7hbREDRcUzAKMi</t>
        </is>
      </c>
      <c r="AA1292" s="1" t="inlineStr">
        <is>
          <t>Unverified</t>
        </is>
      </c>
      <c r="AB1292" s="1" t="n"/>
      <c r="AC1292" s="1" t="n"/>
      <c r="AD1292" s="10" t="n"/>
      <c r="AE1292" s="1" t="n"/>
      <c r="AF1292" t="inlineStr">
        <is>
          <t>Yes</t>
        </is>
      </c>
      <c r="AG1292" t="inlineStr">
        <is>
          <t>grimp.io</t>
        </is>
      </c>
      <c r="AH1292" t="inlineStr">
        <is>
          <t>https://twitter.com/grimphq</t>
        </is>
      </c>
      <c r="AI1292" t="inlineStr">
        <is>
          <t>https://www.linkedin.com/company/grimp-hq</t>
        </is>
      </c>
    </row>
    <row r="1293" ht="12.5" customHeight="1">
      <c r="A1293" s="6" t="n">
        <v>45181</v>
      </c>
      <c r="B1293" s="1" t="inlineStr">
        <is>
          <t>ORG_1653</t>
        </is>
      </c>
      <c r="C1293" s="1" t="b">
        <v>1</v>
      </c>
      <c r="D1293" s="1" t="inlineStr">
        <is>
          <t>Gymglish</t>
        </is>
      </c>
      <c r="E1293" s="10" t="inlineStr">
        <is>
          <t>https://www.gymglish.com</t>
        </is>
      </c>
      <c r="F1293" t="inlineStr">
        <is>
          <t>gymglish.com</t>
        </is>
      </c>
      <c r="G1293" s="1" t="inlineStr">
        <is>
          <t>Founded in 2004, Gymglish creates fun adaptive learning courses for languages and more based on regular sessions to optimize long-term gains and memorization.
Our objective: to offer effective digital education to learners worldwide, a more enjoyable user experience with better knowledge retention.</t>
        </is>
      </c>
      <c r="H1293" s="1" t="inlineStr">
        <is>
          <t>EdTech France</t>
        </is>
      </c>
      <c r="I1293" s="1" t="n"/>
      <c r="J1293" s="1" t="inlineStr">
        <is>
          <t>Paris</t>
        </is>
      </c>
      <c r="K1293" t="inlineStr">
        <is>
          <t>Paris</t>
        </is>
      </c>
      <c r="L1293" t="inlineStr">
        <is>
          <t>Paris, France</t>
        </is>
      </c>
      <c r="M1293" t="n">
        <v>48.8534951</v>
      </c>
      <c r="N1293" t="n">
        <v>2.3483915</v>
      </c>
      <c r="O1293" s="1" t="inlineStr">
        <is>
          <t>France</t>
        </is>
      </c>
      <c r="P1293" s="1" t="inlineStr">
        <is>
          <t>Albania, Andorra, Armenia, Austria, Azerbaijan, Belarus, Belgium, Bosnia and Herzegovina, Bulgaria, Croatia, Czechia, Denmark, Estonia, Finland, France, Georgia, Germany, Greece, Hungary, Iceland, Ireland, Italy, Kazakhstan, Latvia, Liechtenstein, Lithuania, Luxembourg, Malta, Moldova, Monaco, Montenegro, Netherlands, North Macedonia, Norway, Poland, Portugal, Romania, Russia, San Marino, Serbia, Slovakia, Slovenia, Spain, Sweden, Switzerland, Turkey, Ukraine, United Kingdom</t>
        </is>
      </c>
      <c r="Q1293" s="1" t="inlineStr">
        <is>
          <t>11 to 50</t>
        </is>
      </c>
      <c r="R1293" t="inlineStr">
        <is>
          <t>Small</t>
        </is>
      </c>
      <c r="S1293" s="1" t="inlineStr">
        <is>
          <t>Business to Business</t>
        </is>
      </c>
      <c r="T1293" s="1" t="inlineStr">
        <is>
          <t>Corporate Training, Lifelong learning/Adult education, Higher Education</t>
        </is>
      </c>
      <c r="U1293" s="1" t="inlineStr">
        <is>
          <t>System/Administrative, Student interfacing, Teacher interfacing</t>
        </is>
      </c>
      <c r="V1293" s="10" t="inlineStr">
        <is>
          <t>Gymglish</t>
        </is>
      </c>
      <c r="W1293" s="10" t="inlineStr">
        <is>
          <t>https://www.gymglish.com/en/gymglish
Gymglish delivers short, personalized and fun online English lessons. Our goal: your motivation, participation and progress.
Story: Growing up as an apprentice to his perfumer grandfather in Montmartre, Bruno Delavigne had dreams of starting his own business in San Francisco and expanding it. But when a suspicious "accident" robbed him of his sense of smell, Bruno was forced to take a different route to success...
Each of our English lessons ends with a "dessert": an authentic clip of can't-miss anglophone culture. Film, music, literature or television allow you to finish your workout in style.</t>
        </is>
      </c>
      <c r="X1293" s="10" t="inlineStr">
        <is>
          <t>Frantastique</t>
        </is>
      </c>
      <c r="Y1293" t="inlineStr">
        <is>
          <t>https://www.gymglish.com/en/frantastique
Frantastique delivers short, personalized and fun online French lessons. Our goal: your motivation, participation and progress.
Story: On a French-speaking planet, an Intergalactic agency staffed by humans and aliens defrosts Victor Hugo to act as a guide to Francophone culture and life. But first, Victor must bring mustard from Earth in order to avoid a bloody revolution.
Each of our French lessons ends with a "dessert": an authentic clip of can't-miss francophone culture. Film, music, literature or television allow you to finish your workout in style.</t>
        </is>
      </c>
      <c r="Z1293" s="1" t="inlineStr">
        <is>
          <t>https://drive.google.com/uc?export=view&amp;id=1MdCvkj9qbbjR5gLNr3SUDEyDvjBXRcOe</t>
        </is>
      </c>
      <c r="AA1293" s="1" t="inlineStr">
        <is>
          <t>Unverified</t>
        </is>
      </c>
      <c r="AB1293" s="1" t="n"/>
      <c r="AC1293" s="1" t="n"/>
      <c r="AD1293" s="10" t="n"/>
      <c r="AE1293" s="1" t="n"/>
      <c r="AF1293" t="inlineStr">
        <is>
          <t>Yes</t>
        </is>
      </c>
      <c r="AG1293" t="inlineStr">
        <is>
          <t>https://www.instagram.com/gymglish/</t>
        </is>
      </c>
      <c r="AH1293" t="inlineStr">
        <is>
          <t>https://twitter.com/GymGlish</t>
        </is>
      </c>
      <c r="AI1293" t="inlineStr">
        <is>
          <t>https://www.linkedin.com/company/gymglish/</t>
        </is>
      </c>
    </row>
    <row r="1294" ht="12.5" customHeight="1">
      <c r="A1294" s="6" t="n">
        <v>45181</v>
      </c>
      <c r="B1294" s="1" t="inlineStr">
        <is>
          <t>ORG_1683</t>
        </is>
      </c>
      <c r="C1294" s="1" t="b">
        <v>1</v>
      </c>
      <c r="D1294" s="1" t="inlineStr">
        <is>
          <t>Hopspots</t>
        </is>
      </c>
      <c r="E1294" s="10" t="inlineStr">
        <is>
          <t>https://www.hopspots.dk</t>
        </is>
      </c>
      <c r="F1294" t="inlineStr">
        <is>
          <t>hopspots.dk</t>
        </is>
      </c>
      <c r="G1294" s="1" t="inlineStr">
        <is>
          <t>Hopspots is active and interactive learning with wireless spots that light up and plays sound through an iPad and a speakersystem. Hopspots encourages pupils to move and allows them to become digital co-creators of their own learning content. Hopspots also combines movement with coding as the children can create their own games where the programming skills leads to being able to play with your peers.</t>
        </is>
      </c>
      <c r="H1294" s="1" t="inlineStr">
        <is>
          <t>EdTech Denmark</t>
        </is>
      </c>
      <c r="I1294" s="1" t="inlineStr">
        <is>
          <t>Danish, English, Lithuanian, German, Dutch</t>
        </is>
      </c>
      <c r="J1294" s="1" t="inlineStr">
        <is>
          <t>Nannasvej 16</t>
        </is>
      </c>
      <c r="L1294" t="inlineStr">
        <is>
          <t>Nannasvej 16, Denmark</t>
        </is>
      </c>
      <c r="O1294" s="1" t="inlineStr">
        <is>
          <t>Denmark</t>
        </is>
      </c>
      <c r="P1294" s="1" t="inlineStr">
        <is>
          <t>Belgium, Denmark, Estonia, Finland, Germany, Lithuania, Netherlands, Norway, Sweden</t>
        </is>
      </c>
      <c r="Q1294" s="1" t="inlineStr">
        <is>
          <t>0 to 2</t>
        </is>
      </c>
      <c r="R1294" t="inlineStr">
        <is>
          <t>Solo entrepreneur</t>
        </is>
      </c>
      <c r="S1294" s="1" t="inlineStr">
        <is>
          <t>Business to Business</t>
        </is>
      </c>
      <c r="T1294" s="1" t="inlineStr">
        <is>
          <t>Early childhood development (0-5 years), Primary Education</t>
        </is>
      </c>
      <c r="U1294" s="1" t="inlineStr">
        <is>
          <t>Teacher interfacing, System/Administrative</t>
        </is>
      </c>
      <c r="V1294" s="10" t="inlineStr">
        <is>
          <t>Hopspots</t>
        </is>
      </c>
      <c r="W1294" s="1" t="inlineStr">
        <is>
          <t>Hopspots is an active and interactive learning tool that teachers can easily use to create engaging lessons. Children can learn by jumping/stepping on wireless tiles, that can light up and connect to an App and a speakersystem. They can play learning games with the app and interactive tiles as well as creating their own content. The result is better learning while having fun!</t>
        </is>
      </c>
      <c r="X1294" s="10" t="inlineStr">
        <is>
          <t>https://drive.google.com/uc?export=view&amp;id=1avebXazKPl3R0ZemfcD5OxGhaXfQ5-yM</t>
        </is>
      </c>
      <c r="Y1294" t="inlineStr">
        <is>
          <t>https://drive.google.com/uc?export=view&amp;id=1avebXazKPl3R0ZemfcD5OxGhaXfQ5-yM</t>
        </is>
      </c>
      <c r="Z1294" s="1" t="inlineStr">
        <is>
          <t>https://drive.google.com/uc?export=view&amp;id=1avebXazKPl3R0ZemfcD5OxGhaXfQ5-yM</t>
        </is>
      </c>
      <c r="AA1294" s="1" t="inlineStr">
        <is>
          <t>Unverified</t>
        </is>
      </c>
      <c r="AB1294" s="1" t="n"/>
      <c r="AC1294" s="1" t="n"/>
      <c r="AD1294" s="10" t="n"/>
      <c r="AE1294" s="1" t="n"/>
      <c r="AF1294" t="inlineStr">
        <is>
          <t>Yes</t>
        </is>
      </c>
      <c r="AG1294" t="inlineStr">
        <is>
          <t>https://www.instagram.com/hopspots/</t>
        </is>
      </c>
      <c r="AH1294" t="inlineStr">
        <is>
          <t>https://www.linkedin.com/company/cxd--child-experience-design</t>
        </is>
      </c>
      <c r="AI1294" t="inlineStr">
        <is>
          <t>https://www.linkedin.com/company/cxd--child-experience-design</t>
        </is>
      </c>
    </row>
    <row r="1295" ht="12.5" customHeight="1">
      <c r="A1295" s="6" t="n">
        <v>45181</v>
      </c>
      <c r="B1295" s="1" t="inlineStr">
        <is>
          <t>ORG_1702</t>
        </is>
      </c>
      <c r="C1295" s="1" t="b">
        <v>1</v>
      </c>
      <c r="D1295" s="1" t="inlineStr">
        <is>
          <t>ICDL France</t>
        </is>
      </c>
      <c r="E1295" s="10" t="inlineStr">
        <is>
          <t>https://www.icdlfrance.org/</t>
        </is>
      </c>
      <c r="F1295" t="inlineStr">
        <is>
          <t>icdlfrance.org</t>
        </is>
      </c>
      <c r="G1295" s="1" t="inlineStr">
        <is>
          <t>ICDL is an international organisation dedicated to raising digital competence standards in the workforce, education and society. Our certification programmes, delivered through an active network in more than 100 countries, enable individuals and organisations to assess, build and certify their competence in the use of computers and digital tools to the globally-recognised ICDL standard.</t>
        </is>
      </c>
      <c r="H1295" s="1" t="inlineStr">
        <is>
          <t>EdTech France</t>
        </is>
      </c>
      <c r="I1295" s="1" t="n"/>
      <c r="J1295" s="1" t="inlineStr">
        <is>
          <t>Cannes</t>
        </is>
      </c>
      <c r="K1295" t="inlineStr">
        <is>
          <t>Cannes</t>
        </is>
      </c>
      <c r="L1295" t="inlineStr">
        <is>
          <t>Cannes, France</t>
        </is>
      </c>
      <c r="M1295" t="n">
        <v>43.5515198</v>
      </c>
      <c r="N1295" t="n">
        <v>7.0134418</v>
      </c>
      <c r="O1295" s="1" t="inlineStr">
        <is>
          <t>France</t>
        </is>
      </c>
      <c r="P1295" s="1" t="inlineStr">
        <is>
          <t>France</t>
        </is>
      </c>
      <c r="Q1295" s="1" t="inlineStr">
        <is>
          <t>6 to 10</t>
        </is>
      </c>
      <c r="R1295" t="inlineStr">
        <is>
          <t>Micro</t>
        </is>
      </c>
      <c r="S1295" s="1" t="inlineStr">
        <is>
          <t>Business to Business, Business to Consumer</t>
        </is>
      </c>
      <c r="T1295" s="1" t="inlineStr">
        <is>
          <t>Corporate Training, Lifelong learning/Adult education, Vocational Education and Training (VET), Higher Education</t>
        </is>
      </c>
      <c r="U1295" s="1" t="inlineStr">
        <is>
          <t>System/Administrative, Student interfacing</t>
        </is>
      </c>
      <c r="V1295" s="10" t="inlineStr">
        <is>
          <t>ICDL</t>
        </is>
      </c>
      <c r="W1295" s="10" t="inlineStr">
        <is>
          <t>ICDL has developed a suite of programmes that meet the demands of today’s digital world. Whether you are working through the ICDL Workforce modules to reach the digital skills standard required for the workplace or you are looking to develop more advanced skills for occupational effectiveness, ICDL has a vast range of modules to choose from, so you can build the ideal digital skill set for your needs.</t>
        </is>
      </c>
      <c r="X1295" s="10" t="inlineStr">
        <is>
          <t>https://drive.google.com/uc?export=view&amp;id=1PVXqrYKHZ7gh0jjLFg7Nu0BnvNbzAFY6</t>
        </is>
      </c>
      <c r="Y1295" t="inlineStr">
        <is>
          <t>https://drive.google.com/uc?export=view&amp;id=1PVXqrYKHZ7gh0jjLFg7Nu0BnvNbzAFY6</t>
        </is>
      </c>
      <c r="Z1295" s="1" t="inlineStr">
        <is>
          <t>https://drive.google.com/uc?export=view&amp;id=1PVXqrYKHZ7gh0jjLFg7Nu0BnvNbzAFY6</t>
        </is>
      </c>
      <c r="AA1295" s="1" t="inlineStr">
        <is>
          <t>Unverified</t>
        </is>
      </c>
      <c r="AB1295" s="1" t="n"/>
      <c r="AC1295" s="1" t="n"/>
      <c r="AD1295" s="10" t="n"/>
      <c r="AE1295" s="1" t="n"/>
      <c r="AF1295" s="1" t="inlineStr">
        <is>
          <t>Yes</t>
        </is>
      </c>
      <c r="AG1295" s="1" t="inlineStr">
        <is>
          <t>https://www.instagram.com/icdl_france/</t>
        </is>
      </c>
      <c r="AH1295" s="1" t="inlineStr">
        <is>
          <t>https://mobile.twitter.com/icdlfrance</t>
        </is>
      </c>
      <c r="AI1295" s="1" t="inlineStr">
        <is>
          <t>https://www.linkedin.com/company/pcie---icdl</t>
        </is>
      </c>
      <c r="AJ1295" s="1" t="n"/>
    </row>
    <row r="1296" ht="12.5" customHeight="1">
      <c r="A1296" s="6" t="n">
        <v>45181</v>
      </c>
      <c r="B1296" s="1" t="inlineStr">
        <is>
          <t>ORG_1706</t>
        </is>
      </c>
      <c r="C1296" s="1" t="b">
        <v>1</v>
      </c>
      <c r="D1296" s="1" t="inlineStr">
        <is>
          <t>idruide</t>
        </is>
      </c>
      <c r="E1296" s="10" t="inlineStr">
        <is>
          <t>https://idruide.com/</t>
        </is>
      </c>
      <c r="F1296" t="inlineStr">
        <is>
          <t>idruide.com</t>
        </is>
      </c>
      <c r="G1296" s="1" t="inlineStr">
        <is>
          <t>idruide’s tools allow you to navigate with ease and in complete safety in the world of digital mobility.
idruide offers IT solutions to manage your mobile and other devices : management of fleets, apps, web filtering, digital classrooms etc.
The synergy between these tools makes it a complete and intuitive offer.
Our technologies work on the most widely used operating systems (Android, Windows, Apple and Chrome OS). In addition, they are operational on all types of mobile digital devices. Don’t change your habits, our solutions adapt to you.</t>
        </is>
      </c>
      <c r="H1296" s="1" t="inlineStr">
        <is>
          <t>AFINEF, EdTech France</t>
        </is>
      </c>
      <c r="I1296" s="1" t="n"/>
      <c r="J1296" s="1" t="inlineStr">
        <is>
          <t>Monaco</t>
        </is>
      </c>
      <c r="K1296" t="inlineStr">
        <is>
          <t>Monaco</t>
        </is>
      </c>
      <c r="L1296" t="inlineStr">
        <is>
          <t>Monaco, Monaco</t>
        </is>
      </c>
      <c r="M1296" t="n">
        <v>43.7323492</v>
      </c>
      <c r="N1296" t="n">
        <v>7.4276832</v>
      </c>
      <c r="O1296" s="1" t="inlineStr">
        <is>
          <t>Monaco</t>
        </is>
      </c>
      <c r="P1296" s="1" t="inlineStr">
        <is>
          <t>France, Spain</t>
        </is>
      </c>
      <c r="Q1296" s="1" t="inlineStr">
        <is>
          <t>11 to 50</t>
        </is>
      </c>
      <c r="R1296" t="inlineStr">
        <is>
          <t>Small</t>
        </is>
      </c>
      <c r="S1296" s="1" t="inlineStr">
        <is>
          <t>Business to Business, Business to Consumer</t>
        </is>
      </c>
      <c r="T1296" s="1" t="inlineStr">
        <is>
          <t>Early childhood development (0-5 years), Primary Education, Secondary Education</t>
        </is>
      </c>
      <c r="U1296" s="1" t="inlineStr">
        <is>
          <t>Student interfacing, Teacher interfacing</t>
        </is>
      </c>
      <c r="V1296" s="1" t="inlineStr">
        <is>
          <t>Mobile Device Management (MDM) - Stonehenge</t>
        </is>
      </c>
      <c r="W1296" s="10" t="inlineStr">
        <is>
          <t>Manage all your mobile devices from a single online platform with Stonehenge.
Manage your digital equipment in a simple way from a single tool. idruide offers you a unified and secure management solution for digital terminals, compatible with all operating systems (Android, Windows, Apple and Chrome OS).</t>
        </is>
      </c>
      <c r="X1296" s="10" t="inlineStr">
        <is>
          <t>Internet filtering - idruide Web Secure</t>
        </is>
      </c>
      <c r="Y1296" t="inlineStr">
        <is>
          <t>Secure Internet browsing anytime, anywhere with Web Secure.
Protect your school, its students and its teachers by filtering Internet browsing on all devices and all networks. Simplified installation from a single key link, without dedicated hardware.</t>
        </is>
      </c>
      <c r="Z1296" s="1" t="inlineStr">
        <is>
          <t>https://drive.google.com/uc?export=view&amp;id=1Ybwksx-d4kZqR5fjglqp-cOFGqFYMfiI</t>
        </is>
      </c>
      <c r="AA1296" s="1" t="inlineStr">
        <is>
          <t>Unverified</t>
        </is>
      </c>
      <c r="AB1296" s="1" t="n"/>
      <c r="AC1296" s="1" t="n"/>
      <c r="AD1296" s="10" t="n"/>
      <c r="AE1296" s="1" t="n"/>
      <c r="AF1296" s="1" t="inlineStr">
        <is>
          <t>Yes</t>
        </is>
      </c>
      <c r="AG1296" s="1" t="inlineStr">
        <is>
          <t>https://twitter.com/idruide</t>
        </is>
      </c>
      <c r="AH1296" s="1" t="inlineStr">
        <is>
          <t>https://twitter.com/idruide</t>
        </is>
      </c>
      <c r="AI1296" t="inlineStr">
        <is>
          <t>https://www.linkedin.com/company/idruide/</t>
        </is>
      </c>
    </row>
    <row r="1297" ht="12.5" customHeight="1">
      <c r="A1297" s="6" t="n">
        <v>45181</v>
      </c>
      <c r="B1297" s="1" t="inlineStr">
        <is>
          <t>ORG_1736</t>
        </is>
      </c>
      <c r="C1297" s="1" t="b">
        <v>1</v>
      </c>
      <c r="D1297" s="1" t="inlineStr">
        <is>
          <t>Investory</t>
        </is>
      </c>
      <c r="E1297" s="10" t="inlineStr">
        <is>
          <t>https://investoryapp.com/</t>
        </is>
      </c>
      <c r="F1297" t="inlineStr">
        <is>
          <t>investoryapp.com</t>
        </is>
      </c>
      <c r="G1297" s="1" t="inlineStr">
        <is>
          <t>Investory is a financial education game for children aged 6-10, which combines learning with a fun and engaging experience.
It is a game that utilises high-quality graphics and storyline to get the children engaged. By using familiar concepts, the knowledge transfer is seamless and children are happy to repeat tasks or surpass challenges. It's very effective because the little ones not only learn theory in a masked way, but also practice it in a fun&amp;safe way.</t>
        </is>
      </c>
      <c r="H1297" s="1" t="inlineStr">
        <is>
          <t>I'm not part of any EdTech association</t>
        </is>
      </c>
      <c r="I1297" s="1" t="n"/>
      <c r="J1297" s="1" t="inlineStr">
        <is>
          <t>Cluj-Napoca</t>
        </is>
      </c>
      <c r="K1297" t="inlineStr">
        <is>
          <t>Cluj-Napoca</t>
        </is>
      </c>
      <c r="L1297" t="inlineStr">
        <is>
          <t>Cluj-Napoca, Romania</t>
        </is>
      </c>
      <c r="M1297" t="n">
        <v>46.769379</v>
      </c>
      <c r="N1297" t="n">
        <v>23.5899542</v>
      </c>
      <c r="O1297" s="1" t="inlineStr">
        <is>
          <t>Romania</t>
        </is>
      </c>
      <c r="P1297" s="1" t="inlineStr">
        <is>
          <t>Austria, Belgium, Bulgaria, Croatia, Denmark, Estonia, Finland, France, Germany, Greece, Hungary, Iceland, Ireland, Italy, Latvia, Lithuania, Moldova, Netherlands, Norway, Poland, Romania, Serbia, Slovakia, Slovenia, Spain, Sweden, Switzerland, Turkey, Ukraine, United Kingdom</t>
        </is>
      </c>
      <c r="Q1297" s="1" t="inlineStr">
        <is>
          <t>0 to 10</t>
        </is>
      </c>
      <c r="R1297" t="inlineStr">
        <is>
          <t>Micro</t>
        </is>
      </c>
      <c r="S1297" s="1" t="inlineStr">
        <is>
          <t>Business to Business, Business to Consumer</t>
        </is>
      </c>
      <c r="T1297" s="1" t="inlineStr">
        <is>
          <t>Primary Education</t>
        </is>
      </c>
      <c r="U1297" s="1" t="inlineStr">
        <is>
          <t>System/Administrative, Student interfacing</t>
        </is>
      </c>
      <c r="V1297" s="1" t="n"/>
      <c r="W1297" s="1" t="inlineStr">
        <is>
          <t>https://drive.google.com/uc?export=view&amp;id=18abHIP-8RZNT_W0-Xyy8BYLrPvL_NbDi</t>
        </is>
      </c>
      <c r="X1297" s="1" t="inlineStr">
        <is>
          <t>https://drive.google.com/uc?export=view&amp;id=18abHIP-8RZNT_W0-Xyy8BYLrPvL_NbDi</t>
        </is>
      </c>
      <c r="Y1297" t="inlineStr">
        <is>
          <t>https://drive.google.com/uc?export=view&amp;id=18abHIP-8RZNT_W0-Xyy8BYLrPvL_NbDi</t>
        </is>
      </c>
      <c r="Z1297" s="1" t="inlineStr">
        <is>
          <t>https://drive.google.com/uc?export=view&amp;id=18abHIP-8RZNT_W0-Xyy8BYLrPvL_NbDi</t>
        </is>
      </c>
      <c r="AA1297" s="1" t="inlineStr">
        <is>
          <t>Unverified</t>
        </is>
      </c>
      <c r="AB1297" s="1" t="n"/>
      <c r="AC1297" s="1" t="n"/>
      <c r="AD1297" s="10" t="n"/>
      <c r="AE1297" s="1" t="n"/>
      <c r="AF1297" s="1" t="inlineStr">
        <is>
          <t>No</t>
        </is>
      </c>
      <c r="AG1297" s="1" t="n"/>
      <c r="AH1297" s="1" t="n"/>
      <c r="AI1297" s="1" t="n"/>
      <c r="AJ1297" s="1" t="n"/>
    </row>
    <row r="1298" ht="12.5" customHeight="1">
      <c r="A1298" s="6" t="n">
        <v>45181</v>
      </c>
      <c r="B1298" s="1" t="inlineStr">
        <is>
          <t>ORG_1745</t>
        </is>
      </c>
      <c r="C1298" s="1" t="b">
        <v>1</v>
      </c>
      <c r="D1298" s="1" t="inlineStr">
        <is>
          <t>iTeach.world</t>
        </is>
      </c>
      <c r="E1298" s="10" t="inlineStr">
        <is>
          <t>https://iteach.world/</t>
        </is>
      </c>
      <c r="F1298" t="inlineStr">
        <is>
          <t>iteach.world</t>
        </is>
      </c>
      <c r="G1298" s="1" t="inlineStr">
        <is>
          <t>More than just a videoconferencing app, the iTeach Virtual Classroom includes all the other teaching and learning tools you need for a complete and effective online teaching experience. It is Easy to Use and built for virtual teaching.
What teachers can do in a physical classroom, can be fully replicated on line with iTeach. You have a virtual classroom with all the other tools you need in one place to deliver a more effective and engaging online learning experience.
The learning and teaching tools are connected to your branded virtual room. iTeach lets you add your logo and customize key visual elements to make your online school instantly recognizable and unique.
iTeach.world is being used in 168 countries across the world.</t>
        </is>
      </c>
      <c r="H1298" s="1" t="inlineStr">
        <is>
          <t>EdTech France</t>
        </is>
      </c>
      <c r="I1298" s="1" t="n"/>
      <c r="J1298" s="1" t="inlineStr">
        <is>
          <t>Paris</t>
        </is>
      </c>
      <c r="K1298" t="inlineStr">
        <is>
          <t>Paris</t>
        </is>
      </c>
      <c r="L1298" t="inlineStr">
        <is>
          <t>Paris, France</t>
        </is>
      </c>
      <c r="M1298" t="n">
        <v>48.8534951</v>
      </c>
      <c r="N1298" t="n">
        <v>2.3483915</v>
      </c>
      <c r="O1298" s="1" t="inlineStr">
        <is>
          <t>France</t>
        </is>
      </c>
      <c r="P1298" s="1" t="inlineStr">
        <is>
          <t>Austria, Belgium, Czechia, France, Germany, Greece, Hungary, Ireland, Italy, Netherlands, Poland, Portugal, Russia, Slovakia, Slovenia, Spain, Switzerland, Ukraine, United Kingdom</t>
        </is>
      </c>
      <c r="Q1298" s="1" t="inlineStr">
        <is>
          <t>0 to 10</t>
        </is>
      </c>
      <c r="R1298" t="inlineStr">
        <is>
          <t>Micro</t>
        </is>
      </c>
      <c r="S1298" s="1" t="inlineStr">
        <is>
          <t>Business to Business, Business to Consumer</t>
        </is>
      </c>
      <c r="T1298" s="1" t="inlineStr">
        <is>
          <t>Higher Education, Corporate Training, Lifelong learning/Adult education</t>
        </is>
      </c>
      <c r="U1298" s="1" t="inlineStr">
        <is>
          <t>Teacher interfacing, System/Administrative</t>
        </is>
      </c>
      <c r="V1298" s="10" t="inlineStr">
        <is>
          <t>iTeach virtual classroom: webroom</t>
        </is>
      </c>
      <c r="W1298" s="1" t="inlineStr">
        <is>
          <t>-Keep your students engaged with whiteboards, screen sharing, breakout groups, real-time notes, chat, and use polls to get discussions started or for real-time assessments.
-Use the Workspace to create your content playlist and share content such as videos, websites, presentations and other files during your class.
-Use Direct Talk to talk with a student privately without leaving the room.
-Make live notes during the class which you can review and edit later.
-Manage the students in the virtual classroom with moderation controls.</t>
        </is>
      </c>
      <c r="X1298" s="10" t="inlineStr">
        <is>
          <t>Teaching &amp; Learning tools: iTeach LMS</t>
        </is>
      </c>
      <c r="Y1298" t="inlineStr">
        <is>
          <t>- Design Assignments &amp; assessments online 
- Get automated Progress tracking &amp; reports to debe efficient
- Get Attendance tracking &amp; reports and Identify students who need support
- Class calendar so you always know what’s happening
- Grade book and Keep track in real-time
- Class &amp; assignment reminders so you never forget anything
- Automated personalized feedback Because each student is different
- Messages &amp; announcements make it easy to communicate
- Communicate teacher profiles to build trust and inspire students</t>
        </is>
      </c>
      <c r="Z1298" s="1" t="inlineStr">
        <is>
          <t>https://drive.google.com/uc?export=view&amp;id=1RQ-FvR9rMM2WaL5ZYatyvb3lpTbL4QUu</t>
        </is>
      </c>
      <c r="AA1298" s="1" t="inlineStr">
        <is>
          <t>Unverified</t>
        </is>
      </c>
      <c r="AB1298" s="1" t="n"/>
      <c r="AC1298" s="1" t="n"/>
      <c r="AD1298" s="10" t="n"/>
      <c r="AE1298" s="1" t="n"/>
      <c r="AF1298" s="1" t="inlineStr">
        <is>
          <t>Yes</t>
        </is>
      </c>
      <c r="AG1298" s="1" t="inlineStr">
        <is>
          <t>https://www.facebook.com/Iteachworld</t>
        </is>
      </c>
      <c r="AH1298" s="1" t="inlineStr">
        <is>
          <t>https://www.linkedin.com/company/iteach-world/</t>
        </is>
      </c>
      <c r="AI1298" s="1" t="inlineStr">
        <is>
          <t>https://www.linkedin.com/company/iteach-world/</t>
        </is>
      </c>
      <c r="AJ1298" s="1" t="n"/>
    </row>
    <row r="1299" ht="12.5" customHeight="1">
      <c r="A1299" s="6" t="n">
        <v>45181</v>
      </c>
      <c r="B1299" s="1" t="inlineStr">
        <is>
          <t>ORG_1749</t>
        </is>
      </c>
      <c r="C1299" s="1" t="b">
        <v>1</v>
      </c>
      <c r="D1299" s="1" t="inlineStr">
        <is>
          <t>itorium</t>
        </is>
      </c>
      <c r="E1299" s="10" t="inlineStr">
        <is>
          <t>www.itorium.org</t>
        </is>
      </c>
      <c r="F1299" t="inlineStr">
        <is>
          <t>itorium.org</t>
        </is>
      </c>
      <c r="G1299" s="1" t="inlineStr">
        <is>
          <t>itorium helps organisations to learn at scale. We create appealing learning content (videos and XR).
We also develop virtual classrooms and recording studios.</t>
        </is>
      </c>
      <c r="H1299" s="1" t="inlineStr">
        <is>
          <t>Dutch EdTech</t>
        </is>
      </c>
      <c r="I1299" s="1" t="n"/>
      <c r="J1299" s="1" t="inlineStr">
        <is>
          <t>Amsterdam</t>
        </is>
      </c>
      <c r="K1299" t="inlineStr">
        <is>
          <t>Amsterdam</t>
        </is>
      </c>
      <c r="L1299" t="inlineStr">
        <is>
          <t>Amsterdam, The Netherlands</t>
        </is>
      </c>
      <c r="M1299" t="n">
        <v>52.3701984</v>
      </c>
      <c r="N1299" t="n">
        <v>4.892168</v>
      </c>
      <c r="O1299" s="1" t="inlineStr">
        <is>
          <t>The Netherlands</t>
        </is>
      </c>
      <c r="P1299" s="1" t="inlineStr">
        <is>
          <t>Belgium, Germany, Netherlands</t>
        </is>
      </c>
      <c r="Q1299" s="1" t="inlineStr">
        <is>
          <t>0 to 10</t>
        </is>
      </c>
      <c r="R1299" t="inlineStr">
        <is>
          <t>Micro</t>
        </is>
      </c>
      <c r="S1299" s="1" t="inlineStr">
        <is>
          <t>Business to Business, Business to Consumer</t>
        </is>
      </c>
      <c r="T1299" s="1" t="inlineStr">
        <is>
          <t>Higher Education, Corporate Training, Lifelong learning/Adult education</t>
        </is>
      </c>
      <c r="U1299" s="1" t="inlineStr">
        <is>
          <t>System/Administrative</t>
        </is>
      </c>
      <c r="V1299" s="1" t="inlineStr">
        <is>
          <t>Learning Content</t>
        </is>
      </c>
      <c r="W1299" s="1" t="inlineStr">
        <is>
          <t>We support teachers, trainers and organisations in order to create the most attractive learning content. Our team of media experts are specialized in producing content (Video, audio and XR) for inspirational and knowledge transfer purposes.</t>
        </is>
      </c>
      <c r="X1299" s="10" t="inlineStr">
        <is>
          <t>Virtual Classrooms</t>
        </is>
      </c>
      <c r="Y1299" t="inlineStr">
        <is>
          <t>The Virtual Classroom solves the problem of synchronous communication. The teacher is able to walk around and make use of augmented objects. The students are projected in a theatre setting and are able to remotely interact with each other.</t>
        </is>
      </c>
      <c r="Z1299" s="1" t="inlineStr">
        <is>
          <t>https://drive.google.com/uc?export=view&amp;id=172KbpIJyhObW9VNZCgHSi2J8l5LiNMx6</t>
        </is>
      </c>
      <c r="AA1299" s="1" t="inlineStr">
        <is>
          <t>Unverified</t>
        </is>
      </c>
      <c r="AB1299" s="1" t="n"/>
      <c r="AC1299" s="1" t="n"/>
      <c r="AD1299" s="10" t="n"/>
      <c r="AE1299" s="1" t="n"/>
      <c r="AF1299" s="1" t="inlineStr">
        <is>
          <t>Yes</t>
        </is>
      </c>
      <c r="AG1299" s="1" t="inlineStr">
        <is>
          <t>https://www.linkedin.com/company/itorium/</t>
        </is>
      </c>
      <c r="AH1299" s="1" t="inlineStr">
        <is>
          <t>https://www.linkedin.com/company/itorium/</t>
        </is>
      </c>
      <c r="AI1299" s="1" t="inlineStr">
        <is>
          <t>https://www.linkedin.com/company/itorium/</t>
        </is>
      </c>
      <c r="AJ1299" s="1" t="n"/>
    </row>
    <row r="1300" ht="12.5" customHeight="1">
      <c r="A1300" s="6" t="n">
        <v>45181</v>
      </c>
      <c r="B1300" s="1" t="inlineStr">
        <is>
          <t>ORG_1763</t>
        </is>
      </c>
      <c r="C1300" s="1" t="b">
        <v>1</v>
      </c>
      <c r="D1300" s="1" t="inlineStr">
        <is>
          <t>KALIVI</t>
        </is>
      </c>
      <c r="E1300" s="10" t="inlineStr">
        <is>
          <t>www.kalivi.fr</t>
        </is>
      </c>
      <c r="F1300" t="inlineStr">
        <is>
          <t>kalivi.fr</t>
        </is>
      </c>
      <c r="G1300" s="1" t="inlineStr">
        <is>
          <t>Kalivi est un organisme de formations et de conseils expert en qualité de vie au travail. Nous co créons avec nos clients, les formations pour qu'elles soient plus efficaces et impactantes autour de 3 thématiques : prévention des risques psychosociaux, gestes et postures, efficacité professionnelle.</t>
        </is>
      </c>
      <c r="H1300" s="1" t="inlineStr">
        <is>
          <t>I'm not part of any EdTech association</t>
        </is>
      </c>
      <c r="I1300" s="1" t="n"/>
      <c r="J1300" s="1" t="inlineStr">
        <is>
          <t>Versailles</t>
        </is>
      </c>
      <c r="K1300" t="inlineStr">
        <is>
          <t>Versailles</t>
        </is>
      </c>
      <c r="L1300" t="inlineStr">
        <is>
          <t>Versailles, France</t>
        </is>
      </c>
      <c r="M1300" t="n">
        <v>48.8035403</v>
      </c>
      <c r="N1300" t="n">
        <v>2.1266886</v>
      </c>
      <c r="O1300" s="1" t="inlineStr">
        <is>
          <t>France</t>
        </is>
      </c>
      <c r="P1300" s="1" t="inlineStr">
        <is>
          <t>France</t>
        </is>
      </c>
      <c r="Q1300" s="1" t="inlineStr">
        <is>
          <t>0 to 10</t>
        </is>
      </c>
      <c r="R1300" t="inlineStr">
        <is>
          <t>Micro</t>
        </is>
      </c>
      <c r="S1300" s="1" t="inlineStr">
        <is>
          <t>Business to Business, Business to Consumer</t>
        </is>
      </c>
      <c r="T1300" s="1" t="inlineStr">
        <is>
          <t>Corporate Training</t>
        </is>
      </c>
      <c r="U1300" s="1" t="inlineStr">
        <is>
          <t>Student interfacing, System/Administrative</t>
        </is>
      </c>
      <c r="V1300" s="1" t="n"/>
      <c r="W1300" s="1" t="inlineStr">
        <is>
          <t>https://drive.google.com/uc?export=view&amp;id=19V-c6Vx-zsyibAB_Acb9xWXSDpknN66j</t>
        </is>
      </c>
      <c r="X1300" s="1" t="inlineStr">
        <is>
          <t>https://drive.google.com/uc?export=view&amp;id=19V-c6Vx-zsyibAB_Acb9xWXSDpknN66j</t>
        </is>
      </c>
      <c r="Y1300" t="inlineStr">
        <is>
          <t>https://drive.google.com/uc?export=view&amp;id=19V-c6Vx-zsyibAB_Acb9xWXSDpknN66j</t>
        </is>
      </c>
      <c r="Z1300" s="1" t="inlineStr">
        <is>
          <t>https://drive.google.com/uc?export=view&amp;id=19V-c6Vx-zsyibAB_Acb9xWXSDpknN66j</t>
        </is>
      </c>
      <c r="AA1300" s="1" t="inlineStr">
        <is>
          <t>Unverified</t>
        </is>
      </c>
      <c r="AB1300" s="1" t="n"/>
      <c r="AC1300" s="1" t="n"/>
      <c r="AD1300" s="10" t="n"/>
      <c r="AE1300" s="1" t="n"/>
      <c r="AF1300" s="1" t="inlineStr">
        <is>
          <t>No</t>
        </is>
      </c>
      <c r="AG1300" s="1" t="n"/>
      <c r="AH1300" s="1" t="n"/>
    </row>
    <row r="1301" ht="12.5" customHeight="1">
      <c r="A1301" s="6" t="n">
        <v>45181</v>
      </c>
      <c r="B1301" s="1" t="inlineStr">
        <is>
          <t>ORG_1776</t>
        </is>
      </c>
      <c r="C1301" s="1" t="b">
        <v>1</v>
      </c>
      <c r="D1301" s="1" t="inlineStr">
        <is>
          <t>King Pact</t>
        </is>
      </c>
      <c r="E1301" s="10" t="inlineStr">
        <is>
          <t>https://www.kingpact.fr</t>
        </is>
      </c>
      <c r="F1301" t="inlineStr">
        <is>
          <t>kingpact.fr</t>
        </is>
      </c>
      <c r="G1301" s="1" t="inlineStr">
        <is>
          <t>King Pact is an online education platform which helps students get a job in M&amp;A and corporate finance.</t>
        </is>
      </c>
      <c r="H1301" s="1" t="inlineStr">
        <is>
          <t>EdTech France</t>
        </is>
      </c>
      <c r="I1301" s="1" t="n"/>
      <c r="J1301" s="1" t="inlineStr">
        <is>
          <t>Paris</t>
        </is>
      </c>
      <c r="K1301" t="inlineStr">
        <is>
          <t>Paris</t>
        </is>
      </c>
      <c r="L1301" t="inlineStr">
        <is>
          <t>Paris, France</t>
        </is>
      </c>
      <c r="M1301" t="n">
        <v>48.8534951</v>
      </c>
      <c r="N1301" t="n">
        <v>2.3483915</v>
      </c>
      <c r="O1301" s="1" t="inlineStr">
        <is>
          <t>France</t>
        </is>
      </c>
      <c r="P1301" s="1" t="inlineStr">
        <is>
          <t>France</t>
        </is>
      </c>
      <c r="Q1301" s="1" t="inlineStr">
        <is>
          <t>0 to 2</t>
        </is>
      </c>
      <c r="R1301" t="inlineStr">
        <is>
          <t>Solo entrepreneur</t>
        </is>
      </c>
      <c r="S1301" s="1" t="inlineStr">
        <is>
          <t>Business to Business, Business to Consumer, Business to Government</t>
        </is>
      </c>
      <c r="T1301" s="1" t="inlineStr">
        <is>
          <t>Secondary Education, Corporate Training, Lifelong learning/Adult education, Higher Education</t>
        </is>
      </c>
      <c r="U1301" s="1" t="inlineStr">
        <is>
          <t>Student interfacing</t>
        </is>
      </c>
      <c r="V1301" s="10" t="inlineStr">
        <is>
          <t>Online education platform</t>
        </is>
      </c>
      <c r="W1301" s="1" t="inlineStr">
        <is>
          <t>King Pact helps people get a job in corporate finance and M&amp;A thanks to online courses and coaching with investment bankers.</t>
        </is>
      </c>
      <c r="X1301" s="10" t="inlineStr">
        <is>
          <t>https://drive.google.com/uc?export=view&amp;id=1rxycs4aClc-rsFUADSHbP3UvYqQ2ILsZ</t>
        </is>
      </c>
      <c r="Y1301" t="inlineStr">
        <is>
          <t>https://drive.google.com/uc?export=view&amp;id=1rxycs4aClc-rsFUADSHbP3UvYqQ2ILsZ</t>
        </is>
      </c>
      <c r="Z1301" s="1" t="inlineStr">
        <is>
          <t>https://drive.google.com/uc?export=view&amp;id=1rxycs4aClc-rsFUADSHbP3UvYqQ2ILsZ</t>
        </is>
      </c>
      <c r="AA1301" s="1" t="inlineStr">
        <is>
          <t>Unverified</t>
        </is>
      </c>
      <c r="AB1301" s="1" t="n"/>
      <c r="AC1301" s="1" t="n"/>
      <c r="AD1301" s="10" t="n"/>
      <c r="AE1301" s="1" t="n"/>
      <c r="AF1301" t="inlineStr">
        <is>
          <t>Yes</t>
        </is>
      </c>
      <c r="AG1301" t="inlineStr">
        <is>
          <t>https://www.instagram.com/king_pact/?hl=en</t>
        </is>
      </c>
      <c r="AH1301" t="inlineStr">
        <is>
          <t>https://www.linkedin.com/company/kingpact</t>
        </is>
      </c>
      <c r="AI1301" t="inlineStr">
        <is>
          <t>https://www.linkedin.com/company/kingpact</t>
        </is>
      </c>
    </row>
    <row r="1302" ht="12.5" customHeight="1">
      <c r="A1302" s="6" t="n">
        <v>45181</v>
      </c>
      <c r="B1302" s="1" t="inlineStr">
        <is>
          <t>ORG_1798</t>
        </is>
      </c>
      <c r="C1302" s="1" t="b">
        <v>1</v>
      </c>
      <c r="D1302" s="1" t="inlineStr">
        <is>
          <t>L'atelier des Chefs</t>
        </is>
      </c>
      <c r="E1302" s="10" t="inlineStr">
        <is>
          <t>www.atelierdeschefs.fr</t>
        </is>
      </c>
      <c r="F1302" t="inlineStr">
        <is>
          <t>atelierdeschefs.fr</t>
        </is>
      </c>
      <c r="G1302" s="1" t="inlineStr">
        <is>
          <t>L'atelier des Chefs is a European leader in digital training for all craft work : cooking, beauty, home care services, building activities and so on</t>
        </is>
      </c>
      <c r="H1302" s="1" t="inlineStr">
        <is>
          <t>EdTech France</t>
        </is>
      </c>
      <c r="I1302" s="1" t="n"/>
      <c r="J1302" s="1" t="inlineStr">
        <is>
          <t>Paris</t>
        </is>
      </c>
      <c r="K1302" t="inlineStr">
        <is>
          <t>Paris</t>
        </is>
      </c>
      <c r="L1302" t="inlineStr">
        <is>
          <t>Paris, France</t>
        </is>
      </c>
      <c r="M1302" t="n">
        <v>48.8534951</v>
      </c>
      <c r="N1302" t="n">
        <v>2.3483915</v>
      </c>
      <c r="O1302" s="1" t="inlineStr">
        <is>
          <t>France</t>
        </is>
      </c>
      <c r="P1302" s="1" t="inlineStr">
        <is>
          <t>Andorra, Belgium, France, Germany, Italy, Spain, United Kingdom</t>
        </is>
      </c>
      <c r="Q1302" s="1" t="inlineStr">
        <is>
          <t>100+</t>
        </is>
      </c>
      <c r="R1302" t="inlineStr">
        <is>
          <t>Medium or Large (unspecified)</t>
        </is>
      </c>
      <c r="S1302" s="1" t="inlineStr">
        <is>
          <t>Business to Business, Business to Consumer, Business to Government</t>
        </is>
      </c>
      <c r="T1302" s="1" t="inlineStr">
        <is>
          <t>Higher Education, Lifelong learning/Adult education</t>
        </is>
      </c>
      <c r="U1302" s="1" t="inlineStr">
        <is>
          <t>Student interfacing, System/Administrative</t>
        </is>
      </c>
      <c r="V1302" s="10" t="inlineStr">
        <is>
          <t>CAP Cuisine 100% digital</t>
        </is>
      </c>
      <c r="W1302" s="1" t="inlineStr">
        <is>
          <t>Train digital to pass the best known exam all French Chefs went through!</t>
        </is>
      </c>
      <c r="X1302" s="10" t="inlineStr">
        <is>
          <t>https://drive.google.com/uc?export=view&amp;id=1LDxZPlc9z0_2a_kYkGKR-OE3lfa9_raG</t>
        </is>
      </c>
      <c r="Y1302" t="inlineStr">
        <is>
          <t>https://drive.google.com/uc?export=view&amp;id=1LDxZPlc9z0_2a_kYkGKR-OE3lfa9_raG</t>
        </is>
      </c>
      <c r="Z1302" s="1" t="inlineStr">
        <is>
          <t>https://drive.google.com/uc?export=view&amp;id=1LDxZPlc9z0_2a_kYkGKR-OE3lfa9_raG</t>
        </is>
      </c>
      <c r="AA1302" s="1" t="inlineStr">
        <is>
          <t>Unverified</t>
        </is>
      </c>
      <c r="AB1302" s="1" t="n"/>
      <c r="AC1302" s="1" t="n"/>
      <c r="AD1302" s="10" t="n"/>
      <c r="AE1302" s="1" t="n"/>
      <c r="AF1302" t="inlineStr">
        <is>
          <t>Yes</t>
        </is>
      </c>
      <c r="AG1302" t="inlineStr">
        <is>
          <t>https://www.instagram.com/atelierdeschefs/?hl=fr</t>
        </is>
      </c>
      <c r="AH1302" t="inlineStr">
        <is>
          <t>https://www.linkedin.com/school/91825/admin/</t>
        </is>
      </c>
      <c r="AI1302" t="inlineStr">
        <is>
          <t>https://www.linkedin.com/school/91825/admin/</t>
        </is>
      </c>
    </row>
    <row r="1303" ht="12.5" customHeight="1">
      <c r="A1303" s="6" t="n">
        <v>45181</v>
      </c>
      <c r="B1303" s="1" t="inlineStr">
        <is>
          <t>ORG_1801</t>
        </is>
      </c>
      <c r="C1303" s="1" t="b">
        <v>1</v>
      </c>
      <c r="D1303" s="1" t="inlineStr">
        <is>
          <t>La Dante in Cambridge, European Cultural Centre</t>
        </is>
      </c>
      <c r="E1303" s="10" t="inlineStr">
        <is>
          <t>www.ladante-in-cambridge.org</t>
        </is>
      </c>
      <c r="F1303" t="inlineStr">
        <is>
          <t>ladante-in-cambridge.org</t>
        </is>
      </c>
      <c r="G1303" s="1" t="inlineStr">
        <is>
          <t>A SME Cambridgeshire Business award finalist, La Dante in Cambridge is a language school providing excellent online and face to face tuition in Italian, Spanish and English. We are the only official PLIDA B1 Examination Centre for Italian citizenship in Cambridge, as well as an official DELE Spanish Exam Centre and a Trinity College Examination Centre for English.
Our Internship Digital Marketing programme and Teacher training for young graduates from Italy or Spain is well established. We have been running a CLIL teacher training programme since 2011 with European schools. La Dante in Cambridge has links and collaborations with renown European Universities and businesses in the EU and Asia.</t>
        </is>
      </c>
      <c r="H1303" s="1" t="inlineStr">
        <is>
          <t>I'm not part of any EdTech association</t>
        </is>
      </c>
      <c r="I1303" s="1" t="n"/>
      <c r="J1303" s="1" t="inlineStr">
        <is>
          <t>Cambridge</t>
        </is>
      </c>
      <c r="K1303" t="inlineStr">
        <is>
          <t>Cambridge</t>
        </is>
      </c>
      <c r="L1303" t="inlineStr">
        <is>
          <t>Cambridge, United Kingdom</t>
        </is>
      </c>
      <c r="M1303" t="n">
        <v>52.2055314</v>
      </c>
      <c r="N1303" t="n">
        <v>0.1186637</v>
      </c>
      <c r="O1303" s="1" t="inlineStr">
        <is>
          <t>United Kingdom</t>
        </is>
      </c>
      <c r="P1303" s="1" t="inlineStr">
        <is>
          <t>Ireland, Italy, Spain, United Kingdom</t>
        </is>
      </c>
      <c r="Q1303" s="1" t="inlineStr">
        <is>
          <t>0 to 10</t>
        </is>
      </c>
      <c r="R1303" t="inlineStr">
        <is>
          <t>Micro</t>
        </is>
      </c>
      <c r="S1303" s="1" t="inlineStr">
        <is>
          <t>Business to Business, Business to Consumer, Business to Government</t>
        </is>
      </c>
      <c r="T1303" s="1" t="inlineStr">
        <is>
          <t>Primary Education, Secondary Education, Higher Education, Corporate Training</t>
        </is>
      </c>
      <c r="U1303" s="1" t="inlineStr">
        <is>
          <t>System/Administrative, Student interfacing, Teacher interfacing</t>
        </is>
      </c>
      <c r="V1303" s="1" t="n"/>
      <c r="W1303" s="1" t="inlineStr">
        <is>
          <t>https://drive.google.com/uc?export=view&amp;id=15dWE7_Jkm0qikbnfw6A3MS6r5NGCXBGC</t>
        </is>
      </c>
      <c r="X1303" s="1" t="inlineStr">
        <is>
          <t>https://drive.google.com/uc?export=view&amp;id=15dWE7_Jkm0qikbnfw6A3MS6r5NGCXBGC</t>
        </is>
      </c>
      <c r="Y1303" t="inlineStr">
        <is>
          <t>https://drive.google.com/uc?export=view&amp;id=15dWE7_Jkm0qikbnfw6A3MS6r5NGCXBGC</t>
        </is>
      </c>
      <c r="Z1303" s="1" t="inlineStr">
        <is>
          <t>https://drive.google.com/uc?export=view&amp;id=15dWE7_Jkm0qikbnfw6A3MS6r5NGCXBGC</t>
        </is>
      </c>
      <c r="AA1303" s="1" t="inlineStr">
        <is>
          <t>Unverified</t>
        </is>
      </c>
      <c r="AB1303" s="1" t="n"/>
      <c r="AC1303" s="1" t="n"/>
      <c r="AD1303" s="10" t="n"/>
      <c r="AE1303" s="1" t="n"/>
      <c r="AF1303" t="inlineStr">
        <is>
          <t>No</t>
        </is>
      </c>
    </row>
    <row r="1304" ht="12.5" customHeight="1">
      <c r="A1304" s="6" t="n">
        <v>45181</v>
      </c>
      <c r="B1304" s="1" t="inlineStr">
        <is>
          <t>ORG_1856</t>
        </is>
      </c>
      <c r="C1304" s="1" t="b">
        <v>1</v>
      </c>
      <c r="D1304" s="1" t="inlineStr">
        <is>
          <t>Les Adultes de Demain</t>
        </is>
      </c>
      <c r="E1304" s="10" t="inlineStr">
        <is>
          <t>https://www.lesadultesdedemain.com/</t>
        </is>
      </c>
      <c r="F1304" t="inlineStr">
        <is>
          <t>lesadultesdedemain.com</t>
        </is>
      </c>
      <c r="G1304" s="1" t="inlineStr">
        <is>
          <t>We are one of the most listened podcasts in France (&gt;800 000 listening since 2 years), on Education and Parenting topics. We've interviewed the most famous Education personalities. We've also published a book with our most successful episodes.</t>
        </is>
      </c>
      <c r="H1304" s="1" t="inlineStr">
        <is>
          <t>I'm not part of any EdTech association</t>
        </is>
      </c>
      <c r="I1304" s="1" t="n"/>
      <c r="J1304" s="1" t="inlineStr">
        <is>
          <t>Paris</t>
        </is>
      </c>
      <c r="K1304" t="inlineStr">
        <is>
          <t>Paris</t>
        </is>
      </c>
      <c r="L1304" t="inlineStr">
        <is>
          <t>Paris, France</t>
        </is>
      </c>
      <c r="M1304" t="n">
        <v>48.8534951</v>
      </c>
      <c r="N1304" t="n">
        <v>2.3483915</v>
      </c>
      <c r="O1304" s="1" t="inlineStr">
        <is>
          <t>France</t>
        </is>
      </c>
      <c r="P1304" s="1" t="inlineStr">
        <is>
          <t>Belgium, France, Luxembourg, Switzerland</t>
        </is>
      </c>
      <c r="Q1304" s="1" t="inlineStr">
        <is>
          <t>0 to 10</t>
        </is>
      </c>
      <c r="R1304" t="inlineStr">
        <is>
          <t>Micro</t>
        </is>
      </c>
      <c r="S1304" s="1" t="inlineStr">
        <is>
          <t>Business to Business, Business to Consumer, Business to Government, Business to Schools</t>
        </is>
      </c>
      <c r="T1304" s="1" t="inlineStr">
        <is>
          <t>Early childhood development (0-5 years), Primary Education, Secondary Education, Higher Education</t>
        </is>
      </c>
      <c r="U1304" s="1" t="inlineStr">
        <is>
          <t>System/Administrative, Teacher interfacing</t>
        </is>
      </c>
      <c r="V1304" s="1" t="n"/>
      <c r="W1304" s="1" t="inlineStr">
        <is>
          <t>https://drive.google.com/uc?export=view&amp;id=1XsrIJPCpnCsiEMCc-ffZqiD5ji-O_RuH</t>
        </is>
      </c>
      <c r="X1304" s="1" t="inlineStr">
        <is>
          <t>https://drive.google.com/uc?export=view&amp;id=1XsrIJPCpnCsiEMCc-ffZqiD5ji-O_RuH</t>
        </is>
      </c>
      <c r="Y1304" t="inlineStr">
        <is>
          <t>https://drive.google.com/uc?export=view&amp;id=1XsrIJPCpnCsiEMCc-ffZqiD5ji-O_RuH</t>
        </is>
      </c>
      <c r="Z1304" s="1" t="inlineStr">
        <is>
          <t>https://drive.google.com/uc?export=view&amp;id=1XsrIJPCpnCsiEMCc-ffZqiD5ji-O_RuH</t>
        </is>
      </c>
      <c r="AA1304" s="1" t="inlineStr">
        <is>
          <t>Unverified</t>
        </is>
      </c>
      <c r="AB1304" s="1" t="n"/>
      <c r="AC1304" s="1" t="n"/>
      <c r="AD1304" s="10" t="n"/>
      <c r="AE1304" s="1" t="n"/>
      <c r="AF1304" t="inlineStr">
        <is>
          <t>No</t>
        </is>
      </c>
    </row>
    <row r="1305" ht="12.5" customHeight="1">
      <c r="A1305" s="6" t="n">
        <v>45181</v>
      </c>
      <c r="B1305" s="1" t="inlineStr">
        <is>
          <t>ORG_1876</t>
        </is>
      </c>
      <c r="C1305" s="1" t="b">
        <v>1</v>
      </c>
      <c r="D1305" s="1" t="inlineStr">
        <is>
          <t>Lili (lili.cool)</t>
        </is>
      </c>
      <c r="E1305" s="10" t="inlineStr">
        <is>
          <t>http://www.lili.cool</t>
        </is>
      </c>
      <c r="F1305" t="inlineStr">
        <is>
          <t>lili.cool</t>
        </is>
      </c>
      <c r="G1305" s="1" t="inlineStr">
        <is>
          <t>Winner of the Trophées de l'éducation, Lili's mission is to give each child the keys to confidence - in oneself, orally &amp; with others - by boosting the 21st century skills, what we call "superpowers": emotional intelligence, communication, cooperation, critical thinking... so many essential strengths in a fast changing world. By ensuring the educational continuity from school to home, alongside parents and teachers, Lili offers super-programs that help 4-12 year olds to unleash their super-powers with fun workshops inspired by Montessori &amp; Freinet pedagogies: meditation &amp; yoga to tame their emotions and build up concentration, artistic expression &amp; improvisation to celebrate mistakes and free creativity, and philosophy podcasts to reflect on life and inspire tomorrow's leaders.</t>
        </is>
      </c>
      <c r="H1305" s="1" t="inlineStr">
        <is>
          <t>EdTech France</t>
        </is>
      </c>
      <c r="I1305" s="1" t="n"/>
      <c r="J1305" s="1" t="inlineStr">
        <is>
          <t>Vincennes</t>
        </is>
      </c>
      <c r="K1305" t="inlineStr">
        <is>
          <t>Vincennes</t>
        </is>
      </c>
      <c r="L1305" t="inlineStr">
        <is>
          <t>Vincennes, France</t>
        </is>
      </c>
      <c r="M1305" t="n">
        <v>48.8474508</v>
      </c>
      <c r="N1305" t="n">
        <v>2.4396714</v>
      </c>
      <c r="O1305" s="1" t="inlineStr">
        <is>
          <t>France</t>
        </is>
      </c>
      <c r="P130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305" s="1" t="inlineStr">
        <is>
          <t>0 to 10</t>
        </is>
      </c>
      <c r="R1305" t="inlineStr">
        <is>
          <t>Micro</t>
        </is>
      </c>
      <c r="S1305" s="1" t="inlineStr">
        <is>
          <t>Business to Business, Business to Consumer, Business to Government, Business to Schools</t>
        </is>
      </c>
      <c r="T1305" s="1" t="inlineStr">
        <is>
          <t>Early childhood development (0-5 years), Primary Education, Secondary Education</t>
        </is>
      </c>
      <c r="U1305" s="1" t="inlineStr">
        <is>
          <t>System/Administrative, Student interfacing, Teacher interfacing</t>
        </is>
      </c>
      <c r="V1305" s="10" t="inlineStr">
        <is>
          <t>Lili (lili.cool)</t>
        </is>
      </c>
      <c r="W1305" s="1" t="inlineStr">
        <is>
          <t>Lili gives each child the keys to confidence - in oneself, orally &amp; with others - by boosting the 21st century skills with fun workshops inspired by Montessori &amp; Freinet pedagogies: meditation &amp; yoga to tame emotions and build up concentration, artistic expression &amp; improvisation to celebrate mistakes and free creativity, and philosophy podcasts to reflect on life and inspire tomorrow's leaders.</t>
        </is>
      </c>
      <c r="X1305" s="10" t="inlineStr">
        <is>
          <t>https://drive.google.com/uc?export=view&amp;id=1WDZQ9Ue3Ry14i48aH2z38cWeGK56QnNs</t>
        </is>
      </c>
      <c r="Y1305" t="inlineStr">
        <is>
          <t>https://drive.google.com/uc?export=view&amp;id=1WDZQ9Ue3Ry14i48aH2z38cWeGK56QnNs</t>
        </is>
      </c>
      <c r="Z1305" s="1" t="inlineStr">
        <is>
          <t>https://drive.google.com/uc?export=view&amp;id=1WDZQ9Ue3Ry14i48aH2z38cWeGK56QnNs</t>
        </is>
      </c>
      <c r="AA1305" s="1" t="inlineStr">
        <is>
          <t>Unverified</t>
        </is>
      </c>
      <c r="AB1305" s="1" t="n"/>
      <c r="AC1305" s="1" t="n"/>
      <c r="AD1305" s="10" t="n"/>
      <c r="AE1305" s="1" t="n"/>
      <c r="AF1305" s="1" t="inlineStr">
        <is>
          <t>Yes</t>
        </is>
      </c>
      <c r="AG1305" s="1" t="inlineStr">
        <is>
          <t>https://www.instagram.com/lili.cool.app/</t>
        </is>
      </c>
      <c r="AH1305" s="1" t="inlineStr">
        <is>
          <t>Lili SAS</t>
        </is>
      </c>
      <c r="AI1305" t="inlineStr">
        <is>
          <t>https://www.linkedin.com/company/lili-cool-app/</t>
        </is>
      </c>
    </row>
    <row r="1306" ht="12.5" customHeight="1">
      <c r="A1306" s="6" t="n">
        <v>45181</v>
      </c>
      <c r="B1306" s="1" t="inlineStr">
        <is>
          <t>ORG_1877</t>
        </is>
      </c>
      <c r="C1306" s="1" t="b">
        <v>1</v>
      </c>
      <c r="D1306" s="1" t="inlineStr">
        <is>
          <t>LILLUP</t>
        </is>
      </c>
      <c r="E1306" s="10" t="inlineStr">
        <is>
          <t>https://www.lillup.com/</t>
        </is>
      </c>
      <c r="F1306" t="inlineStr">
        <is>
          <t>lillup.com</t>
        </is>
      </c>
      <c r="G1306" s="1" t="inlineStr">
        <is>
          <t>Learn to Earn
We designed and developed the &amp; chain protocol to solve the issues arising from the disruption of the field of employment, the ways we work and learn.</t>
        </is>
      </c>
      <c r="H1306" s="1" t="inlineStr">
        <is>
          <t>I'm not part of any EdTech association</t>
        </is>
      </c>
      <c r="I1306" s="1" t="n"/>
      <c r="J1306" s="1" t="inlineStr">
        <is>
          <t>Dijon</t>
        </is>
      </c>
      <c r="K1306" t="inlineStr">
        <is>
          <t>Dijon</t>
        </is>
      </c>
      <c r="L1306" t="inlineStr">
        <is>
          <t>Dijon, France</t>
        </is>
      </c>
      <c r="M1306" t="n">
        <v>47.3215806</v>
      </c>
      <c r="N1306" t="n">
        <v>5.0414701</v>
      </c>
      <c r="O1306" s="1" t="inlineStr">
        <is>
          <t>France</t>
        </is>
      </c>
      <c r="P1306" s="1" t="inlineStr">
        <is>
          <t>Belgium, France, Germany, Italy, Spain, Switzerland, United Kingdom</t>
        </is>
      </c>
      <c r="Q1306" s="1" t="inlineStr">
        <is>
          <t>0 to 10</t>
        </is>
      </c>
      <c r="R1306" t="inlineStr">
        <is>
          <t>Micro</t>
        </is>
      </c>
      <c r="S1306" s="1" t="inlineStr">
        <is>
          <t>Business to Business, Business to Consumer, Business to Government, Business to Schools</t>
        </is>
      </c>
      <c r="T1306" s="1" t="inlineStr">
        <is>
          <t>Corporate Training, Lifelong learning/Adult education</t>
        </is>
      </c>
      <c r="U1306" s="1" t="inlineStr">
        <is>
          <t>Student interfacing, Teacher interfacing, System/Administrative</t>
        </is>
      </c>
      <c r="V1306" s="1" t="n"/>
      <c r="W1306" s="1" t="inlineStr">
        <is>
          <t>https://drive.google.com/uc?export=view&amp;id=10jfcbMIxHCWCuPijkl7kdwdYlL3S-Z8M</t>
        </is>
      </c>
      <c r="X1306" s="1" t="inlineStr">
        <is>
          <t>https://drive.google.com/uc?export=view&amp;id=10jfcbMIxHCWCuPijkl7kdwdYlL3S-Z8M</t>
        </is>
      </c>
      <c r="Y1306" t="inlineStr">
        <is>
          <t>https://drive.google.com/uc?export=view&amp;id=10jfcbMIxHCWCuPijkl7kdwdYlL3S-Z8M</t>
        </is>
      </c>
      <c r="Z1306" s="1" t="inlineStr">
        <is>
          <t>https://drive.google.com/uc?export=view&amp;id=10jfcbMIxHCWCuPijkl7kdwdYlL3S-Z8M</t>
        </is>
      </c>
      <c r="AA1306" s="1" t="inlineStr">
        <is>
          <t>Unverified</t>
        </is>
      </c>
      <c r="AB1306" s="1" t="n"/>
      <c r="AC1306" s="1" t="n"/>
      <c r="AD1306" s="10" t="n"/>
      <c r="AE1306" s="1" t="n"/>
      <c r="AF1306" s="1" t="inlineStr">
        <is>
          <t>No</t>
        </is>
      </c>
      <c r="AG1306" s="1" t="n"/>
      <c r="AH1306" s="1" t="n"/>
      <c r="AI1306" s="1" t="n"/>
      <c r="AJ1306" s="1" t="n"/>
    </row>
    <row r="1307" ht="12.5" customHeight="1">
      <c r="A1307" s="6" t="n">
        <v>45181</v>
      </c>
      <c r="B1307" s="1" t="inlineStr">
        <is>
          <t>ORG_1906</t>
        </is>
      </c>
      <c r="C1307" s="1" t="b">
        <v>1</v>
      </c>
      <c r="D1307" s="1" t="inlineStr">
        <is>
          <t>Maître Lucas</t>
        </is>
      </c>
      <c r="E1307" s="10" t="inlineStr">
        <is>
          <t>https://maitrelucas.fr/</t>
        </is>
      </c>
      <c r="F1307" t="inlineStr">
        <is>
          <t>maitrelucas.fr</t>
        </is>
      </c>
      <c r="G1307" s="1" t="inlineStr">
        <is>
          <t>Launched in 2017, by Lucas Schildknecht, a school teacher, to offer new educational tools to the students in his class, Maître Lucas is originally a YouTube channel offering educational videos. 
Aimed at schoolchildren from 5 to 12, the character of Maître Lucas teaches math, French and science with the help of 700 videos, 700 exercise sheets, 44 educational games and 100 mind maps. The content is enriched each week with 4 new videos. 
Lucas is passionate about teaching and digital technologies and received an award in New York for this. He was very successful during the first containment period when his videos were viewed up to 50,000 times a day. 
He then joined forces with his cousin and lifelong friend Benoît Schildknecht, an expert and passionate about web tools, social networks and SEO, to set up a website https://maitrelucas.fr in order to offer more and more tools to students and teachers, such as worksheets, online quizzes, educational games, etc.</t>
        </is>
      </c>
      <c r="H1307" s="1" t="inlineStr">
        <is>
          <t>EdTech France</t>
        </is>
      </c>
      <c r="I1307" s="1" t="n"/>
      <c r="J1307" s="1" t="inlineStr">
        <is>
          <t>Dudelange</t>
        </is>
      </c>
      <c r="K1307" t="inlineStr">
        <is>
          <t>Dudelange</t>
        </is>
      </c>
      <c r="L1307" t="inlineStr">
        <is>
          <t>Dudelange, Luxembourg</t>
        </is>
      </c>
      <c r="M1307" t="n">
        <v>49.4799132</v>
      </c>
      <c r="N1307" t="n">
        <v>6.0893963</v>
      </c>
      <c r="O1307" s="1" t="inlineStr">
        <is>
          <t>Luxembourg</t>
        </is>
      </c>
      <c r="P1307" s="1" t="inlineStr">
        <is>
          <t>Belgium, France, Luxembourg, Monaco, Switzerland</t>
        </is>
      </c>
      <c r="Q1307" s="1" t="inlineStr">
        <is>
          <t>0 to 10</t>
        </is>
      </c>
      <c r="R1307" t="inlineStr">
        <is>
          <t>Micro</t>
        </is>
      </c>
      <c r="S1307" s="1" t="inlineStr">
        <is>
          <t>Business to Business, Business to Consumer, Business to Government, Business to Schools</t>
        </is>
      </c>
      <c r="T1307" s="1" t="inlineStr">
        <is>
          <t>Primary Education</t>
        </is>
      </c>
      <c r="U1307" s="1" t="inlineStr">
        <is>
          <t>System/Administrative, Student interfacing, Teacher interfacing</t>
        </is>
      </c>
      <c r="V1307" s="10" t="inlineStr">
        <is>
          <t>Digital Resource Library</t>
        </is>
      </c>
      <c r="W1307" s="1" t="inlineStr">
        <is>
          <t>Hundreds of videos, fact sheets, and dozens of mind maps and educational games available for everyone.</t>
        </is>
      </c>
      <c r="X1307" s="1" t="inlineStr">
        <is>
          <t>School Support</t>
        </is>
      </c>
      <c r="Y1307" t="inlineStr">
        <is>
          <t>A 100% video-based course for homework help and home school support.</t>
        </is>
      </c>
      <c r="Z1307" s="1" t="inlineStr">
        <is>
          <t>https://drive.google.com/uc?export=view&amp;id=1q8FAdIKhIs1konGHCutwoDRTv9W4Q6ke</t>
        </is>
      </c>
      <c r="AA1307" s="1" t="inlineStr">
        <is>
          <t>Unverified</t>
        </is>
      </c>
      <c r="AB1307" s="1" t="n"/>
      <c r="AC1307" s="1" t="n"/>
      <c r="AD1307" s="10" t="n"/>
      <c r="AE1307" s="1" t="n"/>
      <c r="AF1307" t="inlineStr">
        <is>
          <t>Yes</t>
        </is>
      </c>
      <c r="AG1307" t="inlineStr">
        <is>
          <t>https://www.instagram.com/maitre_lucas_officiel/</t>
        </is>
      </c>
    </row>
    <row r="1308" ht="12.5" customHeight="1">
      <c r="A1308" s="6" t="n">
        <v>45181</v>
      </c>
      <c r="B1308" s="1" t="inlineStr">
        <is>
          <t>ORG_1922</t>
        </is>
      </c>
      <c r="C1308" s="1" t="b">
        <v>1</v>
      </c>
      <c r="D1308" s="1" t="inlineStr">
        <is>
          <t>MASSIVE IMMERSIVE</t>
        </is>
      </c>
      <c r="E1308" s="10" t="inlineStr">
        <is>
          <t>https://massiveimmersive.com/</t>
        </is>
      </c>
      <c r="F1308" t="inlineStr">
        <is>
          <t>massiveimmersive.com</t>
        </is>
      </c>
      <c r="G1308" s="1" t="inlineStr">
        <is>
          <t>MASSIVE IMMERSIVE is a consulting company specialized in immersive training programs using virtual reality, augmented reality, mixed reality, virtual worlds and Metaverse. We assist company who whant to implement these technologies for training and education. We work with a range of 40 differents partners that allow to organize any training projetct.</t>
        </is>
      </c>
      <c r="H1308" s="1" t="inlineStr">
        <is>
          <t>EdTech France</t>
        </is>
      </c>
      <c r="I1308" s="1" t="n"/>
      <c r="J1308" s="1" t="inlineStr">
        <is>
          <t>Paris</t>
        </is>
      </c>
      <c r="K1308" t="inlineStr">
        <is>
          <t>Paris</t>
        </is>
      </c>
      <c r="L1308" t="inlineStr">
        <is>
          <t>Paris, France</t>
        </is>
      </c>
      <c r="M1308" t="n">
        <v>48.8534951</v>
      </c>
      <c r="N1308" t="n">
        <v>2.3483915</v>
      </c>
      <c r="O1308" s="1" t="inlineStr">
        <is>
          <t>France</t>
        </is>
      </c>
      <c r="P1308" s="1" t="inlineStr">
        <is>
          <t>France</t>
        </is>
      </c>
      <c r="Q1308" s="1" t="inlineStr">
        <is>
          <t>11 to 50</t>
        </is>
      </c>
      <c r="R1308" t="inlineStr">
        <is>
          <t>Small</t>
        </is>
      </c>
      <c r="S1308" s="1" t="inlineStr">
        <is>
          <t>Business to Business, Business to Consumer, Business to Government, Business to Schools</t>
        </is>
      </c>
      <c r="T1308" s="1" t="inlineStr">
        <is>
          <t>Higher Education, Corporate Training, Lifelong learning/Adult education</t>
        </is>
      </c>
      <c r="U1308" s="1" t="inlineStr">
        <is>
          <t>Teacher interfacing, Student interfacing, System/Administrative</t>
        </is>
      </c>
      <c r="V1308" s="10" t="inlineStr">
        <is>
          <t>MI Academy</t>
        </is>
      </c>
      <c r="W1308" s="10" t="inlineStr">
        <is>
          <t>Our Academy allow to train your trainers to create and use immersive technologies for training. Our courses range from VR initiation for training to the use of virtual worlds for training. We can also create any specific training using VR or AR solution</t>
        </is>
      </c>
      <c r="X1308" s="10" t="inlineStr">
        <is>
          <t>Evissam</t>
        </is>
      </c>
      <c r="Y1308" t="inlineStr">
        <is>
          <t>Our serious game is based on communication, puzzle solving and teamwork. It is the only solution on the market that can be used in presence in Virtual Reality or remotely through virtual worlds and Metaverse. Our serious game is only distributed by us.</t>
        </is>
      </c>
      <c r="Z1308" s="1" t="inlineStr">
        <is>
          <t>https://drive.google.com/uc?export=view&amp;id=1WaFFO26j0-v6HF_oMXt2iTxt3nD46tb4</t>
        </is>
      </c>
      <c r="AA1308" s="1" t="inlineStr">
        <is>
          <t>Unverified</t>
        </is>
      </c>
      <c r="AB1308" s="1" t="n"/>
      <c r="AC1308" s="1" t="n"/>
      <c r="AD1308" s="10" t="n"/>
      <c r="AE1308" s="1" t="n"/>
      <c r="AF1308" s="1" t="inlineStr">
        <is>
          <t>Yes</t>
        </is>
      </c>
      <c r="AG1308" s="1" t="inlineStr">
        <is>
          <t>https://www.instagram.com/massive_immersive/</t>
        </is>
      </c>
      <c r="AH1308" s="1" t="inlineStr">
        <is>
          <t>https://twitter.com/Mass_Immersive</t>
        </is>
      </c>
      <c r="AI1308" t="inlineStr">
        <is>
          <t>https://www.linkedin.com/company/massive-immersive/</t>
        </is>
      </c>
    </row>
    <row r="1309" ht="12.5" customHeight="1">
      <c r="A1309" s="6" t="n">
        <v>45181</v>
      </c>
      <c r="B1309" s="1" t="inlineStr">
        <is>
          <t>ORG_1933</t>
        </is>
      </c>
      <c r="C1309" s="1" t="b">
        <v>1</v>
      </c>
      <c r="D1309" s="10" t="inlineStr">
        <is>
          <t>MaVoie.org</t>
        </is>
      </c>
      <c r="E1309" s="10" t="inlineStr">
        <is>
          <t>www.mavoie.org</t>
        </is>
      </c>
      <c r="F1309" t="inlineStr">
        <is>
          <t>mavoie.org</t>
        </is>
      </c>
      <c r="G1309" s="1" t="inlineStr">
        <is>
          <t>MaVoie.org is a nonprofit organisation in France focussed on optimizing the path to employment for young people not in employment, education or training (“NEETs”)
MaVoie offers a tech platform that combines participant organizations’ access to employment services into a Pipeline to Employment platform, offering a unified user experience.
Created late 2020, MaVoie already reached over 10,000 young jobseekers, helping them discover new employment services in an innovative way (mobile and video first approach), 88% of them feeling clearer about their next professional step.
MaVoie.org is an attempt to build one potential future of nonprofit organizations through innovation and tech.Through our start-up tech nonprofit, we seek to pave the way for other nonprofits by sharing knowledge and proving both scale and impact.</t>
        </is>
      </c>
      <c r="H1309" s="1" t="inlineStr">
        <is>
          <t>EdTech France</t>
        </is>
      </c>
      <c r="I1309" s="1" t="n"/>
      <c r="J1309" s="1" t="inlineStr">
        <is>
          <t>Paris</t>
        </is>
      </c>
      <c r="K1309" t="inlineStr">
        <is>
          <t>Paris</t>
        </is>
      </c>
      <c r="L1309" t="inlineStr">
        <is>
          <t>Paris, France</t>
        </is>
      </c>
      <c r="M1309" t="n">
        <v>48.8534951</v>
      </c>
      <c r="N1309" t="n">
        <v>2.3483915</v>
      </c>
      <c r="O1309" s="1" t="inlineStr">
        <is>
          <t>France</t>
        </is>
      </c>
      <c r="P1309" s="1" t="inlineStr">
        <is>
          <t>France</t>
        </is>
      </c>
      <c r="Q1309" s="1" t="inlineStr">
        <is>
          <t>0 to 10</t>
        </is>
      </c>
      <c r="R1309" t="inlineStr">
        <is>
          <t>Micro</t>
        </is>
      </c>
      <c r="S1309" s="1" t="inlineStr">
        <is>
          <t>Business to Business, Business to Consumer, Business to Government, Business to Schools</t>
        </is>
      </c>
      <c r="T1309" s="1" t="inlineStr">
        <is>
          <t>Higher Education, Corporate Training</t>
        </is>
      </c>
      <c r="U1309" s="1" t="inlineStr">
        <is>
          <t>Teacher interfacing, System/Administrative, Student interfacing</t>
        </is>
      </c>
      <c r="V1309" s="10" t="inlineStr">
        <is>
          <t>Intern &amp; apprentices offboarding</t>
        </is>
      </c>
      <c r="W1309" s="10" t="inlineStr">
        <is>
          <t>A company can not retain 100% of its interns and apprentices straight after their work experience.
Yet by providing efficient offboarding to them, then can become advocates, potential hires in the future and defend their learning while being an intern / apprentice, driving higher employer brand recognition in the ecosystem.
How?
By giving access to MaVoie which will help these young professionals improve their resume, interview preparation, soft skills derived from internships etc.</t>
        </is>
      </c>
      <c r="X1309" s="10" t="inlineStr">
        <is>
          <t>Employer brand for rejected applicants</t>
        </is>
      </c>
      <c r="Y1309" t="inlineStr">
        <is>
          <t>95% candidats don't go through an interview. Some are bitter about no being considered and will boycott the company they applied for. 
MaVoie helps employers protect their brand by offering opportunies for rejected applicants to progress in their career path.
So far, we have over 93% candidates willing to bounce back after being rejected at a company</t>
        </is>
      </c>
      <c r="Z1309" s="1" t="inlineStr">
        <is>
          <t>https://drive.google.com/uc?export=view&amp;id=1W3ho_mVXPZGwmLvx0PxB1B_JNdKfvZIs</t>
        </is>
      </c>
      <c r="AA1309" s="1" t="inlineStr">
        <is>
          <t>Unverified</t>
        </is>
      </c>
      <c r="AB1309" s="1" t="n"/>
      <c r="AC1309" s="1" t="n"/>
      <c r="AD1309" s="10" t="n"/>
      <c r="AE1309" s="1" t="n"/>
      <c r="AF1309" t="inlineStr">
        <is>
          <t>Yes</t>
        </is>
      </c>
      <c r="AG1309" t="inlineStr">
        <is>
          <t>https://www.instagram.com/mavoieorg/</t>
        </is>
      </c>
      <c r="AH1309" t="inlineStr">
        <is>
          <t>https://twitter.com/mavoie_org</t>
        </is>
      </c>
      <c r="AI1309" t="inlineStr">
        <is>
          <t>https://www.linkedin.com/company/mavoie-org</t>
        </is>
      </c>
    </row>
    <row r="1310" ht="12.5" customHeight="1">
      <c r="A1310" s="6" t="n">
        <v>45181</v>
      </c>
      <c r="B1310" s="1" t="inlineStr">
        <is>
          <t>ORG_2002</t>
        </is>
      </c>
      <c r="C1310" s="1" t="b">
        <v>1</v>
      </c>
      <c r="D1310" s="1" t="inlineStr">
        <is>
          <t>My Sales Academy</t>
        </is>
      </c>
      <c r="E1310" s="10" t="inlineStr">
        <is>
          <t>https://mysalesacademy.fr/</t>
        </is>
      </c>
      <c r="F1310" t="inlineStr">
        <is>
          <t>mysalesacademy.fr</t>
        </is>
      </c>
      <c r="G1310" s="1" t="inlineStr">
        <is>
          <t>My Sales Academy is a French inclusive school promoting employability in the neighborhoods.
We train future salespeople to integrate them into the best start-ups</t>
        </is>
      </c>
      <c r="H1310" s="1" t="inlineStr">
        <is>
          <t>EdTech France</t>
        </is>
      </c>
      <c r="I1310" s="1" t="n"/>
      <c r="J1310" s="1" t="inlineStr">
        <is>
          <t>Lyon</t>
        </is>
      </c>
      <c r="K1310" t="inlineStr">
        <is>
          <t>Lyon</t>
        </is>
      </c>
      <c r="L1310" t="inlineStr">
        <is>
          <t>Lyon, France</t>
        </is>
      </c>
      <c r="M1310" t="n">
        <v>45.7578137</v>
      </c>
      <c r="N1310" t="n">
        <v>4.8320114</v>
      </c>
      <c r="O1310" s="1" t="inlineStr">
        <is>
          <t>France</t>
        </is>
      </c>
      <c r="P1310" s="1" t="inlineStr">
        <is>
          <t>France</t>
        </is>
      </c>
      <c r="Q1310" s="1" t="inlineStr">
        <is>
          <t>0 to 10</t>
        </is>
      </c>
      <c r="R1310" t="inlineStr">
        <is>
          <t>Micro</t>
        </is>
      </c>
      <c r="S1310" s="1" t="inlineStr">
        <is>
          <t>Business to Business, Business to Consumer, Business to Government, Business to Schools</t>
        </is>
      </c>
      <c r="T1310" s="1" t="inlineStr">
        <is>
          <t>Secondary Education, Higher Education, Corporate Training, Lifelong learning/Adult education</t>
        </is>
      </c>
      <c r="U1310" s="1" t="inlineStr">
        <is>
          <t>System/Administrative, Student interfacing</t>
        </is>
      </c>
      <c r="V1310" s="1" t="inlineStr">
        <is>
          <t>My Sales Academy</t>
        </is>
      </c>
      <c r="W1310" s="1" t="inlineStr">
        <is>
          <t>Inclusive training for the salespeople of tomorrow</t>
        </is>
      </c>
      <c r="X1310" s="10" t="n"/>
      <c r="Z1310" s="1" t="n"/>
      <c r="AA1310" s="1" t="inlineStr">
        <is>
          <t>Unverified</t>
        </is>
      </c>
      <c r="AB1310" s="1" t="n"/>
      <c r="AC1310" s="1" t="n"/>
      <c r="AD1310" s="1" t="n"/>
      <c r="AE1310" s="1" t="n"/>
      <c r="AF1310" s="1" t="inlineStr">
        <is>
          <t>Yes</t>
        </is>
      </c>
      <c r="AG1310" s="1" t="inlineStr">
        <is>
          <t>https://www.linkedin.com/company/my-sales-academy-lyon/?viewAsMember=true</t>
        </is>
      </c>
      <c r="AH1310" s="1" t="inlineStr">
        <is>
          <t>https://www.linkedin.com/company/my-sales-academy-lyon/?viewAsMember=true</t>
        </is>
      </c>
      <c r="AI1310" t="inlineStr">
        <is>
          <t>https://www.linkedin.com/company/my-sales-academy-lyon/?viewAsMember=true</t>
        </is>
      </c>
    </row>
    <row r="1311" ht="12.5" customHeight="1">
      <c r="A1311" s="6" t="n">
        <v>45181</v>
      </c>
      <c r="B1311" s="1" t="inlineStr">
        <is>
          <t>ORG_2016</t>
        </is>
      </c>
      <c r="C1311" s="1" t="b">
        <v>1</v>
      </c>
      <c r="D1311" s="1" t="inlineStr">
        <is>
          <t>Nabook</t>
        </is>
      </c>
      <c r="E1311" s="10" t="inlineStr">
        <is>
          <t>www.nabook.co</t>
        </is>
      </c>
      <c r="F1311" t="inlineStr">
        <is>
          <t>nabook.co</t>
        </is>
      </c>
      <c r="G1311" s="1" t="inlineStr">
        <is>
          <t>Nabook, the youth series to read!
Nabook is the 100% youth platform that turns screen time into reading time.
The application offers 7-14 year olds to discover +100 novels from publishing houses with a new reading experience.
The serial format, dialogue bubbles and seasonal events encourage children to read in their free time.
A dictionary ensures reader independence. All series are accessible to dyslexic readers.</t>
        </is>
      </c>
      <c r="H1311" s="1" t="inlineStr">
        <is>
          <t>EdTech France</t>
        </is>
      </c>
      <c r="I1311" s="1" t="n"/>
      <c r="J1311" s="1" t="inlineStr">
        <is>
          <t>Creteil</t>
        </is>
      </c>
      <c r="K1311" t="inlineStr">
        <is>
          <t>Creteil</t>
        </is>
      </c>
      <c r="L1311" t="inlineStr">
        <is>
          <t>Creteil, France</t>
        </is>
      </c>
      <c r="M1311" t="n">
        <v>48.7771486</v>
      </c>
      <c r="N1311" t="n">
        <v>2.4530731</v>
      </c>
      <c r="O1311" s="1" t="inlineStr">
        <is>
          <t>France</t>
        </is>
      </c>
      <c r="P1311" s="1" t="inlineStr">
        <is>
          <t>Belgium, France, Switzerland</t>
        </is>
      </c>
      <c r="Q1311" s="1" t="inlineStr">
        <is>
          <t>0 to 10</t>
        </is>
      </c>
      <c r="R1311" t="inlineStr">
        <is>
          <t>Micro</t>
        </is>
      </c>
      <c r="S1311" s="1" t="inlineStr">
        <is>
          <t>Business to Business, Business to Consumer, Business to Government, Business to Schools</t>
        </is>
      </c>
      <c r="T1311" s="1" t="inlineStr">
        <is>
          <t>Primary Education, Secondary Education</t>
        </is>
      </c>
      <c r="U1311" s="1" t="inlineStr">
        <is>
          <t>System/Administrative, Student interfacing</t>
        </is>
      </c>
      <c r="V1311" s="10" t="inlineStr">
        <is>
          <t>Nabook_app</t>
        </is>
      </c>
      <c r="W1311" s="10" t="inlineStr">
        <is>
          <t>Nabook, the youth series to read!
Nabook is the 100% youth platform that turns screen time into reading time.
The application offers 7-14 year olds to discover +100 novels from publishing houses with a new reading experience.
The serial format, dialogue bubbles and seasonal events encourage children to read in their free time.
A dictionary ensures reader independence. All series are accessible to dyslexic readers.</t>
        </is>
      </c>
      <c r="X1311" s="10" t="inlineStr">
        <is>
          <t>https://drive.google.com/uc?export=view&amp;id=1e5U0t5OzR3bqBfXsaSt6nh_bprodcnuE</t>
        </is>
      </c>
      <c r="Y1311" t="inlineStr">
        <is>
          <t>https://drive.google.com/uc?export=view&amp;id=1e5U0t5OzR3bqBfXsaSt6nh_bprodcnuE</t>
        </is>
      </c>
      <c r="Z1311" s="1" t="inlineStr">
        <is>
          <t>https://drive.google.com/uc?export=view&amp;id=1e5U0t5OzR3bqBfXsaSt6nh_bprodcnuE</t>
        </is>
      </c>
      <c r="AA1311" s="1" t="inlineStr">
        <is>
          <t>Unverified</t>
        </is>
      </c>
      <c r="AB1311" s="1" t="n"/>
      <c r="AC1311" s="1" t="n"/>
      <c r="AD1311" s="10" t="n"/>
      <c r="AE1311" s="1" t="n"/>
      <c r="AF1311" t="inlineStr">
        <is>
          <t>Yes</t>
        </is>
      </c>
      <c r="AG1311" t="inlineStr">
        <is>
          <t>https://www.instagram.com/nabook_app</t>
        </is>
      </c>
      <c r="AH1311" t="inlineStr">
        <is>
          <t>https://twitter.com/nabook_app</t>
        </is>
      </c>
      <c r="AI1311" t="inlineStr">
        <is>
          <t>https://www.linkedin.com/company/14454529/</t>
        </is>
      </c>
    </row>
    <row r="1312" ht="12.5" customHeight="1">
      <c r="A1312" s="6" t="n">
        <v>45181</v>
      </c>
      <c r="B1312" s="1" t="inlineStr">
        <is>
          <t>ORG_2119</t>
        </is>
      </c>
      <c r="C1312" s="1" t="b">
        <v>1</v>
      </c>
      <c r="D1312" s="1" t="inlineStr">
        <is>
          <t>Possible Lab</t>
        </is>
      </c>
      <c r="E1312" s="10" t="inlineStr">
        <is>
          <t>https://labpossible.com/</t>
        </is>
      </c>
      <c r="F1312" t="inlineStr">
        <is>
          <t>labpossible.com</t>
        </is>
      </c>
      <c r="G1312" s="1" t="inlineStr">
        <is>
          <t>The proposed work is aimed at improving the educational system and employment policies.
In order to understand the challenges that digital transformation introduces, as well as to create valuable educational social intervention programs, we have been hearing about the various changes that have occurred in society since then.</t>
        </is>
      </c>
      <c r="H1312" s="1" t="inlineStr">
        <is>
          <t>EduTech Cluster Spain</t>
        </is>
      </c>
      <c r="I1312" s="1" t="n"/>
      <c r="J1312" s="1" t="inlineStr">
        <is>
          <t>Madrid</t>
        </is>
      </c>
      <c r="K1312" t="inlineStr">
        <is>
          <t>Madrid</t>
        </is>
      </c>
      <c r="L1312" t="inlineStr">
        <is>
          <t>Madrid, Spain</t>
        </is>
      </c>
      <c r="M1312" t="n">
        <v>40.416782</v>
      </c>
      <c r="N1312" t="n">
        <v>-3.703507</v>
      </c>
      <c r="O1312" s="1" t="inlineStr">
        <is>
          <t>Spain</t>
        </is>
      </c>
      <c r="P1312" s="1" t="inlineStr">
        <is>
          <t>France, Spain</t>
        </is>
      </c>
      <c r="Q1312" s="1" t="inlineStr">
        <is>
          <t>11 to 50</t>
        </is>
      </c>
      <c r="R1312" t="inlineStr">
        <is>
          <t>Small</t>
        </is>
      </c>
      <c r="S1312" s="1" t="inlineStr">
        <is>
          <t>Business to Business, Business to Consumer, Business to Schools</t>
        </is>
      </c>
      <c r="T1312" s="1" t="inlineStr">
        <is>
          <t>Primary Education, Secondary Education, Higher Education</t>
        </is>
      </c>
      <c r="U1312" s="1" t="inlineStr">
        <is>
          <t>Teacher interfacing</t>
        </is>
      </c>
      <c r="V1312" s="1" t="n"/>
      <c r="W1312" s="1" t="inlineStr">
        <is>
          <t>https://drive.google.com/uc?export=view&amp;id=1fqIjAMqQw84zXYqcKLZwfaYlMkmPSGRU</t>
        </is>
      </c>
      <c r="X1312" s="1" t="inlineStr">
        <is>
          <t>https://drive.google.com/uc?export=view&amp;id=1fqIjAMqQw84zXYqcKLZwfaYlMkmPSGRU</t>
        </is>
      </c>
      <c r="Y1312" t="inlineStr">
        <is>
          <t>https://drive.google.com/uc?export=view&amp;id=1fqIjAMqQw84zXYqcKLZwfaYlMkmPSGRU</t>
        </is>
      </c>
      <c r="Z1312" s="1" t="inlineStr">
        <is>
          <t>https://drive.google.com/uc?export=view&amp;id=1fqIjAMqQw84zXYqcKLZwfaYlMkmPSGRU</t>
        </is>
      </c>
      <c r="AA1312" s="1" t="inlineStr">
        <is>
          <t>Unverified</t>
        </is>
      </c>
      <c r="AB1312" s="1" t="n"/>
      <c r="AC1312" s="1" t="n"/>
      <c r="AD1312" s="10" t="n"/>
      <c r="AE1312" s="1" t="n"/>
      <c r="AF1312" s="1" t="inlineStr">
        <is>
          <t>No</t>
        </is>
      </c>
      <c r="AG1312" s="1" t="n"/>
      <c r="AH1312" s="1" t="n"/>
    </row>
    <row r="1313" ht="12.5" customHeight="1">
      <c r="A1313" s="6" t="n">
        <v>45181</v>
      </c>
      <c r="B1313" s="1" t="inlineStr">
        <is>
          <t>ORG_2128</t>
        </is>
      </c>
      <c r="C1313" s="1" t="b">
        <v>1</v>
      </c>
      <c r="D1313" s="1" t="inlineStr">
        <is>
          <t>PROPULSAR CYBER ACADEMIA</t>
        </is>
      </c>
      <c r="E1313" s="10" t="inlineStr">
        <is>
          <t>https://ww.pro-pulsar.com</t>
        </is>
      </c>
      <c r="F1313" t="inlineStr">
        <is>
          <t>ww.pro-pulsar.com</t>
        </is>
      </c>
      <c r="G1313" s="1" t="inlineStr">
        <is>
          <t>Ambition. Propulsar's ambition is to protect the digital assets of companies and organisations by helping cybersecurity professionals to increase their skills in the workflow.
Problem. Cybersecurity teams lack the time to train.
Market opportunities: (1) a shortage of three million cybersecurity professionals worldwide and (2) building, attracting and retaining strong cybersecurity teams.
Client base. Mid-sized companies, large companies and the public sector.
Products. Online library of over 1200 video tutorials 27/7 and high value coaching in small groups (distance &amp; collaborative learning).
Marketing - Commercial. Three main pulls: unconventional launch, outbound sales and partnerships. One background action: international development.
Team. Luc Chrétien (founder and CEO), a digital developer, cybersecurity experts responsible for content and cybersecurity trainers-facilitators.
Financing. Bootstrapping then fundraising.</t>
        </is>
      </c>
      <c r="H1313" s="1" t="inlineStr">
        <is>
          <t>I'm not part of any EdTech association</t>
        </is>
      </c>
      <c r="I1313" s="1" t="n"/>
      <c r="J1313" s="1" t="inlineStr">
        <is>
          <t>La Chapelle-Sur-Erdre</t>
        </is>
      </c>
      <c r="K1313" t="inlineStr">
        <is>
          <t>La Chapelle-Sur-Erdre</t>
        </is>
      </c>
      <c r="L1313" t="inlineStr">
        <is>
          <t>La Chapelle-Sur-Erdre, France</t>
        </is>
      </c>
      <c r="M1313" t="n">
        <v>47.2996846</v>
      </c>
      <c r="N1313" t="n">
        <v>-1.5518632</v>
      </c>
      <c r="O1313" s="1" t="inlineStr">
        <is>
          <t>France</t>
        </is>
      </c>
      <c r="P1313" s="1" t="inlineStr">
        <is>
          <t>France</t>
        </is>
      </c>
      <c r="Q1313" s="1" t="inlineStr">
        <is>
          <t>0 to 10</t>
        </is>
      </c>
      <c r="R1313" t="inlineStr">
        <is>
          <t>Micro</t>
        </is>
      </c>
      <c r="S1313" s="1" t="inlineStr">
        <is>
          <t>Business to Business, Business to Consumer, Business to Schools</t>
        </is>
      </c>
      <c r="T1313" s="1" t="inlineStr">
        <is>
          <t>Corporate Training</t>
        </is>
      </c>
      <c r="U1313" s="1" t="inlineStr">
        <is>
          <t>System/Administrative</t>
        </is>
      </c>
      <c r="V1313" s="1" t="n"/>
      <c r="W1313" s="1" t="n"/>
      <c r="X1313" s="1" t="n"/>
      <c r="Z1313" s="1" t="n"/>
      <c r="AA1313" s="1" t="inlineStr">
        <is>
          <t>Unverified</t>
        </is>
      </c>
      <c r="AB1313" s="1" t="n"/>
      <c r="AC1313" s="1" t="n"/>
      <c r="AD1313" s="1" t="n"/>
      <c r="AE1313" s="1" t="n"/>
      <c r="AF1313" s="1" t="inlineStr">
        <is>
          <t>No</t>
        </is>
      </c>
      <c r="AG1313" s="1" t="n"/>
      <c r="AH1313" s="1" t="n"/>
    </row>
    <row r="1314" ht="12.5" customHeight="1">
      <c r="A1314" s="6" t="n">
        <v>45181</v>
      </c>
      <c r="B1314" s="1" t="inlineStr">
        <is>
          <t>ORG_2131</t>
        </is>
      </c>
      <c r="C1314" s="1" t="b">
        <v>1</v>
      </c>
      <c r="D1314" s="1" t="inlineStr">
        <is>
          <t>Prosoon</t>
        </is>
      </c>
      <c r="E1314" s="10" t="inlineStr">
        <is>
          <t>https://www.prosoon.eu</t>
        </is>
      </c>
      <c r="F1314" t="inlineStr">
        <is>
          <t>prosoon.eu</t>
        </is>
      </c>
      <c r="G1314" s="1" t="inlineStr">
        <is>
          <t>Prosoon is a web application leveraging blockchain technology for better training, employment and enabling equal opportunities. Our goal is to enable the fine-grained recognition of skills, academic achievements, experiences and qualifications, in a simple and confident way. The platform is geared toward educational institutions, students and alumnis as well as companies, to optimise recruiters tasks, by fighting against both diploma fraud, false resumes and discrimination in recruitment, through an anonymous CV with evidential value.</t>
        </is>
      </c>
      <c r="H1314" s="1" t="inlineStr">
        <is>
          <t>EdTech France</t>
        </is>
      </c>
      <c r="I1314" s="1" t="n"/>
      <c r="J1314" s="1" t="inlineStr">
        <is>
          <t>Illkirch Graffenstaden</t>
        </is>
      </c>
      <c r="K1314" t="inlineStr">
        <is>
          <t>Illkirch Graffenstaden</t>
        </is>
      </c>
      <c r="L1314" t="inlineStr">
        <is>
          <t>Illkirch Graffenstaden, France</t>
        </is>
      </c>
      <c r="M1314" t="n">
        <v>48.5299117</v>
      </c>
      <c r="N1314" t="n">
        <v>7.7113254</v>
      </c>
      <c r="O1314" s="1" t="inlineStr">
        <is>
          <t>France</t>
        </is>
      </c>
      <c r="P1314" s="1" t="inlineStr">
        <is>
          <t>France, Luxembourg, Switzerland</t>
        </is>
      </c>
      <c r="Q1314" s="1" t="inlineStr">
        <is>
          <t>0 to 10</t>
        </is>
      </c>
      <c r="R1314" t="inlineStr">
        <is>
          <t>Micro</t>
        </is>
      </c>
      <c r="S1314" s="1" t="inlineStr">
        <is>
          <t>Business to Business, Business to Consumer, Business to Schools</t>
        </is>
      </c>
      <c r="T1314" s="1" t="inlineStr">
        <is>
          <t>Secondary Education, Higher Education, Corporate Training, Lifelong learning/Adult education</t>
        </is>
      </c>
      <c r="U1314" s="1" t="inlineStr">
        <is>
          <t>Student interfacing, Teacher interfacing, System/Administrative</t>
        </is>
      </c>
      <c r="V1314" s="1" t="inlineStr">
        <is>
          <t>Prosoon</t>
        </is>
      </c>
      <c r="W1314" s="1" t="inlineStr">
        <is>
          <t>Prosoon is a web application that allows training institutions and companies to issue, store, share and verify digital credentials corresponding to learning, academic and professional achievements of trainees and young graduates.
Based on SSI (Self Sovereign Identity) concept, the platform generates transaction between decentralized identifiers on different Blockchain Infrastructure, to make verifiable credentials tamper-proof, as well as to guarantee the digital sovereignty of our users.
The technological architecture is in line with international and European recommendations (W3C, EBSI / ESSIF)</t>
        </is>
      </c>
      <c r="X1314" s="10" t="inlineStr">
        <is>
          <t>https://drive.google.com/uc?export=view&amp;id=124cnukxbkZeszRLLSs9MGjeT7Ld7q5qG</t>
        </is>
      </c>
      <c r="Y1314" t="inlineStr">
        <is>
          <t>https://drive.google.com/uc?export=view&amp;id=124cnukxbkZeszRLLSs9MGjeT7Ld7q5qG</t>
        </is>
      </c>
      <c r="Z1314" s="1" t="inlineStr">
        <is>
          <t>https://drive.google.com/uc?export=view&amp;id=124cnukxbkZeszRLLSs9MGjeT7Ld7q5qG</t>
        </is>
      </c>
      <c r="AA1314" s="1" t="inlineStr">
        <is>
          <t>Unverified</t>
        </is>
      </c>
      <c r="AB1314" s="1" t="n"/>
      <c r="AC1314" s="1" t="n"/>
      <c r="AD1314" s="10" t="n"/>
      <c r="AE1314" s="1" t="n"/>
      <c r="AF1314" t="inlineStr">
        <is>
          <t>Yes</t>
        </is>
      </c>
      <c r="AG1314" t="inlineStr">
        <is>
          <t>https://www.linkedin.com/company/prosoon/?viewAsMember=true</t>
        </is>
      </c>
      <c r="AH1314" t="inlineStr">
        <is>
          <t>https://www.linkedin.com/company/prosoon/?viewAsMember=true</t>
        </is>
      </c>
      <c r="AI1314" t="inlineStr">
        <is>
          <t>https://www.linkedin.com/company/prosoon/?viewAsMember=true</t>
        </is>
      </c>
    </row>
    <row r="1315" ht="12.5" customHeight="1">
      <c r="A1315" s="6" t="n">
        <v>45181</v>
      </c>
      <c r="B1315" s="1" t="inlineStr">
        <is>
          <t>ORG_2166</t>
        </is>
      </c>
      <c r="C1315" s="1" t="b">
        <v>1</v>
      </c>
      <c r="D1315" s="1" t="inlineStr">
        <is>
          <t>READY FOR RED</t>
        </is>
      </c>
      <c r="E1315" s="10" t="inlineStr">
        <is>
          <t>https://www.readyforred.com/</t>
        </is>
      </c>
      <c r="F1315" t="inlineStr">
        <is>
          <t>readyforred.com</t>
        </is>
      </c>
      <c r="G1315" s="1" t="inlineStr">
        <is>
          <t>erdbeerwoche is the first social business in Austria specializing in menstruation. It was founded to break the taboo concerning menstruation and to convey necessary knowledge and a positive attitude towards the subject.
Its digital education program READY FOR RED educates teenagers between 10 and 16 years about the menstrual cycle and period products in an interactive way.
In 4 levels READY FOR RED provides the youngsters with over 50 interactive and diverse educational games and videos to help them approach the otherwise rather awkward subject in a playful and creative way. The platform aims to spread wide-ranging information on the subject of menstruation amongst teenagers.
Teachers can use the platform as a free resource in their classes in order to support sexual health education. So far, more than 1.000 schools are using our platform and over 80.000 teenagers have been educated about menstruation through READY FOR RED.</t>
        </is>
      </c>
      <c r="H1315" s="1" t="inlineStr">
        <is>
          <t>EdTech Austria</t>
        </is>
      </c>
      <c r="I1315" s="1" t="n"/>
      <c r="J1315" s="1" t="inlineStr">
        <is>
          <t>Vienna</t>
        </is>
      </c>
      <c r="K1315" t="inlineStr">
        <is>
          <t>Vienna</t>
        </is>
      </c>
      <c r="L1315" t="inlineStr">
        <is>
          <t>Vienna, Austria</t>
        </is>
      </c>
      <c r="M1315" t="n">
        <v>48.2083537</v>
      </c>
      <c r="N1315" t="n">
        <v>16.3725042</v>
      </c>
      <c r="O1315" s="1" t="inlineStr">
        <is>
          <t>Austria</t>
        </is>
      </c>
      <c r="P1315" s="1" t="inlineStr">
        <is>
          <t>Austria, Germany</t>
        </is>
      </c>
      <c r="Q1315" s="1" t="inlineStr">
        <is>
          <t>0 to 10</t>
        </is>
      </c>
      <c r="R1315" t="inlineStr">
        <is>
          <t>Micro</t>
        </is>
      </c>
      <c r="S1315" s="1" t="inlineStr">
        <is>
          <t>Business to Business, Business to Consumer, Business to Schools</t>
        </is>
      </c>
      <c r="T1315" s="1" t="inlineStr">
        <is>
          <t>Secondary Education</t>
        </is>
      </c>
      <c r="U1315" s="1" t="inlineStr">
        <is>
          <t>Student interfacing, Teacher interfacing</t>
        </is>
      </c>
      <c r="V1315" s="10" t="inlineStr">
        <is>
          <t>READY FOR RED</t>
        </is>
      </c>
      <c r="W1315" s="1" t="inlineStr">
        <is>
          <t>The digital education program READY FOR RED educates teenagers between 10 and 16 years about the menstrual cycle and period products in an interactive way.
In 4 levels READY FOR RED provides the youngsters with over 50 interactive and diverse educational games and videos to help them approach the otherwise rather awkward subject in a playful and creative way. The platform aims to spread wide-ranging information on the subject of menstruation amongst teenagers.</t>
        </is>
      </c>
      <c r="X1315" s="1" t="inlineStr">
        <is>
          <t>https://drive.google.com/uc?export=view&amp;id=1sp0ZYfzfMeCQSgRadItFh_B0vtcD3Z1j</t>
        </is>
      </c>
      <c r="Y1315" t="inlineStr">
        <is>
          <t>https://drive.google.com/uc?export=view&amp;id=1sp0ZYfzfMeCQSgRadItFh_B0vtcD3Z1j</t>
        </is>
      </c>
      <c r="Z1315" s="1" t="inlineStr">
        <is>
          <t>https://drive.google.com/uc?export=view&amp;id=1sp0ZYfzfMeCQSgRadItFh_B0vtcD3Z1j</t>
        </is>
      </c>
      <c r="AA1315" s="1" t="inlineStr">
        <is>
          <t>Unverified</t>
        </is>
      </c>
      <c r="AB1315" s="1" t="n"/>
      <c r="AC1315" s="1" t="n"/>
      <c r="AD1315" s="10" t="n"/>
      <c r="AE1315" s="1" t="n"/>
      <c r="AF1315" t="inlineStr">
        <is>
          <t>Yes</t>
        </is>
      </c>
      <c r="AG1315" t="inlineStr">
        <is>
          <t>https://www.instagram.com/erdbeerwoche_/</t>
        </is>
      </c>
    </row>
    <row r="1316" ht="12.5" customHeight="1">
      <c r="A1316" s="6" t="n">
        <v>45181</v>
      </c>
      <c r="B1316" s="1" t="inlineStr">
        <is>
          <t>ORG_2176</t>
        </is>
      </c>
      <c r="C1316" s="1" t="b">
        <v>1</v>
      </c>
      <c r="D1316" s="1" t="inlineStr">
        <is>
          <t>Relevance Learning</t>
        </is>
      </c>
      <c r="E1316" s="10" t="inlineStr">
        <is>
          <t>https://www.relevancelearning.com/</t>
        </is>
      </c>
      <c r="F1316" t="inlineStr">
        <is>
          <t>relevancelearning.com</t>
        </is>
      </c>
      <c r="G1316" s="1" t="inlineStr">
        <is>
          <t>RELEVANCE accelerates learning on a global scale in the areas of leadership, personal skills, and change. Our unique combination of technology and people produces personal, adaptive and social learning experiences. This innovative approach ensures that our clients are relevant in their industry and in society, now and in the future.
Our clients achieve great business results, in terms of numbers and with their people. Because confident and happy employees create organizations with impact.
All our Programs are delivered blended, on a global scale and in a full-service model.
More than 300 colleagues support our clients, and we have a network of 700+ strategically located trainers and coaches. To date, we have served the needs of more than 5,000 organisations worldwide.</t>
        </is>
      </c>
      <c r="H1316" s="1" t="inlineStr">
        <is>
          <t>Dutch EdTech</t>
        </is>
      </c>
      <c r="I1316" s="1" t="inlineStr">
        <is>
          <t>All</t>
        </is>
      </c>
      <c r="J1316" s="1" t="inlineStr">
        <is>
          <t>Zaltbommel</t>
        </is>
      </c>
      <c r="K1316" t="inlineStr">
        <is>
          <t>Zaltbommel</t>
        </is>
      </c>
      <c r="L1316" t="inlineStr">
        <is>
          <t>Zaltbommel, The Netherlands</t>
        </is>
      </c>
      <c r="M1316" t="n">
        <v>51.7970128</v>
      </c>
      <c r="N1316" t="n">
        <v>5.2595648</v>
      </c>
      <c r="O1316" s="1" t="inlineStr">
        <is>
          <t>The Netherlands</t>
        </is>
      </c>
      <c r="P131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316" s="1" t="inlineStr">
        <is>
          <t>101 to 500</t>
        </is>
      </c>
      <c r="R1316" t="inlineStr">
        <is>
          <t>Medium or Large (unspecified)</t>
        </is>
      </c>
      <c r="S1316" s="1" t="inlineStr">
        <is>
          <t>Business to Business, Business to Government</t>
        </is>
      </c>
      <c r="T1316" s="1" t="inlineStr">
        <is>
          <t>Corporate Training, Lifelong learning/Adult education</t>
        </is>
      </c>
      <c r="U1316" s="1" t="inlineStr">
        <is>
          <t>System/Administrative, Student interfacing</t>
        </is>
      </c>
      <c r="V1316" s="1" t="inlineStr">
        <is>
          <t>Power Skills</t>
        </is>
      </c>
      <c r="W1316" s="1" t="inlineStr">
        <is>
          <t>Our power skills development programs help in overcoming (business) challenges in a fast, blended and effective way. These dynamic programs focus on talent development and mastering skills for the future. Every skill supports the core of your organization, each in their own way. Power skills vary from learning to solve complex problems, be more efficient, have fun in networking, deal with stress and maintain a healthy work-life balance.</t>
        </is>
      </c>
      <c r="X1316" s="10" t="inlineStr">
        <is>
          <t>Leadership</t>
        </is>
      </c>
      <c r="Y1316" t="inlineStr">
        <is>
          <t>This raises high expectations from executives and managers: they need to continuously transform the organization in response to the rapidly changing market and support their employees to achieve high performance along with workplace happiness. Research shows that by balancing these factors, leaders create a climate which accelerates development and its effectiveness. This is achieved through inspirational and connected leadership, which ensures that the company DNA is embodied in everyone involved within the organization. However, before leaders can enable value in others, it is crucial they focus on their personal development first. That’s where Relevance comes into play.</t>
        </is>
      </c>
      <c r="Z1316" s="1" t="inlineStr">
        <is>
          <t>https://drive.google.com/uc?export=view&amp;id=1mbyM4wNtVWoaxfdrBEuYlchV3r4-AZvE</t>
        </is>
      </c>
      <c r="AA1316" s="1" t="inlineStr">
        <is>
          <t>Unverified</t>
        </is>
      </c>
      <c r="AB1316" s="1" t="n"/>
      <c r="AC1316" s="1" t="n"/>
      <c r="AD1316" s="10" t="n"/>
      <c r="AE1316" s="1" t="n"/>
      <c r="AF1316" t="inlineStr">
        <is>
          <t>Yes</t>
        </is>
      </c>
      <c r="AG1316" t="inlineStr">
        <is>
          <t>https://www.linkedin.com/company/relevance-learning/</t>
        </is>
      </c>
      <c r="AH1316" t="inlineStr">
        <is>
          <t>https://www.linkedin.com/company/relevance-learning/</t>
        </is>
      </c>
      <c r="AI1316" t="inlineStr">
        <is>
          <t>https://www.linkedin.com/company/relevance-learning/</t>
        </is>
      </c>
    </row>
    <row r="1317" ht="12.5" customHeight="1">
      <c r="A1317" s="6" t="n">
        <v>45181</v>
      </c>
      <c r="B1317" s="1" t="inlineStr">
        <is>
          <t>ORG_2188</t>
        </is>
      </c>
      <c r="C1317" s="1" t="b">
        <v>1</v>
      </c>
      <c r="D1317" s="1" t="inlineStr">
        <is>
          <t>RO-BOTICA</t>
        </is>
      </c>
      <c r="E1317" s="10" t="inlineStr">
        <is>
          <t>www.ro-botica.com</t>
        </is>
      </c>
      <c r="F1317" t="inlineStr">
        <is>
          <t>ro-botica.com</t>
        </is>
      </c>
      <c r="G1317" s="1" t="inlineStr">
        <is>
          <t>We manufacture and distribute STEAM solutions based on robotics and coding.
At RO-BOTICA we help the new generations to give meaning to technology. We supply all sorts of robotic equipment and programing tools for Education and Personal use. Being the official LEGO® Education distributor in Spain, we have trained and certified thousands of teachers ansd educators over the last 15 years.
Established in 2007, RO-BOTICA has been the first physical store in Europe, devoted to Personal and Educational robotics.</t>
        </is>
      </c>
      <c r="H1317" s="1" t="inlineStr">
        <is>
          <t>SEK Lab</t>
        </is>
      </c>
      <c r="I1317" s="1" t="n"/>
      <c r="J1317" s="1" t="inlineStr">
        <is>
          <t>Barcelona</t>
        </is>
      </c>
      <c r="K1317" t="inlineStr">
        <is>
          <t>Barcelona</t>
        </is>
      </c>
      <c r="L1317" t="inlineStr">
        <is>
          <t>Barcelona, Spain</t>
        </is>
      </c>
      <c r="M1317" t="n">
        <v>41.3825802</v>
      </c>
      <c r="N1317" t="n">
        <v>2.177073</v>
      </c>
      <c r="O1317" s="1" t="inlineStr">
        <is>
          <t>Spain</t>
        </is>
      </c>
      <c r="P1317" s="1" t="inlineStr">
        <is>
          <t>Andorra, France, Germany, Greece, Iceland, Ireland, Italy, Malta, Netherlands, Norway, Portugal, Spain, United Kingdom</t>
        </is>
      </c>
      <c r="Q1317" s="1" t="inlineStr">
        <is>
          <t>0 to 10</t>
        </is>
      </c>
      <c r="R1317" t="inlineStr">
        <is>
          <t>Micro</t>
        </is>
      </c>
      <c r="S1317" s="1" t="inlineStr">
        <is>
          <t>Business to Business, Business to Government</t>
        </is>
      </c>
      <c r="T1317" s="1" t="inlineStr">
        <is>
          <t>Early childhood development (0-5 years), Primary Education, Secondary Education, Higher Education, Corporate Training, Lifelong learning/Adult education</t>
        </is>
      </c>
      <c r="U1317" s="1" t="inlineStr">
        <is>
          <t>Teacher interfacing, System/Administrative, Student interfacing</t>
        </is>
      </c>
      <c r="V1317" s="1" t="n"/>
      <c r="W1317" s="1" t="inlineStr">
        <is>
          <t>https://drive.google.com/uc?export=view&amp;id=1uA0VCcxLClpMRsq5xY3lgTYwBqEskUWt</t>
        </is>
      </c>
      <c r="X1317" s="1" t="inlineStr">
        <is>
          <t>https://drive.google.com/uc?export=view&amp;id=1uA0VCcxLClpMRsq5xY3lgTYwBqEskUWt</t>
        </is>
      </c>
      <c r="Y1317" t="inlineStr">
        <is>
          <t>https://drive.google.com/uc?export=view&amp;id=1uA0VCcxLClpMRsq5xY3lgTYwBqEskUWt</t>
        </is>
      </c>
      <c r="Z1317" s="1" t="inlineStr">
        <is>
          <t>https://drive.google.com/uc?export=view&amp;id=1uA0VCcxLClpMRsq5xY3lgTYwBqEskUWt</t>
        </is>
      </c>
      <c r="AA1317" s="1" t="inlineStr">
        <is>
          <t>Unverified</t>
        </is>
      </c>
      <c r="AB1317" s="1" t="n"/>
      <c r="AC1317" s="1" t="n"/>
      <c r="AD1317" s="10" t="n"/>
      <c r="AE1317" s="1" t="n"/>
      <c r="AF1317" t="inlineStr">
        <is>
          <t>No</t>
        </is>
      </c>
    </row>
    <row r="1318" ht="12.5" customHeight="1">
      <c r="A1318" s="6" t="n">
        <v>45181</v>
      </c>
      <c r="B1318" s="1" t="inlineStr">
        <is>
          <t>ORG_2250</t>
        </is>
      </c>
      <c r="C1318" s="1" t="b">
        <v>1</v>
      </c>
      <c r="D1318" s="1" t="inlineStr">
        <is>
          <t>Skilit</t>
        </is>
      </c>
      <c r="E1318" s="10" t="inlineStr">
        <is>
          <t>https://skilit.io</t>
        </is>
      </c>
      <c r="F1318" t="inlineStr">
        <is>
          <t>skilit.io</t>
        </is>
      </c>
      <c r="G1318" s="1" t="inlineStr">
        <is>
          <t>Contextual semantic analyzer. 
Skilit allows you to visualise, from a behavioural model, the soft skills conveyed by a text and to compare texts between them (recruitment, team building, HR decision, orientation/re-orientation)</t>
        </is>
      </c>
      <c r="H1318" s="1" t="inlineStr">
        <is>
          <t>EdTech France</t>
        </is>
      </c>
      <c r="I1318" s="1" t="n"/>
      <c r="J1318" s="1" t="inlineStr">
        <is>
          <t>Ventabren</t>
        </is>
      </c>
      <c r="K1318" t="inlineStr">
        <is>
          <t>Ventabren</t>
        </is>
      </c>
      <c r="L1318" t="inlineStr">
        <is>
          <t>Ventabren, France</t>
        </is>
      </c>
      <c r="M1318" t="n">
        <v>43.5385286</v>
      </c>
      <c r="N1318" t="n">
        <v>5.2926284</v>
      </c>
      <c r="O1318" s="1" t="inlineStr">
        <is>
          <t>France</t>
        </is>
      </c>
      <c r="P1318" s="1" t="inlineStr">
        <is>
          <t>France, Netherlands</t>
        </is>
      </c>
      <c r="Q1318" s="1" t="inlineStr">
        <is>
          <t>0 to 10</t>
        </is>
      </c>
      <c r="R1318" t="inlineStr">
        <is>
          <t>Micro</t>
        </is>
      </c>
      <c r="S1318" s="1" t="inlineStr">
        <is>
          <t>Business to Business, Business to Government</t>
        </is>
      </c>
      <c r="T1318" s="1" t="inlineStr">
        <is>
          <t>Secondary Education, Higher Education, Corporate Training, Lifelong learning/Adult education</t>
        </is>
      </c>
      <c r="U1318" s="1" t="inlineStr">
        <is>
          <t>Teacher interfacing, Student interfacing, System/Administrative</t>
        </is>
      </c>
      <c r="V1318" s="1" t="inlineStr">
        <is>
          <t>Skilit</t>
        </is>
      </c>
      <c r="W1318" s="1" t="inlineStr">
        <is>
          <t>Skilit allows you to visualise, from a behavioural model, the soft skills conveyed by a text and to compare texts between them (recruitment, team building, HR decision, orientation/re-orientation)</t>
        </is>
      </c>
      <c r="X1318" s="10" t="inlineStr">
        <is>
          <t>https://drive.google.com/uc?export=view&amp;id=1KKddj_0VgeVWOzVFYEHLzraeeOjynugb</t>
        </is>
      </c>
      <c r="Y1318" t="inlineStr">
        <is>
          <t>https://drive.google.com/uc?export=view&amp;id=1KKddj_0VgeVWOzVFYEHLzraeeOjynugb</t>
        </is>
      </c>
      <c r="Z1318" s="1" t="inlineStr">
        <is>
          <t>https://drive.google.com/uc?export=view&amp;id=1KKddj_0VgeVWOzVFYEHLzraeeOjynugb</t>
        </is>
      </c>
      <c r="AA1318" s="1" t="inlineStr">
        <is>
          <t>Unverified</t>
        </is>
      </c>
      <c r="AB1318" s="1" t="n"/>
      <c r="AC1318" s="1" t="n"/>
      <c r="AD1318" s="10" t="n"/>
      <c r="AE1318" s="1" t="n"/>
      <c r="AF1318" t="inlineStr">
        <is>
          <t>Yes</t>
        </is>
      </c>
      <c r="AG1318" t="inlineStr">
        <is>
          <t>https://www.linkedin.com/company/skilit-io</t>
        </is>
      </c>
      <c r="AH1318" t="inlineStr">
        <is>
          <t>https://www.linkedin.com/company/skilit-io</t>
        </is>
      </c>
      <c r="AI1318" t="inlineStr">
        <is>
          <t>https://www.linkedin.com/company/skilit-io</t>
        </is>
      </c>
    </row>
    <row r="1319" ht="12.5" customHeight="1">
      <c r="A1319" s="6" t="n">
        <v>45181</v>
      </c>
      <c r="B1319" s="1" t="inlineStr">
        <is>
          <t>ORG_2263</t>
        </is>
      </c>
      <c r="C1319" s="1" t="b">
        <v>1</v>
      </c>
      <c r="D1319" s="1" t="inlineStr">
        <is>
          <t>Skilmi</t>
        </is>
      </c>
      <c r="E1319" s="10" t="inlineStr">
        <is>
          <t>https://www.skilmi.fr/</t>
        </is>
      </c>
      <c r="F1319" t="inlineStr">
        <is>
          <t>skilmi.fr</t>
        </is>
      </c>
      <c r="G1319" s="1" t="inlineStr">
        <is>
          <t>Skilmi is a peer-to-peer training platform to get skills by video live from the best experts so you can thrive your projects. 
We help you get unstuck in your projects and tools management through 100 % customized trainings &amp; digital coachings. These are live, on-the-job and pay-as-you-go. Our focus : digital marketing, data &amp; AI</t>
        </is>
      </c>
      <c r="H1319" s="1" t="inlineStr">
        <is>
          <t>EdTech France</t>
        </is>
      </c>
      <c r="I1319" s="1" t="n"/>
      <c r="J1319" s="1" t="inlineStr">
        <is>
          <t>Paris</t>
        </is>
      </c>
      <c r="K1319" t="inlineStr">
        <is>
          <t>Paris</t>
        </is>
      </c>
      <c r="L1319" t="inlineStr">
        <is>
          <t>Paris, France</t>
        </is>
      </c>
      <c r="M1319" t="n">
        <v>48.8534951</v>
      </c>
      <c r="N1319" t="n">
        <v>2.3483915</v>
      </c>
      <c r="O1319" s="1" t="inlineStr">
        <is>
          <t>France</t>
        </is>
      </c>
      <c r="P1319" s="1" t="inlineStr">
        <is>
          <t>France</t>
        </is>
      </c>
      <c r="Q1319" s="1" t="inlineStr">
        <is>
          <t>0 to 10</t>
        </is>
      </c>
      <c r="R1319" t="inlineStr">
        <is>
          <t>Micro</t>
        </is>
      </c>
      <c r="S1319" s="1" t="inlineStr">
        <is>
          <t>Business to Business, Business to Government</t>
        </is>
      </c>
      <c r="T1319" s="1" t="inlineStr">
        <is>
          <t>Corporate Training, Lifelong learning/Adult education</t>
        </is>
      </c>
      <c r="U1319" s="1" t="inlineStr">
        <is>
          <t>Teacher interfacing, Student interfacing, System/Administrative</t>
        </is>
      </c>
      <c r="V1319" s="10" t="inlineStr">
        <is>
          <t>Skilmi</t>
        </is>
      </c>
      <c r="W1319" s="10" t="inlineStr">
        <is>
          <t>Skilmi is a skills marketplace which connects the best experts professionals and trainers available to share skills and know-hows, with learners expecting to upskill so they can thrive their projects.
We believe it’s better to train 30 minutes a week than one week a year: so our model is based on micro-skills. 
We believe learning by doing is the best way to empower active skills: so we choose on-the-job learning by visio.</t>
        </is>
      </c>
      <c r="X1319" s="10" t="inlineStr">
        <is>
          <t>Skilbiz</t>
        </is>
      </c>
      <c r="Y1319" t="inlineStr">
        <is>
          <t>Skilbiz provides the Skilmi platform as a white label for corporates which expect to create their own skills marketplace so they can retain and upskill talents. 
Skilbiz customization includes the creation of you own pool of talents, experts and alumni related to your industry, your specific topics and tools. Also the platform includes data analytics to better track skills supply and demand for your own teams as well as for your users.</t>
        </is>
      </c>
      <c r="Z1319" s="1" t="inlineStr">
        <is>
          <t>https://drive.google.com/uc?export=view&amp;id=1BBWOQ1HPN0JNV9lOFCbdkCjDTOcjaGAJ</t>
        </is>
      </c>
      <c r="AA1319" s="1" t="inlineStr">
        <is>
          <t>Unverified</t>
        </is>
      </c>
      <c r="AB1319" s="1" t="n"/>
      <c r="AC1319" s="1" t="n"/>
      <c r="AD1319" s="10" t="n"/>
      <c r="AE1319" s="1" t="n"/>
      <c r="AF1319" t="inlineStr">
        <is>
          <t>Yes</t>
        </is>
      </c>
      <c r="AG1319" t="inlineStr">
        <is>
          <t>https://www.instagram.com/skilmi.fr/</t>
        </is>
      </c>
      <c r="AH1319" t="inlineStr">
        <is>
          <t>https://twitter.com/skilmi_fr</t>
        </is>
      </c>
      <c r="AI1319" t="inlineStr">
        <is>
          <t>https://www.linkedin.com/company/skilmi/?viewAsMember=true</t>
        </is>
      </c>
    </row>
    <row r="1320" ht="12.5" customHeight="1">
      <c r="A1320" s="6" t="n">
        <v>45181</v>
      </c>
      <c r="B1320" s="1" t="inlineStr">
        <is>
          <t>ORG_2282</t>
        </is>
      </c>
      <c r="C1320" s="1" t="b">
        <v>1</v>
      </c>
      <c r="D1320" s="1" t="inlineStr">
        <is>
          <t>Smile and Learn</t>
        </is>
      </c>
      <c r="E1320" s="10" t="inlineStr">
        <is>
          <t>www.smileandlearn.com</t>
        </is>
      </c>
      <c r="F1320" t="inlineStr">
        <is>
          <t>smileandlearn.com</t>
        </is>
      </c>
      <c r="G1320" s="1" t="inlineStr">
        <is>
          <t>Smile and Learn a 360º personalized, content, educational platform, for children aged 3 to 12 years. Designed by lead expert educators, its content reinforces core curricular areas such as Maths, Literacy and Science, language learning and 21st century skills such as programming. Featuring over 8,500 proprietary activities, in apps and videos, Smile and Learn has been internationally awarded by the European Comission, BETT London and Enligthed. The platform is an inclusive education tool and offers an analytics and recommendation system using AI
Our headquarters are in Madrid in Spain and more than 40 Million children learn with our high quality digital content.</t>
        </is>
      </c>
      <c r="H1320" s="1" t="inlineStr">
        <is>
          <t>SEK Lab</t>
        </is>
      </c>
      <c r="I1320" s="1" t="n"/>
      <c r="J1320" s="1" t="inlineStr">
        <is>
          <t>Madrid</t>
        </is>
      </c>
      <c r="K1320" t="inlineStr">
        <is>
          <t>Madrid</t>
        </is>
      </c>
      <c r="L1320" t="inlineStr">
        <is>
          <t>Madrid, Spain</t>
        </is>
      </c>
      <c r="M1320" t="n">
        <v>40.416782</v>
      </c>
      <c r="N1320" t="n">
        <v>-3.703507</v>
      </c>
      <c r="O1320" s="1" t="inlineStr">
        <is>
          <t>Spain</t>
        </is>
      </c>
      <c r="P1320" s="1" t="inlineStr">
        <is>
          <t>France, Italy, Portugal, Spain, Turkey, United Kingdom</t>
        </is>
      </c>
      <c r="Q1320" s="1" t="inlineStr">
        <is>
          <t>11 to 50</t>
        </is>
      </c>
      <c r="R1320" t="inlineStr">
        <is>
          <t>Small</t>
        </is>
      </c>
      <c r="S1320" s="1" t="inlineStr">
        <is>
          <t>Business to Business, Business to Government, Business to Schools</t>
        </is>
      </c>
      <c r="T1320" s="1" t="inlineStr">
        <is>
          <t>Early childhood development (0-5 years), Primary Education</t>
        </is>
      </c>
      <c r="U1320" s="1" t="inlineStr">
        <is>
          <t>System/Administrative, Student interfacing, Teacher interfacing</t>
        </is>
      </c>
      <c r="V1320" s="1" t="inlineStr">
        <is>
          <t>Smile and Learn</t>
        </is>
      </c>
      <c r="W1320" s="1" t="inlineStr">
        <is>
          <t>Smile and Learn a 360º personalized, content, educational platform, for children aged 3 to 12 years. Designed by lead expert educators, its content reinforces core curricular areas such as Maths, Literacy and Science, language learning and 21st century skills such as programming. Featuring over 8,500 proprietary activities, in apps and videos, Smile and Learn has been internationally awarded by the European Comission, BETT London and Enligthed. The platform is an inclusive education tool and offers an analytics and recommendation system using AI</t>
        </is>
      </c>
      <c r="X1320" s="10" t="inlineStr">
        <is>
          <t>https://drive.google.com/uc?export=view&amp;id=11EHEP7cc7jGMuFzjvwFcNhWSWrAtbLOd</t>
        </is>
      </c>
      <c r="Y1320" t="inlineStr">
        <is>
          <t>https://drive.google.com/uc?export=view&amp;id=11EHEP7cc7jGMuFzjvwFcNhWSWrAtbLOd</t>
        </is>
      </c>
      <c r="Z1320" s="1" t="inlineStr">
        <is>
          <t>https://drive.google.com/uc?export=view&amp;id=11EHEP7cc7jGMuFzjvwFcNhWSWrAtbLOd</t>
        </is>
      </c>
      <c r="AA1320" s="1" t="inlineStr">
        <is>
          <t>Unverified</t>
        </is>
      </c>
      <c r="AB1320" s="1" t="n"/>
      <c r="AC1320" s="1" t="n"/>
      <c r="AD1320" s="10" t="n"/>
      <c r="AE1320" s="1" t="n"/>
      <c r="AF1320" s="1" t="inlineStr">
        <is>
          <t>Yes</t>
        </is>
      </c>
      <c r="AG1320" s="1" t="inlineStr">
        <is>
          <t>https://www.linkedin.com/company/9408157</t>
        </is>
      </c>
      <c r="AH1320" s="1" t="inlineStr">
        <is>
          <t>https://www.linkedin.com/company/9408157</t>
        </is>
      </c>
      <c r="AI1320" t="inlineStr">
        <is>
          <t>https://www.linkedin.com/company/9408157</t>
        </is>
      </c>
    </row>
    <row r="1321" ht="12.5" customHeight="1">
      <c r="A1321" s="6" t="n">
        <v>45181</v>
      </c>
      <c r="B1321" s="1" t="inlineStr">
        <is>
          <t>ORG_2283</t>
        </is>
      </c>
      <c r="C1321" s="1" t="b">
        <v>1</v>
      </c>
      <c r="D1321" s="1" t="inlineStr">
        <is>
          <t>Smowltech</t>
        </is>
      </c>
      <c r="E1321" s="10" t="inlineStr">
        <is>
          <t>www.smowl.net</t>
        </is>
      </c>
      <c r="F1321" t="inlineStr">
        <is>
          <t>smowl.net</t>
        </is>
      </c>
      <c r="G1321" s="1" t="inlineStr">
        <is>
          <t>Smowltech is an edtech startup with the mission of building trust in online learning, in order to improve accessibility to quality education, and as a consequence empower users to access new opportunities of learning that can improve their quality of life.
Smowltech has received support and finance by the European Commission that enable them to develop a patented method and system for continuous verification of a user identity in an online service. Currently, Smowltech is supporting educational institutions, corporates and governments to provide trust in their online learning processes (exams, certifications, recruitment, etc), mainly in EU and Latam.
Smowltech has received investment from Social Impact Funds to continuing working with institutions to make a positive impact facilitating access to quality education, linked to sustainable development goals, and reduce barriers that prevent it.</t>
        </is>
      </c>
      <c r="H1321" s="1" t="inlineStr">
        <is>
          <t>I'm not part of any EdTech association</t>
        </is>
      </c>
      <c r="I1321" s="1" t="n"/>
      <c r="J1321" s="1" t="inlineStr">
        <is>
          <t>San Sebastian</t>
        </is>
      </c>
      <c r="K1321" t="inlineStr">
        <is>
          <t>San Sebastian</t>
        </is>
      </c>
      <c r="L1321" t="inlineStr">
        <is>
          <t>San Sebastian, Spain</t>
        </is>
      </c>
      <c r="M1321" t="n">
        <v>43.3224219</v>
      </c>
      <c r="N1321" t="n">
        <v>-1.9838889</v>
      </c>
      <c r="O1321" s="1" t="inlineStr">
        <is>
          <t>Spain</t>
        </is>
      </c>
      <c r="P1321" s="1" t="inlineStr">
        <is>
          <t>France, Germany, Greece, Italy, Latvia, Portugal, Romania, Spain, United Kingdom</t>
        </is>
      </c>
      <c r="Q1321" s="1" t="inlineStr">
        <is>
          <t>11 to 50</t>
        </is>
      </c>
      <c r="R1321" t="inlineStr">
        <is>
          <t>Small</t>
        </is>
      </c>
      <c r="S1321" s="1" t="inlineStr">
        <is>
          <t>Business to Business, Business to Government, Business to Schools</t>
        </is>
      </c>
      <c r="T1321" s="1" t="inlineStr">
        <is>
          <t>Higher Education, Corporate Training, Lifelong learning/Adult education</t>
        </is>
      </c>
      <c r="U1321" s="1" t="inlineStr">
        <is>
          <t>System/Administrative</t>
        </is>
      </c>
      <c r="V1321" s="1" t="n"/>
      <c r="W1321" s="1" t="n"/>
      <c r="X1321" s="1" t="n"/>
      <c r="Z1321" s="1" t="n"/>
      <c r="AA1321" s="1" t="inlineStr">
        <is>
          <t>Unverified</t>
        </is>
      </c>
      <c r="AB1321" s="1" t="n"/>
      <c r="AC1321" s="1" t="n"/>
      <c r="AD1321" s="1" t="n"/>
      <c r="AE1321" s="1" t="n"/>
      <c r="AF1321" s="1" t="inlineStr">
        <is>
          <t>No</t>
        </is>
      </c>
      <c r="AG1321" s="1" t="n"/>
      <c r="AH1321" s="1" t="n"/>
    </row>
    <row r="1322" ht="12.5" customHeight="1">
      <c r="A1322" s="6" t="n">
        <v>45181</v>
      </c>
      <c r="B1322" s="1" t="inlineStr">
        <is>
          <t>ORG_2287</t>
        </is>
      </c>
      <c r="C1322" s="1" t="b">
        <v>1</v>
      </c>
      <c r="D1322" s="1" t="inlineStr">
        <is>
          <t>Society College</t>
        </is>
      </c>
      <c r="E1322" s="10" t="inlineStr">
        <is>
          <t>www.societycollege.nl</t>
        </is>
      </c>
      <c r="F1322" t="inlineStr">
        <is>
          <t>societycollege.nl</t>
        </is>
      </c>
      <c r="G1322" s="1" t="inlineStr">
        <is>
          <t>Society College is a social enterprise which builds a civil force to empower society in combination by changing the compass of strategic personal development and focussing on life-long-development by a strong individual program to strenghten resilience, teamwork and comradeship. 
Society College believes that a society with economic and mental prosperity is not only the responsibility of a government but is equally also the responsibility of the private sector by implementing the new approach of the social return. 
The war on talent is not about jobs but about the right conditions.: it is not only about career, but every phase of life needs another job fulfillment. 
The founders of Society College have 7 years successful experience at Defensity College (startup within the ministry of Defence). With a 94% retention grade they know how to inspire younger generations.</t>
        </is>
      </c>
      <c r="H1322" s="1" t="inlineStr">
        <is>
          <t>Dutch EdTech</t>
        </is>
      </c>
      <c r="I1322" s="1" t="n"/>
      <c r="J1322" s="1" t="inlineStr">
        <is>
          <t>Amsterdam</t>
        </is>
      </c>
      <c r="K1322" t="inlineStr">
        <is>
          <t>Amsterdam</t>
        </is>
      </c>
      <c r="L1322" t="inlineStr">
        <is>
          <t>Amsterdam, The Netherlands</t>
        </is>
      </c>
      <c r="M1322" t="n">
        <v>52.3701984</v>
      </c>
      <c r="N1322" t="n">
        <v>4.892168</v>
      </c>
      <c r="O1322" s="1" t="inlineStr">
        <is>
          <t>The Netherlands</t>
        </is>
      </c>
      <c r="P1322" s="1" t="inlineStr">
        <is>
          <t>Netherlands</t>
        </is>
      </c>
      <c r="Q1322" s="1" t="inlineStr">
        <is>
          <t>0 to 10</t>
        </is>
      </c>
      <c r="R1322" t="inlineStr">
        <is>
          <t>Micro</t>
        </is>
      </c>
      <c r="S1322" s="1" t="inlineStr">
        <is>
          <t>Business to Business, Business to Government, Business to Schools</t>
        </is>
      </c>
      <c r="T1322" s="1" t="inlineStr">
        <is>
          <t>Higher Education, Corporate Training, Lifelong learning/Adult education</t>
        </is>
      </c>
      <c r="U1322" s="1" t="inlineStr">
        <is>
          <t>Student interfacing, System/Administrative</t>
        </is>
      </c>
      <c r="V1322" s="1" t="inlineStr">
        <is>
          <t>Service year</t>
        </is>
      </c>
      <c r="W1322" s="1" t="inlineStr">
        <is>
          <t>During this service year from Society College offers an unique curriculum:
1. someone will work for example in the border protection.
2. if someone is orientating on the next career step we facilitate the the person can have work experience at an organisation and vice versa for the organisation to know each other.
3. all members of Society College have to fullfill the program of shaping, cooperation, resilience
4. Society College challenges all community members to integrate actively the social return 2.0.</t>
        </is>
      </c>
      <c r="X1322" s="10" t="inlineStr">
        <is>
          <t>work student program</t>
        </is>
      </c>
      <c r="Y1322" t="inlineStr">
        <is>
          <t>The work student program is for all students and is besides there regular study. 1. a student works for example in a pandemic protection.
2. a student will have the possibility to work in a organisation to have experience but it is also interesting for the company to find new talents.
3. all students of Society College have to fullfill the program of shaping, cooperation, resilience.
4. Society College challenges all community members to integrate actively the social return 2.0.</t>
        </is>
      </c>
      <c r="Z1322" s="1" t="inlineStr">
        <is>
          <t>https://drive.google.com/uc?export=view&amp;id=1JVjRBSyCS61RMCCu8cRo_OUozBmoPII-</t>
        </is>
      </c>
      <c r="AA1322" s="1" t="inlineStr">
        <is>
          <t>Unverified</t>
        </is>
      </c>
      <c r="AB1322" s="1" t="n"/>
      <c r="AC1322" s="1" t="n"/>
      <c r="AD1322" s="10" t="n"/>
      <c r="AE1322" s="1" t="n"/>
      <c r="AF1322" t="inlineStr">
        <is>
          <t>Yes</t>
        </is>
      </c>
      <c r="AG1322" t="inlineStr">
        <is>
          <t>https://nl.linkedin.com/company/society-college</t>
        </is>
      </c>
      <c r="AH1322" t="inlineStr">
        <is>
          <t>https://nl.linkedin.com/company/society-college</t>
        </is>
      </c>
      <c r="AI1322" t="inlineStr">
        <is>
          <t>https://nl.linkedin.com/company/society-college</t>
        </is>
      </c>
    </row>
    <row r="1323" ht="12.5" customHeight="1">
      <c r="A1323" s="6" t="n">
        <v>45181</v>
      </c>
      <c r="B1323" s="1" t="inlineStr">
        <is>
          <t>ORG_2304</t>
        </is>
      </c>
      <c r="C1323" s="1" t="b">
        <v>1</v>
      </c>
      <c r="D1323" s="1" t="inlineStr">
        <is>
          <t>SPARTED</t>
        </is>
      </c>
      <c r="E1323" s="10" t="inlineStr">
        <is>
          <t>https://www.sparted.com/</t>
        </is>
      </c>
      <c r="F1323" t="inlineStr">
        <is>
          <t>sparted.com</t>
        </is>
      </c>
      <c r="G1323" s="1" t="inlineStr">
        <is>
          <t>SPARTED is THE French mobile learning solution designed to boost agility and performance of your teams. Our SaaS solution helps organisations reach and engage their employees with the right knowledge at the right time through a 3 minute-per-day game-based social experience.</t>
        </is>
      </c>
      <c r="H1323" s="1" t="inlineStr">
        <is>
          <t>I'm not part of any EdTech association</t>
        </is>
      </c>
      <c r="I1323" s="1" t="n"/>
      <c r="J1323" s="1" t="inlineStr">
        <is>
          <t>Paris</t>
        </is>
      </c>
      <c r="K1323" t="inlineStr">
        <is>
          <t>Paris</t>
        </is>
      </c>
      <c r="L1323" t="inlineStr">
        <is>
          <t>Paris, France</t>
        </is>
      </c>
      <c r="M1323" t="n">
        <v>48.8534951</v>
      </c>
      <c r="N1323" t="n">
        <v>2.3483915</v>
      </c>
      <c r="O1323" s="1" t="inlineStr">
        <is>
          <t>France</t>
        </is>
      </c>
      <c r="P1323" s="1" t="inlineStr">
        <is>
          <t>Belgium, Czechia, France, Germany, Hungary, Italy, Luxembourg, Netherlands, Norway, Poland, Portugal, Romania, Spain, Sweden, Switzerland, United Kingdom</t>
        </is>
      </c>
      <c r="Q1323" s="1" t="inlineStr">
        <is>
          <t>11 to 50</t>
        </is>
      </c>
      <c r="R1323" t="inlineStr">
        <is>
          <t>Small</t>
        </is>
      </c>
      <c r="S1323" s="1" t="inlineStr">
        <is>
          <t>Business to Business, Business to Government, Business to Schools</t>
        </is>
      </c>
      <c r="T1323" s="1" t="inlineStr">
        <is>
          <t>Corporate Training</t>
        </is>
      </c>
      <c r="U1323" s="1" t="inlineStr">
        <is>
          <t>Student interfacing, System/Administrative</t>
        </is>
      </c>
      <c r="V1323" s="1" t="n"/>
      <c r="W1323" s="1" t="inlineStr">
        <is>
          <t>https://drive.google.com/uc?export=view&amp;id=1OUPEQEnOoA0u_eX_5n8RNxiV2t-juSp8</t>
        </is>
      </c>
      <c r="X1323" s="1" t="inlineStr">
        <is>
          <t>https://drive.google.com/uc?export=view&amp;id=1OUPEQEnOoA0u_eX_5n8RNxiV2t-juSp8</t>
        </is>
      </c>
      <c r="Y1323" t="inlineStr">
        <is>
          <t>https://drive.google.com/uc?export=view&amp;id=1OUPEQEnOoA0u_eX_5n8RNxiV2t-juSp8</t>
        </is>
      </c>
      <c r="Z1323" s="1" t="inlineStr">
        <is>
          <t>https://drive.google.com/uc?export=view&amp;id=1OUPEQEnOoA0u_eX_5n8RNxiV2t-juSp8</t>
        </is>
      </c>
      <c r="AA1323" s="1" t="inlineStr">
        <is>
          <t>Unverified</t>
        </is>
      </c>
      <c r="AB1323" s="1" t="n"/>
      <c r="AC1323" s="1" t="n"/>
      <c r="AD1323" s="10" t="n"/>
      <c r="AE1323" s="1" t="n"/>
      <c r="AF1323" t="inlineStr">
        <is>
          <t>No</t>
        </is>
      </c>
    </row>
    <row r="1324" ht="12.5" customHeight="1">
      <c r="A1324" s="6" t="n">
        <v>45181</v>
      </c>
      <c r="B1324" s="1" t="inlineStr">
        <is>
          <t>ORG_2356</t>
        </is>
      </c>
      <c r="C1324" s="1" t="b">
        <v>1</v>
      </c>
      <c r="D1324" s="1" t="inlineStr">
        <is>
          <t>Sylex</t>
        </is>
      </c>
      <c r="E1324" s="10" t="inlineStr">
        <is>
          <t>https://sylexapp.com</t>
        </is>
      </c>
      <c r="F1324" t="inlineStr">
        <is>
          <t>sylexapp.com</t>
        </is>
      </c>
      <c r="G1324" s="1" t="inlineStr">
        <is>
          <t>A safe, positive and gamified sex education platform for teens</t>
        </is>
      </c>
      <c r="H1324" s="1" t="inlineStr">
        <is>
          <t>EdTech France</t>
        </is>
      </c>
      <c r="I1324" s="1" t="n"/>
      <c r="J1324" s="1" t="inlineStr">
        <is>
          <t>Paris</t>
        </is>
      </c>
      <c r="K1324" t="inlineStr">
        <is>
          <t>Paris</t>
        </is>
      </c>
      <c r="L1324" t="inlineStr">
        <is>
          <t>Paris, France</t>
        </is>
      </c>
      <c r="M1324" t="n">
        <v>48.8534951</v>
      </c>
      <c r="N1324" t="n">
        <v>2.3483915</v>
      </c>
      <c r="O1324" s="1" t="inlineStr">
        <is>
          <t>France</t>
        </is>
      </c>
      <c r="P1324" s="1" t="inlineStr">
        <is>
          <t>Belgium, France, Luxembourg, Monaco</t>
        </is>
      </c>
      <c r="Q1324" s="1" t="inlineStr">
        <is>
          <t>0 to 10</t>
        </is>
      </c>
      <c r="R1324" t="inlineStr">
        <is>
          <t>Micro</t>
        </is>
      </c>
      <c r="S1324" s="1" t="inlineStr">
        <is>
          <t>Business to Business, Business to Government, Business to Schools</t>
        </is>
      </c>
      <c r="T1324" s="1" t="inlineStr">
        <is>
          <t>Secondary Education</t>
        </is>
      </c>
      <c r="U1324" s="1" t="inlineStr">
        <is>
          <t>System/Administrative, Student interfacing, Teacher interfacing</t>
        </is>
      </c>
      <c r="V1324" s="10" t="inlineStr">
        <is>
          <t>Sylex</t>
        </is>
      </c>
      <c r="W1324" s="10" t="inlineStr">
        <is>
          <t>Through short videos and games, teens find the answer to all the questions they don't dare to ask, and learn points according to their learnings.</t>
        </is>
      </c>
      <c r="X1324" s="10" t="inlineStr">
        <is>
          <t>https://drive.google.com/uc?export=view&amp;id=1Uo900LSpwcy0Z-vbp6zejgdb6llCdtqJ</t>
        </is>
      </c>
      <c r="Y1324" t="inlineStr">
        <is>
          <t>https://drive.google.com/uc?export=view&amp;id=1Uo900LSpwcy0Z-vbp6zejgdb6llCdtqJ</t>
        </is>
      </c>
      <c r="Z1324" s="1" t="inlineStr">
        <is>
          <t>https://drive.google.com/uc?export=view&amp;id=1Uo900LSpwcy0Z-vbp6zejgdb6llCdtqJ</t>
        </is>
      </c>
      <c r="AA1324" s="1" t="inlineStr">
        <is>
          <t>Unverified</t>
        </is>
      </c>
      <c r="AB1324" s="1" t="n"/>
      <c r="AC1324" s="1" t="n"/>
      <c r="AD1324" s="10" t="n"/>
      <c r="AE1324" s="1" t="n"/>
      <c r="AF1324" t="inlineStr">
        <is>
          <t>Yes</t>
        </is>
      </c>
      <c r="AG1324" t="inlineStr">
        <is>
          <t>https://www.instagram.com/sylexapp/</t>
        </is>
      </c>
      <c r="AH1324" t="inlineStr">
        <is>
          <t>https://twitter.com/sylexapp</t>
        </is>
      </c>
      <c r="AI1324" t="inlineStr">
        <is>
          <t>https://www.linkedin.com/company/76330568</t>
        </is>
      </c>
    </row>
    <row r="1325" ht="12.5" customHeight="1">
      <c r="A1325" s="6" t="n">
        <v>45181</v>
      </c>
      <c r="B1325" s="1" t="inlineStr">
        <is>
          <t>ORG_2361</t>
        </is>
      </c>
      <c r="C1325" s="1" t="b">
        <v>1</v>
      </c>
      <c r="D1325" s="1" t="inlineStr">
        <is>
          <t>Syntagma Digital</t>
        </is>
      </c>
      <c r="E1325" s="10" t="inlineStr">
        <is>
          <t>http://syntagmadigital.com/</t>
        </is>
      </c>
      <c r="F1325" t="inlineStr">
        <is>
          <t>syntagmadigital.com</t>
        </is>
      </c>
      <c r="G1325" s="1" t="inlineStr">
        <is>
          <t>Helping K12 schools to innovate and digitize for the first time Humanities subjects in Spain and LATAM.
Our digital platform solve teacher's needs, help students to learn, and also is easily integrated at any educational platform: Moodle, Classroom, etc.</t>
        </is>
      </c>
      <c r="H1325" s="1" t="inlineStr">
        <is>
          <t>EduTech Cluster Spain</t>
        </is>
      </c>
      <c r="I1325" s="1" t="n"/>
      <c r="J1325" s="1" t="inlineStr">
        <is>
          <t>Alcobendas</t>
        </is>
      </c>
      <c r="K1325" t="inlineStr">
        <is>
          <t>Alcobendas</t>
        </is>
      </c>
      <c r="L1325" t="inlineStr">
        <is>
          <t>Alcobendas, Spain</t>
        </is>
      </c>
      <c r="M1325" t="n">
        <v>40.5400082</v>
      </c>
      <c r="N1325" t="n">
        <v>-3.6358494</v>
      </c>
      <c r="O1325" s="1" t="inlineStr">
        <is>
          <t>Spain</t>
        </is>
      </c>
      <c r="P1325" s="1" t="inlineStr">
        <is>
          <t>Spain</t>
        </is>
      </c>
      <c r="Q1325" s="1" t="inlineStr">
        <is>
          <t>0 to 10</t>
        </is>
      </c>
      <c r="R1325" t="inlineStr">
        <is>
          <t>Micro</t>
        </is>
      </c>
      <c r="S1325" s="1" t="inlineStr">
        <is>
          <t>Business to Business, Business to Schools</t>
        </is>
      </c>
      <c r="T1325" s="1" t="inlineStr">
        <is>
          <t>Secondary Education</t>
        </is>
      </c>
      <c r="U1325" s="1" t="inlineStr">
        <is>
          <t>System/Administrative, Student interfacing, Teacher interfacing</t>
        </is>
      </c>
      <c r="V1325" s="10" t="inlineStr">
        <is>
          <t>Syntagma Digital</t>
        </is>
      </c>
      <c r="W1325" s="10" t="inlineStr">
        <is>
          <t>Web platform for Spanish Language teachers to practice and create assessment for their students at K12 schools.
Automated assessment save teachers time, and digital content boost motivation of students to learn the subject.
Students can access through different devices: laptop, tablet and mobiles, and also it is easily integrated in other LMS platforms such as Moodle, Teams and Classroom.
Free use is available for teachers, with a freemium license for extra functionalities and unlimited usage.
For Publishers and public educative platforms, we develop an API to use our software to create content for Spanish subject and integrated at their own educative platforms.</t>
        </is>
      </c>
      <c r="X1325" s="10" t="inlineStr">
        <is>
          <t>Cursos Syntagma</t>
        </is>
      </c>
      <c r="Y1325" t="inlineStr">
        <is>
          <t>Digital web course for students with all theory and automated assessment to pass Spanish subject exams at K12 schools in Spain and LATAM.
All content is available also for mobile devices. Students learn and practice whenever and wherever they want. 
Monthly subscription is available for this courses.</t>
        </is>
      </c>
      <c r="Z1325" s="1" t="inlineStr">
        <is>
          <t>https://drive.google.com/uc?export=view&amp;id=1GIzpBDb_x7x10sHJ4_EL8XKZGi5BPHka</t>
        </is>
      </c>
      <c r="AA1325" s="1" t="inlineStr">
        <is>
          <t>Unverified</t>
        </is>
      </c>
      <c r="AB1325" s="1" t="n"/>
      <c r="AC1325" s="1" t="n"/>
      <c r="AD1325" s="10" t="n"/>
      <c r="AE1325" s="1" t="n"/>
      <c r="AF1325" t="inlineStr">
        <is>
          <t>Yes</t>
        </is>
      </c>
      <c r="AG1325" t="inlineStr">
        <is>
          <t>https://www.instagram.com/syntagma_analizador_sintactico/</t>
        </is>
      </c>
      <c r="AH1325" t="inlineStr">
        <is>
          <t>https://twitter.com/SyntagmaD</t>
        </is>
      </c>
      <c r="AI1325" t="inlineStr">
        <is>
          <t>https://www.linkedin.com/company/syntagmadigital</t>
        </is>
      </c>
    </row>
    <row r="1326" ht="12.5" customHeight="1">
      <c r="A1326" s="6" t="n">
        <v>45181</v>
      </c>
      <c r="B1326" s="1" t="inlineStr">
        <is>
          <t>ORG_2365</t>
        </is>
      </c>
      <c r="C1326" s="1" t="b">
        <v>1</v>
      </c>
      <c r="D1326" s="1" t="inlineStr">
        <is>
          <t>Takk</t>
        </is>
      </c>
      <c r="E1326" s="10" t="inlineStr">
        <is>
          <t>https://takk.app/</t>
        </is>
      </c>
      <c r="F1326" t="inlineStr">
        <is>
          <t>takk.app</t>
        </is>
      </c>
      <c r="G1326" s="1" t="inlineStr">
        <is>
          <t>takk is an administrative management saas for training companies. takk makes it easy to plan training sessions and generate automatically all the administrative documentation via a certified electronic signature process. 
Save 1 hour per participant with takk, the software that automates the administratives tasks of your training organization. 
Be sure to pay the right price with our pay-as-you-go system.</t>
        </is>
      </c>
      <c r="H1326" s="1" t="inlineStr">
        <is>
          <t>I'm not part of any EdTech association</t>
        </is>
      </c>
      <c r="I1326" s="1" t="n"/>
      <c r="J1326" s="1" t="inlineStr">
        <is>
          <t>Nogent-Sur-Marne</t>
        </is>
      </c>
      <c r="K1326" t="inlineStr">
        <is>
          <t>Nogent-Sur-Marne</t>
        </is>
      </c>
      <c r="L1326" t="inlineStr">
        <is>
          <t>Nogent-Sur-Marne, France</t>
        </is>
      </c>
      <c r="M1326" t="n">
        <v>48.8387639</v>
      </c>
      <c r="N1326" t="n">
        <v>2.4916592</v>
      </c>
      <c r="O1326" s="1" t="inlineStr">
        <is>
          <t>France</t>
        </is>
      </c>
      <c r="P1326" s="1" t="inlineStr">
        <is>
          <t>France</t>
        </is>
      </c>
      <c r="Q1326" s="1" t="inlineStr">
        <is>
          <t>0 to 10</t>
        </is>
      </c>
      <c r="R1326" t="inlineStr">
        <is>
          <t>Micro</t>
        </is>
      </c>
      <c r="S1326" s="1" t="inlineStr">
        <is>
          <t>Business to Business, Business to Schools</t>
        </is>
      </c>
      <c r="T1326" s="1" t="inlineStr">
        <is>
          <t>Higher Education, Corporate Training, Lifelong learning/Adult education</t>
        </is>
      </c>
      <c r="U1326" s="1" t="inlineStr">
        <is>
          <t>Teacher interfacing, System/Administrative</t>
        </is>
      </c>
      <c r="V1326" s="1" t="n"/>
      <c r="W1326" s="1" t="inlineStr">
        <is>
          <t>https://drive.google.com/uc?export=view&amp;id=15CsNMUfypfn7y2BlBmahS1h7EhY_wi13</t>
        </is>
      </c>
      <c r="X1326" s="1" t="inlineStr">
        <is>
          <t>https://drive.google.com/uc?export=view&amp;id=15CsNMUfypfn7y2BlBmahS1h7EhY_wi13</t>
        </is>
      </c>
      <c r="Y1326" t="inlineStr">
        <is>
          <t>https://drive.google.com/uc?export=view&amp;id=15CsNMUfypfn7y2BlBmahS1h7EhY_wi13</t>
        </is>
      </c>
      <c r="Z1326" s="1" t="inlineStr">
        <is>
          <t>https://drive.google.com/uc?export=view&amp;id=15CsNMUfypfn7y2BlBmahS1h7EhY_wi13</t>
        </is>
      </c>
      <c r="AA1326" s="1" t="inlineStr">
        <is>
          <t>Unverified</t>
        </is>
      </c>
      <c r="AB1326" s="1" t="n"/>
      <c r="AC1326" s="1" t="n"/>
      <c r="AD1326" s="10" t="n"/>
      <c r="AE1326" s="1" t="n"/>
      <c r="AF1326" t="inlineStr">
        <is>
          <t>No</t>
        </is>
      </c>
    </row>
    <row r="1327" ht="12.5" customHeight="1">
      <c r="A1327" s="6" t="n">
        <v>45181</v>
      </c>
      <c r="B1327" s="1" t="inlineStr">
        <is>
          <t>ORG_2366</t>
        </is>
      </c>
      <c r="C1327" s="1" t="b">
        <v>1</v>
      </c>
      <c r="D1327" s="1" t="inlineStr">
        <is>
          <t>tal&amp;dev</t>
        </is>
      </c>
      <c r="E1327" s="10" t="inlineStr">
        <is>
          <t>https://www.talanddev.com</t>
        </is>
      </c>
      <c r="F1327" t="inlineStr">
        <is>
          <t>talanddev.com</t>
        </is>
      </c>
      <c r="G1327" s="1" t="inlineStr">
        <is>
          <t>We provide career insights to young graduates and working professionals as well as tools for self assessment and career direction. Our engaged network of senior executives, university professors and business leaders around the world further contributes to our educational blogs.</t>
        </is>
      </c>
      <c r="H1327" s="1" t="inlineStr">
        <is>
          <t>I'm not part of any EdTech association</t>
        </is>
      </c>
      <c r="I1327" s="1" t="n"/>
      <c r="J1327" s="1" t="inlineStr">
        <is>
          <t>Milano</t>
        </is>
      </c>
      <c r="K1327" t="inlineStr">
        <is>
          <t>Milano</t>
        </is>
      </c>
      <c r="L1327" t="inlineStr">
        <is>
          <t>Milano, Italy</t>
        </is>
      </c>
      <c r="M1327" t="n">
        <v>45.4641943</v>
      </c>
      <c r="N1327" t="n">
        <v>9.1896346</v>
      </c>
      <c r="O1327" s="1" t="inlineStr">
        <is>
          <t>Italy</t>
        </is>
      </c>
      <c r="P1327" s="1" t="inlineStr">
        <is>
          <t>Austria, Belgium, Denmark, France, Germany, Italy, Poland, Portugal, United Kingdom</t>
        </is>
      </c>
      <c r="Q1327" s="1" t="inlineStr">
        <is>
          <t>0 to 10</t>
        </is>
      </c>
      <c r="R1327" t="inlineStr">
        <is>
          <t>Micro</t>
        </is>
      </c>
      <c r="S1327" s="1" t="inlineStr">
        <is>
          <t>Business to Business, Business to Schools</t>
        </is>
      </c>
      <c r="T1327" s="1" t="inlineStr">
        <is>
          <t>Corporate Training</t>
        </is>
      </c>
      <c r="U1327" s="1" t="inlineStr">
        <is>
          <t>System/Administrative, Student interfacing</t>
        </is>
      </c>
      <c r="V1327" s="1" t="n"/>
      <c r="W1327" s="1" t="inlineStr">
        <is>
          <t>https://drive.google.com/uc?export=view&amp;id=1uTk_qyJPZMFsWiW-vLD_vg1Kptk13cOo</t>
        </is>
      </c>
      <c r="X1327" s="1" t="inlineStr">
        <is>
          <t>https://drive.google.com/uc?export=view&amp;id=1uTk_qyJPZMFsWiW-vLD_vg1Kptk13cOo</t>
        </is>
      </c>
      <c r="Y1327" t="inlineStr">
        <is>
          <t>https://drive.google.com/uc?export=view&amp;id=1uTk_qyJPZMFsWiW-vLD_vg1Kptk13cOo</t>
        </is>
      </c>
      <c r="Z1327" s="1" t="inlineStr">
        <is>
          <t>https://drive.google.com/uc?export=view&amp;id=1uTk_qyJPZMFsWiW-vLD_vg1Kptk13cOo</t>
        </is>
      </c>
      <c r="AA1327" s="1" t="inlineStr">
        <is>
          <t>Unverified</t>
        </is>
      </c>
      <c r="AB1327" s="1" t="n"/>
      <c r="AC1327" s="1" t="n"/>
      <c r="AD1327" s="10" t="n"/>
      <c r="AE1327" s="1" t="n"/>
      <c r="AF1327" t="inlineStr">
        <is>
          <t>No</t>
        </is>
      </c>
    </row>
    <row r="1328" ht="12.5" customHeight="1">
      <c r="A1328" s="6" t="n">
        <v>45181</v>
      </c>
      <c r="B1328" s="1" t="inlineStr">
        <is>
          <t>ORG_2378</t>
        </is>
      </c>
      <c r="C1328" s="1" t="b">
        <v>1</v>
      </c>
      <c r="D1328" s="1" t="inlineStr">
        <is>
          <t>Tech Kids Academy</t>
        </is>
      </c>
      <c r="E1328" s="10" t="inlineStr">
        <is>
          <t>techkidsacademy.com</t>
        </is>
      </c>
      <c r="F1328" t="inlineStr">
        <is>
          <t>techkidsacademy.com</t>
        </is>
      </c>
      <c r="G1328" s="1" t="inlineStr">
        <is>
          <t>Tech Kids Academy, created in 2014, is a digital academy for kids age 5 to 17 years old. It's an after-school program where children learn coding (Scratch, Python, C#), robotics (Lego, Ozobot, JD), electronics (LittleBits, MicroBit, Arduino) and design (Piskel, 3DSlash, Blender), either on a weekly basis or during the holidays. 
Tech Kids Academy is located in France and has 3 academies: Paris 15th, St-Germain-En-Laye and Levallois. Our weekly workshops are organized by group of age and level (beginner, intermediate and confirmed), and are available in French and English. 
We also offer online courses and virtual classes with iTech Campus. 🚀 
Register online for our free trial sessions, weekly workshops or holiday camps! 
Come and reveal your talents! 🤩</t>
        </is>
      </c>
      <c r="H1328" s="1" t="inlineStr">
        <is>
          <t>EdTech France</t>
        </is>
      </c>
      <c r="I1328" s="1" t="n"/>
      <c r="J1328" s="1" t="inlineStr">
        <is>
          <t>Paris</t>
        </is>
      </c>
      <c r="K1328" t="inlineStr">
        <is>
          <t>Paris</t>
        </is>
      </c>
      <c r="L1328" t="inlineStr">
        <is>
          <t>Paris, France</t>
        </is>
      </c>
      <c r="M1328" t="n">
        <v>48.8534951</v>
      </c>
      <c r="N1328" t="n">
        <v>2.3483915</v>
      </c>
      <c r="O1328" s="1" t="inlineStr">
        <is>
          <t>France</t>
        </is>
      </c>
      <c r="P1328" s="1" t="inlineStr">
        <is>
          <t>France</t>
        </is>
      </c>
      <c r="Q1328" s="1" t="inlineStr">
        <is>
          <t>0 to 10</t>
        </is>
      </c>
      <c r="R1328" t="inlineStr">
        <is>
          <t>Micro</t>
        </is>
      </c>
      <c r="S1328" s="1" t="inlineStr">
        <is>
          <t>Business to Business, Business to Schools</t>
        </is>
      </c>
      <c r="T1328" s="1" t="inlineStr">
        <is>
          <t>Primary Education, Secondary Education, Higher Education</t>
        </is>
      </c>
      <c r="U1328" s="1" t="inlineStr">
        <is>
          <t>System/Administrative, Student interfacing, Teacher interfacing</t>
        </is>
      </c>
      <c r="V1328" s="10" t="inlineStr">
        <is>
          <t>Weekly workshops</t>
        </is>
      </c>
      <c r="W1328" s="10" t="inlineStr">
        <is>
          <t>Weekly workshops for kids &amp; teens (5-17 yo):
- 27 workshops of 1h30 during school year
- One workshop per week (on Tuesday, Wednesday, Thursday or Saturday)
- Learning coding, robotics, electronics and design
- By age group (7-9 yo, 10-14 yo, 13-17 yo)
- By level (beginner, intermediate, confirmed)
- In French or in English
- In Paris 15th, St-Germain-En-Laye or Levallois-Perret (France)</t>
        </is>
      </c>
      <c r="X1328" s="10" t="inlineStr">
        <is>
          <t>Holiday camps</t>
        </is>
      </c>
      <c r="Y1328" t="inlineStr">
        <is>
          <t>Holiday camps for kids &amp; teens (7-17 yo):
- Learning coding (Scratch, Python, C#), robotics (Lego, Ozobot, JD) and design (Piskel, Blender, 3DSlash)
- By age group (7-10 yo, 11-14 yo, 14-17 yo)
- In French or in English
- In Paris 15th, St-Germain-En-Laye or Levallois-Perret (France)</t>
        </is>
      </c>
      <c r="Z1328" s="1" t="inlineStr">
        <is>
          <t>https://drive.google.com/uc?export=view&amp;id=1Te0XaUR4-3wgcmPhqlAwtClFPBJ2cNMn</t>
        </is>
      </c>
      <c r="AA1328" s="1" t="inlineStr">
        <is>
          <t>Unverified</t>
        </is>
      </c>
      <c r="AB1328" s="1" t="n"/>
      <c r="AC1328" s="1" t="n"/>
      <c r="AD1328" s="10" t="n"/>
      <c r="AE1328" s="1" t="n"/>
      <c r="AF1328" t="inlineStr">
        <is>
          <t>Yes</t>
        </is>
      </c>
      <c r="AG1328" t="inlineStr">
        <is>
          <t>https://www.instagram.com/techkidsacademy/</t>
        </is>
      </c>
      <c r="AH1328" t="inlineStr">
        <is>
          <t>https://twitter.com/techkidsacademy</t>
        </is>
      </c>
      <c r="AI1328" t="inlineStr">
        <is>
          <t>https://www.linkedin.com/company/45964857/</t>
        </is>
      </c>
    </row>
    <row r="1329" ht="12.5" customHeight="1">
      <c r="A1329" s="6" t="n">
        <v>45181</v>
      </c>
      <c r="B1329" s="1" t="inlineStr">
        <is>
          <t>ORG_2390</t>
        </is>
      </c>
      <c r="C1329" s="1" t="b">
        <v>1</v>
      </c>
      <c r="D1329" s="1" t="inlineStr">
        <is>
          <t>TestWe</t>
        </is>
      </c>
      <c r="E1329" s="10" t="inlineStr">
        <is>
          <t>https://testwe.eu/en/</t>
        </is>
      </c>
      <c r="F1329" t="inlineStr">
        <is>
          <t>testwe.eu/en</t>
        </is>
      </c>
      <c r="G1329" s="1" t="inlineStr">
        <is>
          <t>TestWe offers an online exam platform for both in-class and remote exam sessions. Administer very easily your sessions from your interface or from TestWe's platform with or without invigilation, the choice is in your hands.</t>
        </is>
      </c>
      <c r="H1329" s="1" t="inlineStr">
        <is>
          <t>AFINEF, EdTech France</t>
        </is>
      </c>
      <c r="I1329" s="1" t="inlineStr">
        <is>
          <t>French, English, Spanish, Portuguese, Italian, Dutch</t>
        </is>
      </c>
      <c r="J1329" s="1" t="inlineStr">
        <is>
          <t>Paris</t>
        </is>
      </c>
      <c r="K1329" t="inlineStr">
        <is>
          <t>Paris</t>
        </is>
      </c>
      <c r="L1329" t="inlineStr">
        <is>
          <t>Paris, France</t>
        </is>
      </c>
      <c r="M1329" t="n">
        <v>48.8534951</v>
      </c>
      <c r="N1329" t="n">
        <v>2.3483915</v>
      </c>
      <c r="O1329" s="1" t="inlineStr">
        <is>
          <t>France</t>
        </is>
      </c>
      <c r="P1329" s="1" t="inlineStr">
        <is>
          <t>Belgium, France, Germany, Italy, Luxembourg, Monaco, Netherlands, Portugal, Spain, Switzerland</t>
        </is>
      </c>
      <c r="Q1329" s="1" t="inlineStr">
        <is>
          <t>11 to 50</t>
        </is>
      </c>
      <c r="R1329" t="inlineStr">
        <is>
          <t>Small</t>
        </is>
      </c>
      <c r="S1329" s="1" t="inlineStr">
        <is>
          <t>Business to Business, Business to Schools</t>
        </is>
      </c>
      <c r="T1329" s="1" t="inlineStr">
        <is>
          <t>Secondary Education, Corporate Training, Lifelong learning/Adult education, Vocational Education and Training (VET), Higher Education</t>
        </is>
      </c>
      <c r="U1329" s="1" t="inlineStr">
        <is>
          <t>Teacher interfacing, System/Administrative</t>
        </is>
      </c>
      <c r="V1329" s="10" t="inlineStr">
        <is>
          <t>TestWe</t>
        </is>
      </c>
      <c r="W1329" s="10" t="inlineStr">
        <is>
          <t>TestWe is a powerful exam builder platform to create, manage, grade and share exams whatever the type of questions (mcq, ucq, true/false, open ended, close ended, drop down, ...) and whatever the type of attached documents (pdf, img, mp3, gif, ...).
Ready to use and easy to use.</t>
        </is>
      </c>
      <c r="X1329" s="10" t="inlineStr">
        <is>
          <t>ProctorWe</t>
        </is>
      </c>
      <c r="Y1329" t="inlineStr">
        <is>
          <t>ProctorWe is remote invigilation solution for both live and recorded sessions. It brings flexibility, integrity and security to online tests.</t>
        </is>
      </c>
      <c r="Z1329" s="1" t="inlineStr">
        <is>
          <t>https://drive.google.com/uc?export=view&amp;id=1iEVw_HadK7sPYKIj1otl8chfgGpbuiFV</t>
        </is>
      </c>
      <c r="AA1329" s="1" t="inlineStr">
        <is>
          <t>Unverified</t>
        </is>
      </c>
      <c r="AB1329" s="1" t="n"/>
      <c r="AC1329" s="1" t="n"/>
      <c r="AD1329" s="10" t="n"/>
      <c r="AE1329" s="1" t="n"/>
      <c r="AF1329" t="inlineStr">
        <is>
          <t>Yes</t>
        </is>
      </c>
      <c r="AG1329" t="inlineStr">
        <is>
          <t>https://www.instagram.com/testwe_eu/</t>
        </is>
      </c>
      <c r="AH1329" t="inlineStr">
        <is>
          <t>https://twitter.com/testwe_eu</t>
        </is>
      </c>
      <c r="AI1329" t="inlineStr">
        <is>
          <t>https://www.linkedin.com/company/testwe</t>
        </is>
      </c>
    </row>
    <row r="1330" ht="12.5" customHeight="1">
      <c r="A1330" s="6" t="n">
        <v>45181</v>
      </c>
      <c r="B1330" s="1" t="inlineStr">
        <is>
          <t>ORG_2401</t>
        </is>
      </c>
      <c r="C1330" s="1" t="b">
        <v>1</v>
      </c>
      <c r="D1330" s="1" t="inlineStr">
        <is>
          <t>THE PHOTO ACADEMY</t>
        </is>
      </c>
      <c r="E1330" s="10" t="inlineStr">
        <is>
          <t>www.thephotoacademy.com</t>
        </is>
      </c>
      <c r="F1330" t="inlineStr">
        <is>
          <t>thephotoacademy.com</t>
        </is>
      </c>
      <c r="G1330" s="1" t="inlineStr">
        <is>
          <t>THE PHOTO ACADEMY is the international leader in photography training, represented in 17 countries by more than 200 instructors. It is also the distributor of the first international certification in photography, offering a blockchain seal to identify the graduates of its learning paths.</t>
        </is>
      </c>
      <c r="H1330" s="1" t="inlineStr">
        <is>
          <t>I'm not part of any EdTech association</t>
        </is>
      </c>
      <c r="I1330" s="1" t="n"/>
      <c r="J1330" s="1" t="inlineStr">
        <is>
          <t>Bruxelles</t>
        </is>
      </c>
      <c r="K1330" t="inlineStr">
        <is>
          <t>Bruxelles</t>
        </is>
      </c>
      <c r="L1330" t="inlineStr">
        <is>
          <t>Bruxelles, Belgium</t>
        </is>
      </c>
      <c r="M1330" t="n">
        <v>50.8467372</v>
      </c>
      <c r="N1330" t="n">
        <v>4.352493</v>
      </c>
      <c r="O1330" s="1" t="inlineStr">
        <is>
          <t>Belgium</t>
        </is>
      </c>
      <c r="P1330" s="1" t="inlineStr">
        <is>
          <t>Austria, Belgium, France, Germany, Ireland, Italy, Luxembourg, Netherlands, Switzerland, United Kingdom</t>
        </is>
      </c>
      <c r="Q1330" s="1" t="inlineStr">
        <is>
          <t>0 to 10</t>
        </is>
      </c>
      <c r="R1330" t="inlineStr">
        <is>
          <t>Micro</t>
        </is>
      </c>
      <c r="S1330" s="1" t="inlineStr">
        <is>
          <t>Business to Consumer</t>
        </is>
      </c>
      <c r="T1330" s="1" t="inlineStr">
        <is>
          <t>Higher Education</t>
        </is>
      </c>
      <c r="U1330" s="1" t="inlineStr">
        <is>
          <t>System/Administrative, Student interfacing</t>
        </is>
      </c>
      <c r="V1330" s="1" t="n"/>
      <c r="W1330" s="1" t="inlineStr">
        <is>
          <t>https://drive.google.com/uc?export=view&amp;id=1a9Gs_i2bv-KsdeNnDQsb4Lm0yWvDVIF3</t>
        </is>
      </c>
      <c r="X1330" s="1" t="inlineStr">
        <is>
          <t>https://drive.google.com/uc?export=view&amp;id=1a9Gs_i2bv-KsdeNnDQsb4Lm0yWvDVIF3</t>
        </is>
      </c>
      <c r="Y1330" t="inlineStr">
        <is>
          <t>https://drive.google.com/uc?export=view&amp;id=1a9Gs_i2bv-KsdeNnDQsb4Lm0yWvDVIF3</t>
        </is>
      </c>
      <c r="Z1330" s="1" t="inlineStr">
        <is>
          <t>https://drive.google.com/uc?export=view&amp;id=1a9Gs_i2bv-KsdeNnDQsb4Lm0yWvDVIF3</t>
        </is>
      </c>
      <c r="AA1330" s="1" t="inlineStr">
        <is>
          <t>Unverified</t>
        </is>
      </c>
      <c r="AB1330" s="1" t="n"/>
      <c r="AC1330" s="1" t="n"/>
      <c r="AD1330" s="10" t="n"/>
      <c r="AE1330" s="1" t="n"/>
      <c r="AF1330" t="inlineStr">
        <is>
          <t>No</t>
        </is>
      </c>
    </row>
    <row r="1331" ht="12.5" customHeight="1">
      <c r="A1331" s="6" t="n">
        <v>45181</v>
      </c>
      <c r="B1331" s="1" t="inlineStr">
        <is>
          <t>ORG_2417</t>
        </is>
      </c>
      <c r="C1331" s="1" t="b">
        <v>1</v>
      </c>
      <c r="D1331" s="10" t="inlineStr">
        <is>
          <t>toddl.co</t>
        </is>
      </c>
      <c r="E1331" s="10" t="inlineStr">
        <is>
          <t>www.toddl.co</t>
        </is>
      </c>
      <c r="F1331" t="inlineStr">
        <is>
          <t>toddl.co</t>
        </is>
      </c>
      <c r="G1331" s="1" t="inlineStr">
        <is>
          <t>toddl.co is on a mission to digitise the kids' education sector. We do this through a suite of powerful technology solutions tailor-made for providers of kids' activities.
Today, toddl.co is the leading marketplace for kids' classes and camps in Barcelona and beyond, with a catalog of 2000+ activities and more than 18,000 parents using the marketplace to find new enrichment opportunities for their children.
In Summer 2022, we'll launch a new all-in-one, cloud-based SaaS tool to help education providers streamline their day-to-day operations. The software will be fully integrated with the toddl.co marketplace, giving educators an easy way to reach new customers and freeing up time to focus on what matters most: the kids!</t>
        </is>
      </c>
      <c r="H1331" s="1" t="inlineStr">
        <is>
          <t>EduTech Cluster Spain</t>
        </is>
      </c>
      <c r="I1331" s="1" t="n"/>
      <c r="J1331" s="1" t="inlineStr">
        <is>
          <t>Barcelona</t>
        </is>
      </c>
      <c r="K1331" t="inlineStr">
        <is>
          <t>Barcelona</t>
        </is>
      </c>
      <c r="L1331" t="inlineStr">
        <is>
          <t>Barcelona, Spain</t>
        </is>
      </c>
      <c r="M1331" t="n">
        <v>41.3825802</v>
      </c>
      <c r="N1331" t="n">
        <v>2.177073</v>
      </c>
      <c r="O1331" s="1" t="inlineStr">
        <is>
          <t>Spain</t>
        </is>
      </c>
      <c r="P1331" s="1" t="inlineStr">
        <is>
          <t>Spain</t>
        </is>
      </c>
      <c r="Q1331" s="1" t="inlineStr">
        <is>
          <t>0 to 10</t>
        </is>
      </c>
      <c r="R1331" t="inlineStr">
        <is>
          <t>Micro</t>
        </is>
      </c>
      <c r="S1331" s="1" t="inlineStr">
        <is>
          <t>Business to Consumer, Business to Government, Business to Schools</t>
        </is>
      </c>
      <c r="T1331" s="1" t="inlineStr">
        <is>
          <t>Early childhood development (0-5 years), Primary Education, Secondary Education</t>
        </is>
      </c>
      <c r="U1331" s="1" t="inlineStr">
        <is>
          <t>System/Administrative</t>
        </is>
      </c>
      <c r="V1331" s="1" t="n"/>
      <c r="W1331" s="1" t="n"/>
      <c r="X1331" s="1" t="n"/>
      <c r="Z1331" s="1" t="n"/>
      <c r="AA1331" s="1" t="inlineStr">
        <is>
          <t>Unverified</t>
        </is>
      </c>
      <c r="AB1331" s="1" t="n"/>
      <c r="AC1331" s="1" t="n"/>
      <c r="AD1331" s="1" t="n"/>
      <c r="AE1331" s="1" t="n"/>
      <c r="AF1331" s="1" t="inlineStr">
        <is>
          <t>No</t>
        </is>
      </c>
      <c r="AG1331" s="1" t="n"/>
      <c r="AH1331" s="1" t="n"/>
    </row>
    <row r="1332" ht="12.5" customHeight="1">
      <c r="A1332" s="6" t="n">
        <v>45181</v>
      </c>
      <c r="B1332" s="1" t="inlineStr">
        <is>
          <t>ORG_2424</t>
        </is>
      </c>
      <c r="C1332" s="1" t="b">
        <v>1</v>
      </c>
      <c r="D1332" s="1" t="inlineStr">
        <is>
          <t>Tosa Certifications</t>
        </is>
      </c>
      <c r="E1332" s="10" t="inlineStr">
        <is>
          <t>https://www.tosa.org/EN/index</t>
        </is>
      </c>
      <c r="F1332" t="inlineStr">
        <is>
          <t>tosa.org/en/index</t>
        </is>
      </c>
      <c r="G1332" s="1" t="inlineStr">
        <is>
          <t>Providing meaningful outcomes for students is important. Isograd’s Tosa certifications are the standard in higher education for validating students’ digital skills. Schools and Universities can offer certifications for Google Workspace, Microsoft Office, digital literacy, cyber responsibility, Python, Adobe Creative Cloud and more. 
Tosa’s industry approved certifications for digital skills can be used as part of Teacher's roadmap to innovate and transform their courses.</t>
        </is>
      </c>
      <c r="H1332" s="1" t="inlineStr">
        <is>
          <t>AFINEF, EdTech France</t>
        </is>
      </c>
      <c r="I1332" s="1" t="n"/>
      <c r="J1332" s="1" t="inlineStr">
        <is>
          <t>Paris</t>
        </is>
      </c>
      <c r="K1332" t="inlineStr">
        <is>
          <t>Paris</t>
        </is>
      </c>
      <c r="L1332" t="inlineStr">
        <is>
          <t>Paris, France</t>
        </is>
      </c>
      <c r="M1332" t="n">
        <v>48.8534951</v>
      </c>
      <c r="N1332" t="n">
        <v>2.3483915</v>
      </c>
      <c r="O1332" s="1" t="inlineStr">
        <is>
          <t>France</t>
        </is>
      </c>
      <c r="P1332" s="1" t="inlineStr">
        <is>
          <t>Belgium, France, Germany, Ireland, Italy, Luxembourg, Monaco, Netherlands, Spain, Switzerland, United Kingdom</t>
        </is>
      </c>
      <c r="Q1332" s="1" t="inlineStr">
        <is>
          <t>11 to 50</t>
        </is>
      </c>
      <c r="R1332" t="inlineStr">
        <is>
          <t>Small</t>
        </is>
      </c>
      <c r="S1332" s="1" t="inlineStr">
        <is>
          <t>Business to Consumer, Business to Government, Business to Schools</t>
        </is>
      </c>
      <c r="T1332" s="1" t="inlineStr">
        <is>
          <t>Higher Education, Corporate Training, Lifelong learning/Adult education</t>
        </is>
      </c>
      <c r="U1332" s="1" t="inlineStr">
        <is>
          <t>Student interfacing, Teacher interfacing, System/Administrative</t>
        </is>
      </c>
      <c r="V1332" s="1" t="inlineStr">
        <is>
          <t>Tosa Desktop</t>
        </is>
      </c>
      <c r="W1332" s="1" t="inlineStr">
        <is>
          <t>Tosa Desktop offers assessment and certification tests on in-demand office automation skills.</t>
        </is>
      </c>
      <c r="X1332" s="10" t="inlineStr">
        <is>
          <t>Tosa Digital</t>
        </is>
      </c>
      <c r="Y1332" t="inlineStr">
        <is>
          <t>Our Tosa Digital offering assess and certify digital literacy (DigComp) or end-user cyber responsibility skills.</t>
        </is>
      </c>
      <c r="Z1332" s="1" t="inlineStr">
        <is>
          <t>https://drive.google.com/uc?export=view&amp;id=16TJ0KiiE1Fu1-OeWrfghjROa8pbt_KKG</t>
        </is>
      </c>
      <c r="AA1332" s="1" t="inlineStr">
        <is>
          <t>Unverified</t>
        </is>
      </c>
      <c r="AB1332" s="1" t="n"/>
      <c r="AC1332" s="1" t="n"/>
      <c r="AD1332" s="10" t="n"/>
      <c r="AE1332" s="1" t="n"/>
      <c r="AF1332" s="1" t="inlineStr">
        <is>
          <t>Yes</t>
        </is>
      </c>
      <c r="AG1332" s="1" t="inlineStr">
        <is>
          <t>https://www.linkedin.com/company/tosacertifications/</t>
        </is>
      </c>
      <c r="AH1332" s="1" t="inlineStr">
        <is>
          <t>https://www.linkedin.com/company/tosacertifications/</t>
        </is>
      </c>
      <c r="AI1332" t="inlineStr">
        <is>
          <t>https://www.linkedin.com/company/tosacertifications/</t>
        </is>
      </c>
    </row>
    <row r="1333" ht="12.5" customHeight="1">
      <c r="A1333" s="6" t="n">
        <v>45181</v>
      </c>
      <c r="B1333" s="1" t="inlineStr">
        <is>
          <t>ORG_2469</t>
        </is>
      </c>
      <c r="C1333" s="1" t="b">
        <v>1</v>
      </c>
      <c r="D1333" s="1" t="inlineStr">
        <is>
          <t>Unly</t>
        </is>
      </c>
      <c r="E1333" s="10" t="inlineStr">
        <is>
          <t>https://unly.org/</t>
        </is>
      </c>
      <c r="F1333" t="inlineStr">
        <is>
          <t>unly.org</t>
        </is>
      </c>
      <c r="G1333" s="1" t="inlineStr">
        <is>
          <t>Unly is a socially responsible company, fighting inequality and facilitating access to higher education. Unly is committed to making education more inclusive, through responsible funding for students.
Unly is powering Propulseo, a program led by an association, whose goal is to identify and help students with high potential.
👉 https://propulseo.unly.org/
👉 https://femmes-dans-la-tech.propulseo.unly.org/
We also provide technological solutions to help students find the necessary funding for their studies.
👉 https://solidarity.unly.org/
We proudly participate in many TechForGood initiatives and regularly engage as part of open-source software initiatives.
👉 https://github.com/UnlyEd/</t>
        </is>
      </c>
      <c r="H1333" s="1" t="inlineStr">
        <is>
          <t>EdTech France</t>
        </is>
      </c>
      <c r="I1333" s="1" t="n"/>
      <c r="J1333" s="1" t="inlineStr">
        <is>
          <t>Lyon</t>
        </is>
      </c>
      <c r="K1333" t="inlineStr">
        <is>
          <t>Lyon</t>
        </is>
      </c>
      <c r="L1333" t="inlineStr">
        <is>
          <t>Lyon, France</t>
        </is>
      </c>
      <c r="M1333" t="n">
        <v>45.7578137</v>
      </c>
      <c r="N1333" t="n">
        <v>4.8320114</v>
      </c>
      <c r="O1333" s="1" t="inlineStr">
        <is>
          <t>France</t>
        </is>
      </c>
      <c r="P1333" s="1" t="inlineStr">
        <is>
          <t>France</t>
        </is>
      </c>
      <c r="Q1333" s="1" t="inlineStr">
        <is>
          <t>0 to 10</t>
        </is>
      </c>
      <c r="R1333" t="inlineStr">
        <is>
          <t>Micro</t>
        </is>
      </c>
      <c r="S1333" s="1" t="inlineStr">
        <is>
          <t>Business to Consumer, Business to Government, Business to Schools</t>
        </is>
      </c>
      <c r="T1333" s="1" t="inlineStr">
        <is>
          <t>Higher Education</t>
        </is>
      </c>
      <c r="U1333" s="1" t="inlineStr">
        <is>
          <t>System/Administrative, Student interfacing</t>
        </is>
      </c>
      <c r="V1333" s="10" t="inlineStr">
        <is>
          <t>Propulseo</t>
        </is>
      </c>
      <c r="W1333" s="10" t="inlineStr">
        <is>
          <t>Propulseo supports higher education students and acts to prevent financial difficulties, school dropout out and unequal access to education.
Propulseo identifies talented students and provides them with a scholarship and one-year mentorship program. These resources are provided by partner companies, committed to supporting equal opportunities for all students. 
In 2021, Propulseo raised 100 000 € and supported 30 students.
👉 https://propulseo.unly.org/</t>
        </is>
      </c>
      <c r="X1333" s="10" t="inlineStr">
        <is>
          <t>The Funding Place</t>
        </is>
      </c>
      <c r="Y1333" t="inlineStr">
        <is>
          <t>TFP is a white labeled platform where students, parents and prospects can find all financing solutions that apply for their personal situation.
For schools, TFP helps convert prospects into enrolled students by providing an early answer to the finance-related questions.
It also helps to save time, by providing a web-accessible way for students to find solutions by themselves, without bothering your staff.
It also provides with advices and a loan calculator.
This product is mainly used by higher education institutions. A few examples:
- https://financial-advisor.grenoble-em.com/en
- https://financer-mes-etudes.em-normandie.com/en</t>
        </is>
      </c>
      <c r="Z1333" s="1" t="inlineStr">
        <is>
          <t>https://drive.google.com/uc?export=view&amp;id=1xliyHvm-rirbaW4SkkXooG2ouNpBrCl0</t>
        </is>
      </c>
      <c r="AA1333" s="1" t="inlineStr">
        <is>
          <t>Unverified</t>
        </is>
      </c>
      <c r="AB1333" s="1" t="n"/>
      <c r="AC1333" s="1" t="n"/>
      <c r="AD1333" s="10" t="n"/>
      <c r="AE1333" s="1" t="n"/>
      <c r="AF1333" t="inlineStr">
        <is>
          <t>Yes</t>
        </is>
      </c>
      <c r="AG1333" t="inlineStr">
        <is>
          <t>https://www.instagram.com/propulseo/</t>
        </is>
      </c>
      <c r="AH1333" t="inlineStr">
        <is>
          <t>https://twitter.com/unlyed</t>
        </is>
      </c>
      <c r="AI1333" t="inlineStr">
        <is>
          <t>https://www.linkedin.com/company/unly/</t>
        </is>
      </c>
    </row>
    <row r="1334" ht="12.5" customHeight="1">
      <c r="A1334" s="6" t="n">
        <v>45181</v>
      </c>
      <c r="B1334" s="1" t="inlineStr">
        <is>
          <t>ORG_2474</t>
        </is>
      </c>
      <c r="C1334" s="1" t="b">
        <v>1</v>
      </c>
      <c r="D1334" s="1" t="inlineStr">
        <is>
          <t>Upskyld</t>
        </is>
      </c>
      <c r="E1334" s="10" t="inlineStr">
        <is>
          <t>upskyld.com</t>
        </is>
      </c>
      <c r="F1334" t="inlineStr">
        <is>
          <t>upskyld.com</t>
        </is>
      </c>
      <c r="G1334" s="1" t="inlineStr">
        <is>
          <t>According to Forbes over 70% of employees are concerned that they might lose their job to AI … due to a lack of knowledge.
Keeping up to date, to understand and leverage fast moving topics is a losing battle for employees’ time and attention. 
Without constant upskilling, make no mistake, a company's competitive edge will fade into oblivion as the market races with unstoppable force.
Upskyld unlocks the potential of podcasts, using AI to provide a personalized learning experience to lead in highly competitive markets.
We provide accurate reporting, effective tracking of learning progress, essential to maintain and enhance professionals’ skill sets. Our mission is to help to foster a culture of continuous learning, to keep teams sharp and prepared to comprehend, grow and lead in an ever-evolving world.</t>
        </is>
      </c>
      <c r="H1334" s="1" t="inlineStr">
        <is>
          <t>EdTech Austria, EdTech France, SuperCharger Ventures, Swiss EdTech Collider, LearnTech Hub</t>
        </is>
      </c>
      <c r="I1334" s="1" t="inlineStr">
        <is>
          <t>English, French, German</t>
        </is>
      </c>
      <c r="J1334" s="1" t="inlineStr">
        <is>
          <t>Paris</t>
        </is>
      </c>
      <c r="K1334" t="inlineStr">
        <is>
          <t>Paris</t>
        </is>
      </c>
      <c r="L1334" t="inlineStr">
        <is>
          <t>Paris, France</t>
        </is>
      </c>
      <c r="M1334" t="n">
        <v>48.8534951</v>
      </c>
      <c r="N1334" t="n">
        <v>2.3483915</v>
      </c>
      <c r="O1334" s="1" t="inlineStr">
        <is>
          <t>France</t>
        </is>
      </c>
      <c r="P1334" s="1" t="inlineStr">
        <is>
          <t>Austria, Belgium, Denmark, Finland, France, Germany, Greece, Hungary, Ireland, Italy, Netherlands, Norway, Poland, Portugal, Romania, Spain, Switzerland, United Kingdom</t>
        </is>
      </c>
      <c r="Q1334" s="1" t="inlineStr">
        <is>
          <t>0 to 2</t>
        </is>
      </c>
      <c r="R1334" t="inlineStr">
        <is>
          <t>Solo entrepreneur</t>
        </is>
      </c>
      <c r="S1334" s="1" t="inlineStr">
        <is>
          <t>Business to Consumer, Business to Schools</t>
        </is>
      </c>
      <c r="T1334" s="1" t="inlineStr">
        <is>
          <t>Corporate Training, Lifelong learning/Adult education</t>
        </is>
      </c>
      <c r="U1334" s="1" t="inlineStr">
        <is>
          <t>System/Administrative, Student interfacing</t>
        </is>
      </c>
      <c r="V1334" s="1" t="inlineStr">
        <is>
          <t>Upskyld</t>
        </is>
      </c>
      <c r="W1334" s="1" t="inlineStr">
        <is>
          <t>Learning faster &amp; better thanks to personalised podcast content in a learning experience.
Upskyld is an app with AI-based recommendation engine involving criteria like skills, languages, time and goals, automated generated assessment tests, and structured content to reuse.
Competitive advantage? Podcast Episodes curation based on educational criteria, recommendation/selection instead of a catalogue, assessment, gamification and structured notes.</t>
        </is>
      </c>
      <c r="X1334" s="10" t="inlineStr">
        <is>
          <t>https://drive.google.com/uc?export=view&amp;id=1Xzopr91dmMwctfgSfU4v-O8hqe2GTrjr</t>
        </is>
      </c>
      <c r="Y1334" t="inlineStr">
        <is>
          <t>https://drive.google.com/uc?export=view&amp;id=1Xzopr91dmMwctfgSfU4v-O8hqe2GTrjr</t>
        </is>
      </c>
      <c r="Z1334" s="1" t="inlineStr">
        <is>
          <t>https://drive.google.com/uc?export=view&amp;id=1Xzopr91dmMwctfgSfU4v-O8hqe2GTrjr</t>
        </is>
      </c>
      <c r="AA1334" s="1" t="inlineStr">
        <is>
          <t>Unverified</t>
        </is>
      </c>
      <c r="AB1334" s="1" t="n"/>
      <c r="AC1334" s="1" t="n"/>
      <c r="AD1334" s="10" t="n"/>
      <c r="AE1334" s="1" t="n"/>
      <c r="AF1334" s="1" t="inlineStr">
        <is>
          <t>Yes</t>
        </is>
      </c>
      <c r="AG1334" s="1" t="inlineStr">
        <is>
          <t>https://www.linkedin.com/company/84367156/</t>
        </is>
      </c>
      <c r="AH1334" s="1" t="inlineStr">
        <is>
          <t>https://www.linkedin.com/company/84367156/</t>
        </is>
      </c>
      <c r="AI1334" t="inlineStr">
        <is>
          <t>https://www.linkedin.com/company/84367156/</t>
        </is>
      </c>
    </row>
    <row r="1335" ht="12.5" customHeight="1">
      <c r="A1335" s="6" t="n">
        <v>45181</v>
      </c>
      <c r="B1335" s="1" t="inlineStr">
        <is>
          <t>ORG_2483</t>
        </is>
      </c>
      <c r="C1335" s="1" t="b">
        <v>1</v>
      </c>
      <c r="D1335" s="1" t="inlineStr">
        <is>
          <t>VBuddies™</t>
        </is>
      </c>
      <c r="E1335" s="10" t="inlineStr">
        <is>
          <t>https://www.vbuddies.world/</t>
        </is>
      </c>
      <c r="F1335" t="inlineStr">
        <is>
          <t>vbuddies.world</t>
        </is>
      </c>
      <c r="G1335" s="1" t="inlineStr">
        <is>
          <t>Connecting Locally, Communicating Globally!
VBuddies™ is social metaverse platform connecting young people to exchange native languages, local culture and knowledge.
VBuddies™ is powered by UK based Metaverse Tech Ltd.</t>
        </is>
      </c>
      <c r="H1335" s="1" t="inlineStr">
        <is>
          <t>I'm not part of any EdTech association</t>
        </is>
      </c>
      <c r="I1335" s="1" t="n"/>
      <c r="J1335" s="1" t="inlineStr">
        <is>
          <t>Bishops Stortford</t>
        </is>
      </c>
      <c r="K1335" t="inlineStr">
        <is>
          <t>Bishops Stortford</t>
        </is>
      </c>
      <c r="L1335" t="inlineStr">
        <is>
          <t>Bishops Stortford, United Kingdom</t>
        </is>
      </c>
      <c r="M1335" t="n">
        <v>51.8676279</v>
      </c>
      <c r="N1335" t="n">
        <v>0.1631961</v>
      </c>
      <c r="O1335" s="1" t="inlineStr">
        <is>
          <t>United Kingdom</t>
        </is>
      </c>
      <c r="P1335" s="1" t="inlineStr">
        <is>
          <t>United Kingdom</t>
        </is>
      </c>
      <c r="Q1335" s="1" t="inlineStr">
        <is>
          <t>0 to 10</t>
        </is>
      </c>
      <c r="R1335" t="inlineStr">
        <is>
          <t>Micro</t>
        </is>
      </c>
      <c r="S1335" s="1" t="inlineStr">
        <is>
          <t>Business to Consumer, Business to Schools</t>
        </is>
      </c>
      <c r="T1335" s="1" t="inlineStr">
        <is>
          <t>Secondary Education, Higher Education</t>
        </is>
      </c>
      <c r="U1335" s="1" t="inlineStr">
        <is>
          <t>System/Administrative, Student interfacing, Teacher interfacing</t>
        </is>
      </c>
      <c r="V1335" s="1" t="n"/>
      <c r="W1335" s="1" t="inlineStr">
        <is>
          <t>https://drive.google.com/uc?export=view&amp;id=10i9jLilfNja6oiGYWjSn4mxhYbB7_55O</t>
        </is>
      </c>
      <c r="X1335" s="1" t="inlineStr">
        <is>
          <t>https://drive.google.com/uc?export=view&amp;id=10i9jLilfNja6oiGYWjSn4mxhYbB7_55O</t>
        </is>
      </c>
      <c r="Y1335" t="inlineStr">
        <is>
          <t>https://drive.google.com/uc?export=view&amp;id=10i9jLilfNja6oiGYWjSn4mxhYbB7_55O</t>
        </is>
      </c>
      <c r="Z1335" s="1" t="inlineStr">
        <is>
          <t>https://drive.google.com/uc?export=view&amp;id=10i9jLilfNja6oiGYWjSn4mxhYbB7_55O</t>
        </is>
      </c>
      <c r="AA1335" s="1" t="inlineStr">
        <is>
          <t>Unverified</t>
        </is>
      </c>
      <c r="AB1335" s="1" t="n"/>
      <c r="AC1335" s="1" t="n"/>
      <c r="AD1335" s="10" t="n"/>
      <c r="AE1335" s="1" t="n"/>
      <c r="AF1335" t="inlineStr">
        <is>
          <t>No</t>
        </is>
      </c>
    </row>
    <row r="1336" ht="12.5" customHeight="1">
      <c r="A1336" s="6" t="n">
        <v>45181</v>
      </c>
      <c r="B1336" s="1" t="inlineStr">
        <is>
          <t>ORG_2485</t>
        </is>
      </c>
      <c r="C1336" s="1" t="b">
        <v>1</v>
      </c>
      <c r="D1336" s="1" t="inlineStr">
        <is>
          <t>VerifyEd</t>
        </is>
      </c>
      <c r="E1336" s="10" t="inlineStr">
        <is>
          <t>VerifyEd.io</t>
        </is>
      </c>
      <c r="F1336" t="inlineStr">
        <is>
          <t>verifyed.io</t>
        </is>
      </c>
      <c r="G1336" s="1" t="inlineStr">
        <is>
          <t>VerifyEd uses blockchain to issue digital certificates across education. From degrees and CPD to short courses and practical skills, VerifyEd is revolutionising the way credentials are issued, stacked and shared for Universities like Middlesex, Winchester and the LIS as well as for professional bodies like the Law Society of Ireland.
Issuing via blockchain means certificates are cheaper than printed alternatives, whilst being fully automated, carbon-neutral and immutable, helping providers make cost and time savings, achieve sustainability targets, and maintain reputation by protecting against certificate fraud.
Our digital certificates and credentials are also far better at surfacing skills a learner has gained through their learning lives and achieved through many different learning experiences. They are also instantly verified for free, a step change from the current cost of £12 per UK degree verification. Learners can share collections of their credentials online with employers, recruiters and other networks, opening up global employment opportunities as remote working continues to accelerate.</t>
        </is>
      </c>
      <c r="H1336" s="1" t="inlineStr">
        <is>
          <t>I'm not part of any EdTech association</t>
        </is>
      </c>
      <c r="I1336" s="1" t="n"/>
      <c r="J1336" s="1" t="inlineStr">
        <is>
          <t>Lymington</t>
        </is>
      </c>
      <c r="K1336" t="inlineStr">
        <is>
          <t>Lymington</t>
        </is>
      </c>
      <c r="L1336" t="inlineStr">
        <is>
          <t>Lymington, United Kingdom</t>
        </is>
      </c>
      <c r="M1336" t="n">
        <v>50.7583753</v>
      </c>
      <c r="N1336" t="n">
        <v>-1.5426885</v>
      </c>
      <c r="O1336" s="1" t="inlineStr">
        <is>
          <t>United Kingdom</t>
        </is>
      </c>
      <c r="P1336" s="1" t="inlineStr">
        <is>
          <t>United Kingdom</t>
        </is>
      </c>
      <c r="Q1336" s="1" t="inlineStr">
        <is>
          <t>0 to 10</t>
        </is>
      </c>
      <c r="R1336" t="inlineStr">
        <is>
          <t>Micro</t>
        </is>
      </c>
      <c r="S1336" s="1" t="inlineStr">
        <is>
          <t>Business to Consumer, Business to Schools</t>
        </is>
      </c>
      <c r="T1336" s="1" t="inlineStr">
        <is>
          <t>Higher Education, Corporate Training, Lifelong learning/Adult education</t>
        </is>
      </c>
      <c r="U1336" s="1" t="inlineStr">
        <is>
          <t>System/Administrative</t>
        </is>
      </c>
      <c r="V1336" s="1" t="n"/>
      <c r="W1336" s="1" t="inlineStr">
        <is>
          <t>https://drive.google.com/uc?export=view&amp;id=1pHCmazhqzvaA7TrkPFo6jXqqaA7vX16C</t>
        </is>
      </c>
      <c r="X1336" s="1" t="inlineStr">
        <is>
          <t>https://drive.google.com/uc?export=view&amp;id=1pHCmazhqzvaA7TrkPFo6jXqqaA7vX16C</t>
        </is>
      </c>
      <c r="Y1336" t="inlineStr">
        <is>
          <t>https://drive.google.com/uc?export=view&amp;id=1pHCmazhqzvaA7TrkPFo6jXqqaA7vX16C</t>
        </is>
      </c>
      <c r="Z1336" s="1" t="inlineStr">
        <is>
          <t>https://drive.google.com/uc?export=view&amp;id=1pHCmazhqzvaA7TrkPFo6jXqqaA7vX16C</t>
        </is>
      </c>
      <c r="AA1336" s="1" t="inlineStr">
        <is>
          <t>Unverified</t>
        </is>
      </c>
      <c r="AB1336" s="1" t="n"/>
      <c r="AC1336" s="1" t="n"/>
      <c r="AD1336" s="10" t="n"/>
      <c r="AE1336" s="1" t="n"/>
      <c r="AF1336" t="inlineStr">
        <is>
          <t>No</t>
        </is>
      </c>
    </row>
    <row r="1337" ht="12.5" customHeight="1">
      <c r="A1337" s="6" t="n">
        <v>45181</v>
      </c>
      <c r="B1337" s="1" t="inlineStr">
        <is>
          <t>ORG_2521</t>
        </is>
      </c>
      <c r="C1337" s="1" t="b">
        <v>1</v>
      </c>
      <c r="D1337" s="1" t="inlineStr">
        <is>
          <t>Weeki</t>
        </is>
      </c>
      <c r="E1337" s="10" t="inlineStr">
        <is>
          <t>weeki.io</t>
        </is>
      </c>
      <c r="F1337" t="inlineStr">
        <is>
          <t>weeki.io</t>
        </is>
      </c>
      <c r="G1337" s="1" t="inlineStr">
        <is>
          <t>Online scientific collaborative whiteboard.</t>
        </is>
      </c>
      <c r="H1337" s="1" t="inlineStr">
        <is>
          <t>I'm not part of any EdTech association</t>
        </is>
      </c>
      <c r="I1337" s="1" t="n"/>
      <c r="J1337" s="1" t="inlineStr">
        <is>
          <t>Avenue Leon Jouhaux</t>
        </is>
      </c>
      <c r="K1337" t="inlineStr">
        <is>
          <t>Avenue Leon Jouhaux</t>
        </is>
      </c>
      <c r="L1337" t="inlineStr">
        <is>
          <t>Avenue Leon Jouhaux, France</t>
        </is>
      </c>
      <c r="O1337" s="1" t="inlineStr">
        <is>
          <t>France</t>
        </is>
      </c>
      <c r="P133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United Kingdom</t>
        </is>
      </c>
      <c r="Q1337" s="1" t="inlineStr">
        <is>
          <t>0 to 10</t>
        </is>
      </c>
      <c r="R1337" t="inlineStr">
        <is>
          <t>Micro</t>
        </is>
      </c>
      <c r="S1337" s="1" t="inlineStr">
        <is>
          <t>Business to Government, Business to Schools</t>
        </is>
      </c>
      <c r="T1337" s="1" t="inlineStr">
        <is>
          <t>Higher Education, Corporate Training</t>
        </is>
      </c>
      <c r="U1337" s="1" t="inlineStr">
        <is>
          <t>Student interfacing, Teacher interfacing</t>
        </is>
      </c>
      <c r="V1337" s="1" t="inlineStr">
        <is>
          <t>Weeki</t>
        </is>
      </c>
      <c r="W1337" s="1" t="inlineStr">
        <is>
          <t>Unlimited scientific online collaborative whiteboard.</t>
        </is>
      </c>
      <c r="X1337" s="1" t="inlineStr">
        <is>
          <t>https://drive.google.com/uc?export=view&amp;id=1WyeJb8cH6GRodx1C35_AgaVsCU2aTXOu</t>
        </is>
      </c>
      <c r="Y1337" t="inlineStr">
        <is>
          <t>https://drive.google.com/uc?export=view&amp;id=1WyeJb8cH6GRodx1C35_AgaVsCU2aTXOu</t>
        </is>
      </c>
      <c r="Z1337" s="1" t="inlineStr">
        <is>
          <t>https://drive.google.com/uc?export=view&amp;id=1WyeJb8cH6GRodx1C35_AgaVsCU2aTXOu</t>
        </is>
      </c>
      <c r="AA1337" s="1" t="inlineStr">
        <is>
          <t>Unverified</t>
        </is>
      </c>
      <c r="AB1337" s="1" t="n"/>
      <c r="AC1337" s="1" t="n"/>
      <c r="AD1337" s="10" t="n"/>
      <c r="AE1337" s="1" t="n"/>
      <c r="AF1337" t="inlineStr">
        <is>
          <t>No</t>
        </is>
      </c>
    </row>
    <row r="1338" ht="12.5" customHeight="1">
      <c r="A1338" s="6" t="n">
        <v>45181</v>
      </c>
      <c r="B1338" s="1" t="inlineStr">
        <is>
          <t>ORG_2524</t>
        </is>
      </c>
      <c r="C1338" s="1" t="b">
        <v>1</v>
      </c>
      <c r="D1338" s="1" t="inlineStr">
        <is>
          <t>WeSchool</t>
        </is>
      </c>
      <c r="E1338" s="10" t="inlineStr">
        <is>
          <t>https://www.weschool.com/en</t>
        </is>
      </c>
      <c r="F1338" t="inlineStr">
        <is>
          <t>weschool.com/en</t>
        </is>
      </c>
      <c r="G1338" s="1" t="inlineStr">
        <is>
          <t>At WeSchool, we’re on a mission to ensure learning never stops by empowering educators and students with a more inclusive, collaborative, and engaging way of learning.</t>
        </is>
      </c>
      <c r="H1338" s="1" t="inlineStr">
        <is>
          <t>I'm not part of any EdTech association</t>
        </is>
      </c>
      <c r="I1338" s="1" t="n"/>
      <c r="J1338" s="1" t="inlineStr">
        <is>
          <t>Milan</t>
        </is>
      </c>
      <c r="K1338" t="inlineStr">
        <is>
          <t>Milan</t>
        </is>
      </c>
      <c r="L1338" t="inlineStr">
        <is>
          <t>Milan, Italy</t>
        </is>
      </c>
      <c r="M1338" t="n">
        <v>45.4641943</v>
      </c>
      <c r="N1338" t="n">
        <v>9.1896346</v>
      </c>
      <c r="O1338" s="1" t="inlineStr">
        <is>
          <t>Italy</t>
        </is>
      </c>
      <c r="P1338" s="1" t="inlineStr">
        <is>
          <t>Albania, Italy</t>
        </is>
      </c>
      <c r="Q1338" s="1" t="inlineStr">
        <is>
          <t>11 to 50</t>
        </is>
      </c>
      <c r="R1338" t="inlineStr">
        <is>
          <t>Small</t>
        </is>
      </c>
      <c r="S1338" s="1" t="inlineStr">
        <is>
          <t>Business to Schools</t>
        </is>
      </c>
      <c r="T1338" s="1" t="inlineStr">
        <is>
          <t>Primary Education, Secondary Education, Higher Education, Corporate Training, Lifelong learning/Adult education</t>
        </is>
      </c>
      <c r="U1338" s="1" t="inlineStr">
        <is>
          <t>Student interfacing, Teacher interfacing, System/Administrative</t>
        </is>
      </c>
      <c r="V1338" s="10" t="inlineStr">
        <is>
          <t>The Platform</t>
        </is>
      </c>
      <c r="W1338" s="10" t="inlineStr">
        <is>
          <t>The WeSchool platform helps teachers and trainers find a flexible and safe space where students have the confidence to collaborate, exchange opinions, foster and test their creativity and skills.
With our tools, educators can put contemporary learning methodologies into practise – such as the flipped classroom or challenge-based learning – and build the best learning path for their students’ growth. Asynchronous assignments paired with synchronous sessions for single students or project groups help engage beyond time and space, creating a truly blended education system.</t>
        </is>
      </c>
      <c r="X1338" s="10" t="n"/>
      <c r="Z1338" s="1" t="n"/>
      <c r="AA1338" s="1" t="inlineStr">
        <is>
          <t>Unverified</t>
        </is>
      </c>
      <c r="AB1338" s="1" t="n"/>
      <c r="AC1338" s="1" t="n"/>
      <c r="AD1338" s="1" t="n"/>
      <c r="AE1338" s="1" t="n"/>
      <c r="AF1338" t="inlineStr">
        <is>
          <t>Yes</t>
        </is>
      </c>
      <c r="AG1338" t="inlineStr">
        <is>
          <t>https://www.instagram.com/weschool_it/</t>
        </is>
      </c>
      <c r="AH1338" t="inlineStr">
        <is>
          <t>https://twitter.com/_weschool</t>
        </is>
      </c>
      <c r="AI1338" t="inlineStr">
        <is>
          <t>https://www.linkedin.com/company/weschool</t>
        </is>
      </c>
    </row>
    <row r="1339" ht="12.5" customHeight="1">
      <c r="A1339" s="6" t="n">
        <v>45181</v>
      </c>
      <c r="B1339" s="1" t="inlineStr">
        <is>
          <t>ORG_2525</t>
        </is>
      </c>
      <c r="C1339" s="1" t="b">
        <v>1</v>
      </c>
      <c r="D1339" s="1" t="inlineStr">
        <is>
          <t>Whaller</t>
        </is>
      </c>
      <c r="E1339" s="10" t="inlineStr">
        <is>
          <t>https://whaller.com</t>
        </is>
      </c>
      <c r="F1339" t="inlineStr">
        <is>
          <t>whaller.com</t>
        </is>
      </c>
      <c r="G1339" s="1" t="inlineStr">
        <is>
          <t>Whaller is a scalable and fully customizable solution that gives companies, schools, government agencies, associations and individuals everything they need to build their own secure social and collaborative networks. 
Networks are built with "spheres". Each sphere is a sealed, independent space, where its members can communicate and collaborate in complete security. Spheres are fully customizable and include a variety of collaboration tools such as messages, chat, video conferencing, document storage with simultaneous co-editing,...
Create a complete digital campus that centralises exchanges, tools and resources for your entire ecosystem: students, faculty, parents, administration and alumni.
- Share public and private messages with network members;
- Store and collaborate on documents thanks to an integrated file box and office suite (Whaller 365);
- Organize meetings and webinars with a variety of video conferencing solutions;
- Assign tasks and follow their progress on a Kanban board;
- Create events and display them in a team calendar;
- Conduct surveys to gather feedback;
- Track network activity with analytics.</t>
        </is>
      </c>
      <c r="H1339" s="1" t="inlineStr">
        <is>
          <t>EdTech France</t>
        </is>
      </c>
      <c r="I1339" s="1" t="n"/>
      <c r="J1339" s="1" t="inlineStr">
        <is>
          <t>Suresnes</t>
        </is>
      </c>
      <c r="K1339" t="inlineStr">
        <is>
          <t>Suresnes</t>
        </is>
      </c>
      <c r="L1339" t="inlineStr">
        <is>
          <t>Suresnes, France</t>
        </is>
      </c>
      <c r="M1339" t="n">
        <v>48.8709053</v>
      </c>
      <c r="N1339" t="n">
        <v>2.2255727</v>
      </c>
      <c r="O1339" s="1" t="inlineStr">
        <is>
          <t>France</t>
        </is>
      </c>
      <c r="P1339" s="1" t="inlineStr">
        <is>
          <t>France, Germany, Spain, United Kingdom</t>
        </is>
      </c>
      <c r="Q1339" s="1" t="inlineStr">
        <is>
          <t>11 to 50</t>
        </is>
      </c>
      <c r="R1339" t="inlineStr">
        <is>
          <t>Small</t>
        </is>
      </c>
      <c r="S1339" s="1" t="inlineStr">
        <is>
          <t>Business to Schools</t>
        </is>
      </c>
      <c r="T1339" s="1" t="inlineStr">
        <is>
          <t>Secondary Education, Higher Education, Corporate Training, Lifelong learning/Adult education</t>
        </is>
      </c>
      <c r="U1339" s="1" t="inlineStr">
        <is>
          <t>System/Administrative, Student interfacing, Teacher interfacing</t>
        </is>
      </c>
      <c r="V1339" s="1" t="inlineStr">
        <is>
          <t>Whaller</t>
        </is>
      </c>
      <c r="W1339" s="10" t="inlineStr">
        <is>
          <t>The secure social and collaborative platform. Whaller is designed for all types of organisations, especially educational institutions. Create a complete digital campus that centralises exchanges, tools and resources for your entire ecosystem: students, faculty, parents, administration and alumni.</t>
        </is>
      </c>
      <c r="X1339" s="10" t="inlineStr">
        <is>
          <t>https://drive.google.com/uc?export=view&amp;id=1rXK3BL3xTvEp6YnOoCvY4uKcofHyRN1m</t>
        </is>
      </c>
      <c r="Y1339" t="inlineStr">
        <is>
          <t>https://drive.google.com/uc?export=view&amp;id=1rXK3BL3xTvEp6YnOoCvY4uKcofHyRN1m</t>
        </is>
      </c>
      <c r="Z1339" s="1" t="inlineStr">
        <is>
          <t>https://drive.google.com/uc?export=view&amp;id=1rXK3BL3xTvEp6YnOoCvY4uKcofHyRN1m</t>
        </is>
      </c>
      <c r="AA1339" s="1" t="inlineStr">
        <is>
          <t>Unverified</t>
        </is>
      </c>
      <c r="AB1339" s="1" t="n"/>
      <c r="AC1339" s="1" t="n"/>
      <c r="AD1339" s="10" t="n"/>
      <c r="AE1339" s="1" t="n"/>
      <c r="AF1339" t="inlineStr">
        <is>
          <t>Yes</t>
        </is>
      </c>
      <c r="AG1339" t="inlineStr">
        <is>
          <t>https://twitter.com/whaller_en</t>
        </is>
      </c>
      <c r="AH1339" t="inlineStr">
        <is>
          <t>https://twitter.com/whaller_en</t>
        </is>
      </c>
      <c r="AI1339" t="inlineStr">
        <is>
          <t>https://www.linkedin.com/company/whaller</t>
        </is>
      </c>
    </row>
    <row r="1340" ht="12.5" customHeight="1">
      <c r="A1340" s="6" t="n">
        <v>45181</v>
      </c>
      <c r="B1340" s="1" t="inlineStr">
        <is>
          <t>ORG_1023</t>
        </is>
      </c>
      <c r="C1340" s="1" t="b">
        <v>1</v>
      </c>
      <c r="D1340" s="1" t="inlineStr">
        <is>
          <t>academa</t>
        </is>
      </c>
      <c r="E1340" s="10" t="inlineStr">
        <is>
          <t>https://academa.de/</t>
        </is>
      </c>
      <c r="F1340" t="inlineStr">
        <is>
          <t>academa.de</t>
        </is>
      </c>
      <c r="G1340" s="1" t="inlineStr">
        <is>
          <t>Combining a team of experts on the public sector, entrepreneurship, and educational technology, we are building academa.de. Based on high-quality online courses, learning data, and an intelligent customer experience, we enable government employees to become lifelong learners.</t>
        </is>
      </c>
      <c r="H1340" s="1" t="inlineStr">
        <is>
          <t>I'm not part of any EdTech association</t>
        </is>
      </c>
      <c r="I1340" s="1" t="n"/>
      <c r="J1340" s="1" t="inlineStr">
        <is>
          <t>Aachen</t>
        </is>
      </c>
      <c r="K1340" t="inlineStr">
        <is>
          <t>Aachen</t>
        </is>
      </c>
      <c r="L1340" t="inlineStr">
        <is>
          <t>Aachen, Germany</t>
        </is>
      </c>
      <c r="M1340" t="n">
        <v>50.776351</v>
      </c>
      <c r="N1340" t="n">
        <v>6.083862</v>
      </c>
      <c r="O1340" s="1" t="inlineStr">
        <is>
          <t>Germany</t>
        </is>
      </c>
      <c r="P1340" s="1" t="inlineStr">
        <is>
          <t>Germany</t>
        </is>
      </c>
      <c r="Q1340" s="1" t="inlineStr">
        <is>
          <t>0 to 10</t>
        </is>
      </c>
      <c r="R1340" t="inlineStr">
        <is>
          <t>Micro</t>
        </is>
      </c>
      <c r="S1340" s="1" t="inlineStr">
        <is>
          <t>Business to Business</t>
        </is>
      </c>
      <c r="T1340" s="1" t="inlineStr">
        <is>
          <t>Corporate Training, Lifelong learning/Adult education</t>
        </is>
      </c>
      <c r="U1340" s="1" t="inlineStr">
        <is>
          <t>Student interfacing, System/Administrative</t>
        </is>
      </c>
      <c r="V1340" s="1" t="n"/>
      <c r="W1340" s="1" t="inlineStr">
        <is>
          <t>https://drive.google.com/uc?export=view&amp;id=1AQgpgCyLZeGulCay7lylWpMPdiT_xw-u</t>
        </is>
      </c>
      <c r="X1340" s="1" t="inlineStr">
        <is>
          <t>https://drive.google.com/uc?export=view&amp;id=1AQgpgCyLZeGulCay7lylWpMPdiT_xw-u</t>
        </is>
      </c>
      <c r="Y1340" t="inlineStr">
        <is>
          <t>https://drive.google.com/uc?export=view&amp;id=1AQgpgCyLZeGulCay7lylWpMPdiT_xw-u</t>
        </is>
      </c>
      <c r="Z1340" s="1" t="inlineStr">
        <is>
          <t>https://drive.google.com/uc?export=view&amp;id=1AQgpgCyLZeGulCay7lylWpMPdiT_xw-u</t>
        </is>
      </c>
      <c r="AA1340" s="1" t="inlineStr">
        <is>
          <t>Unverified</t>
        </is>
      </c>
      <c r="AB1340" s="1" t="n"/>
      <c r="AC1340" s="1" t="n"/>
      <c r="AD1340" s="10" t="n"/>
      <c r="AE1340" s="1" t="n"/>
      <c r="AF1340" t="inlineStr">
        <is>
          <t>No</t>
        </is>
      </c>
    </row>
    <row r="1341" ht="12.5" customHeight="1">
      <c r="A1341" s="6" t="n">
        <v>45181</v>
      </c>
      <c r="B1341" s="1" t="inlineStr">
        <is>
          <t>ORG_1038</t>
        </is>
      </c>
      <c r="C1341" s="1" t="b">
        <v>1</v>
      </c>
      <c r="D1341" s="1" t="inlineStr">
        <is>
          <t>Admentum</t>
        </is>
      </c>
      <c r="E1341" s="10" t="inlineStr">
        <is>
          <t>www.admentum.se</t>
        </is>
      </c>
      <c r="F1341" t="inlineStr">
        <is>
          <t>admentum.se</t>
        </is>
      </c>
      <c r="G1341" s="1" t="inlineStr">
        <is>
          <t>Admentum is the result of many years of experience in the school system and was founded in 2013 out of a passion for school, modern technology and smart solutions. Our name is a combination of the words Administration and Momentum - which is what we know best. We are your new solution for administering your primary school, your high school or your student health.</t>
        </is>
      </c>
      <c r="H1341" s="1" t="n"/>
      <c r="I1341" s="1" t="n"/>
      <c r="J1341" s="1" t="inlineStr">
        <is>
          <t>Nacka</t>
        </is>
      </c>
      <c r="K1341" t="inlineStr">
        <is>
          <t>Nacka</t>
        </is>
      </c>
      <c r="L1341" t="inlineStr">
        <is>
          <t>Nacka, Sweden</t>
        </is>
      </c>
      <c r="M1341" t="n">
        <v>59.3099477</v>
      </c>
      <c r="N1341" t="n">
        <v>18.1677049</v>
      </c>
      <c r="O1341" s="1" t="inlineStr">
        <is>
          <t>Sweden</t>
        </is>
      </c>
      <c r="P1341" s="1" t="inlineStr">
        <is>
          <t>Sweden</t>
        </is>
      </c>
      <c r="Q1341" s="1" t="inlineStr">
        <is>
          <t>0 to 10</t>
        </is>
      </c>
      <c r="R1341" t="inlineStr">
        <is>
          <t>Micro</t>
        </is>
      </c>
      <c r="S1341" s="1" t="inlineStr">
        <is>
          <t>Business to Business</t>
        </is>
      </c>
      <c r="T1341" s="1" t="inlineStr">
        <is>
          <t>Early childhood development (0-5 years), Primary Education, Secondary Education</t>
        </is>
      </c>
      <c r="U1341" s="1" t="inlineStr">
        <is>
          <t>Teacher interfacing, System/Administrative</t>
        </is>
      </c>
      <c r="V1341" s="1" t="inlineStr">
        <is>
          <t>Admentum School</t>
        </is>
      </c>
      <c r="W1341" s="1" t="inlineStr">
        <is>
          <t>Administer your user registry, your grades and written assessments, study plans, attendance and keep in constant contact with the parents. That, and much more, is part of our digital school system Admentum School.</t>
        </is>
      </c>
      <c r="X1341" s="10" t="inlineStr">
        <is>
          <t>Admentum Students Health</t>
        </is>
      </c>
      <c r="Y1341" t="inlineStr">
        <is>
          <t>All student health documentation gathered in one place in a secure digital system with smart solutions. 
Admentum Student Health is revolutionizing the student health team's approach by elevating it into a fully digital and cloud-based environment. The result is a more efficient and safer EHT.</t>
        </is>
      </c>
      <c r="Z1341" s="1" t="inlineStr">
        <is>
          <t>https://drive.google.com/uc?export=view&amp;id=129cHBdnzZ35rpshNhMzjImatpP0vUtiG</t>
        </is>
      </c>
      <c r="AA1341" s="1" t="inlineStr">
        <is>
          <t>Unverified</t>
        </is>
      </c>
      <c r="AB1341" s="1" t="n"/>
      <c r="AC1341" s="1" t="n"/>
      <c r="AD1341" s="10" t="n"/>
      <c r="AE1341" s="1" t="n"/>
      <c r="AF1341" t="inlineStr">
        <is>
          <t>Yes</t>
        </is>
      </c>
      <c r="AG1341" t="inlineStr">
        <is>
          <t>https://www.linkedin.com/company/skolplattformen</t>
        </is>
      </c>
      <c r="AH1341" t="inlineStr">
        <is>
          <t>https://www.linkedin.com/company/skolplattformen</t>
        </is>
      </c>
      <c r="AI1341" t="inlineStr">
        <is>
          <t>https://www.linkedin.com/company/skolplattformen</t>
        </is>
      </c>
    </row>
    <row r="1342" ht="12.5" customHeight="1">
      <c r="A1342" s="6" t="n">
        <v>45181</v>
      </c>
      <c r="B1342" s="1" t="inlineStr">
        <is>
          <t>ORG_1093</t>
        </is>
      </c>
      <c r="C1342" s="1" t="b">
        <v>1</v>
      </c>
      <c r="D1342" s="1" t="inlineStr">
        <is>
          <t>Area9 Lyceum</t>
        </is>
      </c>
      <c r="E1342" s="10" t="inlineStr">
        <is>
          <t>www.area9lyceum.com</t>
        </is>
      </c>
      <c r="F1342" t="inlineStr">
        <is>
          <t>area9lyceum.com</t>
        </is>
      </c>
      <c r="G1342" s="1" t="inlineStr">
        <is>
          <t>Area9 Lyceum brings together more than two decades of learning research and advanced computer science in its next-generation learning platforms for K-12, higher education, and workforce education. As a leader in personalized and adaptive learning, as well as comprehensive infrastructure for learning engineering, design, delivery and analytics at scale, Area9 Lyceum enables clients to realize the future of personalized, multidimensional learning: mastery-based learning. A mastery-based approach enables learners to become proficient in the knowledge and skills that are highly relevant to them, their teams, and organizations. The technologies developed by Area9 are used by millions of learners of all ages and by leading organizations and companies around the world.</t>
        </is>
      </c>
      <c r="H1342" s="1" t="inlineStr">
        <is>
          <t>EdTech Denmark</t>
        </is>
      </c>
      <c r="I1342" s="1" t="n"/>
      <c r="J1342" s="1" t="inlineStr">
        <is>
          <t>Copenhagen K</t>
        </is>
      </c>
      <c r="K1342" t="inlineStr">
        <is>
          <t>Copenhagen K</t>
        </is>
      </c>
      <c r="L1342" t="inlineStr">
        <is>
          <t>Copenhagen K, Denmark</t>
        </is>
      </c>
      <c r="M1342" t="n">
        <v>55.6867243</v>
      </c>
      <c r="N1342" t="n">
        <v>12.5700724</v>
      </c>
      <c r="O1342" s="1" t="inlineStr">
        <is>
          <t>Denmark</t>
        </is>
      </c>
      <c r="P1342" s="1" t="inlineStr">
        <is>
          <t>Austria, Belgium, Denmark, Estonia, France, Germany, Italy, Netherlands, Portugal, Sweden, Switzerland, United Kingdom</t>
        </is>
      </c>
      <c r="Q1342" s="1" t="inlineStr">
        <is>
          <t>100+</t>
        </is>
      </c>
      <c r="R1342" t="inlineStr">
        <is>
          <t>Medium or Large (unspecified)</t>
        </is>
      </c>
      <c r="S1342" s="1" t="inlineStr">
        <is>
          <t>Business to Business</t>
        </is>
      </c>
      <c r="T1342" s="1" t="inlineStr">
        <is>
          <t>Primary Education, Secondary Education, Higher Education, Corporate Training, Lifelong learning/Adult education</t>
        </is>
      </c>
      <c r="U1342" s="1" t="inlineStr">
        <is>
          <t>Student interfacing, Teacher interfacing, System/Administrative</t>
        </is>
      </c>
      <c r="V1342" s="1" t="inlineStr">
        <is>
          <t>Area9 Rhapsode</t>
        </is>
      </c>
      <c r="W1342" s="10" t="inlineStr">
        <is>
          <t>Area9 Rhapsode™ is the world's first four-dimensional AI-enabled adaptive learning platform. It is a cloud-based responsive design, authoring, delivery and reporting system that is compatible with xAPI, and SCORM and integrates seamlessly with LMS's.</t>
        </is>
      </c>
      <c r="X1342" s="10" t="inlineStr">
        <is>
          <t>https://drive.google.com/uc?export=view&amp;id=1p5SxfRPj34o-oHh8fNB7bBDFC4G6dqB_</t>
        </is>
      </c>
      <c r="Y1342" t="inlineStr">
        <is>
          <t>https://drive.google.com/uc?export=view&amp;id=1p5SxfRPj34o-oHh8fNB7bBDFC4G6dqB_</t>
        </is>
      </c>
      <c r="Z1342" s="1" t="inlineStr">
        <is>
          <t>https://drive.google.com/uc?export=view&amp;id=1p5SxfRPj34o-oHh8fNB7bBDFC4G6dqB_</t>
        </is>
      </c>
      <c r="AA1342" s="1" t="inlineStr">
        <is>
          <t>Unverified</t>
        </is>
      </c>
      <c r="AB1342" s="1" t="n"/>
      <c r="AC1342" s="1" t="n"/>
      <c r="AD1342" s="10" t="n"/>
      <c r="AE1342" s="1" t="n"/>
      <c r="AF1342" t="inlineStr">
        <is>
          <t>Yes</t>
        </is>
      </c>
      <c r="AG1342" t="inlineStr">
        <is>
          <t>https://twitter.com/area9lyceum</t>
        </is>
      </c>
      <c r="AH1342" t="inlineStr">
        <is>
          <t>https://twitter.com/area9lyceum</t>
        </is>
      </c>
      <c r="AI1342" t="inlineStr">
        <is>
          <t>https://www.linkedin.com/company/area9lyceum</t>
        </is>
      </c>
    </row>
    <row r="1343" ht="12.5" customHeight="1">
      <c r="A1343" s="6" t="n">
        <v>45181</v>
      </c>
      <c r="B1343" s="1" t="inlineStr">
        <is>
          <t>ORG_1271</t>
        </is>
      </c>
      <c r="C1343" s="1" t="b">
        <v>1</v>
      </c>
      <c r="D1343" s="1" t="inlineStr">
        <is>
          <t>CodeGrade</t>
        </is>
      </c>
      <c r="E1343" s="10" t="inlineStr">
        <is>
          <t>https://codegrade.com</t>
        </is>
      </c>
      <c r="F1343" t="inlineStr">
        <is>
          <t>codegrade.com</t>
        </is>
      </c>
      <c r="G1343" s="1" t="inlineStr">
        <is>
          <t>CodeGrade creates the flexible learning platform for coding education. With CodeGrade, you keep students who are learning to code engaged and motivated. CodeGrade offers a built-in editor, the best autograder on the market and many pedagogical tools with which teachers can effectively teach students how to code.
CodeGrade is used by over 60 educational organizations (mostly higher-ed) globally and radically increases learning outcomes for students.</t>
        </is>
      </c>
      <c r="H1343" s="1" t="inlineStr">
        <is>
          <t>Dutch EdTech</t>
        </is>
      </c>
      <c r="I1343" s="1" t="n"/>
      <c r="J1343" s="1" t="inlineStr">
        <is>
          <t>Amsterdam</t>
        </is>
      </c>
      <c r="K1343" t="inlineStr">
        <is>
          <t>Amsterdam</t>
        </is>
      </c>
      <c r="L1343" t="inlineStr">
        <is>
          <t>Amsterdam, The Netherlands</t>
        </is>
      </c>
      <c r="M1343" t="n">
        <v>52.3701984</v>
      </c>
      <c r="N1343" t="n">
        <v>4.892168</v>
      </c>
      <c r="O1343" s="1" t="inlineStr">
        <is>
          <t>The Netherlands</t>
        </is>
      </c>
      <c r="P1343" s="1" t="inlineStr">
        <is>
          <t>Austria, Belgium, Denmark, Finland, France, Germany, Greece, Iceland, Ireland, Italy, Netherlands, Norway, Portugal, Spain, Sweden, Switzerland, United Kingdom</t>
        </is>
      </c>
      <c r="Q1343" s="1" t="inlineStr">
        <is>
          <t>11 to 50</t>
        </is>
      </c>
      <c r="R1343" t="inlineStr">
        <is>
          <t>Small</t>
        </is>
      </c>
      <c r="S1343" s="1" t="inlineStr">
        <is>
          <t>Business to Business</t>
        </is>
      </c>
      <c r="T1343" s="1" t="inlineStr">
        <is>
          <t>Secondary Education, Higher Education, Corporate Training, Lifelong learning/Adult education</t>
        </is>
      </c>
      <c r="U1343" s="1" t="inlineStr">
        <is>
          <t>Student interfacing, Teacher interfacing, System/Administrative</t>
        </is>
      </c>
      <c r="V1343" s="1" t="inlineStr">
        <is>
          <t>CodeGrade</t>
        </is>
      </c>
      <c r="W1343" s="10" t="inlineStr">
        <is>
          <t>CodeGrade creates the flexible learning platform for coding education. With CodeGrade, you keep students who are learning to code engaged and motivated. CodeGrade offers a built-in editor, the best autograder on the market and many pedagogical tools with which teachers can effectively teach students how to code.</t>
        </is>
      </c>
      <c r="X1343" s="10" t="inlineStr">
        <is>
          <t>https://drive.google.com/uc?export=view&amp;id=13iLT4uxN7ff9vwuvbhxw4GGGXhTIjn92</t>
        </is>
      </c>
      <c r="Y1343" t="inlineStr">
        <is>
          <t>https://drive.google.com/uc?export=view&amp;id=13iLT4uxN7ff9vwuvbhxw4GGGXhTIjn92</t>
        </is>
      </c>
      <c r="Z1343" s="1" t="inlineStr">
        <is>
          <t>https://drive.google.com/uc?export=view&amp;id=13iLT4uxN7ff9vwuvbhxw4GGGXhTIjn92</t>
        </is>
      </c>
      <c r="AA1343" s="1" t="inlineStr">
        <is>
          <t>Unverified</t>
        </is>
      </c>
      <c r="AB1343" s="1" t="n"/>
      <c r="AC1343" s="1" t="n"/>
      <c r="AD1343" s="10" t="n"/>
      <c r="AE1343" s="1" t="n"/>
      <c r="AF1343" t="inlineStr">
        <is>
          <t>Yes</t>
        </is>
      </c>
      <c r="AG1343" t="inlineStr">
        <is>
          <t>https://twitter.com/CodeGradeCom</t>
        </is>
      </c>
      <c r="AH1343" t="inlineStr">
        <is>
          <t>https://twitter.com/CodeGradeCom</t>
        </is>
      </c>
      <c r="AI1343" t="inlineStr">
        <is>
          <t>https://www.linkedin.com/company/codegrade/</t>
        </is>
      </c>
    </row>
    <row r="1344" ht="12.5" customHeight="1">
      <c r="A1344" s="6" t="n">
        <v>45181</v>
      </c>
      <c r="B1344" s="1" t="inlineStr">
        <is>
          <t>ORG_1302</t>
        </is>
      </c>
      <c r="C1344" s="1" t="b">
        <v>1</v>
      </c>
      <c r="D1344" s="1" t="inlineStr">
        <is>
          <t>COSS</t>
        </is>
      </c>
      <c r="E1344" s="10" t="inlineStr">
        <is>
          <t>https://globalcoss.com/</t>
        </is>
      </c>
      <c r="F1344" t="inlineStr">
        <is>
          <t>globalcoss.com</t>
        </is>
      </c>
      <c r="G1344" s="1" t="inlineStr">
        <is>
          <t>COSS is an application for students tomeasure, develop and certify their level of their soft skills level on their CV, like the TOEFL for English.
The student asks for specific feedback on his/her cross-cutting skills in an academic or professional situation professional situation.
COSS certifies competencies over a period of time period. The student publishes a badge and a link attesting to his or her level in the skill when his reliability index reaches the highest score.</t>
        </is>
      </c>
      <c r="H1344" s="1" t="inlineStr">
        <is>
          <t>I'm not part of any EdTech association</t>
        </is>
      </c>
      <c r="I1344" s="1" t="n"/>
      <c r="J1344" s="1" t="inlineStr">
        <is>
          <t>Levallois Perret</t>
        </is>
      </c>
      <c r="K1344" t="inlineStr">
        <is>
          <t>Levallois Perret</t>
        </is>
      </c>
      <c r="L1344" t="inlineStr">
        <is>
          <t>Levallois Perret, France</t>
        </is>
      </c>
      <c r="M1344" t="n">
        <v>48.892956</v>
      </c>
      <c r="N1344" t="n">
        <v>2.2881683</v>
      </c>
      <c r="O1344" s="1" t="inlineStr">
        <is>
          <t>France</t>
        </is>
      </c>
      <c r="P1344" s="1" t="inlineStr">
        <is>
          <t>Belgium, France, Germany, Italy, Luxembourg, Spain, Switzerland, United Kingdom</t>
        </is>
      </c>
      <c r="Q1344" s="1" t="inlineStr">
        <is>
          <t>11 to 50</t>
        </is>
      </c>
      <c r="R1344" t="inlineStr">
        <is>
          <t>Small</t>
        </is>
      </c>
      <c r="S1344" s="1" t="inlineStr">
        <is>
          <t>Business to Business</t>
        </is>
      </c>
      <c r="T1344" s="1" t="inlineStr">
        <is>
          <t>Higher Education, Corporate Training, Lifelong learning/Adult education</t>
        </is>
      </c>
      <c r="U1344" s="1" t="inlineStr">
        <is>
          <t>Student interfacing, Teacher interfacing, System/Administrative</t>
        </is>
      </c>
      <c r="V1344" s="1" t="n"/>
      <c r="W1344" s="1" t="inlineStr">
        <is>
          <t>https://drive.google.com/uc?export=view&amp;id=1mR3HjV2Ubt8jIBhiTSGgwHBfr15aRgaL</t>
        </is>
      </c>
      <c r="X1344" s="1" t="inlineStr">
        <is>
          <t>https://drive.google.com/uc?export=view&amp;id=1mR3HjV2Ubt8jIBhiTSGgwHBfr15aRgaL</t>
        </is>
      </c>
      <c r="Y1344" t="inlineStr">
        <is>
          <t>https://drive.google.com/uc?export=view&amp;id=1mR3HjV2Ubt8jIBhiTSGgwHBfr15aRgaL</t>
        </is>
      </c>
      <c r="Z1344" s="1" t="inlineStr">
        <is>
          <t>https://drive.google.com/uc?export=view&amp;id=1mR3HjV2Ubt8jIBhiTSGgwHBfr15aRgaL</t>
        </is>
      </c>
      <c r="AA1344" s="1" t="inlineStr">
        <is>
          <t>Unverified</t>
        </is>
      </c>
      <c r="AB1344" s="1" t="n"/>
      <c r="AC1344" s="1" t="n"/>
      <c r="AD1344" s="10" t="n"/>
      <c r="AE1344" s="1" t="n"/>
      <c r="AF1344" t="inlineStr">
        <is>
          <t>No</t>
        </is>
      </c>
    </row>
    <row r="1345" ht="12.5" customHeight="1">
      <c r="A1345" s="6" t="n">
        <v>45181</v>
      </c>
      <c r="B1345" s="1" t="inlineStr">
        <is>
          <t>ORG_1364</t>
        </is>
      </c>
      <c r="C1345" s="1" t="b">
        <v>1</v>
      </c>
      <c r="D1345" s="1" t="inlineStr">
        <is>
          <t>Digleefy</t>
        </is>
      </c>
      <c r="E1345" s="10" t="inlineStr">
        <is>
          <t>https://www.digleefy.no/</t>
        </is>
      </c>
      <c r="F1345" t="inlineStr">
        <is>
          <t>digleefy.no</t>
        </is>
      </c>
      <c r="G1345" s="1" t="inlineStr">
        <is>
          <t>Digleefy apply game mechanics for a team based learning experience, enhancing 21st Century Skills, making teams more effective and innovative. We developed a no code platform with a B2B SaaS product ready to accelerate for scale.</t>
        </is>
      </c>
      <c r="H1345" s="1" t="inlineStr">
        <is>
          <t>I'm not part of any EdTech association</t>
        </is>
      </c>
      <c r="I1345" s="1" t="n"/>
      <c r="J1345" s="1" t="inlineStr">
        <is>
          <t>Sarpsborg</t>
        </is>
      </c>
      <c r="K1345" t="inlineStr">
        <is>
          <t>Sarpsborg</t>
        </is>
      </c>
      <c r="L1345" t="inlineStr">
        <is>
          <t>Sarpsborg, Norway</t>
        </is>
      </c>
      <c r="M1345" t="n">
        <v>59.254955</v>
      </c>
      <c r="N1345" t="n">
        <v>11.2297811</v>
      </c>
      <c r="O1345" s="1" t="inlineStr">
        <is>
          <t>Norway</t>
        </is>
      </c>
      <c r="P1345" s="1" t="inlineStr">
        <is>
          <t>Norway</t>
        </is>
      </c>
      <c r="Q1345" s="1" t="inlineStr">
        <is>
          <t>0 to 10</t>
        </is>
      </c>
      <c r="R1345" t="inlineStr">
        <is>
          <t>Micro</t>
        </is>
      </c>
      <c r="S1345" s="1" t="inlineStr">
        <is>
          <t>Business to Business, Business to Consumer</t>
        </is>
      </c>
      <c r="T1345" s="1" t="inlineStr">
        <is>
          <t>Corporate Training</t>
        </is>
      </c>
      <c r="U1345" s="1" t="inlineStr">
        <is>
          <t>Student interfacing, Teacher interfacing, System/Administrative</t>
        </is>
      </c>
      <c r="V1345" s="1" t="n"/>
      <c r="W1345" s="1" t="n"/>
      <c r="X1345" s="1" t="n"/>
      <c r="Z1345" s="1" t="n"/>
      <c r="AA1345" s="1" t="inlineStr">
        <is>
          <t>Unverified</t>
        </is>
      </c>
      <c r="AB1345" s="1" t="n"/>
      <c r="AC1345" s="1" t="n"/>
      <c r="AD1345" s="1" t="n"/>
      <c r="AE1345" s="1" t="n"/>
      <c r="AF1345" s="1" t="inlineStr">
        <is>
          <t>No</t>
        </is>
      </c>
      <c r="AG1345" s="1" t="n"/>
      <c r="AH1345" s="1" t="n"/>
    </row>
    <row r="1346" ht="12.5" customHeight="1">
      <c r="A1346" s="6" t="n">
        <v>45181</v>
      </c>
      <c r="B1346" s="1" t="inlineStr">
        <is>
          <t>ORG_1442</t>
        </is>
      </c>
      <c r="C1346" s="1" t="b">
        <v>1</v>
      </c>
      <c r="D1346" s="1" t="inlineStr">
        <is>
          <t>eduki</t>
        </is>
      </c>
      <c r="E1346" s="10" t="inlineStr">
        <is>
          <t>https://eduki.com/</t>
        </is>
      </c>
      <c r="F1346" t="inlineStr">
        <is>
          <t>eduki.com</t>
        </is>
      </c>
      <c r="G1346" s="1" t="inlineStr">
        <is>
          <t>eduki is an easy-to-use and diverse online platform for teachers to share their self-designed teaching resources. Our mission is to build a place for teachers to connect, where they can find the support and tools they need to deliver the best school education. Our website and app is currently available in German, Spanish and French.</t>
        </is>
      </c>
      <c r="H1346" s="1" t="inlineStr">
        <is>
          <t>I'm not part of any EdTech association</t>
        </is>
      </c>
      <c r="I1346" s="1" t="n"/>
      <c r="J1346" s="1" t="inlineStr">
        <is>
          <t>Berlin</t>
        </is>
      </c>
      <c r="K1346" t="inlineStr">
        <is>
          <t>Berlin</t>
        </is>
      </c>
      <c r="L1346" t="inlineStr">
        <is>
          <t>Berlin, Germany</t>
        </is>
      </c>
      <c r="M1346" t="n">
        <v>52.5173885</v>
      </c>
      <c r="N1346" t="n">
        <v>13.3951309</v>
      </c>
      <c r="O1346" s="1" t="inlineStr">
        <is>
          <t>Germany</t>
        </is>
      </c>
      <c r="P1346" s="1" t="inlineStr">
        <is>
          <t>Austria, France, Germany, Spain, Switzerland</t>
        </is>
      </c>
      <c r="Q1346" s="1" t="inlineStr">
        <is>
          <t>51 to 100</t>
        </is>
      </c>
      <c r="R1346" t="inlineStr">
        <is>
          <t>Medium</t>
        </is>
      </c>
      <c r="S1346" s="1" t="inlineStr">
        <is>
          <t>Business to Business, Business to Consumer</t>
        </is>
      </c>
      <c r="T1346" s="1" t="inlineStr">
        <is>
          <t>Primary Education, Secondary Education</t>
        </is>
      </c>
      <c r="U1346" s="1" t="inlineStr">
        <is>
          <t>Teacher interfacing</t>
        </is>
      </c>
      <c r="V1346" s="1" t="n"/>
      <c r="W1346" s="1" t="inlineStr">
        <is>
          <t>https://drive.google.com/uc?export=view&amp;id=1iqds_j-_bNpFZ4qyiPP_03OWWmOH1_Dl</t>
        </is>
      </c>
      <c r="X1346" s="1" t="inlineStr">
        <is>
          <t>https://drive.google.com/uc?export=view&amp;id=1iqds_j-_bNpFZ4qyiPP_03OWWmOH1_Dl</t>
        </is>
      </c>
      <c r="Y1346" t="inlineStr">
        <is>
          <t>https://drive.google.com/uc?export=view&amp;id=1iqds_j-_bNpFZ4qyiPP_03OWWmOH1_Dl</t>
        </is>
      </c>
      <c r="Z1346" s="1" t="inlineStr">
        <is>
          <t>https://drive.google.com/uc?export=view&amp;id=1iqds_j-_bNpFZ4qyiPP_03OWWmOH1_Dl</t>
        </is>
      </c>
      <c r="AA1346" s="1" t="inlineStr">
        <is>
          <t>Unverified</t>
        </is>
      </c>
      <c r="AB1346" s="1" t="n"/>
      <c r="AC1346" s="1" t="n"/>
      <c r="AD1346" s="10" t="n"/>
      <c r="AE1346" s="1" t="n"/>
      <c r="AF1346" t="inlineStr">
        <is>
          <t>No</t>
        </is>
      </c>
    </row>
    <row r="1347" ht="12.5" customHeight="1">
      <c r="A1347" s="6" t="n">
        <v>45181</v>
      </c>
      <c r="B1347" s="1" t="inlineStr">
        <is>
          <t>ORG_1490</t>
        </is>
      </c>
      <c r="C1347" s="1" t="b">
        <v>1</v>
      </c>
      <c r="D1347" s="1" t="inlineStr">
        <is>
          <t>Emotionhack</t>
        </is>
      </c>
      <c r="E1347" s="10" t="inlineStr">
        <is>
          <t>www.emotionhack.com</t>
        </is>
      </c>
      <c r="F1347" t="inlineStr">
        <is>
          <t>emotionhack.com</t>
        </is>
      </c>
      <c r="G1347" s="1" t="inlineStr">
        <is>
          <t>Emotionhack is a soft-skill learning platform aimed to democratice softskill development to help people to reach their full potential.</t>
        </is>
      </c>
      <c r="H1347" s="1" t="inlineStr">
        <is>
          <t>I'm not part of any EdTech association</t>
        </is>
      </c>
      <c r="I1347" s="1" t="n"/>
      <c r="J1347" s="1" t="inlineStr">
        <is>
          <t>Madrid</t>
        </is>
      </c>
      <c r="K1347" t="inlineStr">
        <is>
          <t>Madrid</t>
        </is>
      </c>
      <c r="L1347" t="inlineStr">
        <is>
          <t>Madrid, Spain</t>
        </is>
      </c>
      <c r="M1347" t="n">
        <v>40.416782</v>
      </c>
      <c r="N1347" t="n">
        <v>-3.703507</v>
      </c>
      <c r="O1347" s="1" t="inlineStr">
        <is>
          <t>Spain</t>
        </is>
      </c>
      <c r="P1347" s="1" t="inlineStr">
        <is>
          <t>Andorra, Austria, Belgium, Bosnia and Herzegovina, Croatia, Czechia, Denmark, Estonia, Finland, France, Germany, Greece, Iceland, Ireland, Italy, Liechtenstein, Lithuania, Luxembourg, Malta, Montenegro, Netherlands, Norway, Poland, Portugal, Slovakia, Slovenia, Spain, Sweden, Switzerland, United Kingdom</t>
        </is>
      </c>
      <c r="Q1347" s="1" t="inlineStr">
        <is>
          <t>0 to 10</t>
        </is>
      </c>
      <c r="R1347" t="inlineStr">
        <is>
          <t>Micro</t>
        </is>
      </c>
      <c r="S1347" s="1" t="inlineStr">
        <is>
          <t>Business to Business, Business to Consumer, Business to Government</t>
        </is>
      </c>
      <c r="T1347" s="1" t="inlineStr">
        <is>
          <t>Higher Education, Corporate Training, Lifelong learning/Adult education</t>
        </is>
      </c>
      <c r="U1347" s="1" t="inlineStr">
        <is>
          <t>Teacher interfacing, Student interfacing, System/Administrative</t>
        </is>
      </c>
      <c r="V1347" s="1" t="n"/>
      <c r="W1347" s="1" t="inlineStr">
        <is>
          <t>https://drive.google.com/uc?export=view&amp;id=1hUDH8ZIJeJAo_8423Be-94k00zOCS1dW</t>
        </is>
      </c>
      <c r="X1347" s="1" t="inlineStr">
        <is>
          <t>https://drive.google.com/uc?export=view&amp;id=1hUDH8ZIJeJAo_8423Be-94k00zOCS1dW</t>
        </is>
      </c>
      <c r="Y1347" t="inlineStr">
        <is>
          <t>https://drive.google.com/uc?export=view&amp;id=1hUDH8ZIJeJAo_8423Be-94k00zOCS1dW</t>
        </is>
      </c>
      <c r="Z1347" s="1" t="inlineStr">
        <is>
          <t>https://drive.google.com/uc?export=view&amp;id=1hUDH8ZIJeJAo_8423Be-94k00zOCS1dW</t>
        </is>
      </c>
      <c r="AA1347" s="1" t="inlineStr">
        <is>
          <t>Unverified</t>
        </is>
      </c>
      <c r="AB1347" s="1" t="n"/>
      <c r="AC1347" s="1" t="n"/>
      <c r="AD1347" s="10" t="n"/>
      <c r="AE1347" s="1" t="n"/>
      <c r="AF1347" s="1" t="inlineStr">
        <is>
          <t>No</t>
        </is>
      </c>
      <c r="AG1347" s="1" t="n"/>
      <c r="AH1347" s="1" t="n"/>
    </row>
    <row r="1348" ht="12.5" customHeight="1">
      <c r="A1348" s="6" t="n">
        <v>45181</v>
      </c>
      <c r="B1348" s="1" t="inlineStr">
        <is>
          <t>ORG_1592</t>
        </is>
      </c>
      <c r="C1348" s="1" t="b">
        <v>1</v>
      </c>
      <c r="D1348" s="1" t="inlineStr">
        <is>
          <t>Fun Academy</t>
        </is>
      </c>
      <c r="E1348" s="10" t="inlineStr">
        <is>
          <t>https://www.funacademy.org/</t>
        </is>
      </c>
      <c r="F1348" t="inlineStr">
        <is>
          <t>funacademy.org</t>
        </is>
      </c>
      <c r="G1348" s="1" t="inlineStr">
        <is>
          <t>Fun Academy is an early years eduction company from Finland. We focus on Fun Learning materials and training. We collaborate with partners to bring Fun Learning experiences to all children.</t>
        </is>
      </c>
      <c r="H1348" s="1" t="inlineStr">
        <is>
          <t>EdTech Finland</t>
        </is>
      </c>
      <c r="I1348" s="1" t="n"/>
      <c r="J1348" s="1" t="inlineStr">
        <is>
          <t>Runeberginkatu 14-16</t>
        </is>
      </c>
      <c r="L1348" t="inlineStr">
        <is>
          <t>Runeberginkatu 14-16, Finland</t>
        </is>
      </c>
      <c r="O1348" s="1" t="inlineStr">
        <is>
          <t>Finland</t>
        </is>
      </c>
      <c r="P1348" s="1" t="inlineStr">
        <is>
          <t>Finland, Ukraine</t>
        </is>
      </c>
      <c r="Q1348" s="1" t="inlineStr">
        <is>
          <t>0 to 10</t>
        </is>
      </c>
      <c r="R1348" t="inlineStr">
        <is>
          <t>Micro</t>
        </is>
      </c>
      <c r="S1348" s="1" t="inlineStr">
        <is>
          <t>Business to Business, Business to Consumer, Business to Government, Business to Schools</t>
        </is>
      </c>
      <c r="T1348" s="1" t="inlineStr">
        <is>
          <t>Early childhood development (0-5 years), Primary Education</t>
        </is>
      </c>
      <c r="U1348" s="1" t="inlineStr">
        <is>
          <t>System/Administrative, Teacher interfacing</t>
        </is>
      </c>
      <c r="V1348" s="1" t="inlineStr">
        <is>
          <t>Fun Academy Parent App</t>
        </is>
      </c>
      <c r="W1348" s="1" t="inlineStr">
        <is>
          <t>The Fun Academy Parent App program is based on a kindergarten teacher's manual from Finland - with the activities now revised for your home environment. The approach is playful Fun Learning - the learning goals including life skills. The activities are designed to spark interest, foster creativity and support curiosity in an engaging, active and fun way. Easy access: receive the instructions on your laptop or mobile.
It's for you if
- you have 3-6 year old children
​- you want your children to have all the possibilities to get far in life
- you think to yourself, "Am I doing this parenting thing right?"
- or if you have a preschool and would love to have a rich resource bank of Fun Learning activities.</t>
        </is>
      </c>
      <c r="X1348" s="10" t="inlineStr">
        <is>
          <t>https://drive.google.com/uc?export=view&amp;id=1DrJgMqXiFPJZnBm-JHUntmb6taLWtvYR</t>
        </is>
      </c>
      <c r="Y1348" t="inlineStr">
        <is>
          <t>https://drive.google.com/uc?export=view&amp;id=1DrJgMqXiFPJZnBm-JHUntmb6taLWtvYR</t>
        </is>
      </c>
      <c r="Z1348" s="1" t="inlineStr">
        <is>
          <t>https://drive.google.com/uc?export=view&amp;id=1DrJgMqXiFPJZnBm-JHUntmb6taLWtvYR</t>
        </is>
      </c>
      <c r="AA1348" s="1" t="inlineStr">
        <is>
          <t>Unverified</t>
        </is>
      </c>
      <c r="AB1348" s="1" t="n"/>
      <c r="AC1348" s="1" t="n"/>
      <c r="AD1348" s="10" t="n"/>
      <c r="AE1348" s="1" t="n"/>
      <c r="AF1348" s="1" t="inlineStr">
        <is>
          <t>Yes</t>
        </is>
      </c>
      <c r="AG1348" s="1" t="inlineStr">
        <is>
          <t>Fun Academy</t>
        </is>
      </c>
      <c r="AH1348" s="1" t="inlineStr">
        <is>
          <t>@funacademycom</t>
        </is>
      </c>
      <c r="AI1348" t="inlineStr">
        <is>
          <t>https://www.linkedin.com/search/results/all/?keywords=fun%20academy&amp;origin=GLOBAL_SEARCH_HEADER&amp;sid=u*2</t>
        </is>
      </c>
    </row>
    <row r="1349" ht="12.5" customHeight="1">
      <c r="A1349" s="6" t="n">
        <v>45181</v>
      </c>
      <c r="B1349" s="1" t="inlineStr">
        <is>
          <t>ORG_1673</t>
        </is>
      </c>
      <c r="C1349" s="1" t="b">
        <v>1</v>
      </c>
      <c r="D1349" s="1" t="inlineStr">
        <is>
          <t>Hero</t>
        </is>
      </c>
      <c r="E1349" s="10" t="inlineStr">
        <is>
          <t>https://heroapp.ai</t>
        </is>
      </c>
      <c r="F1349" t="inlineStr">
        <is>
          <t>heroapp.ai</t>
        </is>
      </c>
      <c r="G1349" s="1" t="inlineStr">
        <is>
          <t>Hero is an AI-powered tool that helps challenged readers and language learners understand difficult texts. Hero turns difficult language into something that's much easier to understand at the click of a button. Think Google Translate, but for translating difficult text into easy language. 
Hero turns university-level texts into middle school level and is available both as a browser extension and as an independent webapp that simplifies text wherever you read.</t>
        </is>
      </c>
      <c r="H1349" s="1" t="inlineStr">
        <is>
          <t>I'm not part of any EdTech association</t>
        </is>
      </c>
      <c r="I1349" s="1" t="n"/>
      <c r="J1349" s="1" t="inlineStr">
        <is>
          <t>Copenhagen</t>
        </is>
      </c>
      <c r="K1349" t="inlineStr">
        <is>
          <t>Copenhagen</t>
        </is>
      </c>
      <c r="L1349" t="inlineStr">
        <is>
          <t>Copenhagen, Denmark</t>
        </is>
      </c>
      <c r="M1349" t="n">
        <v>55.6867243</v>
      </c>
      <c r="N1349" t="n">
        <v>12.5700724</v>
      </c>
      <c r="O1349" s="1" t="inlineStr">
        <is>
          <t>Denmark</t>
        </is>
      </c>
      <c r="P134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349" s="1" t="inlineStr">
        <is>
          <t>0 to 10</t>
        </is>
      </c>
      <c r="R1349" t="inlineStr">
        <is>
          <t>Micro</t>
        </is>
      </c>
      <c r="S1349" s="1" t="inlineStr">
        <is>
          <t>Business to Business, Business to Consumer, Business to Government, Business to Schools</t>
        </is>
      </c>
      <c r="T1349" s="1" t="inlineStr">
        <is>
          <t>Secondary Education, Higher Education, Corporate Training, Lifelong learning/Adult education</t>
        </is>
      </c>
      <c r="U1349" s="1" t="inlineStr">
        <is>
          <t>System/Administrative, Student interfacing, Teacher interfacing</t>
        </is>
      </c>
      <c r="V1349" s="1" t="n"/>
      <c r="W1349" s="1" t="inlineStr">
        <is>
          <t>https://drive.google.com/uc?export=view&amp;id=18OoJhR33MvPz61Kpabv7xY6RjXTFGLdm</t>
        </is>
      </c>
      <c r="X1349" s="1" t="inlineStr">
        <is>
          <t>https://drive.google.com/uc?export=view&amp;id=18OoJhR33MvPz61Kpabv7xY6RjXTFGLdm</t>
        </is>
      </c>
      <c r="Y1349" t="inlineStr">
        <is>
          <t>https://drive.google.com/uc?export=view&amp;id=18OoJhR33MvPz61Kpabv7xY6RjXTFGLdm</t>
        </is>
      </c>
      <c r="Z1349" s="1" t="inlineStr">
        <is>
          <t>https://drive.google.com/uc?export=view&amp;id=18OoJhR33MvPz61Kpabv7xY6RjXTFGLdm</t>
        </is>
      </c>
      <c r="AA1349" s="1" t="inlineStr">
        <is>
          <t>Unverified</t>
        </is>
      </c>
      <c r="AB1349" s="1" t="n"/>
      <c r="AC1349" s="1" t="n"/>
      <c r="AD1349" s="10" t="n"/>
      <c r="AE1349" s="1" t="n"/>
      <c r="AF1349" t="inlineStr">
        <is>
          <t>No</t>
        </is>
      </c>
    </row>
    <row r="1350" ht="12.5" customHeight="1">
      <c r="A1350" s="6" t="n">
        <v>45181</v>
      </c>
      <c r="B1350" s="1" t="inlineStr">
        <is>
          <t>ORG_1777</t>
        </is>
      </c>
      <c r="C1350" s="1" t="b">
        <v>1</v>
      </c>
      <c r="D1350" s="1" t="inlineStr">
        <is>
          <t>Kings</t>
        </is>
      </c>
      <c r="E1350" s="10" t="inlineStr">
        <is>
          <t>kings.lt</t>
        </is>
      </c>
      <c r="F1350" t="inlineStr">
        <is>
          <t>kings.lt</t>
        </is>
      </c>
      <c r="G1350" s="1" t="inlineStr">
        <is>
          <t>Kings Olympiad organizes educational competitions (also called Olympiads) for schoolchildren. We started online Olympiads during Covid in Lithuania. Our model looks like freemium: participation in the first stage is free, if you get to the next round and want to continue, the price is 10 EUR. It is important that we have a platform for teachers, where they can register themselves and register their students for the Olympiads. For every action they are getting points, which can be exchanged into different material goods.</t>
        </is>
      </c>
      <c r="H1350" s="1" t="inlineStr">
        <is>
          <t>I'm not part of any EdTech association</t>
        </is>
      </c>
      <c r="I1350" s="1" t="n"/>
      <c r="J1350" s="1" t="inlineStr">
        <is>
          <t>Vilnius</t>
        </is>
      </c>
      <c r="K1350" t="inlineStr">
        <is>
          <t>Vilnius</t>
        </is>
      </c>
      <c r="L1350" t="inlineStr">
        <is>
          <t>Vilnius, Lithuania</t>
        </is>
      </c>
      <c r="M1350" t="n">
        <v>54.6870458</v>
      </c>
      <c r="N1350" t="n">
        <v>25.2829111</v>
      </c>
      <c r="O1350" s="1" t="inlineStr">
        <is>
          <t>Lithuania</t>
        </is>
      </c>
      <c r="P1350" s="1" t="inlineStr">
        <is>
          <t>Bulgaria, Lithuania</t>
        </is>
      </c>
      <c r="Q1350" s="1" t="inlineStr">
        <is>
          <t>11 to 50</t>
        </is>
      </c>
      <c r="R1350" t="inlineStr">
        <is>
          <t>Small</t>
        </is>
      </c>
      <c r="S1350" s="1" t="inlineStr">
        <is>
          <t>Business to Business, Business to Consumer, Business to Schools</t>
        </is>
      </c>
      <c r="T1350" s="1" t="inlineStr">
        <is>
          <t>Primary Education, Secondary Education</t>
        </is>
      </c>
      <c r="U1350" s="1" t="inlineStr">
        <is>
          <t>System/Administrative, Student interfacing, Teacher interfacing</t>
        </is>
      </c>
      <c r="V1350" s="1" t="n"/>
      <c r="W1350" s="1" t="inlineStr">
        <is>
          <t>https://drive.google.com/uc?export=view&amp;id=15z9REUQowvXlWBZVxxidwFesMKeaVOUn</t>
        </is>
      </c>
      <c r="X1350" s="1" t="inlineStr">
        <is>
          <t>https://drive.google.com/uc?export=view&amp;id=15z9REUQowvXlWBZVxxidwFesMKeaVOUn</t>
        </is>
      </c>
      <c r="Y1350" t="inlineStr">
        <is>
          <t>https://drive.google.com/uc?export=view&amp;id=15z9REUQowvXlWBZVxxidwFesMKeaVOUn</t>
        </is>
      </c>
      <c r="Z1350" s="1" t="inlineStr">
        <is>
          <t>https://drive.google.com/uc?export=view&amp;id=15z9REUQowvXlWBZVxxidwFesMKeaVOUn</t>
        </is>
      </c>
      <c r="AA1350" s="1" t="inlineStr">
        <is>
          <t>Unverified</t>
        </is>
      </c>
      <c r="AB1350" s="1" t="n"/>
      <c r="AC1350" s="1" t="n"/>
      <c r="AD1350" s="10" t="n"/>
      <c r="AE1350" s="1" t="n"/>
      <c r="AF1350" t="inlineStr">
        <is>
          <t>No</t>
        </is>
      </c>
    </row>
    <row r="1351" ht="12.5" customHeight="1">
      <c r="A1351" s="6" t="n">
        <v>45181</v>
      </c>
      <c r="B1351" s="1" t="inlineStr">
        <is>
          <t>ORG_1880</t>
        </is>
      </c>
      <c r="C1351" s="1" t="b">
        <v>1</v>
      </c>
      <c r="D1351" s="1" t="inlineStr">
        <is>
          <t>Lingio</t>
        </is>
      </c>
      <c r="E1351" s="10" t="inlineStr">
        <is>
          <t>https://www.lingio.com/en</t>
        </is>
      </c>
      <c r="F1351" t="inlineStr">
        <is>
          <t>lingio.com/en</t>
        </is>
      </c>
      <c r="G1351" s="1" t="inlineStr">
        <is>
          <t>Lingio provides industry-specific language learning to corporations and solves: 
1) Corporations can recruit more foreign-born talent and solve company staffing shortages and meet business needs
2) Corporations will increase security at work, operational efficiency, customer satisfaction, retention of staff, and much more</t>
        </is>
      </c>
      <c r="H1351" s="1" t="inlineStr">
        <is>
          <t>Swedish EdTech Industry</t>
        </is>
      </c>
      <c r="I1351" s="1" t="n"/>
      <c r="J1351" s="1" t="inlineStr">
        <is>
          <t>Medborgarplatsen 25</t>
        </is>
      </c>
      <c r="L1351" t="inlineStr">
        <is>
          <t>Medborgarplatsen 25, Sweden</t>
        </is>
      </c>
      <c r="O1351" s="1" t="inlineStr">
        <is>
          <t>Sweden</t>
        </is>
      </c>
      <c r="P1351" s="1" t="inlineStr">
        <is>
          <t>Austria, Belgium, France, Germany, Italy, Netherlands, Norway, Poland, Spain, Sweden, United Kingdom</t>
        </is>
      </c>
      <c r="Q1351" s="1" t="inlineStr">
        <is>
          <t>11 to 50</t>
        </is>
      </c>
      <c r="R1351" t="inlineStr">
        <is>
          <t>Small</t>
        </is>
      </c>
      <c r="S1351" s="1" t="inlineStr">
        <is>
          <t>Business to Business, Business to Government</t>
        </is>
      </c>
      <c r="T1351" s="1" t="inlineStr">
        <is>
          <t>Corporate Training, Lifelong learning/Adult education</t>
        </is>
      </c>
      <c r="U1351" s="1" t="inlineStr">
        <is>
          <t>Teacher interfacing, Student interfacing, System/Administrative</t>
        </is>
      </c>
      <c r="V1351" s="1" t="inlineStr">
        <is>
          <t>Lingio</t>
        </is>
      </c>
      <c r="W1351" s="1" t="inlineStr">
        <is>
          <t>Industry-specific language learning with 12x better course completion rates compared to global actors. Lingio is :
* Relevant: Industry-specific language learning needed for staff to excel at work. * Efficient: We have bridged learning, gamification and tech and created world class products making learning truly efficient. * Fun: For deskless workers we provide fun learning so that it feels like playing a mobile game.</t>
        </is>
      </c>
      <c r="X1351" s="10" t="inlineStr">
        <is>
          <t>https://drive.google.com/uc?export=view&amp;id=1UC5IHoaTV757dxz8n9nFVJ_so690SL0z</t>
        </is>
      </c>
      <c r="Y1351" t="inlineStr">
        <is>
          <t>https://drive.google.com/uc?export=view&amp;id=1UC5IHoaTV757dxz8n9nFVJ_so690SL0z</t>
        </is>
      </c>
      <c r="Z1351" s="1" t="inlineStr">
        <is>
          <t>https://drive.google.com/uc?export=view&amp;id=1UC5IHoaTV757dxz8n9nFVJ_so690SL0z</t>
        </is>
      </c>
      <c r="AA1351" s="1" t="inlineStr">
        <is>
          <t>Unverified</t>
        </is>
      </c>
      <c r="AB1351" s="1" t="n"/>
      <c r="AC1351" s="1" t="n"/>
      <c r="AD1351" s="10" t="n"/>
      <c r="AE1351" s="1" t="n"/>
      <c r="AF1351" t="inlineStr">
        <is>
          <t>Yes</t>
        </is>
      </c>
      <c r="AG1351" t="inlineStr">
        <is>
          <t>https://www.linkedin.com/company/lingio</t>
        </is>
      </c>
      <c r="AH1351" t="inlineStr">
        <is>
          <t>https://www.linkedin.com/company/lingio</t>
        </is>
      </c>
      <c r="AI1351" t="inlineStr">
        <is>
          <t>https://www.linkedin.com/company/lingio</t>
        </is>
      </c>
    </row>
    <row r="1352" ht="12.5" customHeight="1">
      <c r="A1352" s="6" t="n">
        <v>45181</v>
      </c>
      <c r="B1352" s="1" t="inlineStr">
        <is>
          <t>ORG_1902</t>
        </is>
      </c>
      <c r="C1352" s="1" t="b">
        <v>1</v>
      </c>
      <c r="D1352" s="1" t="inlineStr">
        <is>
          <t>MAGMA Learning</t>
        </is>
      </c>
      <c r="E1352" s="10" t="inlineStr">
        <is>
          <t>https://www.magmalearning.com/</t>
        </is>
      </c>
      <c r="F1352" t="inlineStr">
        <is>
          <t>magmalearning.com</t>
        </is>
      </c>
      <c r="G1352" s="1" t="inlineStr">
        <is>
          <t>We help companies enhances the effectiveness and impact of their training programs thanks to our machine learning innovations:
Intelligent personalization boosts the learning experience by adapting the mind of each of your employees.
Automatic microlearning generation creates interactive digital learning contents from your training materials.
Knowledge visualization motivates your learners and gives you deep insights to develop your learning strategies.</t>
        </is>
      </c>
      <c r="H1352" s="1" t="inlineStr">
        <is>
          <t>EdTech France, Swiss EdTech Collider</t>
        </is>
      </c>
      <c r="I1352" s="1" t="n"/>
      <c r="J1352" s="1" t="inlineStr">
        <is>
          <t>Lausanne</t>
        </is>
      </c>
      <c r="K1352" t="inlineStr">
        <is>
          <t>Lausanne</t>
        </is>
      </c>
      <c r="L1352" t="inlineStr">
        <is>
          <t>Lausanne, Switzerland</t>
        </is>
      </c>
      <c r="M1352" t="n">
        <v>46.5218269</v>
      </c>
      <c r="N1352" t="n">
        <v>6.6327025</v>
      </c>
      <c r="O1352" s="1" t="inlineStr">
        <is>
          <t>Switzerland</t>
        </is>
      </c>
      <c r="P1352" s="1" t="inlineStr">
        <is>
          <t>Belgium, Denmark, France, Germany, Italy, Luxembourg, Spain, Switzerland, United Kingdom</t>
        </is>
      </c>
      <c r="Q1352" s="1" t="inlineStr">
        <is>
          <t>0 to 10</t>
        </is>
      </c>
      <c r="R1352" t="inlineStr">
        <is>
          <t>Micro</t>
        </is>
      </c>
      <c r="S1352" s="1" t="inlineStr">
        <is>
          <t>Business to Business, Business to Government, Business to Schools</t>
        </is>
      </c>
      <c r="T1352" s="1" t="inlineStr">
        <is>
          <t>Corporate Training</t>
        </is>
      </c>
      <c r="U1352" s="1" t="inlineStr">
        <is>
          <t>Teacher interfacing, System/Administrative</t>
        </is>
      </c>
      <c r="V1352" s="1" t="inlineStr">
        <is>
          <t>ARI 9000</t>
        </is>
      </c>
      <c r="W1352" s="1" t="inlineStr">
        <is>
          <t>Our multi-platform app ARI 9000 acts like a personal AI tutor for your employees. ARI builds a model of their knowledge and helps them expand it towards their fullest potential.</t>
        </is>
      </c>
      <c r="X1352" s="10" t="inlineStr">
        <is>
          <t>Microlearning generation</t>
        </is>
      </c>
      <c r="Y1352" t="inlineStr">
        <is>
          <t>Our AI analyses your training materials and turns them into interactive microlearning puzzles. 
Quickly scale up your digital learning offerings! You can also generate engaging quizzes to evaluate your employees’ constructive development.</t>
        </is>
      </c>
      <c r="Z1352" s="1" t="inlineStr">
        <is>
          <t>https://drive.google.com/uc?export=view&amp;id=1u31TDPk-Ut4ct4gTzRgG76gMBrDMOCNw</t>
        </is>
      </c>
      <c r="AA1352" s="1" t="inlineStr">
        <is>
          <t>Unverified</t>
        </is>
      </c>
      <c r="AB1352" s="1" t="n"/>
      <c r="AC1352" s="1" t="n"/>
      <c r="AD1352" s="10" t="n"/>
      <c r="AE1352" s="1" t="n"/>
      <c r="AF1352" t="inlineStr">
        <is>
          <t>Yes</t>
        </is>
      </c>
      <c r="AG1352" t="inlineStr">
        <is>
          <t>MAGMA Learning</t>
        </is>
      </c>
      <c r="AH1352" t="inlineStr">
        <is>
          <t>MAGMA Learning</t>
        </is>
      </c>
      <c r="AI1352" t="inlineStr">
        <is>
          <t>https://www.linkedin.com/company/magma-learning</t>
        </is>
      </c>
    </row>
    <row r="1353" ht="12.5" customHeight="1">
      <c r="A1353" s="6" t="n">
        <v>45181</v>
      </c>
      <c r="B1353" s="1" t="inlineStr">
        <is>
          <t>ORG_1903</t>
        </is>
      </c>
      <c r="C1353" s="1" t="b">
        <v>1</v>
      </c>
      <c r="D1353" s="1" t="inlineStr">
        <is>
          <t>Magma Math</t>
        </is>
      </c>
      <c r="E1353" s="10" t="inlineStr">
        <is>
          <t>www.magmamath.com</t>
        </is>
      </c>
      <c r="F1353" t="inlineStr">
        <is>
          <t>magmamath.com</t>
        </is>
      </c>
      <c r="G1353" s="1" t="inlineStr">
        <is>
          <t>Magma is the leading application for math education where students are able to show their work and express themselves when solving problems. Mathematics is more than just multiple choice practice. Each step in a student's process reveals a story. With Magma Math, ALL students are empowered to see themselves as doers of mathematics. Teachers are able to facilitate mathematics as a living practice and center students' voices in every lesson. With Magma, teachers can provide differentiated support for each and every student using qualitative and quantitative data populated in real-time. Check out www.magmamath.com to see how it works.</t>
        </is>
      </c>
      <c r="H1353" s="1" t="inlineStr">
        <is>
          <t>Swedish EdTech Industry</t>
        </is>
      </c>
      <c r="I1353" s="1" t="n"/>
      <c r="J1353" s="1" t="inlineStr">
        <is>
          <t>Stockholm</t>
        </is>
      </c>
      <c r="K1353" t="inlineStr">
        <is>
          <t>Stockholm</t>
        </is>
      </c>
      <c r="L1353" t="inlineStr">
        <is>
          <t>Stockholm, Sweden</t>
        </is>
      </c>
      <c r="M1353" t="n">
        <v>59.3251172</v>
      </c>
      <c r="N1353" t="n">
        <v>18.0710935</v>
      </c>
      <c r="O1353" s="1" t="inlineStr">
        <is>
          <t>Sweden</t>
        </is>
      </c>
      <c r="P1353" s="1" t="inlineStr">
        <is>
          <t>Spain, Sweden</t>
        </is>
      </c>
      <c r="Q1353" s="1" t="inlineStr">
        <is>
          <t>11 to 50</t>
        </is>
      </c>
      <c r="R1353" t="inlineStr">
        <is>
          <t>Small</t>
        </is>
      </c>
      <c r="S1353" s="1" t="inlineStr">
        <is>
          <t>Business to Business, Business to Government, Business to Schools</t>
        </is>
      </c>
      <c r="T1353" s="1" t="inlineStr">
        <is>
          <t>Primary Education, Secondary Education</t>
        </is>
      </c>
      <c r="U1353" s="1" t="inlineStr">
        <is>
          <t>Student interfacing, Teacher interfacing</t>
        </is>
      </c>
      <c r="V1353" s="10" t="inlineStr">
        <is>
          <t>Magma Math</t>
        </is>
      </c>
      <c r="W1353" s="10" t="inlineStr">
        <is>
          <t>Magma is the leading application for math education where students are able to show their work and express themselves when solving problems. Mathematics is more than just multiple choice practice. Each step in a student's process reveals a story. With Magma Math, ALL students are empowered to see themselves as doers of mathematics. Teachers are able to facilitate mathematics as a living practice and center students' voices in every lesson. With Magma, teachers can provide differentiated support for each and every student using qualitative and quantitative data populated in real-time. Check out www.magmamath.com to see how it works.</t>
        </is>
      </c>
      <c r="X1353" s="10" t="inlineStr">
        <is>
          <t>https://drive.google.com/uc?export=view&amp;id=1KawoERUFQfFikHlRSnMKFNbiaUuZL6xz</t>
        </is>
      </c>
      <c r="Y1353" t="inlineStr">
        <is>
          <t>https://drive.google.com/uc?export=view&amp;id=1KawoERUFQfFikHlRSnMKFNbiaUuZL6xz</t>
        </is>
      </c>
      <c r="Z1353" s="1" t="inlineStr">
        <is>
          <t>https://drive.google.com/uc?export=view&amp;id=1KawoERUFQfFikHlRSnMKFNbiaUuZL6xz</t>
        </is>
      </c>
      <c r="AA1353" s="1" t="inlineStr">
        <is>
          <t>Unverified</t>
        </is>
      </c>
      <c r="AB1353" s="1" t="n"/>
      <c r="AC1353" s="1" t="n"/>
      <c r="AD1353" s="10" t="n"/>
      <c r="AE1353" s="1" t="n"/>
      <c r="AF1353" t="inlineStr">
        <is>
          <t>Yes</t>
        </is>
      </c>
      <c r="AG1353" t="inlineStr">
        <is>
          <t>instagram.com/magma_math</t>
        </is>
      </c>
      <c r="AH1353" t="inlineStr">
        <is>
          <t>twitter.com/magmamath</t>
        </is>
      </c>
      <c r="AI1353" t="inlineStr">
        <is>
          <t>https://www.linkedin.com/company/magma-math</t>
        </is>
      </c>
    </row>
    <row r="1354" ht="12.5" customHeight="1">
      <c r="A1354" s="6" t="n">
        <v>45181</v>
      </c>
      <c r="B1354" s="1" t="inlineStr">
        <is>
          <t>ORG_1939</t>
        </is>
      </c>
      <c r="C1354" s="1" t="b">
        <v>1</v>
      </c>
      <c r="D1354" s="1" t="inlineStr">
        <is>
          <t>Meebook</t>
        </is>
      </c>
      <c r="E1354" s="10" t="inlineStr">
        <is>
          <t>https://www.meebook.org/</t>
        </is>
      </c>
      <c r="F1354" t="inlineStr">
        <is>
          <t>meebook.org</t>
        </is>
      </c>
      <c r="G1354" s="1" t="inlineStr">
        <is>
          <t>Meebook is a learning management system (LMS), known for its intuitive and user-friendly interface. 
With Meebook, you get a method-free learning platform for planning, conducting, and evaluating your teaching. Together we strengthen students’ learning, knowledge sharing, academic management, and parent collaboration. Meebook is the most commonly used LMS in Denmark, and the platform makes it easy for students to find the material in one place and to be updated on upcoming courses.</t>
        </is>
      </c>
      <c r="H1354" s="1" t="inlineStr">
        <is>
          <t>EdTech Denmark</t>
        </is>
      </c>
      <c r="I1354" s="1" t="n"/>
      <c r="J1354" s="1" t="inlineStr">
        <is>
          <t>København</t>
        </is>
      </c>
      <c r="K1354" t="inlineStr">
        <is>
          <t>København</t>
        </is>
      </c>
      <c r="L1354" t="inlineStr">
        <is>
          <t>København, Denmark</t>
        </is>
      </c>
      <c r="M1354" t="n">
        <v>55.6867243</v>
      </c>
      <c r="N1354" t="n">
        <v>12.5700724</v>
      </c>
      <c r="O1354" s="1" t="inlineStr">
        <is>
          <t>Denmark</t>
        </is>
      </c>
      <c r="P1354" s="1" t="inlineStr">
        <is>
          <t>Denmark</t>
        </is>
      </c>
      <c r="Q1354" s="1" t="inlineStr">
        <is>
          <t>11 to 50</t>
        </is>
      </c>
      <c r="R1354" t="inlineStr">
        <is>
          <t>Small</t>
        </is>
      </c>
      <c r="S1354" s="1" t="inlineStr">
        <is>
          <t>Business to Business, Business to Government, Business to Schools</t>
        </is>
      </c>
      <c r="T1354" s="1" t="inlineStr">
        <is>
          <t>Early childhood development (0-5 years), Primary Education, Secondary Education, Higher Education, Corporate Training</t>
        </is>
      </c>
      <c r="U1354" s="1" t="inlineStr">
        <is>
          <t>System/Administrative, Student interfacing, Teacher interfacing</t>
        </is>
      </c>
      <c r="V1354" s="1" t="n"/>
      <c r="W1354" s="1" t="inlineStr">
        <is>
          <t>https://drive.google.com/uc?export=view&amp;id=1fh3eyiLhJMGGQ4oj8NqA7nVBIL8hCj5L</t>
        </is>
      </c>
      <c r="X1354" s="1" t="inlineStr">
        <is>
          <t>https://drive.google.com/uc?export=view&amp;id=1fh3eyiLhJMGGQ4oj8NqA7nVBIL8hCj5L</t>
        </is>
      </c>
      <c r="Y1354" t="inlineStr">
        <is>
          <t>https://drive.google.com/uc?export=view&amp;id=1fh3eyiLhJMGGQ4oj8NqA7nVBIL8hCj5L</t>
        </is>
      </c>
      <c r="Z1354" s="1" t="inlineStr">
        <is>
          <t>https://drive.google.com/uc?export=view&amp;id=1fh3eyiLhJMGGQ4oj8NqA7nVBIL8hCj5L</t>
        </is>
      </c>
      <c r="AA1354" s="1" t="inlineStr">
        <is>
          <t>Unverified</t>
        </is>
      </c>
      <c r="AB1354" s="1" t="n"/>
      <c r="AC1354" s="1" t="n"/>
      <c r="AD1354" s="10" t="n"/>
      <c r="AE1354" s="1" t="n"/>
      <c r="AF1354" t="inlineStr">
        <is>
          <t>No</t>
        </is>
      </c>
    </row>
    <row r="1355" ht="12.5" customHeight="1">
      <c r="A1355" s="6" t="n">
        <v>45181</v>
      </c>
      <c r="B1355" s="1" t="inlineStr">
        <is>
          <t>ORG_1974</t>
        </is>
      </c>
      <c r="C1355" s="1" t="b">
        <v>1</v>
      </c>
      <c r="D1355" s="1" t="inlineStr">
        <is>
          <t>MobieTrain</t>
        </is>
      </c>
      <c r="E1355" s="10" t="inlineStr">
        <is>
          <t>https://www.mobietrain.com/</t>
        </is>
      </c>
      <c r="F1355" t="inlineStr">
        <is>
          <t>mobietrain.com</t>
        </is>
      </c>
      <c r="G1355" s="1" t="inlineStr">
        <is>
          <t>MobieTrain is The #1 Learning App for your Frontline Teams. 
MobieTrain revolutionises workplace training with mobile-first microlearning. Our mission is to empower all employees with the right training content at the right time on the device they prefer, to help them succeed in their professional and personal development. 
MobieTrain empowers the employees of organisations such as Decathlon, Vans, Diesel, Emirates Post, Timberland, Azadea Group and Hästens with the right training content, at the right time, on the device they prefer. The MobieTrain Platform transfers knowledge 6 times more effectively while reducing the time of content creation and administration by more than half.</t>
        </is>
      </c>
      <c r="H1355" s="1" t="inlineStr">
        <is>
          <t>I'm not part of any EdTech association</t>
        </is>
      </c>
      <c r="I1355" s="1" t="n"/>
      <c r="J1355" s="1" t="inlineStr">
        <is>
          <t>Genk</t>
        </is>
      </c>
      <c r="K1355" t="inlineStr">
        <is>
          <t>Genk</t>
        </is>
      </c>
      <c r="L1355" t="inlineStr">
        <is>
          <t>Genk, Belgium</t>
        </is>
      </c>
      <c r="M1355" t="n">
        <v>50.9667627</v>
      </c>
      <c r="N1355" t="n">
        <v>5.4833953</v>
      </c>
      <c r="O1355" s="1" t="inlineStr">
        <is>
          <t>Belgium</t>
        </is>
      </c>
      <c r="P1355" s="1" t="inlineStr">
        <is>
          <t>Belgium, Denmark, France, Germany, Italy, Luxembourg, Netherlands, Norway, Portugal, Spain, Sweden, United Kingdom</t>
        </is>
      </c>
      <c r="Q1355" s="1" t="inlineStr">
        <is>
          <t>51 to 100</t>
        </is>
      </c>
      <c r="R1355" t="inlineStr">
        <is>
          <t>Medium</t>
        </is>
      </c>
      <c r="S1355" s="1" t="inlineStr">
        <is>
          <t>Business to Business, Business to Government, Business to Schools</t>
        </is>
      </c>
      <c r="T1355" s="1" t="inlineStr">
        <is>
          <t>Corporate Training</t>
        </is>
      </c>
      <c r="U1355" s="1" t="inlineStr">
        <is>
          <t>System/Administrative</t>
        </is>
      </c>
      <c r="V1355" s="1" t="n"/>
      <c r="W1355" s="1" t="inlineStr">
        <is>
          <t>https://drive.google.com/uc?export=view&amp;id=1cZjFsdmcGZsygV0t8hzOKS31SRL_Y1BF</t>
        </is>
      </c>
      <c r="X1355" s="1" t="inlineStr">
        <is>
          <t>https://drive.google.com/uc?export=view&amp;id=1cZjFsdmcGZsygV0t8hzOKS31SRL_Y1BF</t>
        </is>
      </c>
      <c r="Y1355" t="inlineStr">
        <is>
          <t>https://drive.google.com/uc?export=view&amp;id=1cZjFsdmcGZsygV0t8hzOKS31SRL_Y1BF</t>
        </is>
      </c>
      <c r="Z1355" s="1" t="inlineStr">
        <is>
          <t>https://drive.google.com/uc?export=view&amp;id=1cZjFsdmcGZsygV0t8hzOKS31SRL_Y1BF</t>
        </is>
      </c>
      <c r="AA1355" s="1" t="inlineStr">
        <is>
          <t>Unverified</t>
        </is>
      </c>
      <c r="AB1355" s="1" t="n"/>
      <c r="AC1355" s="1" t="n"/>
      <c r="AD1355" s="10" t="n"/>
      <c r="AE1355" s="1" t="n"/>
      <c r="AF1355" t="inlineStr">
        <is>
          <t>No</t>
        </is>
      </c>
    </row>
    <row r="1356" ht="12.5" customHeight="1">
      <c r="A1356" s="6" t="n">
        <v>45181</v>
      </c>
      <c r="B1356" s="1" t="inlineStr">
        <is>
          <t>ORG_2044</t>
        </is>
      </c>
      <c r="C1356" s="1" t="b">
        <v>1</v>
      </c>
      <c r="D1356" s="1" t="inlineStr">
        <is>
          <t>NOOBE</t>
        </is>
      </c>
      <c r="E1356" s="10" t="inlineStr">
        <is>
          <t>www.noobe.es</t>
        </is>
      </c>
      <c r="F1356" t="inlineStr">
        <is>
          <t>noobe.es</t>
        </is>
      </c>
      <c r="G1356" s="1" t="inlineStr">
        <is>
          <t>We are a company specialized in the digital transformation of learning processes, and for this we have developed a digital solution called NOOBE that allows flexibility, personalization and individualization of learning itineraries and work plans for students so that teachers can design experiences of learning they want based on their purpose and educational project</t>
        </is>
      </c>
      <c r="H1356" s="1" t="inlineStr">
        <is>
          <t>EduTech Cluster Spain</t>
        </is>
      </c>
      <c r="I1356" s="1" t="inlineStr">
        <is>
          <t>Spanish, English, Catalan</t>
        </is>
      </c>
      <c r="J1356" s="1" t="inlineStr">
        <is>
          <t>Malaga</t>
        </is>
      </c>
      <c r="K1356" t="inlineStr">
        <is>
          <t>Malaga</t>
        </is>
      </c>
      <c r="L1356" t="inlineStr">
        <is>
          <t>Malaga, Spain</t>
        </is>
      </c>
      <c r="M1356" t="n">
        <v>36.7647913</v>
      </c>
      <c r="N1356" t="n">
        <v>-4.4422005</v>
      </c>
      <c r="O1356" s="1" t="inlineStr">
        <is>
          <t>Spain</t>
        </is>
      </c>
      <c r="P1356" s="1" t="inlineStr">
        <is>
          <t>Andorra, Portugal, Spain</t>
        </is>
      </c>
      <c r="Q1356" s="1" t="inlineStr">
        <is>
          <t>11 to 50</t>
        </is>
      </c>
      <c r="R1356" t="inlineStr">
        <is>
          <t>Small</t>
        </is>
      </c>
      <c r="S1356" s="1" t="inlineStr">
        <is>
          <t>Business to Business, Business to Schools</t>
        </is>
      </c>
      <c r="T1356" s="1" t="inlineStr">
        <is>
          <t>Primary Education, Secondary Education</t>
        </is>
      </c>
      <c r="U1356" s="1" t="inlineStr">
        <is>
          <t>Teacher interfacing, System/Administrative</t>
        </is>
      </c>
      <c r="V1356" s="10" t="inlineStr">
        <is>
          <t>NOOBE</t>
        </is>
      </c>
      <c r="W1356" s="10" t="inlineStr">
        <is>
          <t>NOOBE is a digital solution that allows teachers to manage all phases related to the learning experience of their students, including planning and defining learning objectives, personalization of groups, content and learning strategies, implementation in the School, monitoring of the students, continuous evaluation and feedback and information on the achievement of goals based on the graduation profile</t>
        </is>
      </c>
      <c r="X1356" s="10" t="inlineStr">
        <is>
          <t>https://drive.google.com/uc?export=view&amp;id=1iKwNLIl1olsJV47PftqjWuIMn13cqmS2</t>
        </is>
      </c>
      <c r="Y1356" t="inlineStr">
        <is>
          <t>https://drive.google.com/uc?export=view&amp;id=1iKwNLIl1olsJV47PftqjWuIMn13cqmS2</t>
        </is>
      </c>
      <c r="Z1356" s="1" t="inlineStr">
        <is>
          <t>https://drive.google.com/uc?export=view&amp;id=1iKwNLIl1olsJV47PftqjWuIMn13cqmS2</t>
        </is>
      </c>
      <c r="AA1356" s="1" t="inlineStr">
        <is>
          <t>Unverified</t>
        </is>
      </c>
      <c r="AB1356" s="1" t="n"/>
      <c r="AC1356" s="1" t="n"/>
      <c r="AD1356" s="10" t="n"/>
      <c r="AE1356" s="1" t="n"/>
      <c r="AF1356" s="1" t="inlineStr">
        <is>
          <t>Yes</t>
        </is>
      </c>
      <c r="AG1356" s="1" t="inlineStr">
        <is>
          <t>https://www.instagram.com/noobeagilelearning/</t>
        </is>
      </c>
      <c r="AH1356" s="1" t="inlineStr">
        <is>
          <t>https://twitter.com/Noobe_AL</t>
        </is>
      </c>
      <c r="AI1356" t="inlineStr">
        <is>
          <t>https://www.linkedin.com/company/noobeeducation/</t>
        </is>
      </c>
    </row>
    <row r="1357" ht="12.5" customHeight="1">
      <c r="A1357" s="6" t="n">
        <v>45181</v>
      </c>
      <c r="B1357" s="1" t="inlineStr">
        <is>
          <t>ORG_2085</t>
        </is>
      </c>
      <c r="C1357" s="1" t="b">
        <v>1</v>
      </c>
      <c r="D1357" s="1" t="inlineStr">
        <is>
          <t>Paideia</t>
        </is>
      </c>
      <c r="E1357" s="10" t="inlineStr">
        <is>
          <t>www.paideialondon.com</t>
        </is>
      </c>
      <c r="F1357" t="inlineStr">
        <is>
          <t>paideialondon.com</t>
        </is>
      </c>
      <c r="G1357" s="1" t="inlineStr">
        <is>
          <t>Paideia is a digital learning platform backed by science, offering a start-to-finish pathways to exams. 
We have built a complete solution for parents and children as they support learning at home. We combine different medias - digital lessons, practice questions and worksheets - with gamification through live Masterclasses and head-to-head gaming.
Our students learn efficiently and effectively, outperforming their peers while spending less time learning.</t>
        </is>
      </c>
      <c r="H1357" s="1" t="inlineStr">
        <is>
          <t>SuperCharger Ventures</t>
        </is>
      </c>
      <c r="I1357" s="1" t="n"/>
      <c r="J1357" s="1" t="inlineStr">
        <is>
          <t>London</t>
        </is>
      </c>
      <c r="K1357" t="inlineStr">
        <is>
          <t>London</t>
        </is>
      </c>
      <c r="L1357" t="inlineStr">
        <is>
          <t>London, United Kingdom</t>
        </is>
      </c>
      <c r="M1357" t="n">
        <v>51.5074456</v>
      </c>
      <c r="N1357" t="n">
        <v>-0.1277653</v>
      </c>
      <c r="O1357" s="1" t="inlineStr">
        <is>
          <t>United Kingdom</t>
        </is>
      </c>
      <c r="P1357" s="1" t="inlineStr">
        <is>
          <t>United Kingdom</t>
        </is>
      </c>
      <c r="Q1357" s="1" t="inlineStr">
        <is>
          <t>0 to 10</t>
        </is>
      </c>
      <c r="R1357" t="inlineStr">
        <is>
          <t>Micro</t>
        </is>
      </c>
      <c r="S1357" s="1" t="inlineStr">
        <is>
          <t>Business to Business, Business to Schools</t>
        </is>
      </c>
      <c r="T1357" s="1" t="inlineStr">
        <is>
          <t>Early childhood development (0-5 years), Primary Education, Secondary Education</t>
        </is>
      </c>
      <c r="U1357" s="1" t="inlineStr">
        <is>
          <t>System/Administrative, Student interfacing, Teacher interfacing</t>
        </is>
      </c>
      <c r="V1357" s="1" t="n"/>
      <c r="W1357" s="1" t="inlineStr">
        <is>
          <t>https://drive.google.com/uc?export=view&amp;id=10TjOvjGvEVQQ9XiSsjaKtz3Qja5zanBi</t>
        </is>
      </c>
      <c r="X1357" s="1" t="inlineStr">
        <is>
          <t>https://drive.google.com/uc?export=view&amp;id=10TjOvjGvEVQQ9XiSsjaKtz3Qja5zanBi</t>
        </is>
      </c>
      <c r="Y1357" t="inlineStr">
        <is>
          <t>https://drive.google.com/uc?export=view&amp;id=10TjOvjGvEVQQ9XiSsjaKtz3Qja5zanBi</t>
        </is>
      </c>
      <c r="Z1357" s="1" t="inlineStr">
        <is>
          <t>https://drive.google.com/uc?export=view&amp;id=10TjOvjGvEVQQ9XiSsjaKtz3Qja5zanBi</t>
        </is>
      </c>
      <c r="AA1357" s="1" t="inlineStr">
        <is>
          <t>Unverified</t>
        </is>
      </c>
      <c r="AB1357" s="1" t="n"/>
      <c r="AC1357" s="1" t="n"/>
      <c r="AD1357" s="10" t="n"/>
      <c r="AE1357" s="1" t="n"/>
      <c r="AF1357" t="inlineStr">
        <is>
          <t>No</t>
        </is>
      </c>
    </row>
    <row r="1358" ht="12.5" customHeight="1">
      <c r="A1358" s="6" t="n">
        <v>45181</v>
      </c>
      <c r="B1358" s="1" t="inlineStr">
        <is>
          <t>ORG_2105</t>
        </is>
      </c>
      <c r="C1358" s="1" t="b">
        <v>1</v>
      </c>
      <c r="D1358" s="1" t="inlineStr">
        <is>
          <t>PITCHBOY</t>
        </is>
      </c>
      <c r="E1358" s="10" t="inlineStr">
        <is>
          <t>https://www.pitchboy.sc/</t>
        </is>
      </c>
      <c r="F1358" t="inlineStr">
        <is>
          <t>pitchboy.sc</t>
        </is>
      </c>
      <c r="G1358" s="1" t="inlineStr">
        <is>
          <t>PITCHBOY is the 1st conversation simulator to develop employees skills and complete current training tools!
We combine the most innovative artificial intelligence and voice recognition technologies to recreate total immersion in a real work environment.
The employees freely train themselves to develop the right reflexes. They are trained in an efficient, playful and caring way.
The conversational learning platform is first and foremost a library for your immersive
simulations, in audio, 2D video or 360° video.
The user is immersed in a realistic working environment and has a natural conversation
with a video or voice recorded interlocutor. The platform is also a managerial support
tool. Statistical data and replays make it possible to identify achievements and areas for improvement, by learner or group of learners.</t>
        </is>
      </c>
      <c r="H1358" s="1" t="inlineStr">
        <is>
          <t>EdTech France</t>
        </is>
      </c>
      <c r="I1358" s="1" t="n"/>
      <c r="J1358" s="1" t="inlineStr">
        <is>
          <t>Paris</t>
        </is>
      </c>
      <c r="K1358" t="inlineStr">
        <is>
          <t>Paris</t>
        </is>
      </c>
      <c r="L1358" t="inlineStr">
        <is>
          <t>Paris, France</t>
        </is>
      </c>
      <c r="M1358" t="n">
        <v>48.8534951</v>
      </c>
      <c r="N1358" t="n">
        <v>2.3483915</v>
      </c>
      <c r="O1358" s="1" t="inlineStr">
        <is>
          <t>France</t>
        </is>
      </c>
      <c r="P1358" s="1" t="inlineStr">
        <is>
          <t>Belgium, France, United Kingdom</t>
        </is>
      </c>
      <c r="Q1358" s="1" t="inlineStr">
        <is>
          <t>0 to 10</t>
        </is>
      </c>
      <c r="R1358" t="inlineStr">
        <is>
          <t>Micro</t>
        </is>
      </c>
      <c r="S1358" s="1" t="inlineStr">
        <is>
          <t>Business to Consumer</t>
        </is>
      </c>
      <c r="T1358" s="1" t="inlineStr">
        <is>
          <t>Corporate Training, Lifelong learning/Adult education</t>
        </is>
      </c>
      <c r="U1358" s="1" t="inlineStr">
        <is>
          <t>Teacher interfacing, System/Administrative</t>
        </is>
      </c>
      <c r="V1358" s="1" t="inlineStr">
        <is>
          <t>Conversation simulator</t>
        </is>
      </c>
      <c r="W1358" s="10" t="inlineStr">
        <is>
          <t>The conversational learning platform is first and foremost a library for your immersive simulations, in audio, 2D video or 360° video (and deepfake video).
Several modalities are available for your recruitment, onboarding, training and awareness : conversational quiz, conversational micro-learning and conversational work situations.</t>
        </is>
      </c>
      <c r="X1358" s="10" t="inlineStr">
        <is>
          <t>Authoring tool</t>
        </is>
      </c>
      <c r="Y1358" t="inlineStr">
        <is>
          <t>Get started with the conversational intelligence technology developed by Pitchboy to freely create and integrate conversation simulations into your training paths. Simply use voice recognition in training, no coding skills required. Script writing is made easier to highlight your know-how and your teaching expertise.</t>
        </is>
      </c>
      <c r="Z1358" s="1" t="n"/>
      <c r="AA1358" s="1" t="inlineStr">
        <is>
          <t>Unverified</t>
        </is>
      </c>
      <c r="AB1358" s="1" t="n"/>
      <c r="AC1358" s="1" t="n"/>
      <c r="AD1358" s="1" t="n"/>
      <c r="AE1358" s="1" t="n"/>
      <c r="AF1358" t="inlineStr">
        <is>
          <t>Yes</t>
        </is>
      </c>
      <c r="AG1358" t="inlineStr">
        <is>
          <t>https://twitter.com/PitchboyVR</t>
        </is>
      </c>
      <c r="AH1358" t="inlineStr">
        <is>
          <t>https://twitter.com/PitchboyVR</t>
        </is>
      </c>
      <c r="AI1358" t="inlineStr">
        <is>
          <t>https://www.linkedin.com/company/pitchboy/</t>
        </is>
      </c>
    </row>
    <row r="1359" ht="12.5" customHeight="1">
      <c r="A1359" s="6" t="n">
        <v>45181</v>
      </c>
      <c r="B1359" s="1" t="inlineStr">
        <is>
          <t>ORG_2201</t>
        </is>
      </c>
      <c r="C1359" s="1" t="b">
        <v>1</v>
      </c>
      <c r="D1359" s="1" t="inlineStr">
        <is>
          <t>Roundies</t>
        </is>
      </c>
      <c r="E1359" s="10" t="inlineStr">
        <is>
          <t>https://tunteetjataidot.fi/en/home/</t>
        </is>
      </c>
      <c r="F1359" t="inlineStr">
        <is>
          <t>tunteetjataidot.fi/en/home</t>
        </is>
      </c>
      <c r="G1359" s="1" t="inlineStr">
        <is>
          <t>Our mission is to grow children socially and emotionally stronger in the early years. We have validated our research-based method (combining psychological and pedagogical guidance with play based learning) in Finland. We are building globally scalabe platform for social and emotional learning in early childhood education. Beside this SEL Curriculum for early childhood educators we offer insightful products for families.</t>
        </is>
      </c>
      <c r="H1359" s="1" t="inlineStr">
        <is>
          <t>I'm not part of any EdTech association</t>
        </is>
      </c>
      <c r="I1359" s="1" t="n"/>
      <c r="J1359" s="1" t="inlineStr">
        <is>
          <t>Helsinki</t>
        </is>
      </c>
      <c r="K1359" t="inlineStr">
        <is>
          <t>Helsinki</t>
        </is>
      </c>
      <c r="L1359" t="inlineStr">
        <is>
          <t>Helsinki, Finland</t>
        </is>
      </c>
      <c r="M1359" t="n">
        <v>60.1666204</v>
      </c>
      <c r="N1359" t="n">
        <v>24.9435408</v>
      </c>
      <c r="O1359" s="1" t="inlineStr">
        <is>
          <t>Finland</t>
        </is>
      </c>
      <c r="P1359" s="1" t="inlineStr">
        <is>
          <t>Finland</t>
        </is>
      </c>
      <c r="Q1359" s="1" t="inlineStr">
        <is>
          <t>0 to 10</t>
        </is>
      </c>
      <c r="R1359" t="inlineStr">
        <is>
          <t>Micro</t>
        </is>
      </c>
      <c r="S1359" s="1" t="inlineStr">
        <is>
          <t>Business to Consumer</t>
        </is>
      </c>
      <c r="T1359" s="1" t="inlineStr">
        <is>
          <t>Early childhood development (0-5 years), Primary Education</t>
        </is>
      </c>
      <c r="U1359" s="1" t="inlineStr">
        <is>
          <t>System/Administrative, Student interfacing, Teacher interfacing</t>
        </is>
      </c>
      <c r="V1359" s="1" t="n"/>
      <c r="W1359" s="1" t="inlineStr">
        <is>
          <t>https://drive.google.com/uc?export=view&amp;id=1wpWc5yzNVib6tyQsHwtXaw7z4-7OuqQW</t>
        </is>
      </c>
      <c r="X1359" s="1" t="inlineStr">
        <is>
          <t>https://drive.google.com/uc?export=view&amp;id=1wpWc5yzNVib6tyQsHwtXaw7z4-7OuqQW</t>
        </is>
      </c>
      <c r="Y1359" t="inlineStr">
        <is>
          <t>https://drive.google.com/uc?export=view&amp;id=1wpWc5yzNVib6tyQsHwtXaw7z4-7OuqQW</t>
        </is>
      </c>
      <c r="Z1359" s="1" t="inlineStr">
        <is>
          <t>https://drive.google.com/uc?export=view&amp;id=1wpWc5yzNVib6tyQsHwtXaw7z4-7OuqQW</t>
        </is>
      </c>
      <c r="AA1359" s="1" t="inlineStr">
        <is>
          <t>Unverified</t>
        </is>
      </c>
      <c r="AB1359" s="1" t="n"/>
      <c r="AC1359" s="1" t="n"/>
      <c r="AD1359" s="10" t="n"/>
      <c r="AE1359" s="1" t="n"/>
      <c r="AF1359" t="inlineStr">
        <is>
          <t>No</t>
        </is>
      </c>
    </row>
    <row r="1360" ht="12.5" customHeight="1">
      <c r="A1360" s="6" t="n">
        <v>45181</v>
      </c>
      <c r="B1360" s="1" t="inlineStr">
        <is>
          <t>ORG_2210</t>
        </is>
      </c>
      <c r="C1360" s="1" t="b">
        <v>1</v>
      </c>
      <c r="D1360" s="1" t="inlineStr">
        <is>
          <t>SchoolParrot</t>
        </is>
      </c>
      <c r="E1360" s="10" t="inlineStr">
        <is>
          <t>https://www.schoolparrot.co.uk/</t>
        </is>
      </c>
      <c r="F1360" t="inlineStr">
        <is>
          <t>schoolparrot.co.uk</t>
        </is>
      </c>
      <c r="G1360" s="1" t="inlineStr">
        <is>
          <t>SchoolParrot is a review site for Schools. We list all Schools from young ages to higher education. As a School, you can claim your profile and start working with reviews for free at SchoolParrot.</t>
        </is>
      </c>
      <c r="H1360" s="1" t="inlineStr">
        <is>
          <t>Swedish EdTech Industry</t>
        </is>
      </c>
      <c r="I1360" s="1" t="n"/>
      <c r="J1360" s="1" t="inlineStr">
        <is>
          <t>Stockholm</t>
        </is>
      </c>
      <c r="K1360" t="inlineStr">
        <is>
          <t>Stockholm</t>
        </is>
      </c>
      <c r="L1360" t="inlineStr">
        <is>
          <t>Stockholm, Sweden</t>
        </is>
      </c>
      <c r="M1360" t="n">
        <v>59.3251172</v>
      </c>
      <c r="N1360" t="n">
        <v>18.0710935</v>
      </c>
      <c r="O1360" s="1" t="inlineStr">
        <is>
          <t>Sweden</t>
        </is>
      </c>
      <c r="P1360" s="1" t="inlineStr">
        <is>
          <t>Sweden, United Kingdom</t>
        </is>
      </c>
      <c r="Q1360" s="1" t="inlineStr">
        <is>
          <t>0 to 10</t>
        </is>
      </c>
      <c r="R1360" t="inlineStr">
        <is>
          <t>Micro</t>
        </is>
      </c>
      <c r="S1360" s="1" t="inlineStr">
        <is>
          <t>Business to Consumer</t>
        </is>
      </c>
      <c r="T1360" s="1" t="inlineStr">
        <is>
          <t>Early childhood development (0-5 years), Primary Education, Secondary Education, Higher Education</t>
        </is>
      </c>
      <c r="U1360" s="1" t="inlineStr">
        <is>
          <t>System/Administrative, Student interfacing, Teacher interfacing</t>
        </is>
      </c>
      <c r="V1360" s="10" t="inlineStr">
        <is>
          <t>SchoolParrot</t>
        </is>
      </c>
      <c r="W1360" s="10" t="inlineStr">
        <is>
          <t>SchoolParrot is a review platform for Schools.</t>
        </is>
      </c>
      <c r="X1360" s="10" t="inlineStr">
        <is>
          <t>https://drive.google.com/uc?export=view&amp;id=1v7_UPnE7zhHHqGRBk5PN-tTUGg-ooEC8</t>
        </is>
      </c>
      <c r="Y1360" t="inlineStr">
        <is>
          <t>https://drive.google.com/uc?export=view&amp;id=1v7_UPnE7zhHHqGRBk5PN-tTUGg-ooEC8</t>
        </is>
      </c>
      <c r="Z1360" s="1" t="inlineStr">
        <is>
          <t>https://drive.google.com/uc?export=view&amp;id=1v7_UPnE7zhHHqGRBk5PN-tTUGg-ooEC8</t>
        </is>
      </c>
      <c r="AA1360" s="1" t="inlineStr">
        <is>
          <t>Unverified</t>
        </is>
      </c>
      <c r="AB1360" s="1" t="n"/>
      <c r="AC1360" s="1" t="n"/>
      <c r="AD1360" s="10" t="n"/>
      <c r="AE1360" s="1" t="n"/>
      <c r="AF1360" t="inlineStr">
        <is>
          <t>Yes</t>
        </is>
      </c>
      <c r="AG1360" t="inlineStr">
        <is>
          <t>https://www.instagram.com/schoolparrot/</t>
        </is>
      </c>
      <c r="AH1360" t="inlineStr">
        <is>
          <t>https://twitter.com/schoolparrotoff</t>
        </is>
      </c>
      <c r="AI1360" t="inlineStr">
        <is>
          <t>https://www.linkedin.com/company/schoolparrot</t>
        </is>
      </c>
    </row>
    <row r="1361" ht="12.5" customHeight="1">
      <c r="A1361" s="6" t="n">
        <v>45181</v>
      </c>
      <c r="B1361" s="1" t="inlineStr">
        <is>
          <t>ORG_2239</t>
        </is>
      </c>
      <c r="C1361" s="1" t="b">
        <v>1</v>
      </c>
      <c r="D1361" s="1" t="inlineStr">
        <is>
          <t>SiliconHagen</t>
        </is>
      </c>
      <c r="E1361" s="10" t="inlineStr">
        <is>
          <t>www.siliconhagen.com</t>
        </is>
      </c>
      <c r="F1361" t="inlineStr">
        <is>
          <t>siliconhagen.com</t>
        </is>
      </c>
      <c r="G1361" s="1" t="inlineStr">
        <is>
          <t>SiliconHagen develops XR materials for customised use by a range of vocational education and training providers in construction, engineering and health care sectors. Spatial computing is also used in co-creation of experimental immersive STEM learning spaces for high school pupils. SiliconHagen is in the unique position to apply long term user-orientated learning from over 7 years of collaborating, innovating and testing a wide spectrum of virtual world scenes.</t>
        </is>
      </c>
      <c r="H1361" s="1" t="inlineStr">
        <is>
          <t>I'm not part of any EdTech association</t>
        </is>
      </c>
      <c r="I1361" s="1" t="n"/>
      <c r="J1361" s="1" t="inlineStr">
        <is>
          <t>Copenhagen</t>
        </is>
      </c>
      <c r="K1361" t="inlineStr">
        <is>
          <t>Copenhagen</t>
        </is>
      </c>
      <c r="L1361" t="inlineStr">
        <is>
          <t>Copenhagen, Denmark</t>
        </is>
      </c>
      <c r="M1361" t="n">
        <v>55.6867243</v>
      </c>
      <c r="N1361" t="n">
        <v>12.5700724</v>
      </c>
      <c r="O1361" s="1" t="inlineStr">
        <is>
          <t>Denmark</t>
        </is>
      </c>
      <c r="P1361" s="1" t="inlineStr">
        <is>
          <t>Belgium, Czechia, Denmark, Estonia, Germany, Latvia, Lithuania, Luxembourg, Netherlands, Norway, Poland, Slovakia, Slovenia, Sweden, United Kingdom</t>
        </is>
      </c>
      <c r="Q1361" s="1" t="inlineStr">
        <is>
          <t>0 to 10</t>
        </is>
      </c>
      <c r="R1361" t="inlineStr">
        <is>
          <t>Micro</t>
        </is>
      </c>
      <c r="S1361" s="1" t="inlineStr">
        <is>
          <t>Business to Consumer</t>
        </is>
      </c>
      <c r="T1361" s="1" t="inlineStr">
        <is>
          <t>Secondary Education, Higher Education, Corporate Training, Lifelong learning/Adult education</t>
        </is>
      </c>
      <c r="U1361" s="1" t="inlineStr">
        <is>
          <t>Student interfacing, Teacher interfacing, System/Administrative</t>
        </is>
      </c>
      <c r="V1361" s="1" t="n"/>
      <c r="W1361" s="1" t="inlineStr">
        <is>
          <t>https://drive.google.com/uc?export=view&amp;id=1X6vPeqda-H7oxzAQDy45wLVGIVRRYTLy</t>
        </is>
      </c>
      <c r="X1361" s="1" t="inlineStr">
        <is>
          <t>https://drive.google.com/uc?export=view&amp;id=1X6vPeqda-H7oxzAQDy45wLVGIVRRYTLy</t>
        </is>
      </c>
      <c r="Y1361" t="inlineStr">
        <is>
          <t>https://drive.google.com/uc?export=view&amp;id=1X6vPeqda-H7oxzAQDy45wLVGIVRRYTLy</t>
        </is>
      </c>
      <c r="Z1361" s="1" t="inlineStr">
        <is>
          <t>https://drive.google.com/uc?export=view&amp;id=1X6vPeqda-H7oxzAQDy45wLVGIVRRYTLy</t>
        </is>
      </c>
      <c r="AA1361" s="1" t="inlineStr">
        <is>
          <t>Unverified</t>
        </is>
      </c>
      <c r="AB1361" s="1" t="n"/>
      <c r="AC1361" s="1" t="n"/>
      <c r="AD1361" s="10" t="n"/>
      <c r="AE1361" s="1" t="n"/>
      <c r="AF1361" s="1" t="inlineStr">
        <is>
          <t>No</t>
        </is>
      </c>
      <c r="AG1361" s="1" t="n"/>
      <c r="AH1361" s="1" t="n"/>
    </row>
    <row r="1362" ht="12.5" customHeight="1">
      <c r="A1362" s="6" t="n">
        <v>45181</v>
      </c>
      <c r="B1362" s="1" t="inlineStr">
        <is>
          <t>ORG_2319</t>
        </is>
      </c>
      <c r="C1362" s="1" t="b">
        <v>1</v>
      </c>
      <c r="D1362" s="1" t="inlineStr">
        <is>
          <t>StartSteps</t>
        </is>
      </c>
      <c r="E1362" s="10" t="inlineStr">
        <is>
          <t>https://startsteps.org/</t>
        </is>
      </c>
      <c r="F1362" t="inlineStr">
        <is>
          <t>startsteps.org</t>
        </is>
      </c>
      <c r="G1362" s="1" t="inlineStr">
        <is>
          <t>StartSteps is a digital skills academy &amp; marketplace to orientate career changers and unemployed, to the future of tech jobs, educational pathways and digital skills education providers in Europe.</t>
        </is>
      </c>
      <c r="H1362" s="1" t="inlineStr">
        <is>
          <t>I'm not part of any EdTech association</t>
        </is>
      </c>
      <c r="I1362" s="1" t="n"/>
      <c r="J1362" s="1" t="inlineStr">
        <is>
          <t>Berlin</t>
        </is>
      </c>
      <c r="K1362" t="inlineStr">
        <is>
          <t>Berlin</t>
        </is>
      </c>
      <c r="L1362" t="inlineStr">
        <is>
          <t>Berlin, Germany</t>
        </is>
      </c>
      <c r="M1362" t="n">
        <v>52.5173885</v>
      </c>
      <c r="N1362" t="n">
        <v>13.3951309</v>
      </c>
      <c r="O1362" s="1" t="inlineStr">
        <is>
          <t>Germany</t>
        </is>
      </c>
      <c r="P1362" s="1" t="inlineStr">
        <is>
          <t>Germany</t>
        </is>
      </c>
      <c r="Q1362" s="1" t="inlineStr">
        <is>
          <t>0 to 10</t>
        </is>
      </c>
      <c r="R1362" t="inlineStr">
        <is>
          <t>Micro</t>
        </is>
      </c>
      <c r="S1362" s="1" t="inlineStr">
        <is>
          <t>Business to Consumer, Business to Schools</t>
        </is>
      </c>
      <c r="T1362" s="1" t="inlineStr">
        <is>
          <t>Higher Education, Corporate Training, Lifelong learning/Adult education</t>
        </is>
      </c>
      <c r="U1362" s="1" t="inlineStr">
        <is>
          <t>System/Administrative, Student interfacing</t>
        </is>
      </c>
      <c r="V1362" s="1" t="n"/>
      <c r="W1362" s="1" t="inlineStr">
        <is>
          <t>https://drive.google.com/uc?export=view&amp;id=1OHeulynBf601ThHWH1sW_LWaRC6Tcmc1</t>
        </is>
      </c>
      <c r="X1362" s="1" t="inlineStr">
        <is>
          <t>https://drive.google.com/uc?export=view&amp;id=1OHeulynBf601ThHWH1sW_LWaRC6Tcmc1</t>
        </is>
      </c>
      <c r="Y1362" t="inlineStr">
        <is>
          <t>https://drive.google.com/uc?export=view&amp;id=1OHeulynBf601ThHWH1sW_LWaRC6Tcmc1</t>
        </is>
      </c>
      <c r="Z1362" s="1" t="inlineStr">
        <is>
          <t>https://drive.google.com/uc?export=view&amp;id=1OHeulynBf601ThHWH1sW_LWaRC6Tcmc1</t>
        </is>
      </c>
      <c r="AA1362" s="1" t="inlineStr">
        <is>
          <t>Unverified</t>
        </is>
      </c>
      <c r="AB1362" s="1" t="n"/>
      <c r="AC1362" s="1" t="n"/>
      <c r="AD1362" s="10" t="n"/>
      <c r="AE1362" s="1" t="n"/>
      <c r="AF1362" s="1" t="inlineStr">
        <is>
          <t>No</t>
        </is>
      </c>
      <c r="AG1362" s="1" t="n"/>
      <c r="AH1362" s="1" t="n"/>
    </row>
    <row r="1363" ht="12.5" customHeight="1">
      <c r="A1363" s="6" t="n">
        <v>45181</v>
      </c>
      <c r="B1363" s="1" t="inlineStr">
        <is>
          <t>ORG_2355</t>
        </is>
      </c>
      <c r="C1363" s="1" t="b">
        <v>1</v>
      </c>
      <c r="D1363" s="1" t="inlineStr">
        <is>
          <t>Swiss Learning Hub Ltd.</t>
        </is>
      </c>
      <c r="E1363" s="10" t="inlineStr">
        <is>
          <t>www.swisslearninghub.com</t>
        </is>
      </c>
      <c r="F1363" t="inlineStr">
        <is>
          <t>swisslearninghub.com</t>
        </is>
      </c>
      <c r="G1363" s="1" t="inlineStr">
        <is>
          <t>The Swiss Learning Hub is the platform for vocational education and training in a globalised working environment. Successfully used in the 3 areas of basic vocational education (Vocational Edition), in-company education (Corporate Edition) and tertiary education (Campus Edition).</t>
        </is>
      </c>
      <c r="H1363" s="1" t="inlineStr">
        <is>
          <t>I'm not part of any EdTech association</t>
        </is>
      </c>
      <c r="I1363" s="1" t="n"/>
      <c r="J1363" s="1" t="inlineStr">
        <is>
          <t>Zurich</t>
        </is>
      </c>
      <c r="K1363" t="inlineStr">
        <is>
          <t>Zurich</t>
        </is>
      </c>
      <c r="L1363" t="inlineStr">
        <is>
          <t>Zurich, Switzerland</t>
        </is>
      </c>
      <c r="M1363" t="n">
        <v>47.3744489</v>
      </c>
      <c r="N1363" t="n">
        <v>8.5410422</v>
      </c>
      <c r="O1363" s="1" t="inlineStr">
        <is>
          <t>Switzerland</t>
        </is>
      </c>
      <c r="P1363" s="1" t="inlineStr">
        <is>
          <t>Germany, Switzerland</t>
        </is>
      </c>
      <c r="Q1363" s="1" t="inlineStr">
        <is>
          <t>51 to 100</t>
        </is>
      </c>
      <c r="R1363" t="inlineStr">
        <is>
          <t>Medium</t>
        </is>
      </c>
      <c r="S1363" s="1" t="inlineStr">
        <is>
          <t>Business to Consumer, Business to Schools</t>
        </is>
      </c>
      <c r="T1363" s="1" t="inlineStr">
        <is>
          <t>Higher Education, Corporate Training, Lifelong learning/Adult education</t>
        </is>
      </c>
      <c r="U1363" s="1" t="inlineStr">
        <is>
          <t>Student interfacing, System/Administrative</t>
        </is>
      </c>
      <c r="V1363" s="1" t="n"/>
      <c r="W1363" s="1" t="inlineStr">
        <is>
          <t>https://drive.google.com/uc?export=view&amp;id=1Jbip0Ecr93LrAqFNM0R14EqRBN1t4XQc</t>
        </is>
      </c>
      <c r="X1363" s="1" t="inlineStr">
        <is>
          <t>https://drive.google.com/uc?export=view&amp;id=1Jbip0Ecr93LrAqFNM0R14EqRBN1t4XQc</t>
        </is>
      </c>
      <c r="Y1363" t="inlineStr">
        <is>
          <t>https://drive.google.com/uc?export=view&amp;id=1Jbip0Ecr93LrAqFNM0R14EqRBN1t4XQc</t>
        </is>
      </c>
      <c r="Z1363" s="1" t="inlineStr">
        <is>
          <t>https://drive.google.com/uc?export=view&amp;id=1Jbip0Ecr93LrAqFNM0R14EqRBN1t4XQc</t>
        </is>
      </c>
      <c r="AA1363" s="1" t="inlineStr">
        <is>
          <t>Unverified</t>
        </is>
      </c>
      <c r="AB1363" s="1" t="n"/>
      <c r="AC1363" s="1" t="n"/>
      <c r="AD1363" s="10" t="n"/>
      <c r="AE1363" s="1" t="n"/>
      <c r="AF1363" s="1" t="inlineStr">
        <is>
          <t>No</t>
        </is>
      </c>
      <c r="AG1363" s="1" t="n"/>
      <c r="AH1363" s="1" t="n"/>
    </row>
    <row r="1364" ht="12.5" customHeight="1">
      <c r="A1364" s="6" t="n">
        <v>45181</v>
      </c>
      <c r="B1364" s="1" t="inlineStr">
        <is>
          <t>ORG_2364</t>
        </is>
      </c>
      <c r="C1364" s="1" t="b">
        <v>1</v>
      </c>
      <c r="D1364" s="1" t="inlineStr">
        <is>
          <t>TakeawalkVR</t>
        </is>
      </c>
      <c r="E1364" s="10" t="inlineStr">
        <is>
          <t>http://www.vrplatformen.dk/platform/xpandr/</t>
        </is>
      </c>
      <c r="F1364" t="inlineStr">
        <is>
          <t>vrplatformen.dk/platform/xpandr</t>
        </is>
      </c>
      <c r="G1364" s="1" t="inlineStr">
        <is>
          <t>With Takeawalks Xpandr, students can both talk about and reflect on what they actually experience in practice, from a theoretical perspective. 
By using the features in Xpandr, it is possible to take the theory and throw it directly into a realistic scenario in VR. Xpandr is also interactive, which means that students must actively make choices to progress in the different scenarios.
We facilitae VR sessions with +150 students at the same time from diffrent locations easy and simpel, making Xpandr usable for everybody,</t>
        </is>
      </c>
      <c r="H1364" s="1" t="inlineStr">
        <is>
          <t>EdTech Denmark</t>
        </is>
      </c>
      <c r="I1364" s="1" t="n"/>
      <c r="J1364" s="1" t="inlineStr">
        <is>
          <t>Egtved</t>
        </is>
      </c>
      <c r="K1364" t="inlineStr">
        <is>
          <t>Egtved</t>
        </is>
      </c>
      <c r="L1364" t="inlineStr">
        <is>
          <t>Egtved, Denmark</t>
        </is>
      </c>
      <c r="M1364" t="n">
        <v>55.6157026</v>
      </c>
      <c r="N1364" t="n">
        <v>9.3092296</v>
      </c>
      <c r="O1364" s="1" t="inlineStr">
        <is>
          <t>Denmark</t>
        </is>
      </c>
      <c r="P1364" s="1" t="inlineStr">
        <is>
          <t>Denmark, Germany, Norway, Sweden</t>
        </is>
      </c>
      <c r="Q1364" s="1" t="inlineStr">
        <is>
          <t>11 to 50</t>
        </is>
      </c>
      <c r="R1364" t="inlineStr">
        <is>
          <t>Small</t>
        </is>
      </c>
      <c r="S1364" s="1" t="inlineStr">
        <is>
          <t>Business to Government</t>
        </is>
      </c>
      <c r="T1364" s="1" t="inlineStr">
        <is>
          <t>Early childhood development (0-5 years), Primary Education, Secondary Education, Higher Education, Corporate Training, Lifelong learning/Adult education</t>
        </is>
      </c>
      <c r="U1364" s="1" t="inlineStr">
        <is>
          <t>Student interfacing, Teacher interfacing, System/Administrative</t>
        </is>
      </c>
      <c r="V1364" s="1" t="inlineStr">
        <is>
          <t>Xpandr</t>
        </is>
      </c>
      <c r="W1364" s="1" t="inlineStr">
        <is>
          <t>A Plug and Play solution to experience, record and process VR films.
Imagine stepping into a regular library. Just as you know it. However, there is one small difference. There are 4 VR headsets, 
1 tablet and a 360 ° camera in front of you.
Turn on a headset, select a movie from the VR library on the tablet and put on the headset. Enter a whole new world where you get really close. Maybe you have chosen to go to a nature area, are standing in a building or you are on an excursion with an entire school class.
Instead of reading about different places, events, people and skills, you can virtually travel to another destination and learn new things there.
When you have finished experiencing in the headset, you will probably feel inspired to show others your local area or interests. Then borrow the 360 ° camera home and record your own VR movies. Edit your recording in our unique software and upload it directly to the tablet and headsets located at the library.
Now others can experience your unique content.</t>
        </is>
      </c>
      <c r="X1364" s="10" t="inlineStr">
        <is>
          <t>https://drive.google.com/uc?export=view&amp;id=1lVtHWRaC-b84Wzm8aDA_mxZ0jOtXABOP</t>
        </is>
      </c>
      <c r="Y1364" t="inlineStr">
        <is>
          <t>https://drive.google.com/uc?export=view&amp;id=1lVtHWRaC-b84Wzm8aDA_mxZ0jOtXABOP</t>
        </is>
      </c>
      <c r="Z1364" s="1" t="inlineStr">
        <is>
          <t>https://drive.google.com/uc?export=view&amp;id=1lVtHWRaC-b84Wzm8aDA_mxZ0jOtXABOP</t>
        </is>
      </c>
      <c r="AA1364" s="1" t="inlineStr">
        <is>
          <t>Unverified</t>
        </is>
      </c>
      <c r="AB1364" s="1" t="n"/>
      <c r="AC1364" s="1" t="n"/>
      <c r="AD1364" s="10" t="n"/>
      <c r="AE1364" s="1" t="n"/>
      <c r="AF1364" s="1" t="inlineStr">
        <is>
          <t>Yes</t>
        </is>
      </c>
      <c r="AG1364" s="1" t="inlineStr">
        <is>
          <t>Takeawalk</t>
        </is>
      </c>
      <c r="AH1364" s="1" t="inlineStr">
        <is>
          <t>Takeawalk</t>
        </is>
      </c>
      <c r="AI1364" t="inlineStr">
        <is>
          <t>https://www.linkedin.com/company/takeawalkvr</t>
        </is>
      </c>
    </row>
    <row r="1365" ht="12.5" customHeight="1">
      <c r="A1365" s="6" t="n">
        <v>45181</v>
      </c>
      <c r="B1365" s="1" t="inlineStr">
        <is>
          <t>ORG_2415</t>
        </is>
      </c>
      <c r="C1365" s="1" t="b">
        <v>1</v>
      </c>
      <c r="D1365" s="1" t="inlineStr">
        <is>
          <t>Tinycoaching</t>
        </is>
      </c>
      <c r="E1365" s="10" t="inlineStr">
        <is>
          <t>https://tiny-coaching.com/index.php/en/tinycoaching-le-coach-virtuel-english/</t>
        </is>
      </c>
      <c r="F1365" t="inlineStr">
        <is>
          <t>tiny-coaching.com/index.php/en/tinycoaching-le-coach-virtuel-english</t>
        </is>
      </c>
      <c r="G1365" s="1" t="inlineStr">
        <is>
          <t>Tiny is the first professional virtual coach available on instant messengers. 
Tiny was created so that every employee, whether a manager or an employee, has the right to a coach to help them develop their career and skills.
Equipped with artificial intelligence, Tiny knows the training courses needs of learners.
It takes care of your skills development by simply chatting with you directly from the platform of your choice (Microsoft Teams, Messenger, Application).
Our educational system is based on the rules of neuro-pedagogy to enable optimal learning and better retention of information.
The coach sends microleaning content in different formats (article, podcast, video, multimedia) depending on your training program. However, if you need to learn a concept at the time, you can ask Tiny for coaching on the skill in question. 
He will regularly remind you of what he has already taught you, and he will challenge you with motivating and engaging words so that your new knowledge will take hold in the long term.</t>
        </is>
      </c>
      <c r="H1365" s="1" t="inlineStr">
        <is>
          <t>EdTech France</t>
        </is>
      </c>
      <c r="I1365" s="1" t="n"/>
      <c r="J1365" s="1" t="inlineStr">
        <is>
          <t>Normadie</t>
        </is>
      </c>
      <c r="K1365" t="inlineStr">
        <is>
          <t>Normadie</t>
        </is>
      </c>
      <c r="L1365" t="inlineStr">
        <is>
          <t>Normadie, France</t>
        </is>
      </c>
      <c r="M1365" t="n">
        <v>49.0677708</v>
      </c>
      <c r="N1365" t="n">
        <v>0.3138532</v>
      </c>
      <c r="O1365" s="1" t="inlineStr">
        <is>
          <t>France</t>
        </is>
      </c>
      <c r="P1365" s="1" t="inlineStr">
        <is>
          <t>Finland</t>
        </is>
      </c>
      <c r="Q1365" s="1" t="inlineStr">
        <is>
          <t>11 to 50</t>
        </is>
      </c>
      <c r="R1365" t="inlineStr">
        <is>
          <t>Small</t>
        </is>
      </c>
      <c r="S1365" s="1" t="inlineStr">
        <is>
          <t>Business to Government</t>
        </is>
      </c>
      <c r="T1365" s="1" t="inlineStr">
        <is>
          <t>Secondary Education, Higher Education, Corporate Training, Lifelong learning/Adult education</t>
        </is>
      </c>
      <c r="U1365" s="1" t="inlineStr">
        <is>
          <t>Student interfacing, Teacher interfacing, System/Administrative</t>
        </is>
      </c>
      <c r="V1365" s="1" t="n"/>
      <c r="W1365" s="1" t="inlineStr">
        <is>
          <t>https://drive.google.com/uc?export=view&amp;id=1Yxtxp--q-tMpwRcecGXpcTEGIbo6MKTf</t>
        </is>
      </c>
      <c r="X1365" s="1" t="inlineStr">
        <is>
          <t>https://drive.google.com/uc?export=view&amp;id=1Yxtxp--q-tMpwRcecGXpcTEGIbo6MKTf</t>
        </is>
      </c>
      <c r="Y1365" t="inlineStr">
        <is>
          <t>https://drive.google.com/uc?export=view&amp;id=1Yxtxp--q-tMpwRcecGXpcTEGIbo6MKTf</t>
        </is>
      </c>
      <c r="Z1365" s="1" t="inlineStr">
        <is>
          <t>https://drive.google.com/uc?export=view&amp;id=1Yxtxp--q-tMpwRcecGXpcTEGIbo6MKTf</t>
        </is>
      </c>
      <c r="AA1365" s="1" t="inlineStr">
        <is>
          <t>Unverified</t>
        </is>
      </c>
      <c r="AB1365" s="1" t="n"/>
      <c r="AC1365" s="1" t="n"/>
      <c r="AD1365" s="10" t="n"/>
      <c r="AE1365" s="1" t="n"/>
      <c r="AF1365" t="inlineStr">
        <is>
          <t>No</t>
        </is>
      </c>
    </row>
    <row r="1366" ht="12.5" customHeight="1">
      <c r="A1366" s="6" t="n">
        <v>45181</v>
      </c>
      <c r="B1366" s="1" t="inlineStr">
        <is>
          <t>ORG_2418</t>
        </is>
      </c>
      <c r="C1366" s="1" t="b">
        <v>1</v>
      </c>
      <c r="D1366" s="1" t="inlineStr">
        <is>
          <t>Tokey</t>
        </is>
      </c>
      <c r="E1366" s="10" t="inlineStr">
        <is>
          <t>https://www.tokeyfinance.com/home</t>
        </is>
      </c>
      <c r="F1366" t="inlineStr">
        <is>
          <t>tokeyfinance.com/home</t>
        </is>
      </c>
      <c r="G1366" s="1" t="inlineStr">
        <is>
          <t>Tokey is the beginning of the new era in the student financing system. Through its platform students can get funding for their studies through an Income Share Agreement (ISA) financed through a disruptive token system by impact investors and companies interested in hiring those students.</t>
        </is>
      </c>
      <c r="H1366" s="1" t="inlineStr">
        <is>
          <t>I'm not part of any EdTech association</t>
        </is>
      </c>
      <c r="I1366" s="1" t="n"/>
      <c r="J1366" s="1" t="inlineStr">
        <is>
          <t>Madrid</t>
        </is>
      </c>
      <c r="K1366" t="inlineStr">
        <is>
          <t>Madrid</t>
        </is>
      </c>
      <c r="L1366" t="inlineStr">
        <is>
          <t>Madrid, Spain</t>
        </is>
      </c>
      <c r="M1366" t="n">
        <v>40.416782</v>
      </c>
      <c r="N1366" t="n">
        <v>-3.703507</v>
      </c>
      <c r="O1366" s="1" t="inlineStr">
        <is>
          <t>Spain</t>
        </is>
      </c>
      <c r="P1366" s="1" t="inlineStr">
        <is>
          <t>Spain</t>
        </is>
      </c>
      <c r="Q1366" s="1" t="inlineStr">
        <is>
          <t>0 to 10</t>
        </is>
      </c>
      <c r="R1366" t="inlineStr">
        <is>
          <t>Micro</t>
        </is>
      </c>
      <c r="S1366" s="1" t="inlineStr">
        <is>
          <t>Business to Government, Business to Schools</t>
        </is>
      </c>
      <c r="T1366" s="1" t="inlineStr">
        <is>
          <t>Higher Education, Corporate Training, Lifelong learning/Adult education</t>
        </is>
      </c>
      <c r="U1366" s="1" t="inlineStr">
        <is>
          <t>Student interfacing, System/Administrative</t>
        </is>
      </c>
      <c r="V1366" s="1" t="n"/>
      <c r="W1366" s="1" t="inlineStr">
        <is>
          <t>https://drive.google.com/uc?export=view&amp;id=18OGAQXEQSJEJx9k3URZP1fYcKiZWtQjT</t>
        </is>
      </c>
      <c r="X1366" s="1" t="inlineStr">
        <is>
          <t>https://drive.google.com/uc?export=view&amp;id=18OGAQXEQSJEJx9k3URZP1fYcKiZWtQjT</t>
        </is>
      </c>
      <c r="Y1366" t="inlineStr">
        <is>
          <t>https://drive.google.com/uc?export=view&amp;id=18OGAQXEQSJEJx9k3URZP1fYcKiZWtQjT</t>
        </is>
      </c>
      <c r="Z1366" s="1" t="inlineStr">
        <is>
          <t>https://drive.google.com/uc?export=view&amp;id=18OGAQXEQSJEJx9k3URZP1fYcKiZWtQjT</t>
        </is>
      </c>
      <c r="AA1366" s="1" t="inlineStr">
        <is>
          <t>Unverified</t>
        </is>
      </c>
      <c r="AB1366" s="1" t="n"/>
      <c r="AC1366" s="1" t="n"/>
      <c r="AD1366" s="10" t="n"/>
      <c r="AE1366" s="1" t="n"/>
      <c r="AF1366" s="1" t="inlineStr">
        <is>
          <t>No</t>
        </is>
      </c>
      <c r="AG1366" s="1" t="n"/>
      <c r="AH1366" s="1" t="n"/>
    </row>
    <row r="1367" ht="12.5" customHeight="1">
      <c r="A1367" s="6" t="n">
        <v>45181</v>
      </c>
      <c r="B1367" s="1" t="inlineStr">
        <is>
          <t>ORG_2481</t>
        </is>
      </c>
      <c r="C1367" s="1" t="b">
        <v>1</v>
      </c>
      <c r="D1367" s="1" t="inlineStr">
        <is>
          <t>Valamon Academy</t>
        </is>
      </c>
      <c r="E1367" s="10" t="inlineStr">
        <is>
          <t>www.valamonacademy.com</t>
        </is>
      </c>
      <c r="F1367" t="inlineStr">
        <is>
          <t>valamonacademy.com</t>
        </is>
      </c>
      <c r="G1367" s="1" t="inlineStr">
        <is>
          <t>Valamon Academy is a fully interactive language learning experience delivered online.
We help people learn the language in a fun and easy way in mini-groups with friends all over the world.
English, Spanish, Catalan, Italian, Russian, Portuguese, French, German, and more to come soon!</t>
        </is>
      </c>
      <c r="H1367" s="1" t="inlineStr">
        <is>
          <t>I'm not part of any EdTech association</t>
        </is>
      </c>
      <c r="I1367" s="1" t="n"/>
      <c r="J1367" s="1" t="inlineStr">
        <is>
          <t>Gelida</t>
        </is>
      </c>
      <c r="K1367" t="inlineStr">
        <is>
          <t>Gelida</t>
        </is>
      </c>
      <c r="L1367" t="inlineStr">
        <is>
          <t>Gelida, Spain</t>
        </is>
      </c>
      <c r="M1367" t="n">
        <v>41.4324961</v>
      </c>
      <c r="N1367" t="n">
        <v>1.8614458</v>
      </c>
      <c r="O1367" s="1" t="inlineStr">
        <is>
          <t>Spain</t>
        </is>
      </c>
      <c r="P136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367" s="1" t="inlineStr">
        <is>
          <t>0 to 10</t>
        </is>
      </c>
      <c r="R1367" t="inlineStr">
        <is>
          <t>Micro</t>
        </is>
      </c>
      <c r="S1367" s="1" t="inlineStr">
        <is>
          <t>Business to Schools</t>
        </is>
      </c>
      <c r="T1367" s="1" t="inlineStr">
        <is>
          <t>Corporate Training, Lifelong learning/Adult education</t>
        </is>
      </c>
      <c r="U1367" s="1" t="inlineStr">
        <is>
          <t>Student interfacing, System/Administrative</t>
        </is>
      </c>
      <c r="V1367" s="1" t="n"/>
      <c r="W1367" s="1" t="inlineStr">
        <is>
          <t>https://drive.google.com/uc?export=view&amp;id=1bRCKsMWAJeasqV_c_PpH3-MrJ35Mu6cO</t>
        </is>
      </c>
      <c r="X1367" s="1" t="inlineStr">
        <is>
          <t>https://drive.google.com/uc?export=view&amp;id=1bRCKsMWAJeasqV_c_PpH3-MrJ35Mu6cO</t>
        </is>
      </c>
      <c r="Y1367" t="inlineStr">
        <is>
          <t>https://drive.google.com/uc?export=view&amp;id=1bRCKsMWAJeasqV_c_PpH3-MrJ35Mu6cO</t>
        </is>
      </c>
      <c r="Z1367" s="1" t="inlineStr">
        <is>
          <t>https://drive.google.com/uc?export=view&amp;id=1bRCKsMWAJeasqV_c_PpH3-MrJ35Mu6cO</t>
        </is>
      </c>
      <c r="AA1367" s="1" t="inlineStr">
        <is>
          <t>Unverified</t>
        </is>
      </c>
      <c r="AB1367" s="1" t="n"/>
      <c r="AC1367" s="1" t="n"/>
      <c r="AD1367" s="10" t="n"/>
      <c r="AE1367" s="1" t="n"/>
      <c r="AF1367" s="1" t="inlineStr">
        <is>
          <t>No</t>
        </is>
      </c>
      <c r="AG1367" s="1" t="n"/>
      <c r="AH1367" s="1" t="n"/>
    </row>
    <row r="1368" ht="12.5" customHeight="1">
      <c r="A1368" s="6" t="n">
        <v>45181</v>
      </c>
      <c r="B1368" s="1" t="inlineStr">
        <is>
          <t>ORG_2500</t>
        </is>
      </c>
      <c r="C1368" s="1" t="b">
        <v>1</v>
      </c>
      <c r="D1368" s="1" t="inlineStr">
        <is>
          <t>Vision Education</t>
        </is>
      </c>
      <c r="E1368" s="10" t="inlineStr">
        <is>
          <t>www.learnmatch.com</t>
        </is>
      </c>
      <c r="F1368" t="inlineStr">
        <is>
          <t>learnmatch.com</t>
        </is>
      </c>
      <c r="G1368" s="1" t="inlineStr">
        <is>
          <t>Mobile language learning solutions for B2B and B2C. Language learning App "LearnMatch" for up to 8 learning languages with different sponsor- and premium-models globally. 
"LearnMatch Business" as a customised mobile language learning app for the corporate market with different specific industry-solutions available.
SaaS-solutions for bigger clients.</t>
        </is>
      </c>
      <c r="H1368" s="1" t="inlineStr">
        <is>
          <t>EdTech Austria</t>
        </is>
      </c>
      <c r="I1368" s="1" t="n"/>
      <c r="J1368" s="1" t="inlineStr">
        <is>
          <t>Vienna</t>
        </is>
      </c>
      <c r="K1368" t="inlineStr">
        <is>
          <t>Vienna</t>
        </is>
      </c>
      <c r="L1368" t="inlineStr">
        <is>
          <t>Vienna, Austria</t>
        </is>
      </c>
      <c r="M1368" t="n">
        <v>48.2083537</v>
      </c>
      <c r="N1368" t="n">
        <v>16.3725042</v>
      </c>
      <c r="O1368" s="1" t="inlineStr">
        <is>
          <t>Austria</t>
        </is>
      </c>
      <c r="P1368" s="1" t="inlineStr">
        <is>
          <t>Austria, Bosnia and Herzegovina, Bulgaria, Croatia, Czechia, France, Germany, Greece, Hungary, Italy, Malta, Poland, Portugal, Romania, Russia, Slovakia, Slovenia, Spain, Sweden, Switzerland, Turkey, United Kingdom</t>
        </is>
      </c>
      <c r="Q1368" s="1" t="inlineStr">
        <is>
          <t>0 to 10</t>
        </is>
      </c>
      <c r="R1368" t="inlineStr">
        <is>
          <t>Micro</t>
        </is>
      </c>
      <c r="S1368" s="1" t="inlineStr">
        <is>
          <t>Business to Schools</t>
        </is>
      </c>
      <c r="T1368" s="1" t="inlineStr">
        <is>
          <t>Primary Education, Secondary Education, Corporate Training, Lifelong learning/Adult education</t>
        </is>
      </c>
      <c r="U1368" s="1" t="inlineStr">
        <is>
          <t>System/Administrative, Student interfacing, Teacher interfacing</t>
        </is>
      </c>
      <c r="V1368" s="1" t="inlineStr">
        <is>
          <t>LearnMatch</t>
        </is>
      </c>
      <c r="W1368" s="1" t="inlineStr">
        <is>
          <t>LearnMatch is a native mobile vocabulary trainer for iOS and Android with more than 35 native languages and 7 learning languages. LearnMatch supports a playful way of learning with lots of gamification elements and unique features, like "LiveMatch"</t>
        </is>
      </c>
      <c r="X1368" s="10" t="inlineStr">
        <is>
          <t>LearnMatch Business</t>
        </is>
      </c>
      <c r="Y1368" t="inlineStr">
        <is>
          <t>LearnMatch Business is a native mobile vocabulary trainer for iOS and Android for corporate customers supporting the language learning programs for employees. Its unique features are available in combination with fully customisable industry-specific and company-specific coursebooks.</t>
        </is>
      </c>
      <c r="Z1368" s="1" t="inlineStr">
        <is>
          <t>https://drive.google.com/uc?export=view&amp;id=1-0lZ4gMZAUKZ-peL7fBS4rQZFZdT_1Zl</t>
        </is>
      </c>
      <c r="AA1368" s="1" t="inlineStr">
        <is>
          <t>Unverified</t>
        </is>
      </c>
      <c r="AB1368" s="1" t="n"/>
      <c r="AC1368" s="1" t="n"/>
      <c r="AD1368" s="10" t="n"/>
      <c r="AE1368" s="1" t="n"/>
      <c r="AF1368" t="inlineStr">
        <is>
          <t>Yes</t>
        </is>
      </c>
      <c r="AG1368" t="inlineStr">
        <is>
          <t>https://www.linkedin.com/company/11433216/</t>
        </is>
      </c>
      <c r="AH1368" t="inlineStr">
        <is>
          <t>https://www.linkedin.com/company/11433216/</t>
        </is>
      </c>
      <c r="AI1368" t="inlineStr">
        <is>
          <t>https://www.linkedin.com/company/11433216/</t>
        </is>
      </c>
    </row>
    <row r="1369" ht="12.5" customHeight="1">
      <c r="A1369" s="6" t="n">
        <v>45181</v>
      </c>
      <c r="B1369" s="1" t="inlineStr">
        <is>
          <t>ORG_2522</t>
        </is>
      </c>
      <c r="C1369" s="1" t="b">
        <v>1</v>
      </c>
      <c r="D1369" s="1" t="inlineStr">
        <is>
          <t>Weird Science Lab</t>
        </is>
      </c>
      <c r="E1369" s="10" t="inlineStr">
        <is>
          <t>www.weirdsciencelab.com</t>
        </is>
      </c>
      <c r="F1369" t="inlineStr">
        <is>
          <t>weirdsciencelab.com</t>
        </is>
      </c>
      <c r="G1369" s="1" t="inlineStr">
        <is>
          <t>Oxford spinout, focusing on STEM curriculum via VR/XR.</t>
        </is>
      </c>
      <c r="H1369" s="1" t="inlineStr">
        <is>
          <t>I'm not part of any EdTech association</t>
        </is>
      </c>
      <c r="I1369" s="1" t="n"/>
      <c r="J1369" s="1" t="inlineStr">
        <is>
          <t>Oxford</t>
        </is>
      </c>
      <c r="K1369" t="inlineStr">
        <is>
          <t>Oxford</t>
        </is>
      </c>
      <c r="L1369" t="inlineStr">
        <is>
          <t>Oxford, United Kingdom</t>
        </is>
      </c>
      <c r="M1369" t="n">
        <v>51.7520131</v>
      </c>
      <c r="N1369" t="n">
        <v>-1.2578499</v>
      </c>
      <c r="O1369" s="1" t="inlineStr">
        <is>
          <t>United Kingdom</t>
        </is>
      </c>
      <c r="P1369" s="1" t="inlineStr">
        <is>
          <t>Netherlands, Switzerland, United Kingdom</t>
        </is>
      </c>
      <c r="Q1369" s="1" t="inlineStr">
        <is>
          <t>0 to 10</t>
        </is>
      </c>
      <c r="R1369" t="inlineStr">
        <is>
          <t>Micro</t>
        </is>
      </c>
      <c r="S1369" s="1" t="inlineStr">
        <is>
          <t>Business to Schools</t>
        </is>
      </c>
      <c r="T1369" s="1" t="inlineStr">
        <is>
          <t>Secondary Education, Higher Education</t>
        </is>
      </c>
      <c r="U1369" s="1" t="inlineStr">
        <is>
          <t>Student interfacing, Teacher interfacing</t>
        </is>
      </c>
      <c r="V1369" s="1" t="n"/>
      <c r="W1369" s="1" t="inlineStr">
        <is>
          <t>https://drive.google.com/uc?export=view&amp;id=1F7PJijQCKUSeVbq51Il8BWpA9NxcEaoz</t>
        </is>
      </c>
      <c r="X1369" s="1" t="inlineStr">
        <is>
          <t>https://drive.google.com/uc?export=view&amp;id=1F7PJijQCKUSeVbq51Il8BWpA9NxcEaoz</t>
        </is>
      </c>
      <c r="Y1369" t="inlineStr">
        <is>
          <t>https://drive.google.com/uc?export=view&amp;id=1F7PJijQCKUSeVbq51Il8BWpA9NxcEaoz</t>
        </is>
      </c>
      <c r="Z1369" s="1" t="inlineStr">
        <is>
          <t>https://drive.google.com/uc?export=view&amp;id=1F7PJijQCKUSeVbq51Il8BWpA9NxcEaoz</t>
        </is>
      </c>
      <c r="AA1369" s="1" t="inlineStr">
        <is>
          <t>Unverified</t>
        </is>
      </c>
      <c r="AB1369" s="1" t="n"/>
      <c r="AC1369" s="1" t="n"/>
      <c r="AD1369" s="10" t="n"/>
      <c r="AE1369" s="1" t="n"/>
      <c r="AF1369" t="inlineStr">
        <is>
          <t>No</t>
        </is>
      </c>
    </row>
    <row r="1370" ht="12.5" customHeight="1">
      <c r="A1370" s="6" t="n">
        <v>45181</v>
      </c>
      <c r="B1370" s="1" t="inlineStr">
        <is>
          <t>ORG_2553</t>
        </is>
      </c>
      <c r="C1370" s="1" t="b">
        <v>1</v>
      </c>
      <c r="D1370" s="1" t="inlineStr">
        <is>
          <t>wryte</t>
        </is>
      </c>
      <c r="E1370" s="10" t="inlineStr">
        <is>
          <t>www.wryte.io</t>
        </is>
      </c>
      <c r="F1370" t="inlineStr">
        <is>
          <t>wryte.io</t>
        </is>
      </c>
      <c r="G1370" s="1" t="inlineStr">
        <is>
          <t>wryte is a free tablet app to take handwritten notes. With its intelligent structure, it offers digital booklets instead of folders and files. An integrated timetable which is cross-linked with subjects and booklets keeps automated order.
In the next months, a live collaboration feature between users will be available. This feature will enable digital tutoring on demand, minute wise. Get a tutor whenever you have a question and just pay for the time you need. The tutor will be able to write into the students booklet live, while having a video call.</t>
        </is>
      </c>
      <c r="H1370" s="1" t="inlineStr">
        <is>
          <t>I'm not part of any EdTech association</t>
        </is>
      </c>
      <c r="I1370" s="1" t="n"/>
      <c r="J1370" s="1" t="inlineStr">
        <is>
          <t>Munich</t>
        </is>
      </c>
      <c r="K1370" t="inlineStr">
        <is>
          <t>Munich</t>
        </is>
      </c>
      <c r="L1370" t="inlineStr">
        <is>
          <t>Munich, Germany</t>
        </is>
      </c>
      <c r="M1370" t="n">
        <v>48.1371079</v>
      </c>
      <c r="N1370" t="n">
        <v>11.5753822</v>
      </c>
      <c r="O1370" s="1" t="inlineStr">
        <is>
          <t>Germany</t>
        </is>
      </c>
      <c r="P1370" s="1" t="inlineStr">
        <is>
          <t>Albania, Austria, Belgium, Bosnia and Herzegovina, Bulgaria, Croatia, Cyprus, Czechia, Denmark, Estonia, Finland, France, Georgia, Germany, Greece, Hungary, Iceland, Ireland, Italy, Liechtenstein, Lithuania, Luxembourg, Malta, Monaco, Montenegro, Netherlands, North Macedonia, Norway, Poland, Portugal, Romania, San Marino, Serbia, Slovakia, Slovenia, Spain, Sweden, Switzerland, Turkey, Ukraine, United Kingdom</t>
        </is>
      </c>
      <c r="Q1370" s="1" t="inlineStr">
        <is>
          <t>11 to 50</t>
        </is>
      </c>
      <c r="R1370" t="inlineStr">
        <is>
          <t>Small</t>
        </is>
      </c>
      <c r="S1370" s="1" t="inlineStr">
        <is>
          <t>Business to Schools</t>
        </is>
      </c>
      <c r="T1370" s="1" t="inlineStr">
        <is>
          <t>Secondary Education, Higher Education</t>
        </is>
      </c>
      <c r="U1370" s="1" t="inlineStr">
        <is>
          <t>System/Administrative, Student interfacing, Teacher interfacing</t>
        </is>
      </c>
      <c r="V1370" s="1" t="n"/>
      <c r="W1370" s="1" t="inlineStr">
        <is>
          <t>https://drive.google.com/uc?export=view&amp;id=1UDmjwmSea9PdNQaL3wzAOugIJunRxHhx</t>
        </is>
      </c>
      <c r="X1370" s="1" t="inlineStr">
        <is>
          <t>https://drive.google.com/uc?export=view&amp;id=1UDmjwmSea9PdNQaL3wzAOugIJunRxHhx</t>
        </is>
      </c>
      <c r="Y1370" t="inlineStr">
        <is>
          <t>https://drive.google.com/uc?export=view&amp;id=1UDmjwmSea9PdNQaL3wzAOugIJunRxHhx</t>
        </is>
      </c>
      <c r="Z1370" s="1" t="inlineStr">
        <is>
          <t>https://drive.google.com/uc?export=view&amp;id=1UDmjwmSea9PdNQaL3wzAOugIJunRxHhx</t>
        </is>
      </c>
      <c r="AA1370" s="1" t="inlineStr">
        <is>
          <t>Unverified</t>
        </is>
      </c>
      <c r="AB1370" s="1" t="n"/>
      <c r="AC1370" s="1" t="n"/>
      <c r="AD1370" s="10" t="n"/>
      <c r="AE1370" s="1" t="n"/>
      <c r="AF1370" t="inlineStr">
        <is>
          <t>No</t>
        </is>
      </c>
    </row>
    <row r="1371" ht="12.5" customHeight="1">
      <c r="A1371" s="6" t="n">
        <v>45181</v>
      </c>
      <c r="B1371" s="1" t="inlineStr">
        <is>
          <t>ORG_1752</t>
        </is>
      </c>
      <c r="C1371" s="1" t="b">
        <v>1</v>
      </c>
      <c r="D1371" s="10" t="inlineStr">
        <is>
          <t>jenseigne.fr</t>
        </is>
      </c>
      <c r="E1371" s="10" t="inlineStr">
        <is>
          <t>https://www.jenseigne.fr</t>
        </is>
      </c>
      <c r="F1371" t="inlineStr">
        <is>
          <t>jenseigne.fr</t>
        </is>
      </c>
      <c r="G1371" s="1" t="inlineStr">
        <is>
          <t>jenseigne.fr is a the leading online marketplace for K-12 educational resources in French language. jenseigne.fr has been designed for teachers to access the community, content, and tools they need to teach at their best. Every month, over 100k teachers use jenseigne.fr to save time and create the best instructional materials for their students.</t>
        </is>
      </c>
      <c r="H1371" s="1" t="inlineStr">
        <is>
          <t>EdTech France</t>
        </is>
      </c>
      <c r="I1371" s="1" t="n"/>
      <c r="J1371" s="1" t="inlineStr">
        <is>
          <t>Paris</t>
        </is>
      </c>
      <c r="K1371" t="inlineStr">
        <is>
          <t>Paris</t>
        </is>
      </c>
      <c r="L1371" t="inlineStr">
        <is>
          <t>Paris, France</t>
        </is>
      </c>
      <c r="M1371" t="n">
        <v>48.8534951</v>
      </c>
      <c r="N1371" t="n">
        <v>2.3483915</v>
      </c>
      <c r="O1371" s="1" t="inlineStr">
        <is>
          <t>France</t>
        </is>
      </c>
      <c r="P1371" s="1" t="inlineStr">
        <is>
          <t>Belgium, France, Monaco, Switzerland</t>
        </is>
      </c>
      <c r="Q1371" s="1" t="inlineStr">
        <is>
          <t>11 to 50</t>
        </is>
      </c>
      <c r="R1371" t="inlineStr">
        <is>
          <t>Small</t>
        </is>
      </c>
      <c r="S1371" s="1" t="inlineStr">
        <is>
          <t>Business to Business</t>
        </is>
      </c>
      <c r="T1371" s="1" t="inlineStr">
        <is>
          <t>Early childhood development (0-5 years), Primary Education, Secondary Education</t>
        </is>
      </c>
      <c r="U1371" s="1" t="inlineStr">
        <is>
          <t>System/Administrative, Student interfacing, Teacher interfacing</t>
        </is>
      </c>
      <c r="V1371" s="1" t="inlineStr">
        <is>
          <t>jenseigne.fr</t>
        </is>
      </c>
      <c r="W1371" s="1" t="inlineStr">
        <is>
          <t>jenseigne.fr is a the leading online marketplace for K-12 educational resources in French language. jenseigne.fr has been designed for teachers to access the community, content, and tools they need to teach at their best. Every month, over 100k teachers use jenseigne.fr to save time and create the best instructional materials for their students.</t>
        </is>
      </c>
      <c r="X1371" s="1" t="inlineStr">
        <is>
          <t>MesEleves.fr</t>
        </is>
      </c>
      <c r="Y1371" t="inlineStr">
        <is>
          <t>MesEleves.fr is a leading early education software to help run nurseries, preschools and kindergartens.</t>
        </is>
      </c>
      <c r="Z1371" s="10" t="n"/>
      <c r="AA1371" s="1" t="inlineStr">
        <is>
          <t>Unverified</t>
        </is>
      </c>
      <c r="AB1371" s="10" t="n"/>
      <c r="AC1371" s="1" t="n"/>
      <c r="AD1371" s="1" t="n"/>
      <c r="AE1371" s="1" t="n"/>
      <c r="AF1371" t="inlineStr">
        <is>
          <t>Yes</t>
        </is>
      </c>
      <c r="AH1371" t="inlineStr">
        <is>
          <t>http://jenseigne.fr/</t>
        </is>
      </c>
      <c r="AI1371" t="inlineStr">
        <is>
          <t>/www.linkedin.com/company/the-school-project</t>
        </is>
      </c>
    </row>
    <row r="1372" ht="12.5" customHeight="1">
      <c r="A1372" s="6" t="n">
        <v>45181</v>
      </c>
      <c r="B1372" s="1" t="inlineStr">
        <is>
          <t>ORG_1846</t>
        </is>
      </c>
      <c r="C1372" s="1" t="b">
        <v>1</v>
      </c>
      <c r="D1372" s="1" t="inlineStr">
        <is>
          <t>Leemons</t>
        </is>
      </c>
      <c r="E1372" s="10" t="inlineStr">
        <is>
          <t>https://leemons.io/</t>
        </is>
      </c>
      <c r="F1372" t="inlineStr">
        <is>
          <t>leemons.io</t>
        </is>
      </c>
      <c r="G1372" s="1" t="inlineStr">
        <is>
          <t>A digital platform for designing learning experiences aimed at obtaining meaningful learning through the construction of knowledge as a systemic, collaborative and practical process.
Developed in open source and free for everyone, we have come to do our bit to help create opportunities through education.</t>
        </is>
      </c>
      <c r="H1372" s="1" t="inlineStr">
        <is>
          <t>I'm not part of any EdTech association</t>
        </is>
      </c>
      <c r="I1372" s="1" t="n"/>
      <c r="J1372" s="1" t="inlineStr">
        <is>
          <t>Madrid</t>
        </is>
      </c>
      <c r="K1372" t="inlineStr">
        <is>
          <t>Madrid</t>
        </is>
      </c>
      <c r="L1372" t="inlineStr">
        <is>
          <t>Madrid, Spain</t>
        </is>
      </c>
      <c r="M1372" t="n">
        <v>40.416782</v>
      </c>
      <c r="N1372" t="n">
        <v>-3.703507</v>
      </c>
      <c r="O1372" s="1" t="inlineStr">
        <is>
          <t>Spain</t>
        </is>
      </c>
      <c r="P1372" s="1" t="inlineStr">
        <is>
          <t>Spain</t>
        </is>
      </c>
      <c r="Q1372" s="1" t="inlineStr">
        <is>
          <t>0 to 10</t>
        </is>
      </c>
      <c r="R1372" t="inlineStr">
        <is>
          <t>Micro</t>
        </is>
      </c>
      <c r="S1372" s="1" t="inlineStr">
        <is>
          <t>Business to Business</t>
        </is>
      </c>
      <c r="T1372" s="1" t="inlineStr">
        <is>
          <t>Primary Education, Secondary Education, Higher Education, Corporate Training, Lifelong learning/Adult education</t>
        </is>
      </c>
      <c r="U1372" s="1" t="inlineStr">
        <is>
          <t>System/Administrative, Student interfacing, Teacher interfacing</t>
        </is>
      </c>
      <c r="V1372" s="1" t="n"/>
      <c r="W1372" s="1" t="inlineStr">
        <is>
          <t>https://drive.google.com/uc?export=view&amp;id=1V8OozST_kd9ag9oPJFfAA-e6h54WhTpI</t>
        </is>
      </c>
      <c r="X1372" s="1" t="inlineStr">
        <is>
          <t>https://drive.google.com/uc?export=view&amp;id=1V8OozST_kd9ag9oPJFfAA-e6h54WhTpI</t>
        </is>
      </c>
      <c r="Y1372" t="inlineStr">
        <is>
          <t>https://drive.google.com/uc?export=view&amp;id=1V8OozST_kd9ag9oPJFfAA-e6h54WhTpI</t>
        </is>
      </c>
      <c r="Z1372" s="1" t="inlineStr">
        <is>
          <t>https://drive.google.com/uc?export=view&amp;id=1V8OozST_kd9ag9oPJFfAA-e6h54WhTpI</t>
        </is>
      </c>
      <c r="AA1372" s="1" t="inlineStr">
        <is>
          <t>Unverified</t>
        </is>
      </c>
      <c r="AB1372" s="1" t="n"/>
      <c r="AC1372" s="1" t="n"/>
      <c r="AD1372" s="10" t="n"/>
      <c r="AE1372" s="1" t="n"/>
      <c r="AF1372" t="inlineStr">
        <is>
          <t>No</t>
        </is>
      </c>
    </row>
    <row r="1373" ht="12.5" customHeight="1">
      <c r="A1373" s="6" t="n">
        <v>45181</v>
      </c>
      <c r="B1373" s="1" t="inlineStr">
        <is>
          <t>ORG_2536</t>
        </is>
      </c>
      <c r="C1373" s="1" t="b">
        <v>1</v>
      </c>
      <c r="D1373" s="1" t="inlineStr">
        <is>
          <t>WingUp</t>
        </is>
      </c>
      <c r="E1373" s="10" t="inlineStr">
        <is>
          <t>Wingup.io</t>
        </is>
      </c>
      <c r="F1373" t="inlineStr">
        <is>
          <t>wingup.io</t>
        </is>
      </c>
      <c r="G1373" s="1" t="inlineStr">
        <is>
          <t>WingUp is a community platform that aims to reshape the education system by relying on the actors of the passion economy.
Our platform allows the decentralization and the accessibility to education as well as the monetization of content for the benefit of our creators.
By relying on current communication tools, WingUp presents a diversity of educational topics in different formats (videos, live courses, podcasts...). These subjects are treated by experts (the creators) who popularize information through quality content. 
WingUp's ambition is on the one hand to support these content creators from a financial point of view by helping them to make the most of their passion and on the other hand to allow each individual in Europe to explore new topics in depth regularly at a reasonable price.
The platform strongly wishes to create a community of specialists concerned with the evolution of our society’s way of learning.</t>
        </is>
      </c>
      <c r="H1373" s="1" t="inlineStr">
        <is>
          <t>I'm not part of any EdTech association</t>
        </is>
      </c>
      <c r="I1373" s="1" t="n"/>
      <c r="J1373" s="1" t="inlineStr">
        <is>
          <t>Paris</t>
        </is>
      </c>
      <c r="K1373" t="inlineStr">
        <is>
          <t>Paris</t>
        </is>
      </c>
      <c r="L1373" t="inlineStr">
        <is>
          <t>Paris, France</t>
        </is>
      </c>
      <c r="M1373" t="n">
        <v>48.8534951</v>
      </c>
      <c r="N1373" t="n">
        <v>2.3483915</v>
      </c>
      <c r="O1373" s="1" t="inlineStr">
        <is>
          <t>France</t>
        </is>
      </c>
      <c r="P1373"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373" s="1" t="inlineStr">
        <is>
          <t>0 to 10</t>
        </is>
      </c>
      <c r="R1373" t="inlineStr">
        <is>
          <t>Micro</t>
        </is>
      </c>
      <c r="S1373" s="1" t="inlineStr">
        <is>
          <t>Business to Consumer</t>
        </is>
      </c>
      <c r="T1373" s="1" t="inlineStr">
        <is>
          <t>Lifelong learning/Adult education</t>
        </is>
      </c>
      <c r="U1373" s="1" t="inlineStr">
        <is>
          <t>Teacher interfacing</t>
        </is>
      </c>
      <c r="V1373" s="1" t="n"/>
      <c r="W1373" s="1" t="n"/>
      <c r="X1373" s="1" t="n"/>
      <c r="Z1373" s="1" t="n"/>
      <c r="AA1373" s="1" t="inlineStr">
        <is>
          <t>Unverified</t>
        </is>
      </c>
      <c r="AB1373" s="1" t="n"/>
      <c r="AC1373" s="1" t="n"/>
      <c r="AD1373" s="1" t="n"/>
      <c r="AE1373" s="1" t="n"/>
      <c r="AF1373" s="1" t="inlineStr">
        <is>
          <t>No</t>
        </is>
      </c>
      <c r="AG1373" s="1" t="n"/>
      <c r="AH1373" s="1" t="n"/>
    </row>
    <row r="1374" ht="12.5" customHeight="1">
      <c r="A1374" s="6" t="n">
        <v>45181</v>
      </c>
      <c r="B1374" s="1" t="inlineStr">
        <is>
          <t>ORG_1286</t>
        </is>
      </c>
      <c r="C1374" s="1" t="b">
        <v>1</v>
      </c>
      <c r="D1374" s="1" t="inlineStr">
        <is>
          <t>Comodín Universitario</t>
        </is>
      </c>
      <c r="E1374" s="10" t="inlineStr">
        <is>
          <t>https://comodinuniversitario.com/</t>
        </is>
      </c>
      <c r="F1374" t="inlineStr">
        <is>
          <t>comodinuniversitario.com</t>
        </is>
      </c>
      <c r="G1374" s="1" t="inlineStr">
        <is>
          <t>Our company helps university students. With a simple photo, of the statement of a University exercise, sending it to our website to solve and in turn to explain by videoconference how any university exercise has been solved by the hand of recent university graduates. Applying in turn a group purchase system, lowering the cost of acquisition per person.</t>
        </is>
      </c>
      <c r="H1374" s="1" t="inlineStr">
        <is>
          <t>SEK Lab</t>
        </is>
      </c>
      <c r="I1374" s="1" t="n"/>
      <c r="J1374" s="1" t="inlineStr">
        <is>
          <t>Madrid</t>
        </is>
      </c>
      <c r="K1374" t="inlineStr">
        <is>
          <t>Madrid</t>
        </is>
      </c>
      <c r="L1374" t="inlineStr">
        <is>
          <t>Madrid, Spain</t>
        </is>
      </c>
      <c r="M1374" t="n">
        <v>40.416782</v>
      </c>
      <c r="N1374" t="n">
        <v>-3.703507</v>
      </c>
      <c r="O1374" s="1" t="inlineStr">
        <is>
          <t>Spain</t>
        </is>
      </c>
      <c r="P1374" s="1" t="inlineStr">
        <is>
          <t>Spain</t>
        </is>
      </c>
      <c r="Q1374" s="1" t="inlineStr">
        <is>
          <t>0 to 10</t>
        </is>
      </c>
      <c r="R1374" t="inlineStr">
        <is>
          <t>Micro</t>
        </is>
      </c>
      <c r="S1374" s="1" t="inlineStr">
        <is>
          <t>Business to Business, Business to Consumer</t>
        </is>
      </c>
      <c r="T1374" s="1" t="inlineStr">
        <is>
          <t>Higher Education</t>
        </is>
      </c>
      <c r="U1374" s="1" t="inlineStr">
        <is>
          <t>Student interfacing</t>
        </is>
      </c>
      <c r="V1374" s="1" t="inlineStr">
        <is>
          <t>Solution of a university exercise</t>
        </is>
      </c>
      <c r="W1374" s="1" t="inlineStr">
        <is>
          <t>The client takes a photo of the statement of a university exercise and can upload it to our app or website, then we will ask if he knows someone else with the same exercise to solve and we will offer him the opportunity to buy the exercise in a group the acquisition cost per student.</t>
        </is>
      </c>
      <c r="X1374" s="10" t="inlineStr">
        <is>
          <t>Explanatory videoconference</t>
        </is>
      </c>
      <c r="Y1374" t="inlineStr">
        <is>
          <t>If the student buys the solution of an exercise from us and does not know how it has been solved, the engineer or architect who has solved it can hold an explanatory videoconference of the exercise that he has already bought and in turn he can also compare it in a group, lowering the cost. acquisition per student.</t>
        </is>
      </c>
      <c r="Z1374" s="1" t="inlineStr">
        <is>
          <t>https://drive.google.com/uc?export=view&amp;id=1kXUrFXEOjMgnLtQamvmp00s7RjS74IB5</t>
        </is>
      </c>
      <c r="AA1374" s="1" t="inlineStr">
        <is>
          <t>Unverified</t>
        </is>
      </c>
      <c r="AB1374" s="1" t="n"/>
      <c r="AC1374" s="1" t="n"/>
      <c r="AD1374" s="10" t="n"/>
      <c r="AE1374" s="1" t="n"/>
      <c r="AF1374" t="inlineStr">
        <is>
          <t>Yes</t>
        </is>
      </c>
      <c r="AG1374" t="inlineStr">
        <is>
          <t>Comodín Universitario</t>
        </is>
      </c>
      <c r="AH1374" t="inlineStr">
        <is>
          <t>Comodín Universitario</t>
        </is>
      </c>
      <c r="AI1374" t="inlineStr">
        <is>
          <t>https://www.linkedin.com/in/%C3%B3liver-n%C3%BA%C3%B1ez-rozas-84a15681/</t>
        </is>
      </c>
    </row>
    <row r="1375" ht="12.5" customHeight="1">
      <c r="A1375" s="6" t="n">
        <v>45181</v>
      </c>
      <c r="B1375" s="1" t="inlineStr">
        <is>
          <t>ORG_1991</t>
        </is>
      </c>
      <c r="C1375" s="1" t="b">
        <v>1</v>
      </c>
      <c r="D1375" s="1" t="inlineStr">
        <is>
          <t>Moveen</t>
        </is>
      </c>
      <c r="E1375" s="10" t="inlineStr">
        <is>
          <t>http://www.moveen.eu</t>
        </is>
      </c>
      <c r="F1375" t="inlineStr">
        <is>
          <t>moveen.eu</t>
        </is>
      </c>
      <c r="G1375" s="1" t="inlineStr">
        <is>
          <t>We're building the place for student to shape their future. We are connecting students to share their experiences and skills to progress and make the best academic choices.</t>
        </is>
      </c>
      <c r="H1375" s="1" t="inlineStr">
        <is>
          <t>I'm not part of any EdTech association</t>
        </is>
      </c>
      <c r="I1375" s="1" t="n"/>
      <c r="J1375" s="1" t="inlineStr">
        <is>
          <t>Paris</t>
        </is>
      </c>
      <c r="K1375" t="inlineStr">
        <is>
          <t>Paris</t>
        </is>
      </c>
      <c r="L1375" t="inlineStr">
        <is>
          <t>Paris, France</t>
        </is>
      </c>
      <c r="M1375" t="n">
        <v>48.8534951</v>
      </c>
      <c r="N1375" t="n">
        <v>2.3483915</v>
      </c>
      <c r="O1375" s="1" t="inlineStr">
        <is>
          <t>France</t>
        </is>
      </c>
      <c r="P1375" s="1" t="inlineStr">
        <is>
          <t>France</t>
        </is>
      </c>
      <c r="Q1375" s="1" t="inlineStr">
        <is>
          <t>0 to 10</t>
        </is>
      </c>
      <c r="R1375" t="inlineStr">
        <is>
          <t>Micro</t>
        </is>
      </c>
      <c r="S1375" s="1" t="inlineStr">
        <is>
          <t>Business to Business, Business to Government, Business to Schools</t>
        </is>
      </c>
      <c r="T1375" s="1" t="inlineStr">
        <is>
          <t>Secondary Education, Higher Education</t>
        </is>
      </c>
      <c r="U1375" s="1" t="inlineStr">
        <is>
          <t>Student interfacing, System/Administrative</t>
        </is>
      </c>
      <c r="V1375" s="1" t="n"/>
      <c r="W1375" s="1" t="n"/>
      <c r="X1375" s="1" t="n"/>
      <c r="Z1375" s="1" t="n"/>
      <c r="AA1375" s="1" t="inlineStr">
        <is>
          <t>Unverified</t>
        </is>
      </c>
      <c r="AB1375" s="1" t="n"/>
      <c r="AC1375" s="1" t="n"/>
      <c r="AD1375" s="1" t="n"/>
      <c r="AE1375" s="1" t="n"/>
      <c r="AF1375" t="inlineStr">
        <is>
          <t>No</t>
        </is>
      </c>
    </row>
    <row r="1376" ht="12.5" customHeight="1">
      <c r="A1376" s="6" t="n">
        <v>45181</v>
      </c>
      <c r="B1376" s="1" t="inlineStr">
        <is>
          <t>ORG_2087</t>
        </is>
      </c>
      <c r="C1376" s="1" t="b">
        <v>1</v>
      </c>
      <c r="D1376" s="1" t="inlineStr">
        <is>
          <t>Paragin</t>
        </is>
      </c>
      <c r="E1376" s="10" t="inlineStr">
        <is>
          <t>https://www.paragin.com</t>
        </is>
      </c>
      <c r="F1376" t="inlineStr">
        <is>
          <t>paragin.com</t>
        </is>
      </c>
      <c r="G1376" s="1" t="inlineStr">
        <is>
          <t>Paragin is a fast growing developer of SaaS EdTech software. We help schools, universities, exam institutions and corporations by delivering online software for examination, assessments, STEM, ePortfolios and course management, for assessing, assessing and developing skills, knowledge and competences. We work hard to provide solutions that are user-friendly, efficient and attractively designed and are used by many schools, universities, educational publishers and other organizations, from Finland to Mexico and from Australia to The Netherlands.</t>
        </is>
      </c>
      <c r="H1376" s="1" t="inlineStr">
        <is>
          <t>Dutch EdTech</t>
        </is>
      </c>
      <c r="I1376" s="1" t="inlineStr">
        <is>
          <t>English, Dutch, German, Spanish</t>
        </is>
      </c>
      <c r="J1376" s="1" t="inlineStr">
        <is>
          <t>Nijkerk</t>
        </is>
      </c>
      <c r="K1376" t="inlineStr">
        <is>
          <t>Nijkerk</t>
        </is>
      </c>
      <c r="L1376" t="inlineStr">
        <is>
          <t>Nijkerk, The Netherlands</t>
        </is>
      </c>
      <c r="M1376" t="n">
        <v>52.223602</v>
      </c>
      <c r="N1376" t="n">
        <v>5.486217</v>
      </c>
      <c r="O1376" s="1" t="inlineStr">
        <is>
          <t>The Netherlands</t>
        </is>
      </c>
      <c r="P1376" s="1" t="inlineStr">
        <is>
          <t>Austria, Belgium, Denmark, Finland, France, Germany, Hungary, Lithuania, Netherlands, Norway, Spain, Sweden, United Kingdom</t>
        </is>
      </c>
      <c r="Q1376" s="1" t="inlineStr">
        <is>
          <t>51 to 100</t>
        </is>
      </c>
      <c r="R1376" t="inlineStr">
        <is>
          <t>Medium</t>
        </is>
      </c>
      <c r="S1376" s="1" t="inlineStr">
        <is>
          <t>Business to Business, Business to Government, Business to Schools</t>
        </is>
      </c>
      <c r="T1376" s="1" t="inlineStr">
        <is>
          <t>Secondary Education, Corporate Training, Lifelong learning/Adult education, Vocational Education and Training (VET), Higher Education</t>
        </is>
      </c>
      <c r="U1376" s="1" t="inlineStr">
        <is>
          <t>Teacher interfacing, System/Administrative, Student interfacing</t>
        </is>
      </c>
      <c r="V1376" s="1" t="inlineStr">
        <is>
          <t>SOWISO</t>
        </is>
      </c>
      <c r="W1376" s="1" t="inlineStr">
        <is>
          <t>SOWISO is an online learning &amp; testing environment for STEM that engages students and saves teachers time.</t>
        </is>
      </c>
      <c r="X1376" s="10" t="inlineStr">
        <is>
          <t>Remindo</t>
        </is>
      </c>
      <c r="Y1376" t="inlineStr">
        <is>
          <t>Remindo helps educators take care of the entire process of testing and examination.</t>
        </is>
      </c>
      <c r="Z1376" s="1" t="inlineStr">
        <is>
          <t>https://drive.google.com/uc?export=view&amp;id=1qddC_-Ncj4F8miS5vBoVknxYiN2ChOlR</t>
        </is>
      </c>
      <c r="AA1376" s="1" t="inlineStr">
        <is>
          <t>Unverified</t>
        </is>
      </c>
      <c r="AB1376" s="1" t="n"/>
      <c r="AC1376" s="1" t="n"/>
      <c r="AD1376" s="10" t="n"/>
      <c r="AE1376" s="1" t="n"/>
      <c r="AF1376" t="inlineStr">
        <is>
          <t>Yes</t>
        </is>
      </c>
      <c r="AG1376" t="inlineStr">
        <is>
          <t>https://nl.linkedin.com/company/paragin</t>
        </is>
      </c>
      <c r="AH1376" t="inlineStr">
        <is>
          <t>https://nl.linkedin.com/company/paragin</t>
        </is>
      </c>
      <c r="AI1376" t="inlineStr">
        <is>
          <t>https://nl.linkedin.com/company/paragin</t>
        </is>
      </c>
    </row>
    <row r="1377" ht="12.5" customHeight="1">
      <c r="A1377" s="6" t="n">
        <v>45181</v>
      </c>
      <c r="B1377" s="1" t="inlineStr">
        <is>
          <t>ORG_2506</t>
        </is>
      </c>
      <c r="C1377" s="1" t="b">
        <v>1</v>
      </c>
      <c r="D1377" s="10" t="inlineStr">
        <is>
          <t>voluta.coop</t>
        </is>
      </c>
      <c r="E1377" s="10" t="inlineStr">
        <is>
          <t>https://www.voluta.coop/</t>
        </is>
      </c>
      <c r="F1377" t="inlineStr">
        <is>
          <t>voluta.coop</t>
        </is>
      </c>
      <c r="G1377" s="1" t="inlineStr">
        <is>
          <t>We connect rural and urban areas to fight against rural depopulation, the digital divide and disconnection with nature.
Educational projects, international cooperation for development and territorial revitalization.</t>
        </is>
      </c>
      <c r="H1377" s="1" t="inlineStr">
        <is>
          <t>I'm not part of any EdTech association</t>
        </is>
      </c>
      <c r="I1377" s="1" t="n"/>
      <c r="J1377" s="1" t="inlineStr">
        <is>
          <t>Aras De Los Olmos</t>
        </is>
      </c>
      <c r="K1377" t="inlineStr">
        <is>
          <t>Aras De Los Olmos</t>
        </is>
      </c>
      <c r="L1377" t="inlineStr">
        <is>
          <t>Aras De Los Olmos, Spain</t>
        </is>
      </c>
      <c r="M1377" t="n">
        <v>39.9242294</v>
      </c>
      <c r="N1377" t="n">
        <v>-1.1332322</v>
      </c>
      <c r="O1377" s="1" t="inlineStr">
        <is>
          <t>Spain</t>
        </is>
      </c>
      <c r="P1377" s="1" t="inlineStr">
        <is>
          <t>Spain</t>
        </is>
      </c>
      <c r="Q1377" s="1" t="inlineStr">
        <is>
          <t>0 to 10</t>
        </is>
      </c>
      <c r="R1377" t="inlineStr">
        <is>
          <t>Micro</t>
        </is>
      </c>
      <c r="S1377" s="1" t="inlineStr">
        <is>
          <t>Business to Consumer</t>
        </is>
      </c>
      <c r="T1377" s="1" t="inlineStr">
        <is>
          <t>Primary Education, Secondary Education, Higher Education</t>
        </is>
      </c>
      <c r="U1377" s="1" t="inlineStr">
        <is>
          <t>Student interfacing, Teacher interfacing, System/Administrative</t>
        </is>
      </c>
      <c r="V1377" s="1" t="n"/>
      <c r="W1377" s="1" t="inlineStr">
        <is>
          <t>https://drive.google.com/uc?export=view&amp;id=1HxQu0nO916M7ioS3S-K4xMDcGUjcLiyU</t>
        </is>
      </c>
      <c r="X1377" s="1" t="inlineStr">
        <is>
          <t>https://drive.google.com/uc?export=view&amp;id=1HxQu0nO916M7ioS3S-K4xMDcGUjcLiyU</t>
        </is>
      </c>
      <c r="Y1377" t="inlineStr">
        <is>
          <t>https://drive.google.com/uc?export=view&amp;id=1HxQu0nO916M7ioS3S-K4xMDcGUjcLiyU</t>
        </is>
      </c>
      <c r="Z1377" s="1" t="inlineStr">
        <is>
          <t>https://drive.google.com/uc?export=view&amp;id=1HxQu0nO916M7ioS3S-K4xMDcGUjcLiyU</t>
        </is>
      </c>
      <c r="AA1377" s="1" t="inlineStr">
        <is>
          <t>Unverified</t>
        </is>
      </c>
      <c r="AB1377" s="1" t="n"/>
      <c r="AC1377" s="1" t="n"/>
      <c r="AD1377" s="10" t="n"/>
      <c r="AE1377" s="1" t="n"/>
      <c r="AF1377" t="inlineStr">
        <is>
          <t>No</t>
        </is>
      </c>
    </row>
    <row r="1378" ht="12.5" customHeight="1">
      <c r="A1378" s="6" t="n">
        <v>45181</v>
      </c>
      <c r="B1378" s="1" t="inlineStr">
        <is>
          <t>ORG_2551</t>
        </is>
      </c>
      <c r="C1378" s="1" t="b">
        <v>1</v>
      </c>
      <c r="D1378" s="1" t="inlineStr">
        <is>
          <t>WoWplay</t>
        </is>
      </c>
      <c r="E1378" s="10" t="inlineStr">
        <is>
          <t>www.wowplayexperience.com</t>
        </is>
      </c>
      <c r="F1378" t="inlineStr">
        <is>
          <t>wowplayexperience.com</t>
        </is>
      </c>
      <c r="G1378" s="1" t="inlineStr">
        <is>
          <t>WoWplay, is a space for children to develop Soft Skills and STEAM competences through wonder and play. We want to empower kids to become makers, creators, and shapers of the technologies we use everyday through blended learning (hands-on learning plus a responsible use of screens).</t>
        </is>
      </c>
      <c r="H1378" s="1" t="inlineStr">
        <is>
          <t>SEK Lab</t>
        </is>
      </c>
      <c r="I1378" s="1" t="n"/>
      <c r="J1378" s="1" t="inlineStr">
        <is>
          <t>Madrid</t>
        </is>
      </c>
      <c r="K1378" t="inlineStr">
        <is>
          <t>Madrid</t>
        </is>
      </c>
      <c r="L1378" t="inlineStr">
        <is>
          <t>Madrid, Spain</t>
        </is>
      </c>
      <c r="M1378" t="n">
        <v>40.416782</v>
      </c>
      <c r="N1378" t="n">
        <v>-3.703507</v>
      </c>
      <c r="O1378" s="1" t="inlineStr">
        <is>
          <t>Spain</t>
        </is>
      </c>
      <c r="P1378" s="1" t="inlineStr">
        <is>
          <t>Spain</t>
        </is>
      </c>
      <c r="Q1378" s="1" t="inlineStr">
        <is>
          <t>0 to 10</t>
        </is>
      </c>
      <c r="R1378" t="inlineStr">
        <is>
          <t>Micro</t>
        </is>
      </c>
      <c r="S1378" s="1" t="inlineStr">
        <is>
          <t>Business to Consumer, Business to Schools</t>
        </is>
      </c>
      <c r="T1378" s="1" t="inlineStr">
        <is>
          <t>Primary Education</t>
        </is>
      </c>
      <c r="U1378" s="1" t="inlineStr">
        <is>
          <t>System/Administrative, Student interfacing, Teacher interfacing</t>
        </is>
      </c>
      <c r="V1378" s="1" t="inlineStr">
        <is>
          <t>STEAM projects delivered at home</t>
        </is>
      </c>
      <c r="W1378" s="1" t="inlineStr">
        <is>
          <t>A subscription for kids 5 to 8 years old in which they receive every month a wowbox. Everything they need (online and offline) to build a new project. All the projects are linked to our yearly program. In 12 months we go over 4 themed modules: Electricity, Mechanics, Coding and Science. All of them with a strong arts component. The projects level up and are linked to each other.</t>
        </is>
      </c>
      <c r="X1378" s="10" t="inlineStr">
        <is>
          <t>https://drive.google.com/uc?export=view&amp;id=1sK6JVXdKrAhvJ-XQ_8iiAkd_lZ5XoFeS</t>
        </is>
      </c>
      <c r="Y1378" t="inlineStr">
        <is>
          <t>https://drive.google.com/uc?export=view&amp;id=1sK6JVXdKrAhvJ-XQ_8iiAkd_lZ5XoFeS</t>
        </is>
      </c>
      <c r="Z1378" s="1" t="inlineStr">
        <is>
          <t>https://drive.google.com/uc?export=view&amp;id=1sK6JVXdKrAhvJ-XQ_8iiAkd_lZ5XoFeS</t>
        </is>
      </c>
      <c r="AA1378" s="1" t="inlineStr">
        <is>
          <t>Unverified</t>
        </is>
      </c>
      <c r="AB1378" s="1" t="n"/>
      <c r="AC1378" s="1" t="n"/>
      <c r="AD1378" s="10" t="n"/>
      <c r="AE1378" s="1" t="n"/>
      <c r="AF1378" s="1" t="inlineStr">
        <is>
          <t>Yes</t>
        </is>
      </c>
      <c r="AG1378" s="1" t="inlineStr">
        <is>
          <t>@wowplay_experience</t>
        </is>
      </c>
      <c r="AH1378" s="1" t="inlineStr">
        <is>
          <t>https://www.linkedin.com/company/wowplayexperience/</t>
        </is>
      </c>
      <c r="AI1378" t="inlineStr">
        <is>
          <t>https://www.linkedin.com/company/wowplayexperience/</t>
        </is>
      </c>
    </row>
    <row r="1379" ht="12.5" customHeight="1">
      <c r="A1379" s="6" t="n">
        <v>45181</v>
      </c>
      <c r="B1379" s="1" t="inlineStr">
        <is>
          <t>ORG_1021</t>
        </is>
      </c>
      <c r="C1379" s="1" t="b">
        <v>1</v>
      </c>
      <c r="D1379" s="1" t="inlineStr">
        <is>
          <t>Abstract Technology</t>
        </is>
      </c>
      <c r="E1379" s="10" t="inlineStr">
        <is>
          <t>https://abstract-technology.com/</t>
        </is>
      </c>
      <c r="F1379" t="inlineStr">
        <is>
          <t>abstract-technology.com</t>
        </is>
      </c>
      <c r="G1379" s="1" t="inlineStr">
        <is>
          <t>Abstract Technology is a digital agency that selects, designs and personalizes cutting edge open source software solutions. From conception, to development, to implementation, we develop individual and customized digital solutions for our customers and familiarize their employees with the new software. We develop innovative and individual digital solutions for educational institutions and we are professional and official service partner of Open edX® and PLONE.</t>
        </is>
      </c>
      <c r="H1379" s="1" t="inlineStr">
        <is>
          <t>I'm not part of any EdTech association</t>
        </is>
      </c>
      <c r="I1379" s="1" t="n"/>
      <c r="J1379" s="1" t="inlineStr">
        <is>
          <t>Milan</t>
        </is>
      </c>
      <c r="K1379" t="inlineStr">
        <is>
          <t>Milan</t>
        </is>
      </c>
      <c r="L1379" t="inlineStr">
        <is>
          <t>Milan, Italy</t>
        </is>
      </c>
      <c r="M1379" t="n">
        <v>45.4641943</v>
      </c>
      <c r="N1379" t="n">
        <v>9.1896346</v>
      </c>
      <c r="O1379" s="1" t="inlineStr">
        <is>
          <t>Italy</t>
        </is>
      </c>
      <c r="P1379" s="1" t="inlineStr">
        <is>
          <t>Germany, Italy</t>
        </is>
      </c>
      <c r="Q1379" s="1" t="inlineStr">
        <is>
          <t>0 to 10</t>
        </is>
      </c>
      <c r="R1379" t="inlineStr">
        <is>
          <t>Micro</t>
        </is>
      </c>
      <c r="S1379" s="1" t="inlineStr">
        <is>
          <t>Business to Business</t>
        </is>
      </c>
      <c r="T1379" s="1" t="inlineStr">
        <is>
          <t>Higher Education, Corporate Training, Lifelong learning/Adult education</t>
        </is>
      </c>
      <c r="U1379" s="1" t="inlineStr">
        <is>
          <t>Student interfacing, System/Administrative</t>
        </is>
      </c>
      <c r="V1379" s="1" t="n"/>
      <c r="W1379" s="1" t="n"/>
      <c r="X1379" s="1" t="n"/>
      <c r="Z1379" s="1" t="n"/>
      <c r="AA1379" s="1" t="inlineStr">
        <is>
          <t>Unverified</t>
        </is>
      </c>
      <c r="AB1379" s="1" t="n"/>
      <c r="AC1379" s="1" t="n"/>
      <c r="AD1379" s="1" t="n"/>
      <c r="AE1379" s="1" t="n"/>
      <c r="AF1379" t="inlineStr">
        <is>
          <t>No</t>
        </is>
      </c>
    </row>
    <row r="1380" ht="12.5" customHeight="1">
      <c r="A1380" s="6" t="n">
        <v>45181</v>
      </c>
      <c r="B1380" s="1" t="inlineStr">
        <is>
          <t>ORG_1131</t>
        </is>
      </c>
      <c r="C1380" s="1" t="b">
        <v>1</v>
      </c>
      <c r="D1380" s="1" t="inlineStr">
        <is>
          <t>AZAV Pilot</t>
        </is>
      </c>
      <c r="E1380" s="10" t="inlineStr">
        <is>
          <t>https://azav-pilot.de/</t>
        </is>
      </c>
      <c r="F1380" t="inlineStr">
        <is>
          <t>azav-pilot.de</t>
        </is>
      </c>
      <c r="G1380" s="1" t="inlineStr">
        <is>
          <t>AZAV Pilot is the administrative backbone for education providers in Germany to manage their courses, participants and certifications to receive government support for their students.</t>
        </is>
      </c>
      <c r="H1380" s="1" t="inlineStr">
        <is>
          <t>I'm not part of any EdTech association</t>
        </is>
      </c>
      <c r="I1380" s="1" t="n"/>
      <c r="J1380" s="1" t="inlineStr">
        <is>
          <t>Hattingen</t>
        </is>
      </c>
      <c r="K1380" t="inlineStr">
        <is>
          <t>Hattingen</t>
        </is>
      </c>
      <c r="L1380" t="inlineStr">
        <is>
          <t>Hattingen, Germany</t>
        </is>
      </c>
      <c r="M1380" t="n">
        <v>51.4007175</v>
      </c>
      <c r="N1380" t="n">
        <v>7.1862486</v>
      </c>
      <c r="O1380" s="1" t="inlineStr">
        <is>
          <t>Germany</t>
        </is>
      </c>
      <c r="P1380" s="1" t="inlineStr">
        <is>
          <t>Austria, France, Germany, Italy, Netherlands, Portugal, Spain, Switzerland, United Kingdom</t>
        </is>
      </c>
      <c r="Q1380" s="1" t="inlineStr">
        <is>
          <t>0 to 10</t>
        </is>
      </c>
      <c r="R1380" t="inlineStr">
        <is>
          <t>Micro</t>
        </is>
      </c>
      <c r="S1380" s="1" t="inlineStr">
        <is>
          <t>Business to Business</t>
        </is>
      </c>
      <c r="T1380" s="1" t="inlineStr">
        <is>
          <t>Higher Education, Corporate Training</t>
        </is>
      </c>
      <c r="U1380" s="1" t="inlineStr">
        <is>
          <t>System/Administrative</t>
        </is>
      </c>
      <c r="V1380" s="1" t="n"/>
      <c r="W1380" s="1" t="inlineStr">
        <is>
          <t>https://drive.google.com/uc?export=view&amp;id=1rORReOctkTPBqaGDRxb5BGhjJEaWl52B</t>
        </is>
      </c>
      <c r="X1380" s="1" t="inlineStr">
        <is>
          <t>https://drive.google.com/uc?export=view&amp;id=1rORReOctkTPBqaGDRxb5BGhjJEaWl52B</t>
        </is>
      </c>
      <c r="Y1380" t="inlineStr">
        <is>
          <t>https://drive.google.com/uc?export=view&amp;id=1rORReOctkTPBqaGDRxb5BGhjJEaWl52B</t>
        </is>
      </c>
      <c r="Z1380" s="1" t="inlineStr">
        <is>
          <t>https://drive.google.com/uc?export=view&amp;id=1rORReOctkTPBqaGDRxb5BGhjJEaWl52B</t>
        </is>
      </c>
      <c r="AA1380" s="1" t="inlineStr">
        <is>
          <t>Unverified</t>
        </is>
      </c>
      <c r="AB1380" s="1" t="n"/>
      <c r="AC1380" s="1" t="n"/>
      <c r="AD1380" s="10" t="n"/>
      <c r="AE1380" s="1" t="n"/>
      <c r="AF1380" s="1" t="inlineStr">
        <is>
          <t>No</t>
        </is>
      </c>
      <c r="AG1380" s="1" t="n"/>
      <c r="AH1380" s="1" t="n"/>
    </row>
    <row r="1381" ht="12.5" customHeight="1">
      <c r="A1381" s="6" t="n">
        <v>45181</v>
      </c>
      <c r="B1381" s="1" t="inlineStr">
        <is>
          <t>ORG_1146</t>
        </is>
      </c>
      <c r="C1381" s="1" t="b">
        <v>1</v>
      </c>
      <c r="D1381" s="1" t="inlineStr">
        <is>
          <t>Beedle</t>
        </is>
      </c>
      <c r="E1381" s="10" t="inlineStr">
        <is>
          <t>https://beedle.co</t>
        </is>
      </c>
      <c r="F1381" t="inlineStr">
        <is>
          <t>beedle.co</t>
        </is>
      </c>
      <c r="G1381" s="1" t="inlineStr">
        <is>
          <t>Beedle is a provider of an all-in-one solution to streamline teaching and learning in Microsoft Teams for Education. Created by teachers, Beedle brings powerful teaching and engaging functionality to Microsoft Teams with tools and resources tailored to the modern educator’s daily needs. Save time, engage with parents, and support your students’ overall success—all from a single, familiar platform. The Beedle solutions are trusted by over 700 schools in more than 80 countries. Our customers include schools and other educational organizations who wish to move teaching, learning, and student engagement to a safe, digital, and online environment.</t>
        </is>
      </c>
      <c r="H1381" s="1" t="inlineStr">
        <is>
          <t>I'm not part of any EdTech association</t>
        </is>
      </c>
      <c r="I1381" s="1" t="n"/>
      <c r="J1381" s="1" t="inlineStr">
        <is>
          <t>Reykjavik</t>
        </is>
      </c>
      <c r="K1381" t="inlineStr">
        <is>
          <t>Reykjavik</t>
        </is>
      </c>
      <c r="L1381" t="inlineStr">
        <is>
          <t>Reykjavik, Iceland</t>
        </is>
      </c>
      <c r="M1381" t="n">
        <v>64.14598100000001</v>
      </c>
      <c r="N1381" t="n">
        <v>-21.9422367</v>
      </c>
      <c r="O1381" s="1" t="inlineStr">
        <is>
          <t>Iceland</t>
        </is>
      </c>
      <c r="P1381" s="1" t="inlineStr">
        <is>
          <t>Austria, Belgium, Croatia, Czechia, Denmark, Finland, France, Georgia, Germany, Hungary, Iceland, Ireland, Italy, Liechtenstein, Malta, Netherlands, Norway, Poland, Portugal, Romania, Spain, Sweden, Switzerland, Turkey, Ukraine, United Kingdom</t>
        </is>
      </c>
      <c r="Q1381" s="1" t="inlineStr">
        <is>
          <t>11 to 50</t>
        </is>
      </c>
      <c r="R1381" t="inlineStr">
        <is>
          <t>Small</t>
        </is>
      </c>
      <c r="S1381" s="1" t="inlineStr">
        <is>
          <t>Business to Business</t>
        </is>
      </c>
      <c r="T1381" s="1" t="inlineStr">
        <is>
          <t>Primary Education, Secondary Education, Higher Education</t>
        </is>
      </c>
      <c r="U1381" s="1" t="inlineStr">
        <is>
          <t>System/Administrative, Student interfacing, Teacher interfacing</t>
        </is>
      </c>
      <c r="V1381" s="1" t="n"/>
      <c r="W1381" s="1" t="inlineStr">
        <is>
          <t>https://drive.google.com/uc?export=view&amp;id=1VLbgHPxO0KpFMX-NHHO-K5X6xke2ezCq</t>
        </is>
      </c>
      <c r="X1381" s="1" t="inlineStr">
        <is>
          <t>https://drive.google.com/uc?export=view&amp;id=1VLbgHPxO0KpFMX-NHHO-K5X6xke2ezCq</t>
        </is>
      </c>
      <c r="Y1381" t="inlineStr">
        <is>
          <t>https://drive.google.com/uc?export=view&amp;id=1VLbgHPxO0KpFMX-NHHO-K5X6xke2ezCq</t>
        </is>
      </c>
      <c r="Z1381" s="1" t="inlineStr">
        <is>
          <t>https://drive.google.com/uc?export=view&amp;id=1VLbgHPxO0KpFMX-NHHO-K5X6xke2ezCq</t>
        </is>
      </c>
      <c r="AA1381" s="1" t="inlineStr">
        <is>
          <t>Unverified</t>
        </is>
      </c>
      <c r="AB1381" s="1" t="n"/>
      <c r="AC1381" s="1" t="n"/>
      <c r="AD1381" s="10" t="n"/>
      <c r="AE1381" s="1" t="n"/>
      <c r="AF1381" s="1" t="inlineStr">
        <is>
          <t>No</t>
        </is>
      </c>
      <c r="AG1381" s="1" t="n"/>
      <c r="AH1381" s="1" t="n"/>
    </row>
    <row r="1382" ht="12.5" customHeight="1">
      <c r="A1382" s="6" t="n">
        <v>45181</v>
      </c>
      <c r="B1382" s="1" t="inlineStr">
        <is>
          <t>ORG_1203</t>
        </is>
      </c>
      <c r="C1382" s="1" t="b">
        <v>1</v>
      </c>
      <c r="D1382" s="1" t="inlineStr">
        <is>
          <t>BUKU</t>
        </is>
      </c>
      <c r="E1382" s="10" t="inlineStr">
        <is>
          <t>buku.io</t>
        </is>
      </c>
      <c r="F1382" t="inlineStr">
        <is>
          <t>buku.io</t>
        </is>
      </c>
      <c r="G1382" s="1" t="inlineStr">
        <is>
          <t>Opening a world of knowledge and opportunities for everyone worldwide
BUKU is a subscription based streaming platform for educational content. BUKU collaborates with over 125 local and international publishers, to give students/lecturers/educational institutes around the world always and everywhere access to up-to-date high quality educational content on all devices. Online and offline. For a local affordable price.
BUKU, at this moment, is active in the Netherlands, Suriname, Aruba/Bonaire/Curaçao, Namibia, Kenya, Malawi, Ghana, Fiji Islands, Vanuatu, Solomon Islands, Papua New Guinea and India.</t>
        </is>
      </c>
      <c r="H1382" s="1" t="n"/>
      <c r="I1382" s="1" t="n"/>
      <c r="J1382" s="1" t="inlineStr">
        <is>
          <t>Groningen</t>
        </is>
      </c>
      <c r="K1382" t="inlineStr">
        <is>
          <t>Groningen</t>
        </is>
      </c>
      <c r="L1382" t="inlineStr">
        <is>
          <t>Groningen, The Netherlands</t>
        </is>
      </c>
      <c r="M1382" t="n">
        <v>53.1974568</v>
      </c>
      <c r="N1382" t="n">
        <v>6.5225217</v>
      </c>
      <c r="O1382" s="1" t="inlineStr">
        <is>
          <t>The Netherlands</t>
        </is>
      </c>
      <c r="P1382" s="1" t="inlineStr">
        <is>
          <t>Netherlands</t>
        </is>
      </c>
      <c r="Q1382" s="1" t="inlineStr">
        <is>
          <t>11 to 50</t>
        </is>
      </c>
      <c r="R1382" t="inlineStr">
        <is>
          <t>Small</t>
        </is>
      </c>
      <c r="S1382" s="1" t="inlineStr">
        <is>
          <t>Business to Business</t>
        </is>
      </c>
      <c r="T1382" s="1" t="inlineStr">
        <is>
          <t>Secondary Education, Higher Education, Corporate Training, Lifelong learning/Adult education</t>
        </is>
      </c>
      <c r="U1382" s="1" t="inlineStr">
        <is>
          <t>System/Administrative, Student interfacing, Teacher interfacing</t>
        </is>
      </c>
      <c r="V1382" s="1" t="inlineStr">
        <is>
          <t>BUKU</t>
        </is>
      </c>
      <c r="W1382" s="1" t="inlineStr">
        <is>
          <t>Subscription based streaming platform for educational content.</t>
        </is>
      </c>
      <c r="X1382" s="10" t="inlineStr">
        <is>
          <t>https://drive.google.com/uc?export=view&amp;id=1MODGVJgpEACpQssCBm0hG-9lD8osuEL2</t>
        </is>
      </c>
      <c r="Y1382" t="inlineStr">
        <is>
          <t>https://drive.google.com/uc?export=view&amp;id=1MODGVJgpEACpQssCBm0hG-9lD8osuEL2</t>
        </is>
      </c>
      <c r="Z1382" s="1" t="inlineStr">
        <is>
          <t>https://drive.google.com/uc?export=view&amp;id=1MODGVJgpEACpQssCBm0hG-9lD8osuEL2</t>
        </is>
      </c>
      <c r="AA1382" s="1" t="inlineStr">
        <is>
          <t>Unverified</t>
        </is>
      </c>
      <c r="AB1382" s="1" t="n"/>
      <c r="AC1382" s="1" t="n"/>
      <c r="AD1382" s="10" t="n"/>
      <c r="AE1382" s="1" t="n"/>
      <c r="AF1382" t="inlineStr">
        <is>
          <t>Yes</t>
        </is>
      </c>
      <c r="AG1382" t="inlineStr">
        <is>
          <t>-</t>
        </is>
      </c>
      <c r="AH1382" t="inlineStr">
        <is>
          <t>-</t>
        </is>
      </c>
      <c r="AI1382" t="inlineStr">
        <is>
          <t>https://www.linkedin.com/company/buku-world/mycompany/</t>
        </is>
      </c>
    </row>
    <row r="1383" ht="12.5" customHeight="1">
      <c r="A1383" s="6" t="n">
        <v>45181</v>
      </c>
      <c r="B1383" s="1" t="inlineStr">
        <is>
          <t>ORG_1311</t>
        </is>
      </c>
      <c r="C1383" s="1" t="b">
        <v>1</v>
      </c>
      <c r="D1383" s="1" t="inlineStr">
        <is>
          <t>Cresory</t>
        </is>
      </c>
      <c r="E1383" s="10" t="inlineStr">
        <is>
          <t>Cresory.com</t>
        </is>
      </c>
      <c r="F1383" t="inlineStr">
        <is>
          <t>cresory.com</t>
        </is>
      </c>
      <c r="G1383" s="1" t="inlineStr">
        <is>
          <t>At Cresory we aim to be the reference source of financial education for 6-12 years old children.</t>
        </is>
      </c>
      <c r="H1383" s="1" t="inlineStr">
        <is>
          <t>SEK Lab</t>
        </is>
      </c>
      <c r="I1383" s="1" t="n"/>
      <c r="J1383" s="1" t="inlineStr">
        <is>
          <t>Madrid</t>
        </is>
      </c>
      <c r="K1383" t="inlineStr">
        <is>
          <t>Madrid</t>
        </is>
      </c>
      <c r="L1383" t="inlineStr">
        <is>
          <t>Madrid, Spain</t>
        </is>
      </c>
      <c r="M1383" t="n">
        <v>40.416782</v>
      </c>
      <c r="N1383" t="n">
        <v>-3.703507</v>
      </c>
      <c r="O1383" s="1" t="inlineStr">
        <is>
          <t>Spain</t>
        </is>
      </c>
      <c r="P1383" s="1" t="inlineStr">
        <is>
          <t>Spain</t>
        </is>
      </c>
      <c r="Q1383" s="1" t="inlineStr">
        <is>
          <t>0 to 10</t>
        </is>
      </c>
      <c r="R1383" t="inlineStr">
        <is>
          <t>Micro</t>
        </is>
      </c>
      <c r="S1383" s="1" t="inlineStr">
        <is>
          <t>Business to Business</t>
        </is>
      </c>
      <c r="T1383" s="1" t="inlineStr">
        <is>
          <t>Primary Education</t>
        </is>
      </c>
      <c r="U1383" s="1" t="inlineStr">
        <is>
          <t>System/Administrative</t>
        </is>
      </c>
      <c r="V1383" s="1" t="inlineStr">
        <is>
          <t>Cresory</t>
        </is>
      </c>
      <c r="W1383" s="1" t="inlineStr">
        <is>
          <t>Cresory is an e-learning program that teaches finances to 6-12 years old children. While playing they learn how to value the money, save, invest and manage budgets</t>
        </is>
      </c>
      <c r="X1383" s="1" t="inlineStr">
        <is>
          <t>https://drive.google.com/uc?export=view&amp;id=1QqCfUZo9pe3nBaemrIsGNNVgrFTT-we9</t>
        </is>
      </c>
      <c r="Y1383" t="inlineStr">
        <is>
          <t>https://drive.google.com/uc?export=view&amp;id=1QqCfUZo9pe3nBaemrIsGNNVgrFTT-we9</t>
        </is>
      </c>
      <c r="Z1383" s="1" t="inlineStr">
        <is>
          <t>https://drive.google.com/uc?export=view&amp;id=1QqCfUZo9pe3nBaemrIsGNNVgrFTT-we9</t>
        </is>
      </c>
      <c r="AA1383" s="1" t="inlineStr">
        <is>
          <t>Unverified</t>
        </is>
      </c>
      <c r="AB1383" s="1" t="n"/>
      <c r="AC1383" s="1" t="n"/>
      <c r="AD1383" s="10" t="n"/>
      <c r="AE1383" s="1" t="n"/>
      <c r="AF1383" t="inlineStr">
        <is>
          <t>Yes</t>
        </is>
      </c>
      <c r="AG1383" t="inlineStr">
        <is>
          <t>@cresory_</t>
        </is>
      </c>
      <c r="AH1383" t="inlineStr">
        <is>
          <t>Cresory</t>
        </is>
      </c>
      <c r="AI1383" t="inlineStr">
        <is>
          <t>Cresory</t>
        </is>
      </c>
    </row>
    <row r="1384" ht="12.5" customHeight="1">
      <c r="A1384" s="6" t="n">
        <v>45181</v>
      </c>
      <c r="B1384" s="1" t="inlineStr">
        <is>
          <t>ORG_1323</t>
        </is>
      </c>
      <c r="C1384" s="1" t="b">
        <v>1</v>
      </c>
      <c r="D1384" s="1" t="inlineStr">
        <is>
          <t>d-teach online school</t>
        </is>
      </c>
      <c r="E1384" s="10" t="inlineStr">
        <is>
          <t>https://www.d-teachschool.com</t>
        </is>
      </c>
      <c r="F1384" t="inlineStr">
        <is>
          <t>d-teachschool.com</t>
        </is>
      </c>
      <c r="G1384" s="1" t="inlineStr">
        <is>
          <t>www.d-teachschool.com
d-teach online school is the first international 100% online school in Belgium. An extensive team of educationalists, teachers and speech therapists has been providing online training to children, young people and adults at home and abroad for more than ten years. The online school wants to build bridges between Belgium and the world to enable internationalisation and reintegration in Belgian schools.</t>
        </is>
      </c>
      <c r="H1384" s="1" t="inlineStr">
        <is>
          <t>I'm not part of any EdTech association</t>
        </is>
      </c>
      <c r="I1384" s="1" t="n"/>
      <c r="J1384" s="1" t="inlineStr">
        <is>
          <t>Brussels</t>
        </is>
      </c>
      <c r="K1384" t="inlineStr">
        <is>
          <t>Brussels</t>
        </is>
      </c>
      <c r="L1384" t="inlineStr">
        <is>
          <t>Brussels, Belgium</t>
        </is>
      </c>
      <c r="M1384" t="n">
        <v>50.8387951</v>
      </c>
      <c r="N1384" t="n">
        <v>4.3753041</v>
      </c>
      <c r="O1384" s="1" t="inlineStr">
        <is>
          <t>Belgium</t>
        </is>
      </c>
      <c r="P1384" s="1" t="inlineStr">
        <is>
          <t>Belgium</t>
        </is>
      </c>
      <c r="Q1384" s="1" t="inlineStr">
        <is>
          <t>0 to 10</t>
        </is>
      </c>
      <c r="R1384" t="inlineStr">
        <is>
          <t>Micro</t>
        </is>
      </c>
      <c r="S1384" s="1" t="inlineStr">
        <is>
          <t>Business to Business</t>
        </is>
      </c>
      <c r="T1384" s="1" t="inlineStr">
        <is>
          <t>Early childhood development (0-5 years), Primary Education, Secondary Education, Higher Education, Lifelong learning/Adult education</t>
        </is>
      </c>
      <c r="U1384" s="1" t="inlineStr">
        <is>
          <t>System/Administrative, Student interfacing</t>
        </is>
      </c>
      <c r="V1384" s="1" t="inlineStr">
        <is>
          <t>Online courses</t>
        </is>
      </c>
      <c r="W1384" s="1" t="inlineStr">
        <is>
          <t>see: https://www.d-teachschool.com/offer/</t>
        </is>
      </c>
      <c r="X1384" s="10" t="inlineStr">
        <is>
          <t>https://drive.google.com/uc?export=view&amp;id=1JTlv8QkiVUaMk8CjNnATToDcSB-XWhkU</t>
        </is>
      </c>
      <c r="Y1384" t="inlineStr">
        <is>
          <t>https://drive.google.com/uc?export=view&amp;id=1JTlv8QkiVUaMk8CjNnATToDcSB-XWhkU</t>
        </is>
      </c>
      <c r="Z1384" s="1" t="inlineStr">
        <is>
          <t>https://drive.google.com/uc?export=view&amp;id=1JTlv8QkiVUaMk8CjNnATToDcSB-XWhkU</t>
        </is>
      </c>
      <c r="AA1384" s="1" t="inlineStr">
        <is>
          <t>Unverified</t>
        </is>
      </c>
      <c r="AB1384" s="1" t="n"/>
      <c r="AC1384" s="1" t="n"/>
      <c r="AD1384" s="10" t="n"/>
      <c r="AE1384" s="1" t="n"/>
      <c r="AF1384" s="1" t="inlineStr">
        <is>
          <t>Yes</t>
        </is>
      </c>
      <c r="AG1384" s="1" t="inlineStr">
        <is>
          <t>https://www.linkedin.com/company/d-teach/about/?viewAsMember=true</t>
        </is>
      </c>
      <c r="AH1384" s="1" t="inlineStr">
        <is>
          <t>@D_TEACH1</t>
        </is>
      </c>
      <c r="AI1384" s="1" t="inlineStr">
        <is>
          <t>https://www.linkedin.com/company/d-teach/about/?viewAsMember=true</t>
        </is>
      </c>
      <c r="AJ1384" s="1" t="n"/>
    </row>
    <row r="1385" ht="12.5" customHeight="1">
      <c r="A1385" s="6" t="n">
        <v>45181</v>
      </c>
      <c r="B1385" s="1" t="inlineStr">
        <is>
          <t>ORG_1324</t>
        </is>
      </c>
      <c r="C1385" s="1" t="b">
        <v>1</v>
      </c>
      <c r="D1385" s="1" t="inlineStr">
        <is>
          <t>d-teach training</t>
        </is>
      </c>
      <c r="E1385" s="10" t="inlineStr">
        <is>
          <t>https://d-teachtraining.com</t>
        </is>
      </c>
      <c r="F1385" t="inlineStr">
        <is>
          <t>d-teachtraining.com</t>
        </is>
      </c>
      <c r="G1385" s="1" t="inlineStr">
        <is>
          <t>d-teach online training combines practical experience from the online school with its own research in close collaboration with the academic world. d-teach online training has grown into an expertise and knowledge centre in online learning, specialised in online didactics and instructional design. We also work for companies to support the L&amp;D team with online &amp; blended learning. This online expertise is used to support organisations in their transformation from offline to blended and online learning.</t>
        </is>
      </c>
      <c r="H1385" s="1" t="inlineStr">
        <is>
          <t>I'm not part of any EdTech association</t>
        </is>
      </c>
      <c r="I1385" s="1" t="n"/>
      <c r="J1385" s="1" t="inlineStr">
        <is>
          <t>Gent</t>
        </is>
      </c>
      <c r="K1385" t="inlineStr">
        <is>
          <t>Gent</t>
        </is>
      </c>
      <c r="L1385" t="inlineStr">
        <is>
          <t>Gent, Belgium</t>
        </is>
      </c>
      <c r="M1385" t="n">
        <v>51.0538286</v>
      </c>
      <c r="N1385" t="n">
        <v>3.7250121</v>
      </c>
      <c r="O1385" s="1" t="inlineStr">
        <is>
          <t>Belgium</t>
        </is>
      </c>
      <c r="P1385" s="1" t="inlineStr">
        <is>
          <t>Belgium, Germany, Luxembourg, Netherlands, United Kingdom</t>
        </is>
      </c>
      <c r="Q1385" s="1" t="inlineStr">
        <is>
          <t>0 to 10</t>
        </is>
      </c>
      <c r="R1385" t="inlineStr">
        <is>
          <t>Micro</t>
        </is>
      </c>
      <c r="S1385" s="1" t="inlineStr">
        <is>
          <t>Business to Business</t>
        </is>
      </c>
      <c r="T1385" s="1" t="inlineStr">
        <is>
          <t>Corporate Training, Lifelong learning/Adult education</t>
        </is>
      </c>
      <c r="U1385" s="1" t="inlineStr">
        <is>
          <t>Teacher interfacing, System/Administrative</t>
        </is>
      </c>
      <c r="V1385" s="1" t="inlineStr">
        <is>
          <t>Online training</t>
        </is>
      </c>
      <c r="W1385" s="1" t="inlineStr">
        <is>
          <t>d-teach online training combines that practical experience from the online school with its own research in close collaboration with the academic world. d-teach online training has grown into an expertise and knowledge centre in online learning, specialised in online didactics and instructional design. We also work for companies to support the L&amp;D team with online &amp; blended learning. This online expertise is used to support organisations in their transformation from offline to blended and online learning.</t>
        </is>
      </c>
      <c r="X1385" s="10" t="inlineStr">
        <is>
          <t>https://drive.google.com/uc?export=view&amp;id=1sgAjrqKrYUVr2gSXwJcoS5WH-w12U4E3</t>
        </is>
      </c>
      <c r="Y1385" t="inlineStr">
        <is>
          <t>https://drive.google.com/uc?export=view&amp;id=1sgAjrqKrYUVr2gSXwJcoS5WH-w12U4E3</t>
        </is>
      </c>
      <c r="Z1385" s="1" t="inlineStr">
        <is>
          <t>https://drive.google.com/uc?export=view&amp;id=1sgAjrqKrYUVr2gSXwJcoS5WH-w12U4E3</t>
        </is>
      </c>
      <c r="AA1385" s="1" t="inlineStr">
        <is>
          <t>Unverified</t>
        </is>
      </c>
      <c r="AB1385" s="1" t="n"/>
      <c r="AC1385" s="1" t="n"/>
      <c r="AD1385" s="10" t="n"/>
      <c r="AE1385" s="1" t="n"/>
      <c r="AF1385" s="1" t="inlineStr">
        <is>
          <t>Yes</t>
        </is>
      </c>
      <c r="AG1385" s="1" t="inlineStr">
        <is>
          <t>https://www.linkedin.com/company/d-teach-training/about/</t>
        </is>
      </c>
      <c r="AH1385" s="1" t="inlineStr">
        <is>
          <t>@dteachtraining</t>
        </is>
      </c>
      <c r="AI1385" s="1" t="inlineStr">
        <is>
          <t>https://www.linkedin.com/company/d-teach-training/about/</t>
        </is>
      </c>
      <c r="AJ1385" s="1" t="n"/>
    </row>
    <row r="1386" ht="12.5" customHeight="1">
      <c r="A1386" s="6" t="n">
        <v>45181</v>
      </c>
      <c r="B1386" s="1" t="inlineStr">
        <is>
          <t>ORG_1371</t>
        </is>
      </c>
      <c r="C1386" s="1" t="b">
        <v>1</v>
      </c>
      <c r="D1386" s="1" t="inlineStr">
        <is>
          <t>Docsity</t>
        </is>
      </c>
      <c r="E1386" s="10" t="inlineStr">
        <is>
          <t>https://www.docsity.com</t>
        </is>
      </c>
      <c r="F1386" t="inlineStr">
        <is>
          <t>docsity.com</t>
        </is>
      </c>
      <c r="G1386" s="1" t="inlineStr">
        <is>
          <t>At Docsity we help students to effectively learn and prepare for their exams through high quality study resources, both proprietary and crowd-sourced.
As part of our mission, we also help students connect with the best study opportunities worldwide.</t>
        </is>
      </c>
      <c r="H1386" s="1" t="inlineStr">
        <is>
          <t>I'm not part of any EdTech association</t>
        </is>
      </c>
      <c r="I1386" s="1" t="n"/>
      <c r="J1386" s="1" t="inlineStr">
        <is>
          <t>Torino</t>
        </is>
      </c>
      <c r="K1386" t="inlineStr">
        <is>
          <t>Torino</t>
        </is>
      </c>
      <c r="L1386" t="inlineStr">
        <is>
          <t>Torino, Italy</t>
        </is>
      </c>
      <c r="M1386" t="n">
        <v>45.0677551</v>
      </c>
      <c r="N1386" t="n">
        <v>7.6824892</v>
      </c>
      <c r="O1386" s="1" t="inlineStr">
        <is>
          <t>Italy</t>
        </is>
      </c>
      <c r="P1386" s="1" t="inlineStr">
        <is>
          <t>France, Germany, Italy, Poland, Portugal, Russia, Serbia, Spain, Switzerland</t>
        </is>
      </c>
      <c r="Q1386" s="1" t="inlineStr">
        <is>
          <t>51 to 100</t>
        </is>
      </c>
      <c r="R1386" t="inlineStr">
        <is>
          <t>Medium</t>
        </is>
      </c>
      <c r="S1386" s="1" t="inlineStr">
        <is>
          <t>Business to Business</t>
        </is>
      </c>
      <c r="T1386" s="1" t="inlineStr">
        <is>
          <t>Higher Education, Lifelong learning/Adult education</t>
        </is>
      </c>
      <c r="U1386" s="1" t="inlineStr">
        <is>
          <t>Student interfacing</t>
        </is>
      </c>
      <c r="V1386" s="1" t="n"/>
      <c r="W1386" s="1" t="inlineStr">
        <is>
          <t>https://drive.google.com/uc?export=view&amp;id=1w22Va9WYBnhGKivKrRUb8C0jllWQpiNQ</t>
        </is>
      </c>
      <c r="X1386" s="1" t="inlineStr">
        <is>
          <t>https://drive.google.com/uc?export=view&amp;id=1w22Va9WYBnhGKivKrRUb8C0jllWQpiNQ</t>
        </is>
      </c>
      <c r="Y1386" t="inlineStr">
        <is>
          <t>https://drive.google.com/uc?export=view&amp;id=1w22Va9WYBnhGKivKrRUb8C0jllWQpiNQ</t>
        </is>
      </c>
      <c r="Z1386" s="1" t="inlineStr">
        <is>
          <t>https://drive.google.com/uc?export=view&amp;id=1w22Va9WYBnhGKivKrRUb8C0jllWQpiNQ</t>
        </is>
      </c>
      <c r="AA1386" s="1" t="inlineStr">
        <is>
          <t>Unverified</t>
        </is>
      </c>
      <c r="AB1386" s="1" t="n"/>
      <c r="AC1386" s="1" t="n"/>
      <c r="AD1386" s="10" t="n"/>
      <c r="AE1386" s="1" t="n"/>
      <c r="AF1386" s="1" t="inlineStr">
        <is>
          <t>No</t>
        </is>
      </c>
      <c r="AG1386" s="1" t="n"/>
      <c r="AH1386" s="1" t="n"/>
    </row>
    <row r="1387" ht="12.5" customHeight="1">
      <c r="A1387" s="6" t="n">
        <v>45181</v>
      </c>
      <c r="B1387" s="1" t="inlineStr">
        <is>
          <t>ORG_1396</t>
        </is>
      </c>
      <c r="C1387" s="1" t="b">
        <v>1</v>
      </c>
      <c r="D1387" s="1" t="inlineStr">
        <is>
          <t>EdAider</t>
        </is>
      </c>
      <c r="E1387" s="10" t="inlineStr">
        <is>
          <t>www.EdAider.com</t>
        </is>
      </c>
      <c r="F1387" t="inlineStr">
        <is>
          <t>edaider.com</t>
        </is>
      </c>
      <c r="G1387" s="1" t="inlineStr">
        <is>
          <t>A smart pedagogical plattform for data-driven education</t>
        </is>
      </c>
      <c r="H1387" s="1" t="inlineStr">
        <is>
          <t>Swedish EdTech Industry</t>
        </is>
      </c>
      <c r="I1387" s="1" t="n"/>
      <c r="J1387" s="1" t="inlineStr">
        <is>
          <t>Skattetorpsvägen</t>
        </is>
      </c>
      <c r="K1387" t="inlineStr">
        <is>
          <t>Skattetorpsvägen</t>
        </is>
      </c>
      <c r="L1387" t="inlineStr">
        <is>
          <t>Skattetorpsvägen, Sweden</t>
        </is>
      </c>
      <c r="O1387" s="1" t="inlineStr">
        <is>
          <t>Sweden</t>
        </is>
      </c>
      <c r="P1387" s="1" t="inlineStr">
        <is>
          <t>Sweden</t>
        </is>
      </c>
      <c r="Q1387" s="1" t="inlineStr">
        <is>
          <t>11 to 50</t>
        </is>
      </c>
      <c r="R1387" t="inlineStr">
        <is>
          <t>Small</t>
        </is>
      </c>
      <c r="S1387" s="1" t="inlineStr">
        <is>
          <t>Business to Business, Business to Consumer</t>
        </is>
      </c>
      <c r="T1387" s="1" t="inlineStr">
        <is>
          <t>Primary Education, Secondary Education, Higher Education, Lifelong learning/Adult education</t>
        </is>
      </c>
      <c r="U1387" s="1" t="inlineStr">
        <is>
          <t>System/Administrative, Student interfacing, Teacher interfacing</t>
        </is>
      </c>
      <c r="V1387" s="1" t="inlineStr">
        <is>
          <t>EdAider</t>
        </is>
      </c>
      <c r="W1387" s="1" t="inlineStr">
        <is>
          <t>The main EdAider platform supports data-driven learning and teaching during lessons and within courses</t>
        </is>
      </c>
      <c r="X1387" s="10" t="inlineStr">
        <is>
          <t>EdAider Wellbeing analytics</t>
        </is>
      </c>
      <c r="Y1387" t="inlineStr">
        <is>
          <t>This specific product supports schools to monitor students wellbeing with rich analytical tools</t>
        </is>
      </c>
      <c r="Z1387" s="1" t="inlineStr">
        <is>
          <t>https://drive.google.com/uc?export=view&amp;id=155jqeHP5qMATmq3awUm7FFDJqW3RGbNs</t>
        </is>
      </c>
      <c r="AA1387" s="1" t="inlineStr">
        <is>
          <t>Unverified</t>
        </is>
      </c>
      <c r="AB1387" s="1" t="n"/>
      <c r="AC1387" s="1" t="n"/>
      <c r="AD1387" s="10" t="n"/>
      <c r="AE1387" s="1" t="n"/>
      <c r="AF1387" s="1" t="inlineStr">
        <is>
          <t>Yes</t>
        </is>
      </c>
      <c r="AG1387" s="1" t="inlineStr">
        <is>
          <t>http://www.linkedin.com/ed-aider</t>
        </is>
      </c>
      <c r="AH1387" s="1" t="inlineStr">
        <is>
          <t>http://www.linkedin.com/ed-aider</t>
        </is>
      </c>
      <c r="AI1387" t="inlineStr">
        <is>
          <t>www.linkedin.com/ed-aider</t>
        </is>
      </c>
    </row>
    <row r="1388" ht="12.5" customHeight="1">
      <c r="A1388" s="6" t="n">
        <v>45181</v>
      </c>
      <c r="B1388" s="1" t="inlineStr">
        <is>
          <t>ORG_1398</t>
        </is>
      </c>
      <c r="C1388" s="1" t="b">
        <v>1</v>
      </c>
      <c r="D1388" s="1" t="inlineStr">
        <is>
          <t>Edberry</t>
        </is>
      </c>
      <c r="E1388" s="10" t="inlineStr">
        <is>
          <t>www.edberry.digital</t>
        </is>
      </c>
      <c r="F1388" t="inlineStr">
        <is>
          <t>edberry.digital</t>
        </is>
      </c>
      <c r="G1388" s="1" t="inlineStr">
        <is>
          <t>Digital services platform for education. Making education better. Forever.</t>
        </is>
      </c>
      <c r="H1388" s="1" t="inlineStr">
        <is>
          <t>I'm not part of any EdTech association</t>
        </is>
      </c>
      <c r="I1388" s="1" t="n"/>
      <c r="J1388" s="1" t="inlineStr">
        <is>
          <t>Vilnius</t>
        </is>
      </c>
      <c r="K1388" t="inlineStr">
        <is>
          <t>Vilnius</t>
        </is>
      </c>
      <c r="L1388" t="inlineStr">
        <is>
          <t>Vilnius, Lithuania</t>
        </is>
      </c>
      <c r="M1388" t="n">
        <v>54.6870458</v>
      </c>
      <c r="N1388" t="n">
        <v>25.2829111</v>
      </c>
      <c r="O1388" s="1" t="inlineStr">
        <is>
          <t>Lithuania</t>
        </is>
      </c>
      <c r="P1388" s="1" t="inlineStr">
        <is>
          <t>Belarus, Ukraine</t>
        </is>
      </c>
      <c r="Q1388" s="1" t="inlineStr">
        <is>
          <t>0 to 10</t>
        </is>
      </c>
      <c r="R1388" t="inlineStr">
        <is>
          <t>Micro</t>
        </is>
      </c>
      <c r="S1388" s="1" t="inlineStr">
        <is>
          <t>Business to Business, Business to Consumer</t>
        </is>
      </c>
      <c r="T1388" s="1" t="inlineStr">
        <is>
          <t>Early childhood development (0-5 years), Primary Education, Secondary Education, Higher Education, Corporate Training, Lifelong learning/Adult education</t>
        </is>
      </c>
      <c r="U1388" s="1" t="inlineStr">
        <is>
          <t>System/Administrative</t>
        </is>
      </c>
      <c r="V1388" s="1" t="n"/>
      <c r="W1388" s="1" t="inlineStr">
        <is>
          <t>https://drive.google.com/uc?export=view&amp;id=1k8e_m0fJVs_g9-h13MDxxSnoEywRk1xP</t>
        </is>
      </c>
      <c r="X1388" s="1" t="inlineStr">
        <is>
          <t>https://drive.google.com/uc?export=view&amp;id=1k8e_m0fJVs_g9-h13MDxxSnoEywRk1xP</t>
        </is>
      </c>
      <c r="Y1388" t="inlineStr">
        <is>
          <t>https://drive.google.com/uc?export=view&amp;id=1k8e_m0fJVs_g9-h13MDxxSnoEywRk1xP</t>
        </is>
      </c>
      <c r="Z1388" s="1" t="inlineStr">
        <is>
          <t>https://drive.google.com/uc?export=view&amp;id=1k8e_m0fJVs_g9-h13MDxxSnoEywRk1xP</t>
        </is>
      </c>
      <c r="AA1388" s="1" t="inlineStr">
        <is>
          <t>Unverified</t>
        </is>
      </c>
      <c r="AB1388" s="1" t="n"/>
      <c r="AC1388" s="1" t="n"/>
      <c r="AD1388" s="10" t="n"/>
      <c r="AE1388" s="1" t="n"/>
      <c r="AF1388" t="inlineStr">
        <is>
          <t>No</t>
        </is>
      </c>
    </row>
    <row r="1389" ht="12.5" customHeight="1">
      <c r="A1389" s="6" t="n">
        <v>45181</v>
      </c>
      <c r="B1389" s="1" t="inlineStr">
        <is>
          <t>ORG_1428</t>
        </is>
      </c>
      <c r="C1389" s="1" t="b">
        <v>1</v>
      </c>
      <c r="D1389" s="1" t="inlineStr">
        <is>
          <t>EduCat</t>
        </is>
      </c>
      <c r="E1389" s="10" t="inlineStr">
        <is>
          <t>http://educat.study/</t>
        </is>
      </c>
      <c r="F1389" t="inlineStr">
        <is>
          <t>educat.study</t>
        </is>
      </c>
      <c r="G1389" s="1" t="inlineStr">
        <is>
          <t>EduCat is an innovative platform matching students from universities around the world with high school students wanting to apply there.</t>
        </is>
      </c>
      <c r="H1389" s="1" t="inlineStr">
        <is>
          <t>I'm not part of any EdTech association</t>
        </is>
      </c>
      <c r="I1389" s="1" t="n"/>
      <c r="J1389" s="1" t="inlineStr">
        <is>
          <t>Warszawa</t>
        </is>
      </c>
      <c r="K1389" t="inlineStr">
        <is>
          <t>Warszawa</t>
        </is>
      </c>
      <c r="L1389" t="inlineStr">
        <is>
          <t>Warszawa, Poland</t>
        </is>
      </c>
      <c r="M1389" t="n">
        <v>52.2319581</v>
      </c>
      <c r="N1389" t="n">
        <v>21.0067249</v>
      </c>
      <c r="O1389" s="1" t="inlineStr">
        <is>
          <t>Poland</t>
        </is>
      </c>
      <c r="P1389" s="1" t="inlineStr">
        <is>
          <t>France, Germany, Latvia, Lithuania, Poland, Romania, United Kingdom</t>
        </is>
      </c>
      <c r="Q1389" s="1" t="inlineStr">
        <is>
          <t>0 to 10</t>
        </is>
      </c>
      <c r="R1389" t="inlineStr">
        <is>
          <t>Micro</t>
        </is>
      </c>
      <c r="S1389" s="1" t="inlineStr">
        <is>
          <t>Business to Business, Business to Consumer</t>
        </is>
      </c>
      <c r="T1389" s="1" t="inlineStr">
        <is>
          <t>Secondary Education, Higher Education</t>
        </is>
      </c>
      <c r="U1389" s="1" t="inlineStr">
        <is>
          <t>System/Administrative, Student interfacing</t>
        </is>
      </c>
      <c r="V1389" s="1" t="n"/>
      <c r="W1389" s="1" t="inlineStr">
        <is>
          <t>https://drive.google.com/uc?export=view&amp;id=12SX9CETeukP7HRtY2QHJeHuT7yZrotcN</t>
        </is>
      </c>
      <c r="X1389" s="1" t="inlineStr">
        <is>
          <t>https://drive.google.com/uc?export=view&amp;id=12SX9CETeukP7HRtY2QHJeHuT7yZrotcN</t>
        </is>
      </c>
      <c r="Y1389" t="inlineStr">
        <is>
          <t>https://drive.google.com/uc?export=view&amp;id=12SX9CETeukP7HRtY2QHJeHuT7yZrotcN</t>
        </is>
      </c>
      <c r="Z1389" s="1" t="inlineStr">
        <is>
          <t>https://drive.google.com/uc?export=view&amp;id=12SX9CETeukP7HRtY2QHJeHuT7yZrotcN</t>
        </is>
      </c>
      <c r="AA1389" s="1" t="inlineStr">
        <is>
          <t>Unverified</t>
        </is>
      </c>
      <c r="AB1389" s="1" t="n"/>
      <c r="AC1389" s="1" t="n"/>
      <c r="AD1389" s="10" t="n"/>
      <c r="AE1389" s="1" t="n"/>
      <c r="AF1389" s="1" t="inlineStr">
        <is>
          <t>No</t>
        </is>
      </c>
      <c r="AG1389" s="1" t="n"/>
      <c r="AH1389" s="1" t="n"/>
      <c r="AI1389" s="1" t="n"/>
      <c r="AJ1389" s="1" t="n"/>
    </row>
    <row r="1390" ht="12.5" customHeight="1">
      <c r="A1390" s="6" t="n">
        <v>45181</v>
      </c>
      <c r="B1390" s="1" t="inlineStr">
        <is>
          <t>ORG_1461</t>
        </is>
      </c>
      <c r="C1390" s="1" t="b">
        <v>1</v>
      </c>
      <c r="D1390" s="1" t="inlineStr">
        <is>
          <t>edusiia</t>
        </is>
      </c>
      <c r="E1390" s="10" t="inlineStr">
        <is>
          <t>www.edusiia.com</t>
        </is>
      </c>
      <c r="F1390" t="inlineStr">
        <is>
          <t>edusiia.com</t>
        </is>
      </c>
      <c r="G1390" s="1" t="inlineStr">
        <is>
          <t>edusiia is the first productive online community for education. We help educational organizations to connect their stakeholders sustainably with each other and with third parties - for successful educational change. We bring organizations and people from various fields together on a long-term basis: including schools, universities, education companies, EdTech startups, foundations, associations and NGOs. We aim to live our purpose - improving education together - by supporting people and organizations to make education more effective. Initially we are operating in Germany and later worldwide.
What makes us unique?
1. Our online community is completely tailored to educational stakeholders.
2. edusiia is the first platform that captures data about the actors, issues and problems of the German education landscape in real time.
3. edusiia is a German, GDPR-compliant platform that meets high data protection standards.
4. We enable networking as well as productive collaboration and we actively support our community.</t>
        </is>
      </c>
      <c r="H1390" s="1" t="inlineStr">
        <is>
          <t>I'm not part of any EdTech association</t>
        </is>
      </c>
      <c r="I1390" s="1" t="n"/>
      <c r="J1390" s="1" t="inlineStr">
        <is>
          <t>Berlin</t>
        </is>
      </c>
      <c r="K1390" t="inlineStr">
        <is>
          <t>Berlin</t>
        </is>
      </c>
      <c r="L1390" t="inlineStr">
        <is>
          <t>Berlin, Germany</t>
        </is>
      </c>
      <c r="M1390" t="n">
        <v>52.5173885</v>
      </c>
      <c r="N1390" t="n">
        <v>13.3951309</v>
      </c>
      <c r="O1390" s="1" t="inlineStr">
        <is>
          <t>Germany</t>
        </is>
      </c>
      <c r="P1390" s="1" t="inlineStr">
        <is>
          <t>Germany</t>
        </is>
      </c>
      <c r="Q1390" s="1" t="inlineStr">
        <is>
          <t>0 to 10</t>
        </is>
      </c>
      <c r="R1390" t="inlineStr">
        <is>
          <t>Micro</t>
        </is>
      </c>
      <c r="S1390" s="1" t="inlineStr">
        <is>
          <t>Business to Business, Business to Consumer</t>
        </is>
      </c>
      <c r="T1390" s="1" t="inlineStr">
        <is>
          <t>Early childhood development (0-5 years), Primary Education, Secondary Education, Higher Education, Corporate Training, Lifelong learning/Adult education</t>
        </is>
      </c>
      <c r="U1390" s="1" t="inlineStr">
        <is>
          <t>Teacher interfacing, Student interfacing, System/Administrative</t>
        </is>
      </c>
      <c r="V1390" s="1" t="n"/>
      <c r="W1390" s="1" t="inlineStr">
        <is>
          <t>https://drive.google.com/uc?export=view&amp;id=18ytvzXk_6I7cdviy4NET-6T-kyzYKjX5</t>
        </is>
      </c>
      <c r="X1390" s="1" t="inlineStr">
        <is>
          <t>https://drive.google.com/uc?export=view&amp;id=18ytvzXk_6I7cdviy4NET-6T-kyzYKjX5</t>
        </is>
      </c>
      <c r="Y1390" t="inlineStr">
        <is>
          <t>https://drive.google.com/uc?export=view&amp;id=18ytvzXk_6I7cdviy4NET-6T-kyzYKjX5</t>
        </is>
      </c>
      <c r="Z1390" s="1" t="inlineStr">
        <is>
          <t>https://drive.google.com/uc?export=view&amp;id=18ytvzXk_6I7cdviy4NET-6T-kyzYKjX5</t>
        </is>
      </c>
      <c r="AA1390" s="1" t="inlineStr">
        <is>
          <t>Unverified</t>
        </is>
      </c>
      <c r="AB1390" s="1" t="n"/>
      <c r="AC1390" s="1" t="n"/>
      <c r="AD1390" s="10" t="n"/>
      <c r="AE1390" s="1" t="n"/>
      <c r="AF1390" s="1" t="inlineStr">
        <is>
          <t>No</t>
        </is>
      </c>
      <c r="AG1390" s="1" t="n"/>
      <c r="AH1390" s="1" t="n"/>
      <c r="AI1390" s="1" t="n"/>
      <c r="AJ1390" s="1" t="n"/>
    </row>
    <row r="1391" ht="12.5" customHeight="1">
      <c r="A1391" s="6" t="n">
        <v>45181</v>
      </c>
      <c r="B1391" s="1" t="inlineStr">
        <is>
          <t>ORG_1462</t>
        </is>
      </c>
      <c r="C1391" s="1" t="b">
        <v>1</v>
      </c>
      <c r="D1391" s="1" t="inlineStr">
        <is>
          <t>edutec.one</t>
        </is>
      </c>
      <c r="E1391" s="10" t="inlineStr">
        <is>
          <t>www.edutec.one</t>
        </is>
      </c>
      <c r="F1391" t="inlineStr">
        <is>
          <t>edutec.one</t>
        </is>
      </c>
      <c r="G1391" s="1" t="inlineStr">
        <is>
          <t>Our expert team arranges and advises on a broad range of educational principles, supporting adaptive learning, digital education, creating better solutions empowering the workforce of tomorrow.
These solutions and services include but are not limited to: Curriculum Design, Educational Needs Analysis for Public and Private Learning, Competence Management, Advanced Learning Technologies, Simulation and Game based Learning.
In addition we are supporting Educational Industries in M &amp; A projects and Investment initiatives.</t>
        </is>
      </c>
      <c r="H1391" s="1" t="inlineStr">
        <is>
          <t>I'm not part of any EdTech association</t>
        </is>
      </c>
      <c r="I1391" s="1" t="n"/>
      <c r="J1391" s="1" t="inlineStr">
        <is>
          <t>Kirchheim</t>
        </is>
      </c>
      <c r="K1391" t="inlineStr">
        <is>
          <t>Kirchheim</t>
        </is>
      </c>
      <c r="L1391" t="inlineStr">
        <is>
          <t>Kirchheim, Germany</t>
        </is>
      </c>
      <c r="M1391" t="n">
        <v>49.6560775</v>
      </c>
      <c r="N1391" t="n">
        <v>9.8585464</v>
      </c>
      <c r="O1391" s="1" t="inlineStr">
        <is>
          <t>Germany</t>
        </is>
      </c>
      <c r="P1391" s="1" t="inlineStr">
        <is>
          <t>Germany</t>
        </is>
      </c>
      <c r="Q1391" s="1" t="inlineStr">
        <is>
          <t>0 to 10</t>
        </is>
      </c>
      <c r="R1391" t="inlineStr">
        <is>
          <t>Micro</t>
        </is>
      </c>
      <c r="S1391" s="1" t="inlineStr">
        <is>
          <t>Business to Business, Business to Consumer, Business to Government, Business to Schools</t>
        </is>
      </c>
      <c r="T1391" s="1" t="inlineStr">
        <is>
          <t>Higher Education, Lifelong learning/Adult education</t>
        </is>
      </c>
      <c r="U1391" s="1" t="inlineStr">
        <is>
          <t>System/Administrative</t>
        </is>
      </c>
      <c r="V1391" s="1" t="n"/>
      <c r="W1391" s="1" t="inlineStr">
        <is>
          <t>https://drive.google.com/uc?export=view&amp;id=1bv2tYMM1vow-4NBuzGzU1pA3b6_aGh-q</t>
        </is>
      </c>
      <c r="X1391" s="1" t="inlineStr">
        <is>
          <t>https://drive.google.com/uc?export=view&amp;id=1bv2tYMM1vow-4NBuzGzU1pA3b6_aGh-q</t>
        </is>
      </c>
      <c r="Y1391" t="inlineStr">
        <is>
          <t>https://drive.google.com/uc?export=view&amp;id=1bv2tYMM1vow-4NBuzGzU1pA3b6_aGh-q</t>
        </is>
      </c>
      <c r="Z1391" s="1" t="inlineStr">
        <is>
          <t>https://drive.google.com/uc?export=view&amp;id=1bv2tYMM1vow-4NBuzGzU1pA3b6_aGh-q</t>
        </is>
      </c>
      <c r="AA1391" s="1" t="inlineStr">
        <is>
          <t>Unverified</t>
        </is>
      </c>
      <c r="AB1391" s="1" t="n"/>
      <c r="AC1391" s="1" t="n"/>
      <c r="AD1391" s="10" t="n"/>
      <c r="AE1391" s="1" t="n"/>
      <c r="AF1391" s="1" t="inlineStr">
        <is>
          <t>No</t>
        </is>
      </c>
      <c r="AG1391" s="1" t="n"/>
      <c r="AH1391" s="1" t="n"/>
    </row>
    <row r="1392" ht="12.5" customHeight="1">
      <c r="A1392" s="6" t="n">
        <v>45181</v>
      </c>
      <c r="B1392" s="1" t="inlineStr">
        <is>
          <t>ORG_1494</t>
        </is>
      </c>
      <c r="C1392" s="1" t="b">
        <v>1</v>
      </c>
      <c r="D1392" s="1" t="inlineStr">
        <is>
          <t>Endurae</t>
        </is>
      </c>
      <c r="E1392" s="10" t="inlineStr">
        <is>
          <t>www.endurae.com</t>
        </is>
      </c>
      <c r="F1392" t="inlineStr">
        <is>
          <t>endurae.com</t>
        </is>
      </c>
      <c r="G1392" s="1" t="inlineStr">
        <is>
          <t>Endurae Voice Technology OÜ (EVT) is a design studio and consultancy focused on Multimodal Learning Experiences (such as chatbots, voicebots, interactive e-learning etc). Are you just starting with multimodal technology and don't know how to proceed? Or do you want to go beyond what existing platforms have to offer? We are here to help! We have offerings ranging from informing you about principles of Learning Design, to designing your interaction flows, and offering guidance through hardware options.</t>
        </is>
      </c>
      <c r="H1392" s="1" t="inlineStr">
        <is>
          <t>I'm not part of any EdTech association</t>
        </is>
      </c>
      <c r="I1392" s="1" t="n"/>
      <c r="J1392" s="1" t="inlineStr">
        <is>
          <t>Tallinn</t>
        </is>
      </c>
      <c r="K1392" t="inlineStr">
        <is>
          <t>Tallinn</t>
        </is>
      </c>
      <c r="L1392" t="inlineStr">
        <is>
          <t>Tallinn, Estonia</t>
        </is>
      </c>
      <c r="M1392" t="n">
        <v>59.437242</v>
      </c>
      <c r="N1392" t="n">
        <v>24.7572693</v>
      </c>
      <c r="O1392" s="1" t="inlineStr">
        <is>
          <t>Estonia</t>
        </is>
      </c>
      <c r="P1392" s="1" t="inlineStr">
        <is>
          <t>Austria, Cyprus, Denmark, Estonia, Finland, France, Ireland, Italy, Portugal, Spain</t>
        </is>
      </c>
      <c r="Q1392" s="1" t="inlineStr">
        <is>
          <t>0 to 10</t>
        </is>
      </c>
      <c r="R1392" t="inlineStr">
        <is>
          <t>Micro</t>
        </is>
      </c>
      <c r="S1392" s="1" t="inlineStr">
        <is>
          <t>Business to Business, Business to Consumer, Business to Government, Business to Schools</t>
        </is>
      </c>
      <c r="T1392" s="1" t="inlineStr">
        <is>
          <t>Higher Education, Corporate Training, Lifelong learning/Adult education</t>
        </is>
      </c>
      <c r="U1392" s="1" t="inlineStr">
        <is>
          <t>Teacher interfacing, Student interfacing, System/Administrative</t>
        </is>
      </c>
      <c r="V1392" s="1" t="n"/>
      <c r="W1392" s="1" t="inlineStr">
        <is>
          <t>https://drive.google.com/uc?export=view&amp;id=1qU9572SbPFpzBNxo9OFgcu15ZRY4QHk2</t>
        </is>
      </c>
      <c r="X1392" s="1" t="inlineStr">
        <is>
          <t>https://drive.google.com/uc?export=view&amp;id=1qU9572SbPFpzBNxo9OFgcu15ZRY4QHk2</t>
        </is>
      </c>
      <c r="Y1392" t="inlineStr">
        <is>
          <t>https://drive.google.com/uc?export=view&amp;id=1qU9572SbPFpzBNxo9OFgcu15ZRY4QHk2</t>
        </is>
      </c>
      <c r="Z1392" s="1" t="inlineStr">
        <is>
          <t>https://drive.google.com/uc?export=view&amp;id=1qU9572SbPFpzBNxo9OFgcu15ZRY4QHk2</t>
        </is>
      </c>
      <c r="AA1392" s="1" t="inlineStr">
        <is>
          <t>Unverified</t>
        </is>
      </c>
      <c r="AB1392" s="1" t="n"/>
      <c r="AC1392" s="1" t="n"/>
      <c r="AD1392" s="10" t="n"/>
      <c r="AE1392" s="1" t="n"/>
      <c r="AF1392" s="1" t="inlineStr">
        <is>
          <t>No</t>
        </is>
      </c>
      <c r="AG1392" s="1" t="n"/>
      <c r="AH1392" s="1" t="n"/>
    </row>
    <row r="1393" ht="12.5" customHeight="1">
      <c r="A1393" s="6" t="n">
        <v>45181</v>
      </c>
      <c r="B1393" s="1" t="inlineStr">
        <is>
          <t>ORG_1502</t>
        </is>
      </c>
      <c r="C1393" s="1" t="b">
        <v>1</v>
      </c>
      <c r="D1393" s="1" t="inlineStr">
        <is>
          <t>Enzima12</t>
        </is>
      </c>
      <c r="E1393" s="10" t="inlineStr">
        <is>
          <t>https://www.enzima12.com/home-enzima12</t>
        </is>
      </c>
      <c r="F1393" t="inlineStr">
        <is>
          <t>enzima12.com/home-enzima12</t>
        </is>
      </c>
      <c r="G1393" s="1" t="inlineStr">
        <is>
          <t>Enzima12 is a company builder that researches, develops, tests and implements new technological solutions related to the world of work and training.
To date it has three projects to its credit:
SCRIBA: an application that allows to easily design, manage and report distance learning, in compliance with the regulations of the Italian Interprofessional Funds.
&gt; https://scriba.tech
Forma42: a laboratory for the development of digital projects designed specifically for companies working in the world of training and employment services.
&gt; https://www.forma42.it
Formatori Italiani: a digital platform active throughout Italy, which aims to connect companies and trainers, giving both parties the opportunity to get to know each other, collaborate and review each other.
&gt; https://www.formatoriitaliani.com</t>
        </is>
      </c>
      <c r="H1393" s="1" t="inlineStr">
        <is>
          <t>I'm not part of any EdTech association</t>
        </is>
      </c>
      <c r="I1393" s="1" t="n"/>
      <c r="J1393" s="1" t="inlineStr">
        <is>
          <t>Milano</t>
        </is>
      </c>
      <c r="K1393" t="inlineStr">
        <is>
          <t>Milano</t>
        </is>
      </c>
      <c r="L1393" t="inlineStr">
        <is>
          <t>Milano, Italy</t>
        </is>
      </c>
      <c r="M1393" t="n">
        <v>45.4641943</v>
      </c>
      <c r="N1393" t="n">
        <v>9.1896346</v>
      </c>
      <c r="O1393" s="1" t="inlineStr">
        <is>
          <t>Italy</t>
        </is>
      </c>
      <c r="P1393" s="1" t="inlineStr">
        <is>
          <t>Italy</t>
        </is>
      </c>
      <c r="Q1393" s="1" t="inlineStr">
        <is>
          <t>0 to 10</t>
        </is>
      </c>
      <c r="R1393" t="inlineStr">
        <is>
          <t>Micro</t>
        </is>
      </c>
      <c r="S1393" s="1" t="inlineStr">
        <is>
          <t>Business to Business, Business to Consumer, Business to Government, Business to Schools</t>
        </is>
      </c>
      <c r="T1393" s="1" t="inlineStr">
        <is>
          <t>Corporate Training</t>
        </is>
      </c>
      <c r="U1393" s="1" t="inlineStr">
        <is>
          <t>Teacher interfacing, Student interfacing, System/Administrative</t>
        </is>
      </c>
      <c r="V1393" s="1" t="n"/>
      <c r="W1393" s="1" t="inlineStr">
        <is>
          <t>https://drive.google.com/uc?export=view&amp;id=18GZqFcjfZQbp02K-gHONI5uHu8O_F2p2</t>
        </is>
      </c>
      <c r="X1393" s="1" t="inlineStr">
        <is>
          <t>https://drive.google.com/uc?export=view&amp;id=18GZqFcjfZQbp02K-gHONI5uHu8O_F2p2</t>
        </is>
      </c>
      <c r="Y1393" t="inlineStr">
        <is>
          <t>https://drive.google.com/uc?export=view&amp;id=18GZqFcjfZQbp02K-gHONI5uHu8O_F2p2</t>
        </is>
      </c>
      <c r="Z1393" s="1" t="inlineStr">
        <is>
          <t>https://drive.google.com/uc?export=view&amp;id=18GZqFcjfZQbp02K-gHONI5uHu8O_F2p2</t>
        </is>
      </c>
      <c r="AA1393" s="1" t="inlineStr">
        <is>
          <t>Unverified</t>
        </is>
      </c>
      <c r="AB1393" s="1" t="n"/>
      <c r="AC1393" s="1" t="n"/>
      <c r="AD1393" s="10" t="n"/>
      <c r="AE1393" s="1" t="n"/>
      <c r="AF1393" t="inlineStr">
        <is>
          <t>No</t>
        </is>
      </c>
    </row>
    <row r="1394" ht="12.5" customHeight="1">
      <c r="A1394" s="6" t="n">
        <v>45181</v>
      </c>
      <c r="B1394" s="1" t="inlineStr">
        <is>
          <t>ORG_1564</t>
        </is>
      </c>
      <c r="C1394" s="1" t="b">
        <v>1</v>
      </c>
      <c r="D1394" s="1" t="inlineStr">
        <is>
          <t>Finance Unlocked</t>
        </is>
      </c>
      <c r="E1394" s="10" t="inlineStr">
        <is>
          <t>https://financeunlocked.com/</t>
        </is>
      </c>
      <c r="F1394" t="inlineStr">
        <is>
          <t>financeunlocked.com</t>
        </is>
      </c>
      <c r="G1394" s="1" t="inlineStr">
        <is>
          <t>Finance Unlocked is the world’s first comprehensive, on-demand video-delivered learning platform built specifically for finance professionals - “Masterclass for finance”.</t>
        </is>
      </c>
      <c r="H1394" s="1" t="inlineStr">
        <is>
          <t>I'm not part of any EdTech association</t>
        </is>
      </c>
      <c r="I1394" s="1" t="n"/>
      <c r="J1394" s="1" t="inlineStr">
        <is>
          <t>Holborn,</t>
        </is>
      </c>
      <c r="K1394" t="inlineStr">
        <is>
          <t>London</t>
        </is>
      </c>
      <c r="L1394" t="inlineStr">
        <is>
          <t>London, United Kingdom</t>
        </is>
      </c>
      <c r="M1394" t="n">
        <v>51.5074456</v>
      </c>
      <c r="N1394" t="n">
        <v>-0.1277653</v>
      </c>
      <c r="O1394" s="1" t="inlineStr">
        <is>
          <t>United Kingdom</t>
        </is>
      </c>
      <c r="P1394"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1394" s="1" t="inlineStr">
        <is>
          <t>11 to 50</t>
        </is>
      </c>
      <c r="R1394" t="inlineStr">
        <is>
          <t>Small</t>
        </is>
      </c>
      <c r="S1394" s="1" t="inlineStr">
        <is>
          <t>Business to Business, Business to Consumer, Business to Government, Business to Schools</t>
        </is>
      </c>
      <c r="T1394" s="1" t="inlineStr">
        <is>
          <t>Higher Education, Corporate Training, Lifelong learning/Adult education</t>
        </is>
      </c>
      <c r="U1394" s="1" t="inlineStr">
        <is>
          <t>Student interfacing, System/Administrative</t>
        </is>
      </c>
      <c r="V1394" s="1" t="n"/>
      <c r="W1394" s="1" t="inlineStr">
        <is>
          <t>https://drive.google.com/uc?export=view&amp;id=1F40JV5OzRdvbu3jMoqGJqGOyF8tvr1dp</t>
        </is>
      </c>
      <c r="X1394" s="1" t="inlineStr">
        <is>
          <t>https://drive.google.com/uc?export=view&amp;id=1F40JV5OzRdvbu3jMoqGJqGOyF8tvr1dp</t>
        </is>
      </c>
      <c r="Y1394" t="inlineStr">
        <is>
          <t>https://drive.google.com/uc?export=view&amp;id=1F40JV5OzRdvbu3jMoqGJqGOyF8tvr1dp</t>
        </is>
      </c>
      <c r="Z1394" s="1" t="inlineStr">
        <is>
          <t>https://drive.google.com/uc?export=view&amp;id=1F40JV5OzRdvbu3jMoqGJqGOyF8tvr1dp</t>
        </is>
      </c>
      <c r="AA1394" s="1" t="inlineStr">
        <is>
          <t>Unverified</t>
        </is>
      </c>
      <c r="AB1394" s="1" t="n"/>
      <c r="AC1394" s="1" t="n"/>
      <c r="AD1394" s="10" t="n"/>
      <c r="AE1394" s="1" t="n"/>
      <c r="AF1394" t="inlineStr">
        <is>
          <t>No</t>
        </is>
      </c>
    </row>
    <row r="1395" ht="12.5" customHeight="1">
      <c r="A1395" s="6" t="n">
        <v>45181</v>
      </c>
      <c r="B1395" s="1" t="inlineStr">
        <is>
          <t>ORG_1617</t>
        </is>
      </c>
      <c r="C1395" s="1" t="b">
        <v>1</v>
      </c>
      <c r="D1395" s="1" t="inlineStr">
        <is>
          <t>GENYUS SCHOOL</t>
        </is>
      </c>
      <c r="E1395" s="10" t="inlineStr">
        <is>
          <t>http://genyusschool.com/</t>
        </is>
      </c>
      <c r="F1395" t="inlineStr">
        <is>
          <t>genyusschool.com</t>
        </is>
      </c>
      <c r="G1395" s="1" t="inlineStr">
        <is>
          <t>Genyus School, the entrepreuneurs kids &amp; teens School:
Innovative project focused on promoting entrepreneurship + soft skill development + technology + projects. 
The Magic Triangle learning methodology is based on:
1. The "Children's Entrepreneurship Program", developing their own projects based on their interests (sports, animals, technology, art, etc.)
2. Soft skills like: public speaking, teamwork, self-esteem, leadership, empathy and communication.
3. Learning by doing: dynamics, games, practices, challenges and activities.
Genyus School achieves an emotional link with the kids&amp;teens learning, becaming them in a proactive part of their own education.
The "learning by doing" methodology is driving the kids&amp;teens through the development of their own business projects based on their hobbies and concerns, while their soft skills are improving.
Education experiences are created in Genyus School</t>
        </is>
      </c>
      <c r="H1395" s="1" t="inlineStr">
        <is>
          <t>I'm not part of any EdTech association</t>
        </is>
      </c>
      <c r="I1395" s="1" t="inlineStr">
        <is>
          <t>Spanish, English</t>
        </is>
      </c>
      <c r="J1395" s="1" t="inlineStr">
        <is>
          <t>Gijón</t>
        </is>
      </c>
      <c r="K1395" t="inlineStr">
        <is>
          <t>Gijón</t>
        </is>
      </c>
      <c r="L1395" t="inlineStr">
        <is>
          <t>Gijón, Spain</t>
        </is>
      </c>
      <c r="M1395" t="n">
        <v>43.5449422</v>
      </c>
      <c r="N1395" t="n">
        <v>-5.66275</v>
      </c>
      <c r="O1395" s="1" t="inlineStr">
        <is>
          <t>Spain</t>
        </is>
      </c>
      <c r="P1395" s="1" t="inlineStr">
        <is>
          <t>Spain</t>
        </is>
      </c>
      <c r="Q1395" s="1" t="inlineStr">
        <is>
          <t>6 to 10</t>
        </is>
      </c>
      <c r="R1395" t="inlineStr">
        <is>
          <t>Micro</t>
        </is>
      </c>
      <c r="S1395" s="1" t="inlineStr">
        <is>
          <t>Business to Business, Business to Consumer, Business to Government, Business to Schools</t>
        </is>
      </c>
      <c r="T1395" s="1" t="inlineStr">
        <is>
          <t>Primary Education, Secondary Education</t>
        </is>
      </c>
      <c r="U1395" s="1" t="inlineStr">
        <is>
          <t>System/Administrative, Teacher interfacing</t>
        </is>
      </c>
      <c r="V1395" s="10" t="inlineStr">
        <is>
          <t>Future Minds Movement</t>
        </is>
      </c>
      <c r="W1395" s="10" t="inlineStr">
        <is>
          <t>Entrepreneurship week celebration with School, public institutions and companies.
EdEm Awards.
EdEm Fest.</t>
        </is>
      </c>
      <c r="X1395" s="10" t="inlineStr">
        <is>
          <t>Entrepreneurship and soft skills Program for children</t>
        </is>
      </c>
      <c r="Y1395" t="inlineStr">
        <is>
          <t>Entrepreneurship and soft skills Program for children teach them skills, through developing their own projects and learning by doing, for building their own life path.</t>
        </is>
      </c>
      <c r="Z1395" s="1" t="inlineStr">
        <is>
          <t>https://drive.google.com/uc?export=view&amp;id=1S3d3GBJlnaUutwUhf6Q_4jCXH0IlBkuI</t>
        </is>
      </c>
      <c r="AA1395" s="1" t="inlineStr">
        <is>
          <t>Unverified</t>
        </is>
      </c>
      <c r="AB1395" s="1" t="n"/>
      <c r="AC1395" s="1" t="n"/>
      <c r="AD1395" s="10" t="n"/>
      <c r="AE1395" s="1" t="n"/>
      <c r="AF1395" s="1" t="inlineStr">
        <is>
          <t>Yes</t>
        </is>
      </c>
      <c r="AG1395" s="1" t="inlineStr">
        <is>
          <t>https://www.instagram.com/genyusschool/</t>
        </is>
      </c>
      <c r="AH1395" s="1" t="inlineStr">
        <is>
          <t>https://twitter.com/GenyusSchool</t>
        </is>
      </c>
      <c r="AI1395" t="inlineStr">
        <is>
          <t>https://www.linkedin.com/company/genyusschool</t>
        </is>
      </c>
    </row>
    <row r="1396" ht="12.5" customHeight="1">
      <c r="A1396" s="6" t="n">
        <v>45181</v>
      </c>
      <c r="B1396" s="1" t="inlineStr">
        <is>
          <t>ORG_1634</t>
        </is>
      </c>
      <c r="C1396" s="1" t="b">
        <v>1</v>
      </c>
      <c r="D1396" s="1" t="inlineStr">
        <is>
          <t>GoMappED Limited</t>
        </is>
      </c>
      <c r="E1396" s="10" t="inlineStr">
        <is>
          <t>https://www.gomapped.com</t>
        </is>
      </c>
      <c r="F1396" t="inlineStr">
        <is>
          <t>gomapped.com</t>
        </is>
      </c>
      <c r="G1396" s="1" t="inlineStr">
        <is>
          <t>GoMappED Limited founded in Dublin, Ireland in 2017, provides Kells Class, an innovative live-video classroom with all-in-one learning management functions. 
It simulates the face-to-face classroom education environment with auto-generated study report for each student after each lesson. 
Schools, teachers, students and parents can easily understand the up-to-date individual students' performance inside and outside the online classroom anytime.</t>
        </is>
      </c>
      <c r="H1396" s="1" t="inlineStr">
        <is>
          <t>EdTech Ireland</t>
        </is>
      </c>
      <c r="I1396" s="1" t="inlineStr">
        <is>
          <t>English, Spanish</t>
        </is>
      </c>
      <c r="J1396" s="1" t="inlineStr">
        <is>
          <t>Dublin</t>
        </is>
      </c>
      <c r="K1396" t="inlineStr">
        <is>
          <t>Dublin</t>
        </is>
      </c>
      <c r="L1396" t="inlineStr">
        <is>
          <t>Dublin, Ireland</t>
        </is>
      </c>
      <c r="M1396" t="n">
        <v>53.3493795</v>
      </c>
      <c r="N1396" t="n">
        <v>-6.2605593</v>
      </c>
      <c r="O1396" s="1" t="inlineStr">
        <is>
          <t>Ireland</t>
        </is>
      </c>
      <c r="P1396" s="1" t="inlineStr">
        <is>
          <t>Ireland, Netherlands, Spain</t>
        </is>
      </c>
      <c r="Q1396" s="1" t="inlineStr">
        <is>
          <t>11 to 50</t>
        </is>
      </c>
      <c r="R1396" t="inlineStr">
        <is>
          <t>Small</t>
        </is>
      </c>
      <c r="S1396" s="1" t="inlineStr">
        <is>
          <t>Business to Business, Business to Consumer, Business to Schools</t>
        </is>
      </c>
      <c r="T1396" s="1" t="inlineStr">
        <is>
          <t>Primary Education, Secondary Education, Corporate Training, Lifelong learning/Adult education, Vocational Education and Training (VET), Higher Education</t>
        </is>
      </c>
      <c r="U1396" s="1" t="inlineStr">
        <is>
          <t>Student interfacing</t>
        </is>
      </c>
      <c r="V1396" s="1" t="inlineStr">
        <is>
          <t>Kells Class</t>
        </is>
      </c>
      <c r="W1396" s="10" t="inlineStr">
        <is>
          <t>Kells Class provides an unified and easy live video learning management system. Students can communicate with teachers at any time during and after the class, view course calendar, lesson materials, complete homework and view teachers' feedback, join online assessments, view each lesson's playback and study report, as well as practise their English proununciation with AI powered real-time feedback.
It covers every step for online learning, as well as significanly reduce and simplify the school administration works.</t>
        </is>
      </c>
      <c r="X1396" s="10" t="inlineStr">
        <is>
          <t>https://drive.google.com/uc?export=view&amp;id=1cT2mqK0gPXNkX816R_YXwDO7ElNoaB8W</t>
        </is>
      </c>
      <c r="Y1396" t="inlineStr">
        <is>
          <t>https://drive.google.com/uc?export=view&amp;id=1cT2mqK0gPXNkX816R_YXwDO7ElNoaB8W</t>
        </is>
      </c>
      <c r="Z1396" s="1" t="inlineStr">
        <is>
          <t>https://drive.google.com/uc?export=view&amp;id=1cT2mqK0gPXNkX816R_YXwDO7ElNoaB8W</t>
        </is>
      </c>
      <c r="AA1396" s="1" t="inlineStr">
        <is>
          <t>Unverified</t>
        </is>
      </c>
      <c r="AB1396" s="1" t="n"/>
      <c r="AC1396" s="1" t="n"/>
      <c r="AD1396" s="10" t="n"/>
      <c r="AE1396" s="1" t="n"/>
      <c r="AF1396" t="inlineStr">
        <is>
          <t>Yes</t>
        </is>
      </c>
      <c r="AG1396" t="inlineStr">
        <is>
          <t>https://twitter.com/GoMappED</t>
        </is>
      </c>
      <c r="AH1396" t="inlineStr">
        <is>
          <t>https://twitter.com/GoMappED</t>
        </is>
      </c>
      <c r="AI1396" t="inlineStr">
        <is>
          <t>https://ie.linkedin.com/company/gomappedlimited</t>
        </is>
      </c>
    </row>
    <row r="1397" ht="12.5" customHeight="1">
      <c r="A1397" s="6" t="n">
        <v>45181</v>
      </c>
      <c r="B1397" s="1" t="inlineStr">
        <is>
          <t>ORG_1652</t>
        </is>
      </c>
      <c r="C1397" s="1" t="b">
        <v>1</v>
      </c>
      <c r="D1397" s="1" t="inlineStr">
        <is>
          <t>Guilds42 APS</t>
        </is>
      </c>
      <c r="E1397" s="10" t="inlineStr">
        <is>
          <t>https://www.guilds42.com/</t>
        </is>
      </c>
      <c r="F1397" t="inlineStr">
        <is>
          <t>guilds42.com</t>
        </is>
      </c>
      <c r="G1397" s="1" t="inlineStr">
        <is>
          <t>Guilds42 is an online "Learn &amp; Hire" platform which bind together and federate Learning Objects, native and third party's content from external platforms through a framework that allows our frontend fruition of external content (APIs). The Platform tracks and monitor each user's learning experience and usage, collating data, performing and validating Certification tests even on behalf of external platforms such as Google, Hubspot, SAP, Salesforce, Kaggle etc, profiling and offering dashboards to users. A further layer of reinforced Learning are Project Works commissioned by paying SMEs. This layer provides further data, certifying and assigning scores &amp; ratings to each users performing; further Certifying and profiling skills (hard &amp; soft skills) to be added onto dashboards (and offering data to SMEs and recruiters in Premium subscription).</t>
        </is>
      </c>
      <c r="H1397" s="1" t="inlineStr">
        <is>
          <t>I'm not part of any EdTech association</t>
        </is>
      </c>
      <c r="I1397" s="1" t="n"/>
      <c r="J1397" s="1" t="inlineStr">
        <is>
          <t>Torino</t>
        </is>
      </c>
      <c r="K1397" t="inlineStr">
        <is>
          <t>Torino</t>
        </is>
      </c>
      <c r="L1397" t="inlineStr">
        <is>
          <t>Torino, Italy</t>
        </is>
      </c>
      <c r="M1397" t="n">
        <v>45.0677551</v>
      </c>
      <c r="N1397" t="n">
        <v>7.6824892</v>
      </c>
      <c r="O1397" s="1" t="inlineStr">
        <is>
          <t>Italy</t>
        </is>
      </c>
      <c r="P1397" s="1" t="inlineStr">
        <is>
          <t>Albania, Austria, Belgium, Bulgaria, Croatia, Cyprus, Czechia, Denmark, Estonia, Finland, France, Georgia, Germany, Hungary, Iceland, Ireland, Italy, Latvia, Liechtenstein, Lithuania, Malta, Netherlands, Norway, Poland, Portugal, Romania, Slovakia, Slovenia, Spain, Sweden, Switzerland, Turkey, Ukraine, United Kingdom</t>
        </is>
      </c>
      <c r="Q1397" s="1" t="inlineStr">
        <is>
          <t>0 to 10</t>
        </is>
      </c>
      <c r="R1397" t="inlineStr">
        <is>
          <t>Micro</t>
        </is>
      </c>
      <c r="S1397" s="1" t="inlineStr">
        <is>
          <t>Business to Business, Business to Government</t>
        </is>
      </c>
      <c r="T1397" s="1" t="inlineStr">
        <is>
          <t>Primary Education, Secondary Education, Higher Education, Corporate Training, Lifelong learning/Adult education</t>
        </is>
      </c>
      <c r="U1397" s="1" t="inlineStr">
        <is>
          <t>Student interfacing, System/Administrative</t>
        </is>
      </c>
      <c r="V1397" s="1" t="n"/>
      <c r="W1397" s="1" t="inlineStr">
        <is>
          <t>https://drive.google.com/uc?export=view&amp;id=1cyqxkHlMBWUyzpqaKUmxdfeUeU6O4Ina</t>
        </is>
      </c>
      <c r="X1397" s="1" t="inlineStr">
        <is>
          <t>https://drive.google.com/uc?export=view&amp;id=1cyqxkHlMBWUyzpqaKUmxdfeUeU6O4Ina</t>
        </is>
      </c>
      <c r="Y1397" t="inlineStr">
        <is>
          <t>https://drive.google.com/uc?export=view&amp;id=1cyqxkHlMBWUyzpqaKUmxdfeUeU6O4Ina</t>
        </is>
      </c>
      <c r="Z1397" s="1" t="inlineStr">
        <is>
          <t>https://drive.google.com/uc?export=view&amp;id=1cyqxkHlMBWUyzpqaKUmxdfeUeU6O4Ina</t>
        </is>
      </c>
      <c r="AA1397" s="1" t="inlineStr">
        <is>
          <t>Unverified</t>
        </is>
      </c>
      <c r="AB1397" s="1" t="n"/>
      <c r="AC1397" s="1" t="n"/>
      <c r="AD1397" s="10" t="n"/>
      <c r="AE1397" s="1" t="n"/>
      <c r="AF1397" t="inlineStr">
        <is>
          <t>No</t>
        </is>
      </c>
    </row>
    <row r="1398" ht="12.5" customHeight="1">
      <c r="A1398" s="6" t="n">
        <v>45181</v>
      </c>
      <c r="B1398" s="1" t="inlineStr">
        <is>
          <t>ORG_1681</t>
        </is>
      </c>
      <c r="C1398" s="1" t="b">
        <v>1</v>
      </c>
      <c r="D1398" s="1" t="inlineStr">
        <is>
          <t>Homologation Student Services</t>
        </is>
      </c>
      <c r="E1398" s="10" t="inlineStr">
        <is>
          <t>https://www.hostudents.com/</t>
        </is>
      </c>
      <c r="F1398" t="inlineStr">
        <is>
          <t>hostudents.com</t>
        </is>
      </c>
      <c r="G1398" s="1" t="inlineStr">
        <is>
          <t>We are a service company for students from all over the world who want to start or continue their university studies in Spain.
We are agents working with a network of universities, which allows us to guide you through all the steps in the enrollment process of any official degrees.
We´ll also help you with the legal requirements to access to the Spanish university system. We handle all legal burocracy so that you need not worry about any of these things.</t>
        </is>
      </c>
      <c r="H1398" s="1" t="inlineStr">
        <is>
          <t>I'm not part of any EdTech association</t>
        </is>
      </c>
      <c r="I1398" s="1" t="n"/>
      <c r="J1398" s="1" t="inlineStr">
        <is>
          <t>Pozuelo De Alarcon, Madrid</t>
        </is>
      </c>
      <c r="K1398" t="inlineStr">
        <is>
          <t>Pozuelo de Alarcon</t>
        </is>
      </c>
      <c r="L1398" t="inlineStr">
        <is>
          <t>Pozuelo de Alarcon, Spain</t>
        </is>
      </c>
      <c r="M1398" t="n">
        <v>40.4346528</v>
      </c>
      <c r="N1398" t="n">
        <v>-3.814834</v>
      </c>
      <c r="O1398" s="1" t="inlineStr">
        <is>
          <t>Spain</t>
        </is>
      </c>
      <c r="P1398"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398" s="1" t="inlineStr">
        <is>
          <t>0 to 10</t>
        </is>
      </c>
      <c r="R1398" t="inlineStr">
        <is>
          <t>Micro</t>
        </is>
      </c>
      <c r="S1398" s="1" t="inlineStr">
        <is>
          <t>Business to Business, Business to Government</t>
        </is>
      </c>
      <c r="T1398" s="1" t="inlineStr">
        <is>
          <t>Secondary Education, Higher Education</t>
        </is>
      </c>
      <c r="U1398" s="1" t="inlineStr">
        <is>
          <t>System/Administrative, Student interfacing</t>
        </is>
      </c>
      <c r="V1398" s="1" t="n"/>
      <c r="W1398" s="1" t="inlineStr">
        <is>
          <t>https://drive.google.com/uc?export=view&amp;id=1DkNYHB9dy5hUiUlafMB6E1OlEvbsaz7d</t>
        </is>
      </c>
      <c r="X1398" s="1" t="inlineStr">
        <is>
          <t>https://drive.google.com/uc?export=view&amp;id=1DkNYHB9dy5hUiUlafMB6E1OlEvbsaz7d</t>
        </is>
      </c>
      <c r="Y1398" t="inlineStr">
        <is>
          <t>https://drive.google.com/uc?export=view&amp;id=1DkNYHB9dy5hUiUlafMB6E1OlEvbsaz7d</t>
        </is>
      </c>
      <c r="Z1398" s="1" t="inlineStr">
        <is>
          <t>https://drive.google.com/uc?export=view&amp;id=1DkNYHB9dy5hUiUlafMB6E1OlEvbsaz7d</t>
        </is>
      </c>
      <c r="AA1398" s="1" t="inlineStr">
        <is>
          <t>Unverified</t>
        </is>
      </c>
      <c r="AB1398" s="1" t="n"/>
      <c r="AC1398" s="1" t="n"/>
      <c r="AD1398" s="10" t="n"/>
      <c r="AE1398" s="1" t="n"/>
      <c r="AF1398" t="inlineStr">
        <is>
          <t>No</t>
        </is>
      </c>
    </row>
    <row r="1399" ht="12.5" customHeight="1">
      <c r="A1399" s="6" t="n">
        <v>45181</v>
      </c>
      <c r="B1399" s="1" t="inlineStr">
        <is>
          <t>ORG_1717</t>
        </is>
      </c>
      <c r="C1399" s="1" t="b">
        <v>1</v>
      </c>
      <c r="D1399" s="1" t="inlineStr">
        <is>
          <t>Impact School</t>
        </is>
      </c>
      <c r="E1399" s="10" t="inlineStr">
        <is>
          <t>https://www.impactschool.org.ls</t>
        </is>
      </c>
      <c r="F1399" t="inlineStr">
        <is>
          <t>impactschool.org.ls</t>
        </is>
      </c>
      <c r="G1399" s="1" t="inlineStr">
        <is>
          <t>We are a non-profit tech school based in Maseru, Lesotho, with ur headquarters in Dublin, Ireland. Our educational goal is to provide students with useful knowledge that is highly appreciated by Lesotho and the global technology industry. We do so by using the latest tech curriculums, while addressing the shortage of skilled workers, the gender gap and inclusion and diversity in the tech industry.</t>
        </is>
      </c>
      <c r="H1399" s="1" t="inlineStr">
        <is>
          <t>I'm not part of any EdTech association</t>
        </is>
      </c>
      <c r="I1399" s="1" t="n"/>
      <c r="J1399" s="1" t="inlineStr">
        <is>
          <t>Dublin 1</t>
        </is>
      </c>
      <c r="K1399" t="inlineStr">
        <is>
          <t>Dublin</t>
        </is>
      </c>
      <c r="L1399" t="inlineStr">
        <is>
          <t>Dublin, Ireland</t>
        </is>
      </c>
      <c r="M1399" t="n">
        <v>53.3493795</v>
      </c>
      <c r="N1399" t="n">
        <v>-6.2605593</v>
      </c>
      <c r="O1399" s="1" t="inlineStr">
        <is>
          <t>Ireland</t>
        </is>
      </c>
      <c r="P1399" s="1" t="inlineStr">
        <is>
          <t>Ireland</t>
        </is>
      </c>
      <c r="Q1399" s="1" t="inlineStr">
        <is>
          <t>0 to 10</t>
        </is>
      </c>
      <c r="R1399" t="inlineStr">
        <is>
          <t>Micro</t>
        </is>
      </c>
      <c r="S1399" s="1" t="inlineStr">
        <is>
          <t>Business to Business, Business to Government, Business to Schools</t>
        </is>
      </c>
      <c r="T1399" s="1" t="inlineStr">
        <is>
          <t>Higher Education, Corporate Training</t>
        </is>
      </c>
      <c r="U1399" s="1" t="inlineStr">
        <is>
          <t>System/Administrative, Student interfacing, Teacher interfacing</t>
        </is>
      </c>
      <c r="V1399" s="1" t="n"/>
      <c r="W1399" s="1" t="inlineStr">
        <is>
          <t>https://drive.google.com/uc?export=view&amp;id=18g_v4eJjlefBjRhSqKW_KekZ8KL-hBCN</t>
        </is>
      </c>
      <c r="X1399" s="1" t="inlineStr">
        <is>
          <t>https://drive.google.com/uc?export=view&amp;id=18g_v4eJjlefBjRhSqKW_KekZ8KL-hBCN</t>
        </is>
      </c>
      <c r="Y1399" t="inlineStr">
        <is>
          <t>https://drive.google.com/uc?export=view&amp;id=18g_v4eJjlefBjRhSqKW_KekZ8KL-hBCN</t>
        </is>
      </c>
      <c r="Z1399" s="1" t="inlineStr">
        <is>
          <t>https://drive.google.com/uc?export=view&amp;id=18g_v4eJjlefBjRhSqKW_KekZ8KL-hBCN</t>
        </is>
      </c>
      <c r="AA1399" s="1" t="inlineStr">
        <is>
          <t>Unverified</t>
        </is>
      </c>
      <c r="AB1399" s="1" t="n"/>
      <c r="AC1399" s="1" t="n"/>
      <c r="AD1399" s="10" t="n"/>
      <c r="AE1399" s="1" t="n"/>
      <c r="AF1399" s="1" t="inlineStr">
        <is>
          <t>No</t>
        </is>
      </c>
      <c r="AG1399" s="1" t="n"/>
      <c r="AH1399" s="1" t="n"/>
      <c r="AI1399" s="1" t="n"/>
      <c r="AJ1399" s="1" t="n"/>
    </row>
    <row r="1400" ht="12.5" customHeight="1">
      <c r="A1400" s="6" t="n">
        <v>45181</v>
      </c>
      <c r="B1400" s="1" t="inlineStr">
        <is>
          <t>ORG_1773</t>
        </is>
      </c>
      <c r="C1400" s="1" t="b">
        <v>1</v>
      </c>
      <c r="D1400" s="1" t="inlineStr">
        <is>
          <t>Kimple</t>
        </is>
      </c>
      <c r="E1400" s="10" t="inlineStr">
        <is>
          <t>https://www.edukimple.com/</t>
        </is>
      </c>
      <c r="F1400" t="inlineStr">
        <is>
          <t>edukimple.com</t>
        </is>
      </c>
      <c r="G1400" s="1" t="inlineStr">
        <is>
          <t>The platform for teachers with topical projects that promote essential knowledge and skill learning for today. A digital environment for teachers with bilingüal class suggestions and teacher support on emerging issues that help bringing today's challenges closer to the classroom.
Diversity, environment, digitalisation, information verification, globalisation, equality and other social, political, environmental or economic challenges are just some of the topics Kimple addresses.</t>
        </is>
      </c>
      <c r="H1400" s="1" t="inlineStr">
        <is>
          <t>SEK Lab, SuperCharger Ventures</t>
        </is>
      </c>
      <c r="I1400" s="1" t="n"/>
      <c r="J1400" s="1" t="inlineStr">
        <is>
          <t>Madrid</t>
        </is>
      </c>
      <c r="K1400" t="inlineStr">
        <is>
          <t>Madrid</t>
        </is>
      </c>
      <c r="L1400" t="inlineStr">
        <is>
          <t>Madrid, Spain</t>
        </is>
      </c>
      <c r="M1400" t="n">
        <v>40.416782</v>
      </c>
      <c r="N1400" t="n">
        <v>-3.703507</v>
      </c>
      <c r="O1400" s="1" t="inlineStr">
        <is>
          <t>Spain</t>
        </is>
      </c>
      <c r="P1400" s="1" t="inlineStr">
        <is>
          <t>Spain</t>
        </is>
      </c>
      <c r="Q1400" s="1" t="inlineStr">
        <is>
          <t>0 to 10</t>
        </is>
      </c>
      <c r="R1400" t="inlineStr">
        <is>
          <t>Micro</t>
        </is>
      </c>
      <c r="S1400" s="1" t="inlineStr">
        <is>
          <t>Business to Business, Business to Government, Business to Schools</t>
        </is>
      </c>
      <c r="T1400" s="1" t="inlineStr">
        <is>
          <t>Primary Education, Secondary Education</t>
        </is>
      </c>
      <c r="U1400" s="1" t="inlineStr">
        <is>
          <t>Teacher interfacing</t>
        </is>
      </c>
      <c r="V1400" s="1" t="inlineStr">
        <is>
          <t>Kimple</t>
        </is>
      </c>
      <c r="W1400" s="1" t="inlineStr">
        <is>
          <t>The platform for teachers with topical projects that promote essential knowledge and skill learning for today.</t>
        </is>
      </c>
      <c r="X1400" s="10" t="inlineStr">
        <is>
          <t>https://drive.google.com/uc?export=view&amp;id=1GXpKDGRSJkHyaIrRrK6hayOpeVcWiAzT</t>
        </is>
      </c>
      <c r="Y1400" t="inlineStr">
        <is>
          <t>https://drive.google.com/uc?export=view&amp;id=1GXpKDGRSJkHyaIrRrK6hayOpeVcWiAzT</t>
        </is>
      </c>
      <c r="Z1400" s="1" t="inlineStr">
        <is>
          <t>https://drive.google.com/uc?export=view&amp;id=1GXpKDGRSJkHyaIrRrK6hayOpeVcWiAzT</t>
        </is>
      </c>
      <c r="AA1400" s="1" t="inlineStr">
        <is>
          <t>Unverified</t>
        </is>
      </c>
      <c r="AB1400" s="1" t="n"/>
      <c r="AC1400" s="1" t="n"/>
      <c r="AD1400" s="10" t="n"/>
      <c r="AE1400" s="1" t="n"/>
      <c r="AF1400" t="inlineStr">
        <is>
          <t>Yes</t>
        </is>
      </c>
      <c r="AG1400" t="inlineStr">
        <is>
          <t>@edukimple</t>
        </is>
      </c>
      <c r="AH1400" t="inlineStr">
        <is>
          <t>@EduKimple</t>
        </is>
      </c>
      <c r="AI1400" t="inlineStr">
        <is>
          <t>https://www.linkedin.com/company/kimple-education</t>
        </is>
      </c>
    </row>
    <row r="1401" ht="12.5" customHeight="1">
      <c r="A1401" s="6" t="n">
        <v>45181</v>
      </c>
      <c r="B1401" s="1" t="inlineStr">
        <is>
          <t>ORG_1842</t>
        </is>
      </c>
      <c r="C1401" s="1" t="b">
        <v>1</v>
      </c>
      <c r="D1401" s="1" t="inlineStr">
        <is>
          <t>Learnster</t>
        </is>
      </c>
      <c r="E1401" s="10" t="inlineStr">
        <is>
          <t>http://www.learnster.com/?utm_source=european_edtech_map&amp;utm_medium=banner&amp;utm_campaign=profile</t>
        </is>
      </c>
      <c r="F1401" t="inlineStr">
        <is>
          <t>learnster.com/?utm_source=european_edtech_map&amp;utm_medium=banner&amp;utm_campaign=profile</t>
        </is>
      </c>
      <c r="G1401" s="1" t="inlineStr">
        <is>
          <t>Learnster develops the LMS of tomorrow for growing organizations aspiring to achieve maximum learning in minimum time.
Learnster’s cutting-edge technology creates new ways of communicating and sharing information with the entire organization.
Involve subject matter experts in creating everything from micro learnings and single courses, to onboarding schemes and dynamic training programs. Share with employees, customers and partners.</t>
        </is>
      </c>
      <c r="H1401" s="1" t="inlineStr">
        <is>
          <t>I'm not part of any EdTech association</t>
        </is>
      </c>
      <c r="I1401" s="1" t="n"/>
      <c r="J1401" s="1" t="inlineStr">
        <is>
          <t>Stockholm</t>
        </is>
      </c>
      <c r="K1401" t="inlineStr">
        <is>
          <t>Stockholm</t>
        </is>
      </c>
      <c r="L1401" t="inlineStr">
        <is>
          <t>Stockholm, Sweden</t>
        </is>
      </c>
      <c r="M1401" t="n">
        <v>59.3251172</v>
      </c>
      <c r="N1401" t="n">
        <v>18.0710935</v>
      </c>
      <c r="O1401" s="1" t="inlineStr">
        <is>
          <t>Sweden</t>
        </is>
      </c>
      <c r="P1401" s="1" t="inlineStr">
        <is>
          <t>Germany, Norway, Sweden</t>
        </is>
      </c>
      <c r="Q1401" s="1" t="inlineStr">
        <is>
          <t>11 to 50</t>
        </is>
      </c>
      <c r="R1401" t="inlineStr">
        <is>
          <t>Small</t>
        </is>
      </c>
      <c r="S1401" s="1" t="inlineStr">
        <is>
          <t>Business to Business, Business to Government, Business to Schools</t>
        </is>
      </c>
      <c r="T1401" s="1" t="inlineStr">
        <is>
          <t>Corporate Training, Lifelong learning/Adult education</t>
        </is>
      </c>
      <c r="U1401" s="1" t="inlineStr">
        <is>
          <t>System/Administrative</t>
        </is>
      </c>
      <c r="V1401" s="1" t="n"/>
      <c r="W1401" s="1" t="inlineStr">
        <is>
          <t>https://drive.google.com/uc?export=view&amp;id=1iEqsTf-0-k7DNzKuGL1jnSTTIGG7RMZ7</t>
        </is>
      </c>
      <c r="X1401" s="1" t="inlineStr">
        <is>
          <t>https://drive.google.com/uc?export=view&amp;id=1iEqsTf-0-k7DNzKuGL1jnSTTIGG7RMZ7</t>
        </is>
      </c>
      <c r="Y1401" t="inlineStr">
        <is>
          <t>https://drive.google.com/uc?export=view&amp;id=1iEqsTf-0-k7DNzKuGL1jnSTTIGG7RMZ7</t>
        </is>
      </c>
      <c r="Z1401" s="1" t="inlineStr">
        <is>
          <t>https://drive.google.com/uc?export=view&amp;id=1iEqsTf-0-k7DNzKuGL1jnSTTIGG7RMZ7</t>
        </is>
      </c>
      <c r="AA1401" s="1" t="inlineStr">
        <is>
          <t>Unverified</t>
        </is>
      </c>
      <c r="AB1401" s="1" t="n"/>
      <c r="AC1401" s="1" t="n"/>
      <c r="AD1401" s="10" t="n"/>
      <c r="AE1401" s="1" t="n"/>
      <c r="AF1401" t="inlineStr">
        <is>
          <t>No</t>
        </is>
      </c>
    </row>
    <row r="1402" ht="12.5" customHeight="1">
      <c r="A1402" s="6" t="n">
        <v>45181</v>
      </c>
      <c r="B1402" s="1" t="inlineStr">
        <is>
          <t>ORG_1910</t>
        </is>
      </c>
      <c r="C1402" s="1" t="b">
        <v>1</v>
      </c>
      <c r="D1402" s="1" t="inlineStr">
        <is>
          <t>Maker's Red Box</t>
        </is>
      </c>
      <c r="E1402" s="10" t="inlineStr">
        <is>
          <t>www.makersredbox.com</t>
        </is>
      </c>
      <c r="F1402" t="inlineStr">
        <is>
          <t>makersredbox.com</t>
        </is>
      </c>
      <c r="G1402" s="1" t="inlineStr">
        <is>
          <t>Maker’s Red Box offers a series of story-driven, STEAM-focused teaching materials that engage students in building transferable soft and hard skills, finding their passion and reaching their potential.
Maker education prepares today’s youth for the challenges of the future. It’s a movement, a methodology, a mindset and a community all at once that blends hard and soft skills development with a design focus.</t>
        </is>
      </c>
      <c r="H1402" s="1" t="inlineStr">
        <is>
          <t>I'm not part of any EdTech association</t>
        </is>
      </c>
      <c r="I1402" s="1" t="n"/>
      <c r="J1402" s="1" t="inlineStr">
        <is>
          <t>Budapest</t>
        </is>
      </c>
      <c r="K1402" t="inlineStr">
        <is>
          <t>Budapest</t>
        </is>
      </c>
      <c r="L1402" t="inlineStr">
        <is>
          <t>Budapest, Hungary</t>
        </is>
      </c>
      <c r="M1402" t="n">
        <v>47.481849</v>
      </c>
      <c r="N1402" t="n">
        <v>19.1449053</v>
      </c>
      <c r="O1402" s="1" t="inlineStr">
        <is>
          <t>Hungary</t>
        </is>
      </c>
      <c r="P1402" s="1" t="inlineStr">
        <is>
          <t>Albania, Armenia, Austria, Azerbaijan, Belgium, Bosnia and Herzegovina, Bulgaria, Croatia, Cyprus, Czechia, Denmark, Estonia, Finland, France, Georgia, Germany, Greece, Hungary, Iceland, Ireland, Italy, Kazakhstan, Latvia, Liechtenstein, Lithuania, Luxembourg, Malta, Netherlands, North Macedonia, Norway, Poland, Portugal, Romania, Serbia, Slovakia, Slovenia, Spain, Sweden, Switzerland, Turkey, Ukraine, United Kingdom</t>
        </is>
      </c>
      <c r="Q1402" s="1" t="inlineStr">
        <is>
          <t>11 to 50</t>
        </is>
      </c>
      <c r="R1402" t="inlineStr">
        <is>
          <t>Small</t>
        </is>
      </c>
      <c r="S1402" s="1" t="inlineStr">
        <is>
          <t>Business to Business, Business to Government, Business to Schools</t>
        </is>
      </c>
      <c r="T1402" s="1" t="inlineStr">
        <is>
          <t>Primary Education, Secondary Education</t>
        </is>
      </c>
      <c r="U1402" s="1" t="inlineStr">
        <is>
          <t>Teacher interfacing</t>
        </is>
      </c>
      <c r="V1402" s="1" t="n"/>
      <c r="W1402" s="1" t="n"/>
      <c r="X1402" s="1" t="n"/>
      <c r="Z1402" s="1" t="n"/>
      <c r="AA1402" s="1" t="inlineStr">
        <is>
          <t>Unverified</t>
        </is>
      </c>
      <c r="AB1402" s="1" t="n"/>
      <c r="AC1402" s="1" t="n"/>
      <c r="AD1402" s="1" t="n"/>
      <c r="AE1402" s="1" t="n"/>
      <c r="AF1402" t="inlineStr">
        <is>
          <t>No</t>
        </is>
      </c>
    </row>
    <row r="1403" ht="12.5" customHeight="1">
      <c r="A1403" s="6" t="n">
        <v>45181</v>
      </c>
      <c r="B1403" s="1" t="inlineStr">
        <is>
          <t>ORG_2011</t>
        </is>
      </c>
      <c r="C1403" s="1" t="b">
        <v>1</v>
      </c>
      <c r="D1403" s="1" t="inlineStr">
        <is>
          <t>MySnapshot</t>
        </is>
      </c>
      <c r="E1403" s="10" t="inlineStr">
        <is>
          <t>www.mysnapshot.co</t>
        </is>
      </c>
      <c r="F1403" t="inlineStr">
        <is>
          <t>mysnapshot.co</t>
        </is>
      </c>
      <c r="G1403" s="1" t="inlineStr">
        <is>
          <t>MySnapshot is a methodology and assessment tool built for the end-to-end process of transformation in adult education.</t>
        </is>
      </c>
      <c r="H1403" s="1" t="inlineStr">
        <is>
          <t>I'm not part of any EdTech association</t>
        </is>
      </c>
      <c r="I1403" s="1" t="n"/>
      <c r="J1403" s="1" t="inlineStr">
        <is>
          <t>London</t>
        </is>
      </c>
      <c r="K1403" t="inlineStr">
        <is>
          <t>London</t>
        </is>
      </c>
      <c r="L1403" t="inlineStr">
        <is>
          <t>London, United Kingdom</t>
        </is>
      </c>
      <c r="M1403" t="n">
        <v>51.5074456</v>
      </c>
      <c r="N1403" t="n">
        <v>-0.1277653</v>
      </c>
      <c r="O1403" s="1" t="inlineStr">
        <is>
          <t>United Kingdom</t>
        </is>
      </c>
      <c r="P1403" s="1" t="inlineStr">
        <is>
          <t>Germany, Spain, United Kingdom</t>
        </is>
      </c>
      <c r="Q1403" s="1" t="inlineStr">
        <is>
          <t>0 to 10</t>
        </is>
      </c>
      <c r="R1403" t="inlineStr">
        <is>
          <t>Micro</t>
        </is>
      </c>
      <c r="S1403" s="1" t="inlineStr">
        <is>
          <t>Business to Business, Business to Schools</t>
        </is>
      </c>
      <c r="T1403" s="1" t="inlineStr">
        <is>
          <t>Corporate Training, Lifelong learning/Adult education</t>
        </is>
      </c>
      <c r="U1403" s="1" t="inlineStr">
        <is>
          <t>Teacher interfacing, System/Administrative</t>
        </is>
      </c>
      <c r="V1403" s="1" t="n"/>
      <c r="W1403" s="1" t="n"/>
      <c r="X1403" s="1" t="n"/>
      <c r="Z1403" s="1" t="n"/>
      <c r="AA1403" s="1" t="inlineStr">
        <is>
          <t>Unverified</t>
        </is>
      </c>
      <c r="AB1403" s="1" t="n"/>
      <c r="AC1403" s="1" t="n"/>
      <c r="AD1403" s="1" t="n"/>
      <c r="AE1403" s="1" t="n"/>
      <c r="AF1403" t="inlineStr">
        <is>
          <t>No</t>
        </is>
      </c>
    </row>
    <row r="1404" ht="12.5" customHeight="1">
      <c r="A1404" s="6" t="n">
        <v>45181</v>
      </c>
      <c r="B1404" s="1" t="inlineStr">
        <is>
          <t>ORG_2023</t>
        </is>
      </c>
      <c r="C1404" s="1" t="b">
        <v>1</v>
      </c>
      <c r="D1404" s="10" t="inlineStr">
        <is>
          <t>Nauczeni.pl</t>
        </is>
      </c>
      <c r="E1404" s="10" t="inlineStr">
        <is>
          <t>https://www.nauczeni.pl/</t>
        </is>
      </c>
      <c r="F1404" t="inlineStr">
        <is>
          <t>nauczeni.pl</t>
        </is>
      </c>
      <c r="G1404" s="1" t="inlineStr">
        <is>
          <t>Nauczeni.pl is a fully end-to-end platform for out of school education. It gives the teacher a suite of tools that take care of all the organizational issues related to teaching (calendar, accounting, mass payments, virtual classroom etc.) and let them focus fully on teaching. Students can access individual, group and fast on-demand 20-minute tutoring via the platform.</t>
        </is>
      </c>
      <c r="H1404" s="1" t="inlineStr">
        <is>
          <t>I'm not part of any EdTech association</t>
        </is>
      </c>
      <c r="I1404" s="1" t="n"/>
      <c r="J1404" s="1" t="inlineStr">
        <is>
          <t>Warsaw</t>
        </is>
      </c>
      <c r="K1404" t="inlineStr">
        <is>
          <t>Warsaw</t>
        </is>
      </c>
      <c r="L1404" t="inlineStr">
        <is>
          <t>Warsaw, Poland</t>
        </is>
      </c>
      <c r="M1404" t="n">
        <v>52.2319581</v>
      </c>
      <c r="N1404" t="n">
        <v>21.0067249</v>
      </c>
      <c r="O1404" s="1" t="inlineStr">
        <is>
          <t>Poland</t>
        </is>
      </c>
      <c r="P1404" s="1" t="inlineStr">
        <is>
          <t>Poland</t>
        </is>
      </c>
      <c r="Q1404" s="1" t="inlineStr">
        <is>
          <t>0 to 10</t>
        </is>
      </c>
      <c r="R1404" t="inlineStr">
        <is>
          <t>Micro</t>
        </is>
      </c>
      <c r="S1404" s="1" t="inlineStr">
        <is>
          <t>Business to Business, Business to Schools</t>
        </is>
      </c>
      <c r="T1404" s="1" t="inlineStr">
        <is>
          <t>Primary Education, Secondary Education</t>
        </is>
      </c>
      <c r="U1404" s="1" t="inlineStr">
        <is>
          <t>System/Administrative, Student interfacing, Teacher interfacing</t>
        </is>
      </c>
      <c r="V1404" s="1" t="n"/>
      <c r="W1404" s="1" t="inlineStr">
        <is>
          <t>https://drive.google.com/uc?export=view&amp;id=1vJPvZ3q_jaKPCrSbJTtg49byxy8I9rQa</t>
        </is>
      </c>
      <c r="X1404" s="1" t="inlineStr">
        <is>
          <t>https://drive.google.com/uc?export=view&amp;id=1vJPvZ3q_jaKPCrSbJTtg49byxy8I9rQa</t>
        </is>
      </c>
      <c r="Y1404" t="inlineStr">
        <is>
          <t>https://drive.google.com/uc?export=view&amp;id=1vJPvZ3q_jaKPCrSbJTtg49byxy8I9rQa</t>
        </is>
      </c>
      <c r="Z1404" s="1" t="inlineStr">
        <is>
          <t>https://drive.google.com/uc?export=view&amp;id=1vJPvZ3q_jaKPCrSbJTtg49byxy8I9rQa</t>
        </is>
      </c>
      <c r="AA1404" s="1" t="inlineStr">
        <is>
          <t>Unverified</t>
        </is>
      </c>
      <c r="AB1404" s="1" t="n"/>
      <c r="AC1404" s="1" t="n"/>
      <c r="AD1404" s="10" t="n"/>
      <c r="AE1404" s="1" t="n"/>
      <c r="AF1404" t="inlineStr">
        <is>
          <t>No</t>
        </is>
      </c>
    </row>
    <row r="1405" ht="12.5" customHeight="1">
      <c r="A1405" s="6" t="n">
        <v>45181</v>
      </c>
      <c r="B1405" s="1" t="inlineStr">
        <is>
          <t>ORG_2024</t>
        </is>
      </c>
      <c r="C1405" s="1" t="b">
        <v>1</v>
      </c>
      <c r="D1405" s="1" t="inlineStr">
        <is>
          <t>NE</t>
        </is>
      </c>
      <c r="E1405" s="10" t="inlineStr">
        <is>
          <t>www.ne.se</t>
        </is>
      </c>
      <c r="F1405" t="inlineStr">
        <is>
          <t>ne.se</t>
        </is>
      </c>
      <c r="G1405" s="1" t="inlineStr">
        <is>
          <t>NE is a leading Edtech company that has provided reliable knowledge for over 35 years. In a world where truth is becoming increasingly subjective, we want to provide an objective foundation and make knowledge accessible and engaging for everyone. At the core of our offering stands the Swedish National Encyclopedia, surrounded by other online services such as educational film, fact bases, dictionaries. We have also emerged as the leading Swedish supplier of teaching aids. Today NE is the learning curriculum platform for more than 350.000 students and teachers across Sweden, with a full array of K-9 teaching aids and many for 10-12.</t>
        </is>
      </c>
      <c r="H1405" s="1" t="inlineStr">
        <is>
          <t>I'm not part of any EdTech association</t>
        </is>
      </c>
      <c r="I1405" s="1" t="n"/>
      <c r="J1405" s="1" t="inlineStr">
        <is>
          <t>Malmö</t>
        </is>
      </c>
      <c r="K1405" t="inlineStr">
        <is>
          <t>Malmö</t>
        </is>
      </c>
      <c r="L1405" t="inlineStr">
        <is>
          <t>Malmö, Sweden</t>
        </is>
      </c>
      <c r="M1405" t="n">
        <v>55.6052931</v>
      </c>
      <c r="N1405" t="n">
        <v>13.0001566</v>
      </c>
      <c r="O1405" s="1" t="inlineStr">
        <is>
          <t>Sweden</t>
        </is>
      </c>
      <c r="P1405" s="1" t="inlineStr">
        <is>
          <t>Sweden</t>
        </is>
      </c>
      <c r="Q1405" s="1" t="inlineStr">
        <is>
          <t>51 to 100</t>
        </is>
      </c>
      <c r="R1405" t="inlineStr">
        <is>
          <t>Medium</t>
        </is>
      </c>
      <c r="S1405" s="1" t="inlineStr">
        <is>
          <t>Business to Business, Business to Schools</t>
        </is>
      </c>
      <c r="T1405" s="1" t="inlineStr">
        <is>
          <t>Early childhood development (0-5 years), Primary Education, Secondary Education, Higher Education, Lifelong learning/Adult education</t>
        </is>
      </c>
      <c r="U1405" s="1" t="inlineStr">
        <is>
          <t>System/Administrative, Student interfacing, Teacher interfacing</t>
        </is>
      </c>
      <c r="V1405" s="1" t="n"/>
      <c r="W1405" s="1" t="inlineStr">
        <is>
          <t>https://drive.google.com/uc?export=view&amp;id=1yU1VBj0VTtBKOCyTkSG_LEq3TlJVz2z6</t>
        </is>
      </c>
      <c r="X1405" s="1" t="inlineStr">
        <is>
          <t>https://drive.google.com/uc?export=view&amp;id=1yU1VBj0VTtBKOCyTkSG_LEq3TlJVz2z6</t>
        </is>
      </c>
      <c r="Y1405" t="inlineStr">
        <is>
          <t>https://drive.google.com/uc?export=view&amp;id=1yU1VBj0VTtBKOCyTkSG_LEq3TlJVz2z6</t>
        </is>
      </c>
      <c r="Z1405" s="1" t="inlineStr">
        <is>
          <t>https://drive.google.com/uc?export=view&amp;id=1yU1VBj0VTtBKOCyTkSG_LEq3TlJVz2z6</t>
        </is>
      </c>
      <c r="AA1405" s="1" t="inlineStr">
        <is>
          <t>Unverified</t>
        </is>
      </c>
      <c r="AB1405" s="1" t="n"/>
      <c r="AC1405" s="1" t="n"/>
      <c r="AD1405" s="10" t="n"/>
      <c r="AE1405" s="1" t="n"/>
      <c r="AF1405" t="inlineStr">
        <is>
          <t>No</t>
        </is>
      </c>
    </row>
    <row r="1406" ht="12.5" customHeight="1">
      <c r="A1406" s="6" t="n">
        <v>45181</v>
      </c>
      <c r="B1406" s="1" t="inlineStr">
        <is>
          <t>ORG_2025</t>
        </is>
      </c>
      <c r="C1406" s="1" t="b">
        <v>1</v>
      </c>
      <c r="D1406" s="1" t="inlineStr">
        <is>
          <t>neddux</t>
        </is>
      </c>
      <c r="E1406" s="10" t="inlineStr">
        <is>
          <t>www.neddux.com</t>
        </is>
      </c>
      <c r="F1406" t="inlineStr">
        <is>
          <t>neddux.com</t>
        </is>
      </c>
      <c r="G1406" s="1" t="inlineStr">
        <is>
          <t>We make movies to transform learning into an inmersive, impacting and engaging experience.</t>
        </is>
      </c>
      <c r="H1406" s="1" t="inlineStr">
        <is>
          <t>I'm not part of any EdTech association</t>
        </is>
      </c>
      <c r="I1406" s="1" t="n"/>
      <c r="J1406" s="1" t="inlineStr">
        <is>
          <t>Madrid</t>
        </is>
      </c>
      <c r="K1406" t="inlineStr">
        <is>
          <t>Madrid</t>
        </is>
      </c>
      <c r="L1406" t="inlineStr">
        <is>
          <t>Madrid, Spain</t>
        </is>
      </c>
      <c r="M1406" t="n">
        <v>40.416782</v>
      </c>
      <c r="N1406" t="n">
        <v>-3.703507</v>
      </c>
      <c r="O1406" s="1" t="inlineStr">
        <is>
          <t>Spain</t>
        </is>
      </c>
      <c r="P1406" s="1" t="inlineStr">
        <is>
          <t>Spain</t>
        </is>
      </c>
      <c r="Q1406" s="1" t="inlineStr">
        <is>
          <t>0 to 10</t>
        </is>
      </c>
      <c r="R1406" t="inlineStr">
        <is>
          <t>Micro</t>
        </is>
      </c>
      <c r="S1406" s="1" t="inlineStr">
        <is>
          <t>Business to Consumer</t>
        </is>
      </c>
      <c r="T1406" s="1" t="inlineStr">
        <is>
          <t>Higher Education, Corporate Training, Lifelong learning/Adult education</t>
        </is>
      </c>
      <c r="U1406" s="1" t="inlineStr">
        <is>
          <t>Student interfacing, System/Administrative</t>
        </is>
      </c>
      <c r="V1406" s="1" t="n"/>
      <c r="W1406" s="1" t="inlineStr">
        <is>
          <t>https://drive.google.com/uc?export=view&amp;id=1uIwIYtLckEWZOje3PQgPJ9-oi3u_452y</t>
        </is>
      </c>
      <c r="X1406" s="1" t="inlineStr">
        <is>
          <t>https://drive.google.com/uc?export=view&amp;id=1uIwIYtLckEWZOje3PQgPJ9-oi3u_452y</t>
        </is>
      </c>
      <c r="Y1406" t="inlineStr">
        <is>
          <t>https://drive.google.com/uc?export=view&amp;id=1uIwIYtLckEWZOje3PQgPJ9-oi3u_452y</t>
        </is>
      </c>
      <c r="Z1406" s="1" t="inlineStr">
        <is>
          <t>https://drive.google.com/uc?export=view&amp;id=1uIwIYtLckEWZOje3PQgPJ9-oi3u_452y</t>
        </is>
      </c>
      <c r="AA1406" s="1" t="inlineStr">
        <is>
          <t>Unverified</t>
        </is>
      </c>
      <c r="AB1406" s="1" t="n"/>
      <c r="AC1406" s="1" t="n"/>
      <c r="AD1406" s="10" t="n"/>
      <c r="AE1406" s="1" t="n"/>
      <c r="AF1406" s="1" t="inlineStr">
        <is>
          <t>No</t>
        </is>
      </c>
      <c r="AG1406" s="1" t="n"/>
      <c r="AH1406" s="1" t="n"/>
    </row>
    <row r="1407" ht="12.5" customHeight="1">
      <c r="A1407" s="6" t="n">
        <v>45181</v>
      </c>
      <c r="B1407" s="1" t="inlineStr">
        <is>
          <t>ORG_2133</t>
        </is>
      </c>
      <c r="C1407" s="1" t="b">
        <v>1</v>
      </c>
      <c r="D1407" s="1" t="inlineStr">
        <is>
          <t>PROYECTO A</t>
        </is>
      </c>
      <c r="E1407" s="10" t="inlineStr">
        <is>
          <t>www.proyectoa.es</t>
        </is>
      </c>
      <c r="F1407" t="inlineStr">
        <is>
          <t>proyectoa.es</t>
        </is>
      </c>
      <c r="G1407" s="1" t="inlineStr">
        <is>
          <t>PROYECTO A is an edtech startup whose mission is to promote STEAM vocations. We develop educational resources for schools and individuals. We offer products and services adapted to the needs of each client.
We have created a series of products to facilitate learning: all-in-one educational robotics kits for young people from 12 years old. We also have a wide catalog of face-to-face and online technological courses on programming, 3D design, animations, electronics, video games, etc. We use augmented reality as a learning tool, implementing educational innovation.
We have our own teaching methodology based on resilience and errors as the basis of learning, not as failures. We use recycled and recyclable materials in all of our physical products.</t>
        </is>
      </c>
      <c r="H1407" s="1" t="inlineStr">
        <is>
          <t>I'm not part of any EdTech association</t>
        </is>
      </c>
      <c r="I1407" s="1" t="n"/>
      <c r="J1407" s="1" t="inlineStr">
        <is>
          <t>Valencia</t>
        </is>
      </c>
      <c r="K1407" t="inlineStr">
        <is>
          <t>Valencia</t>
        </is>
      </c>
      <c r="L1407" t="inlineStr">
        <is>
          <t>Valencia, Spain</t>
        </is>
      </c>
      <c r="M1407" t="n">
        <v>39.6819591</v>
      </c>
      <c r="N1407" t="n">
        <v>-0.7654406</v>
      </c>
      <c r="O1407" s="1" t="inlineStr">
        <is>
          <t>Spain</t>
        </is>
      </c>
      <c r="P1407" s="1" t="inlineStr">
        <is>
          <t>Italy, Spain</t>
        </is>
      </c>
      <c r="Q1407" s="1" t="inlineStr">
        <is>
          <t>0 to 10</t>
        </is>
      </c>
      <c r="R1407" t="inlineStr">
        <is>
          <t>Micro</t>
        </is>
      </c>
      <c r="S1407" s="1" t="inlineStr">
        <is>
          <t>Business to Consumer</t>
        </is>
      </c>
      <c r="T1407" s="1" t="inlineStr">
        <is>
          <t>Primary Education, Secondary Education, Higher Education</t>
        </is>
      </c>
      <c r="U1407" s="1" t="inlineStr">
        <is>
          <t>System/Administrative, Student interfacing, Teacher interfacing</t>
        </is>
      </c>
      <c r="V1407" s="1" t="n"/>
      <c r="W1407" s="1" t="inlineStr">
        <is>
          <t>https://drive.google.com/uc?export=view&amp;id=1qXxbwMbwim-nC9YTV91qI-toCWm0ebRg</t>
        </is>
      </c>
      <c r="X1407" s="1" t="inlineStr">
        <is>
          <t>https://drive.google.com/uc?export=view&amp;id=1qXxbwMbwim-nC9YTV91qI-toCWm0ebRg</t>
        </is>
      </c>
      <c r="Y1407" t="inlineStr">
        <is>
          <t>https://drive.google.com/uc?export=view&amp;id=1qXxbwMbwim-nC9YTV91qI-toCWm0ebRg</t>
        </is>
      </c>
      <c r="Z1407" s="1" t="inlineStr">
        <is>
          <t>https://drive.google.com/uc?export=view&amp;id=1qXxbwMbwim-nC9YTV91qI-toCWm0ebRg</t>
        </is>
      </c>
      <c r="AA1407" s="1" t="inlineStr">
        <is>
          <t>Unverified</t>
        </is>
      </c>
      <c r="AB1407" s="1" t="n"/>
      <c r="AC1407" s="1" t="n"/>
      <c r="AD1407" s="10" t="n"/>
      <c r="AE1407" s="1" t="n"/>
      <c r="AF1407" t="inlineStr">
        <is>
          <t>No</t>
        </is>
      </c>
    </row>
    <row r="1408" ht="12.5" customHeight="1">
      <c r="A1408" s="6" t="n">
        <v>45181</v>
      </c>
      <c r="B1408" s="1" t="inlineStr">
        <is>
          <t>ORG_2141</t>
        </is>
      </c>
      <c r="C1408" s="1" t="b">
        <v>1</v>
      </c>
      <c r="D1408" s="10" t="inlineStr">
        <is>
          <t>Quaestiones.com</t>
        </is>
      </c>
      <c r="E1408" s="10" t="inlineStr">
        <is>
          <t>www.quaestiones.com</t>
        </is>
      </c>
      <c r="F1408" t="inlineStr">
        <is>
          <t>quaestiones.com</t>
        </is>
      </c>
      <c r="G1408" s="1" t="inlineStr">
        <is>
          <t>Quaestiones is the platform that, since 2000, has been collecting questions, notes and feedbacks of Lecturers, useful in preparing university exams. The goal of quaestiones has always been to break down the barriers that hinder access to training and knowledge and it does so through digital tools.
At the center of the quaestiones project are the students: more than 450K members who share their materials and their experiences, continuing to grow a db of timely information, cataloged by course and teacher.
The technology that is the basis of the project allows us to carry out our mission with the tutoring section, close to launch, and the streaming courses of teachers and partner platforms, always keeping the needs and requirements of students in the foreground, constantly " questioned "by our team.</t>
        </is>
      </c>
      <c r="H1408" s="1" t="inlineStr">
        <is>
          <t>I'm not part of any EdTech association</t>
        </is>
      </c>
      <c r="I1408" s="1" t="n"/>
      <c r="J1408" s="1" t="inlineStr">
        <is>
          <t>Rome</t>
        </is>
      </c>
      <c r="K1408" t="inlineStr">
        <is>
          <t>Rome</t>
        </is>
      </c>
      <c r="L1408" t="inlineStr">
        <is>
          <t>Rome, Italy</t>
        </is>
      </c>
      <c r="M1408" t="n">
        <v>41.8933203</v>
      </c>
      <c r="N1408" t="n">
        <v>12.4829321</v>
      </c>
      <c r="O1408" s="1" t="inlineStr">
        <is>
          <t>Italy</t>
        </is>
      </c>
      <c r="P1408" s="1" t="inlineStr">
        <is>
          <t>Italy</t>
        </is>
      </c>
      <c r="Q1408" s="1" t="inlineStr">
        <is>
          <t>0 to 10</t>
        </is>
      </c>
      <c r="R1408" t="inlineStr">
        <is>
          <t>Micro</t>
        </is>
      </c>
      <c r="S1408" s="1" t="inlineStr">
        <is>
          <t>Business to Consumer</t>
        </is>
      </c>
      <c r="T1408" s="1" t="inlineStr">
        <is>
          <t>Secondary Education, Higher Education</t>
        </is>
      </c>
      <c r="U1408" s="1" t="inlineStr">
        <is>
          <t>Student interfacing, Teacher interfacing</t>
        </is>
      </c>
      <c r="V1408" s="1" t="n"/>
      <c r="W1408" s="1" t="inlineStr">
        <is>
          <t>https://drive.google.com/uc?export=view&amp;id=1Ax8xlb8ujECvfwfEi9oDqx0pCOtV-25W</t>
        </is>
      </c>
      <c r="X1408" s="1" t="inlineStr">
        <is>
          <t>https://drive.google.com/uc?export=view&amp;id=1Ax8xlb8ujECvfwfEi9oDqx0pCOtV-25W</t>
        </is>
      </c>
      <c r="Y1408" t="inlineStr">
        <is>
          <t>https://drive.google.com/uc?export=view&amp;id=1Ax8xlb8ujECvfwfEi9oDqx0pCOtV-25W</t>
        </is>
      </c>
      <c r="Z1408" s="1" t="inlineStr">
        <is>
          <t>https://drive.google.com/uc?export=view&amp;id=1Ax8xlb8ujECvfwfEi9oDqx0pCOtV-25W</t>
        </is>
      </c>
      <c r="AA1408" s="1" t="inlineStr">
        <is>
          <t>Unverified</t>
        </is>
      </c>
      <c r="AB1408" s="1" t="n"/>
      <c r="AC1408" s="1" t="n"/>
      <c r="AD1408" s="10" t="n"/>
      <c r="AE1408" s="1" t="n"/>
      <c r="AF1408" t="inlineStr">
        <is>
          <t>No</t>
        </is>
      </c>
    </row>
    <row r="1409" ht="12.5" customHeight="1">
      <c r="A1409" s="6" t="n">
        <v>45181</v>
      </c>
      <c r="B1409" s="1" t="inlineStr">
        <is>
          <t>ORG_2279</t>
        </is>
      </c>
      <c r="C1409" s="1" t="b">
        <v>1</v>
      </c>
      <c r="D1409" s="1" t="inlineStr">
        <is>
          <t>Smartest Learning</t>
        </is>
      </c>
      <c r="E1409" s="10" t="inlineStr">
        <is>
          <t>www.smartest.io</t>
        </is>
      </c>
      <c r="F1409" t="inlineStr">
        <is>
          <t>smartest.io</t>
        </is>
      </c>
      <c r="G1409" s="1" t="inlineStr">
        <is>
          <t>Smartest creates interactive, personalized lessons and quizzes from prompts or documents, by using artificial intelligence to extract content and generate questions within seconds.</t>
        </is>
      </c>
      <c r="H1409" s="1" t="inlineStr">
        <is>
          <t>Swiss EdTech Collider</t>
        </is>
      </c>
      <c r="I1409" s="1" t="inlineStr">
        <is>
          <t>English, French, German</t>
        </is>
      </c>
      <c r="J1409" s="1" t="inlineStr">
        <is>
          <t>Apfelbaumstrasse 50</t>
        </is>
      </c>
      <c r="L1409" t="inlineStr">
        <is>
          <t>Apfelbaumstrasse 50, Switzerland</t>
        </is>
      </c>
      <c r="O1409" s="1" t="inlineStr">
        <is>
          <t>Switzerland</t>
        </is>
      </c>
      <c r="P1409" s="1" t="inlineStr">
        <is>
          <t>Germany, Switzerland</t>
        </is>
      </c>
      <c r="Q1409" s="1" t="inlineStr">
        <is>
          <t>0 to 2</t>
        </is>
      </c>
      <c r="R1409" t="inlineStr">
        <is>
          <t>Solo entrepreneur</t>
        </is>
      </c>
      <c r="S1409" s="1" t="inlineStr">
        <is>
          <t>Business to Consumer, Business to Government, Business to Schools</t>
        </is>
      </c>
      <c r="T1409" s="1" t="inlineStr">
        <is>
          <t>Secondary Education, Corporate Training, Lifelong learning/Adult education, Vocational Education and Training (VET), Higher Education</t>
        </is>
      </c>
      <c r="U1409" s="1" t="inlineStr">
        <is>
          <t>System/Administrative, Teacher interfacing, Student interfacing</t>
        </is>
      </c>
      <c r="V1409" s="1" t="inlineStr">
        <is>
          <t>Smartest</t>
        </is>
      </c>
      <c r="W1409" s="1" t="inlineStr">
        <is>
          <t>Smartest is an app that lets users quickly and effortlessly create practice exercises using their existing study material. The user selects the analog or digital source material and receives a ready-to-use study package with learning and testing exercises within seconds. This is accomplished with a unique combination of advanced machine learning algorithms. To increase learning effectiveness, video explanations can be added, and progress is displayed in dashboards visible to teachers and students.</t>
        </is>
      </c>
      <c r="X1409" s="10" t="inlineStr">
        <is>
          <t>https://drive.google.com/uc?export=view&amp;id=1P-EbPZSLEDTcW4L-OYzmlcSW4PQH7Tdg</t>
        </is>
      </c>
      <c r="Y1409" t="inlineStr">
        <is>
          <t>https://drive.google.com/uc?export=view&amp;id=1P-EbPZSLEDTcW4L-OYzmlcSW4PQH7Tdg</t>
        </is>
      </c>
      <c r="Z1409" s="1" t="inlineStr">
        <is>
          <t>https://drive.google.com/uc?export=view&amp;id=1P-EbPZSLEDTcW4L-OYzmlcSW4PQH7Tdg</t>
        </is>
      </c>
      <c r="AA1409" s="1" t="inlineStr">
        <is>
          <t>Unverified</t>
        </is>
      </c>
      <c r="AB1409" s="1" t="n"/>
      <c r="AC1409" s="1" t="n"/>
      <c r="AD1409" s="10" t="n"/>
      <c r="AE1409" s="1" t="n"/>
      <c r="AF1409" t="inlineStr">
        <is>
          <t>Yes</t>
        </is>
      </c>
      <c r="AG1409" t="inlineStr">
        <is>
          <t>https://www.linkedin.com/company/smartestlearning/</t>
        </is>
      </c>
      <c r="AH1409" t="inlineStr">
        <is>
          <t>https://www.linkedin.com/company/smartestlearning/</t>
        </is>
      </c>
      <c r="AI1409" t="inlineStr">
        <is>
          <t>https://www.linkedin.com/company/smartestlearning/</t>
        </is>
      </c>
    </row>
    <row r="1410" ht="12.5" customHeight="1">
      <c r="A1410" s="6" t="n">
        <v>45181</v>
      </c>
      <c r="B1410" s="1" t="inlineStr">
        <is>
          <t>ORG_2294</t>
        </is>
      </c>
      <c r="C1410" s="1" t="b">
        <v>1</v>
      </c>
      <c r="D1410" s="1" t="inlineStr">
        <is>
          <t>Sonant</t>
        </is>
      </c>
      <c r="E1410" s="10" t="inlineStr">
        <is>
          <t>https://www.sonant.fi</t>
        </is>
      </c>
      <c r="F1410" t="inlineStr">
        <is>
          <t>sonant.fi</t>
        </is>
      </c>
      <c r="G1410" s="1" t="inlineStr">
        <is>
          <t>Sonant is developing empowering assistive technology to support neurodiverse children and their families. We are also researching and developing gamified solutions to enhance the learning experience of non-typical learners.</t>
        </is>
      </c>
      <c r="H1410" s="1" t="inlineStr">
        <is>
          <t>I'm not part of any EdTech association</t>
        </is>
      </c>
      <c r="I1410" s="1" t="inlineStr">
        <is>
          <t>English, Finnish</t>
        </is>
      </c>
      <c r="J1410" s="1" t="inlineStr">
        <is>
          <t>Helsinki</t>
        </is>
      </c>
      <c r="K1410" t="inlineStr">
        <is>
          <t>Helsinki</t>
        </is>
      </c>
      <c r="L1410" t="inlineStr">
        <is>
          <t>Helsinki, Finland</t>
        </is>
      </c>
      <c r="M1410" t="n">
        <v>60.1666204</v>
      </c>
      <c r="N1410" t="n">
        <v>24.9435408</v>
      </c>
      <c r="O1410" s="1" t="inlineStr">
        <is>
          <t>Finland</t>
        </is>
      </c>
      <c r="P1410" s="1" t="inlineStr">
        <is>
          <t>Finland</t>
        </is>
      </c>
      <c r="Q1410" s="1" t="inlineStr">
        <is>
          <t>0 to 2</t>
        </is>
      </c>
      <c r="R1410" t="inlineStr">
        <is>
          <t>Solo entrepreneur</t>
        </is>
      </c>
      <c r="S1410" s="1" t="inlineStr">
        <is>
          <t>Business to Consumer, Business to Schools</t>
        </is>
      </c>
      <c r="T1410" s="1" t="inlineStr">
        <is>
          <t>Early childhood development (0-5 years)</t>
        </is>
      </c>
      <c r="U1410" s="1" t="inlineStr">
        <is>
          <t>System/Administrative, Student interfacing, Teacher interfacing</t>
        </is>
      </c>
      <c r="V1410" s="1" t="inlineStr">
        <is>
          <t>Meemoi</t>
        </is>
      </c>
      <c r="W1410" s="1" t="inlineStr">
        <is>
          <t>Meemoi is a versatile communication aid to support language development and increase positive moments of connection and collaboration between children and caregivers. It can also be used in kindergartens by teachers.</t>
        </is>
      </c>
      <c r="X1410" s="10" t="inlineStr">
        <is>
          <t>https://drive.google.com/uc?export=view&amp;id=1Hi9nNl9BQ-tHqIGRceyUDUnMLIjYC4wE</t>
        </is>
      </c>
      <c r="Y1410" t="inlineStr">
        <is>
          <t>https://drive.google.com/uc?export=view&amp;id=1Hi9nNl9BQ-tHqIGRceyUDUnMLIjYC4wE</t>
        </is>
      </c>
      <c r="Z1410" s="1" t="inlineStr">
        <is>
          <t>https://drive.google.com/uc?export=view&amp;id=1Hi9nNl9BQ-tHqIGRceyUDUnMLIjYC4wE</t>
        </is>
      </c>
      <c r="AA1410" s="1" t="inlineStr">
        <is>
          <t>Unverified</t>
        </is>
      </c>
      <c r="AB1410" s="1" t="n"/>
      <c r="AC1410" s="1" t="n"/>
      <c r="AD1410" s="10" t="n"/>
      <c r="AE1410" s="1" t="n"/>
      <c r="AF1410" s="1" t="inlineStr">
        <is>
          <t>Yes</t>
        </is>
      </c>
      <c r="AG1410" s="1" t="inlineStr">
        <is>
          <t>https://www.linkedin.com/company/sonant-oy/</t>
        </is>
      </c>
      <c r="AH1410" s="1" t="inlineStr">
        <is>
          <t>https://www.linkedin.com/company/sonant-oy/</t>
        </is>
      </c>
      <c r="AI1410" s="1" t="inlineStr">
        <is>
          <t>https://www.linkedin.com/company/sonant-oy/</t>
        </is>
      </c>
      <c r="AJ1410" s="1" t="n"/>
    </row>
    <row r="1411" ht="12.5" customHeight="1">
      <c r="A1411" s="6" t="n">
        <v>45181</v>
      </c>
      <c r="B1411" s="1" t="inlineStr">
        <is>
          <t>ORG_2301</t>
        </is>
      </c>
      <c r="C1411" s="1" t="b">
        <v>1</v>
      </c>
      <c r="D1411" s="1" t="inlineStr">
        <is>
          <t>Sparkademy</t>
        </is>
      </c>
      <c r="E1411" s="10" t="inlineStr">
        <is>
          <t>https://www.sparkademy.com/</t>
        </is>
      </c>
      <c r="F1411" t="inlineStr">
        <is>
          <t>sparkademy.com</t>
        </is>
      </c>
      <c r="G1411" s="1" t="inlineStr">
        <is>
          <t>Sparkademy offers a corporate learning program and platform. 
We help large organizations future-proof their business from within by training their teams to be innovators and future leaders.
We focus on power skills such as customer-centricity, creativity, analytical thinking, and more.
Our learners receive custom-made content developed alongside professors from world-renowned universities and industry experts.
We achieve the engagement of “in person-,” the ease and scalability of “online-” and the impact and ROI of “on the job-” training.</t>
        </is>
      </c>
      <c r="H1411" s="1" t="inlineStr">
        <is>
          <t>I'm not part of any EdTech association</t>
        </is>
      </c>
      <c r="I1411" s="1" t="n"/>
      <c r="J1411" s="1" t="inlineStr">
        <is>
          <t>Zürich</t>
        </is>
      </c>
      <c r="K1411" t="inlineStr">
        <is>
          <t>Zürich</t>
        </is>
      </c>
      <c r="L1411" t="inlineStr">
        <is>
          <t>Zürich, Switzerland</t>
        </is>
      </c>
      <c r="M1411" t="n">
        <v>47.3744489</v>
      </c>
      <c r="N1411" t="n">
        <v>8.5410422</v>
      </c>
      <c r="O1411" s="1" t="inlineStr">
        <is>
          <t>Switzerland</t>
        </is>
      </c>
      <c r="P1411" s="1" t="inlineStr">
        <is>
          <t>Germany, Netherlands, Switzerland</t>
        </is>
      </c>
      <c r="Q1411" s="1" t="inlineStr">
        <is>
          <t>11 to 50</t>
        </is>
      </c>
      <c r="R1411" t="inlineStr">
        <is>
          <t>Small</t>
        </is>
      </c>
      <c r="S1411" s="1" t="inlineStr">
        <is>
          <t>Business to Consumer, Business to Schools</t>
        </is>
      </c>
      <c r="T1411" s="1" t="inlineStr">
        <is>
          <t>Corporate Training, Lifelong learning/Adult education</t>
        </is>
      </c>
      <c r="U1411" s="1" t="inlineStr">
        <is>
          <t>System/Administrative</t>
        </is>
      </c>
      <c r="V1411" s="1" t="n"/>
      <c r="W1411" s="1" t="inlineStr">
        <is>
          <t>https://drive.google.com/uc?export=view&amp;id=1QFNLwwwBRmTBan6CH8wyZhFVlONmlj64</t>
        </is>
      </c>
      <c r="X1411" s="1" t="inlineStr">
        <is>
          <t>https://drive.google.com/uc?export=view&amp;id=1QFNLwwwBRmTBan6CH8wyZhFVlONmlj64</t>
        </is>
      </c>
      <c r="Y1411" t="inlineStr">
        <is>
          <t>https://drive.google.com/uc?export=view&amp;id=1QFNLwwwBRmTBan6CH8wyZhFVlONmlj64</t>
        </is>
      </c>
      <c r="Z1411" s="1" t="inlineStr">
        <is>
          <t>https://drive.google.com/uc?export=view&amp;id=1QFNLwwwBRmTBan6CH8wyZhFVlONmlj64</t>
        </is>
      </c>
      <c r="AA1411" s="1" t="inlineStr">
        <is>
          <t>Unverified</t>
        </is>
      </c>
      <c r="AB1411" s="1" t="n"/>
      <c r="AC1411" s="1" t="n"/>
      <c r="AD1411" s="10" t="n"/>
      <c r="AE1411" s="1" t="n"/>
      <c r="AF1411" t="inlineStr">
        <is>
          <t>No</t>
        </is>
      </c>
    </row>
    <row r="1412" ht="12.5" customHeight="1">
      <c r="A1412" s="6" t="n">
        <v>45181</v>
      </c>
      <c r="B1412" s="1" t="inlineStr">
        <is>
          <t>ORG_2343</t>
        </is>
      </c>
      <c r="C1412" s="1" t="b">
        <v>1</v>
      </c>
      <c r="D1412" s="1" t="inlineStr">
        <is>
          <t>StudyHelp</t>
        </is>
      </c>
      <c r="E1412" s="10" t="inlineStr">
        <is>
          <t>www.studyhelp.de</t>
        </is>
      </c>
      <c r="F1412" t="inlineStr">
        <is>
          <t>studyhelp.de</t>
        </is>
      </c>
      <c r="G1412" s="1" t="inlineStr">
        <is>
          <t>The company addresses learners’ needs offering a #hybrid #solution which includes #interactive #learning booklets, #online platforms, #individual learning #coaching and intensive #courses. In doing so, StudyHelp is thus very well positioned to master the dynamics in the EdTech sector in an agile way.</t>
        </is>
      </c>
      <c r="H1412" s="1" t="inlineStr">
        <is>
          <t>EDUvation</t>
        </is>
      </c>
      <c r="I1412" s="1" t="n"/>
      <c r="J1412" s="1" t="inlineStr">
        <is>
          <t>Paderborn</t>
        </is>
      </c>
      <c r="K1412" t="inlineStr">
        <is>
          <t>Paderborn</t>
        </is>
      </c>
      <c r="L1412" t="inlineStr">
        <is>
          <t>Paderborn, Germany</t>
        </is>
      </c>
      <c r="M1412" t="n">
        <v>51.7177044</v>
      </c>
      <c r="N1412" t="n">
        <v>8.752653</v>
      </c>
      <c r="O1412" s="1" t="inlineStr">
        <is>
          <t>Germany</t>
        </is>
      </c>
      <c r="P1412" s="1" t="inlineStr">
        <is>
          <t>Austria, Germany</t>
        </is>
      </c>
      <c r="Q1412" s="1" t="inlineStr">
        <is>
          <t>0 to 10</t>
        </is>
      </c>
      <c r="R1412" t="inlineStr">
        <is>
          <t>Micro</t>
        </is>
      </c>
      <c r="S1412" s="1" t="inlineStr">
        <is>
          <t>Business to Consumer, Business to Schools</t>
        </is>
      </c>
      <c r="T1412" s="1" t="inlineStr">
        <is>
          <t>Primary Education, Secondary Education, Higher Education</t>
        </is>
      </c>
      <c r="U1412" s="1" t="inlineStr">
        <is>
          <t>System/Administrative, Student interfacing, Teacher interfacing</t>
        </is>
      </c>
      <c r="V1412" s="1" t="inlineStr">
        <is>
          <t>Learnbooks</t>
        </is>
      </c>
      <c r="W1412" s="1" t="inlineStr">
        <is>
          <t>Learnbooks with videos</t>
        </is>
      </c>
      <c r="X1412" s="1" t="inlineStr">
        <is>
          <t>Tutoring</t>
        </is>
      </c>
      <c r="Y1412" t="inlineStr">
        <is>
          <t>Online and offline tutoring</t>
        </is>
      </c>
      <c r="Z1412" s="1" t="inlineStr">
        <is>
          <t>https://drive.google.com/uc?export=view&amp;id=17U4chQ7FRs1Ivkv4z9sEuBThx3_fhFFX</t>
        </is>
      </c>
      <c r="AA1412" s="1" t="inlineStr">
        <is>
          <t>Unverified</t>
        </is>
      </c>
      <c r="AB1412" s="1" t="n"/>
      <c r="AC1412" s="1" t="n"/>
      <c r="AD1412" s="10" t="n"/>
      <c r="AE1412" s="1" t="n"/>
      <c r="AF1412" s="1" t="inlineStr">
        <is>
          <t>No</t>
        </is>
      </c>
      <c r="AG1412" s="1" t="n"/>
      <c r="AH1412" s="1" t="n"/>
      <c r="AI1412" s="1" t="n"/>
      <c r="AJ1412" s="1" t="n"/>
    </row>
    <row r="1413" ht="12.5" customHeight="1">
      <c r="A1413" s="6" t="n">
        <v>45181</v>
      </c>
      <c r="B1413" s="1" t="inlineStr">
        <is>
          <t>ORG_2345</t>
        </is>
      </c>
      <c r="C1413" s="1" t="b">
        <v>1</v>
      </c>
      <c r="D1413" s="1" t="inlineStr">
        <is>
          <t>Studyportals</t>
        </is>
      </c>
      <c r="E1413" s="10" t="inlineStr">
        <is>
          <t>https://studyportals.com/</t>
        </is>
      </c>
      <c r="F1413" t="inlineStr">
        <is>
          <t>studyportals.com</t>
        </is>
      </c>
      <c r="G1413" s="1" t="inlineStr">
        <is>
          <t>Studyportals is a study choice platform with over 52 million visitors from around the world in 2021. We help our university clients to grow and diversify their international student population.</t>
        </is>
      </c>
      <c r="H1413" s="1" t="inlineStr">
        <is>
          <t>Dutch EdTech</t>
        </is>
      </c>
      <c r="I1413" s="1" t="n"/>
      <c r="J1413" s="1" t="inlineStr">
        <is>
          <t>Eindhoven</t>
        </is>
      </c>
      <c r="K1413" t="inlineStr">
        <is>
          <t>Eindhoven</t>
        </is>
      </c>
      <c r="L1413" t="inlineStr">
        <is>
          <t>Eindhoven, The Netherlands</t>
        </is>
      </c>
      <c r="M1413" t="n">
        <v>51.4105222</v>
      </c>
      <c r="N1413" t="n">
        <v>5.457494</v>
      </c>
      <c r="O1413" s="1" t="inlineStr">
        <is>
          <t>The Netherlands</t>
        </is>
      </c>
      <c r="P1413" s="1" t="inlineStr">
        <is>
          <t>Albania, Armenia, Austria, Belgium, Bulgaria, Croatia, Cyprus, Denmark, Estonia, Finland, France, Germany, Greece, Hungary, Iceland, Ireland, Italy, Latvia, Liechtenstein, Lithuania, Luxembourg, Malta, Moldova, Monaco, Montenegro, Netherlands, North Macedonia, Norway, Poland, Portugal, Romania, San Marino, Serbia, Slovakia, Slovenia, Spain, Sweden, Switzerland, Turkey, Ukraine, United Kingdom</t>
        </is>
      </c>
      <c r="Q1413" s="1" t="inlineStr">
        <is>
          <t>100+</t>
        </is>
      </c>
      <c r="R1413" t="inlineStr">
        <is>
          <t>Medium or Large (unspecified)</t>
        </is>
      </c>
      <c r="S1413" s="1" t="inlineStr">
        <is>
          <t>Business to Consumer, Business to Schools</t>
        </is>
      </c>
      <c r="T1413" s="1" t="inlineStr">
        <is>
          <t>Higher Education, Corporate Training, Lifelong learning/Adult education</t>
        </is>
      </c>
      <c r="U1413" s="1" t="inlineStr">
        <is>
          <t>Student interfacing</t>
        </is>
      </c>
      <c r="V1413" s="1" t="inlineStr">
        <is>
          <t>Marketing and international student recruitment</t>
        </is>
      </c>
      <c r="W1413" s="1" t="inlineStr">
        <is>
          <t>If you are interested in increasing the number and diversity of student applications and enrolments, to highlight your programmes and institution to a global audience, our portals are the place to be.</t>
        </is>
      </c>
      <c r="X1413" s="10" t="inlineStr">
        <is>
          <t>Analytics and consuting</t>
        </is>
      </c>
      <c r="Y1413" t="inlineStr">
        <is>
          <t>Our three areas of expertise are Analytics, Consulting, and Training. The Analytics and Consulting Team (ACT) at Studyportals advises and assists universities and other organisations in the higher education sector to realise their ambitions in the field of international marketing and international student recruitment.</t>
        </is>
      </c>
      <c r="Z1413" s="1" t="inlineStr">
        <is>
          <t>https://drive.google.com/uc?export=view&amp;id=10XymHp0LQLleQBefZZeP6AtwAPBT847V</t>
        </is>
      </c>
      <c r="AA1413" s="1" t="inlineStr">
        <is>
          <t>Unverified</t>
        </is>
      </c>
      <c r="AB1413" s="1" t="n"/>
      <c r="AC1413" s="1" t="n"/>
      <c r="AD1413" s="10" t="n"/>
      <c r="AE1413" s="1" t="n"/>
      <c r="AF1413" s="1" t="inlineStr">
        <is>
          <t>Yes</t>
        </is>
      </c>
      <c r="AG1413" s="1" t="inlineStr">
        <is>
          <t>https://www.linkedin.com/company/studyportals</t>
        </is>
      </c>
      <c r="AH1413" s="1" t="inlineStr">
        <is>
          <t>@Studyportals</t>
        </is>
      </c>
      <c r="AI1413" s="1" t="inlineStr">
        <is>
          <t>https://www.linkedin.com/company/studyportals</t>
        </is>
      </c>
      <c r="AJ1413" s="1" t="n"/>
    </row>
    <row r="1414" ht="12.5" customHeight="1">
      <c r="A1414" s="6" t="n">
        <v>45181</v>
      </c>
      <c r="B1414" s="1" t="inlineStr">
        <is>
          <t>ORG_2372</t>
        </is>
      </c>
      <c r="C1414" s="1" t="b">
        <v>1</v>
      </c>
      <c r="D1414" s="1" t="inlineStr">
        <is>
          <t>Teach Up</t>
        </is>
      </c>
      <c r="E1414" s="10" t="inlineStr">
        <is>
          <t>https://teachup.com/</t>
        </is>
      </c>
      <c r="F1414" t="inlineStr">
        <is>
          <t>teachup.com</t>
        </is>
      </c>
      <c r="G1414" s="1" t="inlineStr">
        <is>
          <t>Teach Up is a SaaS Adaptive Learning platform that integrates AI, making any training unique and personalized to each learner’s needs. Learning must be inclusive. With Teach Up, everybody succeeds.
In few words, after each interaction the training content adapts in real time according to the learner’s needs, level of expertise, learning preferences and goals. 
With Teach Up, everyone can master any key concept, at his/her own pace. 
Teach Up has already transformed 300 organizations through Adaptive Learning including SNCF, La Poste, Axa, Ornikar &amp; Bonduelle. We are so proud of it!</t>
        </is>
      </c>
      <c r="H1414" s="1" t="inlineStr">
        <is>
          <t>EdTech France</t>
        </is>
      </c>
      <c r="I1414" s="1" t="n"/>
      <c r="J1414" s="1" t="inlineStr">
        <is>
          <t>Lyon</t>
        </is>
      </c>
      <c r="K1414" t="inlineStr">
        <is>
          <t>Lyon</t>
        </is>
      </c>
      <c r="L1414" t="inlineStr">
        <is>
          <t>Lyon, France</t>
        </is>
      </c>
      <c r="M1414" t="n">
        <v>45.7578137</v>
      </c>
      <c r="N1414" t="n">
        <v>4.8320114</v>
      </c>
      <c r="O1414" s="1" t="inlineStr">
        <is>
          <t>France</t>
        </is>
      </c>
      <c r="P1414" s="1" t="inlineStr">
        <is>
          <t>France</t>
        </is>
      </c>
      <c r="Q1414" s="1" t="inlineStr">
        <is>
          <t>11 to 50</t>
        </is>
      </c>
      <c r="R1414" t="inlineStr">
        <is>
          <t>Small</t>
        </is>
      </c>
      <c r="S1414" s="1" t="inlineStr">
        <is>
          <t>Business to Government, Business to Schools</t>
        </is>
      </c>
      <c r="T1414" s="1" t="inlineStr">
        <is>
          <t>Higher Education, Corporate Training, Lifelong learning/Adult education</t>
        </is>
      </c>
      <c r="U1414" s="1" t="inlineStr">
        <is>
          <t>Teacher interfacing, Student interfacing, System/Administrative</t>
        </is>
      </c>
      <c r="V1414" s="10" t="inlineStr">
        <is>
          <t>Teach Up</t>
        </is>
      </c>
      <c r="W1414" s="10" t="inlineStr">
        <is>
          <t>Teach Up is the easiest way to create and deliver courses which are personalized to each learner in order to make them succeed, thanks to AI. Adaptive Learning is the alternative to a linear learning experience or Linear System. Linear systems refer to the traditional, sequential e-learning that we all are familiar with. They deliver the same content, at the same time, in a pre-determined sequence, to each learner. Often boring and non-efficient. Why? Because if learners already know parts of a course, they still have to work through each and every step – wasting time and decreasing engagement. With Teach Up, we’ve created an innovative knowledge transfer technology based on an Adaptive Learning Model. A Learning Platform, for companies, for training organizations, for universities, based on Artificial Intelligence which enables real-time adaptation of a learning path to each learner’s needs. We believe this technology can significantly grow the digital learning market and change the way we all learn. Another fundamental differentiating asset is that with Teach Up, everybody can also easily create micro and macro-Adaptive learning experiences, whether they are to be used on a smartphone, a tablet or a computer. Easily, and rapidly.
Teach Up could be buy as : - Platform all-in-one (Authoring tool to create your content + Learning Management System functionalities to diffuse it)
or
- Extension : LXP if you already have a LMS</t>
        </is>
      </c>
      <c r="X1414" s="10" t="inlineStr">
        <is>
          <t>https://drive.google.com/uc?export=view&amp;id=1A0ZBEoqgjhz4nipxx5RUsSNNnvHCysEa</t>
        </is>
      </c>
      <c r="Y1414" t="inlineStr">
        <is>
          <t>https://drive.google.com/uc?export=view&amp;id=1A0ZBEoqgjhz4nipxx5RUsSNNnvHCysEa</t>
        </is>
      </c>
      <c r="Z1414" s="1" t="inlineStr">
        <is>
          <t>https://drive.google.com/uc?export=view&amp;id=1A0ZBEoqgjhz4nipxx5RUsSNNnvHCysEa</t>
        </is>
      </c>
      <c r="AA1414" s="1" t="inlineStr">
        <is>
          <t>Unverified</t>
        </is>
      </c>
      <c r="AB1414" s="1" t="n"/>
      <c r="AC1414" s="1" t="n"/>
      <c r="AD1414" s="10" t="n"/>
      <c r="AE1414" s="1" t="n"/>
      <c r="AF1414" t="inlineStr">
        <is>
          <t>Yes</t>
        </is>
      </c>
      <c r="AG1414" t="inlineStr">
        <is>
          <t>http://www.instagram.com/teachup_inside/</t>
        </is>
      </c>
      <c r="AH1414" t="inlineStr">
        <is>
          <t>http://twitter.com/teachup_france?lang=fr</t>
        </is>
      </c>
      <c r="AI1414" t="inlineStr">
        <is>
          <t>http://www.linkedin.com/company/teachup.com</t>
        </is>
      </c>
    </row>
    <row r="1415" ht="12.5" customHeight="1">
      <c r="A1415" s="6" t="n">
        <v>45181</v>
      </c>
      <c r="B1415" s="1" t="inlineStr">
        <is>
          <t>ORG_2382</t>
        </is>
      </c>
      <c r="C1415" s="1" t="b">
        <v>1</v>
      </c>
      <c r="D1415" s="1" t="inlineStr">
        <is>
          <t>tekman</t>
        </is>
      </c>
      <c r="E1415" s="10" t="inlineStr">
        <is>
          <t>https://www.tekmaneducation.com/</t>
        </is>
      </c>
      <c r="F1415" t="inlineStr">
        <is>
          <t>tekmaneducation.com</t>
        </is>
      </c>
      <c r="G1415" s="1" t="inlineStr">
        <is>
          <t>Specialists in the didactics of mathematics and languages. 
tekman Education has a transversal team of pedagogues, teachers, engineers, philologists, mathematicians, editors, proofreaders, communicators, designers, creatives, area delegates...
A great team at the service of pedagogical innovation understood as a driver of educational change with the main objective of responding to the specific needs of teachers and students today.</t>
        </is>
      </c>
      <c r="H1415" s="1" t="inlineStr">
        <is>
          <t>I'm not part of any EdTech association</t>
        </is>
      </c>
      <c r="I1415" s="1" t="n"/>
      <c r="J1415" s="1" t="inlineStr">
        <is>
          <t>Barcelona</t>
        </is>
      </c>
      <c r="K1415" t="inlineStr">
        <is>
          <t>Barcelona</t>
        </is>
      </c>
      <c r="L1415" t="inlineStr">
        <is>
          <t>Barcelona, Spain</t>
        </is>
      </c>
      <c r="M1415" t="n">
        <v>41.3825802</v>
      </c>
      <c r="N1415" t="n">
        <v>2.177073</v>
      </c>
      <c r="O1415" s="1" t="inlineStr">
        <is>
          <t>Spain</t>
        </is>
      </c>
      <c r="P1415" s="1" t="inlineStr">
        <is>
          <t>Andorra, Spain</t>
        </is>
      </c>
      <c r="Q1415" s="1" t="inlineStr">
        <is>
          <t>100+</t>
        </is>
      </c>
      <c r="R1415" t="inlineStr">
        <is>
          <t>Medium or Large (unspecified)</t>
        </is>
      </c>
      <c r="S1415" s="1" t="inlineStr">
        <is>
          <t>Business to Schools</t>
        </is>
      </c>
      <c r="T1415" s="1" t="inlineStr">
        <is>
          <t>Early childhood development (0-5 years), Primary Education, Secondary Education</t>
        </is>
      </c>
      <c r="U1415" s="1" t="inlineStr">
        <is>
          <t>Teacher interfacing</t>
        </is>
      </c>
      <c r="V1415" s="1" t="inlineStr">
        <is>
          <t>EMAT - ONMAT - INSPIRA - LUDILETRAS - SUPERLETRAS - AJEDREZ EN EL AULA</t>
        </is>
      </c>
      <c r="W1415" s="1" t="inlineStr">
        <is>
          <t>Specialists in the didactics of mathematics and languages. 
tekman Education has a transversal team of pedagogues, teachers, engineers, philologists, mathematicians, editors, proofreaders, communicators, designers, creatives, area delegates...
A great team at the service of pedagogical innovation understood as a driver of educational change with the main objective of responding to the specific needs of teachers and students today.</t>
        </is>
      </c>
      <c r="X1415" s="10" t="inlineStr">
        <is>
          <t>https://drive.google.com/uc?export=view&amp;id=1sT-_S4FRxtWXjYZD5pSJ8-jyK2fLb8O7</t>
        </is>
      </c>
      <c r="Y1415" t="inlineStr">
        <is>
          <t>https://drive.google.com/uc?export=view&amp;id=1sT-_S4FRxtWXjYZD5pSJ8-jyK2fLb8O7</t>
        </is>
      </c>
      <c r="Z1415" s="1" t="inlineStr">
        <is>
          <t>https://drive.google.com/uc?export=view&amp;id=1sT-_S4FRxtWXjYZD5pSJ8-jyK2fLb8O7</t>
        </is>
      </c>
      <c r="AA1415" s="1" t="inlineStr">
        <is>
          <t>Unverified</t>
        </is>
      </c>
      <c r="AB1415" s="1" t="n"/>
      <c r="AC1415" s="1" t="n"/>
      <c r="AD1415" s="10" t="n"/>
      <c r="AE1415" s="1" t="n"/>
      <c r="AF1415" t="inlineStr">
        <is>
          <t>Yes</t>
        </is>
      </c>
      <c r="AG1415" t="inlineStr">
        <is>
          <t>@tekmaneducation</t>
        </is>
      </c>
      <c r="AH1415" t="inlineStr">
        <is>
          <t>@tekmaneducation</t>
        </is>
      </c>
      <c r="AI1415" t="inlineStr">
        <is>
          <t>https://www.linkedin.com/company/tekman-education</t>
        </is>
      </c>
    </row>
    <row r="1416" ht="12.5" customHeight="1">
      <c r="A1416" s="6" t="n">
        <v>45181</v>
      </c>
      <c r="B1416" s="1" t="inlineStr">
        <is>
          <t>ORG_1025</t>
        </is>
      </c>
      <c r="C1416" s="1" t="b">
        <v>1</v>
      </c>
      <c r="D1416" s="1" t="inlineStr">
        <is>
          <t>Academic Routeplanner</t>
        </is>
      </c>
      <c r="E1416" s="10" t="inlineStr">
        <is>
          <t>https://academicrouteplanner.com/</t>
        </is>
      </c>
      <c r="F1416" t="inlineStr">
        <is>
          <t>academicrouteplanner.com</t>
        </is>
      </c>
      <c r="G1416" s="1" t="inlineStr">
        <is>
          <t>Student Flow Services for Higher Education.
We give you creative solutions on the basis of surprising analysis.
You will profit from our deep knowledge on what is actually happening when teaching takes place. We look at your students, your teachers, your organisation, the regulations, the performance rates, and everything else that is working – and contra-working – in your educational institute.
We will do whatever it takes to make your educational institute able for the best possible performance.</t>
        </is>
      </c>
      <c r="H1416" s="1" t="inlineStr">
        <is>
          <t>Dutch EdTech</t>
        </is>
      </c>
      <c r="I1416" s="1" t="inlineStr">
        <is>
          <t>English, Dutch</t>
        </is>
      </c>
      <c r="J1416" s="1" t="inlineStr">
        <is>
          <t>Delft</t>
        </is>
      </c>
      <c r="K1416" t="inlineStr">
        <is>
          <t>Delft</t>
        </is>
      </c>
      <c r="L1416" t="inlineStr">
        <is>
          <t>Delft, The Netherlands</t>
        </is>
      </c>
      <c r="M1416" t="n">
        <v>52.0016196</v>
      </c>
      <c r="N1416" t="n">
        <v>4.3680178</v>
      </c>
      <c r="O1416" s="1" t="inlineStr">
        <is>
          <t>The Netherlands</t>
        </is>
      </c>
      <c r="P1416" s="1" t="inlineStr">
        <is>
          <t>Netherlands</t>
        </is>
      </c>
      <c r="Q1416" s="1" t="inlineStr">
        <is>
          <t>0 to 2</t>
        </is>
      </c>
      <c r="R1416" t="inlineStr">
        <is>
          <t>Solo entrepreneur</t>
        </is>
      </c>
      <c r="S1416" s="1" t="inlineStr">
        <is>
          <t>Business to Business</t>
        </is>
      </c>
      <c r="T1416" s="1" t="inlineStr">
        <is>
          <t>Vocational Education and Training (VET), Higher Education</t>
        </is>
      </c>
      <c r="U1416" s="1" t="inlineStr">
        <is>
          <t>Teacher interfacing, System/Administrative</t>
        </is>
      </c>
      <c r="V1416" s="1" t="inlineStr">
        <is>
          <t>Academic Routeplanner</t>
        </is>
      </c>
      <c r="W1416" s="1" t="inlineStr">
        <is>
          <t>Enable Your Students To Plan Their Academic Route!
The Academic Routeplanner® enables your Students to gain Insights in their Personal Academic Route by Playing with their Options and Professional Choices offered by your Schools. Use of the Solution Saves 30-50% of Time for Student Counsellors in Planning Counselling Consultations and Unlock Valuable New Data and Forecasts for Management and Education Logistics.</t>
        </is>
      </c>
      <c r="X1416" s="1" t="inlineStr">
        <is>
          <t>https://drive.google.com/uc?export=view&amp;id=1ePDqr8rU1cldb5f6A06ge_uWfctBBXMF</t>
        </is>
      </c>
      <c r="Y1416" t="inlineStr">
        <is>
          <t>https://drive.google.com/uc?export=view&amp;id=1ePDqr8rU1cldb5f6A06ge_uWfctBBXMF</t>
        </is>
      </c>
      <c r="Z1416" s="1" t="inlineStr">
        <is>
          <t>https://drive.google.com/uc?export=view&amp;id=1ePDqr8rU1cldb5f6A06ge_uWfctBBXMF</t>
        </is>
      </c>
      <c r="AA1416" s="1" t="inlineStr">
        <is>
          <t>Unverified</t>
        </is>
      </c>
      <c r="AB1416" s="1" t="n"/>
      <c r="AC1416" s="1" t="n"/>
      <c r="AD1416" s="10" t="n"/>
      <c r="AE1416" s="1" t="n"/>
      <c r="AF1416" t="inlineStr">
        <is>
          <t>No</t>
        </is>
      </c>
    </row>
    <row r="1417" ht="12.5" customHeight="1">
      <c r="A1417" s="6" t="n">
        <v>45181</v>
      </c>
      <c r="B1417" s="1" t="inlineStr">
        <is>
          <t>ORG_1117</t>
        </is>
      </c>
      <c r="C1417" s="1" t="b">
        <v>1</v>
      </c>
      <c r="D1417" s="1" t="inlineStr">
        <is>
          <t>Atlantic Devices</t>
        </is>
      </c>
      <c r="E1417" s="10" t="inlineStr">
        <is>
          <t>https://www.atlanticdevices.com/</t>
        </is>
      </c>
      <c r="F1417" t="inlineStr">
        <is>
          <t>atlanticdevices.com</t>
        </is>
      </c>
      <c r="G1417" s="1" t="inlineStr">
        <is>
          <t>Desde su creación en el año 1992, ATLANTIC DEVICES ha sido durante casi 30 años,
punto de referencia para las tecnologías de la imagen digital en el mercado español
e internacional.
Nuestra actividad en la división audiovisual para aula interactiva y entorno corporativo
ha conseguido gran relevancia, tomando importancia al tiempo que las metodologías
del aprendizaje colaborativo se implantaban en el sector educativo y el del teletrabajo
en el entorno empresarial. 
Hemos sido pioneros con las pizarras portátiles de Mimio, y con los sistemas multitáctiles como Newline o e-Blackboard.
En 2014 iniciamos una nueva línea de cartelería digital en constante evolución,
desde equipos con displays LCD interactivos hasta las gigantescas pantallas LED
para exteriores.
Mantenemos activos canales de exportación para todas las zonas EMEA Y LATAM,
con representación estable para dar respuesta a un mercado en crecimiento.</t>
        </is>
      </c>
      <c r="H1417" s="1" t="inlineStr">
        <is>
          <t>EduTech Cluster Spain</t>
        </is>
      </c>
      <c r="I1417" s="1" t="n"/>
      <c r="J1417" s="1" t="inlineStr">
        <is>
          <t>Òdena, Barcelona</t>
        </is>
      </c>
      <c r="K1417" t="inlineStr">
        <is>
          <t>Òdena</t>
        </is>
      </c>
      <c r="L1417" t="inlineStr">
        <is>
          <t>Òdena, Spain</t>
        </is>
      </c>
      <c r="M1417" t="n">
        <v>41.6068791</v>
      </c>
      <c r="N1417" t="n">
        <v>1.6422209</v>
      </c>
      <c r="O1417" s="1" t="inlineStr">
        <is>
          <t>Spain</t>
        </is>
      </c>
      <c r="P1417" s="1" t="inlineStr">
        <is>
          <t>Belgium, France, Hungary, Italy, Latvia, Romania, Spain, Switzerland</t>
        </is>
      </c>
      <c r="Q1417" s="1" t="inlineStr">
        <is>
          <t>11 to 50</t>
        </is>
      </c>
      <c r="R1417" t="inlineStr">
        <is>
          <t>Small</t>
        </is>
      </c>
      <c r="S1417" s="1" t="inlineStr">
        <is>
          <t>Business to Business</t>
        </is>
      </c>
      <c r="T1417" s="1" t="inlineStr">
        <is>
          <t>Early childhood development (0-5 years), Primary Education, Secondary Education, Higher Education, Corporate Training, Lifelong learning/Adult education</t>
        </is>
      </c>
      <c r="U1417" s="1" t="inlineStr">
        <is>
          <t>System/Administrative, Student interfacing, Teacher interfacing</t>
        </is>
      </c>
      <c r="V1417" s="10" t="inlineStr">
        <is>
          <t>E-BLACKBOARD 86" 4 M DC860NH G4 ANDROID 8.0</t>
        </is>
      </c>
      <c r="W1417" s="10" t="inlineStr">
        <is>
          <t>4th Generation of e-Blackboard; an integrated combination of black glass slate and capacitive multi-touch HD screen, all in a single compact panel. It allows, then, both writing with liquid chalk and the use of digital technologies during the class or presentation.
Unlike other interactive displays, the e-Blackboard's capacitive panel is made of photoelectric glass, which is highly resistant, anti-scratching, waterproof and harmless to vision. In addition, this device conducts light efficiently for perfect legibility from any angle thanks to its Optical Bonding technology.
It can also include an integrated OPS, which allows you to work with the capacitive multi-touch unit without the need to connect cables or external computers.
It should be noted that the interactive display can be frozen and turned off at any time through a gesture combination, so that a fully practicable smooth black board can also be used for writing with chalk. Dustless chalk, liquid chalk or marker strokes can coexist with the work on the display and be easily erased with a perfectly clean finish.
With the e-Blackboard you can teach in the traditional way and interactively in the same workspace.
Features:
- Screen size: 86"
- Aspect ratio: 16:9
- Brightness: 450cd/m2
- Panel resolution: 3840 x 2160
- Contrast ratio: 4000:1
- Response time: 8ms
- Overall dimensions: 4000 x 1250 x 70
- Touch points: 20 points
- Panels: 1 central LCD
- Multiple input and output ports
- Android integrated as standard
- Integrated speakers.</t>
        </is>
      </c>
      <c r="X1417" s="10" t="inlineStr">
        <is>
          <t>UNICABBY 32H TABLET UNIVERSAL / LAPTOP / CHROMEBOOK TROLLEY</t>
        </is>
      </c>
      <c r="Y1417" t="inlineStr">
        <is>
          <t>Robust and safe cabinet for loading and storing 32 units. 
Allows accommodation of all Tablets including iPad, Android, Kindle Fire and others.
- Stores and charges 32 Chromebooks, tablets or laptops up to 14", all with a small footprint.
- Specially designed shelf with integrated cable management.
- Unique molded cable clips keep cables secured at 5 points.
- All the innovative features of LapCabby solutions with the added flexibility of connecting a universal range of devices.
- Portholes that feed cables from the rear power compartment to the front of the unit, and pockets to store AC adapters.
- Tested to the highest health and safety standards and delivered fully assembled with a lifetime warranty.
- The maximum storage area per device in UniCabby is 250mm deep.</t>
        </is>
      </c>
      <c r="Z1417" s="1" t="inlineStr">
        <is>
          <t>https://drive.google.com/uc?export=view&amp;id=1R8wB57vDL7CWaFCFpRI5PbCp69Fn4sWk</t>
        </is>
      </c>
      <c r="AA1417" s="1" t="inlineStr">
        <is>
          <t>Unverified</t>
        </is>
      </c>
      <c r="AB1417" s="1" t="n"/>
      <c r="AC1417" s="1" t="n"/>
      <c r="AD1417" s="10" t="n"/>
      <c r="AE1417" s="1" t="n"/>
      <c r="AF1417" s="1" t="inlineStr">
        <is>
          <t>Yes</t>
        </is>
      </c>
      <c r="AG1417" s="1" t="inlineStr">
        <is>
          <t>https://www.instagram.com/atlanticdevices/</t>
        </is>
      </c>
      <c r="AH1417" s="1" t="inlineStr">
        <is>
          <t>https://twitter.com/AtlanticDevices</t>
        </is>
      </c>
      <c r="AI1417" t="inlineStr">
        <is>
          <t>https://www.linkedin.com/company/1026890/admin/</t>
        </is>
      </c>
    </row>
    <row r="1418" ht="12.5" customHeight="1">
      <c r="A1418" s="6" t="n">
        <v>45181</v>
      </c>
      <c r="B1418" s="1" t="inlineStr">
        <is>
          <t>ORG_1134</t>
        </is>
      </c>
      <c r="C1418" s="1" t="b">
        <v>1</v>
      </c>
      <c r="D1418" s="1" t="inlineStr">
        <is>
          <t>Babbu</t>
        </is>
      </c>
      <c r="E1418" s="10" t="inlineStr">
        <is>
          <t>www.babbu.co.uk</t>
        </is>
      </c>
      <c r="F1418" t="inlineStr">
        <is>
          <t>babbu.co.uk</t>
        </is>
      </c>
      <c r="G1418" s="1" t="inlineStr">
        <is>
          <t>An award-winning online learning platform, powered by AI, designed to empower parents and nurture children in the crucial early years.</t>
        </is>
      </c>
      <c r="H1418" s="1" t="inlineStr">
        <is>
          <t>I'm not part of any EdTech association</t>
        </is>
      </c>
      <c r="I1418" s="1" t="n"/>
      <c r="J1418" s="1" t="inlineStr">
        <is>
          <t>London</t>
        </is>
      </c>
      <c r="K1418" t="inlineStr">
        <is>
          <t>London</t>
        </is>
      </c>
      <c r="L1418" t="inlineStr">
        <is>
          <t>London, United Kingdom</t>
        </is>
      </c>
      <c r="M1418" t="n">
        <v>51.5074456</v>
      </c>
      <c r="N1418" t="n">
        <v>-0.1277653</v>
      </c>
      <c r="O1418" s="1" t="inlineStr">
        <is>
          <t>United Kingdom</t>
        </is>
      </c>
      <c r="P1418" s="1" t="inlineStr">
        <is>
          <t>United Kingdom</t>
        </is>
      </c>
      <c r="Q1418" s="1" t="inlineStr">
        <is>
          <t>3 to 5</t>
        </is>
      </c>
      <c r="R1418" t="inlineStr">
        <is>
          <t>Micro</t>
        </is>
      </c>
      <c r="S1418" s="1" t="inlineStr">
        <is>
          <t>Business to Business</t>
        </is>
      </c>
      <c r="T1418" s="1" t="inlineStr">
        <is>
          <t>Early childhood development (0-5 years)</t>
        </is>
      </c>
      <c r="U1418" s="1" t="inlineStr">
        <is>
          <t>System/Administrative</t>
        </is>
      </c>
      <c r="V1418" s="1" t="inlineStr">
        <is>
          <t>Babbu</t>
        </is>
      </c>
      <c r="W1418" s="1" t="inlineStr">
        <is>
          <t>https://drive.google.com/uc?export=view&amp;id=1_nlNi-HeOsNsnpOokZUdfwQpqxdrzB0i</t>
        </is>
      </c>
      <c r="X1418" s="1" t="inlineStr">
        <is>
          <t>https://drive.google.com/uc?export=view&amp;id=1_nlNi-HeOsNsnpOokZUdfwQpqxdrzB0i</t>
        </is>
      </c>
      <c r="Y1418" t="inlineStr">
        <is>
          <t>https://drive.google.com/uc?export=view&amp;id=1_nlNi-HeOsNsnpOokZUdfwQpqxdrzB0i</t>
        </is>
      </c>
      <c r="Z1418" s="1" t="inlineStr">
        <is>
          <t>https://drive.google.com/uc?export=view&amp;id=1_nlNi-HeOsNsnpOokZUdfwQpqxdrzB0i</t>
        </is>
      </c>
      <c r="AA1418" s="1" t="inlineStr">
        <is>
          <t>Unverified</t>
        </is>
      </c>
      <c r="AB1418" s="1" t="n"/>
      <c r="AC1418" s="1" t="n"/>
      <c r="AD1418" s="10" t="n"/>
      <c r="AE1418" s="1" t="n"/>
      <c r="AF1418" t="inlineStr">
        <is>
          <t>No</t>
        </is>
      </c>
    </row>
    <row r="1419" ht="12.5" customHeight="1">
      <c r="A1419" s="6" t="n">
        <v>45181</v>
      </c>
      <c r="B1419" s="1" t="inlineStr">
        <is>
          <t>ORG_1202</t>
        </is>
      </c>
      <c r="C1419" s="1" t="b">
        <v>1</v>
      </c>
      <c r="D1419" s="1" t="inlineStr">
        <is>
          <t>bSmart Labs</t>
        </is>
      </c>
      <c r="E1419" s="10" t="inlineStr">
        <is>
          <t>www.bsmartlabs.com</t>
        </is>
      </c>
      <c r="F1419" t="inlineStr">
        <is>
          <t>bsmartlabs.com</t>
        </is>
      </c>
      <c r="G1419" s="1" t="inlineStr">
        <is>
          <t>We have created the first educational ecosystem for teaching and learning in Italy, later white-labelled in many different countries. Designed to provide schools, teachers, students and families with educational services and content, bSmart is a platform rich in resources and tools to make learning and teaching in the digital world an effective, simple and innovative experience.
LIBRARY: In a single library, thousands of resources to be personalised and used directly on both bSmart and third party LMS and available on any device, online and offline.
TOOLS: Tools to create content: notes, vocal notes, maps, tests, lessons and presentations.
VIRTUAL CLASSROOM: With our collaboration environments and tools teachers manage learning events and calendars, share content within the class and send personal messages.
ONLINE TUTORING AND COACHING: Expert tutors available for personal and focused support via videoconference and chat on a handy online platform.</t>
        </is>
      </c>
      <c r="H1419" s="1" t="inlineStr">
        <is>
          <t>I'm not part of any EdTech association, EdTech Italia</t>
        </is>
      </c>
      <c r="I1419" s="1" t="n"/>
      <c r="J1419" s="1" t="inlineStr">
        <is>
          <t>Varedo</t>
        </is>
      </c>
      <c r="K1419" t="inlineStr">
        <is>
          <t>Varedo</t>
        </is>
      </c>
      <c r="L1419" t="inlineStr">
        <is>
          <t>Varedo, Italy</t>
        </is>
      </c>
      <c r="M1419" t="n">
        <v>45.5973268</v>
      </c>
      <c r="N1419" t="n">
        <v>9.156587399999999</v>
      </c>
      <c r="O1419" s="1" t="inlineStr">
        <is>
          <t>Italy</t>
        </is>
      </c>
      <c r="P141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419" s="1" t="inlineStr">
        <is>
          <t>11 to 50</t>
        </is>
      </c>
      <c r="R1419" t="inlineStr">
        <is>
          <t>Small</t>
        </is>
      </c>
      <c r="S1419" s="1" t="inlineStr">
        <is>
          <t>Business to Business</t>
        </is>
      </c>
      <c r="T1419" s="1" t="inlineStr">
        <is>
          <t>Primary Education, Secondary Education, Higher Education</t>
        </is>
      </c>
      <c r="U1419" s="1" t="inlineStr">
        <is>
          <t>System/Administrative, Student interfacing, Teacher interfacing</t>
        </is>
      </c>
      <c r="V1419" s="1" t="n"/>
      <c r="W1419" s="1" t="inlineStr">
        <is>
          <t>https://drive.google.com/uc?export=view&amp;id=1AnYa065fnserEze0s9ml1AUPJmi2phTQ</t>
        </is>
      </c>
      <c r="X1419" s="1" t="inlineStr">
        <is>
          <t>https://drive.google.com/uc?export=view&amp;id=1AnYa065fnserEze0s9ml1AUPJmi2phTQ</t>
        </is>
      </c>
      <c r="Y1419" t="inlineStr">
        <is>
          <t>https://drive.google.com/uc?export=view&amp;id=1AnYa065fnserEze0s9ml1AUPJmi2phTQ</t>
        </is>
      </c>
      <c r="Z1419" s="1" t="inlineStr">
        <is>
          <t>https://drive.google.com/uc?export=view&amp;id=1AnYa065fnserEze0s9ml1AUPJmi2phTQ</t>
        </is>
      </c>
      <c r="AA1419" s="1" t="inlineStr">
        <is>
          <t>Unverified</t>
        </is>
      </c>
      <c r="AB1419" s="1" t="n"/>
      <c r="AC1419" s="1" t="n"/>
      <c r="AD1419" s="10" t="n"/>
      <c r="AE1419" s="1" t="n"/>
      <c r="AF1419" s="1" t="inlineStr">
        <is>
          <t>No</t>
        </is>
      </c>
      <c r="AG1419" s="1" t="n"/>
      <c r="AH1419" s="1" t="n"/>
    </row>
    <row r="1420" ht="12.5" customHeight="1">
      <c r="A1420" s="6" t="n">
        <v>45181</v>
      </c>
      <c r="B1420" s="1" t="inlineStr">
        <is>
          <t>ORG_1228</t>
        </is>
      </c>
      <c r="C1420" s="1" t="b">
        <v>1</v>
      </c>
      <c r="D1420" s="1" t="inlineStr">
        <is>
          <t>Chalkboard Education</t>
        </is>
      </c>
      <c r="E1420" s="10" t="inlineStr">
        <is>
          <t>https://www.chalkboard.education/</t>
        </is>
      </c>
      <c r="F1420" t="inlineStr">
        <is>
          <t>chalkboard.education</t>
        </is>
      </c>
      <c r="G1420" s="1" t="inlineStr">
        <is>
          <t>Remote learning management system tailored for field staff and isolated learners. Leverage SMS and offline technologies to roll out training programs and measure your impact seamlessly.</t>
        </is>
      </c>
      <c r="H1420" s="1" t="inlineStr">
        <is>
          <t>EdTech France</t>
        </is>
      </c>
      <c r="I1420" s="1" t="n"/>
      <c r="J1420" s="1" t="inlineStr">
        <is>
          <t>Paris</t>
        </is>
      </c>
      <c r="K1420" t="inlineStr">
        <is>
          <t>Paris</t>
        </is>
      </c>
      <c r="L1420" t="inlineStr">
        <is>
          <t>Paris, France</t>
        </is>
      </c>
      <c r="M1420" t="n">
        <v>48.8534951</v>
      </c>
      <c r="N1420" t="n">
        <v>2.3483915</v>
      </c>
      <c r="O1420" s="1" t="inlineStr">
        <is>
          <t>France</t>
        </is>
      </c>
      <c r="P1420" s="1" t="inlineStr">
        <is>
          <t>France, Switzerland, United Kingdom</t>
        </is>
      </c>
      <c r="Q1420" s="1" t="inlineStr">
        <is>
          <t>11 to 50</t>
        </is>
      </c>
      <c r="R1420" t="inlineStr">
        <is>
          <t>Small</t>
        </is>
      </c>
      <c r="S1420" s="1" t="inlineStr">
        <is>
          <t>Business to Business</t>
        </is>
      </c>
      <c r="T1420" s="1" t="inlineStr">
        <is>
          <t>Higher Education, Corporate Training, Lifelong learning/Adult education</t>
        </is>
      </c>
      <c r="U1420" s="1" t="inlineStr">
        <is>
          <t>System/Administrative</t>
        </is>
      </c>
      <c r="V1420" s="1" t="inlineStr">
        <is>
          <t>Chalkboard Education Dashboard</t>
        </is>
      </c>
      <c r="W1420" s="10" t="inlineStr">
        <is>
          <t>Learning Management System (LMS) to create rich content with ease and make it available to all your learners anywhere in the World, without the Internet. Track and measure progress KPIs automatically and report on your performance in a few clicks.</t>
        </is>
      </c>
      <c r="X1420" s="10" t="inlineStr">
        <is>
          <t>Chalkboard Education Universal App</t>
        </is>
      </c>
      <c r="Y1420" t="inlineStr">
        <is>
          <t>Our unique mobile and web application make your training materials available to all learners on an easy-to-use, lightweight, self-installing app that works on any device and without the Internet.</t>
        </is>
      </c>
      <c r="Z1420" s="1" t="inlineStr">
        <is>
          <t>https://drive.google.com/uc?export=view&amp;id=14q5GQkHObB8spjFVbRHkcLHvSUEW5PjZ</t>
        </is>
      </c>
      <c r="AA1420" s="1" t="inlineStr">
        <is>
          <t>Unverified</t>
        </is>
      </c>
      <c r="AB1420" s="1" t="n"/>
      <c r="AC1420" s="1" t="n"/>
      <c r="AD1420" s="10" t="n"/>
      <c r="AE1420" s="1" t="n"/>
      <c r="AF1420" s="1" t="inlineStr">
        <is>
          <t>Yes</t>
        </is>
      </c>
      <c r="AG1420" s="1" t="inlineStr">
        <is>
          <t>https://twitter.com/TeamChalkboard</t>
        </is>
      </c>
      <c r="AH1420" s="1" t="inlineStr">
        <is>
          <t>https://twitter.com/TeamChalkboard</t>
        </is>
      </c>
      <c r="AI1420" t="inlineStr">
        <is>
          <t>https://www.linkedin.com/company/chalkboard-education/</t>
        </is>
      </c>
    </row>
    <row r="1421" ht="12.5" customHeight="1">
      <c r="A1421" s="6" t="n">
        <v>45181</v>
      </c>
      <c r="B1421" s="1" t="inlineStr">
        <is>
          <t>ORG_1255</t>
        </is>
      </c>
      <c r="C1421" s="1" t="b">
        <v>1</v>
      </c>
      <c r="D1421" s="1" t="inlineStr">
        <is>
          <t>Classtime</t>
        </is>
      </c>
      <c r="E1421" s="10" t="inlineStr">
        <is>
          <t>www.classtime.com</t>
        </is>
      </c>
      <c r="F1421" t="inlineStr">
        <is>
          <t>classtime.com</t>
        </is>
      </c>
      <c r="G1421" s="1" t="inlineStr">
        <is>
          <t>Classtime is a web-based platform for formative &amp; summative assessments and collaborative challenges. The interaction between teacher and student is increased, transparency of learning progress is clearer, correction work for teachers is reduced.</t>
        </is>
      </c>
      <c r="H1421" s="1" t="inlineStr">
        <is>
          <t>Swiss EdTech Collider</t>
        </is>
      </c>
      <c r="I1421" s="1" t="n"/>
      <c r="J1421" s="1" t="inlineStr">
        <is>
          <t>Wiesenstrasse 10 A</t>
        </is>
      </c>
      <c r="L1421" t="inlineStr">
        <is>
          <t>Wiesenstrasse 10 A, Switzerland</t>
        </is>
      </c>
      <c r="O1421" s="1" t="inlineStr">
        <is>
          <t>Switzerland</t>
        </is>
      </c>
      <c r="P1421" s="1" t="inlineStr">
        <is>
          <t>Croatia, Estonia, France, Germany, Netherlands, Spain, Switzerland, Ukraine</t>
        </is>
      </c>
      <c r="Q1421" s="1" t="inlineStr">
        <is>
          <t>11 to 50</t>
        </is>
      </c>
      <c r="R1421" t="inlineStr">
        <is>
          <t>Small</t>
        </is>
      </c>
      <c r="S1421" s="1" t="inlineStr">
        <is>
          <t>Business to Business</t>
        </is>
      </c>
      <c r="T1421" s="1" t="inlineStr">
        <is>
          <t>Primary Education, Secondary Education, Higher Education</t>
        </is>
      </c>
      <c r="U1421" s="1" t="inlineStr">
        <is>
          <t>Student interfacing, Teacher interfacing</t>
        </is>
      </c>
      <c r="V1421" s="10" t="inlineStr">
        <is>
          <t>Classtime</t>
        </is>
      </c>
      <c r="W1421" s="10" t="inlineStr">
        <is>
          <t>Classtime is a web-based platform for formative &amp; summative assessments and collaborative challenges. The interaction between teacher and student is increased, transparency of learning progress is clearer, correction work for teachers is reduced.</t>
        </is>
      </c>
      <c r="X1421" s="10" t="inlineStr">
        <is>
          <t>https://drive.google.com/uc?export=view&amp;id=1nR39oqfyoWty5RxWbkqMqjp3B9m3NBkc</t>
        </is>
      </c>
      <c r="Y1421" t="inlineStr">
        <is>
          <t>https://drive.google.com/uc?export=view&amp;id=1nR39oqfyoWty5RxWbkqMqjp3B9m3NBkc</t>
        </is>
      </c>
      <c r="Z1421" s="1" t="inlineStr">
        <is>
          <t>https://drive.google.com/uc?export=view&amp;id=1nR39oqfyoWty5RxWbkqMqjp3B9m3NBkc</t>
        </is>
      </c>
      <c r="AA1421" s="1" t="inlineStr">
        <is>
          <t>Unverified</t>
        </is>
      </c>
      <c r="AB1421" s="1" t="n"/>
      <c r="AC1421" s="1" t="n"/>
      <c r="AD1421" s="10" t="n"/>
      <c r="AE1421" s="1" t="n"/>
      <c r="AF1421" s="1" t="inlineStr">
        <is>
          <t>Yes</t>
        </is>
      </c>
      <c r="AG1421" s="1" t="inlineStr">
        <is>
          <t>https://www.instagram.com/classtimecom/</t>
        </is>
      </c>
      <c r="AH1421" s="1" t="inlineStr">
        <is>
          <t>https://twitter.com/classtimecom</t>
        </is>
      </c>
      <c r="AI1421" s="1" t="inlineStr">
        <is>
          <t>https://www.linkedin.com/company/classtime/mycompany/verification/?viewAsMember=true</t>
        </is>
      </c>
      <c r="AJ1421" s="1" t="n"/>
    </row>
    <row r="1422" ht="12.5" customHeight="1">
      <c r="A1422" s="6" t="n">
        <v>45181</v>
      </c>
      <c r="B1422" s="1" t="inlineStr">
        <is>
          <t>ORG_1267</t>
        </is>
      </c>
      <c r="C1422" s="1" t="b">
        <v>1</v>
      </c>
      <c r="D1422" s="1" t="inlineStr">
        <is>
          <t>Code School Finland</t>
        </is>
      </c>
      <c r="E1422" s="10" t="inlineStr">
        <is>
          <t>www.codeschool.fi</t>
        </is>
      </c>
      <c r="F1422" t="inlineStr">
        <is>
          <t>codeschool.fi</t>
        </is>
      </c>
      <c r="G1422" s="1" t="inlineStr">
        <is>
          <t>Code School Finland helps teachers and schools to teach coding, robotics and AI in a way that promotes the development of the 21st century skills. We improve student learning and support teachers' professional development.
Our curriculum and teaching materials are based on academic research and Finnish education model. We align with the learning objectives of international and national curricula globally.
With our help all teachers - even those with no computer science background - can start teaching technology and future skills in K-12.</t>
        </is>
      </c>
      <c r="H1422" s="1" t="inlineStr">
        <is>
          <t>EdTech Finland</t>
        </is>
      </c>
      <c r="I1422" s="1" t="n"/>
      <c r="J1422" s="1" t="inlineStr">
        <is>
          <t>Oulu</t>
        </is>
      </c>
      <c r="K1422" t="inlineStr">
        <is>
          <t>Oulu</t>
        </is>
      </c>
      <c r="L1422" t="inlineStr">
        <is>
          <t>Oulu, Finland</t>
        </is>
      </c>
      <c r="M1422" t="n">
        <v>65.01179140000001</v>
      </c>
      <c r="N1422" t="n">
        <v>25.4701973</v>
      </c>
      <c r="O1422" s="1" t="inlineStr">
        <is>
          <t>Finland</t>
        </is>
      </c>
      <c r="P1422" s="1" t="inlineStr">
        <is>
          <t>Austria, Belgium, Denmark, Estonia, Finland, France, Germany, Greece, Ireland, Italy, Netherlands, Norway, Poland, Portugal, Spain, Sweden, Switzerland, Turkey, United Kingdom</t>
        </is>
      </c>
      <c r="Q1422" s="1" t="inlineStr">
        <is>
          <t>0 to 10</t>
        </is>
      </c>
      <c r="R1422" t="inlineStr">
        <is>
          <t>Micro</t>
        </is>
      </c>
      <c r="S1422" s="1" t="inlineStr">
        <is>
          <t>Business to Business</t>
        </is>
      </c>
      <c r="T1422" s="1" t="inlineStr">
        <is>
          <t>Primary Education, Secondary Education</t>
        </is>
      </c>
      <c r="U1422" s="1" t="inlineStr">
        <is>
          <t>Teacher interfacing, System/Administrative</t>
        </is>
      </c>
      <c r="V1422" s="1" t="inlineStr">
        <is>
          <t>Teachease</t>
        </is>
      </c>
      <c r="W1422" s="1" t="inlineStr">
        <is>
          <t>Teachease service is a turnkey solution for schools to expand teaching digital skills, coding, robotics and AI effectively. Teachease combines Finnish pedagogical excellence, teaching materials and teacher training for digital skills according to your school’s needs. Teachease helps schools and teachers to provide engaging, project-based learning. 
Teachease provides a digital skills program with a set of lesson plans, hands-on activities and cross-curricular projects for coding, robotics and AI. We make sure all teachers can teach digital skills from preschool to high school.</t>
        </is>
      </c>
      <c r="X1422" s="10" t="inlineStr">
        <is>
          <t>Online courses</t>
        </is>
      </c>
      <c r="Y1422" t="inlineStr">
        <is>
          <t>Code School Finland online courses help K-12 teachers to provide engaging, project-based learning on coding and AI. With the help of self-paced online courses, downloadable lesson plans and teaching materials and a support forum with peers and Code School certified instructors, any teacher - even one without any computer science knowledge - can start teaching coding easily and safely.
Our courses have been designed for K-12 teachers to teach digital skills with Design-based project learning model. Based on project-based learning model (PBL), this approach of teaching promotes innovation, creativity and sharing information. It drives students to learn more and to become creative problem-solvers. They learn to think creatively and succeed no matter what the future brings.</t>
        </is>
      </c>
      <c r="Z1422" s="1" t="inlineStr">
        <is>
          <t>https://drive.google.com/uc?export=view&amp;id=1gs6lHJKYDepBwXxzYj68682CfV15AfFS</t>
        </is>
      </c>
      <c r="AA1422" s="1" t="inlineStr">
        <is>
          <t>Unverified</t>
        </is>
      </c>
      <c r="AB1422" s="1" t="n"/>
      <c r="AC1422" s="1" t="n"/>
      <c r="AD1422" s="10" t="n"/>
      <c r="AE1422" s="1" t="n"/>
      <c r="AF1422" t="inlineStr">
        <is>
          <t>Yes</t>
        </is>
      </c>
      <c r="AG1422" t="inlineStr">
        <is>
          <t>@codeschoolfinland</t>
        </is>
      </c>
      <c r="AH1422" t="inlineStr">
        <is>
          <t>@codeschoolfi</t>
        </is>
      </c>
      <c r="AI1422" t="inlineStr">
        <is>
          <t>https://www.linkedin.com/company/codeschoolfinland/</t>
        </is>
      </c>
    </row>
    <row r="1423" ht="12.5" customHeight="1">
      <c r="A1423" s="6" t="n">
        <v>45181</v>
      </c>
      <c r="B1423" s="1" t="inlineStr">
        <is>
          <t>ORG_1300</t>
        </is>
      </c>
      <c r="C1423" s="1" t="b">
        <v>1</v>
      </c>
      <c r="D1423" s="1" t="inlineStr">
        <is>
          <t>Corporate Learning + Change GmbH</t>
        </is>
      </c>
      <c r="E1423" s="10" t="inlineStr">
        <is>
          <t>www.clc-learning.de</t>
        </is>
      </c>
      <c r="F1423" t="inlineStr">
        <is>
          <t>clc-learning.de</t>
        </is>
      </c>
      <c r="G1423" s="1" t="inlineStr">
        <is>
          <t>CLC - Corporate Learning + Change GmbH with 11 colleagues was founded by Dr. Katja Bett and Josef Buschbacher. We have the goal to take people and organizations, which we see as our customers, on the way into the digital world and enable them to use new opportunities.
We also accompany people who want to pursue their goals on the second educational path or from labor market and company-related contexts and provide them with comprehensive support.
Through our work, we enable people and organizations to learn more focused and faster than their competitors, giving them a sustainable competitive advantage. Innovative learning in a digital world is learning on demand, learning independent of time and place, learning with fun, learning as an event, learning in informal structures, learning at the workplace.</t>
        </is>
      </c>
      <c r="H1423" s="1" t="inlineStr">
        <is>
          <t>I'm not part of any EdTech association</t>
        </is>
      </c>
      <c r="I1423" s="1" t="n"/>
      <c r="J1423" s="1" t="inlineStr">
        <is>
          <t>Stuttgart</t>
        </is>
      </c>
      <c r="K1423" t="inlineStr">
        <is>
          <t>Stuttgart</t>
        </is>
      </c>
      <c r="L1423" t="inlineStr">
        <is>
          <t>Stuttgart, Germany</t>
        </is>
      </c>
      <c r="M1423" t="n">
        <v>48.7784485</v>
      </c>
      <c r="N1423" t="n">
        <v>9.180013199999999</v>
      </c>
      <c r="O1423" s="1" t="inlineStr">
        <is>
          <t>Germany</t>
        </is>
      </c>
      <c r="P1423" s="1" t="inlineStr">
        <is>
          <t>Austria, Finland, Germany, Italy, Portugal, Switzerland</t>
        </is>
      </c>
      <c r="Q1423" s="1" t="inlineStr">
        <is>
          <t>11 to 50</t>
        </is>
      </c>
      <c r="R1423" t="inlineStr">
        <is>
          <t>Small</t>
        </is>
      </c>
      <c r="S1423" s="1" t="inlineStr">
        <is>
          <t>Business to Business</t>
        </is>
      </c>
      <c r="T1423" s="1" t="inlineStr">
        <is>
          <t>Higher Education, Corporate Training, Lifelong learning/Adult education</t>
        </is>
      </c>
      <c r="U1423" s="1" t="inlineStr">
        <is>
          <t>System/Administrative</t>
        </is>
      </c>
      <c r="V1423" s="1" t="n"/>
      <c r="W1423" s="1" t="inlineStr">
        <is>
          <t>https://drive.google.com/uc?export=view&amp;id=1MQhH0BwAL92G4hg-R4GYCupwI8wMaiuX</t>
        </is>
      </c>
      <c r="X1423" s="1" t="inlineStr">
        <is>
          <t>https://drive.google.com/uc?export=view&amp;id=1MQhH0BwAL92G4hg-R4GYCupwI8wMaiuX</t>
        </is>
      </c>
      <c r="Y1423" t="inlineStr">
        <is>
          <t>https://drive.google.com/uc?export=view&amp;id=1MQhH0BwAL92G4hg-R4GYCupwI8wMaiuX</t>
        </is>
      </c>
      <c r="Z1423" s="1" t="inlineStr">
        <is>
          <t>https://drive.google.com/uc?export=view&amp;id=1MQhH0BwAL92G4hg-R4GYCupwI8wMaiuX</t>
        </is>
      </c>
      <c r="AA1423" s="1" t="inlineStr">
        <is>
          <t>Unverified</t>
        </is>
      </c>
      <c r="AB1423" s="1" t="n"/>
      <c r="AC1423" s="1" t="n"/>
      <c r="AD1423" s="10" t="n"/>
      <c r="AE1423" s="1" t="n"/>
      <c r="AF1423" t="inlineStr">
        <is>
          <t>No</t>
        </is>
      </c>
    </row>
    <row r="1424" ht="12.5" customHeight="1">
      <c r="A1424" s="6" t="n">
        <v>45181</v>
      </c>
      <c r="B1424" s="1" t="inlineStr">
        <is>
          <t>ORG_1343</t>
        </is>
      </c>
      <c r="C1424" s="1" t="b">
        <v>1</v>
      </c>
      <c r="D1424" s="1" t="inlineStr">
        <is>
          <t>DialogueTrainer</t>
        </is>
      </c>
      <c r="E1424" s="10" t="inlineStr">
        <is>
          <t>www.dialoguetrainer.com</t>
        </is>
      </c>
      <c r="F1424" t="inlineStr">
        <is>
          <t>dialoguetrainer.com</t>
        </is>
      </c>
      <c r="G1424" s="1" t="inlineStr">
        <is>
          <t>As a spin off of Utrecht University, we develop interactive online communication simulations since 2013 following the DialogueTrainer method: a 5-step process in which difficult situations from the (future) workplace are translated into conversations with virtual training actors.
In the research phase, we determine which method or situation the simulation should focus on:
1. In the research phase, we determine which method or situation the simulation should focus on;
2. Determine the best-practices involved;
3. The learning goals and objectives of the players;
4. Develop and validate the interactive online scenarios before using and improving it in practice.
5. Improve the scenarios in practice based on data, player feedback, trainer/teacher feedback and management feedback and effects in real life.</t>
        </is>
      </c>
      <c r="H1424" s="1" t="inlineStr">
        <is>
          <t>I'm not part of any EdTech association</t>
        </is>
      </c>
      <c r="I1424" s="1" t="n"/>
      <c r="J1424" s="1" t="inlineStr">
        <is>
          <t>Utrecht</t>
        </is>
      </c>
      <c r="K1424" t="inlineStr">
        <is>
          <t>Utrecht</t>
        </is>
      </c>
      <c r="L1424" t="inlineStr">
        <is>
          <t>Utrecht, The Netherlands</t>
        </is>
      </c>
      <c r="M1424" t="n">
        <v>52.0906195</v>
      </c>
      <c r="N1424" t="n">
        <v>5.1119709</v>
      </c>
      <c r="O1424" s="1" t="inlineStr">
        <is>
          <t>The Netherlands</t>
        </is>
      </c>
      <c r="P1424" s="1" t="inlineStr">
        <is>
          <t>Belgium, France, Germany, Netherlands, Sweden, Turkey, United Kingdom</t>
        </is>
      </c>
      <c r="Q1424" s="1" t="inlineStr">
        <is>
          <t>11 to 50</t>
        </is>
      </c>
      <c r="R1424" t="inlineStr">
        <is>
          <t>Small</t>
        </is>
      </c>
      <c r="S1424" s="1" t="inlineStr">
        <is>
          <t>Business to Business</t>
        </is>
      </c>
      <c r="T1424" s="1" t="inlineStr">
        <is>
          <t>Primary Education, Secondary Education, Higher Education, Corporate Training, Lifelong learning/Adult education</t>
        </is>
      </c>
      <c r="U1424" s="1" t="inlineStr">
        <is>
          <t>Student interfacing, Teacher interfacing, System/Administrative</t>
        </is>
      </c>
      <c r="V1424" s="1" t="n"/>
      <c r="W1424" s="1" t="inlineStr">
        <is>
          <t>https://drive.google.com/uc?export=view&amp;id=1fbbzEf-0XNnqB1hRYxvrq2HgVCWqxSjK</t>
        </is>
      </c>
      <c r="X1424" s="1" t="inlineStr">
        <is>
          <t>https://drive.google.com/uc?export=view&amp;id=1fbbzEf-0XNnqB1hRYxvrq2HgVCWqxSjK</t>
        </is>
      </c>
      <c r="Y1424" t="inlineStr">
        <is>
          <t>https://drive.google.com/uc?export=view&amp;id=1fbbzEf-0XNnqB1hRYxvrq2HgVCWqxSjK</t>
        </is>
      </c>
      <c r="Z1424" s="1" t="inlineStr">
        <is>
          <t>https://drive.google.com/uc?export=view&amp;id=1fbbzEf-0XNnqB1hRYxvrq2HgVCWqxSjK</t>
        </is>
      </c>
      <c r="AA1424" s="1" t="inlineStr">
        <is>
          <t>Unverified</t>
        </is>
      </c>
      <c r="AB1424" s="1" t="n"/>
      <c r="AC1424" s="1" t="n"/>
      <c r="AD1424" s="10" t="n"/>
      <c r="AE1424" s="1" t="n"/>
      <c r="AF1424" t="inlineStr">
        <is>
          <t>No</t>
        </is>
      </c>
    </row>
    <row r="1425" ht="12.5" customHeight="1">
      <c r="A1425" s="6" t="n">
        <v>45181</v>
      </c>
      <c r="B1425" s="1" t="inlineStr">
        <is>
          <t>ORG_1361</t>
        </is>
      </c>
      <c r="C1425" s="1" t="b">
        <v>1</v>
      </c>
      <c r="D1425" s="1" t="inlineStr">
        <is>
          <t>Digital Pioneers</t>
        </is>
      </c>
      <c r="E1425" s="10" t="inlineStr">
        <is>
          <t>https://www.digitalpioneers.co</t>
        </is>
      </c>
      <c r="F1425" t="inlineStr">
        <is>
          <t>digitalpioneers.co</t>
        </is>
      </c>
      <c r="G1425" s="1" t="inlineStr">
        <is>
          <t>Learning Community to bring European Mittelstand together with the digital economy and get "been there, done that" advice.</t>
        </is>
      </c>
      <c r="H1425" s="1" t="inlineStr">
        <is>
          <t>I'm not part of any EdTech association</t>
        </is>
      </c>
      <c r="I1425" s="1" t="n"/>
      <c r="J1425" s="1" t="inlineStr">
        <is>
          <t>Berlin</t>
        </is>
      </c>
      <c r="K1425" t="inlineStr">
        <is>
          <t>Berlin</t>
        </is>
      </c>
      <c r="L1425" t="inlineStr">
        <is>
          <t>Berlin, Germany</t>
        </is>
      </c>
      <c r="M1425" t="n">
        <v>52.5173885</v>
      </c>
      <c r="N1425" t="n">
        <v>13.3951309</v>
      </c>
      <c r="O1425" s="1" t="inlineStr">
        <is>
          <t>Germany</t>
        </is>
      </c>
      <c r="P1425" s="1" t="inlineStr">
        <is>
          <t>Germany</t>
        </is>
      </c>
      <c r="Q1425" s="1" t="inlineStr">
        <is>
          <t>0 to 10</t>
        </is>
      </c>
      <c r="R1425" t="inlineStr">
        <is>
          <t>Micro</t>
        </is>
      </c>
      <c r="S1425" s="1" t="inlineStr">
        <is>
          <t>Business to Business</t>
        </is>
      </c>
      <c r="T1425" s="1" t="inlineStr">
        <is>
          <t>Corporate Training</t>
        </is>
      </c>
      <c r="U1425" s="1" t="inlineStr">
        <is>
          <t>System/Administrative</t>
        </is>
      </c>
      <c r="V1425" s="1" t="n"/>
      <c r="W1425" s="1" t="inlineStr">
        <is>
          <t>https://drive.google.com/uc?export=view&amp;id=15C0KNOwjPLBWydHyYP3jwCZoGyTzG-OW</t>
        </is>
      </c>
      <c r="X1425" s="1" t="inlineStr">
        <is>
          <t>https://drive.google.com/uc?export=view&amp;id=15C0KNOwjPLBWydHyYP3jwCZoGyTzG-OW</t>
        </is>
      </c>
      <c r="Y1425" t="inlineStr">
        <is>
          <t>https://drive.google.com/uc?export=view&amp;id=15C0KNOwjPLBWydHyYP3jwCZoGyTzG-OW</t>
        </is>
      </c>
      <c r="Z1425" s="1" t="inlineStr">
        <is>
          <t>https://drive.google.com/uc?export=view&amp;id=15C0KNOwjPLBWydHyYP3jwCZoGyTzG-OW</t>
        </is>
      </c>
      <c r="AA1425" s="1" t="inlineStr">
        <is>
          <t>Unverified</t>
        </is>
      </c>
      <c r="AB1425" s="1" t="n"/>
      <c r="AC1425" s="1" t="n"/>
      <c r="AD1425" s="10" t="n"/>
      <c r="AE1425" s="1" t="n"/>
      <c r="AF1425" t="inlineStr">
        <is>
          <t>No</t>
        </is>
      </c>
    </row>
    <row r="1426" ht="12.5" customHeight="1">
      <c r="A1426" s="6" t="n">
        <v>45181</v>
      </c>
      <c r="B1426" s="1" t="inlineStr">
        <is>
          <t>ORG_1391</t>
        </is>
      </c>
      <c r="C1426" s="1" t="b">
        <v>1</v>
      </c>
      <c r="D1426" s="1" t="inlineStr">
        <is>
          <t>Easy Education</t>
        </is>
      </c>
      <c r="E1426" s="10" t="inlineStr">
        <is>
          <t>www.easyeducation.se</t>
        </is>
      </c>
      <c r="F1426" t="inlineStr">
        <is>
          <t>easyeducation.se</t>
        </is>
      </c>
      <c r="G1426" s="1" t="inlineStr">
        <is>
          <t>Easy Education offers a digital study platform that gathers digital course literature for students in higher education to make this cheaper, more accessible and more individualised. We digitize, distribute &amp; visualize all course content on the same platform, under the same interactive interface creating a Spotify for course literature.</t>
        </is>
      </c>
      <c r="H1426" s="1" t="inlineStr">
        <is>
          <t>Swedish EdTech Industry</t>
        </is>
      </c>
      <c r="I1426" s="1" t="n"/>
      <c r="J1426" s="1" t="inlineStr">
        <is>
          <t>Gothenburg</t>
        </is>
      </c>
      <c r="K1426" t="inlineStr">
        <is>
          <t>Gothenburg</t>
        </is>
      </c>
      <c r="L1426" t="inlineStr">
        <is>
          <t>Gothenburg, Sweden</t>
        </is>
      </c>
      <c r="M1426" t="n">
        <v>57.7072326</v>
      </c>
      <c r="N1426" t="n">
        <v>11.9670171</v>
      </c>
      <c r="O1426" s="1" t="inlineStr">
        <is>
          <t>Sweden</t>
        </is>
      </c>
      <c r="P1426" s="1" t="inlineStr">
        <is>
          <t>Sweden</t>
        </is>
      </c>
      <c r="Q1426" s="1" t="inlineStr">
        <is>
          <t>0 to 10</t>
        </is>
      </c>
      <c r="R1426" t="inlineStr">
        <is>
          <t>Micro</t>
        </is>
      </c>
      <c r="S1426" s="1" t="inlineStr">
        <is>
          <t>Business to Business</t>
        </is>
      </c>
      <c r="T1426" s="1" t="inlineStr">
        <is>
          <t>Higher Education, Corporate Training</t>
        </is>
      </c>
      <c r="U1426" s="1" t="inlineStr">
        <is>
          <t>Student interfacing</t>
        </is>
      </c>
      <c r="V1426" s="1" t="inlineStr">
        <is>
          <t>Easy Education</t>
        </is>
      </c>
      <c r="W1426" s="1" t="inlineStr">
        <is>
          <t>Easy Education offers students, lecturers and education providers in higher education a digital study platform and enables a digital and interactive delivery of course content. On the platform, users can cheaper and easier get access to their course literature and further study with a wide variety of smart digital study tools to help improve their studies.</t>
        </is>
      </c>
      <c r="X1426" s="10" t="inlineStr">
        <is>
          <t>https://drive.google.com/uc?export=view&amp;id=11XC3qZjGpnOlJgeoShDG6Wb9CqxDOshn</t>
        </is>
      </c>
      <c r="Y1426" t="inlineStr">
        <is>
          <t>https://drive.google.com/uc?export=view&amp;id=11XC3qZjGpnOlJgeoShDG6Wb9CqxDOshn</t>
        </is>
      </c>
      <c r="Z1426" s="1" t="inlineStr">
        <is>
          <t>https://drive.google.com/uc?export=view&amp;id=11XC3qZjGpnOlJgeoShDG6Wb9CqxDOshn</t>
        </is>
      </c>
      <c r="AA1426" s="1" t="inlineStr">
        <is>
          <t>Unverified</t>
        </is>
      </c>
      <c r="AB1426" s="1" t="n"/>
      <c r="AC1426" s="1" t="n"/>
      <c r="AD1426" s="10" t="n"/>
      <c r="AE1426" s="1" t="n"/>
      <c r="AF1426" t="inlineStr">
        <is>
          <t>Yes</t>
        </is>
      </c>
      <c r="AG1426" t="inlineStr">
        <is>
          <t>https://www.linkedin.com/company/easy-education-sweden-ab/?viewAsMember=true</t>
        </is>
      </c>
      <c r="AH1426" t="inlineStr">
        <is>
          <t>https://www.linkedin.com/company/easy-education-sweden-ab/?viewAsMember=true</t>
        </is>
      </c>
      <c r="AI1426" t="inlineStr">
        <is>
          <t>https://www.linkedin.com/company/easy-education-sweden-ab/?viewAsMember=true</t>
        </is>
      </c>
    </row>
    <row r="1427" ht="12.5" customHeight="1">
      <c r="A1427" s="6" t="n">
        <v>45181</v>
      </c>
      <c r="B1427" s="1" t="inlineStr">
        <is>
          <t>ORG_1402</t>
        </is>
      </c>
      <c r="C1427" s="1" t="b">
        <v>1</v>
      </c>
      <c r="D1427" s="1" t="inlineStr">
        <is>
          <t>EDDS</t>
        </is>
      </c>
      <c r="E1427" s="10" t="inlineStr">
        <is>
          <t>www.edds-education.org</t>
        </is>
      </c>
      <c r="F1427" t="inlineStr">
        <is>
          <t>edds-education.org</t>
        </is>
      </c>
      <c r="G1427" s="1" t="inlineStr">
        <is>
          <t>EDDS is a provider of confidential audit and evidence-led/based consultancy services to users and providers of education technology. We are backed by a consortium of world-leading academics, national research institutes, educators, education systems, communicators and technologists and are part of Etoile Partners Ltd, a London based geopolitical consultancy. We facilitate the transfer of knowledge and best practice among industry partners and guide edtech companies in the pursuit of excellence in their products.  
We are focused on the issues faced by parents, educators and education systems from schools to school districts and universities involving children’s and young people’s data and how the edtech sector can be made to perform in their best interests.
Bluntly put, children are not able to give informed consent for the use of their data, yet the educational technology sector is becoming integrated into education systems without any real understanding of the potential societal and systemic risks that might pose to them.  
Education systems perceive there is a risk, but have no clear idea of how big or how far that risk goes, nor how to control, measure or monitor it. Parents and schools have almost no visibility of the dangers.
That is where EDDS comes in.
We are at the cutting edge of research into how children’s and young people’s data is being used or misused. We help both providers and users of edtech with advice, consultancy, evaluation and auditing services. We allow education systems to see clearly the dangers of using uncertified and unvalidated edtech products, while helping edtech providers with confidential audits, digital certification and roadmaps on how they can improve their data usage to comply with procurement rules and regulations already in place and coming down the track.</t>
        </is>
      </c>
      <c r="H1427" s="1" t="inlineStr">
        <is>
          <t>I'm not part of any EdTech association</t>
        </is>
      </c>
      <c r="I1427" s="1" t="n"/>
      <c r="J1427" s="1" t="inlineStr">
        <is>
          <t>London</t>
        </is>
      </c>
      <c r="K1427" t="inlineStr">
        <is>
          <t>London</t>
        </is>
      </c>
      <c r="L1427" t="inlineStr">
        <is>
          <t>London, United Kingdom</t>
        </is>
      </c>
      <c r="M1427" t="n">
        <v>51.5074456</v>
      </c>
      <c r="N1427" t="n">
        <v>-0.1277653</v>
      </c>
      <c r="O1427" s="1" t="inlineStr">
        <is>
          <t>United Kingdom</t>
        </is>
      </c>
      <c r="P1427" s="1" t="inlineStr">
        <is>
          <t>United Kingdom</t>
        </is>
      </c>
      <c r="Q1427" s="1" t="inlineStr">
        <is>
          <t>0 to 10</t>
        </is>
      </c>
      <c r="R1427" t="inlineStr">
        <is>
          <t>Micro</t>
        </is>
      </c>
      <c r="S1427" s="1" t="inlineStr">
        <is>
          <t>Business to Business</t>
        </is>
      </c>
      <c r="T1427" s="1" t="inlineStr">
        <is>
          <t>Early childhood development (0-5 years), Primary Education, Secondary Education, Higher Education, Corporate Training</t>
        </is>
      </c>
      <c r="U1427" s="1" t="inlineStr">
        <is>
          <t>System/Administrative</t>
        </is>
      </c>
      <c r="V1427" s="1" t="n"/>
      <c r="W1427" s="1" t="inlineStr">
        <is>
          <t>https://drive.google.com/uc?export=view&amp;id=1vuDdsLuyNRiinUt3mhCkgHEUgzWR3nN9</t>
        </is>
      </c>
      <c r="X1427" s="1" t="inlineStr">
        <is>
          <t>https://drive.google.com/uc?export=view&amp;id=1vuDdsLuyNRiinUt3mhCkgHEUgzWR3nN9</t>
        </is>
      </c>
      <c r="Y1427" t="inlineStr">
        <is>
          <t>https://drive.google.com/uc?export=view&amp;id=1vuDdsLuyNRiinUt3mhCkgHEUgzWR3nN9</t>
        </is>
      </c>
      <c r="Z1427" s="1" t="inlineStr">
        <is>
          <t>https://drive.google.com/uc?export=view&amp;id=1vuDdsLuyNRiinUt3mhCkgHEUgzWR3nN9</t>
        </is>
      </c>
      <c r="AA1427" s="1" t="inlineStr">
        <is>
          <t>Unverified</t>
        </is>
      </c>
      <c r="AB1427" s="1" t="n"/>
      <c r="AC1427" s="1" t="n"/>
      <c r="AD1427" s="10" t="n"/>
      <c r="AE1427" s="1" t="n"/>
      <c r="AF1427" t="inlineStr">
        <is>
          <t>No</t>
        </is>
      </c>
    </row>
    <row r="1428" ht="12.5" customHeight="1">
      <c r="A1428" s="6" t="n">
        <v>45181</v>
      </c>
      <c r="B1428" s="1" t="inlineStr">
        <is>
          <t>ORG_1420</t>
        </is>
      </c>
      <c r="C1428" s="1" t="b">
        <v>1</v>
      </c>
      <c r="D1428" s="1" t="inlineStr">
        <is>
          <t>Edu-Suite™</t>
        </is>
      </c>
      <c r="E1428" s="10" t="inlineStr">
        <is>
          <t>www.edu-suite.com</t>
        </is>
      </c>
      <c r="F1428" t="inlineStr">
        <is>
          <t>edu-suite.com</t>
        </is>
      </c>
      <c r="G1428" s="1" t="inlineStr">
        <is>
          <t>Edu-Suite is a complete package that contains all the relevant tools and functionalities needed to develop, publish and distribute a digital teaching method. As a result, with Edu-Suite, the all-in-one edtech solution, every publisher and school is ready for the future and the education of today!
With this SaaS solution you can easily digitize existing or develop new teaching methods. All tools, services and support are available to publish, distribute and exploit it! For example, the a.i.-based ProLearn technology embedded within the CMS part of Edu-Suite makes it possible to develop adaptive and personal learning pathways.</t>
        </is>
      </c>
      <c r="H1428" s="1" t="inlineStr">
        <is>
          <t>Dutch EdTech</t>
        </is>
      </c>
      <c r="I1428" s="1" t="inlineStr">
        <is>
          <t>Dutch, English</t>
        </is>
      </c>
      <c r="J1428" s="1" t="inlineStr">
        <is>
          <t>Heerenveen</t>
        </is>
      </c>
      <c r="K1428" t="inlineStr">
        <is>
          <t>Heerenveen</t>
        </is>
      </c>
      <c r="L1428" t="inlineStr">
        <is>
          <t>Heerenveen, The Netherlands</t>
        </is>
      </c>
      <c r="M1428" t="n">
        <v>52.9605696</v>
      </c>
      <c r="N1428" t="n">
        <v>5.9247298</v>
      </c>
      <c r="O1428" s="1" t="inlineStr">
        <is>
          <t>The Netherlands</t>
        </is>
      </c>
      <c r="P1428" s="1" t="inlineStr">
        <is>
          <t>Belgium, Netherlands, United Kingdom</t>
        </is>
      </c>
      <c r="Q1428" s="1" t="inlineStr">
        <is>
          <t>11 to 50</t>
        </is>
      </c>
      <c r="R1428" t="inlineStr">
        <is>
          <t>Small</t>
        </is>
      </c>
      <c r="S1428" s="1" t="inlineStr">
        <is>
          <t>Business to Business</t>
        </is>
      </c>
      <c r="T1428" s="1" t="inlineStr">
        <is>
          <t>Primary Education, Secondary Education, Corporate Training, Lifelong learning/Adult education, Vocational Education and Training (VET), Higher Education</t>
        </is>
      </c>
      <c r="U1428" s="1" t="inlineStr">
        <is>
          <t>Student interfacing, Teacher interfacing, System/Administrative</t>
        </is>
      </c>
      <c r="V1428" s="10" t="inlineStr">
        <is>
          <t>Edu-Suite™</t>
        </is>
      </c>
      <c r="W1428" s="1" t="inlineStr">
        <is>
          <t>Edu-Suite is a complete SaaS sollution that contains all the relevant tools and functionalities needed to develop, publish and distribute digital educational content. As a result, with Edu-Suite, the all-in-one edtech solution, every educational publisher and school is ready for the future and the education standards of today and tomorrow!</t>
        </is>
      </c>
      <c r="X1428" s="10" t="inlineStr">
        <is>
          <t>https://drive.google.com/uc?export=view&amp;id=1ZOmfUKQ-hetRm1Nh7NP7vEvWQ2SmmLQt</t>
        </is>
      </c>
      <c r="Y1428" t="inlineStr">
        <is>
          <t>https://drive.google.com/uc?export=view&amp;id=1ZOmfUKQ-hetRm1Nh7NP7vEvWQ2SmmLQt</t>
        </is>
      </c>
      <c r="Z1428" s="1" t="inlineStr">
        <is>
          <t>https://drive.google.com/uc?export=view&amp;id=1ZOmfUKQ-hetRm1Nh7NP7vEvWQ2SmmLQt</t>
        </is>
      </c>
      <c r="AA1428" s="1" t="inlineStr">
        <is>
          <t>Unverified</t>
        </is>
      </c>
      <c r="AB1428" s="1" t="n"/>
      <c r="AC1428" s="1" t="n"/>
      <c r="AD1428" s="10" t="n"/>
      <c r="AE1428" s="1" t="n"/>
      <c r="AF1428" s="1" t="inlineStr">
        <is>
          <t>Yes</t>
        </is>
      </c>
      <c r="AG1428" s="1" t="inlineStr">
        <is>
          <t>https://www.instagram.com/edu_suite_/</t>
        </is>
      </c>
      <c r="AH1428" s="1" t="inlineStr">
        <is>
          <t>https://www.linkedin.com/company/edu-suite/?viewAsMember=true</t>
        </is>
      </c>
      <c r="AI1428" t="inlineStr">
        <is>
          <t>https://www.linkedin.com/company/edu-suite/?viewAsMember=true</t>
        </is>
      </c>
    </row>
    <row r="1429" ht="12.5" customHeight="1">
      <c r="A1429" s="6" t="n">
        <v>45181</v>
      </c>
      <c r="B1429" s="1" t="inlineStr">
        <is>
          <t>ORG_1426</t>
        </is>
      </c>
      <c r="C1429" s="1" t="b">
        <v>1</v>
      </c>
      <c r="D1429" s="1" t="inlineStr">
        <is>
          <t>Educaplay</t>
        </is>
      </c>
      <c r="E1429" s="10" t="inlineStr">
        <is>
          <t>https://www.educaplay.com</t>
        </is>
      </c>
      <c r="F1429" t="inlineStr">
        <is>
          <t>educaplay.com</t>
        </is>
      </c>
      <c r="G1429" s="1" t="inlineStr">
        <is>
          <t>Make and share your own educational games easily, fast and for free.
Unscramble Words, Video Quiz, Fill in the Blanks, Wordsearch, Crossword, Test, Memory and 10 more different types of games to create with just a few clicks and no programming.
Make them from scratch or duplicate any of the 5 million activities to create your own version from it.
Share the game link to your players, embed it on your website, or create a Challenge to share games in groups.
Save the scores and performance of your players without them needing to sign in or provide any personal data.
Integrate your games into Google Classroom, Microsoft Teams, Moodle, Canvas, or other similar platforms and automatically save the scores there.</t>
        </is>
      </c>
      <c r="H1429" s="1" t="inlineStr">
        <is>
          <t>I'm not part of any EdTech association</t>
        </is>
      </c>
      <c r="I1429" s="1" t="n"/>
      <c r="J1429" s="1" t="inlineStr">
        <is>
          <t>Logroño</t>
        </is>
      </c>
      <c r="K1429" t="inlineStr">
        <is>
          <t>Logroño</t>
        </is>
      </c>
      <c r="L1429" t="inlineStr">
        <is>
          <t>Logroño, Spain</t>
        </is>
      </c>
      <c r="M1429" t="n">
        <v>42.4661196</v>
      </c>
      <c r="N1429" t="n">
        <v>-2.4396676</v>
      </c>
      <c r="O1429" s="1" t="inlineStr">
        <is>
          <t>Spain</t>
        </is>
      </c>
      <c r="P1429" s="1" t="inlineStr">
        <is>
          <t>Andorra, Austria, Belgium, Cyprus, Czechia, Estonia, Finland, France, Germany, Greece, Iceland, Ireland, Italy, Netherlands, Norway, Poland, Portugal, Slovenia, Spain, Sweden, Switzerland, Turkey, United Kingdom</t>
        </is>
      </c>
      <c r="Q1429" s="1" t="inlineStr">
        <is>
          <t>0 to 10</t>
        </is>
      </c>
      <c r="R1429" t="inlineStr">
        <is>
          <t>Micro</t>
        </is>
      </c>
      <c r="S1429" s="1" t="inlineStr">
        <is>
          <t>Business to Business</t>
        </is>
      </c>
      <c r="T1429" s="1" t="inlineStr">
        <is>
          <t>Early childhood development (0-5 years), Primary Education, Secondary Education, Higher Education, Corporate Training, Lifelong learning/Adult education</t>
        </is>
      </c>
      <c r="U1429" s="1" t="inlineStr">
        <is>
          <t>Student interfacing, Teacher interfacing, System/Administrative</t>
        </is>
      </c>
      <c r="V1429" s="1" t="n"/>
      <c r="W1429" s="1" t="inlineStr">
        <is>
          <t>https://drive.google.com/uc?export=view&amp;id=1USZTeSaV-qGDNpk43W1IT_dafUK2zgzo</t>
        </is>
      </c>
      <c r="X1429" s="1" t="inlineStr">
        <is>
          <t>https://drive.google.com/uc?export=view&amp;id=1USZTeSaV-qGDNpk43W1IT_dafUK2zgzo</t>
        </is>
      </c>
      <c r="Y1429" t="inlineStr">
        <is>
          <t>https://drive.google.com/uc?export=view&amp;id=1USZTeSaV-qGDNpk43W1IT_dafUK2zgzo</t>
        </is>
      </c>
      <c r="Z1429" s="1" t="inlineStr">
        <is>
          <t>https://drive.google.com/uc?export=view&amp;id=1USZTeSaV-qGDNpk43W1IT_dafUK2zgzo</t>
        </is>
      </c>
      <c r="AA1429" s="1" t="inlineStr">
        <is>
          <t>Unverified</t>
        </is>
      </c>
      <c r="AB1429" s="1" t="n"/>
      <c r="AC1429" s="1" t="n"/>
      <c r="AD1429" s="10" t="n"/>
      <c r="AE1429" s="1" t="n"/>
      <c r="AF1429" s="1" t="inlineStr">
        <is>
          <t>No</t>
        </is>
      </c>
      <c r="AG1429" s="1" t="n"/>
      <c r="AH1429" s="1" t="n"/>
    </row>
    <row r="1430" ht="12.5" customHeight="1">
      <c r="A1430" s="6" t="n">
        <v>45181</v>
      </c>
      <c r="B1430" s="1" t="inlineStr">
        <is>
          <t>ORG_1439</t>
        </is>
      </c>
      <c r="C1430" s="1" t="b">
        <v>1</v>
      </c>
      <c r="D1430" s="1" t="inlineStr">
        <is>
          <t>eduGamiTec</t>
        </is>
      </c>
      <c r="E1430" s="10" t="inlineStr">
        <is>
          <t>https://edugamitec.com/</t>
        </is>
      </c>
      <c r="F1430" t="inlineStr">
        <is>
          <t>edugamitec.com</t>
        </is>
      </c>
      <c r="G1430" s="1" t="inlineStr">
        <is>
          <t>At EduGamiTec, our aim is to combine education and games in a personalised way to create an immersive yet fun learning environment. 
Training materials in a variety of content and formats can be easily and quickly imported into our system and automatically presented in the video game of the learner's choice. 
Our solution Gamtred based on our proprietary technology aimed to bring a flexible, fast, and personalized game-based learning solution for corporates to increase engagement and efficacy in their digital training. 
The multi-level analytic system collects insides of the learner’s performance, but also the success of the curriculum and overall results at team or company level.</t>
        </is>
      </c>
      <c r="H1430" s="1" t="inlineStr">
        <is>
          <t>I'm not part of any EdTech association</t>
        </is>
      </c>
      <c r="I1430" s="1" t="n"/>
      <c r="J1430" s="1" t="inlineStr">
        <is>
          <t>Esch-Sur-Alzette</t>
        </is>
      </c>
      <c r="K1430" t="inlineStr">
        <is>
          <t>Esch-Sur-Alzette</t>
        </is>
      </c>
      <c r="L1430" t="inlineStr">
        <is>
          <t>Esch-Sur-Alzette, Luxembourg</t>
        </is>
      </c>
      <c r="M1430" t="n">
        <v>49.4959628</v>
      </c>
      <c r="N1430" t="n">
        <v>5.9850306</v>
      </c>
      <c r="O1430" s="1" t="inlineStr">
        <is>
          <t>Luxembourg</t>
        </is>
      </c>
      <c r="P1430" s="1" t="inlineStr">
        <is>
          <t>France, Germany, Hungary, Luxembourg, Norway, Turkey, United Kingdom</t>
        </is>
      </c>
      <c r="Q1430" s="1" t="inlineStr">
        <is>
          <t>0 to 10</t>
        </is>
      </c>
      <c r="R1430" t="inlineStr">
        <is>
          <t>Micro</t>
        </is>
      </c>
      <c r="S1430" s="1" t="inlineStr">
        <is>
          <t>Business to Business</t>
        </is>
      </c>
      <c r="T1430" s="1" t="inlineStr">
        <is>
          <t>Corporate Training</t>
        </is>
      </c>
      <c r="U1430" s="1" t="inlineStr">
        <is>
          <t>Teacher interfacing, System/Administrative</t>
        </is>
      </c>
      <c r="V1430" s="1" t="n"/>
      <c r="W1430" s="1" t="inlineStr">
        <is>
          <t>https://drive.google.com/uc?export=view&amp;id=1lqUpw_gwVqF-BM0G93ANz22xd7a_dNmE</t>
        </is>
      </c>
      <c r="X1430" s="1" t="inlineStr">
        <is>
          <t>https://drive.google.com/uc?export=view&amp;id=1lqUpw_gwVqF-BM0G93ANz22xd7a_dNmE</t>
        </is>
      </c>
      <c r="Y1430" t="inlineStr">
        <is>
          <t>https://drive.google.com/uc?export=view&amp;id=1lqUpw_gwVqF-BM0G93ANz22xd7a_dNmE</t>
        </is>
      </c>
      <c r="Z1430" s="1" t="inlineStr">
        <is>
          <t>https://drive.google.com/uc?export=view&amp;id=1lqUpw_gwVqF-BM0G93ANz22xd7a_dNmE</t>
        </is>
      </c>
      <c r="AA1430" s="1" t="inlineStr">
        <is>
          <t>Unverified</t>
        </is>
      </c>
      <c r="AB1430" s="1" t="n"/>
      <c r="AC1430" s="1" t="n"/>
      <c r="AD1430" s="10" t="n"/>
      <c r="AE1430" s="1" t="n"/>
      <c r="AF1430" s="1" t="inlineStr">
        <is>
          <t>No</t>
        </is>
      </c>
      <c r="AG1430" s="1" t="n"/>
      <c r="AH1430" s="1" t="n"/>
    </row>
    <row r="1431" ht="12.5" customHeight="1">
      <c r="A1431" s="6" t="n">
        <v>45181</v>
      </c>
      <c r="B1431" s="1" t="inlineStr">
        <is>
          <t>ORG_1450</t>
        </is>
      </c>
      <c r="C1431" s="1" t="b">
        <v>1</v>
      </c>
      <c r="D1431" s="1" t="inlineStr">
        <is>
          <t>Edumentors</t>
        </is>
      </c>
      <c r="E1431" s="10" t="inlineStr">
        <is>
          <t>https://edumentors.co.uk</t>
        </is>
      </c>
      <c r="F1431" t="inlineStr">
        <is>
          <t>edumentors.co.uk</t>
        </is>
      </c>
      <c r="G1431" s="1" t="inlineStr">
        <is>
          <t>Edumentors.co.uk is an online tutoring marketplace with a mission to fill the growing learning gap through personalised tutoring approach. Millions of students around the world are falling behind in school or need some support to push themselves to success. Edumentors was created around the idea to help each student succeed and unlock their full potential with the help of role model tutors from the world's best universities.</t>
        </is>
      </c>
      <c r="H1431" s="1" t="inlineStr">
        <is>
          <t>I'm not part of any EdTech association</t>
        </is>
      </c>
      <c r="I1431" s="1" t="inlineStr">
        <is>
          <t>English</t>
        </is>
      </c>
      <c r="J1431" s="1" t="inlineStr">
        <is>
          <t>London</t>
        </is>
      </c>
      <c r="K1431" t="inlineStr">
        <is>
          <t>London</t>
        </is>
      </c>
      <c r="L1431" t="inlineStr">
        <is>
          <t>London, United Kingdom</t>
        </is>
      </c>
      <c r="M1431" t="n">
        <v>51.5074456</v>
      </c>
      <c r="N1431" t="n">
        <v>-0.1277653</v>
      </c>
      <c r="O1431" s="1" t="inlineStr">
        <is>
          <t>United Kingdom</t>
        </is>
      </c>
      <c r="P1431" s="1" t="inlineStr">
        <is>
          <t>Austria, Denmark, Georgia, Germany, Greece, Hungary, Italy, Luxembourg, Poland, Portugal, Spain, Sweden, United Kingdom</t>
        </is>
      </c>
      <c r="Q1431" s="1" t="inlineStr">
        <is>
          <t>11 to 50</t>
        </is>
      </c>
      <c r="R1431" t="inlineStr">
        <is>
          <t>Small</t>
        </is>
      </c>
      <c r="S1431" s="1" t="inlineStr">
        <is>
          <t>Business to Business</t>
        </is>
      </c>
      <c r="T1431" s="1" t="inlineStr">
        <is>
          <t>Primary Education, Secondary Education</t>
        </is>
      </c>
      <c r="U1431" s="1" t="inlineStr">
        <is>
          <t>System/Administrative, Student interfacing</t>
        </is>
      </c>
      <c r="V1431" s="10" t="inlineStr">
        <is>
          <t>Online Tutoring</t>
        </is>
      </c>
      <c r="W1431" s="10" t="inlineStr">
        <is>
          <t>Edumentors provides a wide range of subject-specific tutoring sessions delivered by expert tutors from prestigious universities. Our platform is tailored to meet the unique needs of individual students, offering personalised learning experiences that boost confidence and improve academic performance. Through Edumentors, students can access one-on-one tutoring, study resources, exam preparation materials, and guidance on university applications. We are committed to helping students reach their full potential and achieve their educational goals.</t>
        </is>
      </c>
      <c r="X1431" s="10" t="inlineStr">
        <is>
          <t>https://drive.google.com/uc?export=view&amp;id=1TIPhJjPN6yGSisiG0DCFpVEi9KIHuZ5b</t>
        </is>
      </c>
      <c r="Y1431" t="inlineStr">
        <is>
          <t>https://drive.google.com/uc?export=view&amp;id=1TIPhJjPN6yGSisiG0DCFpVEi9KIHuZ5b</t>
        </is>
      </c>
      <c r="Z1431" s="1" t="inlineStr">
        <is>
          <t>https://drive.google.com/uc?export=view&amp;id=1TIPhJjPN6yGSisiG0DCFpVEi9KIHuZ5b</t>
        </is>
      </c>
      <c r="AA1431" s="1" t="inlineStr">
        <is>
          <t>Unverified</t>
        </is>
      </c>
      <c r="AB1431" s="1" t="n"/>
      <c r="AC1431" s="1" t="n"/>
      <c r="AD1431" s="10" t="n"/>
      <c r="AE1431" s="1" t="n"/>
      <c r="AF1431" t="inlineStr">
        <is>
          <t>Yes</t>
        </is>
      </c>
      <c r="AG1431" t="inlineStr">
        <is>
          <t>https://www.instagram.com/edumentors.co.uk/</t>
        </is>
      </c>
      <c r="AH1431" t="inlineStr">
        <is>
          <t>https://twitter.com/TEdumentors</t>
        </is>
      </c>
      <c r="AI1431" t="inlineStr">
        <is>
          <t>https://www.linkedin.com/company/edumentorsuk/</t>
        </is>
      </c>
    </row>
    <row r="1432" ht="12.5" customHeight="1">
      <c r="A1432" s="6" t="n">
        <v>45181</v>
      </c>
      <c r="B1432" s="1" t="inlineStr">
        <is>
          <t>ORG_1478</t>
        </is>
      </c>
      <c r="C1432" s="1" t="b">
        <v>1</v>
      </c>
      <c r="D1432" s="1" t="inlineStr">
        <is>
          <t>eKidz.eu</t>
        </is>
      </c>
      <c r="E1432" s="10" t="inlineStr">
        <is>
          <t>https://www.ekidz.eu</t>
        </is>
      </c>
      <c r="F1432" t="inlineStr">
        <is>
          <t>ekidz.eu</t>
        </is>
      </c>
      <c r="G1432" s="1" t="inlineStr">
        <is>
          <t>eKidz democratises language education for each child, providing a personalized educational experience for both in classrooms and at home.
With eKidz educators are creating a personalized language experience for every student by identifying and addressing his or her individual needs. We offer a cohesive levelled reading program employing 21st century technology with all of its capacities (AI, audio support, visual animation, etc.) in English, Spanish, German and Ukrainian. We enable synchronization of K-6 literacy instructions in first/second language and bilingual programs for school districts and individual schools. With our mobile solution educators and administrators provide support for talent development and at-risk students in multiple languages.
eKidz.eu addresses the need to transform the concept of learning-teaching from a mere act of memorization to self-learning, to acquire knowledge under the guidance of the teacher and with the support of digital resources.</t>
        </is>
      </c>
      <c r="H1432" s="1" t="inlineStr">
        <is>
          <t>I'm not part of any EdTech association</t>
        </is>
      </c>
      <c r="I1432" s="1" t="n"/>
      <c r="J1432" s="1" t="inlineStr">
        <is>
          <t>Munich</t>
        </is>
      </c>
      <c r="K1432" t="inlineStr">
        <is>
          <t>Munich</t>
        </is>
      </c>
      <c r="L1432" t="inlineStr">
        <is>
          <t>Munich, Germany</t>
        </is>
      </c>
      <c r="M1432" t="n">
        <v>48.1371079</v>
      </c>
      <c r="N1432" t="n">
        <v>11.5753822</v>
      </c>
      <c r="O1432" s="1" t="inlineStr">
        <is>
          <t>Germany</t>
        </is>
      </c>
      <c r="P1432" s="1" t="inlineStr">
        <is>
          <t>Austria, Germany, Luxembourg, Poland, Portugal, Spain, Sweden, Switzerland, Ukraine, United Kingdom</t>
        </is>
      </c>
      <c r="Q1432" s="1" t="inlineStr">
        <is>
          <t>11 to 50</t>
        </is>
      </c>
      <c r="R1432" t="inlineStr">
        <is>
          <t>Small</t>
        </is>
      </c>
      <c r="S1432" s="1" t="inlineStr">
        <is>
          <t>Business to Business, Business to Consumer</t>
        </is>
      </c>
      <c r="T1432" s="1" t="inlineStr">
        <is>
          <t>Primary Education, Secondary Education</t>
        </is>
      </c>
      <c r="U1432" s="1" t="inlineStr">
        <is>
          <t>System/Administrative, Student interfacing, Teacher interfacing</t>
        </is>
      </c>
      <c r="V1432" s="10" t="inlineStr">
        <is>
          <t>eKidz.eu app - Personalised language education for schools</t>
        </is>
      </c>
      <c r="W1432" s="10" t="inlineStr">
        <is>
          <t>eKidz.eu is a language learning application for beginners through to more advanced school learners (K-6) in English, Spanish, German and Ukrainian.
eKidz.eu was developed with the individual child in mind: to develop and evaluate reading, listening, speaking and comprehension skills at the child’s individual pace and level, meeting the individual’s need in the classroom and remotely. eKidz embraces all elements of language learning through the traditional method of storytelling while harnessing the ubiquity of electronics.</t>
        </is>
      </c>
      <c r="X1432" s="10" t="inlineStr">
        <is>
          <t>eKidz.eu app - Languages made easy for families</t>
        </is>
      </c>
      <c r="Y1432" t="inlineStr">
        <is>
          <t>eKidz.eu is the app of choice for families to provide support in reading and language learning for children aged 5+.
Carefully created by an acclaimed team of renowned children's authors and top-notch speech therapists, eKidz.eu helps young readers learn languages proficiently with books, companion reading exercises, narration in karaoke-style, storytelling activities and more. Beginner readers engage in a playful way to develop their foundational skills in four key areas of language proficiency: reading fluency, reading comprehension, pronunciation and intonation.</t>
        </is>
      </c>
      <c r="Z1432" s="1" t="inlineStr">
        <is>
          <t>https://drive.google.com/uc?export=view&amp;id=1GDSlTxv2_UqA8HQbwfG8hs0L1OdjHRwl</t>
        </is>
      </c>
      <c r="AA1432" s="1" t="inlineStr">
        <is>
          <t>Unverified</t>
        </is>
      </c>
      <c r="AB1432" s="1" t="n"/>
      <c r="AC1432" s="1" t="n"/>
      <c r="AD1432" s="10" t="n"/>
      <c r="AE1432" s="1" t="n"/>
      <c r="AF1432" t="inlineStr">
        <is>
          <t>Yes</t>
        </is>
      </c>
      <c r="AG1432" t="inlineStr">
        <is>
          <t>https://www.instagram.com/ekidz.eu/</t>
        </is>
      </c>
      <c r="AH1432" t="inlineStr">
        <is>
          <t>https://twitter.com/eKidz_eu</t>
        </is>
      </c>
      <c r="AI1432" t="inlineStr">
        <is>
          <t>https://www.linkedin.com/company/17961410/admin/</t>
        </is>
      </c>
    </row>
    <row r="1433" ht="12.5" customHeight="1">
      <c r="A1433" s="6" t="n">
        <v>45181</v>
      </c>
      <c r="B1433" s="1" t="inlineStr">
        <is>
          <t>ORG_1499</t>
        </is>
      </c>
      <c r="C1433" s="1" t="b">
        <v>1</v>
      </c>
      <c r="D1433" s="1" t="inlineStr">
        <is>
          <t>Enlight Ed</t>
        </is>
      </c>
      <c r="E1433" s="10" t="inlineStr">
        <is>
          <t>https://enlighted.app/</t>
        </is>
      </c>
      <c r="F1433" t="inlineStr">
        <is>
          <t>enlighted.app</t>
        </is>
      </c>
      <c r="G1433" s="1" t="inlineStr">
        <is>
          <t>Enlight Ed's digital platform turns exercise solving into a conversation. It enables teachers to support students better with their learning gaps in their first year of higher education and reduce the risks of dropping out.</t>
        </is>
      </c>
      <c r="H1433" s="1" t="inlineStr">
        <is>
          <t>I'm not part of any EdTech association</t>
        </is>
      </c>
      <c r="I1433" s="1" t="n"/>
      <c r="J1433" s="1" t="inlineStr">
        <is>
          <t>Amstelveen</t>
        </is>
      </c>
      <c r="K1433" t="inlineStr">
        <is>
          <t>Amstelveen</t>
        </is>
      </c>
      <c r="L1433" t="inlineStr">
        <is>
          <t>Amstelveen, The Netherlands</t>
        </is>
      </c>
      <c r="M1433" t="n">
        <v>52.2991284</v>
      </c>
      <c r="N1433" t="n">
        <v>4.8618135</v>
      </c>
      <c r="O1433" s="1" t="inlineStr">
        <is>
          <t>The Netherlands</t>
        </is>
      </c>
      <c r="P1433" s="1" t="inlineStr">
        <is>
          <t>Belgium, Netherlands, United Kingdom</t>
        </is>
      </c>
      <c r="Q1433" s="1" t="inlineStr">
        <is>
          <t>0 to 10</t>
        </is>
      </c>
      <c r="R1433" t="inlineStr">
        <is>
          <t>Micro</t>
        </is>
      </c>
      <c r="S1433" s="1" t="inlineStr">
        <is>
          <t>Business to Business, Business to Consumer</t>
        </is>
      </c>
      <c r="T1433" s="1" t="inlineStr">
        <is>
          <t>Higher Education</t>
        </is>
      </c>
      <c r="U1433" s="1" t="inlineStr">
        <is>
          <t>Teacher interfacing, System/Administrative</t>
        </is>
      </c>
      <c r="V1433" s="1" t="n"/>
      <c r="W1433" s="1" t="inlineStr">
        <is>
          <t>https://drive.google.com/uc?export=view&amp;id=1Tvo__8cEngfyPIdylpneeTwrGRLdjog9</t>
        </is>
      </c>
      <c r="X1433" s="1" t="inlineStr">
        <is>
          <t>https://drive.google.com/uc?export=view&amp;id=1Tvo__8cEngfyPIdylpneeTwrGRLdjog9</t>
        </is>
      </c>
      <c r="Y1433" t="inlineStr">
        <is>
          <t>https://drive.google.com/uc?export=view&amp;id=1Tvo__8cEngfyPIdylpneeTwrGRLdjog9</t>
        </is>
      </c>
      <c r="Z1433" s="1" t="inlineStr">
        <is>
          <t>https://drive.google.com/uc?export=view&amp;id=1Tvo__8cEngfyPIdylpneeTwrGRLdjog9</t>
        </is>
      </c>
      <c r="AA1433" s="1" t="inlineStr">
        <is>
          <t>Unverified</t>
        </is>
      </c>
      <c r="AB1433" s="1" t="n"/>
      <c r="AC1433" s="1" t="n"/>
      <c r="AD1433" s="10" t="n"/>
      <c r="AE1433" s="1" t="n"/>
      <c r="AF1433" t="inlineStr">
        <is>
          <t>No</t>
        </is>
      </c>
    </row>
    <row r="1434" ht="12.5" customHeight="1">
      <c r="A1434" s="6" t="n">
        <v>45181</v>
      </c>
      <c r="B1434" s="1" t="inlineStr">
        <is>
          <t>ORG_1532</t>
        </is>
      </c>
      <c r="C1434" s="1" t="b">
        <v>1</v>
      </c>
      <c r="D1434" s="1" t="inlineStr">
        <is>
          <t>Evrlearn</t>
        </is>
      </c>
      <c r="E1434" s="10" t="inlineStr">
        <is>
          <t>https://www.evrlearn.ch/</t>
        </is>
      </c>
      <c r="F1434" t="inlineStr">
        <is>
          <t>evrlearn.ch</t>
        </is>
      </c>
      <c r="G1434" s="1" t="inlineStr">
        <is>
          <t>Evrlearn is a mission-driven startup focused on building products to enable millions of people in leading a self-determined career and achieving their dreams. We got started on a long journey in building a new Circular Skill Economy to unlock the individual potential of millions of people, connecting them with the jobs they love and with the upskilling opportunities they trust for building their skills.</t>
        </is>
      </c>
      <c r="H1434" s="1" t="inlineStr">
        <is>
          <t>I'm not part of any EdTech association</t>
        </is>
      </c>
      <c r="I1434" s="1" t="n"/>
      <c r="J1434" s="1" t="inlineStr">
        <is>
          <t>Zurich</t>
        </is>
      </c>
      <c r="K1434" t="inlineStr">
        <is>
          <t>Zurich</t>
        </is>
      </c>
      <c r="L1434" t="inlineStr">
        <is>
          <t>Zurich, Switzerland</t>
        </is>
      </c>
      <c r="M1434" t="n">
        <v>47.3744489</v>
      </c>
      <c r="N1434" t="n">
        <v>8.5410422</v>
      </c>
      <c r="O1434" s="1" t="inlineStr">
        <is>
          <t>Switzerland</t>
        </is>
      </c>
      <c r="P1434" s="1" t="inlineStr">
        <is>
          <t>Germany, Switzerland</t>
        </is>
      </c>
      <c r="Q1434" s="1" t="inlineStr">
        <is>
          <t>0 to 10</t>
        </is>
      </c>
      <c r="R1434" t="inlineStr">
        <is>
          <t>Micro</t>
        </is>
      </c>
      <c r="S1434" s="1" t="inlineStr">
        <is>
          <t>Business to Business, Business to Consumer</t>
        </is>
      </c>
      <c r="T1434" s="1" t="inlineStr">
        <is>
          <t>Corporate Training, Lifelong learning/Adult education</t>
        </is>
      </c>
      <c r="U1434" s="1" t="inlineStr">
        <is>
          <t>Teacher interfacing, Student interfacing, System/Administrative</t>
        </is>
      </c>
      <c r="V1434" s="1" t="n"/>
      <c r="W1434" s="1" t="inlineStr">
        <is>
          <t>https://drive.google.com/uc?export=view&amp;id=1dMugZR0fP8uORhsyOBfLBnYwn1Li_eL6</t>
        </is>
      </c>
      <c r="X1434" s="1" t="inlineStr">
        <is>
          <t>https://drive.google.com/uc?export=view&amp;id=1dMugZR0fP8uORhsyOBfLBnYwn1Li_eL6</t>
        </is>
      </c>
      <c r="Y1434" t="inlineStr">
        <is>
          <t>https://drive.google.com/uc?export=view&amp;id=1dMugZR0fP8uORhsyOBfLBnYwn1Li_eL6</t>
        </is>
      </c>
      <c r="Z1434" s="1" t="inlineStr">
        <is>
          <t>https://drive.google.com/uc?export=view&amp;id=1dMugZR0fP8uORhsyOBfLBnYwn1Li_eL6</t>
        </is>
      </c>
      <c r="AA1434" s="1" t="inlineStr">
        <is>
          <t>Unverified</t>
        </is>
      </c>
      <c r="AB1434" s="1" t="n"/>
      <c r="AC1434" s="1" t="n"/>
      <c r="AD1434" s="10" t="n"/>
      <c r="AE1434" s="1" t="n"/>
      <c r="AF1434" s="1" t="inlineStr">
        <is>
          <t>No</t>
        </is>
      </c>
      <c r="AG1434" s="1" t="n"/>
      <c r="AH1434" s="1" t="n"/>
    </row>
    <row r="1435" ht="12.5" customHeight="1">
      <c r="A1435" s="6" t="n">
        <v>45181</v>
      </c>
      <c r="B1435" s="1" t="inlineStr">
        <is>
          <t>ORG_1536</t>
        </is>
      </c>
      <c r="C1435" s="1" t="b">
        <v>1</v>
      </c>
      <c r="D1435" s="10" t="inlineStr">
        <is>
          <t>Exam.net</t>
        </is>
      </c>
      <c r="E1435" s="10" t="inlineStr">
        <is>
          <t>https://exam.net/</t>
        </is>
      </c>
      <c r="F1435" t="inlineStr">
        <is>
          <t>exam.net</t>
        </is>
      </c>
      <c r="G1435" s="1" t="inlineStr">
        <is>
          <t>Exam.net is a platform for conducting secure digital exams. Created by teachers who understand the realities of the classroom, the platform is user friendly and intuitive. Exam.net is used by schools and universities in more than 100 countries all over the world, both to conduct national examinations and regular exams and assignments.</t>
        </is>
      </c>
      <c r="H1435" s="1" t="inlineStr">
        <is>
          <t>I'm not part of any EdTech association</t>
        </is>
      </c>
      <c r="I1435" s="1" t="n"/>
      <c r="J1435" s="1" t="inlineStr">
        <is>
          <t>Danderyd</t>
        </is>
      </c>
      <c r="K1435" t="inlineStr">
        <is>
          <t>Danderyd</t>
        </is>
      </c>
      <c r="L1435" t="inlineStr">
        <is>
          <t>Danderyd, Sweden</t>
        </is>
      </c>
      <c r="M1435" t="n">
        <v>59.4043647</v>
      </c>
      <c r="N1435" t="n">
        <v>18.0358505</v>
      </c>
      <c r="O1435" s="1" t="inlineStr">
        <is>
          <t>Sweden</t>
        </is>
      </c>
      <c r="P1435" s="1" t="inlineStr">
        <is>
          <t>Albania, Andorra, Austria, Belgium, Bosnia and Herzegovina, Bulgaria, Croatia, Czechia, Denmark, Estonia, Finland, France, Georgia, Germany, Greece, Hungary, Ireland, Italy, Kazakhstan, Latvia, Liechtenstein, Lithuania, Luxembourg, Malta, North Macedonia, Poland, Portugal, Romania, Serbia, Slovakia, Slovenia, Spain, Sweden, Switzerland, Turkey, Ukraine, United Kingdom</t>
        </is>
      </c>
      <c r="Q1435" s="1" t="inlineStr">
        <is>
          <t>11 to 50</t>
        </is>
      </c>
      <c r="R1435" t="inlineStr">
        <is>
          <t>Small</t>
        </is>
      </c>
      <c r="S1435" s="1" t="inlineStr">
        <is>
          <t>Business to Business, Business to Consumer</t>
        </is>
      </c>
      <c r="T1435" s="1" t="inlineStr">
        <is>
          <t>Primary Education, Secondary Education, Higher Education</t>
        </is>
      </c>
      <c r="U1435" s="1" t="inlineStr">
        <is>
          <t>Teacher interfacing</t>
        </is>
      </c>
      <c r="V1435" s="1" t="n"/>
      <c r="W1435" s="1" t="inlineStr">
        <is>
          <t>https://drive.google.com/uc?export=view&amp;id=1r4zx5Dt9TBtRxJGSWVGP3dhERXMiabIL</t>
        </is>
      </c>
      <c r="X1435" s="1" t="inlineStr">
        <is>
          <t>https://drive.google.com/uc?export=view&amp;id=1r4zx5Dt9TBtRxJGSWVGP3dhERXMiabIL</t>
        </is>
      </c>
      <c r="Y1435" t="inlineStr">
        <is>
          <t>https://drive.google.com/uc?export=view&amp;id=1r4zx5Dt9TBtRxJGSWVGP3dhERXMiabIL</t>
        </is>
      </c>
      <c r="Z1435" s="1" t="inlineStr">
        <is>
          <t>https://drive.google.com/uc?export=view&amp;id=1r4zx5Dt9TBtRxJGSWVGP3dhERXMiabIL</t>
        </is>
      </c>
      <c r="AA1435" s="1" t="inlineStr">
        <is>
          <t>Unverified</t>
        </is>
      </c>
      <c r="AB1435" s="1" t="n"/>
      <c r="AC1435" s="1" t="n"/>
      <c r="AD1435" s="10" t="n"/>
      <c r="AE1435" s="1" t="n"/>
      <c r="AF1435" s="1" t="inlineStr">
        <is>
          <t>No</t>
        </is>
      </c>
      <c r="AG1435" s="1" t="n"/>
      <c r="AH1435" s="1" t="n"/>
    </row>
    <row r="1436" ht="12.5" customHeight="1">
      <c r="A1436" s="6" t="n">
        <v>45181</v>
      </c>
      <c r="B1436" s="1" t="inlineStr">
        <is>
          <t>ORG_1540</t>
        </is>
      </c>
      <c r="C1436" s="1" t="b">
        <v>1</v>
      </c>
      <c r="D1436" s="10" t="inlineStr">
        <is>
          <t>eximiatutor.com</t>
        </is>
      </c>
      <c r="E1436" s="1" t="inlineStr">
        <is>
          <t>eximniatutor.com and eximia.fi</t>
        </is>
      </c>
      <c r="F1436" t="inlineStr">
        <is>
          <t>eximniatutor.com and eximia.fi</t>
        </is>
      </c>
      <c r="G1436" s="1" t="inlineStr">
        <is>
          <t>Eximia has over 20 years organised prepping courses and private tutoring in Finland. We started to combine Finnish pedagogic knowhow (well known from our PISA results) and technology. Our goal was develop learning solution to help students to reach the best grades ever. The innovation Eximiatutor is AI based learning soft ware. Eximiatutor's key advantage is the AI based task revision system. Exmiatutor.com service makes automatic revision of the essay (text) and Math tasks (like teacher). Instant and right timing feedback enhance student's grades and business model cuts the costs. Eximiatutor.com is capable to understand 10 languages.</t>
        </is>
      </c>
      <c r="H1436" s="1" t="inlineStr">
        <is>
          <t>EdTech Finland</t>
        </is>
      </c>
      <c r="I1436" s="1" t="n"/>
      <c r="J1436" s="1" t="inlineStr">
        <is>
          <t>Helsinki</t>
        </is>
      </c>
      <c r="K1436" t="inlineStr">
        <is>
          <t>Helsinki</t>
        </is>
      </c>
      <c r="L1436" t="inlineStr">
        <is>
          <t>Helsinki, Finland</t>
        </is>
      </c>
      <c r="M1436" t="n">
        <v>60.1666204</v>
      </c>
      <c r="N1436" t="n">
        <v>24.9435408</v>
      </c>
      <c r="O1436" s="1" t="inlineStr">
        <is>
          <t>Finland</t>
        </is>
      </c>
      <c r="P1436" s="1" t="inlineStr">
        <is>
          <t>Finland, Latvia, Netherlands, Spain, United Kingdom</t>
        </is>
      </c>
      <c r="Q1436" s="1" t="inlineStr">
        <is>
          <t>0 to 10</t>
        </is>
      </c>
      <c r="R1436" t="inlineStr">
        <is>
          <t>Micro</t>
        </is>
      </c>
      <c r="S1436" s="1" t="inlineStr">
        <is>
          <t>Business to Business, Business to Consumer, Business to Government</t>
        </is>
      </c>
      <c r="T1436" s="1" t="inlineStr">
        <is>
          <t>Secondary Education, Higher Education, Corporate Training</t>
        </is>
      </c>
      <c r="U1436" s="1" t="inlineStr">
        <is>
          <t>System/Administrative, Student interfacing, Teacher interfacing</t>
        </is>
      </c>
      <c r="V1436" s="10" t="inlineStr">
        <is>
          <t>eximiatutor.com</t>
        </is>
      </c>
      <c r="W1436" s="1" t="inlineStr">
        <is>
          <t>Eximiatutor.com is as SaaS model working AI based learning and tutoring service. Solution makes automatic revision of the essay (text) and Math tasks (like teacher). Instant and right timing feedback enhance student's grades and business model cuts the costs, so the price is reasonable cheap. 
Eximiatutor.com customer segments:
1.) (B2C) K-12 students and other students (universities, adults)
2.) (B2B) Companies, education institutes, HR business 
Eximiatutor offers at first stage 1.) ready-made content and 2.) Company's own content. We offer High School tutoring and courses in main western languages.
In the second stage open platform as SaaS model will be launched.</t>
        </is>
      </c>
      <c r="X1436" s="10" t="n"/>
      <c r="Z1436" s="10" t="n"/>
      <c r="AA1436" s="1" t="inlineStr">
        <is>
          <t>Unverified</t>
        </is>
      </c>
      <c r="AB1436" s="1" t="n"/>
      <c r="AC1436" s="1" t="n"/>
      <c r="AD1436" s="1" t="n"/>
      <c r="AE1436" s="1" t="n"/>
      <c r="AF1436" t="inlineStr">
        <is>
          <t>Yes</t>
        </is>
      </c>
      <c r="AG1436" t="inlineStr">
        <is>
          <t>https://www.instagram.com/valmennustiimi_eximia/channel/?hl=fi</t>
        </is>
      </c>
      <c r="AH1436" t="inlineStr">
        <is>
          <t>Valmennustiimi Eximia Oy</t>
        </is>
      </c>
      <c r="AI1436" t="inlineStr">
        <is>
          <t>https://www.linkedin.com/company/valmennustiimi-eximia/mycompany/?viewAsMember=true</t>
        </is>
      </c>
    </row>
    <row r="1437" ht="12.5" customHeight="1">
      <c r="A1437" s="6" t="n">
        <v>45181</v>
      </c>
      <c r="B1437" s="1" t="inlineStr">
        <is>
          <t>ORG_1559</t>
        </is>
      </c>
      <c r="C1437" s="1" t="b">
        <v>1</v>
      </c>
      <c r="D1437" s="1" t="inlineStr">
        <is>
          <t>FeedbackFruits</t>
        </is>
      </c>
      <c r="E1437" s="10" t="inlineStr">
        <is>
          <t>https://feedbackfruits.com</t>
        </is>
      </c>
      <c r="F1437" t="inlineStr">
        <is>
          <t>feedbackfruits.com</t>
        </is>
      </c>
      <c r="G1437" s="1" t="inlineStr">
        <is>
          <t>FeedbackFruits is an edtech company based in Amsterdam, whose mission is to help foster a generation of critical and empathic thinkers through education. Working together with over 100 leading universities, FeedbackFruits co-creates pedagogical tooling so teachers can implement world class learning experiences with 1% of the original workload. This LMS-integrated tool suite encompasses a wide range of engaging learning activities from self &amp; peer assessment to team-based learning.
The tools are now used by universities in Europe and worldwide such as TU Delft, MITx, the Wharton School and Deakin University. From its partnership with Microsoft to becoming a winner at the Reimagine Education Awards, FeedbackFruits has been fulfilling its mission to drive pedagogical innovation.</t>
        </is>
      </c>
      <c r="H1437" s="1" t="inlineStr">
        <is>
          <t>Dutch EdTech</t>
        </is>
      </c>
      <c r="I1437" s="1" t="n"/>
      <c r="J1437" s="1" t="inlineStr">
        <is>
          <t>Amsterdam</t>
        </is>
      </c>
      <c r="K1437" t="inlineStr">
        <is>
          <t>Amsterdam</t>
        </is>
      </c>
      <c r="L1437" t="inlineStr">
        <is>
          <t>Amsterdam, The Netherlands</t>
        </is>
      </c>
      <c r="M1437" t="n">
        <v>52.3701984</v>
      </c>
      <c r="N1437" t="n">
        <v>4.892168</v>
      </c>
      <c r="O1437" s="1" t="inlineStr">
        <is>
          <t>The Netherlands</t>
        </is>
      </c>
      <c r="P1437" s="1" t="inlineStr">
        <is>
          <t>Belgium, France, Germany, Iceland, Ireland, Italy, Netherlands, Norway, Portugal, Spain, Sweden, United Kingdom</t>
        </is>
      </c>
      <c r="Q1437" s="1" t="inlineStr">
        <is>
          <t>51 to 100</t>
        </is>
      </c>
      <c r="R1437" t="inlineStr">
        <is>
          <t>Medium</t>
        </is>
      </c>
      <c r="S1437" s="1" t="inlineStr">
        <is>
          <t>Business to Business, Business to Consumer, Business to Government, Business to Schools</t>
        </is>
      </c>
      <c r="T1437" s="1" t="inlineStr">
        <is>
          <t>Higher Education</t>
        </is>
      </c>
      <c r="U1437" s="1" t="inlineStr">
        <is>
          <t>Teacher interfacing, System/Administrative</t>
        </is>
      </c>
      <c r="V1437" s="10" t="inlineStr">
        <is>
          <t>FeedbackFruits Tool Suite</t>
        </is>
      </c>
      <c r="W1437" s="10" t="inlineStr">
        <is>
          <t>FeedbackFruits Tool Suite helps educators design engaging courses with learning activities such as peer assessment, team based learning, interactive study material and online discussions in a scalable and flexible manner. The suite integrates into Learning Management Systems such as Canvas and Brightspace to keep assignments organised and ensure easy access for teachers and students.</t>
        </is>
      </c>
      <c r="X1437" s="10" t="inlineStr">
        <is>
          <t>https://drive.google.com/uc?export=view&amp;id=1zJTM2wgDxCMGc2Slc2310Q3G4OE7rsFo</t>
        </is>
      </c>
      <c r="Y1437" t="inlineStr">
        <is>
          <t>https://drive.google.com/uc?export=view&amp;id=1zJTM2wgDxCMGc2Slc2310Q3G4OE7rsFo</t>
        </is>
      </c>
      <c r="Z1437" s="1" t="inlineStr">
        <is>
          <t>https://drive.google.com/uc?export=view&amp;id=1zJTM2wgDxCMGc2Slc2310Q3G4OE7rsFo</t>
        </is>
      </c>
      <c r="AA1437" s="1" t="inlineStr">
        <is>
          <t>Unverified</t>
        </is>
      </c>
      <c r="AB1437" s="1" t="n"/>
      <c r="AC1437" s="1" t="n"/>
      <c r="AD1437" s="10" t="n"/>
      <c r="AE1437" s="1" t="n"/>
      <c r="AF1437" t="inlineStr">
        <is>
          <t>Yes</t>
        </is>
      </c>
      <c r="AG1437" t="inlineStr">
        <is>
          <t>https://www.instagram.com/feedbackfruits</t>
        </is>
      </c>
      <c r="AH1437" t="inlineStr">
        <is>
          <t>https://www.twitter.com/feedbackfruits</t>
        </is>
      </c>
      <c r="AI1437" t="inlineStr">
        <is>
          <t>https://www.linkedin.com/company/feedbackfruits</t>
        </is>
      </c>
    </row>
    <row r="1438" ht="12.5" customHeight="1">
      <c r="A1438" s="6" t="n">
        <v>45181</v>
      </c>
      <c r="B1438" s="1" t="inlineStr">
        <is>
          <t>ORG_1593</t>
        </is>
      </c>
      <c r="C1438" s="1" t="b">
        <v>1</v>
      </c>
      <c r="D1438" s="1" t="inlineStr">
        <is>
          <t>FunniFin</t>
        </is>
      </c>
      <c r="E1438" s="10" t="inlineStr">
        <is>
          <t>https://www.funnifin.com/</t>
        </is>
      </c>
      <c r="F1438" t="inlineStr">
        <is>
          <t>funnifin.com</t>
        </is>
      </c>
      <c r="G1438" s="1" t="inlineStr">
        <is>
          <t>Financial education tool as a service for financial institutions, fintech companies and banks. FunniFin improves your client's financial literacy and enhance customer loyalty.
FunniFin is also your trusted financial wellness platform, dedicated to empowering employees to make informed and confident financial choices. We collaborate closely with employers to address the number one concern that employees bring to the workplace: their financial well-being.
Our mission is to make financial education funny and accessible for everyone.</t>
        </is>
      </c>
      <c r="H1438" s="1" t="inlineStr">
        <is>
          <t>EdTech Italia</t>
        </is>
      </c>
      <c r="I1438" s="1" t="inlineStr">
        <is>
          <t>Italian, English</t>
        </is>
      </c>
      <c r="J1438" s="1" t="inlineStr">
        <is>
          <t>Florence</t>
        </is>
      </c>
      <c r="K1438" t="inlineStr">
        <is>
          <t>Florence</t>
        </is>
      </c>
      <c r="L1438" t="inlineStr">
        <is>
          <t>Florence, Italy</t>
        </is>
      </c>
      <c r="M1438" t="n">
        <v>43.7697955</v>
      </c>
      <c r="N1438" t="n">
        <v>11.2556404</v>
      </c>
      <c r="O1438" s="1" t="inlineStr">
        <is>
          <t>Italy</t>
        </is>
      </c>
      <c r="P1438" s="1" t="inlineStr">
        <is>
          <t>Denmark, Finland, Italy, Sweden, United Kingdom</t>
        </is>
      </c>
      <c r="Q1438" s="1" t="inlineStr">
        <is>
          <t>3 to 5</t>
        </is>
      </c>
      <c r="R1438" t="inlineStr">
        <is>
          <t>Micro</t>
        </is>
      </c>
      <c r="S1438" s="1" t="inlineStr">
        <is>
          <t>Business to Business, Business to Consumer, Business to Government, Business to Schools</t>
        </is>
      </c>
      <c r="T1438" s="1" t="inlineStr">
        <is>
          <t>Corporate Training, Lifelong learning/Adult education</t>
        </is>
      </c>
      <c r="U1438" s="1" t="inlineStr">
        <is>
          <t>System/Administrative</t>
        </is>
      </c>
      <c r="V1438" s="10" t="inlineStr">
        <is>
          <t>FunniFin</t>
        </is>
      </c>
      <c r="W1438" s="1" t="inlineStr">
        <is>
          <t>Financial education tool as a service for financial institutions, fintech companies and banks. FunniFin improves your client's financial literacy and enhance customer loyalty.
FunniFin is also your trusted financial wellness platform, dedicated to empowering employees to make informed and confident financial choices. We collaborate closely with employers to address the number one concern that employees bring to the workplace: their financial well-being.
Our mission is to make financial education funny and accessible for everyone.</t>
        </is>
      </c>
      <c r="X1438" s="10" t="inlineStr">
        <is>
          <t>https://drive.google.com/uc?export=view&amp;id=1teAsuFWEpm3Uk29BFk140S5AigUEdQBU</t>
        </is>
      </c>
      <c r="Y1438" t="inlineStr">
        <is>
          <t>https://drive.google.com/uc?export=view&amp;id=1teAsuFWEpm3Uk29BFk140S5AigUEdQBU</t>
        </is>
      </c>
      <c r="Z1438" s="1" t="inlineStr">
        <is>
          <t>https://drive.google.com/uc?export=view&amp;id=1teAsuFWEpm3Uk29BFk140S5AigUEdQBU</t>
        </is>
      </c>
      <c r="AA1438" s="1" t="inlineStr">
        <is>
          <t>Unverified</t>
        </is>
      </c>
      <c r="AB1438" s="1" t="n"/>
      <c r="AC1438" s="1" t="n"/>
      <c r="AD1438" s="10" t="n"/>
      <c r="AE1438" s="1" t="n"/>
      <c r="AF1438" t="inlineStr">
        <is>
          <t>Yes</t>
        </is>
      </c>
      <c r="AG1438" t="inlineStr">
        <is>
          <t>https://instagram.com/funnifin_app?igshid=MzRlODBiNWFlZA==</t>
        </is>
      </c>
      <c r="AH1438" t="inlineStr">
        <is>
          <t>https://www.linkedin.com/company/funnifin/?viewAsMember=true</t>
        </is>
      </c>
      <c r="AI1438" t="inlineStr">
        <is>
          <t>https://www.linkedin.com/company/funnifin/?viewAsMember=true</t>
        </is>
      </c>
    </row>
    <row r="1439" ht="12.5" customHeight="1">
      <c r="A1439" s="6" t="n">
        <v>45181</v>
      </c>
      <c r="B1439" s="1" t="inlineStr">
        <is>
          <t>ORG_1615</t>
        </is>
      </c>
      <c r="C1439" s="1" t="b">
        <v>1</v>
      </c>
      <c r="D1439" s="1" t="inlineStr">
        <is>
          <t>Genially</t>
        </is>
      </c>
      <c r="E1439" s="10" t="inlineStr">
        <is>
          <t>https://genially.com?utm_source=EuropeanEdtechAllianceMap&amp;utm_medium=web&amp;utm_campaign=EdTechMap</t>
        </is>
      </c>
      <c r="F1439" t="inlineStr">
        <is>
          <t>genially.com?utm_source=europeanedtechalliancemap&amp;utm_medium=web&amp;utm_campaign=edtechmap</t>
        </is>
      </c>
      <c r="G1439" s="1" t="inlineStr">
        <is>
          <t>Genially is an online tool for creating digital content, which anyone can use to make presentations, infographics, gamifications, images, and other content interactive. It's simple and free.
Genially's aim is clear; we want everyone to be able to communicate effectively and keep their audience on its toes while reaching a whole new level and creating content they didn't know they were capable of making.
Our mission is to enable anyone to create content that's astonishing, visual, and interactive. That's why we want interactive content to be the new standard. Our content formats aren't just presentations or infographics; they're geniallys.</t>
        </is>
      </c>
      <c r="H1439" s="1" t="inlineStr">
        <is>
          <t>EdTech France</t>
        </is>
      </c>
      <c r="I1439" s="1" t="n"/>
      <c r="J1439" s="1" t="inlineStr">
        <is>
          <t>Cordoba</t>
        </is>
      </c>
      <c r="K1439" t="inlineStr">
        <is>
          <t>Cordoba</t>
        </is>
      </c>
      <c r="L1439" t="inlineStr">
        <is>
          <t>Cordoba, Spain</t>
        </is>
      </c>
      <c r="M1439" t="n">
        <v>37.8845813</v>
      </c>
      <c r="N1439" t="n">
        <v>-4.7760138</v>
      </c>
      <c r="O1439" s="1" t="inlineStr">
        <is>
          <t>Spain</t>
        </is>
      </c>
      <c r="P143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439" s="1" t="inlineStr">
        <is>
          <t>100+</t>
        </is>
      </c>
      <c r="R1439" t="inlineStr">
        <is>
          <t>Medium or Large (unspecified)</t>
        </is>
      </c>
      <c r="S1439" s="1" t="inlineStr">
        <is>
          <t>Business to Business, Business to Consumer, Business to Government, Business to Schools</t>
        </is>
      </c>
      <c r="T1439" s="1" t="inlineStr">
        <is>
          <t>Primary Education, Secondary Education, Higher Education, Corporate Training, Lifelong learning/Adult education</t>
        </is>
      </c>
      <c r="U1439" s="1" t="inlineStr">
        <is>
          <t>Student interfacing, Teacher interfacing, System/Administrative</t>
        </is>
      </c>
      <c r="V1439" s="10" t="inlineStr">
        <is>
          <t>Genially</t>
        </is>
      </c>
      <c r="W1439" s="10" t="inlineStr">
        <is>
          <t>Genially is an online tool for creating digital content, which anyone can use to make presentations, infographics, gamifications, images, and other content interactive. It's simple and free.</t>
        </is>
      </c>
      <c r="X1439" s="10" t="inlineStr">
        <is>
          <t>https://drive.google.com/uc?export=view&amp;id=1ItOWzrqzN816-Lt2ezVugBj7CswsK9fD</t>
        </is>
      </c>
      <c r="Y1439" t="inlineStr">
        <is>
          <t>https://drive.google.com/uc?export=view&amp;id=1ItOWzrqzN816-Lt2ezVugBj7CswsK9fD</t>
        </is>
      </c>
      <c r="Z1439" s="1" t="inlineStr">
        <is>
          <t>https://drive.google.com/uc?export=view&amp;id=1ItOWzrqzN816-Lt2ezVugBj7CswsK9fD</t>
        </is>
      </c>
      <c r="AA1439" s="1" t="inlineStr">
        <is>
          <t>Unverified</t>
        </is>
      </c>
      <c r="AB1439" s="1" t="n"/>
      <c r="AC1439" s="1" t="n"/>
      <c r="AD1439" s="10" t="n"/>
      <c r="AE1439" s="1" t="n"/>
      <c r="AF1439" t="inlineStr">
        <is>
          <t>Yes</t>
        </is>
      </c>
      <c r="AG1439" t="inlineStr">
        <is>
          <t>https://www.instagram.com/genially_official/</t>
        </is>
      </c>
      <c r="AH1439" t="inlineStr">
        <is>
          <t>https://twitter.com/genially</t>
        </is>
      </c>
      <c r="AI1439" t="inlineStr">
        <is>
          <t>https://www.linkedin.com/company/geniallyofficial/</t>
        </is>
      </c>
    </row>
    <row r="1440" ht="12.5" customHeight="1">
      <c r="A1440" s="6" t="n">
        <v>45181</v>
      </c>
      <c r="B1440" s="1" t="inlineStr">
        <is>
          <t>ORG_1623</t>
        </is>
      </c>
      <c r="C1440" s="1" t="b">
        <v>1</v>
      </c>
      <c r="D1440" s="1" t="inlineStr">
        <is>
          <t>Ginntech</t>
        </is>
      </c>
      <c r="E1440" s="10" t="inlineStr">
        <is>
          <t>https://ginntech.com/</t>
        </is>
      </c>
      <c r="F1440" t="inlineStr">
        <is>
          <t>ginntech.com</t>
        </is>
      </c>
      <c r="G1440" s="1" t="inlineStr">
        <is>
          <t>Ginntech is a Norwegian ed-tech company. We develop user-friendly, powerful, and smart digital solutions to colleges, universities and vocational schools. Our expertise lies within collaboration solutions and support for process flow at educational institutions.
Our main solutions are:
- Eudutorium, our Curriculum Management system. It is a SAAS solution to meet the quality challenges in course design, development and approval processes and outcomes! Intelligent workflows allow people with different objectives and skillsets to work together seamlessly, and with great efficiency. Edutorium is designed to create a maintenance-free, robustly structured, searchable catalogue of all course descriptions, study plans and materials for archiving and live use
- Mimir, our platform for data collection and data analysis! We have developed different MIMIR application, including our advanced curriculum portal, MIRL (Mimir Insight Reading List)
We tailor system support for work processes and digital workflow for all educational institutions.</t>
        </is>
      </c>
      <c r="H1440" s="1" t="inlineStr">
        <is>
          <t>I'm not part of any EdTech association</t>
        </is>
      </c>
      <c r="I1440" s="1" t="n"/>
      <c r="J1440" s="1" t="inlineStr">
        <is>
          <t>Trondheim</t>
        </is>
      </c>
      <c r="K1440" t="inlineStr">
        <is>
          <t>Trondheim</t>
        </is>
      </c>
      <c r="L1440" t="inlineStr">
        <is>
          <t>Trondheim, Norway</t>
        </is>
      </c>
      <c r="M1440" t="n">
        <v>63.4304475</v>
      </c>
      <c r="N1440" t="n">
        <v>10.3952118</v>
      </c>
      <c r="O1440" s="1" t="inlineStr">
        <is>
          <t>Norway</t>
        </is>
      </c>
      <c r="P1440" s="1" t="inlineStr">
        <is>
          <t>Norway</t>
        </is>
      </c>
      <c r="Q1440" s="1" t="inlineStr">
        <is>
          <t>0 to 10</t>
        </is>
      </c>
      <c r="R1440" t="inlineStr">
        <is>
          <t>Micro</t>
        </is>
      </c>
      <c r="S1440" s="1" t="inlineStr">
        <is>
          <t>Business to Business, Business to Consumer, Business to Government, Business to Schools</t>
        </is>
      </c>
      <c r="T1440" s="1" t="inlineStr">
        <is>
          <t>Higher Education</t>
        </is>
      </c>
      <c r="U1440" s="1" t="inlineStr">
        <is>
          <t>System/Administrative</t>
        </is>
      </c>
      <c r="V1440" s="1" t="n"/>
      <c r="W1440" s="1" t="inlineStr">
        <is>
          <t>https://drive.google.com/uc?export=view&amp;id=1xTlyWrmVQp73geQm72KLEsNfMyc4yEMt</t>
        </is>
      </c>
      <c r="X1440" s="1" t="inlineStr">
        <is>
          <t>https://drive.google.com/uc?export=view&amp;id=1xTlyWrmVQp73geQm72KLEsNfMyc4yEMt</t>
        </is>
      </c>
      <c r="Y1440" t="inlineStr">
        <is>
          <t>https://drive.google.com/uc?export=view&amp;id=1xTlyWrmVQp73geQm72KLEsNfMyc4yEMt</t>
        </is>
      </c>
      <c r="Z1440" s="1" t="inlineStr">
        <is>
          <t>https://drive.google.com/uc?export=view&amp;id=1xTlyWrmVQp73geQm72KLEsNfMyc4yEMt</t>
        </is>
      </c>
      <c r="AA1440" s="1" t="inlineStr">
        <is>
          <t>Unverified</t>
        </is>
      </c>
      <c r="AB1440" s="1" t="n"/>
      <c r="AC1440" s="1" t="n"/>
      <c r="AD1440" s="10" t="n"/>
      <c r="AE1440" s="1" t="n"/>
      <c r="AF1440" t="inlineStr">
        <is>
          <t>No</t>
        </is>
      </c>
    </row>
    <row r="1441" ht="12.5" customHeight="1">
      <c r="A1441" s="6" t="n">
        <v>45181</v>
      </c>
      <c r="B1441" s="1" t="inlineStr">
        <is>
          <t>ORG_1631</t>
        </is>
      </c>
      <c r="C1441" s="1" t="b">
        <v>1</v>
      </c>
      <c r="D1441" s="1" t="inlineStr">
        <is>
          <t>go4clic</t>
        </is>
      </c>
      <c r="E1441" s="10" t="inlineStr">
        <is>
          <t>www.go4clic.com</t>
        </is>
      </c>
      <c r="F1441" t="inlineStr">
        <is>
          <t>go4clic.com</t>
        </is>
      </c>
      <c r="G1441" s="1" t="inlineStr">
        <is>
          <t>go4clic is the 1st social learning platform that improves training performance, achieving + 95% engagement.
We have identified the power of proposing to participants to solve challenges in a collaborative way, generating community and networking. We simplify gamification so that teachers can innovate and achieve better results in their training. 
We have an intuitive interface that increases user participation and promotes team values through group deliveries.</t>
        </is>
      </c>
      <c r="H1441" s="1" t="inlineStr">
        <is>
          <t>I'm not part of any EdTech association</t>
        </is>
      </c>
      <c r="I1441" s="1" t="n"/>
      <c r="J1441" s="1" t="inlineStr">
        <is>
          <t>Barcelona</t>
        </is>
      </c>
      <c r="K1441" t="inlineStr">
        <is>
          <t>Barcelona</t>
        </is>
      </c>
      <c r="L1441" t="inlineStr">
        <is>
          <t>Barcelona, Spain</t>
        </is>
      </c>
      <c r="M1441" t="n">
        <v>41.3825802</v>
      </c>
      <c r="N1441" t="n">
        <v>2.177073</v>
      </c>
      <c r="O1441" s="1" t="inlineStr">
        <is>
          <t>Spain</t>
        </is>
      </c>
      <c r="P1441" s="1" t="inlineStr">
        <is>
          <t>Denmark, France, Germany, Hungary, Italy, Netherlands, Romania, Spain, United Kingdom</t>
        </is>
      </c>
      <c r="Q1441" s="1" t="inlineStr">
        <is>
          <t>0 to 10</t>
        </is>
      </c>
      <c r="R1441" t="inlineStr">
        <is>
          <t>Micro</t>
        </is>
      </c>
      <c r="S1441" s="1" t="inlineStr">
        <is>
          <t>Business to Business, Business to Consumer, Business to Government, Business to Schools</t>
        </is>
      </c>
      <c r="T1441" s="1" t="inlineStr">
        <is>
          <t>Higher Education, Corporate Training, Lifelong learning/Adult education</t>
        </is>
      </c>
      <c r="U1441" s="1" t="inlineStr">
        <is>
          <t>Teacher interfacing, Student interfacing, System/Administrative</t>
        </is>
      </c>
      <c r="V1441" s="1" t="n"/>
      <c r="W1441" s="1" t="inlineStr">
        <is>
          <t>https://drive.google.com/uc?export=view&amp;id=1ENjkokpe4MYR0tJlreJ8UMynWgPy-yK9</t>
        </is>
      </c>
      <c r="X1441" s="1" t="inlineStr">
        <is>
          <t>https://drive.google.com/uc?export=view&amp;id=1ENjkokpe4MYR0tJlreJ8UMynWgPy-yK9</t>
        </is>
      </c>
      <c r="Y1441" t="inlineStr">
        <is>
          <t>https://drive.google.com/uc?export=view&amp;id=1ENjkokpe4MYR0tJlreJ8UMynWgPy-yK9</t>
        </is>
      </c>
      <c r="Z1441" s="1" t="inlineStr">
        <is>
          <t>https://drive.google.com/uc?export=view&amp;id=1ENjkokpe4MYR0tJlreJ8UMynWgPy-yK9</t>
        </is>
      </c>
      <c r="AA1441" s="1" t="inlineStr">
        <is>
          <t>Unverified</t>
        </is>
      </c>
      <c r="AB1441" s="1" t="n"/>
      <c r="AC1441" s="1" t="n"/>
      <c r="AD1441" s="10" t="n"/>
      <c r="AE1441" s="1" t="n"/>
      <c r="AF1441" t="inlineStr">
        <is>
          <t>No</t>
        </is>
      </c>
    </row>
    <row r="1442" ht="12.5" customHeight="1">
      <c r="A1442" s="6" t="n">
        <v>45181</v>
      </c>
      <c r="B1442" s="1" t="inlineStr">
        <is>
          <t>ORG_1648</t>
        </is>
      </c>
      <c r="C1442" s="1" t="b">
        <v>1</v>
      </c>
      <c r="D1442" s="1" t="inlineStr">
        <is>
          <t>Growth Road</t>
        </is>
      </c>
      <c r="E1442" s="10" t="inlineStr">
        <is>
          <t>https://www.growthroad.org/</t>
        </is>
      </c>
      <c r="F1442" t="inlineStr">
        <is>
          <t>growthroad.org</t>
        </is>
      </c>
      <c r="G1442" s="1" t="inlineStr">
        <is>
          <t>The new era of vocational orientation. Growth Road is a vocational guidance platform guided by artificial intelligence. We guide young people from 16 to 22 years old to discover themselves and find their desired higher education.
Our method is based on micro-video pills to deliver the content and we define their profile using our artificial intelligence and machine learning algorithms.
Our method is not limited to asking just fixed questions. At GR we believe that vocational guidance should be personalised and that it should be a process of self-discovery and maturity. For this, we do not use a static form of questions, but a system that adapts to the evolution of the student.</t>
        </is>
      </c>
      <c r="H1442" s="1" t="inlineStr">
        <is>
          <t>I'm not part of any EdTech association</t>
        </is>
      </c>
      <c r="I1442" s="1" t="n"/>
      <c r="J1442" s="1" t="inlineStr">
        <is>
          <t>Madrid</t>
        </is>
      </c>
      <c r="K1442" t="inlineStr">
        <is>
          <t>Madrid</t>
        </is>
      </c>
      <c r="L1442" t="inlineStr">
        <is>
          <t>Madrid, Spain</t>
        </is>
      </c>
      <c r="M1442" t="n">
        <v>40.416782</v>
      </c>
      <c r="N1442" t="n">
        <v>-3.703507</v>
      </c>
      <c r="O1442" s="1" t="inlineStr">
        <is>
          <t>Spain</t>
        </is>
      </c>
      <c r="P1442" s="1" t="inlineStr">
        <is>
          <t>Spain</t>
        </is>
      </c>
      <c r="Q1442" s="1" t="inlineStr">
        <is>
          <t>11 to 50</t>
        </is>
      </c>
      <c r="R1442" t="inlineStr">
        <is>
          <t>Small</t>
        </is>
      </c>
      <c r="S1442" s="1" t="inlineStr">
        <is>
          <t>Business to Business, Business to Consumer, Business to Government, Business to Schools</t>
        </is>
      </c>
      <c r="T1442" s="1" t="inlineStr">
        <is>
          <t>Secondary Education, Higher Education</t>
        </is>
      </c>
      <c r="U1442" s="1" t="inlineStr">
        <is>
          <t>System/Administrative, Student interfacing</t>
        </is>
      </c>
      <c r="V1442" s="1" t="n"/>
      <c r="W1442" s="1" t="inlineStr">
        <is>
          <t>https://drive.google.com/uc?export=view&amp;id=1R267LQA-4rFGbFVLj4B_iP_z2QGxp3II</t>
        </is>
      </c>
      <c r="X1442" s="1" t="inlineStr">
        <is>
          <t>https://drive.google.com/uc?export=view&amp;id=1R267LQA-4rFGbFVLj4B_iP_z2QGxp3II</t>
        </is>
      </c>
      <c r="Y1442" t="inlineStr">
        <is>
          <t>https://drive.google.com/uc?export=view&amp;id=1R267LQA-4rFGbFVLj4B_iP_z2QGxp3II</t>
        </is>
      </c>
      <c r="Z1442" s="1" t="inlineStr">
        <is>
          <t>https://drive.google.com/uc?export=view&amp;id=1R267LQA-4rFGbFVLj4B_iP_z2QGxp3II</t>
        </is>
      </c>
      <c r="AA1442" s="1" t="inlineStr">
        <is>
          <t>Unverified</t>
        </is>
      </c>
      <c r="AB1442" s="1" t="n"/>
      <c r="AC1442" s="1" t="n"/>
      <c r="AD1442" s="10" t="n"/>
      <c r="AE1442" s="1" t="n"/>
      <c r="AF1442" s="1" t="inlineStr">
        <is>
          <t>No</t>
        </is>
      </c>
      <c r="AG1442" s="1" t="n"/>
      <c r="AH1442" s="1" t="n"/>
      <c r="AI1442" s="1" t="n"/>
      <c r="AJ1442" s="1" t="n"/>
    </row>
    <row r="1443" ht="12.5" customHeight="1">
      <c r="A1443" s="6" t="n">
        <v>45181</v>
      </c>
      <c r="B1443" s="1" t="inlineStr">
        <is>
          <t>ORG_1668</t>
        </is>
      </c>
      <c r="C1443" s="1" t="b">
        <v>1</v>
      </c>
      <c r="D1443" s="1" t="inlineStr">
        <is>
          <t>Health Innovation Academy</t>
        </is>
      </c>
      <c r="E1443" s="10" t="inlineStr">
        <is>
          <t>https://www.healthinnovationacademy.com/home-en</t>
        </is>
      </c>
      <c r="F1443" t="inlineStr">
        <is>
          <t>healthinnovationacademy.com/home-en</t>
        </is>
      </c>
      <c r="G1443" s="1" t="inlineStr">
        <is>
          <t>Health Innovation Academy is an education company based in Finland. We create digital education tools and content to help health and social care teams improve their 21st century competence.</t>
        </is>
      </c>
      <c r="H1443" s="1" t="inlineStr">
        <is>
          <t>I'm not part of any EdTech association</t>
        </is>
      </c>
      <c r="I1443" s="1" t="n"/>
      <c r="J1443" s="1" t="inlineStr">
        <is>
          <t>Oulu</t>
        </is>
      </c>
      <c r="K1443" t="inlineStr">
        <is>
          <t>Oulu</t>
        </is>
      </c>
      <c r="L1443" t="inlineStr">
        <is>
          <t>Oulu, Finland</t>
        </is>
      </c>
      <c r="M1443" t="n">
        <v>65.01179140000001</v>
      </c>
      <c r="N1443" t="n">
        <v>25.4701973</v>
      </c>
      <c r="O1443" s="1" t="inlineStr">
        <is>
          <t>Finland</t>
        </is>
      </c>
      <c r="P1443" s="1" t="inlineStr">
        <is>
          <t>Estonia, Finland, Lithuania, Sweden</t>
        </is>
      </c>
      <c r="Q1443" s="1" t="inlineStr">
        <is>
          <t>0 to 10</t>
        </is>
      </c>
      <c r="R1443" t="inlineStr">
        <is>
          <t>Micro</t>
        </is>
      </c>
      <c r="S1443" s="1" t="inlineStr">
        <is>
          <t>Business to Business, Business to Consumer, Business to Government, Business to Schools</t>
        </is>
      </c>
      <c r="T1443" s="1" t="inlineStr">
        <is>
          <t>Corporate Training, Lifelong learning/Adult education</t>
        </is>
      </c>
      <c r="U1443" s="1" t="inlineStr">
        <is>
          <t>System/Administrative</t>
        </is>
      </c>
      <c r="V1443" s="1" t="n"/>
      <c r="W1443" s="1" t="inlineStr">
        <is>
          <t>https://drive.google.com/uc?export=view&amp;id=1Ytwl4rIf7A4GqxIaDgRdN1NDJnsEyIPv</t>
        </is>
      </c>
      <c r="X1443" s="1" t="inlineStr">
        <is>
          <t>https://drive.google.com/uc?export=view&amp;id=1Ytwl4rIf7A4GqxIaDgRdN1NDJnsEyIPv</t>
        </is>
      </c>
      <c r="Y1443" t="inlineStr">
        <is>
          <t>https://drive.google.com/uc?export=view&amp;id=1Ytwl4rIf7A4GqxIaDgRdN1NDJnsEyIPv</t>
        </is>
      </c>
      <c r="Z1443" s="1" t="inlineStr">
        <is>
          <t>https://drive.google.com/uc?export=view&amp;id=1Ytwl4rIf7A4GqxIaDgRdN1NDJnsEyIPv</t>
        </is>
      </c>
      <c r="AA1443" s="1" t="inlineStr">
        <is>
          <t>Unverified</t>
        </is>
      </c>
      <c r="AB1443" s="1" t="n"/>
      <c r="AC1443" s="1" t="n"/>
      <c r="AD1443" s="10" t="n"/>
      <c r="AE1443" s="1" t="n"/>
      <c r="AF1443" t="inlineStr">
        <is>
          <t>No</t>
        </is>
      </c>
    </row>
    <row r="1444" ht="12.5" customHeight="1">
      <c r="A1444" s="6" t="n">
        <v>45181</v>
      </c>
      <c r="B1444" s="1" t="inlineStr">
        <is>
          <t>ORG_1714</t>
        </is>
      </c>
      <c r="C1444" s="1" t="b">
        <v>1</v>
      </c>
      <c r="D1444" s="1" t="inlineStr">
        <is>
          <t>imedu</t>
        </is>
      </c>
      <c r="E1444" s="10" t="inlineStr">
        <is>
          <t>https://imedu.io</t>
        </is>
      </c>
      <c r="F1444" t="inlineStr">
        <is>
          <t>imedu.io</t>
        </is>
      </c>
      <c r="G1444" s="1" t="inlineStr">
        <is>
          <t>imedu provides a platform to create online classes ‘in the metaverse’, enabling educators worldwide to invite their students in an interactive, engaging and virtual learning environment. Using existing templates and lesson plans, you easily set up your own 3D learning space like a museum visit, role-play exercise or moon exploration. 
Our goal is to improve remote and online education, by enabling educators to activate students, offer better (remote) social interactions, and provide more engaging and contextual learning environments to increase the overall learning effect.</t>
        </is>
      </c>
      <c r="H1444" s="1" t="inlineStr">
        <is>
          <t>Dutch EdTech</t>
        </is>
      </c>
      <c r="I1444" s="1" t="n"/>
      <c r="J1444" s="1" t="inlineStr">
        <is>
          <t>Amsterdam</t>
        </is>
      </c>
      <c r="K1444" t="inlineStr">
        <is>
          <t>Amsterdam</t>
        </is>
      </c>
      <c r="L1444" t="inlineStr">
        <is>
          <t>Amsterdam, The Netherlands</t>
        </is>
      </c>
      <c r="M1444" t="n">
        <v>52.3701984</v>
      </c>
      <c r="N1444" t="n">
        <v>4.892168</v>
      </c>
      <c r="O1444" s="1" t="inlineStr">
        <is>
          <t>The Netherlands</t>
        </is>
      </c>
      <c r="P1444" s="1" t="inlineStr">
        <is>
          <t>Netherlands</t>
        </is>
      </c>
      <c r="Q1444" s="1" t="inlineStr">
        <is>
          <t>0 to 10</t>
        </is>
      </c>
      <c r="R1444" t="inlineStr">
        <is>
          <t>Micro</t>
        </is>
      </c>
      <c r="S1444" s="1" t="inlineStr">
        <is>
          <t>Business to Business, Business to Consumer, Business to Schools</t>
        </is>
      </c>
      <c r="T1444" s="1" t="inlineStr">
        <is>
          <t>Primary Education, Secondary Education, Higher Education, Corporate Training</t>
        </is>
      </c>
      <c r="U1444" s="1" t="inlineStr">
        <is>
          <t>Teacher interfacing, System/Administrative</t>
        </is>
      </c>
      <c r="V1444" s="1" t="inlineStr">
        <is>
          <t>imedu</t>
        </is>
      </c>
      <c r="W1444" s="1" t="inlineStr">
        <is>
          <t>imedu provides a platform to create online classes ‘in the metaverse’, enabling educators worldwide to invite their students in an interactive, engaging and virtual learning environment. Using existing templates and lesson plans, you easily set up your own 3D learning space like a museum visit, role-play exercise or moon exploration. To customize your experience, you simply add panels with existing learning materials and links. Each world is accessible in a browser on your laptop or phone, and can be shared with others.</t>
        </is>
      </c>
      <c r="X1444" s="10" t="inlineStr">
        <is>
          <t>https://drive.google.com/uc?export=view&amp;id=1PkcolxNXpA_Dx2BWLb18ZcFtqfmjMRqh</t>
        </is>
      </c>
      <c r="Y1444" t="inlineStr">
        <is>
          <t>https://drive.google.com/uc?export=view&amp;id=1PkcolxNXpA_Dx2BWLb18ZcFtqfmjMRqh</t>
        </is>
      </c>
      <c r="Z1444" s="1" t="inlineStr">
        <is>
          <t>https://drive.google.com/uc?export=view&amp;id=1PkcolxNXpA_Dx2BWLb18ZcFtqfmjMRqh</t>
        </is>
      </c>
      <c r="AA1444" s="1" t="inlineStr">
        <is>
          <t>Unverified</t>
        </is>
      </c>
      <c r="AB1444" s="1" t="n"/>
      <c r="AC1444" s="1" t="n"/>
      <c r="AD1444" s="10" t="n"/>
      <c r="AE1444" s="1" t="n"/>
      <c r="AF1444" t="inlineStr">
        <is>
          <t>Yes</t>
        </is>
      </c>
      <c r="AG1444" t="inlineStr">
        <is>
          <t>https://www.linkedin.com/company/imedu</t>
        </is>
      </c>
      <c r="AH1444" t="inlineStr">
        <is>
          <t>@imedu_io</t>
        </is>
      </c>
      <c r="AI1444" t="inlineStr">
        <is>
          <t>https://www.linkedin.com/company/imedu</t>
        </is>
      </c>
    </row>
    <row r="1445" ht="12.5" customHeight="1">
      <c r="A1445" s="6" t="n">
        <v>45181</v>
      </c>
      <c r="B1445" s="1" t="inlineStr">
        <is>
          <t>ORG_1756</t>
        </is>
      </c>
      <c r="C1445" s="1" t="b">
        <v>1</v>
      </c>
      <c r="D1445" s="1" t="inlineStr">
        <is>
          <t>Jicki-Sprachduschen</t>
        </is>
      </c>
      <c r="E1445" s="10" t="inlineStr">
        <is>
          <t>www.jicki.de</t>
        </is>
      </c>
      <c r="F1445" t="inlineStr">
        <is>
          <t>jicki.de</t>
        </is>
      </c>
      <c r="G1445" s="1" t="inlineStr">
        <is>
          <t>Jicki app - language learning by listening. Just put on your headphones, start the Jicki app and off you go. During sports, in the car, on the train or in the evening on the couch. Learn languages anytime and anywhere.
Jicki GmbH is based in Freiburg (Germany), and the current 12-member team develops the app with a lot of love.</t>
        </is>
      </c>
      <c r="H1445" s="1" t="inlineStr">
        <is>
          <t>EDUvation</t>
        </is>
      </c>
      <c r="I1445" s="1" t="n"/>
      <c r="J1445" s="1" t="inlineStr">
        <is>
          <t>Freiburg Im Breisgau</t>
        </is>
      </c>
      <c r="K1445" t="inlineStr">
        <is>
          <t>Freiburg Im Breisgau</t>
        </is>
      </c>
      <c r="L1445" t="inlineStr">
        <is>
          <t>Freiburg Im Breisgau, Germany</t>
        </is>
      </c>
      <c r="M1445" t="n">
        <v>47.9960901</v>
      </c>
      <c r="N1445" t="n">
        <v>7.8494005</v>
      </c>
      <c r="O1445" s="1" t="inlineStr">
        <is>
          <t>Germany</t>
        </is>
      </c>
      <c r="P1445" s="1" t="inlineStr">
        <is>
          <t>Austria, Germany, Switzerland, Ukraine</t>
        </is>
      </c>
      <c r="Q1445" s="1" t="inlineStr">
        <is>
          <t>11 to 50</t>
        </is>
      </c>
      <c r="R1445" t="inlineStr">
        <is>
          <t>Small</t>
        </is>
      </c>
      <c r="S1445" s="1" t="inlineStr">
        <is>
          <t>Business to Business, Business to Consumer, Business to Schools</t>
        </is>
      </c>
      <c r="T1445" s="1" t="inlineStr">
        <is>
          <t>Primary Education, Secondary Education, Higher Education, Corporate Training, Lifelong learning/Adult education</t>
        </is>
      </c>
      <c r="U1445" s="1" t="inlineStr">
        <is>
          <t>System/Administrative, Student interfacing</t>
        </is>
      </c>
      <c r="V1445" s="1" t="n"/>
      <c r="W1445" s="1" t="inlineStr">
        <is>
          <t>https://drive.google.com/uc?export=view&amp;id=1RUoE2kDYdk6IJCNsGpLonkx_2hi7q8QM</t>
        </is>
      </c>
      <c r="X1445" s="1" t="inlineStr">
        <is>
          <t>https://drive.google.com/uc?export=view&amp;id=1RUoE2kDYdk6IJCNsGpLonkx_2hi7q8QM</t>
        </is>
      </c>
      <c r="Y1445" t="inlineStr">
        <is>
          <t>https://drive.google.com/uc?export=view&amp;id=1RUoE2kDYdk6IJCNsGpLonkx_2hi7q8QM</t>
        </is>
      </c>
      <c r="Z1445" s="1" t="inlineStr">
        <is>
          <t>https://drive.google.com/uc?export=view&amp;id=1RUoE2kDYdk6IJCNsGpLonkx_2hi7q8QM</t>
        </is>
      </c>
      <c r="AA1445" s="1" t="inlineStr">
        <is>
          <t>Unverified</t>
        </is>
      </c>
      <c r="AB1445" s="1" t="n"/>
      <c r="AC1445" s="1" t="n"/>
      <c r="AD1445" s="10" t="n"/>
      <c r="AE1445" s="1" t="n"/>
      <c r="AF1445" t="inlineStr">
        <is>
          <t>No</t>
        </is>
      </c>
    </row>
    <row r="1446" ht="12.5" customHeight="1">
      <c r="A1446" s="6" t="n">
        <v>45181</v>
      </c>
      <c r="B1446" s="1" t="inlineStr">
        <is>
          <t>ORG_1766</t>
        </is>
      </c>
      <c r="C1446" s="1" t="b">
        <v>1</v>
      </c>
      <c r="D1446" s="1" t="inlineStr">
        <is>
          <t>KE-Learning: Research Analytics Courses</t>
        </is>
      </c>
      <c r="E1446" s="10" t="inlineStr">
        <is>
          <t>https://www.kondeor.at/de/portfolio/aus-und-weiterbildung/marktforschungskurse/</t>
        </is>
      </c>
      <c r="F1446" t="inlineStr">
        <is>
          <t>kondeor.at/de/portfolio/aus-und-weiterbildung/marktforschungskurse</t>
        </is>
      </c>
      <c r="G1446" s="1" t="inlineStr">
        <is>
          <t>Kondeor provides the market knowledge that is essential for sound decision-making. In doing so, we primarily rely on primary collected data and their comprehensive analysis - also using state-of-the-art statistical methods.
Particularly in the field of tourism research, we repeatedly devote ourselves to problems that are close to basic tourism research.
Our many years of experience with projects and with academic market research training also form the basis for our online market research courses.</t>
        </is>
      </c>
      <c r="H1446" s="1" t="inlineStr">
        <is>
          <t>EdTech Austria</t>
        </is>
      </c>
      <c r="I1446" s="1" t="n"/>
      <c r="J1446" s="1" t="inlineStr">
        <is>
          <t>Eugendorf</t>
        </is>
      </c>
      <c r="K1446" t="inlineStr">
        <is>
          <t>Eugendorf</t>
        </is>
      </c>
      <c r="L1446" t="inlineStr">
        <is>
          <t>Eugendorf, Austria</t>
        </is>
      </c>
      <c r="M1446" t="n">
        <v>47.8671332</v>
      </c>
      <c r="N1446" t="n">
        <v>13.1231841</v>
      </c>
      <c r="O1446" s="1" t="inlineStr">
        <is>
          <t>Austria</t>
        </is>
      </c>
      <c r="P1446" s="1" t="inlineStr">
        <is>
          <t>Austria, Germany, Italy, Switzerland</t>
        </is>
      </c>
      <c r="Q1446" s="1" t="inlineStr">
        <is>
          <t>0 to 10</t>
        </is>
      </c>
      <c r="R1446" t="inlineStr">
        <is>
          <t>Micro</t>
        </is>
      </c>
      <c r="S1446" s="1" t="inlineStr">
        <is>
          <t>Business to Business, Business to Consumer, Business to Schools</t>
        </is>
      </c>
      <c r="T1446" s="1" t="inlineStr">
        <is>
          <t>Higher Education, Corporate Training, Lifelong learning/Adult education</t>
        </is>
      </c>
      <c r="U1446" s="1" t="inlineStr">
        <is>
          <t>Student interfacing, Teacher interfacing, System/Administrative</t>
        </is>
      </c>
      <c r="V1446" s="1" t="inlineStr">
        <is>
          <t>Research Analytics Courses</t>
        </is>
      </c>
      <c r="W1446" s="10" t="inlineStr">
        <is>
          <t>KE-Learning offers online courses on the subject of market research. These are used as part of training courses, seminars and courses in companies and organizations as well as courses at universities. In addition, there is a Research Analytics certificate course and a Research Analytics self-study course.</t>
        </is>
      </c>
      <c r="X1446" s="10" t="inlineStr">
        <is>
          <t>https://drive.google.com/uc?export=view&amp;id=15aecDF6p63MQgQjoKim1fmM6NOrLqap7</t>
        </is>
      </c>
      <c r="Y1446" t="inlineStr">
        <is>
          <t>https://drive.google.com/uc?export=view&amp;id=15aecDF6p63MQgQjoKim1fmM6NOrLqap7</t>
        </is>
      </c>
      <c r="Z1446" s="1" t="inlineStr">
        <is>
          <t>https://drive.google.com/uc?export=view&amp;id=15aecDF6p63MQgQjoKim1fmM6NOrLqap7</t>
        </is>
      </c>
      <c r="AA1446" s="1" t="inlineStr">
        <is>
          <t>Unverified</t>
        </is>
      </c>
      <c r="AB1446" s="1" t="n"/>
      <c r="AC1446" s="1" t="n"/>
      <c r="AD1446" s="10" t="n"/>
      <c r="AE1446" s="1" t="n"/>
      <c r="AF1446" t="inlineStr">
        <is>
          <t>Yes</t>
        </is>
      </c>
      <c r="AG1446" t="inlineStr">
        <is>
          <t>https://twitter.com/kondeor</t>
        </is>
      </c>
      <c r="AH1446" t="inlineStr">
        <is>
          <t>https://twitter.com/kondeor</t>
        </is>
      </c>
      <c r="AI1446" t="inlineStr">
        <is>
          <t>https://www.linkedin.com/in/kepplinger/</t>
        </is>
      </c>
    </row>
    <row r="1447" ht="12.5" customHeight="1">
      <c r="A1447" s="6" t="n">
        <v>45181</v>
      </c>
      <c r="B1447" s="1" t="inlineStr">
        <is>
          <t>ORG_1767</t>
        </is>
      </c>
      <c r="C1447" s="1" t="b">
        <v>1</v>
      </c>
      <c r="D1447" s="1" t="inlineStr">
        <is>
          <t>Kendir Studios</t>
        </is>
      </c>
      <c r="E1447" s="10" t="inlineStr">
        <is>
          <t>https://www.kendirstudios.org</t>
        </is>
      </c>
      <c r="F1447" t="inlineStr">
        <is>
          <t>kendirstudios.org</t>
        </is>
      </c>
      <c r="G1447" s="1" t="inlineStr">
        <is>
          <t>Current digital educational solutions provide weak-to-none connections between the physical school, teaching methodologies, real life situations and the way students learn. Simultaneously, decades of such solutions have left teachers unable to visualize or accept a more inclusive way of teaching and learning, and educational technology companies focusing on cyclical and technically inefficient methodologies.
Therefore, we chose to break barriers and mindsets by designing and developing solutions that gradually but continuously change the status quo of education until the much needed revolutionary innovation is achieved. For such, we must explore the digital adventure/rpg game as the best tool for interaction, immersion, inclusion, fun and motivation, and related concepts, such as 3D digital learning environments, scenarios, the use of narrative, storytelling, worldbuilding and exploring evermore immersion. Our first game Liber Domus, for math/science 6th grade (full curricular spectrum) is in active testing with current results demonstrating students learning faster, more motivated, more focused and engaged, both while using it in the classroom and when learning at home.</t>
        </is>
      </c>
      <c r="H1447" s="1" t="inlineStr">
        <is>
          <t>I'm not part of any EdTech association</t>
        </is>
      </c>
      <c r="I1447" s="1" t="n"/>
      <c r="J1447" s="1" t="inlineStr">
        <is>
          <t>Vila Nova De Gaia</t>
        </is>
      </c>
      <c r="K1447" t="inlineStr">
        <is>
          <t>Vila Nova De Gaia</t>
        </is>
      </c>
      <c r="L1447" t="inlineStr">
        <is>
          <t>Vila Nova De Gaia, Portugal</t>
        </is>
      </c>
      <c r="M1447" t="n">
        <v>41.1292264</v>
      </c>
      <c r="N1447" t="n">
        <v>-8.6057396</v>
      </c>
      <c r="O1447" s="1" t="inlineStr">
        <is>
          <t>Portugal</t>
        </is>
      </c>
      <c r="P1447" s="1" t="inlineStr">
        <is>
          <t>Portugal</t>
        </is>
      </c>
      <c r="Q1447" s="1" t="inlineStr">
        <is>
          <t>0 to 10</t>
        </is>
      </c>
      <c r="R1447" t="inlineStr">
        <is>
          <t>Micro</t>
        </is>
      </c>
      <c r="S1447" s="1" t="inlineStr">
        <is>
          <t>Business to Business, Business to Consumer, Business to Schools</t>
        </is>
      </c>
      <c r="T1447" s="1" t="inlineStr">
        <is>
          <t>Primary Education</t>
        </is>
      </c>
      <c r="U1447" s="1" t="inlineStr">
        <is>
          <t>System/Administrative, Teacher interfacing</t>
        </is>
      </c>
      <c r="V1447" s="1" t="n"/>
      <c r="W1447" s="1" t="inlineStr">
        <is>
          <t>https://drive.google.com/uc?export=view&amp;id=13PwNUObND0mQGoJRqKChaAD5plhH_9JM</t>
        </is>
      </c>
      <c r="X1447" s="1" t="inlineStr">
        <is>
          <t>https://drive.google.com/uc?export=view&amp;id=13PwNUObND0mQGoJRqKChaAD5plhH_9JM</t>
        </is>
      </c>
      <c r="Y1447" t="inlineStr">
        <is>
          <t>https://drive.google.com/uc?export=view&amp;id=13PwNUObND0mQGoJRqKChaAD5plhH_9JM</t>
        </is>
      </c>
      <c r="Z1447" s="1" t="inlineStr">
        <is>
          <t>https://drive.google.com/uc?export=view&amp;id=13PwNUObND0mQGoJRqKChaAD5plhH_9JM</t>
        </is>
      </c>
      <c r="AA1447" s="1" t="inlineStr">
        <is>
          <t>Unverified</t>
        </is>
      </c>
      <c r="AB1447" s="1" t="n"/>
      <c r="AC1447" s="1" t="n"/>
      <c r="AD1447" s="10" t="n"/>
      <c r="AE1447" s="1" t="n"/>
      <c r="AF1447" s="1" t="inlineStr">
        <is>
          <t>No</t>
        </is>
      </c>
      <c r="AG1447" s="1" t="n"/>
      <c r="AH1447" s="1" t="n"/>
    </row>
    <row r="1448" ht="12.5" customHeight="1">
      <c r="A1448" s="6" t="n">
        <v>45181</v>
      </c>
      <c r="B1448" s="1" t="inlineStr">
        <is>
          <t>ORG_1814</t>
        </is>
      </c>
      <c r="C1448" s="1" t="b">
        <v>1</v>
      </c>
      <c r="D1448" s="1" t="inlineStr">
        <is>
          <t>LäroMedia Bokhandel Örebro AB</t>
        </is>
      </c>
      <c r="E1448" s="10" t="inlineStr">
        <is>
          <t>www.laromedia.se</t>
        </is>
      </c>
      <c r="F1448" t="inlineStr">
        <is>
          <t>laromedia.se</t>
        </is>
      </c>
      <c r="G1448" s="1" t="inlineStr">
        <is>
          <t>LäroMedia supplies supplies schools with analog and digital school resources in Sweden. We are a distributor foremost, but also active in the work to standardize and ease the use of digital school resources. 
We list millions of products and coordinate deliveries from over 5000 suppliers enabling schools to order in from one place and get one delivery, no matter the format of the product.</t>
        </is>
      </c>
      <c r="H1448" s="1" t="inlineStr">
        <is>
          <t>I'm not part of any EdTech association</t>
        </is>
      </c>
      <c r="I1448" s="1" t="n"/>
      <c r="J1448" s="1" t="inlineStr">
        <is>
          <t>Örebro</t>
        </is>
      </c>
      <c r="K1448" t="inlineStr">
        <is>
          <t>Örebro</t>
        </is>
      </c>
      <c r="L1448" t="inlineStr">
        <is>
          <t>Örebro, Sweden</t>
        </is>
      </c>
      <c r="M1448" t="n">
        <v>59.2747287</v>
      </c>
      <c r="N1448" t="n">
        <v>15.2151181</v>
      </c>
      <c r="O1448" s="1" t="inlineStr">
        <is>
          <t>Sweden</t>
        </is>
      </c>
      <c r="P1448" s="1" t="inlineStr">
        <is>
          <t>Sweden</t>
        </is>
      </c>
      <c r="Q1448" s="1" t="inlineStr">
        <is>
          <t>11 to 50</t>
        </is>
      </c>
      <c r="R1448" t="inlineStr">
        <is>
          <t>Small</t>
        </is>
      </c>
      <c r="S1448" s="1" t="inlineStr">
        <is>
          <t>Business to Business, Business to Consumer, Business to Schools</t>
        </is>
      </c>
      <c r="T1448" s="1" t="inlineStr">
        <is>
          <t>Early childhood development (0-5 years), Primary Education, Secondary Education, Higher Education</t>
        </is>
      </c>
      <c r="U1448" s="1" t="inlineStr">
        <is>
          <t>Teacher interfacing, Student interfacing, System/Administrative</t>
        </is>
      </c>
      <c r="V1448" s="1" t="n"/>
      <c r="W1448" s="1" t="inlineStr">
        <is>
          <t>https://drive.google.com/uc?export=view&amp;id=1q4JmcEeiDB2q1L0fvsX94iiqUqgSmjsO</t>
        </is>
      </c>
      <c r="X1448" s="1" t="inlineStr">
        <is>
          <t>https://drive.google.com/uc?export=view&amp;id=1q4JmcEeiDB2q1L0fvsX94iiqUqgSmjsO</t>
        </is>
      </c>
      <c r="Y1448" t="inlineStr">
        <is>
          <t>https://drive.google.com/uc?export=view&amp;id=1q4JmcEeiDB2q1L0fvsX94iiqUqgSmjsO</t>
        </is>
      </c>
      <c r="Z1448" s="1" t="inlineStr">
        <is>
          <t>https://drive.google.com/uc?export=view&amp;id=1q4JmcEeiDB2q1L0fvsX94iiqUqgSmjsO</t>
        </is>
      </c>
      <c r="AA1448" s="1" t="inlineStr">
        <is>
          <t>Unverified</t>
        </is>
      </c>
      <c r="AB1448" s="1" t="n"/>
      <c r="AC1448" s="1" t="n"/>
      <c r="AD1448" s="10" t="n"/>
      <c r="AE1448" s="1" t="n"/>
      <c r="AF1448" s="1" t="inlineStr">
        <is>
          <t>No</t>
        </is>
      </c>
      <c r="AG1448" s="1" t="n"/>
      <c r="AH1448" s="1" t="n"/>
    </row>
    <row r="1449" ht="12.5" customHeight="1">
      <c r="A1449" s="6" t="n">
        <v>45181</v>
      </c>
      <c r="B1449" s="1" t="inlineStr">
        <is>
          <t>ORG_1884</t>
        </is>
      </c>
      <c r="C1449" s="1" t="b">
        <v>1</v>
      </c>
      <c r="D1449" s="1" t="inlineStr">
        <is>
          <t>Lingua Attack</t>
        </is>
      </c>
      <c r="E1449" s="10" t="inlineStr">
        <is>
          <t>lingua-attack.com</t>
        </is>
      </c>
      <c r="F1449" t="inlineStr">
        <is>
          <t>lingua-attack.com</t>
        </is>
      </c>
      <c r="G1449" s="1" t="inlineStr">
        <is>
          <t>Stream Languages! 
Created by media and video game specialists, together with teachers and cognitive science experts, the Lingua Attack web platform and mobile applications innovate in foreign language learning with entertaining and effective pedagogy. With a range of short, authentic videos and a gamified experience, Lingua Attack engages learners of all levels for real progress over time.
Over one million learners have already embraced Lingua Attack in hundreds of schools, universities, training centers, and institutions. Key customers can distribute the platform under their own brand.
Lingua Attack features 6 learning languages: English, French, Spanish, German, Portuguese, and Chinese. With 26 interface and translations languages, the platform is designed for learners around the world!</t>
        </is>
      </c>
      <c r="H1449" s="1" t="inlineStr">
        <is>
          <t>AFINEF, EdTech France</t>
        </is>
      </c>
      <c r="I1449" s="1" t="n"/>
      <c r="J1449" s="1" t="inlineStr">
        <is>
          <t>Paris</t>
        </is>
      </c>
      <c r="K1449" t="inlineStr">
        <is>
          <t>Paris</t>
        </is>
      </c>
      <c r="L1449" t="inlineStr">
        <is>
          <t>Paris, France</t>
        </is>
      </c>
      <c r="M1449" t="n">
        <v>48.8534951</v>
      </c>
      <c r="N1449" t="n">
        <v>2.3483915</v>
      </c>
      <c r="O1449" s="1" t="inlineStr">
        <is>
          <t>France</t>
        </is>
      </c>
      <c r="P1449" s="1" t="inlineStr">
        <is>
          <t>Czechia, France, Hungary, Poland, Romania, Spain, Turkey, United Kingdom</t>
        </is>
      </c>
      <c r="Q1449" s="1" t="inlineStr">
        <is>
          <t>11 to 50</t>
        </is>
      </c>
      <c r="R1449" t="inlineStr">
        <is>
          <t>Small</t>
        </is>
      </c>
      <c r="S1449" s="1" t="inlineStr">
        <is>
          <t>Business to Business, Business to Consumer, Business to Schools</t>
        </is>
      </c>
      <c r="T1449" s="1" t="inlineStr">
        <is>
          <t>Secondary Education, Higher Education, Corporate Training</t>
        </is>
      </c>
      <c r="U1449" s="1" t="inlineStr">
        <is>
          <t>Student interfacing, Teacher interfacing, System/Administrative</t>
        </is>
      </c>
      <c r="V1449" s="1" t="inlineStr">
        <is>
          <t>Lingua Attack</t>
        </is>
      </c>
      <c r="W1449" s="1" t="inlineStr">
        <is>
          <t>We disrupt language learning by creating online learning experiences based on entertainment content: clips from movies and TV series, music videos, television news items, and games. A flexible, globalised, and scalable multi-language platform, continuously updated with fresh content, is at the heart of a B2B business for schools, corporate training, and governmental organisations promoting lifetime learning.</t>
        </is>
      </c>
      <c r="X1449" s="10" t="inlineStr">
        <is>
          <t>https://drive.google.com/uc?export=view&amp;id=1srh1zwB-21F_sdzJtB1lH18eUecucIuz</t>
        </is>
      </c>
      <c r="Y1449" t="inlineStr">
        <is>
          <t>https://drive.google.com/uc?export=view&amp;id=1srh1zwB-21F_sdzJtB1lH18eUecucIuz</t>
        </is>
      </c>
      <c r="Z1449" s="1" t="inlineStr">
        <is>
          <t>https://drive.google.com/uc?export=view&amp;id=1srh1zwB-21F_sdzJtB1lH18eUecucIuz</t>
        </is>
      </c>
      <c r="AA1449" s="1" t="inlineStr">
        <is>
          <t>Unverified</t>
        </is>
      </c>
      <c r="AB1449" s="1" t="n"/>
      <c r="AC1449" s="1" t="n"/>
      <c r="AD1449" s="10" t="n"/>
      <c r="AE1449" s="1" t="n"/>
      <c r="AF1449" t="inlineStr">
        <is>
          <t>Yes</t>
        </is>
      </c>
      <c r="AG1449" t="inlineStr">
        <is>
          <t>https://www.linkedin.com/company/lingua-attack/</t>
        </is>
      </c>
      <c r="AH1449" t="inlineStr">
        <is>
          <t>https://www.linkedin.com/company/lingua-attack/</t>
        </is>
      </c>
      <c r="AI1449" t="inlineStr">
        <is>
          <t>https://www.linkedin.com/company/lingua-attack/</t>
        </is>
      </c>
    </row>
    <row r="1450" ht="12.5" customHeight="1">
      <c r="A1450" s="6" t="n">
        <v>45181</v>
      </c>
      <c r="B1450" s="1" t="inlineStr">
        <is>
          <t>ORG_1885</t>
        </is>
      </c>
      <c r="C1450" s="1" t="b">
        <v>1</v>
      </c>
      <c r="D1450" s="1" t="inlineStr">
        <is>
          <t>Linguaphone France</t>
        </is>
      </c>
      <c r="E1450" s="10" t="inlineStr">
        <is>
          <t>www.linguaphone.fr</t>
        </is>
      </c>
      <c r="F1450" t="inlineStr">
        <is>
          <t>linguaphone.fr</t>
        </is>
      </c>
      <c r="G1450" s="1" t="inlineStr">
        <is>
          <t>Linguaphone is the French leader in the field of language training for professional purposes. For 50 years, Linguaphone has produced ambitious and effective training solutions for its corporate clients from all sectors of the economy.
Its aim is to empower companies and their personel to perform in the ever-more demanding international environment.
Our custom-built online platform enables a versatile and dynamic approach by combining the best of technology and human expertise.</t>
        </is>
      </c>
      <c r="H1450" s="1" t="inlineStr">
        <is>
          <t>EdTech France</t>
        </is>
      </c>
      <c r="I1450" s="1" t="n"/>
      <c r="J1450" s="1" t="inlineStr">
        <is>
          <t>Paris</t>
        </is>
      </c>
      <c r="K1450" t="inlineStr">
        <is>
          <t>Paris</t>
        </is>
      </c>
      <c r="L1450" t="inlineStr">
        <is>
          <t>Paris, France</t>
        </is>
      </c>
      <c r="M1450" t="n">
        <v>48.8534951</v>
      </c>
      <c r="N1450" t="n">
        <v>2.3483915</v>
      </c>
      <c r="O1450" s="1" t="inlineStr">
        <is>
          <t>France</t>
        </is>
      </c>
      <c r="P1450" s="1" t="inlineStr">
        <is>
          <t>France</t>
        </is>
      </c>
      <c r="Q1450" s="1" t="inlineStr">
        <is>
          <t>100+</t>
        </is>
      </c>
      <c r="R1450" t="inlineStr">
        <is>
          <t>Medium or Large (unspecified)</t>
        </is>
      </c>
      <c r="S1450" s="1" t="inlineStr">
        <is>
          <t>Business to Business, Business to Government</t>
        </is>
      </c>
      <c r="T1450" s="1" t="inlineStr">
        <is>
          <t>Higher Education, Corporate Training, Lifelong learning/Adult education</t>
        </is>
      </c>
      <c r="U1450" s="1" t="inlineStr">
        <is>
          <t>Student interfacing, Teacher interfacing, System/Administrative</t>
        </is>
      </c>
      <c r="V1450" s="1" t="inlineStr">
        <is>
          <t>Skill Express</t>
        </is>
      </c>
      <c r="W1450" s="1" t="inlineStr">
        <is>
          <t>Skills-based targeted learning aimed at professionals, requiring high level competences in communicating in a challenging international environment.
Specialized language learning modules combine live training with carefully curated online content to address each learner's specific needs.
Available in all major european languages.</t>
        </is>
      </c>
      <c r="X1450" s="10" t="inlineStr">
        <is>
          <t>https://drive.google.com/uc?export=view&amp;id=1fQm6YxvQ-DCsRZiwFjw18xmSOJV5_TmL</t>
        </is>
      </c>
      <c r="Y1450" t="inlineStr">
        <is>
          <t>https://drive.google.com/uc?export=view&amp;id=1fQm6YxvQ-DCsRZiwFjw18xmSOJV5_TmL</t>
        </is>
      </c>
      <c r="Z1450" s="1" t="inlineStr">
        <is>
          <t>https://drive.google.com/uc?export=view&amp;id=1fQm6YxvQ-DCsRZiwFjw18xmSOJV5_TmL</t>
        </is>
      </c>
      <c r="AA1450" s="1" t="inlineStr">
        <is>
          <t>Unverified</t>
        </is>
      </c>
      <c r="AB1450" s="1" t="n"/>
      <c r="AC1450" s="1" t="n"/>
      <c r="AD1450" s="10" t="n"/>
      <c r="AE1450" s="1" t="n"/>
      <c r="AF1450" t="inlineStr">
        <is>
          <t>Yes</t>
        </is>
      </c>
      <c r="AG1450" t="inlineStr">
        <is>
          <t>https://www.linkedin.com/company/linguaphone-france</t>
        </is>
      </c>
      <c r="AH1450" t="inlineStr">
        <is>
          <t>https://www.linkedin.com/company/linguaphone-france</t>
        </is>
      </c>
      <c r="AI1450" t="inlineStr">
        <is>
          <t>https://www.linkedin.com/company/linguaphone-france</t>
        </is>
      </c>
    </row>
    <row r="1451" ht="12.5" customHeight="1">
      <c r="A1451" s="6" t="n">
        <v>45181</v>
      </c>
      <c r="B1451" s="1" t="inlineStr">
        <is>
          <t>ORG_1916</t>
        </is>
      </c>
      <c r="C1451" s="1" t="b">
        <v>1</v>
      </c>
      <c r="D1451" s="1" t="inlineStr">
        <is>
          <t>MapiBlocks</t>
        </is>
      </c>
      <c r="E1451" s="10" t="inlineStr">
        <is>
          <t>https://www.mapiblocks.com/</t>
        </is>
      </c>
      <c r="F1451" t="inlineStr">
        <is>
          <t>mapiblocks.com</t>
        </is>
      </c>
      <c r="G1451" s="1" t="inlineStr">
        <is>
          <t>MapiBlocks is a platform for K12 students to learn STEM by using satellite data. It is a platform that adapts completely to the needs of the teachers and their learning methodology, as well as adapting to the evolution and level of the students in order to ensure their progress. 
MapiBlocks gives access to the same resources as a NASA engineer and connects the concepts with the real world. 
Imagine learning to code with more than 40 petabytes of data, studying machine learning, understanding the evolution of the world since the 70s, monitoring a volcanic eruption in real time, analyzing geometry or probability thanks to satellites... With MapiBlocks you can do all this and much more!</t>
        </is>
      </c>
      <c r="H1451" s="1" t="inlineStr">
        <is>
          <t>I'm not part of any EdTech association</t>
        </is>
      </c>
      <c r="I1451" s="1" t="n"/>
      <c r="J1451" s="1" t="inlineStr">
        <is>
          <t>Málaga</t>
        </is>
      </c>
      <c r="K1451" t="inlineStr">
        <is>
          <t>Málaga</t>
        </is>
      </c>
      <c r="L1451" t="inlineStr">
        <is>
          <t>Málaga, Spain</t>
        </is>
      </c>
      <c r="M1451" t="n">
        <v>36.7647913</v>
      </c>
      <c r="N1451" t="n">
        <v>-4.4422005</v>
      </c>
      <c r="O1451" s="1" t="inlineStr">
        <is>
          <t>Spain</t>
        </is>
      </c>
      <c r="P1451" s="1" t="inlineStr">
        <is>
          <t>Italy, Spain</t>
        </is>
      </c>
      <c r="Q1451" s="1" t="inlineStr">
        <is>
          <t>0 to 10</t>
        </is>
      </c>
      <c r="R1451" t="inlineStr">
        <is>
          <t>Micro</t>
        </is>
      </c>
      <c r="S1451" s="1" t="inlineStr">
        <is>
          <t>Business to Business, Business to Government</t>
        </is>
      </c>
      <c r="T1451" s="1" t="inlineStr">
        <is>
          <t>Primary Education, Secondary Education</t>
        </is>
      </c>
      <c r="U1451" s="1" t="inlineStr">
        <is>
          <t>Student interfacing, Teacher interfacing</t>
        </is>
      </c>
      <c r="V1451" s="1" t="n"/>
      <c r="W1451" s="1" t="inlineStr">
        <is>
          <t>https://drive.google.com/uc?export=view&amp;id=1JLFoOueAh46f8GUOFccVCBqoThKJqjg2</t>
        </is>
      </c>
      <c r="X1451" s="1" t="inlineStr">
        <is>
          <t>https://drive.google.com/uc?export=view&amp;id=1JLFoOueAh46f8GUOFccVCBqoThKJqjg2</t>
        </is>
      </c>
      <c r="Y1451" t="inlineStr">
        <is>
          <t>https://drive.google.com/uc?export=view&amp;id=1JLFoOueAh46f8GUOFccVCBqoThKJqjg2</t>
        </is>
      </c>
      <c r="Z1451" s="1" t="inlineStr">
        <is>
          <t>https://drive.google.com/uc?export=view&amp;id=1JLFoOueAh46f8GUOFccVCBqoThKJqjg2</t>
        </is>
      </c>
      <c r="AA1451" s="1" t="inlineStr">
        <is>
          <t>Unverified</t>
        </is>
      </c>
      <c r="AB1451" s="1" t="n"/>
      <c r="AC1451" s="1" t="n"/>
      <c r="AD1451" s="10" t="n"/>
      <c r="AE1451" s="1" t="n"/>
      <c r="AF1451" t="inlineStr">
        <is>
          <t>No</t>
        </is>
      </c>
    </row>
    <row r="1452" ht="12.5" customHeight="1">
      <c r="A1452" s="6" t="n">
        <v>45181</v>
      </c>
      <c r="B1452" s="1" t="inlineStr">
        <is>
          <t>ORG_1923</t>
        </is>
      </c>
      <c r="C1452" s="1" t="b">
        <v>1</v>
      </c>
      <c r="D1452" s="1" t="inlineStr">
        <is>
          <t>Master Challenge</t>
        </is>
      </c>
      <c r="E1452" s="10" t="inlineStr">
        <is>
          <t>https://masterchallenge.me/</t>
        </is>
      </c>
      <c r="F1452" t="inlineStr">
        <is>
          <t>masterchallenge.me</t>
        </is>
      </c>
      <c r="G1452" s="1" t="inlineStr">
        <is>
          <t>Master Challenge aims to further close the gap between education and practice. We help university lecturers to easily integrate real-life company challenges into their courses. Our platform streamlines the process of recruiting, matching, and coordinating courses with real-life challenges.</t>
        </is>
      </c>
      <c r="H1452" s="1" t="inlineStr">
        <is>
          <t>I'm not part of any EdTech association</t>
        </is>
      </c>
      <c r="I1452" s="1" t="n"/>
      <c r="J1452" s="1" t="inlineStr">
        <is>
          <t>Amsterdam</t>
        </is>
      </c>
      <c r="K1452" t="inlineStr">
        <is>
          <t>Amsterdam</t>
        </is>
      </c>
      <c r="L1452" t="inlineStr">
        <is>
          <t>Amsterdam, The Netherlands</t>
        </is>
      </c>
      <c r="M1452" t="n">
        <v>52.3701984</v>
      </c>
      <c r="N1452" t="n">
        <v>4.892168</v>
      </c>
      <c r="O1452" s="1" t="inlineStr">
        <is>
          <t>The Netherlands</t>
        </is>
      </c>
      <c r="P1452" s="1" t="inlineStr">
        <is>
          <t>Netherlands</t>
        </is>
      </c>
      <c r="Q1452" s="1" t="inlineStr">
        <is>
          <t>0 to 10</t>
        </is>
      </c>
      <c r="R1452" t="inlineStr">
        <is>
          <t>Micro</t>
        </is>
      </c>
      <c r="S1452" s="1" t="inlineStr">
        <is>
          <t>Business to Business, Business to Government, Business to Schools</t>
        </is>
      </c>
      <c r="T1452" s="1" t="inlineStr">
        <is>
          <t>Higher Education, Lifelong learning/Adult education</t>
        </is>
      </c>
      <c r="U1452" s="1" t="inlineStr">
        <is>
          <t>Student interfacing, Teacher interfacing, System/Administrative</t>
        </is>
      </c>
      <c r="V1452" s="1" t="n"/>
      <c r="W1452" s="1" t="inlineStr">
        <is>
          <t>https://drive.google.com/uc?export=view&amp;id=1L9zOfzbeIMzLAon3SOpqgLeGAapOmrfq</t>
        </is>
      </c>
      <c r="X1452" s="1" t="inlineStr">
        <is>
          <t>https://drive.google.com/uc?export=view&amp;id=1L9zOfzbeIMzLAon3SOpqgLeGAapOmrfq</t>
        </is>
      </c>
      <c r="Y1452" t="inlineStr">
        <is>
          <t>https://drive.google.com/uc?export=view&amp;id=1L9zOfzbeIMzLAon3SOpqgLeGAapOmrfq</t>
        </is>
      </c>
      <c r="Z1452" s="1" t="inlineStr">
        <is>
          <t>https://drive.google.com/uc?export=view&amp;id=1L9zOfzbeIMzLAon3SOpqgLeGAapOmrfq</t>
        </is>
      </c>
      <c r="AA1452" s="1" t="inlineStr">
        <is>
          <t>Unverified</t>
        </is>
      </c>
      <c r="AB1452" s="1" t="n"/>
      <c r="AC1452" s="1" t="n"/>
      <c r="AD1452" s="10" t="n"/>
      <c r="AE1452" s="1" t="n"/>
      <c r="AF1452" t="inlineStr">
        <is>
          <t>No</t>
        </is>
      </c>
    </row>
    <row r="1453" ht="12.5" customHeight="1">
      <c r="A1453" s="6" t="n">
        <v>45181</v>
      </c>
      <c r="B1453" s="1" t="inlineStr">
        <is>
          <t>ORG_1950</t>
        </is>
      </c>
      <c r="C1453" s="1" t="b">
        <v>1</v>
      </c>
      <c r="D1453" s="1" t="inlineStr">
        <is>
          <t>MentalUP Educational Games</t>
        </is>
      </c>
      <c r="E1453" s="10" t="inlineStr">
        <is>
          <t>https://www.mentalup.co</t>
        </is>
      </c>
      <c r="F1453" t="inlineStr">
        <is>
          <t>mentalup.co</t>
        </is>
      </c>
      <c r="G1453" s="1" t="inlineStr">
        <is>
          <t>MentalUp provides brain-training games and fitness exercises within its own educational platform which can be accessible by mobile apps and web application. There are +150 scientific and gamified brain training exercises and +200 animated fitness exercises that have all been developed by educators, neuroscientists, and game developers. Thanks to the scientific-educational games of MentalUp, parents can keep their children's mental and physical ability top and to stay sane in a fun way. As of today, more than 15M children from 120 countries are using MentalUP.</t>
        </is>
      </c>
      <c r="H1453" s="1" t="inlineStr">
        <is>
          <t>SuperCharger Ventures</t>
        </is>
      </c>
      <c r="I1453" s="1" t="inlineStr">
        <is>
          <t>English, German, Spanish, Portuguese, Turkish</t>
        </is>
      </c>
      <c r="J1453" s="1" t="inlineStr">
        <is>
          <t>London</t>
        </is>
      </c>
      <c r="K1453" t="inlineStr">
        <is>
          <t>London</t>
        </is>
      </c>
      <c r="L1453" t="inlineStr">
        <is>
          <t>London, United Kingdom</t>
        </is>
      </c>
      <c r="M1453" t="n">
        <v>51.5074456</v>
      </c>
      <c r="N1453" t="n">
        <v>-0.1277653</v>
      </c>
      <c r="O1453" s="1" t="inlineStr">
        <is>
          <t>United Kingdom</t>
        </is>
      </c>
      <c r="P1453" s="1" t="inlineStr">
        <is>
          <t>Austria, Azerbaijan, Belarus, Belgium, Bosnia and Herzegovina, Bulgaria, Croatia, Czechia, Denmark, Estonia, Finland, Germany, Greece, Hungary, Ireland, Italy, Latvia, Lithuania, Luxembourg, Malta, Moldova, Netherlands, Norway, Poland, Portugal, Romania, Russia, Serbia, Slovakia, Slovenia, Spain, Sweden, Switzerland, Turkey, Ukraine, United Kingdom</t>
        </is>
      </c>
      <c r="Q1453" s="1" t="inlineStr">
        <is>
          <t>11 to 50</t>
        </is>
      </c>
      <c r="R1453" t="inlineStr">
        <is>
          <t>Small</t>
        </is>
      </c>
      <c r="S1453" s="1" t="inlineStr">
        <is>
          <t>Business to Business, Business to Government, Business to Schools</t>
        </is>
      </c>
      <c r="T1453" s="1" t="inlineStr">
        <is>
          <t>Early childhood development (0-5 years), Primary Education</t>
        </is>
      </c>
      <c r="U1453" s="1" t="inlineStr">
        <is>
          <t>System/Administrative, Student interfacing, Teacher interfacing</t>
        </is>
      </c>
      <c r="V1453" s="1" t="n"/>
      <c r="W1453" s="1" t="inlineStr">
        <is>
          <t>https://drive.google.com/uc?export=view&amp;id=1jGBP8RYZMnAxJ-soARIsaan7-14PRCt5</t>
        </is>
      </c>
      <c r="X1453" s="1" t="inlineStr">
        <is>
          <t>https://drive.google.com/uc?export=view&amp;id=1jGBP8RYZMnAxJ-soARIsaan7-14PRCt5</t>
        </is>
      </c>
      <c r="Y1453" t="inlineStr">
        <is>
          <t>https://drive.google.com/uc?export=view&amp;id=1jGBP8RYZMnAxJ-soARIsaan7-14PRCt5</t>
        </is>
      </c>
      <c r="Z1453" s="1" t="inlineStr">
        <is>
          <t>https://drive.google.com/uc?export=view&amp;id=1jGBP8RYZMnAxJ-soARIsaan7-14PRCt5</t>
        </is>
      </c>
      <c r="AA1453" s="1" t="inlineStr">
        <is>
          <t>Unverified</t>
        </is>
      </c>
      <c r="AB1453" s="1" t="n"/>
      <c r="AC1453" s="1" t="n"/>
      <c r="AD1453" s="10" t="n"/>
      <c r="AE1453" s="1" t="n"/>
      <c r="AF1453" s="1" t="inlineStr">
        <is>
          <t>No</t>
        </is>
      </c>
      <c r="AG1453" s="1" t="n"/>
      <c r="AH1453" s="1" t="n"/>
      <c r="AI1453" s="1" t="n"/>
      <c r="AJ1453" s="1" t="n"/>
    </row>
    <row r="1454" ht="12.5" customHeight="1">
      <c r="A1454" s="6" t="n">
        <v>45181</v>
      </c>
      <c r="B1454" s="1" t="inlineStr">
        <is>
          <t>ORG_2036</t>
        </is>
      </c>
      <c r="C1454" s="1" t="b">
        <v>1</v>
      </c>
      <c r="D1454" s="1" t="inlineStr">
        <is>
          <t>nextus</t>
        </is>
      </c>
      <c r="E1454" s="10" t="inlineStr">
        <is>
          <t>https://nextus.global/en</t>
        </is>
      </c>
      <c r="F1454" t="inlineStr">
        <is>
          <t>nextus.global/en</t>
        </is>
      </c>
      <c r="G1454" s="1" t="inlineStr">
        <is>
          <t>Nextus Social Learning (NSL) is a newly established company 100% owned by 
Planeta Med, S.L.U. 
Planeta Med is a private audiovisual production, distribution, training and management company which focuses on the documentary field. Founded by Joan González in 1996 and based in Barcelona, Spain. 
After three years developing the educational platform nextus, Nextus Social Learning S.L.U. is created to scale up the project and accomplish the short-term objectives and long-term goals.</t>
        </is>
      </c>
      <c r="H1454" s="1" t="inlineStr">
        <is>
          <t>EduTech Cluster Spain</t>
        </is>
      </c>
      <c r="I1454" s="1" t="n"/>
      <c r="J1454" s="1" t="inlineStr">
        <is>
          <t>Barcelona</t>
        </is>
      </c>
      <c r="K1454" t="inlineStr">
        <is>
          <t>Barcelona</t>
        </is>
      </c>
      <c r="L1454" t="inlineStr">
        <is>
          <t>Barcelona, Spain</t>
        </is>
      </c>
      <c r="M1454" t="n">
        <v>41.3825802</v>
      </c>
      <c r="N1454" t="n">
        <v>2.177073</v>
      </c>
      <c r="O1454" s="1" t="inlineStr">
        <is>
          <t>Spain</t>
        </is>
      </c>
      <c r="P1454" s="1" t="inlineStr">
        <is>
          <t>Germany, Greece, Spain</t>
        </is>
      </c>
      <c r="Q1454" s="1" t="inlineStr">
        <is>
          <t>0 to 10</t>
        </is>
      </c>
      <c r="R1454" t="inlineStr">
        <is>
          <t>Micro</t>
        </is>
      </c>
      <c r="S1454" s="1" t="inlineStr">
        <is>
          <t>Business to Business, Business to Government, Business to Schools</t>
        </is>
      </c>
      <c r="T1454" s="1" t="inlineStr">
        <is>
          <t>Secondary Education, Higher Education</t>
        </is>
      </c>
      <c r="U1454" s="1" t="inlineStr">
        <is>
          <t>Student interfacing, Teacher interfacing</t>
        </is>
      </c>
      <c r="V1454" s="10" t="inlineStr">
        <is>
          <t>nextus</t>
        </is>
      </c>
      <c r="W1454" s="10" t="inlineStr">
        <is>
          <t>nextus emerges as an online platform that highlights and uses quality documentary films to bring audiovisuals into the world of education, fostering a critical spirit among young digital natives, facilitating teacher-student interaction and opening new paths towards 21st century education. Our aim is to promote the use of documentaries as a systematic resource in the educational process.</t>
        </is>
      </c>
      <c r="X1454" s="10" t="inlineStr">
        <is>
          <t>https://drive.google.com/uc?export=view&amp;id=15sXLk9yDs64Zjr-oZi2z63zawKzG0_Vq</t>
        </is>
      </c>
      <c r="Y1454" t="inlineStr">
        <is>
          <t>https://drive.google.com/uc?export=view&amp;id=15sXLk9yDs64Zjr-oZi2z63zawKzG0_Vq</t>
        </is>
      </c>
      <c r="Z1454" s="1" t="inlineStr">
        <is>
          <t>https://drive.google.com/uc?export=view&amp;id=15sXLk9yDs64Zjr-oZi2z63zawKzG0_Vq</t>
        </is>
      </c>
      <c r="AA1454" s="1" t="inlineStr">
        <is>
          <t>Unverified</t>
        </is>
      </c>
      <c r="AB1454" s="1" t="n"/>
      <c r="AC1454" s="1" t="n"/>
      <c r="AD1454" s="10" t="n"/>
      <c r="AE1454" s="1" t="n"/>
      <c r="AF1454" t="inlineStr">
        <is>
          <t>Yes</t>
        </is>
      </c>
      <c r="AG1454" t="inlineStr">
        <is>
          <t>https://www.instagram.com/nextus_glob/</t>
        </is>
      </c>
      <c r="AH1454" t="inlineStr">
        <is>
          <t>https://twitter.com/nextus_global</t>
        </is>
      </c>
      <c r="AI1454" t="inlineStr">
        <is>
          <t>https://www.linkedin.com/company/nextusglobal</t>
        </is>
      </c>
    </row>
    <row r="1455" ht="12.5" customHeight="1">
      <c r="A1455" s="6" t="n">
        <v>45181</v>
      </c>
      <c r="B1455" s="1" t="inlineStr">
        <is>
          <t>ORG_2066</t>
        </is>
      </c>
      <c r="C1455" s="1" t="b">
        <v>1</v>
      </c>
      <c r="D1455" s="1" t="inlineStr">
        <is>
          <t>Online Academy</t>
        </is>
      </c>
      <c r="E1455" s="10" t="inlineStr">
        <is>
          <t>https://www.onlineacademy.nl/</t>
        </is>
      </c>
      <c r="F1455" t="inlineStr">
        <is>
          <t>onlineacademy.nl</t>
        </is>
      </c>
      <c r="G1455" s="1" t="inlineStr">
        <is>
          <t>Online Academy offers companies an online learning platform with more than 400 online courses. These courses help people to continue to develop and learn. For example, the e-learning has interfaces with their own industry, a completely new field or on a personal level in only ten minutes a day. In this way we contribute to the possibility that everyone can (continue) learning for a lifetime with the optimal learning efficiency, even though someone works full-time.</t>
        </is>
      </c>
      <c r="H1455" s="1" t="inlineStr">
        <is>
          <t>Dutch EdTech</t>
        </is>
      </c>
      <c r="I1455" s="1" t="n"/>
      <c r="J1455" s="1" t="inlineStr">
        <is>
          <t>Hilversum</t>
        </is>
      </c>
      <c r="K1455" t="inlineStr">
        <is>
          <t>Hilversum</t>
        </is>
      </c>
      <c r="L1455" t="inlineStr">
        <is>
          <t>Hilversum, The Netherlands</t>
        </is>
      </c>
      <c r="M1455" t="n">
        <v>52.2124485</v>
      </c>
      <c r="N1455" t="n">
        <v>5.1460384</v>
      </c>
      <c r="O1455" s="1" t="inlineStr">
        <is>
          <t>The Netherlands</t>
        </is>
      </c>
      <c r="P1455" s="1" t="inlineStr">
        <is>
          <t>Belgium, Netherlands, United Kingdom</t>
        </is>
      </c>
      <c r="Q1455" s="1" t="inlineStr">
        <is>
          <t>11 to 50</t>
        </is>
      </c>
      <c r="R1455" t="inlineStr">
        <is>
          <t>Small</t>
        </is>
      </c>
      <c r="S1455" s="1" t="inlineStr">
        <is>
          <t>Business to Business, Business to Government, Business to Schools</t>
        </is>
      </c>
      <c r="T1455" s="1" t="inlineStr">
        <is>
          <t>Corporate Training, Lifelong learning/Adult education</t>
        </is>
      </c>
      <c r="U1455" s="1" t="inlineStr">
        <is>
          <t>System/Administrative</t>
        </is>
      </c>
      <c r="V1455" s="1" t="inlineStr">
        <is>
          <t>Online Learning Platform</t>
        </is>
      </c>
      <c r="W1455" s="1" t="inlineStr">
        <is>
          <t>Online Academy offers more than 400 training courses (including e-learning, webinars, learning paths and podcasts) via its online platform. Employees and employers use this on a daily basis and without obligation. After successfully completing the training, the participants are awarded certificates, which prove the time and energy invested. In this way, the employee becomes more valuable in terms of knowledge and skills. By dividing the training into blocks of only ten minutes a day, the workload is low, but the learning efficiency is very high – also because the participant is challenged to apply what has been learned directly in his or her own practice.</t>
        </is>
      </c>
      <c r="X1455" s="10" t="inlineStr">
        <is>
          <t>https://drive.google.com/uc?export=view&amp;id=1iIdA7xUkMvfR7pRlyWbpCJ2fsgNsQTNU</t>
        </is>
      </c>
      <c r="Y1455" t="inlineStr">
        <is>
          <t>https://drive.google.com/uc?export=view&amp;id=1iIdA7xUkMvfR7pRlyWbpCJ2fsgNsQTNU</t>
        </is>
      </c>
      <c r="Z1455" s="1" t="inlineStr">
        <is>
          <t>https://drive.google.com/uc?export=view&amp;id=1iIdA7xUkMvfR7pRlyWbpCJ2fsgNsQTNU</t>
        </is>
      </c>
      <c r="AA1455" s="1" t="inlineStr">
        <is>
          <t>Unverified</t>
        </is>
      </c>
      <c r="AB1455" s="1" t="n"/>
      <c r="AC1455" s="1" t="n"/>
      <c r="AD1455" s="10" t="n"/>
      <c r="AE1455" s="1" t="n"/>
      <c r="AF1455" s="1" t="inlineStr">
        <is>
          <t>Yes</t>
        </is>
      </c>
      <c r="AG1455" s="1" t="inlineStr">
        <is>
          <t>https://www.linkedin.com/school/onlineacademy</t>
        </is>
      </c>
      <c r="AH1455" s="1" t="inlineStr">
        <is>
          <t>https://www.linkedin.com/school/onlineacademy</t>
        </is>
      </c>
      <c r="AI1455" s="1" t="inlineStr">
        <is>
          <t>https://www.linkedin.com/school/onlineacademy</t>
        </is>
      </c>
      <c r="AJ1455" s="1" t="n"/>
    </row>
    <row r="1456" ht="12.5" customHeight="1">
      <c r="A1456" s="6" t="n">
        <v>45181</v>
      </c>
      <c r="B1456" s="1" t="inlineStr">
        <is>
          <t>ORG_2074</t>
        </is>
      </c>
      <c r="C1456" s="1" t="b">
        <v>1</v>
      </c>
      <c r="D1456" s="1" t="inlineStr">
        <is>
          <t>OpenSkool</t>
        </is>
      </c>
      <c r="E1456" s="10" t="inlineStr">
        <is>
          <t>https://openskool.be</t>
        </is>
      </c>
      <c r="F1456" t="inlineStr">
        <is>
          <t>openskool.be</t>
        </is>
      </c>
      <c r="G1456" s="1" t="inlineStr">
        <is>
          <t>OpenSkool wants to change education permanently. We do this by breaking down barriers and eliminating red tape. It is an open data platform and modular ecosystem where lifelong learning, connection and security are central.</t>
        </is>
      </c>
      <c r="H1456" s="1" t="inlineStr">
        <is>
          <t>I'm not part of any EdTech association</t>
        </is>
      </c>
      <c r="I1456" s="1" t="n"/>
      <c r="J1456" s="1" t="inlineStr">
        <is>
          <t>Brussel</t>
        </is>
      </c>
      <c r="K1456" t="inlineStr">
        <is>
          <t>Brussel</t>
        </is>
      </c>
      <c r="L1456" t="inlineStr">
        <is>
          <t>Brussel, Belgium</t>
        </is>
      </c>
      <c r="M1456" t="n">
        <v>50.8387951</v>
      </c>
      <c r="N1456" t="n">
        <v>4.3753041</v>
      </c>
      <c r="O1456" s="1" t="inlineStr">
        <is>
          <t>Belgium</t>
        </is>
      </c>
      <c r="P1456" s="1" t="inlineStr">
        <is>
          <t>Belgium, France, Netherlands</t>
        </is>
      </c>
      <c r="Q1456" s="1" t="inlineStr">
        <is>
          <t>0 to 10</t>
        </is>
      </c>
      <c r="R1456" t="inlineStr">
        <is>
          <t>Micro</t>
        </is>
      </c>
      <c r="S1456" s="1" t="inlineStr">
        <is>
          <t>Business to Business, Business to Government, Business to Schools</t>
        </is>
      </c>
      <c r="T1456" s="1" t="inlineStr">
        <is>
          <t>Primary Education, Secondary Education, Higher Education, Corporate Training, Lifelong learning/Adult education</t>
        </is>
      </c>
      <c r="U1456" s="1" t="inlineStr">
        <is>
          <t>System/Administrative, Student interfacing, Teacher interfacing</t>
        </is>
      </c>
      <c r="V1456" s="1" t="n"/>
      <c r="W1456" s="1" t="inlineStr">
        <is>
          <t>https://drive.google.com/uc?export=view&amp;id=1uY-WcQt4KctZXyYgOe9t58FzzYy3MnQT</t>
        </is>
      </c>
      <c r="X1456" s="1" t="inlineStr">
        <is>
          <t>https://drive.google.com/uc?export=view&amp;id=1uY-WcQt4KctZXyYgOe9t58FzzYy3MnQT</t>
        </is>
      </c>
      <c r="Y1456" t="inlineStr">
        <is>
          <t>https://drive.google.com/uc?export=view&amp;id=1uY-WcQt4KctZXyYgOe9t58FzzYy3MnQT</t>
        </is>
      </c>
      <c r="Z1456" s="1" t="inlineStr">
        <is>
          <t>https://drive.google.com/uc?export=view&amp;id=1uY-WcQt4KctZXyYgOe9t58FzzYy3MnQT</t>
        </is>
      </c>
      <c r="AA1456" s="1" t="inlineStr">
        <is>
          <t>Unverified</t>
        </is>
      </c>
      <c r="AB1456" s="1" t="n"/>
      <c r="AC1456" s="1" t="n"/>
      <c r="AD1456" s="10" t="n"/>
      <c r="AE1456" s="1" t="n"/>
      <c r="AF1456" s="1" t="inlineStr">
        <is>
          <t>No</t>
        </is>
      </c>
      <c r="AG1456" s="1" t="n"/>
      <c r="AH1456" s="1" t="n"/>
      <c r="AI1456" s="1" t="n"/>
      <c r="AJ1456" s="1" t="n"/>
    </row>
    <row r="1457" ht="12.5" customHeight="1">
      <c r="A1457" s="6" t="n">
        <v>45181</v>
      </c>
      <c r="B1457" s="1" t="inlineStr">
        <is>
          <t>ORG_2081</t>
        </is>
      </c>
      <c r="C1457" s="1" t="b">
        <v>1</v>
      </c>
      <c r="D1457" s="1" t="inlineStr">
        <is>
          <t>ovos</t>
        </is>
      </c>
      <c r="E1457" s="10" t="inlineStr">
        <is>
          <t>https://ovos.at/en/</t>
        </is>
      </c>
      <c r="F1457" t="inlineStr">
        <is>
          <t>ovos.at/en</t>
        </is>
      </c>
      <c r="G1457" s="1" t="inlineStr">
        <is>
          <t>The Vienna-based studio ovos uses game technology and design to create playful experiences that both engage &amp; educate users. Ever since we started, we have been convinced that having fun is the best way for people to learn. 
Ovos was founded in 2004 and creates training applications, Serious Games and gamified online services.</t>
        </is>
      </c>
      <c r="H1457" s="1" t="inlineStr">
        <is>
          <t>EdTech Austria</t>
        </is>
      </c>
      <c r="I1457" s="1" t="n"/>
      <c r="J1457" s="1" t="inlineStr">
        <is>
          <t>Vienna</t>
        </is>
      </c>
      <c r="K1457" t="inlineStr">
        <is>
          <t>Vienna</t>
        </is>
      </c>
      <c r="L1457" t="inlineStr">
        <is>
          <t>Vienna, Austria</t>
        </is>
      </c>
      <c r="M1457" t="n">
        <v>48.2083537</v>
      </c>
      <c r="N1457" t="n">
        <v>16.3725042</v>
      </c>
      <c r="O1457" s="1" t="inlineStr">
        <is>
          <t>Austria</t>
        </is>
      </c>
      <c r="P1457" s="1" t="inlineStr">
        <is>
          <t>Austria, Germany, Switzerland</t>
        </is>
      </c>
      <c r="Q1457" s="1" t="inlineStr">
        <is>
          <t>11 to 50</t>
        </is>
      </c>
      <c r="R1457" t="inlineStr">
        <is>
          <t>Small</t>
        </is>
      </c>
      <c r="S1457" s="1" t="inlineStr">
        <is>
          <t>Business to Business, Business to Government, Business to Schools</t>
        </is>
      </c>
      <c r="T1457" s="1" t="inlineStr">
        <is>
          <t>Secondary Education, Higher Education, Corporate Training, Lifelong learning/Adult education</t>
        </is>
      </c>
      <c r="U1457" s="1" t="inlineStr">
        <is>
          <t>System/Administrative</t>
        </is>
      </c>
      <c r="V1457" s="1" t="n"/>
      <c r="W1457" s="1" t="inlineStr">
        <is>
          <t>https://drive.google.com/uc?export=view&amp;id=149yM4qSBX5oPD2QRBAL05Cjxn5LY4Aqg</t>
        </is>
      </c>
      <c r="X1457" s="1" t="inlineStr">
        <is>
          <t>https://drive.google.com/uc?export=view&amp;id=149yM4qSBX5oPD2QRBAL05Cjxn5LY4Aqg</t>
        </is>
      </c>
      <c r="Y1457" t="inlineStr">
        <is>
          <t>https://drive.google.com/uc?export=view&amp;id=149yM4qSBX5oPD2QRBAL05Cjxn5LY4Aqg</t>
        </is>
      </c>
      <c r="Z1457" s="1" t="inlineStr">
        <is>
          <t>https://drive.google.com/uc?export=view&amp;id=149yM4qSBX5oPD2QRBAL05Cjxn5LY4Aqg</t>
        </is>
      </c>
      <c r="AA1457" s="1" t="inlineStr">
        <is>
          <t>Unverified</t>
        </is>
      </c>
      <c r="AB1457" s="1" t="n"/>
      <c r="AC1457" s="1" t="n"/>
      <c r="AD1457" s="10" t="n"/>
      <c r="AE1457" s="1" t="n"/>
      <c r="AF1457" t="inlineStr">
        <is>
          <t>No</t>
        </is>
      </c>
    </row>
    <row r="1458" ht="12.5" customHeight="1">
      <c r="A1458" s="6" t="n">
        <v>45181</v>
      </c>
      <c r="B1458" s="1" t="inlineStr">
        <is>
          <t>ORG_2110</t>
        </is>
      </c>
      <c r="C1458" s="1" t="b">
        <v>1</v>
      </c>
      <c r="D1458" s="1" t="inlineStr">
        <is>
          <t>PLAY IT</t>
        </is>
      </c>
      <c r="E1458" s="10" t="inlineStr">
        <is>
          <t>www.playit.training</t>
        </is>
      </c>
      <c r="F1458" t="inlineStr">
        <is>
          <t>playit.training</t>
        </is>
      </c>
      <c r="G1458" s="1" t="inlineStr">
        <is>
          <t>Play it: the number 1 game-based learning platform
Learning games take corporate training to a higher level. Play It uses simulations to improve the knowledge and skills of your team. So that you get the most out of efficiency and motivation. We offer standardized and tailored experiences on mobile, web and VR.
Game-based learning works! Studies show the power of the Play It Platform. Your staff learn:
* four times faster
* 30% more efficient
* with 1000 times more fun
Solutions:
* Play it First: game-based onboarding
* Play it Safe: game-based occupational health and safety training
* Play it Secure: game-based cybersecurity and GDPR training
* Play it Ahead: game-based leadership training
* Play it Creator: build your own games</t>
        </is>
      </c>
      <c r="H1458" s="1" t="inlineStr">
        <is>
          <t>I'm not part of any EdTech association</t>
        </is>
      </c>
      <c r="I1458" s="1" t="n"/>
      <c r="J1458" s="1" t="inlineStr">
        <is>
          <t>Kortrijk</t>
        </is>
      </c>
      <c r="K1458" t="inlineStr">
        <is>
          <t>Kortrijk</t>
        </is>
      </c>
      <c r="L1458" t="inlineStr">
        <is>
          <t>Kortrijk, Belgium</t>
        </is>
      </c>
      <c r="M1458" t="n">
        <v>50.8178422</v>
      </c>
      <c r="N1458" t="n">
        <v>3.2782582</v>
      </c>
      <c r="O1458" s="1" t="inlineStr">
        <is>
          <t>Belgium</t>
        </is>
      </c>
      <c r="P1458" s="1" t="inlineStr">
        <is>
          <t>Belgium, Bulgaria, Croatia, Czechia, Denmark, Estonia, Finland, France, Germany, Greece, Hungary, Ireland, Italy, Luxembourg, Netherlands, Norway, Poland, Portugal, Slovakia, Slovenia, Spain, Sweden, Switzerland, Turkey, United Kingdom</t>
        </is>
      </c>
      <c r="Q1458" s="1" t="inlineStr">
        <is>
          <t>11 to 50</t>
        </is>
      </c>
      <c r="R1458" t="inlineStr">
        <is>
          <t>Small</t>
        </is>
      </c>
      <c r="S1458" s="1" t="inlineStr">
        <is>
          <t>Business to Business, Business to Government, Business to Schools</t>
        </is>
      </c>
      <c r="T1458" s="1" t="inlineStr">
        <is>
          <t>Higher Education, Corporate Training, Lifelong learning/Adult education</t>
        </is>
      </c>
      <c r="U1458" s="1" t="inlineStr">
        <is>
          <t>Teacher interfacing, Student interfacing, System/Administrative</t>
        </is>
      </c>
      <c r="V1458" s="1" t="inlineStr">
        <is>
          <t>Play it Safe</t>
        </is>
      </c>
      <c r="W1458" s="1" t="inlineStr">
        <is>
          <t>Play It Safe: game-based occupational health and safety training
Safety in the workplace deserves appropriate attention. First aid training, fire, internal traffic, general safety, ergonomics, psychosocial well-being or hygiene, and more… a Play It Safe game presents it interactively and effectively. This ensures you improve the safety of your workplace in no time at all:
First aid
Hygiene
Fire prevention and fire safety
Safe working (general safety)
Ergonomics
Psychosocial support
Internal traffic</t>
        </is>
      </c>
      <c r="X1458" s="10" t="inlineStr">
        <is>
          <t>Play it Secure</t>
        </is>
      </c>
      <c r="Y1458" t="inlineStr">
        <is>
          <t>Play It Secure: game-based Cybersecurity and GDPR courses
Data protection and cybersecurity are hot topics. These are probably also high on the agenda in your company. It is a complex subject and a decent cyber security course is hard to find. Fortunately, simulations for GDPR training offer an alternative that motivates and works:
GDPR
phishing
passwords
e-crime
removable media</t>
        </is>
      </c>
      <c r="Z1458" s="1" t="inlineStr">
        <is>
          <t>https://drive.google.com/uc?export=view&amp;id=13Ch-wtltvzv2sEl8hcl_zphtSoy7-Qfl</t>
        </is>
      </c>
      <c r="AA1458" s="1" t="inlineStr">
        <is>
          <t>Unverified</t>
        </is>
      </c>
      <c r="AB1458" s="1" t="n"/>
      <c r="AC1458" s="1" t="n"/>
      <c r="AD1458" s="10" t="n"/>
      <c r="AE1458" s="1" t="n"/>
      <c r="AF1458" t="inlineStr">
        <is>
          <t>Yes</t>
        </is>
      </c>
      <c r="AG1458" t="inlineStr">
        <is>
          <t>https://www.linkedin.com/company/playitsafe</t>
        </is>
      </c>
      <c r="AH1458" t="inlineStr">
        <is>
          <t>@Playitsafelearn</t>
        </is>
      </c>
      <c r="AI1458" t="inlineStr">
        <is>
          <t>https://www.linkedin.com/company/playitsafe</t>
        </is>
      </c>
    </row>
    <row r="1459" ht="12.5" customHeight="1">
      <c r="A1459" s="6" t="n">
        <v>45181</v>
      </c>
      <c r="B1459" s="1" t="inlineStr">
        <is>
          <t>ORG_2147</t>
        </is>
      </c>
      <c r="C1459" s="1" t="b">
        <v>1</v>
      </c>
      <c r="D1459" s="1" t="inlineStr">
        <is>
          <t>QUIZCO GMBH</t>
        </is>
      </c>
      <c r="E1459" s="10" t="inlineStr">
        <is>
          <t>https://quizco.de/</t>
        </is>
      </c>
      <c r="F1459" t="inlineStr">
        <is>
          <t>quizco.de</t>
        </is>
      </c>
      <c r="G1459" s="1" t="inlineStr">
        <is>
          <t>We revolutionise learning with the help of Artificial Intelligence creating innovative learning approaches with digital content that adapts to the requirements of education providers and companies at any time! Our AI-based Content-Processor generates new derivatives and digital learning units such as quizzes and flashcards from existing text documents. This saves valuable time and resources. With our learning management system knowlab, we
provide access to an innovative and unique digital learning interface, which can also be customised to meet specific learning requirements. Join us and discover the future of learning with QuizCo!</t>
        </is>
      </c>
      <c r="H1459" s="1" t="inlineStr">
        <is>
          <t>I'm not part of any EdTech association</t>
        </is>
      </c>
      <c r="I1459" s="1" t="n"/>
      <c r="J1459" s="1" t="inlineStr">
        <is>
          <t>Dortmund</t>
        </is>
      </c>
      <c r="K1459" t="inlineStr">
        <is>
          <t>Dortmund</t>
        </is>
      </c>
      <c r="L1459" t="inlineStr">
        <is>
          <t>Dortmund, Germany</t>
        </is>
      </c>
      <c r="M1459" t="n">
        <v>51.5142273</v>
      </c>
      <c r="N1459" t="n">
        <v>7.4652789</v>
      </c>
      <c r="O1459" s="1" t="inlineStr">
        <is>
          <t>Germany</t>
        </is>
      </c>
      <c r="P1459" s="1" t="inlineStr">
        <is>
          <t>Germany</t>
        </is>
      </c>
      <c r="Q1459" s="1" t="inlineStr">
        <is>
          <t>0 to 10</t>
        </is>
      </c>
      <c r="R1459" t="inlineStr">
        <is>
          <t>Micro</t>
        </is>
      </c>
      <c r="S1459" s="1" t="inlineStr">
        <is>
          <t>Business to Business, Business to Schools</t>
        </is>
      </c>
      <c r="T1459" s="1" t="inlineStr">
        <is>
          <t>Secondary Education, Higher Education, Corporate Training, Lifelong learning/Adult education</t>
        </is>
      </c>
      <c r="U1459" s="1" t="inlineStr">
        <is>
          <t>Student interfacing, Teacher interfacing, System/Administrative</t>
        </is>
      </c>
      <c r="V1459" s="1" t="n"/>
      <c r="W1459" s="1" t="inlineStr">
        <is>
          <t>https://drive.google.com/uc?export=view&amp;id=1VotAlKN_fdF5VfUNLn5O9-L0I1klWNGi</t>
        </is>
      </c>
      <c r="X1459" s="1" t="inlineStr">
        <is>
          <t>https://drive.google.com/uc?export=view&amp;id=1VotAlKN_fdF5VfUNLn5O9-L0I1klWNGi</t>
        </is>
      </c>
      <c r="Y1459" t="inlineStr">
        <is>
          <t>https://drive.google.com/uc?export=view&amp;id=1VotAlKN_fdF5VfUNLn5O9-L0I1klWNGi</t>
        </is>
      </c>
      <c r="Z1459" s="1" t="inlineStr">
        <is>
          <t>https://drive.google.com/uc?export=view&amp;id=1VotAlKN_fdF5VfUNLn5O9-L0I1klWNGi</t>
        </is>
      </c>
      <c r="AA1459" s="1" t="inlineStr">
        <is>
          <t>Unverified</t>
        </is>
      </c>
      <c r="AB1459" s="1" t="n"/>
      <c r="AC1459" s="1" t="n"/>
      <c r="AD1459" s="10" t="n"/>
      <c r="AE1459" s="1" t="n"/>
      <c r="AF1459" t="inlineStr">
        <is>
          <t>No</t>
        </is>
      </c>
    </row>
    <row r="1460" ht="12.5" customHeight="1">
      <c r="A1460" s="6" t="n">
        <v>45181</v>
      </c>
      <c r="B1460" s="1" t="inlineStr">
        <is>
          <t>ORG_2150</t>
        </is>
      </c>
      <c r="C1460" s="1" t="b">
        <v>1</v>
      </c>
      <c r="D1460" s="1" t="inlineStr">
        <is>
          <t>quofox</t>
        </is>
      </c>
      <c r="E1460" s="10" t="inlineStr">
        <is>
          <t>www.quofox.com</t>
        </is>
      </c>
      <c r="F1460" t="inlineStr">
        <is>
          <t>quofox.com</t>
        </is>
      </c>
      <c r="G1460" s="1" t="inlineStr">
        <is>
          <t>quofox built one of the first marketplace solutions (Content Hub) that provides more than 10,000 third-party learning contents to its users. The 'Content Hub' contains more than 700 vendors that offer training services in many different learning formats and languages, e. g. presence training, podcasts, video courses, exams or webbased trainings and many more.
All public-offered learning contents can easily be published in client specific learning portals based on the quofox Learning Suite technology as an on-demand service. This combination of an intuitive and interactive learning platform and the highly integrated marketplace and its contents makes quofox a unique opportunity for implemanting and encouraging digital learning in small and medium-sized businesses (SMB).
The quofox Learning Suite supports any company internal und external training processes from planning, structuring, executing to evaluating training activities. Learning paths and learning groups features enables course execution in succession, interactive communication and knowledge exchange between asigned learning participants.Defined company administrators as well as company-specific suppliers can provide and adjust learning contents immediately. With an customizable reporting tool employees learning activities can be steered and controlled. The Learning Suite uses maintained company structures for learning content visibility, approval processes and notification features as well as purchasing and invoicing handling.</t>
        </is>
      </c>
      <c r="H1460" s="1" t="inlineStr">
        <is>
          <t>I'm not part of any EdTech association</t>
        </is>
      </c>
      <c r="I1460" s="1" t="n"/>
      <c r="J1460" s="1" t="inlineStr">
        <is>
          <t>Berlin</t>
        </is>
      </c>
      <c r="K1460" t="inlineStr">
        <is>
          <t>Berlin</t>
        </is>
      </c>
      <c r="L1460" t="inlineStr">
        <is>
          <t>Berlin, Germany</t>
        </is>
      </c>
      <c r="M1460" t="n">
        <v>52.5173885</v>
      </c>
      <c r="N1460" t="n">
        <v>13.3951309</v>
      </c>
      <c r="O1460" s="1" t="inlineStr">
        <is>
          <t>Germany</t>
        </is>
      </c>
      <c r="P1460"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1460" s="1" t="inlineStr">
        <is>
          <t>11 to 50</t>
        </is>
      </c>
      <c r="R1460" t="inlineStr">
        <is>
          <t>Small</t>
        </is>
      </c>
      <c r="S1460" s="1" t="inlineStr">
        <is>
          <t>Business to Business, Business to Schools</t>
        </is>
      </c>
      <c r="T1460" s="1" t="inlineStr">
        <is>
          <t>Corporate Training</t>
        </is>
      </c>
      <c r="U1460" s="1" t="inlineStr">
        <is>
          <t>System/Administrative</t>
        </is>
      </c>
      <c r="V1460" s="1" t="n"/>
      <c r="W1460" s="1" t="inlineStr">
        <is>
          <t>https://drive.google.com/uc?export=view&amp;id=1UaCY2OOs6xc26pw9Oq_Oz-q-F-eve03X</t>
        </is>
      </c>
      <c r="X1460" s="1" t="inlineStr">
        <is>
          <t>https://drive.google.com/uc?export=view&amp;id=1UaCY2OOs6xc26pw9Oq_Oz-q-F-eve03X</t>
        </is>
      </c>
      <c r="Y1460" t="inlineStr">
        <is>
          <t>https://drive.google.com/uc?export=view&amp;id=1UaCY2OOs6xc26pw9Oq_Oz-q-F-eve03X</t>
        </is>
      </c>
      <c r="Z1460" s="1" t="inlineStr">
        <is>
          <t>https://drive.google.com/uc?export=view&amp;id=1UaCY2OOs6xc26pw9Oq_Oz-q-F-eve03X</t>
        </is>
      </c>
      <c r="AA1460" s="1" t="inlineStr">
        <is>
          <t>Unverified</t>
        </is>
      </c>
      <c r="AB1460" s="1" t="n"/>
      <c r="AC1460" s="1" t="n"/>
      <c r="AD1460" s="10" t="n"/>
      <c r="AE1460" s="1" t="n"/>
      <c r="AF1460" t="inlineStr">
        <is>
          <t>No</t>
        </is>
      </c>
    </row>
    <row r="1461" ht="12.5" customHeight="1">
      <c r="A1461" s="6" t="n">
        <v>45181</v>
      </c>
      <c r="B1461" s="1" t="inlineStr">
        <is>
          <t>ORG_2161</t>
        </is>
      </c>
      <c r="C1461" s="1" t="b">
        <v>1</v>
      </c>
      <c r="D1461" s="1" t="inlineStr">
        <is>
          <t>Reactored language learning platform</t>
        </is>
      </c>
      <c r="E1461" s="10" t="inlineStr">
        <is>
          <t>Https://reactored.com/ai-la-material-creation-tool/</t>
        </is>
      </c>
      <c r="F1461" t="inlineStr">
        <is>
          <t>reactored.com/ai-la-material-creation-tool</t>
        </is>
      </c>
      <c r="G1461" s="1" t="inlineStr">
        <is>
          <t>Reactored is a comprehensive teaching and learning solution for languages. With our easy-to-use and secure tool, teachers can teach effectively on all devices. Create your lessons with the help of AI or search &amp; modify interactive tasks from our growing lesson database of 20 languages. We take care of the assessments and grading part so that teachers can focus on their actual job better.</t>
        </is>
      </c>
      <c r="H1461" s="1" t="inlineStr">
        <is>
          <t>EdTech Finland, xEdu</t>
        </is>
      </c>
      <c r="I1461" s="1" t="inlineStr">
        <is>
          <t>English, Russian, Finnish, Swedish, French, German</t>
        </is>
      </c>
      <c r="J1461" s="1" t="inlineStr">
        <is>
          <t>Järvenpää</t>
        </is>
      </c>
      <c r="K1461" t="inlineStr">
        <is>
          <t>Järvenpää</t>
        </is>
      </c>
      <c r="L1461" t="inlineStr">
        <is>
          <t>Järvenpää, Finland</t>
        </is>
      </c>
      <c r="M1461" t="n">
        <v>60.4710813</v>
      </c>
      <c r="N1461" t="n">
        <v>25.0876113</v>
      </c>
      <c r="O1461" s="1" t="inlineStr">
        <is>
          <t>Finland</t>
        </is>
      </c>
      <c r="P1461" s="1" t="inlineStr">
        <is>
          <t>Finland, France, Germany, Romania, Russia</t>
        </is>
      </c>
      <c r="Q1461" s="1" t="inlineStr">
        <is>
          <t>3 to 5</t>
        </is>
      </c>
      <c r="R1461" t="inlineStr">
        <is>
          <t>Micro</t>
        </is>
      </c>
      <c r="S1461" s="1" t="inlineStr">
        <is>
          <t>Business to Business, Business to Schools</t>
        </is>
      </c>
      <c r="T1461" s="1" t="inlineStr">
        <is>
          <t>Primary Education, Secondary Education, Corporate Training, Lifelong learning/Adult education, Vocational Education and Training (VET), Higher Education</t>
        </is>
      </c>
      <c r="U1461" s="1" t="inlineStr">
        <is>
          <t>Teacher interfacing, System/Administrative, Student interfacing</t>
        </is>
      </c>
      <c r="V1461" s="10" t="inlineStr">
        <is>
          <t>Reactored classroom</t>
        </is>
      </c>
      <c r="W1461" s="10" t="inlineStr">
        <is>
          <t>Morst popular license type for new users. It allows 1 teacher user and 100 students to use the solution for 12 months.</t>
        </is>
      </c>
      <c r="X1461" s="10" t="inlineStr">
        <is>
          <t>Reactored School</t>
        </is>
      </c>
      <c r="Y1461" t="inlineStr">
        <is>
          <t>Allows the schools to join into the school account. Collaborate with other teachers, create groups and lessons and exams that can be used with other colleagues.</t>
        </is>
      </c>
      <c r="Z1461" s="1" t="inlineStr">
        <is>
          <t>https://drive.google.com/uc?export=view&amp;id=1DWYjoUOP_g6fmJ0dXHhK85a0l9wwZvIB</t>
        </is>
      </c>
      <c r="AA1461" s="1" t="inlineStr">
        <is>
          <t>Unverified</t>
        </is>
      </c>
      <c r="AB1461" s="1" t="n"/>
      <c r="AC1461" s="1" t="n"/>
      <c r="AD1461" s="10" t="n"/>
      <c r="AE1461" s="1" t="n"/>
      <c r="AF1461" s="1" t="inlineStr">
        <is>
          <t>Yes</t>
        </is>
      </c>
      <c r="AG1461" s="1" t="inlineStr">
        <is>
          <t>https://www.instagram.com/reactoredcom/?hl=fi</t>
        </is>
      </c>
      <c r="AH1461" s="1" t="inlineStr">
        <is>
          <t>https://twitter.com/reactoredcom</t>
        </is>
      </c>
      <c r="AI1461" t="inlineStr">
        <is>
          <t>https://www.linkedin.com/company/reactored</t>
        </is>
      </c>
    </row>
    <row r="1462" ht="12.5" customHeight="1">
      <c r="A1462" s="6" t="n">
        <v>45181</v>
      </c>
      <c r="B1462" s="1" t="inlineStr">
        <is>
          <t>ORG_2184</t>
        </is>
      </c>
      <c r="C1462" s="1" t="b">
        <v>1</v>
      </c>
      <c r="D1462" s="1" t="inlineStr">
        <is>
          <t>Rimud</t>
        </is>
      </c>
      <c r="E1462" s="10" t="inlineStr">
        <is>
          <t>https://rimud.com</t>
        </is>
      </c>
      <c r="F1462" t="inlineStr">
        <is>
          <t>rimud.com</t>
        </is>
      </c>
      <c r="G1462" s="1" t="inlineStr">
        <is>
          <t>Rimud is a suite of educational products. This is a series of video games that are provided as a resource for professionals (speech therapist, teacher, etc.). The professional, through a dashboard, personalizes the content of these games in less than 10 seconds. In this way, the teacher gets personalized and inclusive training.
In addition, it allows you to create your own content, vocabulary, images and sounds. The sounds can be recorded with the therapist's own voice or can be chosen to be generated by Rimud using artificial intelligence.
Rimud already has more than 3,000 users from Spain and LATAM.
In 2021 it was the winner of the national prize for accessible education and obtained European funding to provide it with artificial intelligence. This artificial intelligence will propose activities to therapists based on the results obtained from the exercises.</t>
        </is>
      </c>
      <c r="H1462" s="1" t="inlineStr">
        <is>
          <t>SEK Lab</t>
        </is>
      </c>
      <c r="I1462" s="1" t="n"/>
      <c r="J1462" s="1" t="inlineStr">
        <is>
          <t>Málaga</t>
        </is>
      </c>
      <c r="K1462" t="inlineStr">
        <is>
          <t>Málaga</t>
        </is>
      </c>
      <c r="L1462" t="inlineStr">
        <is>
          <t>Málaga, Spain</t>
        </is>
      </c>
      <c r="M1462" t="n">
        <v>36.7647913</v>
      </c>
      <c r="N1462" t="n">
        <v>-4.4422005</v>
      </c>
      <c r="O1462" s="1" t="inlineStr">
        <is>
          <t>Spain</t>
        </is>
      </c>
      <c r="P1462" s="1" t="inlineStr">
        <is>
          <t>Spain</t>
        </is>
      </c>
      <c r="Q1462" s="1" t="inlineStr">
        <is>
          <t>0 to 10</t>
        </is>
      </c>
      <c r="R1462" t="inlineStr">
        <is>
          <t>Micro</t>
        </is>
      </c>
      <c r="S1462" s="1" t="inlineStr">
        <is>
          <t>Business to Business, Business to Schools</t>
        </is>
      </c>
      <c r="T1462" s="1" t="inlineStr">
        <is>
          <t>Early childhood development (0-5 years), Primary Education</t>
        </is>
      </c>
      <c r="U1462" s="1" t="inlineStr">
        <is>
          <t>Student interfacing</t>
        </is>
      </c>
      <c r="V1462" s="1" t="inlineStr">
        <is>
          <t>Rimud</t>
        </is>
      </c>
      <c r="W1462" s="1" t="inlineStr">
        <is>
          <t>Rimud is a suite of educational products. This is a series of video games that are provided as a resource for professionals (speech therapist, teacher, etc.). The professional, through a dashboard, personalizes the content of these games in less than 10 seconds. In this way, the teacher gets personalized and inclusive training.</t>
        </is>
      </c>
      <c r="X1462" s="1" t="inlineStr">
        <is>
          <t>https://drive.google.com/uc?export=view&amp;id=1QAO8BT1DX9V9Fv3GSZint0jbCj2Hq4-0</t>
        </is>
      </c>
      <c r="Y1462" t="inlineStr">
        <is>
          <t>https://drive.google.com/uc?export=view&amp;id=1QAO8BT1DX9V9Fv3GSZint0jbCj2Hq4-0</t>
        </is>
      </c>
      <c r="Z1462" s="1" t="inlineStr">
        <is>
          <t>https://drive.google.com/uc?export=view&amp;id=1QAO8BT1DX9V9Fv3GSZint0jbCj2Hq4-0</t>
        </is>
      </c>
      <c r="AA1462" s="1" t="inlineStr">
        <is>
          <t>Unverified</t>
        </is>
      </c>
      <c r="AB1462" s="1" t="n"/>
      <c r="AC1462" s="1" t="n"/>
      <c r="AD1462" s="10" t="n"/>
      <c r="AE1462" s="1" t="n"/>
      <c r="AF1462" s="1" t="inlineStr">
        <is>
          <t>No</t>
        </is>
      </c>
      <c r="AG1462" s="1" t="n"/>
      <c r="AH1462" s="1" t="n"/>
    </row>
    <row r="1463" ht="12.5" customHeight="1">
      <c r="A1463" s="6" t="n">
        <v>45181</v>
      </c>
      <c r="B1463" s="1" t="inlineStr">
        <is>
          <t>ORG_2211</t>
        </is>
      </c>
      <c r="C1463" s="1" t="b">
        <v>1</v>
      </c>
      <c r="D1463" s="1" t="inlineStr">
        <is>
          <t>Schoolr</t>
        </is>
      </c>
      <c r="E1463" s="10" t="inlineStr">
        <is>
          <t>https://schoolr.net/it</t>
        </is>
      </c>
      <c r="F1463" t="inlineStr">
        <is>
          <t>schoolr.net/it</t>
        </is>
      </c>
      <c r="G1463" s="1" t="inlineStr">
        <is>
          <t>Schoolr is an online teaching platform for conducting live lessons and courses from quality and selected tutors to all students, from elementary schools to university. To date, we have over 5,000 qualified tutors and over 20,000 students.</t>
        </is>
      </c>
      <c r="H1463" s="1" t="inlineStr">
        <is>
          <t>EdTech Italia</t>
        </is>
      </c>
      <c r="I1463" s="1" t="n"/>
      <c r="J1463" s="1" t="inlineStr">
        <is>
          <t>Firenze</t>
        </is>
      </c>
      <c r="K1463" t="inlineStr">
        <is>
          <t>Firenze</t>
        </is>
      </c>
      <c r="L1463" t="inlineStr">
        <is>
          <t>Firenze, Italy</t>
        </is>
      </c>
      <c r="M1463" t="n">
        <v>43.7697955</v>
      </c>
      <c r="N1463" t="n">
        <v>11.2556404</v>
      </c>
      <c r="O1463" s="1" t="inlineStr">
        <is>
          <t>Italy</t>
        </is>
      </c>
      <c r="P1463" s="1" t="inlineStr">
        <is>
          <t>Italy</t>
        </is>
      </c>
      <c r="Q1463" s="1" t="inlineStr">
        <is>
          <t>0 to 10</t>
        </is>
      </c>
      <c r="R1463" t="inlineStr">
        <is>
          <t>Micro</t>
        </is>
      </c>
      <c r="S1463" s="1" t="inlineStr">
        <is>
          <t>Business to Consumer</t>
        </is>
      </c>
      <c r="T1463" s="1" t="inlineStr">
        <is>
          <t>Primary Education, Secondary Education, Higher Education</t>
        </is>
      </c>
      <c r="U1463" s="1" t="inlineStr">
        <is>
          <t>System/Administrative, Student interfacing, Teacher interfacing</t>
        </is>
      </c>
      <c r="V1463" s="10" t="inlineStr">
        <is>
          <t>Schoolr Lesson</t>
        </is>
      </c>
      <c r="W1463" s="10" t="inlineStr">
        <is>
          <t>Online lessons with qualified tutors.</t>
        </is>
      </c>
      <c r="X1463" s="10" t="inlineStr">
        <is>
          <t>Schoolr Program</t>
        </is>
      </c>
      <c r="Y1463" t="inlineStr">
        <is>
          <t>Dedicated online courses and specific and personalized programs for each individual student.</t>
        </is>
      </c>
      <c r="Z1463" s="1" t="inlineStr">
        <is>
          <t>https://drive.google.com/uc?export=view&amp;id=10HfIkY9FC-lenOAg1xioEJ7rHrOkyjlV</t>
        </is>
      </c>
      <c r="AA1463" s="1" t="inlineStr">
        <is>
          <t>Unverified</t>
        </is>
      </c>
      <c r="AB1463" s="1" t="n"/>
      <c r="AC1463" s="1" t="n"/>
      <c r="AD1463" s="10" t="n"/>
      <c r="AE1463" s="1" t="n"/>
      <c r="AF1463" s="1" t="inlineStr">
        <is>
          <t>Yes</t>
        </is>
      </c>
      <c r="AG1463" s="1" t="inlineStr">
        <is>
          <t>https://www.instagram.com/schoolrhq/</t>
        </is>
      </c>
      <c r="AH1463" s="1" t="inlineStr">
        <is>
          <t>https://twitter.com/SchoolrHQ</t>
        </is>
      </c>
      <c r="AI1463" t="inlineStr">
        <is>
          <t>https://www.linkedin.com/company/schoolr/</t>
        </is>
      </c>
    </row>
    <row r="1464" ht="12.5" customHeight="1">
      <c r="A1464" s="6" t="n">
        <v>45181</v>
      </c>
      <c r="B1464" s="1" t="inlineStr">
        <is>
          <t>ORG_2230</t>
        </is>
      </c>
      <c r="C1464" s="1" t="b">
        <v>1</v>
      </c>
      <c r="D1464" s="1" t="inlineStr">
        <is>
          <t>Seppo</t>
        </is>
      </c>
      <c r="E1464" s="10" t="inlineStr">
        <is>
          <t>https://seppo.io/</t>
        </is>
      </c>
      <c r="F1464" t="inlineStr">
        <is>
          <t>seppo.io</t>
        </is>
      </c>
      <c r="G1464" s="1" t="inlineStr">
        <is>
          <t>Corporations don´t learn. People do. 
We design fresh and inspiring ways to teach, learn and achieve.
Corporations can benefit from personalized learning, achievement, and motivation. That´s why learning games for corporate use must be designed to keep the individual in the center. That´s why we design our games the way we do.</t>
        </is>
      </c>
      <c r="H1464" s="1" t="inlineStr">
        <is>
          <t>EdTech Finland</t>
        </is>
      </c>
      <c r="I1464" s="1" t="n"/>
      <c r="J1464" s="1" t="inlineStr">
        <is>
          <t>Helsinki</t>
        </is>
      </c>
      <c r="K1464" t="inlineStr">
        <is>
          <t>Helsinki</t>
        </is>
      </c>
      <c r="L1464" t="inlineStr">
        <is>
          <t>Helsinki, Finland</t>
        </is>
      </c>
      <c r="M1464" t="n">
        <v>60.1666204</v>
      </c>
      <c r="N1464" t="n">
        <v>24.9435408</v>
      </c>
      <c r="O1464" s="1" t="inlineStr">
        <is>
          <t>Finland</t>
        </is>
      </c>
      <c r="P1464" s="1" t="inlineStr">
        <is>
          <t>Austria, Belgium, Estonia, Finland, Germany, Greece, Hungary, Latvia, Lithuania, Malta, Netherlands, Norway, Poland, Romania, Spain, Sweden, United Kingdom</t>
        </is>
      </c>
      <c r="Q1464" s="1" t="inlineStr">
        <is>
          <t>11 to 50</t>
        </is>
      </c>
      <c r="R1464" t="inlineStr">
        <is>
          <t>Small</t>
        </is>
      </c>
      <c r="S1464" s="1" t="inlineStr">
        <is>
          <t>Business to Consumer</t>
        </is>
      </c>
      <c r="T1464" s="1" t="inlineStr">
        <is>
          <t>Primary Education, Secondary Education, Higher Education, Corporate Training, Lifelong learning/Adult education</t>
        </is>
      </c>
      <c r="U1464" s="1" t="inlineStr">
        <is>
          <t>Teacher interfacing, System/Administrative</t>
        </is>
      </c>
      <c r="V1464" s="1" t="inlineStr">
        <is>
          <t>Seppo</t>
        </is>
      </c>
      <c r="W1464" s="10" t="inlineStr">
        <is>
          <t>Our product is an easy-to-use tool to turn existing learning materials into interactive games. Seppo is a full gamification platform for any trainer or teacher to create games without any special IT skills needed. Our main target customers are Training and professional services companies.</t>
        </is>
      </c>
      <c r="X1464" s="10" t="inlineStr">
        <is>
          <t>https://drive.google.com/uc?export=view&amp;id=1p1G6ywGxGOfd9WLu5YCsDHt0FWywNQLF</t>
        </is>
      </c>
      <c r="Y1464" t="inlineStr">
        <is>
          <t>https://drive.google.com/uc?export=view&amp;id=1p1G6ywGxGOfd9WLu5YCsDHt0FWywNQLF</t>
        </is>
      </c>
      <c r="Z1464" s="1" t="inlineStr">
        <is>
          <t>https://drive.google.com/uc?export=view&amp;id=1p1G6ywGxGOfd9WLu5YCsDHt0FWywNQLF</t>
        </is>
      </c>
      <c r="AA1464" s="1" t="inlineStr">
        <is>
          <t>Unverified</t>
        </is>
      </c>
      <c r="AB1464" s="1" t="n"/>
      <c r="AC1464" s="1" t="n"/>
      <c r="AD1464" s="10" t="n"/>
      <c r="AE1464" s="1" t="n"/>
      <c r="AF1464" s="1" t="inlineStr">
        <is>
          <t>Yes</t>
        </is>
      </c>
      <c r="AG1464" s="1" t="inlineStr">
        <is>
          <t>seppoio</t>
        </is>
      </c>
      <c r="AH1464" s="1" t="inlineStr">
        <is>
          <t>Seppo.io</t>
        </is>
      </c>
      <c r="AI1464" s="1" t="inlineStr">
        <is>
          <t>https://www.linkedin.com/company/seppo</t>
        </is>
      </c>
      <c r="AJ1464" s="1" t="n"/>
    </row>
    <row r="1465" ht="12.5" customHeight="1">
      <c r="A1465" s="6" t="n">
        <v>45181</v>
      </c>
      <c r="B1465" s="1" t="inlineStr">
        <is>
          <t>ORG_2266</t>
        </is>
      </c>
      <c r="C1465" s="1" t="b">
        <v>1</v>
      </c>
      <c r="D1465" s="1" t="inlineStr">
        <is>
          <t>Skoledu Math</t>
        </is>
      </c>
      <c r="E1465" s="10" t="inlineStr">
        <is>
          <t>www.skoledu.dk</t>
        </is>
      </c>
      <c r="F1465" t="inlineStr">
        <is>
          <t>skoledu.dk</t>
        </is>
      </c>
      <c r="G1465" s="1" t="inlineStr">
        <is>
          <t>Skoledu is an online interactive math curriculum for grades 0-10.</t>
        </is>
      </c>
      <c r="H1465" s="1" t="inlineStr">
        <is>
          <t>EdTech Denmark</t>
        </is>
      </c>
      <c r="I1465" s="1" t="n"/>
      <c r="J1465" s="1" t="inlineStr">
        <is>
          <t>Aabyhoj</t>
        </is>
      </c>
      <c r="K1465" t="inlineStr">
        <is>
          <t>Aabyhoj</t>
        </is>
      </c>
      <c r="L1465" t="inlineStr">
        <is>
          <t>Aabyhoj, Denmark</t>
        </is>
      </c>
      <c r="M1465" t="n">
        <v>56.1540663</v>
      </c>
      <c r="N1465" t="n">
        <v>10.1523107</v>
      </c>
      <c r="O1465" s="1" t="inlineStr">
        <is>
          <t>Denmark</t>
        </is>
      </c>
      <c r="P1465" s="1" t="inlineStr">
        <is>
          <t>Denmark</t>
        </is>
      </c>
      <c r="Q1465" s="1" t="inlineStr">
        <is>
          <t>0 to 10</t>
        </is>
      </c>
      <c r="R1465" t="inlineStr">
        <is>
          <t>Micro</t>
        </is>
      </c>
      <c r="S1465" s="1" t="inlineStr">
        <is>
          <t>Business to Consumer</t>
        </is>
      </c>
      <c r="T1465" s="1" t="inlineStr">
        <is>
          <t>Primary Education, Secondary Education</t>
        </is>
      </c>
      <c r="U1465" s="1" t="inlineStr">
        <is>
          <t>Student interfacing, Teacher interfacing</t>
        </is>
      </c>
      <c r="V1465" s="1" t="inlineStr">
        <is>
          <t>Skoledu Math</t>
        </is>
      </c>
      <c r="W1465" s="1" t="inlineStr">
        <is>
          <t>Skoledu is an online interactive math curriculum for grades 0-10.</t>
        </is>
      </c>
      <c r="X1465" s="1" t="inlineStr">
        <is>
          <t>https://drive.google.com/uc?export=view&amp;id=1P833_KJPmmF9-WiTfnL4hchDBMZNhbTD</t>
        </is>
      </c>
      <c r="Y1465" t="inlineStr">
        <is>
          <t>https://drive.google.com/uc?export=view&amp;id=1P833_KJPmmF9-WiTfnL4hchDBMZNhbTD</t>
        </is>
      </c>
      <c r="Z1465" s="1" t="inlineStr">
        <is>
          <t>https://drive.google.com/uc?export=view&amp;id=1P833_KJPmmF9-WiTfnL4hchDBMZNhbTD</t>
        </is>
      </c>
      <c r="AA1465" s="1" t="inlineStr">
        <is>
          <t>Unverified</t>
        </is>
      </c>
      <c r="AB1465" s="1" t="n"/>
      <c r="AC1465" s="1" t="n"/>
      <c r="AD1465" s="10" t="n"/>
      <c r="AE1465" s="1" t="n"/>
      <c r="AF1465" s="1" t="inlineStr">
        <is>
          <t>No</t>
        </is>
      </c>
      <c r="AG1465" s="1" t="n"/>
      <c r="AH1465" s="1" t="n"/>
    </row>
    <row r="1466" ht="12.5" customHeight="1">
      <c r="A1466" s="6" t="n">
        <v>45181</v>
      </c>
      <c r="B1466" s="1" t="inlineStr">
        <is>
          <t>ORG_2284</t>
        </is>
      </c>
      <c r="C1466" s="1" t="b">
        <v>1</v>
      </c>
      <c r="D1466" s="1" t="inlineStr">
        <is>
          <t>Snabbfoting</t>
        </is>
      </c>
      <c r="E1466" s="10" t="inlineStr">
        <is>
          <t>www.snabbfoting.com</t>
        </is>
      </c>
      <c r="F1466" t="inlineStr">
        <is>
          <t>snabbfoting.com</t>
        </is>
      </c>
      <c r="G1466" s="1" t="inlineStr">
        <is>
          <t>We create a brighter future with a culture of modern digital learning.
Snabbfoting is building the learning of the future for organizations that want to be a workplace everyone wants to be a part of. We help organizations that are evolving and improving, seeking new and agile ways of working.
We equip decision-makers and leaders to make better decisions, build value, and accelerate learning. We serve customers in the Nordics, Europe, and the USA.</t>
        </is>
      </c>
      <c r="H1466" s="1" t="inlineStr">
        <is>
          <t>I'm not part of any EdTech association</t>
        </is>
      </c>
      <c r="I1466" s="1" t="inlineStr">
        <is>
          <t>English, Swedish</t>
        </is>
      </c>
      <c r="J1466" s="1" t="inlineStr">
        <is>
          <t>Stockholm</t>
        </is>
      </c>
      <c r="K1466" t="inlineStr">
        <is>
          <t>Stockholm</t>
        </is>
      </c>
      <c r="L1466" t="inlineStr">
        <is>
          <t>Stockholm, Sweden</t>
        </is>
      </c>
      <c r="M1466" t="n">
        <v>59.3251172</v>
      </c>
      <c r="N1466" t="n">
        <v>18.0710935</v>
      </c>
      <c r="O1466" s="1" t="inlineStr">
        <is>
          <t>Sweden</t>
        </is>
      </c>
      <c r="P1466" s="1" t="inlineStr">
        <is>
          <t>Belgium, Denmark, Ireland, Sweden</t>
        </is>
      </c>
      <c r="Q1466" s="1" t="inlineStr">
        <is>
          <t>0 to 2</t>
        </is>
      </c>
      <c r="R1466" t="inlineStr">
        <is>
          <t>Solo entrepreneur</t>
        </is>
      </c>
      <c r="S1466" s="1" t="inlineStr">
        <is>
          <t>Business to Consumer</t>
        </is>
      </c>
      <c r="T1466" s="1" t="inlineStr">
        <is>
          <t>Corporate Training, Lifelong learning/Adult education</t>
        </is>
      </c>
      <c r="U1466" s="1" t="inlineStr">
        <is>
          <t>System/Administrative, Student interfacing</t>
        </is>
      </c>
      <c r="V1466" s="10" t="inlineStr">
        <is>
          <t>Edtech and HR-tech shortlist</t>
        </is>
      </c>
      <c r="W1466" s="1" t="inlineStr">
        <is>
          <t>Implement a solution faster with expert advice on software strategy. We’ll map out which platform fits your organization’s needs.</t>
        </is>
      </c>
      <c r="X1466" s="10" t="inlineStr">
        <is>
          <t>Workshops</t>
        </is>
      </c>
      <c r="Y1466" t="inlineStr">
        <is>
          <t>Decision-makers and leaders need to ask better questions. Our workshops and assessments can be a catalyst for change.
L&amp;D &amp; HR can get an outside-in perspective and reach competency in fewer days, at a lower cost. We plan, co-design, and implement learning and content production.</t>
        </is>
      </c>
      <c r="Z1466" s="1" t="n"/>
      <c r="AA1466" s="1" t="inlineStr">
        <is>
          <t>Unverified</t>
        </is>
      </c>
      <c r="AB1466" s="1" t="n"/>
      <c r="AC1466" s="1" t="n"/>
      <c r="AD1466" s="1" t="n"/>
      <c r="AE1466" s="1" t="n"/>
      <c r="AF1466" s="1" t="inlineStr">
        <is>
          <t>Yes</t>
        </is>
      </c>
      <c r="AG1466" s="1" t="inlineStr">
        <is>
          <t>https://www.instagram.com/snabbfoting/</t>
        </is>
      </c>
      <c r="AH1466" s="1" t="inlineStr">
        <is>
          <t>https://www.linkedin.com/company/snabbfoting</t>
        </is>
      </c>
      <c r="AI1466" t="inlineStr">
        <is>
          <t>https://www.linkedin.com/company/snabbfoting</t>
        </is>
      </c>
    </row>
    <row r="1467" ht="12.5" customHeight="1">
      <c r="A1467" s="6" t="n">
        <v>45181</v>
      </c>
      <c r="B1467" s="1" t="inlineStr">
        <is>
          <t>ORG_2316</t>
        </is>
      </c>
      <c r="C1467" s="1" t="b">
        <v>1</v>
      </c>
      <c r="D1467" s="1" t="inlineStr">
        <is>
          <t>Squla</t>
        </is>
      </c>
      <c r="E1467" s="10" t="inlineStr">
        <is>
          <t>www.squla.nl</t>
        </is>
      </c>
      <c r="F1467" t="inlineStr">
        <is>
          <t>squla.nl</t>
        </is>
      </c>
      <c r="G1467" s="1" t="inlineStr">
        <is>
          <t>Squla is the leading gamified educational platform for primary school children in the Netherlands. The product is available for families via a subscription model.</t>
        </is>
      </c>
      <c r="H1467" s="1" t="inlineStr">
        <is>
          <t>I'm not part of any EdTech association</t>
        </is>
      </c>
      <c r="I1467" s="1" t="n"/>
      <c r="J1467" s="1" t="inlineStr">
        <is>
          <t>Amsterdam</t>
        </is>
      </c>
      <c r="K1467" t="inlineStr">
        <is>
          <t>Amsterdam</t>
        </is>
      </c>
      <c r="L1467" t="inlineStr">
        <is>
          <t>Amsterdam, The Netherlands</t>
        </is>
      </c>
      <c r="M1467" t="n">
        <v>52.3701984</v>
      </c>
      <c r="N1467" t="n">
        <v>4.892168</v>
      </c>
      <c r="O1467" s="1" t="inlineStr">
        <is>
          <t>The Netherlands</t>
        </is>
      </c>
      <c r="P1467" s="1" t="inlineStr">
        <is>
          <t>Germany, Poland</t>
        </is>
      </c>
      <c r="Q1467" s="1" t="inlineStr">
        <is>
          <t>51 to 100</t>
        </is>
      </c>
      <c r="R1467" t="inlineStr">
        <is>
          <t>Medium</t>
        </is>
      </c>
      <c r="S1467" s="1" t="inlineStr">
        <is>
          <t>Business to Consumer</t>
        </is>
      </c>
      <c r="T1467" s="1" t="inlineStr">
        <is>
          <t>Primary Education</t>
        </is>
      </c>
      <c r="U1467" s="1" t="inlineStr">
        <is>
          <t>System/Administrative, Student interfacing</t>
        </is>
      </c>
      <c r="V1467" s="1" t="n"/>
      <c r="W1467" s="1" t="inlineStr">
        <is>
          <t>https://drive.google.com/uc?export=view&amp;id=1AXssrq2h0C-kIWHUW6mEuaAzZkg5ieGz</t>
        </is>
      </c>
      <c r="X1467" s="1" t="inlineStr">
        <is>
          <t>https://drive.google.com/uc?export=view&amp;id=1AXssrq2h0C-kIWHUW6mEuaAzZkg5ieGz</t>
        </is>
      </c>
      <c r="Y1467" t="inlineStr">
        <is>
          <t>https://drive.google.com/uc?export=view&amp;id=1AXssrq2h0C-kIWHUW6mEuaAzZkg5ieGz</t>
        </is>
      </c>
      <c r="Z1467" s="1" t="inlineStr">
        <is>
          <t>https://drive.google.com/uc?export=view&amp;id=1AXssrq2h0C-kIWHUW6mEuaAzZkg5ieGz</t>
        </is>
      </c>
      <c r="AA1467" s="1" t="inlineStr">
        <is>
          <t>Unverified</t>
        </is>
      </c>
      <c r="AB1467" s="1" t="n"/>
      <c r="AC1467" s="1" t="n"/>
      <c r="AD1467" s="10" t="n"/>
      <c r="AE1467" s="1" t="n"/>
      <c r="AF1467" s="1" t="inlineStr">
        <is>
          <t>No</t>
        </is>
      </c>
      <c r="AG1467" s="1" t="n"/>
      <c r="AH1467" s="1" t="n"/>
    </row>
    <row r="1468" ht="12.5" customHeight="1">
      <c r="A1468" s="6" t="n">
        <v>45181</v>
      </c>
      <c r="B1468" s="1" t="inlineStr">
        <is>
          <t>ORG_2357</t>
        </is>
      </c>
      <c r="C1468" s="1" t="b">
        <v>1</v>
      </c>
      <c r="D1468" s="1" t="inlineStr">
        <is>
          <t>SYLVA</t>
        </is>
      </c>
      <c r="E1468" s="10" t="inlineStr">
        <is>
          <t>https://www.sylva.ac/</t>
        </is>
      </c>
      <c r="F1468" t="inlineStr">
        <is>
          <t>sylva.ac</t>
        </is>
      </c>
      <c r="G1468" s="1" t="inlineStr">
        <is>
          <t>SYLVA is an all-in-one online learning and assessment platform that solves the tradeoff between quality and scalability in education for universities, schools, and publishers. The core of SYLVA is its powerful e-assessment and true interactivity. In addition to the automatic evaluation of various possible question types (e.g. open-ended &amp; interactive questions, handwritten answers), SYLVA provides individual feedback in order to optimize the learning process. The innovative evaluation algorithm is supported by AI technologies such as natural language processing and machine learning as well as the use of real-life data. SYLVA is used at leading universities, schools, and publishers, either standalone or integrated into an LMS.</t>
        </is>
      </c>
      <c r="H1468" s="1" t="inlineStr">
        <is>
          <t>Swiss EdTech Collider</t>
        </is>
      </c>
      <c r="I1468" s="1" t="n"/>
      <c r="J1468" s="1" t="inlineStr">
        <is>
          <t>Schlieren</t>
        </is>
      </c>
      <c r="K1468" t="inlineStr">
        <is>
          <t>Schlieren</t>
        </is>
      </c>
      <c r="L1468" t="inlineStr">
        <is>
          <t>Schlieren, Switzerland</t>
        </is>
      </c>
      <c r="M1468" t="n">
        <v>47.3965147</v>
      </c>
      <c r="N1468" t="n">
        <v>8.444486100000001</v>
      </c>
      <c r="O1468" s="1" t="inlineStr">
        <is>
          <t>Switzerland</t>
        </is>
      </c>
      <c r="P1468" s="1" t="inlineStr">
        <is>
          <t>Germany, Greece, Switzerland</t>
        </is>
      </c>
      <c r="Q1468" s="1" t="inlineStr">
        <is>
          <t>0 to 10</t>
        </is>
      </c>
      <c r="R1468" t="inlineStr">
        <is>
          <t>Micro</t>
        </is>
      </c>
      <c r="S1468" s="1" t="inlineStr">
        <is>
          <t>Business to Consumer, Business to Government, Business to Schools</t>
        </is>
      </c>
      <c r="T1468" s="1" t="inlineStr">
        <is>
          <t>Higher Education, Corporate Training, Lifelong learning/Adult education</t>
        </is>
      </c>
      <c r="U1468" s="1" t="inlineStr">
        <is>
          <t>Student interfacing, Teacher interfacing, System/Administrative</t>
        </is>
      </c>
      <c r="V1468" s="1" t="inlineStr">
        <is>
          <t>SYLVA</t>
        </is>
      </c>
      <c r="W1468" s="1" t="inlineStr">
        <is>
          <t>SYLVA solves the tradeoff between quality and scalability with its all-in-one education platform for universities, schools, and publishers. SYLVA focuses on powerful e-assessment and interactive modules, enabling automatic grading but yet individual feedback for any type of exercise - powered by AI technologies like Natural Language Processing and Machine Learning.</t>
        </is>
      </c>
      <c r="X1468" s="10" t="inlineStr">
        <is>
          <t>https://drive.google.com/uc?export=view&amp;id=1IKhOJxR1Vn7EU4srf04yBuQPJ9lbC-YZ</t>
        </is>
      </c>
      <c r="Y1468" t="inlineStr">
        <is>
          <t>https://drive.google.com/uc?export=view&amp;id=1IKhOJxR1Vn7EU4srf04yBuQPJ9lbC-YZ</t>
        </is>
      </c>
      <c r="Z1468" s="1" t="inlineStr">
        <is>
          <t>https://drive.google.com/uc?export=view&amp;id=1IKhOJxR1Vn7EU4srf04yBuQPJ9lbC-YZ</t>
        </is>
      </c>
      <c r="AA1468" s="1" t="inlineStr">
        <is>
          <t>Unverified</t>
        </is>
      </c>
      <c r="AB1468" s="1" t="n"/>
      <c r="AC1468" s="1" t="n"/>
      <c r="AD1468" s="10" t="n"/>
      <c r="AE1468" s="1" t="n"/>
      <c r="AF1468" s="1" t="inlineStr">
        <is>
          <t>Yes</t>
        </is>
      </c>
      <c r="AG1468" s="1" t="inlineStr">
        <is>
          <t>https://www.linkedin.com/company/sylva-education</t>
        </is>
      </c>
      <c r="AH1468" s="1" t="inlineStr">
        <is>
          <t>https://www.linkedin.com/company/sylva-education</t>
        </is>
      </c>
      <c r="AI1468" s="1" t="inlineStr">
        <is>
          <t>https://www.linkedin.com/company/sylva-education</t>
        </is>
      </c>
      <c r="AJ1468" s="1" t="n"/>
    </row>
    <row r="1469" ht="12.5" customHeight="1">
      <c r="A1469" s="6" t="n">
        <v>45181</v>
      </c>
      <c r="B1469" s="1" t="inlineStr">
        <is>
          <t>ORG_2375</t>
        </is>
      </c>
      <c r="C1469" s="1" t="b">
        <v>1</v>
      </c>
      <c r="D1469" s="1" t="inlineStr">
        <is>
          <t>TeachRemote</t>
        </is>
      </c>
      <c r="E1469" s="10" t="inlineStr">
        <is>
          <t>https://www.teachremote.ch</t>
        </is>
      </c>
      <c r="F1469" t="inlineStr">
        <is>
          <t>teachremote.ch</t>
        </is>
      </c>
      <c r="G1469" s="1" t="inlineStr">
        <is>
          <t>TeachRemote is an online tutoring platform that allows customers (students/tutors) to use our patented OnlineDeskSharing-Method (ODS). The ODS recreates the real side-by-side learning experience by online means and makes online tutoring possible as if you were learning side-by-side around a desk. The users see thereby what the other write on a piece of paper while online session using their physical learning materials such as pen, paper, rulers and a pair of compasses. The only tools they need are a mobile phone, a phoneholder and our free apps.</t>
        </is>
      </c>
      <c r="H1469" s="1" t="inlineStr">
        <is>
          <t>Swiss EdTech Collider</t>
        </is>
      </c>
      <c r="I1469" s="1" t="n"/>
      <c r="J1469" s="1" t="inlineStr">
        <is>
          <t>Aeugst Am Albis</t>
        </is>
      </c>
      <c r="K1469" t="inlineStr">
        <is>
          <t>Aeugst Am Albis</t>
        </is>
      </c>
      <c r="L1469" t="inlineStr">
        <is>
          <t>Aeugst Am Albis, Switzerland</t>
        </is>
      </c>
      <c r="M1469" t="n">
        <v>47.2679489</v>
      </c>
      <c r="N1469" t="n">
        <v>8.4863301</v>
      </c>
      <c r="O1469" s="1" t="inlineStr">
        <is>
          <t>Switzerland</t>
        </is>
      </c>
      <c r="P1469" s="1" t="inlineStr">
        <is>
          <t>Switzerland</t>
        </is>
      </c>
      <c r="Q1469" s="1" t="inlineStr">
        <is>
          <t>0 to 10</t>
        </is>
      </c>
      <c r="R1469" t="inlineStr">
        <is>
          <t>Micro</t>
        </is>
      </c>
      <c r="S1469" s="1" t="inlineStr">
        <is>
          <t>Business to Consumer, Business to Government, Business to Schools</t>
        </is>
      </c>
      <c r="T1469" s="1" t="inlineStr">
        <is>
          <t>Secondary Education, Higher Education, Lifelong learning/Adult education</t>
        </is>
      </c>
      <c r="U1469" s="1" t="inlineStr">
        <is>
          <t>System/Administrative, Student interfacing, Teacher interfacing</t>
        </is>
      </c>
      <c r="V1469" s="1" t="inlineStr">
        <is>
          <t>App "teachremote"</t>
        </is>
      </c>
      <c r="W1469" s="10" t="inlineStr">
        <is>
          <t>Our App can be downloaded from Appstore (IOS) and GooglePlayStore (Android) free of charge. You can see on the app who is available at that moment and start immediadetely a text chat or videochat with your tutor, just in time or scheduled session for later.</t>
        </is>
      </c>
      <c r="X1469" s="10" t="inlineStr">
        <is>
          <t>Phoneholder</t>
        </is>
      </c>
      <c r="Y1469" t="inlineStr">
        <is>
          <t>You can buy our phoneholder via our website or you can use our DIY-Template from our website free of charge.</t>
        </is>
      </c>
      <c r="Z1469" s="1" t="inlineStr">
        <is>
          <t>https://drive.google.com/uc?export=view&amp;id=1tbhYSMRBCY-NhVZSwg2bXQzDz-gdSdTs</t>
        </is>
      </c>
      <c r="AA1469" s="1" t="inlineStr">
        <is>
          <t>Unverified</t>
        </is>
      </c>
      <c r="AB1469" s="1" t="n"/>
      <c r="AC1469" s="1" t="n"/>
      <c r="AD1469" s="10" t="n"/>
      <c r="AE1469" s="1" t="n"/>
      <c r="AF1469" s="1" t="inlineStr">
        <is>
          <t>Yes</t>
        </is>
      </c>
      <c r="AG1469" s="1" t="inlineStr">
        <is>
          <t>https://twitter.com/teachremote?s=20</t>
        </is>
      </c>
      <c r="AH1469" s="1" t="inlineStr">
        <is>
          <t>https://twitter.com/teachremote?s=20</t>
        </is>
      </c>
      <c r="AI1469" t="inlineStr">
        <is>
          <t>https://www.linkedin.com/in/teach-remote/</t>
        </is>
      </c>
    </row>
    <row r="1470" ht="12.5" customHeight="1">
      <c r="A1470" s="6" t="n">
        <v>45181</v>
      </c>
      <c r="B1470" s="1" t="inlineStr">
        <is>
          <t>ORG_2381</t>
        </is>
      </c>
      <c r="C1470" s="1" t="b">
        <v>1</v>
      </c>
      <c r="D1470" s="1" t="inlineStr">
        <is>
          <t>Teenit</t>
        </is>
      </c>
      <c r="E1470" s="10" t="inlineStr">
        <is>
          <t>https://teenit.app/</t>
        </is>
      </c>
      <c r="F1470" t="inlineStr">
        <is>
          <t>teenit.app</t>
        </is>
      </c>
      <c r="G1470" s="1" t="inlineStr">
        <is>
          <t>We are Teenit - a financial education app for teenagers with smart budgeting features and insights based on real banking data. No additional cards or accounts - use your trusted bank!
We are helping kids to develop healthy financial habits in a cashless world and prevent financial issues in adulthood. Our age-tailored data insights, videos, and interactive quizzes successfully engage teenagers in building up knowledge based on their financial behavior and prepare them for challenges ahead. Specially designed educational modules and timely insights assure that teenagers remain continuously engaged and rewarded for their academic effort. 
Teenit uses custom flows and data algorithms based on bank APIs (38 in the UK only). It allows for seamless and secure connection via parent’s authorization, leaving teenager’s data safely at the financial institution and immediately drawing insightful conclusions that are passed to the app safely and securely.
Teenit - financial education revolution at your fingertips!</t>
        </is>
      </c>
      <c r="H1470" s="1" t="inlineStr">
        <is>
          <t>Dutch EdTech</t>
        </is>
      </c>
      <c r="I1470" s="1" t="n"/>
      <c r="J1470" s="1" t="inlineStr">
        <is>
          <t>Amsterdam</t>
        </is>
      </c>
      <c r="K1470" t="inlineStr">
        <is>
          <t>Amsterdam</t>
        </is>
      </c>
      <c r="L1470" t="inlineStr">
        <is>
          <t>Amsterdam, The Netherlands</t>
        </is>
      </c>
      <c r="M1470" t="n">
        <v>52.3701984</v>
      </c>
      <c r="N1470" t="n">
        <v>4.892168</v>
      </c>
      <c r="O1470" s="1" t="inlineStr">
        <is>
          <t>The Netherlands</t>
        </is>
      </c>
      <c r="P1470" s="1" t="inlineStr">
        <is>
          <t>Netherlands</t>
        </is>
      </c>
      <c r="Q1470" s="1" t="inlineStr">
        <is>
          <t>0 to 10</t>
        </is>
      </c>
      <c r="R1470" t="inlineStr">
        <is>
          <t>Micro</t>
        </is>
      </c>
      <c r="S1470" s="1" t="inlineStr">
        <is>
          <t>Business to Consumer, Business to Government, Business to Schools</t>
        </is>
      </c>
      <c r="T1470" s="1" t="inlineStr">
        <is>
          <t>Secondary Education</t>
        </is>
      </c>
      <c r="U1470" s="1" t="inlineStr">
        <is>
          <t>System/Administrative, Student interfacing</t>
        </is>
      </c>
      <c r="V1470" s="1" t="inlineStr">
        <is>
          <t>Teenit app</t>
        </is>
      </c>
      <c r="W1470" s="1" t="inlineStr">
        <is>
          <t>A financial education app for teenagers with smart budgeting features and insights based on real banking data. No additional cards or accounts - use your trusted bank!</t>
        </is>
      </c>
      <c r="X1470" s="10" t="inlineStr">
        <is>
          <t>https://drive.google.com/uc?export=view&amp;id=18ZIYf9ZH3CzDZiyytiQ_hU9hDoeTjYfW</t>
        </is>
      </c>
      <c r="Y1470" t="inlineStr">
        <is>
          <t>https://drive.google.com/uc?export=view&amp;id=18ZIYf9ZH3CzDZiyytiQ_hU9hDoeTjYfW</t>
        </is>
      </c>
      <c r="Z1470" s="1" t="inlineStr">
        <is>
          <t>https://drive.google.com/uc?export=view&amp;id=18ZIYf9ZH3CzDZiyytiQ_hU9hDoeTjYfW</t>
        </is>
      </c>
      <c r="AA1470" s="1" t="inlineStr">
        <is>
          <t>Unverified</t>
        </is>
      </c>
      <c r="AB1470" s="1" t="n"/>
      <c r="AC1470" s="1" t="n"/>
      <c r="AD1470" s="10" t="n"/>
      <c r="AE1470" s="1" t="n"/>
      <c r="AF1470" s="1" t="inlineStr">
        <is>
          <t>Yes</t>
        </is>
      </c>
      <c r="AG1470" s="1" t="inlineStr">
        <is>
          <t>https://www.linkedin.com/company/74991718/</t>
        </is>
      </c>
      <c r="AH1470" s="1" t="inlineStr">
        <is>
          <t>https://www.linkedin.com/company/74991718/</t>
        </is>
      </c>
      <c r="AI1470" t="inlineStr">
        <is>
          <t>https://www.linkedin.com/company/74991718/</t>
        </is>
      </c>
    </row>
    <row r="1471" ht="12.5" customHeight="1">
      <c r="A1471" s="6" t="n">
        <v>45181</v>
      </c>
      <c r="B1471" s="1" t="inlineStr">
        <is>
          <t>ORG_2402</t>
        </is>
      </c>
      <c r="C1471" s="1" t="b">
        <v>1</v>
      </c>
      <c r="D1471" s="1" t="inlineStr">
        <is>
          <t>The Rent Company</t>
        </is>
      </c>
      <c r="E1471" s="10" t="inlineStr">
        <is>
          <t>http://www.rentcompany.be</t>
        </is>
      </c>
      <c r="F1471" t="inlineStr">
        <is>
          <t>rentcompany.be</t>
        </is>
      </c>
      <c r="G1471" s="1" t="inlineStr">
        <is>
          <t>The Rent Company enables digital learning for pupils and teachers throughout education by offering the Easy4u all-in-one subscription.
The Easy4u subscription gives students with a Chromebook or laptop from The Rent Company access to the electronic learning environment and digital learning methods for a limited monthly fee. Software, service and insurance are included in the subscription, providing complete peace of mind for pupils, parents and teachers.</t>
        </is>
      </c>
      <c r="H1471" s="1" t="inlineStr">
        <is>
          <t>I'm not part of any EdTech association</t>
        </is>
      </c>
      <c r="I1471" s="1" t="n"/>
      <c r="J1471" s="1" t="inlineStr">
        <is>
          <t>S Hertogenbosch</t>
        </is>
      </c>
      <c r="K1471" t="inlineStr">
        <is>
          <t>S Hertogenbosch</t>
        </is>
      </c>
      <c r="L1471" t="inlineStr">
        <is>
          <t>S Hertogenbosch, The Netherlands</t>
        </is>
      </c>
      <c r="M1471" t="n">
        <v>51.6986827</v>
      </c>
      <c r="N1471" t="n">
        <v>5.296718</v>
      </c>
      <c r="O1471" s="1" t="inlineStr">
        <is>
          <t>The Netherlands</t>
        </is>
      </c>
      <c r="P1471" s="1" t="inlineStr">
        <is>
          <t>Belgium, Netherlands, United Kingdom</t>
        </is>
      </c>
      <c r="Q1471" s="1" t="inlineStr">
        <is>
          <t>100+</t>
        </is>
      </c>
      <c r="R1471" t="inlineStr">
        <is>
          <t>Medium or Large (unspecified)</t>
        </is>
      </c>
      <c r="S1471" s="1" t="inlineStr">
        <is>
          <t>Business to Consumer, Business to Schools</t>
        </is>
      </c>
      <c r="T1471" s="1" t="inlineStr">
        <is>
          <t>Primary Education, Secondary Education, Higher Education</t>
        </is>
      </c>
      <c r="U1471" s="1" t="inlineStr">
        <is>
          <t>System/Administrative, Student interfacing, Teacher interfacing</t>
        </is>
      </c>
      <c r="V1471" s="1" t="n"/>
      <c r="W1471" s="1" t="inlineStr">
        <is>
          <t>https://drive.google.com/uc?export=view&amp;id=1v3aUVV6BldpdEGy1SqY0Fjn0XuuNH4sl</t>
        </is>
      </c>
      <c r="X1471" s="1" t="inlineStr">
        <is>
          <t>https://drive.google.com/uc?export=view&amp;id=1v3aUVV6BldpdEGy1SqY0Fjn0XuuNH4sl</t>
        </is>
      </c>
      <c r="Y1471" t="inlineStr">
        <is>
          <t>https://drive.google.com/uc?export=view&amp;id=1v3aUVV6BldpdEGy1SqY0Fjn0XuuNH4sl</t>
        </is>
      </c>
      <c r="Z1471" s="1" t="inlineStr">
        <is>
          <t>https://drive.google.com/uc?export=view&amp;id=1v3aUVV6BldpdEGy1SqY0Fjn0XuuNH4sl</t>
        </is>
      </c>
      <c r="AA1471" s="1" t="inlineStr">
        <is>
          <t>Unverified</t>
        </is>
      </c>
      <c r="AB1471" s="1" t="n"/>
      <c r="AC1471" s="1" t="n"/>
      <c r="AD1471" s="10" t="n"/>
      <c r="AE1471" s="1" t="n"/>
      <c r="AF1471" s="1" t="inlineStr">
        <is>
          <t>No</t>
        </is>
      </c>
      <c r="AG1471" s="1" t="n"/>
      <c r="AH1471" s="1" t="n"/>
    </row>
    <row r="1472" ht="12.5" customHeight="1">
      <c r="A1472" s="6" t="n">
        <v>45181</v>
      </c>
      <c r="B1472" s="1" t="inlineStr">
        <is>
          <t>ORG_2434</t>
        </is>
      </c>
      <c r="C1472" s="1" t="b">
        <v>1</v>
      </c>
      <c r="D1472" s="1" t="inlineStr">
        <is>
          <t>TRUE Original</t>
        </is>
      </c>
      <c r="E1472" s="10" t="inlineStr">
        <is>
          <t>https://trueoriginal.com/</t>
        </is>
      </c>
      <c r="F1472" t="inlineStr">
        <is>
          <t>trueoriginal.com</t>
        </is>
      </c>
      <c r="G1472" s="1" t="inlineStr">
        <is>
          <t>TRUE Original let organisations upgrade all important papers and pdf's
to a new digital standard; documents which cannot be lost, destroyed or falsified.
A smooth way to issue and store beautiful, blockchain-secured diplomas, certificate, awards and more.</t>
        </is>
      </c>
      <c r="H1472" s="1" t="inlineStr">
        <is>
          <t>I'm not part of any EdTech association</t>
        </is>
      </c>
      <c r="I1472" s="1" t="inlineStr">
        <is>
          <t>English, Swedish, Spanish</t>
        </is>
      </c>
      <c r="J1472" s="1" t="inlineStr">
        <is>
          <t>Stockholm</t>
        </is>
      </c>
      <c r="K1472" t="inlineStr">
        <is>
          <t>Stockholm</t>
        </is>
      </c>
      <c r="L1472" t="inlineStr">
        <is>
          <t>Stockholm, Sweden</t>
        </is>
      </c>
      <c r="M1472" t="n">
        <v>59.3251172</v>
      </c>
      <c r="N1472" t="n">
        <v>18.0710935</v>
      </c>
      <c r="O1472" s="1" t="inlineStr">
        <is>
          <t>Sweden</t>
        </is>
      </c>
      <c r="P1472" s="1" t="inlineStr">
        <is>
          <t>Austria, Belgium, Denmark, Estonia, Finland, France, Georgia, Germany, Iceland, Ireland, Netherlands, Norway, Poland, Spain, Sweden, Switzerland, United Kingdom</t>
        </is>
      </c>
      <c r="Q1472" s="1" t="inlineStr">
        <is>
          <t>6 to 10</t>
        </is>
      </c>
      <c r="R1472" t="inlineStr">
        <is>
          <t>Micro</t>
        </is>
      </c>
      <c r="S1472" s="1" t="inlineStr">
        <is>
          <t>Business to Consumer, Business to Schools</t>
        </is>
      </c>
      <c r="T1472" s="1" t="inlineStr">
        <is>
          <t>Corporate Training, Lifelong learning/Adult education, Vocational Education and Training (VET), Higher Education</t>
        </is>
      </c>
      <c r="U1472" s="1" t="inlineStr">
        <is>
          <t>System/Administrative, Student interfacing</t>
        </is>
      </c>
      <c r="V1472" s="10" t="inlineStr">
        <is>
          <t>TRUE original documents</t>
        </is>
      </c>
      <c r="W1472" s="10" t="inlineStr">
        <is>
          <t>TRUE documents are blockchain secured digital originals. 
Organisations use TRUE's platform to issue certificates and diplomas which look amazing, are smart, secure -and better for the environment.
Save time, money and resources with documents and credentials that can’t be lost or falsified.</t>
        </is>
      </c>
      <c r="X1472" s="10" t="inlineStr">
        <is>
          <t>Credentialing</t>
        </is>
      </c>
      <c r="Y1472" t="inlineStr">
        <is>
          <t>Manage every aspect of your Diplomas and Certificates.
Create, send and store in one smooth action.</t>
        </is>
      </c>
      <c r="Z1472" s="1" t="inlineStr">
        <is>
          <t>https://drive.google.com/uc?export=view&amp;id=1Hp6dlsWPf6xPtqF8gi9OWhaeb8qK-a28</t>
        </is>
      </c>
      <c r="AA1472" s="1" t="inlineStr">
        <is>
          <t>Unverified</t>
        </is>
      </c>
      <c r="AB1472" s="1" t="n"/>
      <c r="AC1472" s="1" t="n"/>
      <c r="AD1472" s="10" t="n"/>
      <c r="AE1472" s="1" t="n"/>
      <c r="AF1472" s="1" t="inlineStr">
        <is>
          <t>Yes</t>
        </is>
      </c>
      <c r="AG1472" s="1" t="inlineStr">
        <is>
          <t>https://www.instagram.com/truedocuments/</t>
        </is>
      </c>
      <c r="AH1472" s="1" t="inlineStr">
        <is>
          <t>https://twitter.com/TrueDocuments</t>
        </is>
      </c>
      <c r="AI1472" t="inlineStr">
        <is>
          <t>https://www.linkedin.com/company/37549025/</t>
        </is>
      </c>
    </row>
    <row r="1473" ht="12.5" customHeight="1">
      <c r="A1473" s="6" t="n">
        <v>45181</v>
      </c>
      <c r="B1473" s="1" t="inlineStr">
        <is>
          <t>ORG_2454</t>
        </is>
      </c>
      <c r="C1473" s="1" t="b">
        <v>1</v>
      </c>
      <c r="D1473" s="1" t="inlineStr">
        <is>
          <t>Uchronic</t>
        </is>
      </c>
      <c r="E1473" s="10" t="inlineStr">
        <is>
          <t>https://uchronic.ch</t>
        </is>
      </c>
      <c r="F1473" t="inlineStr">
        <is>
          <t>uchronic.ch</t>
        </is>
      </c>
      <c r="G1473" s="1" t="inlineStr">
        <is>
          <t>We provide an IT solution to match personal experience and skillsbases, including Quality and project management.
We propose a swiss robust, ergonomic and easy to use application for compagnies which are not able to develop and maintain their own solution.
The solution helps people to strongly proove or develop their skills by their own and support compagnies which are engaged in a new business conception as participatory governance.
In training field, it support the actual trend of skills development and offers the possibility to involve people in real projects.
in validation of acquired experience, it provides a numeric solution to make it easy for all actors.
In reintegration field, it allows people to understand their professional level and helps their orientation.
In Quality management, it allows to mount easily a living management system, ISO 9001 compliant, as well as support flat governance development based on process and transparency.
We integrate customers as partners and co-develops the application in order to match their needs.
In our Saas solution, we propose environment for compagnies which are totally customizable, in a way the solution is adapted to the company reality not the inverse.
We have a complete respectfulness of personal data that people file in our application.</t>
        </is>
      </c>
      <c r="H1473" s="1" t="inlineStr">
        <is>
          <t>Swiss EdTech Collider</t>
        </is>
      </c>
      <c r="I1473" s="1" t="inlineStr">
        <is>
          <t>French</t>
        </is>
      </c>
      <c r="J1473" s="1" t="inlineStr">
        <is>
          <t>Geneva</t>
        </is>
      </c>
      <c r="K1473" t="inlineStr">
        <is>
          <t>Geneva</t>
        </is>
      </c>
      <c r="L1473" t="inlineStr">
        <is>
          <t>Geneva, Switzerland</t>
        </is>
      </c>
      <c r="M1473" t="n">
        <v>46.2017559</v>
      </c>
      <c r="N1473" t="n">
        <v>6.1466014</v>
      </c>
      <c r="O1473" s="1" t="inlineStr">
        <is>
          <t>Switzerland</t>
        </is>
      </c>
      <c r="P1473" s="1" t="inlineStr">
        <is>
          <t>Switzerland</t>
        </is>
      </c>
      <c r="Q1473" s="1" t="inlineStr">
        <is>
          <t>3 to 5</t>
        </is>
      </c>
      <c r="R1473" t="inlineStr">
        <is>
          <t>Micro</t>
        </is>
      </c>
      <c r="S1473" s="1" t="inlineStr">
        <is>
          <t>Business to Government, Business to Schools</t>
        </is>
      </c>
      <c r="T1473" s="1" t="inlineStr">
        <is>
          <t>Secondary Education, Corporate Training, Lifelong learning/Adult education, Vocational Education and Training (VET), Higher Education</t>
        </is>
      </c>
      <c r="U1473" s="1" t="inlineStr">
        <is>
          <t>Teacher interfacing, System/Administrative</t>
        </is>
      </c>
      <c r="V1473" s="10" t="inlineStr">
        <is>
          <t>Uscope</t>
        </is>
      </c>
      <c r="W1473" s="1" t="inlineStr">
        <is>
          <t>Uscope is a SAAS solution, including many tolls helping people to explicite their skills, make them valuable and useful for their company.
It's used in many different fields such as:
1. Transformation of the way to train people (based on skills development) - on regular and continuous training
2. Need to proove the skills level of employees more and more asked on Quality standards
3. Need to help employees to evolve in the flat structure
4. Need to support structure which help people on reintegration or professional transition to understand who they are and what they can do
Uscope include:
- eportfolio
- Skills database (&gt;3000 skills)
- Skillsbasse creation
- Interaction tools between portfolio users and trainers
- PMO tools
- Process and documents management tools
- Stakeholders following</t>
        </is>
      </c>
      <c r="X1473" s="10" t="inlineStr">
        <is>
          <t>https://drive.google.com/uc?export=view&amp;id=1haAf6-SyxjdUsiKU2YJNX8RM0vwZ5maL</t>
        </is>
      </c>
      <c r="Y1473" t="inlineStr">
        <is>
          <t>https://drive.google.com/uc?export=view&amp;id=1haAf6-SyxjdUsiKU2YJNX8RM0vwZ5maL</t>
        </is>
      </c>
      <c r="Z1473" s="1" t="inlineStr">
        <is>
          <t>https://drive.google.com/uc?export=view&amp;id=1haAf6-SyxjdUsiKU2YJNX8RM0vwZ5maL</t>
        </is>
      </c>
      <c r="AA1473" s="1" t="inlineStr">
        <is>
          <t>Unverified</t>
        </is>
      </c>
      <c r="AB1473" s="1" t="n"/>
      <c r="AC1473" s="1" t="n"/>
      <c r="AD1473" s="10" t="n"/>
      <c r="AE1473" s="1" t="n"/>
      <c r="AF1473" s="1" t="inlineStr">
        <is>
          <t>Yes</t>
        </is>
      </c>
      <c r="AG1473" s="1" t="inlineStr">
        <is>
          <t>https://www.instagram.com/uchronic.geneve/</t>
        </is>
      </c>
      <c r="AH1473" s="1" t="inlineStr">
        <is>
          <t>https://www.linkedin.com/company/uchronicsarl</t>
        </is>
      </c>
      <c r="AI1473" t="inlineStr">
        <is>
          <t>https://www.linkedin.com/company/uchronicsarl</t>
        </is>
      </c>
    </row>
    <row r="1474" ht="12.5" customHeight="1">
      <c r="A1474" s="6" t="n">
        <v>45181</v>
      </c>
      <c r="B1474" s="1" t="inlineStr">
        <is>
          <t>ORG_2473</t>
        </is>
      </c>
      <c r="C1474" s="1" t="b">
        <v>1</v>
      </c>
      <c r="D1474" s="1" t="inlineStr">
        <is>
          <t>UpGrowz Software</t>
        </is>
      </c>
      <c r="E1474" s="10" t="inlineStr">
        <is>
          <t>https://www.upgrowz.com/</t>
        </is>
      </c>
      <c r="F1474" t="inlineStr">
        <is>
          <t>upgrowz.com</t>
        </is>
      </c>
      <c r="G1474" s="1" t="inlineStr">
        <is>
          <t>UpGrowz is a technological solution that aims to help people make the most optimal decision in their training based on which skills are the most demanded in the current labor market. Our mission is to connect the educational world with the labor market in a real way thanks to the use of big data and artificial intelligence.</t>
        </is>
      </c>
      <c r="H1474" s="1" t="inlineStr">
        <is>
          <t>I'm not part of any EdTech association</t>
        </is>
      </c>
      <c r="I1474" s="1" t="n"/>
      <c r="J1474" s="1" t="inlineStr">
        <is>
          <t>Málaga</t>
        </is>
      </c>
      <c r="K1474" t="inlineStr">
        <is>
          <t>Málaga</t>
        </is>
      </c>
      <c r="L1474" t="inlineStr">
        <is>
          <t>Málaga, Spain</t>
        </is>
      </c>
      <c r="M1474" t="n">
        <v>36.7647913</v>
      </c>
      <c r="N1474" t="n">
        <v>-4.4422005</v>
      </c>
      <c r="O1474" s="1" t="inlineStr">
        <is>
          <t>Spain</t>
        </is>
      </c>
      <c r="P1474" s="1" t="inlineStr">
        <is>
          <t>Spain</t>
        </is>
      </c>
      <c r="Q1474" s="1" t="inlineStr">
        <is>
          <t>0 to 10</t>
        </is>
      </c>
      <c r="R1474" t="inlineStr">
        <is>
          <t>Micro</t>
        </is>
      </c>
      <c r="S1474" s="1" t="inlineStr">
        <is>
          <t>Business to Government, Business to Schools</t>
        </is>
      </c>
      <c r="T1474" s="1" t="inlineStr">
        <is>
          <t>Higher Education, Corporate Training, Lifelong learning/Adult education</t>
        </is>
      </c>
      <c r="U1474" s="1" t="inlineStr">
        <is>
          <t>Teacher interfacing, Student interfacing, System/Administrative</t>
        </is>
      </c>
      <c r="V1474" s="1" t="n"/>
      <c r="W1474" s="1" t="inlineStr">
        <is>
          <t>https://drive.google.com/uc?export=view&amp;id=1Kv5BTo0NOQBzTzrcR1_EFXZFdI3ww_MH</t>
        </is>
      </c>
      <c r="X1474" s="1" t="inlineStr">
        <is>
          <t>https://drive.google.com/uc?export=view&amp;id=1Kv5BTo0NOQBzTzrcR1_EFXZFdI3ww_MH</t>
        </is>
      </c>
      <c r="Y1474" t="inlineStr">
        <is>
          <t>https://drive.google.com/uc?export=view&amp;id=1Kv5BTo0NOQBzTzrcR1_EFXZFdI3ww_MH</t>
        </is>
      </c>
      <c r="Z1474" s="1" t="inlineStr">
        <is>
          <t>https://drive.google.com/uc?export=view&amp;id=1Kv5BTo0NOQBzTzrcR1_EFXZFdI3ww_MH</t>
        </is>
      </c>
      <c r="AA1474" s="1" t="inlineStr">
        <is>
          <t>Unverified</t>
        </is>
      </c>
      <c r="AB1474" s="1" t="n"/>
      <c r="AC1474" s="1" t="n"/>
      <c r="AD1474" s="10" t="n"/>
      <c r="AE1474" s="1" t="n"/>
      <c r="AF1474" s="1" t="inlineStr">
        <is>
          <t>No</t>
        </is>
      </c>
      <c r="AG1474" s="1" t="n"/>
      <c r="AH1474" s="1" t="n"/>
    </row>
    <row r="1475" ht="12.5" customHeight="1">
      <c r="A1475" s="6" t="n">
        <v>45181</v>
      </c>
      <c r="B1475" s="1" t="inlineStr">
        <is>
          <t>ORG_2490</t>
        </is>
      </c>
      <c r="C1475" s="1" t="b">
        <v>1</v>
      </c>
      <c r="D1475" s="1" t="inlineStr">
        <is>
          <t>VideoBit</t>
        </is>
      </c>
      <c r="E1475" s="10" t="inlineStr">
        <is>
          <t>https://videobit.io/</t>
        </is>
      </c>
      <c r="F1475" t="inlineStr">
        <is>
          <t>videobit.io</t>
        </is>
      </c>
      <c r="G1475" s="1" t="inlineStr">
        <is>
          <t>VideoBit is a video chat app helping language teachers to record and exchange videos with their students. It helps with a conversation, speaking, and listening practice enabling users to participate where and when they want.</t>
        </is>
      </c>
      <c r="H1475" s="1" t="inlineStr">
        <is>
          <t>I'm not part of any EdTech association</t>
        </is>
      </c>
      <c r="I1475" s="1" t="inlineStr">
        <is>
          <t>English</t>
        </is>
      </c>
      <c r="J1475" s="1" t="inlineStr">
        <is>
          <t>Tallinn</t>
        </is>
      </c>
      <c r="K1475" t="inlineStr">
        <is>
          <t>Tallinn</t>
        </is>
      </c>
      <c r="L1475" t="inlineStr">
        <is>
          <t>Tallinn, Estonia</t>
        </is>
      </c>
      <c r="M1475" t="n">
        <v>59.437242</v>
      </c>
      <c r="N1475" t="n">
        <v>24.7572693</v>
      </c>
      <c r="O1475" s="1" t="inlineStr">
        <is>
          <t>Estonia</t>
        </is>
      </c>
      <c r="P1475" s="1" t="inlineStr">
        <is>
          <t>Estonia, Germany, Greece, Latvia, Spain</t>
        </is>
      </c>
      <c r="Q1475" s="1" t="inlineStr">
        <is>
          <t>0 to 2</t>
        </is>
      </c>
      <c r="R1475" t="inlineStr">
        <is>
          <t>Solo entrepreneur</t>
        </is>
      </c>
      <c r="S1475" s="1" t="inlineStr">
        <is>
          <t>Business to Government, Business to Schools</t>
        </is>
      </c>
      <c r="T1475" s="1" t="inlineStr">
        <is>
          <t>Secondary Education, Corporate Training</t>
        </is>
      </c>
      <c r="U1475" s="1" t="inlineStr">
        <is>
          <t>Teacher interfacing</t>
        </is>
      </c>
      <c r="V1475" s="1" t="inlineStr">
        <is>
          <t>VideoBit</t>
        </is>
      </c>
      <c r="W1475" s="1" t="inlineStr">
        <is>
          <t>Simple video recording and sharing for remote learning</t>
        </is>
      </c>
      <c r="X1475" s="10" t="inlineStr">
        <is>
          <t>https://drive.google.com/uc?export=view&amp;id=1AGSL3grrb1zF7lt5ju-NsVHIZJd8Xltd</t>
        </is>
      </c>
      <c r="Y1475" t="inlineStr">
        <is>
          <t>https://drive.google.com/uc?export=view&amp;id=1AGSL3grrb1zF7lt5ju-NsVHIZJd8Xltd</t>
        </is>
      </c>
      <c r="Z1475" s="1" t="inlineStr">
        <is>
          <t>https://drive.google.com/uc?export=view&amp;id=1AGSL3grrb1zF7lt5ju-NsVHIZJd8Xltd</t>
        </is>
      </c>
      <c r="AA1475" s="1" t="inlineStr">
        <is>
          <t>Unverified</t>
        </is>
      </c>
      <c r="AB1475" s="1" t="n"/>
      <c r="AC1475" s="1" t="n"/>
      <c r="AD1475" s="10" t="n"/>
      <c r="AE1475" s="1" t="n"/>
      <c r="AF1475" s="1" t="inlineStr">
        <is>
          <t>Yes</t>
        </is>
      </c>
      <c r="AG1475" s="1" t="inlineStr">
        <is>
          <t>https://www.linkedin.com/company/videobit</t>
        </is>
      </c>
      <c r="AH1475" s="1" t="inlineStr">
        <is>
          <t>https://www.linkedin.com/company/videobit</t>
        </is>
      </c>
      <c r="AI1475" t="inlineStr">
        <is>
          <t>https://www.linkedin.com/company/videobit</t>
        </is>
      </c>
    </row>
    <row r="1476" ht="12.5" customHeight="1">
      <c r="A1476" s="6" t="n">
        <v>45181</v>
      </c>
      <c r="B1476" s="1" t="inlineStr">
        <is>
          <t>ORG_2520</t>
        </is>
      </c>
      <c r="C1476" s="1" t="b">
        <v>1</v>
      </c>
      <c r="D1476" s="1" t="inlineStr">
        <is>
          <t>Weco Play</t>
        </is>
      </c>
      <c r="E1476" s="10" t="inlineStr">
        <is>
          <t>wecoplay.com</t>
        </is>
      </c>
      <c r="F1476" t="inlineStr">
        <is>
          <t>wecoplay.com</t>
        </is>
      </c>
      <c r="G1476" s="1" t="inlineStr">
        <is>
          <t>Weco Play is a collection of learning games and activities for large interactive screens. They are designed to enable several children to play and learn together. By using a shared device it can motivate learning, facilitate communication and collaboration. The Weco Play platform includes a range of different learning games, from a math race, to drawing through block programming, a book creator and many other activities.</t>
        </is>
      </c>
      <c r="H1476" s="1" t="inlineStr">
        <is>
          <t>EdTech Denmark</t>
        </is>
      </c>
      <c r="I1476" s="1" t="n"/>
      <c r="J1476" s="1" t="inlineStr">
        <is>
          <t>Brabrand</t>
        </is>
      </c>
      <c r="K1476" t="inlineStr">
        <is>
          <t>Brabrand</t>
        </is>
      </c>
      <c r="L1476" t="inlineStr">
        <is>
          <t>Brabrand, Denmark</t>
        </is>
      </c>
      <c r="M1476" t="n">
        <v>56.1565872</v>
      </c>
      <c r="N1476" t="n">
        <v>10.1056465</v>
      </c>
      <c r="O1476" s="1" t="inlineStr">
        <is>
          <t>Denmark</t>
        </is>
      </c>
      <c r="P1476" s="1" t="inlineStr">
        <is>
          <t>Belgium, Denmark, Finland, Germany, Netherlands, Norway, Sweden, United Kingdom</t>
        </is>
      </c>
      <c r="Q1476" s="1" t="inlineStr">
        <is>
          <t>0 to 10</t>
        </is>
      </c>
      <c r="R1476" t="inlineStr">
        <is>
          <t>Micro</t>
        </is>
      </c>
      <c r="S1476" s="1" t="inlineStr">
        <is>
          <t>Business to Schools</t>
        </is>
      </c>
      <c r="T1476" s="1" t="inlineStr">
        <is>
          <t>Early childhood development (0-5 years), Primary Education</t>
        </is>
      </c>
      <c r="U1476" s="1" t="inlineStr">
        <is>
          <t>Student interfacing</t>
        </is>
      </c>
      <c r="V1476" s="1" t="inlineStr">
        <is>
          <t>Weco Play</t>
        </is>
      </c>
      <c r="W1476" s="1" t="inlineStr">
        <is>
          <t>Weco Play is a collection of learning games and activities for large interactive screens. They are designed to enable several children to play and learn together. By using a shared device it can motivate learning, facilitate communication and collaboration. The Weco Play platform includes a range of different learning games, from a math race, to drawing through block programming, a book creator and many other activities.</t>
        </is>
      </c>
      <c r="X1476" s="10" t="inlineStr">
        <is>
          <t>https://drive.google.com/uc?export=view&amp;id=1IxYDWHRgK-yvLdtAnOy9tTGbnsjvxWg5</t>
        </is>
      </c>
      <c r="Y1476" t="inlineStr">
        <is>
          <t>https://drive.google.com/uc?export=view&amp;id=1IxYDWHRgK-yvLdtAnOy9tTGbnsjvxWg5</t>
        </is>
      </c>
      <c r="Z1476" s="1" t="inlineStr">
        <is>
          <t>https://drive.google.com/uc?export=view&amp;id=1IxYDWHRgK-yvLdtAnOy9tTGbnsjvxWg5</t>
        </is>
      </c>
      <c r="AA1476" s="1" t="inlineStr">
        <is>
          <t>Unverified</t>
        </is>
      </c>
      <c r="AB1476" s="1" t="n"/>
      <c r="AC1476" s="1" t="n"/>
      <c r="AD1476" s="10" t="n"/>
      <c r="AE1476" s="1" t="n"/>
      <c r="AF1476" s="1" t="inlineStr">
        <is>
          <t>Yes</t>
        </is>
      </c>
      <c r="AG1476" s="1" t="inlineStr">
        <is>
          <t>https://www.linkedin.com/company/wecoplay/</t>
        </is>
      </c>
      <c r="AH1476" s="1" t="inlineStr">
        <is>
          <t>https://www.linkedin.com/company/wecoplay/</t>
        </is>
      </c>
      <c r="AI1476" t="inlineStr">
        <is>
          <t>https://www.linkedin.com/company/wecoplay/</t>
        </is>
      </c>
    </row>
    <row r="1477" ht="12.5" customHeight="1">
      <c r="A1477" s="6" t="n">
        <v>45181</v>
      </c>
      <c r="B1477" s="1" t="inlineStr">
        <is>
          <t>ORG_2542</t>
        </is>
      </c>
      <c r="C1477" s="1" t="b">
        <v>1</v>
      </c>
      <c r="D1477" s="1" t="inlineStr">
        <is>
          <t>WiXar</t>
        </is>
      </c>
      <c r="E1477" s="10" t="inlineStr">
        <is>
          <t>https://www.wixar.io/</t>
        </is>
      </c>
      <c r="F1477" t="inlineStr">
        <is>
          <t>wixar.io</t>
        </is>
      </c>
      <c r="G1477" s="1" t="inlineStr">
        <is>
          <t>WiXar is the first collaborative platform for Immersive Learning.
It is the must-have solution that allows you to create immersive experiences on your own. No need to be an expert, the tool is no-code and intuitive! 
Whether you have 10 users or 50,000, both the cloud and your WiXar LMS adapt in real time for a smooth and scalable experience.
Not to mention the collaborative mode! 
Immersing several people in real time creates a sense of presence that fosters engagement. All the features are there: avatars expressing emotions, live multi-platform access, and meeting rooms!
Even training course designers can work together in the WiXar Creative Studio live from anywhere in the world.
The goal: allowing you to create virtual reality experiences quickly and efficiently. 
Our secret: automated scenarios and gamification, which allows you to create your experiences in minutes in spatial computing.
WiXar unveils human potential through emotion</t>
        </is>
      </c>
      <c r="H1477" s="1" t="inlineStr">
        <is>
          <t>EdTech France</t>
        </is>
      </c>
      <c r="I1477" s="1" t="n"/>
      <c r="J1477" s="1" t="inlineStr">
        <is>
          <t>Aix-En-Provence</t>
        </is>
      </c>
      <c r="K1477" t="inlineStr">
        <is>
          <t>Aix-En-Provence</t>
        </is>
      </c>
      <c r="L1477" t="inlineStr">
        <is>
          <t>Aix-En-Provence, France</t>
        </is>
      </c>
      <c r="M1477" t="n">
        <v>43.5298424</v>
      </c>
      <c r="N1477" t="n">
        <v>5.4474738</v>
      </c>
      <c r="O1477" s="1" t="inlineStr">
        <is>
          <t>France</t>
        </is>
      </c>
      <c r="P1477" s="1" t="inlineStr">
        <is>
          <t>France</t>
        </is>
      </c>
      <c r="Q1477" s="1" t="inlineStr">
        <is>
          <t>0 to 10</t>
        </is>
      </c>
      <c r="R1477" t="inlineStr">
        <is>
          <t>Micro</t>
        </is>
      </c>
      <c r="S1477" s="1" t="inlineStr">
        <is>
          <t>Business to Schools</t>
        </is>
      </c>
      <c r="T1477" s="1" t="inlineStr">
        <is>
          <t>Higher Education, Corporate Training, Lifelong learning/Adult education</t>
        </is>
      </c>
      <c r="U1477" s="1" t="inlineStr">
        <is>
          <t>Teacher interfacing, Student interfacing, System/Administrative</t>
        </is>
      </c>
      <c r="V1477" s="10" t="inlineStr">
        <is>
          <t>WiXar</t>
        </is>
      </c>
      <c r="W1477" s="10" t="inlineStr">
        <is>
          <t>Create immersive experiences with WiXar, the ultimate authoring tool. Designing your project becomes child's play:
•	Get started with a large of templates
•	Import your 360° media into the VR Studio
•	Script your content by adding interactions
•	Publish the experience &amp; invite users
Track their progress and interact with them during the experience! You can create your experience while wearing the virtual reality headset. Save time by seeing the rendering in real time!</t>
        </is>
      </c>
      <c r="X1477" s="10" t="inlineStr">
        <is>
          <t>https://drive.google.com/uc?export=view&amp;id=1RzbLMc7JnxU4pxFCgq9ZAZ-8WWYRm4rh</t>
        </is>
      </c>
      <c r="Y1477" t="inlineStr">
        <is>
          <t>https://drive.google.com/uc?export=view&amp;id=1RzbLMc7JnxU4pxFCgq9ZAZ-8WWYRm4rh</t>
        </is>
      </c>
      <c r="Z1477" s="1" t="inlineStr">
        <is>
          <t>https://drive.google.com/uc?export=view&amp;id=1RzbLMc7JnxU4pxFCgq9ZAZ-8WWYRm4rh</t>
        </is>
      </c>
      <c r="AA1477" s="1" t="inlineStr">
        <is>
          <t>Unverified</t>
        </is>
      </c>
      <c r="AB1477" s="1" t="n"/>
      <c r="AC1477" s="1" t="n"/>
      <c r="AD1477" s="10" t="n"/>
      <c r="AE1477" s="1" t="n"/>
      <c r="AF1477" s="1" t="inlineStr">
        <is>
          <t>Yes</t>
        </is>
      </c>
      <c r="AG1477" s="1" t="inlineStr">
        <is>
          <t>https://www.instagram.com/wixar360/</t>
        </is>
      </c>
      <c r="AH1477" s="1" t="inlineStr">
        <is>
          <t>https://twitter.com/WiXar360</t>
        </is>
      </c>
      <c r="AI1477" t="inlineStr">
        <is>
          <t>https://www.linkedin.com/company/wixar</t>
        </is>
      </c>
    </row>
    <row r="1478" ht="12.5" customHeight="1">
      <c r="A1478" s="6" t="n">
        <v>45181</v>
      </c>
      <c r="B1478" s="1" t="inlineStr">
        <is>
          <t>ORG_2548</t>
        </is>
      </c>
      <c r="C1478" s="1" t="b">
        <v>1</v>
      </c>
      <c r="D1478" s="1" t="inlineStr">
        <is>
          <t>Workademy</t>
        </is>
      </c>
      <c r="E1478" s="10" t="inlineStr">
        <is>
          <t>https://theworkademy.com/</t>
        </is>
      </c>
      <c r="F1478" t="inlineStr">
        <is>
          <t>theworkademy.com</t>
        </is>
      </c>
      <c r="G1478" s="1" t="inlineStr">
        <is>
          <t>Workademy is developing a cloud- and subscription-based learning platform to help growing businesses scale the knowledge of any employee to the whole organization with a smart course builder based on a didactical approach.</t>
        </is>
      </c>
      <c r="H1478" s="1" t="inlineStr">
        <is>
          <t>EDUvation</t>
        </is>
      </c>
      <c r="I1478" s="1" t="n"/>
      <c r="J1478" s="1" t="inlineStr">
        <is>
          <t>Berlin</t>
        </is>
      </c>
      <c r="K1478" t="inlineStr">
        <is>
          <t>Berlin</t>
        </is>
      </c>
      <c r="L1478" t="inlineStr">
        <is>
          <t>Berlin, Germany</t>
        </is>
      </c>
      <c r="M1478" t="n">
        <v>52.5173885</v>
      </c>
      <c r="N1478" t="n">
        <v>13.3951309</v>
      </c>
      <c r="O1478" s="1" t="inlineStr">
        <is>
          <t>Germany</t>
        </is>
      </c>
      <c r="P1478" s="1" t="inlineStr">
        <is>
          <t>Austria, Germany, Portugal, Sweden, Ukraine</t>
        </is>
      </c>
      <c r="Q1478" s="1" t="inlineStr">
        <is>
          <t>0 to 10</t>
        </is>
      </c>
      <c r="R1478" t="inlineStr">
        <is>
          <t>Micro</t>
        </is>
      </c>
      <c r="S1478" s="1" t="inlineStr">
        <is>
          <t>Business to Schools</t>
        </is>
      </c>
      <c r="T1478" s="1" t="inlineStr">
        <is>
          <t>Corporate Training, Lifelong learning/Adult education</t>
        </is>
      </c>
      <c r="U1478" s="1" t="inlineStr">
        <is>
          <t>Student interfacing, System/Administrative</t>
        </is>
      </c>
      <c r="V1478" s="1" t="n"/>
      <c r="W1478" s="1" t="inlineStr">
        <is>
          <t>https://drive.google.com/uc?export=view&amp;id=1syQPPcsf4Z4jDM07FG6AwpRrbKit7qZj</t>
        </is>
      </c>
      <c r="X1478" s="1" t="inlineStr">
        <is>
          <t>https://drive.google.com/uc?export=view&amp;id=1syQPPcsf4Z4jDM07FG6AwpRrbKit7qZj</t>
        </is>
      </c>
      <c r="Y1478" t="inlineStr">
        <is>
          <t>https://drive.google.com/uc?export=view&amp;id=1syQPPcsf4Z4jDM07FG6AwpRrbKit7qZj</t>
        </is>
      </c>
      <c r="Z1478" s="1" t="inlineStr">
        <is>
          <t>https://drive.google.com/uc?export=view&amp;id=1syQPPcsf4Z4jDM07FG6AwpRrbKit7qZj</t>
        </is>
      </c>
      <c r="AA1478" s="1" t="inlineStr">
        <is>
          <t>Unverified</t>
        </is>
      </c>
      <c r="AB1478" s="1" t="n"/>
      <c r="AC1478" s="1" t="n"/>
      <c r="AD1478" s="10" t="n"/>
      <c r="AE1478" s="1" t="n"/>
      <c r="AF1478" s="1" t="inlineStr">
        <is>
          <t>No</t>
        </is>
      </c>
      <c r="AG1478" s="1" t="n"/>
      <c r="AH1478" s="1" t="n"/>
    </row>
    <row r="1479" ht="12.5" customHeight="1">
      <c r="A1479" s="6" t="n">
        <v>45181</v>
      </c>
      <c r="B1479" s="1" t="inlineStr">
        <is>
          <t>ORG_1057</t>
        </is>
      </c>
      <c r="C1479" s="1" t="b">
        <v>1</v>
      </c>
      <c r="D1479" s="1" t="inlineStr">
        <is>
          <t>Alteredu</t>
        </is>
      </c>
      <c r="E1479" s="10" t="inlineStr">
        <is>
          <t>www.alteredu.it</t>
        </is>
      </c>
      <c r="F1479" t="inlineStr">
        <is>
          <t>alteredu.it</t>
        </is>
      </c>
      <c r="G1479" s="1" t="inlineStr">
        <is>
          <t>The First and Largest platform of online certified courses in Italy.
When trying to buy a book people usually look for it on Amazon, knowing they can find that book on it, isn't it? 
Well, we want that when they need a certified online course, they know that on Alteredu they can find it and, moreover, if they are not set yet with a specific idea, we can help them!
Our goal is for Alteredu to become the #1 reference platform for certified online courses in Italy (and not only).</t>
        </is>
      </c>
      <c r="H1479" s="1" t="inlineStr">
        <is>
          <t>EdTech Italia</t>
        </is>
      </c>
      <c r="I1479" s="1" t="n"/>
      <c r="J1479" s="1" t="inlineStr">
        <is>
          <t>Terranova Da Sibari</t>
        </is>
      </c>
      <c r="K1479" t="inlineStr">
        <is>
          <t>Terranova Da Sibari</t>
        </is>
      </c>
      <c r="L1479" t="inlineStr">
        <is>
          <t>Terranova Da Sibari, Italy</t>
        </is>
      </c>
      <c r="M1479" t="n">
        <v>39.656901</v>
      </c>
      <c r="N1479" t="n">
        <v>16.339491</v>
      </c>
      <c r="O1479" s="1" t="inlineStr">
        <is>
          <t>Italy</t>
        </is>
      </c>
      <c r="P1479" s="1" t="inlineStr">
        <is>
          <t>Italy</t>
        </is>
      </c>
      <c r="Q1479" s="1" t="inlineStr">
        <is>
          <t>11 to 50</t>
        </is>
      </c>
      <c r="R1479" t="inlineStr">
        <is>
          <t>Small</t>
        </is>
      </c>
      <c r="S1479" s="1" t="inlineStr">
        <is>
          <t>Business to Business</t>
        </is>
      </c>
      <c r="T1479" s="1" t="inlineStr">
        <is>
          <t>Corporate Training, Lifelong learning/Adult education</t>
        </is>
      </c>
      <c r="U1479" s="1" t="inlineStr">
        <is>
          <t>Teacher interfacing, System/Administrative, Student interfacing</t>
        </is>
      </c>
      <c r="V1479" s="10" t="inlineStr">
        <is>
          <t>Certified Courses</t>
        </is>
      </c>
      <c r="W1479" s="1" t="inlineStr">
        <is>
          <t>More than 600 online certified courses on www.alteredu.it</t>
        </is>
      </c>
      <c r="X1479" s="10" t="inlineStr">
        <is>
          <t>https://drive.google.com/uc?export=view&amp;id=1bmUU4AfeT64l2Rq26L3nxHbTkPZKKnBP</t>
        </is>
      </c>
      <c r="Y1479" t="inlineStr">
        <is>
          <t>https://drive.google.com/uc?export=view&amp;id=1bmUU4AfeT64l2Rq26L3nxHbTkPZKKnBP</t>
        </is>
      </c>
      <c r="Z1479" s="1" t="inlineStr">
        <is>
          <t>https://drive.google.com/uc?export=view&amp;id=1bmUU4AfeT64l2Rq26L3nxHbTkPZKKnBP</t>
        </is>
      </c>
      <c r="AA1479" s="1" t="inlineStr">
        <is>
          <t>Unverified</t>
        </is>
      </c>
      <c r="AB1479" s="1" t="n"/>
      <c r="AC1479" s="1" t="n"/>
      <c r="AD1479" s="10" t="n"/>
      <c r="AE1479" s="1" t="n"/>
      <c r="AF1479" s="1" t="inlineStr">
        <is>
          <t>Yes</t>
        </is>
      </c>
      <c r="AG1479" s="1" t="inlineStr">
        <is>
          <t>https://www.instagram.com/alteredu.it/</t>
        </is>
      </c>
      <c r="AH1479" s="1" t="inlineStr">
        <is>
          <t>https://www.linkedin.com/company/alteredu</t>
        </is>
      </c>
      <c r="AI1479" t="inlineStr">
        <is>
          <t>https://www.linkedin.com/company/alteredu</t>
        </is>
      </c>
    </row>
    <row r="1480" ht="12.5" customHeight="1">
      <c r="A1480" s="6" t="n">
        <v>45181</v>
      </c>
      <c r="B1480" s="1" t="inlineStr">
        <is>
          <t>ORG_1065</t>
        </is>
      </c>
      <c r="C1480" s="1" t="b">
        <v>1</v>
      </c>
      <c r="D1480" s="1" t="inlineStr">
        <is>
          <t>Alumne</t>
        </is>
      </c>
      <c r="E1480" s="10" t="inlineStr">
        <is>
          <t>https://alumnelms.com/</t>
        </is>
      </c>
      <c r="F1480" t="inlineStr">
        <is>
          <t>alumnelms.com</t>
        </is>
      </c>
      <c r="G1480" s="1" t="inlineStr">
        <is>
          <t>Alumne is a technology company that helps other companies to deploy their continuous training platforms for employees. Is the SMEs, Statups and Scaleups leader training platform.</t>
        </is>
      </c>
      <c r="H1480" s="1" t="inlineStr">
        <is>
          <t>SEK Lab</t>
        </is>
      </c>
      <c r="I1480" s="1" t="inlineStr">
        <is>
          <t>Spanish, English</t>
        </is>
      </c>
      <c r="J1480" s="1" t="inlineStr">
        <is>
          <t>Las Rozas De Madrid</t>
        </is>
      </c>
      <c r="K1480" t="inlineStr">
        <is>
          <t>Las Rozas De Madrid</t>
        </is>
      </c>
      <c r="L1480" t="inlineStr">
        <is>
          <t>Las Rozas De Madrid, Spain</t>
        </is>
      </c>
      <c r="M1480" t="n">
        <v>40.4933095</v>
      </c>
      <c r="N1480" t="n">
        <v>-3.8758396</v>
      </c>
      <c r="O1480" s="1" t="inlineStr">
        <is>
          <t>Spain</t>
        </is>
      </c>
      <c r="P1480" s="1" t="inlineStr">
        <is>
          <t>Spain</t>
        </is>
      </c>
      <c r="Q1480" s="1" t="inlineStr">
        <is>
          <t>11 to 50</t>
        </is>
      </c>
      <c r="R1480" t="inlineStr">
        <is>
          <t>Small</t>
        </is>
      </c>
      <c r="S1480" s="1" t="inlineStr">
        <is>
          <t>Business to Business</t>
        </is>
      </c>
      <c r="T1480" s="1" t="inlineStr">
        <is>
          <t>Corporate Training, Lifelong learning/Adult education</t>
        </is>
      </c>
      <c r="U1480" s="1" t="inlineStr">
        <is>
          <t>System/Administrative</t>
        </is>
      </c>
      <c r="V1480" s="1" t="inlineStr">
        <is>
          <t>Alumne LMS</t>
        </is>
      </c>
      <c r="W1480" s="10" t="inlineStr">
        <is>
          <t>Alumne LMS is a simple, innovative and cheap online training platform. It allows any company, institution, university or school to deploy an online training platform in minutes. Powered by artificial intelligence and different gamification tools, Alumne LMS offers an effective formula to create innovative digital learning experiences.</t>
        </is>
      </c>
      <c r="X1480" s="10" t="inlineStr">
        <is>
          <t>https://drive.google.com/uc?export=view&amp;id=1qvOYvCGScY7oQtnk9qg2GLDet42ATM2k</t>
        </is>
      </c>
      <c r="Y1480" t="inlineStr">
        <is>
          <t>https://drive.google.com/uc?export=view&amp;id=1qvOYvCGScY7oQtnk9qg2GLDet42ATM2k</t>
        </is>
      </c>
      <c r="Z1480" s="1" t="inlineStr">
        <is>
          <t>https://drive.google.com/uc?export=view&amp;id=1qvOYvCGScY7oQtnk9qg2GLDet42ATM2k</t>
        </is>
      </c>
      <c r="AA1480" s="1" t="inlineStr">
        <is>
          <t>Unverified</t>
        </is>
      </c>
      <c r="AB1480" s="1" t="n"/>
      <c r="AC1480" s="1" t="n"/>
      <c r="AD1480" s="10" t="n"/>
      <c r="AE1480" s="1" t="n"/>
      <c r="AF1480" s="1" t="inlineStr">
        <is>
          <t>Yes</t>
        </is>
      </c>
      <c r="AG1480" s="1" t="inlineStr">
        <is>
          <t>https://twitter.com/alumneelearning</t>
        </is>
      </c>
      <c r="AH1480" s="1" t="inlineStr">
        <is>
          <t>https://twitter.com/alumneelearning</t>
        </is>
      </c>
      <c r="AI1480" t="inlineStr">
        <is>
          <t>https://www.linkedin.com/company/alumneelearning/</t>
        </is>
      </c>
    </row>
    <row r="1481" ht="12.5" customHeight="1">
      <c r="A1481" s="6" t="n">
        <v>45181</v>
      </c>
      <c r="B1481" s="1" t="inlineStr">
        <is>
          <t>ORG_1114</t>
        </is>
      </c>
      <c r="C1481" s="1" t="b">
        <v>1</v>
      </c>
      <c r="D1481" s="1" t="inlineStr">
        <is>
          <t>Atea Sverige AB</t>
        </is>
      </c>
      <c r="E1481" s="10" t="inlineStr">
        <is>
          <t>https://www.atea.se/digitalisering-i-skolan/</t>
        </is>
      </c>
      <c r="F1481" t="inlineStr">
        <is>
          <t>atea.se/digitalisering-i-skolan</t>
        </is>
      </c>
      <c r="G1481" s="1" t="inlineStr">
        <is>
          <t>Atea is the market leader in IT infrastructure for businesses and public-sector organizations in Europe’s Nordic and Baltic regions.
With more than 7,500 employees located in 85 offices across seven countries —Norway, Sweden, Denmark, Finland, Lithuania, Latvia and Estonia — Atea combines a unique breadth of competence in IT infrastructure with a powerful local presence in each market we serve.
Atea offers a full range of hardware and software from the world’s top technology companies. Our team of specialist consultants has technical certifications and system integration skills to design, implement and operate solutions for even the most complex IT requirements. As a result, we help customers solve problems and get maximum productivity from their IT investments.
A dedicated team works with skills and technology for the school and lifelong learning for companies</t>
        </is>
      </c>
      <c r="H1481" s="1" t="inlineStr">
        <is>
          <t>Swedish EdTech Industry</t>
        </is>
      </c>
      <c r="I1481" s="1" t="n"/>
      <c r="J1481" s="1" t="inlineStr">
        <is>
          <t>Kista</t>
        </is>
      </c>
      <c r="K1481" t="inlineStr">
        <is>
          <t>Kista</t>
        </is>
      </c>
      <c r="L1481" t="inlineStr">
        <is>
          <t>Kista, Sweden</t>
        </is>
      </c>
      <c r="M1481" t="n">
        <v>59.4031236</v>
      </c>
      <c r="N1481" t="n">
        <v>17.9424221</v>
      </c>
      <c r="O1481" s="1" t="inlineStr">
        <is>
          <t>Sweden</t>
        </is>
      </c>
      <c r="P1481" s="1" t="inlineStr">
        <is>
          <t>Denmark, Estonia, Finland, Latvia, Lithuania, Norway, Sweden</t>
        </is>
      </c>
      <c r="Q1481" s="1" t="inlineStr">
        <is>
          <t>500+</t>
        </is>
      </c>
      <c r="R1481" t="inlineStr">
        <is>
          <t>Large</t>
        </is>
      </c>
      <c r="S1481" s="1" t="inlineStr">
        <is>
          <t>Business to Business</t>
        </is>
      </c>
      <c r="T1481" s="1" t="inlineStr">
        <is>
          <t>Early childhood development (0-5 years)</t>
        </is>
      </c>
      <c r="U1481" s="1" t="inlineStr">
        <is>
          <t>Student interfacing, Teacher interfacing, System/Administrative</t>
        </is>
      </c>
      <c r="V1481" s="10" t="inlineStr">
        <is>
          <t>Hardware</t>
        </is>
      </c>
      <c r="W1481" s="1" t="inlineStr">
        <is>
          <t>We are resellers of the hardware that the school needs to support digitalisation</t>
        </is>
      </c>
      <c r="X1481" s="10" t="inlineStr">
        <is>
          <t>Software</t>
        </is>
      </c>
      <c r="Y1481" t="inlineStr">
        <is>
          <t>We are resellers of software so that the school can collaborate, communicate and share content. We also resell device management software.</t>
        </is>
      </c>
      <c r="Z1481" s="1" t="inlineStr">
        <is>
          <t>https://drive.google.com/uc?export=view&amp;id=1f-dNT9meTB5j-0SsbDqSckMqQcVubXeo</t>
        </is>
      </c>
      <c r="AA1481" s="1" t="inlineStr">
        <is>
          <t>Unverified</t>
        </is>
      </c>
      <c r="AB1481" s="1" t="n"/>
      <c r="AC1481" s="1" t="n"/>
      <c r="AD1481" s="10" t="n"/>
      <c r="AE1481" s="1" t="n"/>
      <c r="AF1481" s="1" t="inlineStr">
        <is>
          <t>Yes</t>
        </is>
      </c>
      <c r="AG1481" s="1" t="inlineStr">
        <is>
          <t>https://www.instagram.com/atea_skola/</t>
        </is>
      </c>
      <c r="AH1481" s="1" t="inlineStr">
        <is>
          <t>Atea Sverige AB</t>
        </is>
      </c>
      <c r="AI1481" t="inlineStr">
        <is>
          <t>https://www.linkedin.com/company/atea-sverige/</t>
        </is>
      </c>
    </row>
    <row r="1482" ht="12.5" customHeight="1">
      <c r="A1482" s="6" t="n">
        <v>45181</v>
      </c>
      <c r="B1482" s="1" t="inlineStr">
        <is>
          <t>ORG_1138</t>
        </is>
      </c>
      <c r="C1482" s="1" t="b">
        <v>1</v>
      </c>
      <c r="D1482" s="1" t="inlineStr">
        <is>
          <t>BatOnRoute</t>
        </is>
      </c>
      <c r="E1482" s="10" t="inlineStr">
        <is>
          <t>https://batonroute.com/en/</t>
        </is>
      </c>
      <c r="F1482" t="inlineStr">
        <is>
          <t>batonroute.com/en</t>
        </is>
      </c>
      <c r="G1482" s="1" t="inlineStr">
        <is>
          <t>BatOnRoute is the most dynamic and easy-to-use management software for school bus routes. Optimising the information flow between educational centres and parents, it enables the effective and safe management of school transportation.
Without installing devices or changing your buses, it allows a better management for schools and more security and peace of mind for Parents with real time information on their phone.
It consists of 3 elements: a web platform for the school and two apps – for the Parents and the Drivers. 
It has already been implemented in more than 500 entities. It manages more than 5000 routes on a daily basis. 
Apart from the school bus, it can also be used on the walking school bus and also riding to school on the bike.</t>
        </is>
      </c>
      <c r="H1482" s="1" t="inlineStr">
        <is>
          <t>I'm not part of any EdTech association</t>
        </is>
      </c>
      <c r="I1482" s="1" t="n"/>
      <c r="J1482" s="1" t="inlineStr">
        <is>
          <t>Paterna</t>
        </is>
      </c>
      <c r="K1482" t="inlineStr">
        <is>
          <t>Paterna</t>
        </is>
      </c>
      <c r="L1482" t="inlineStr">
        <is>
          <t>Paterna, Spain</t>
        </is>
      </c>
      <c r="M1482" t="n">
        <v>39.5039227</v>
      </c>
      <c r="N1482" t="n">
        <v>-0.4421014</v>
      </c>
      <c r="O1482" s="1" t="inlineStr">
        <is>
          <t>Spain</t>
        </is>
      </c>
      <c r="P1482" s="1" t="inlineStr">
        <is>
          <t>Albania, Andorra, Bulgaria, Italy, Kazakhstan, Poland, Portugal, Romania, Spain, United Kingdom</t>
        </is>
      </c>
      <c r="Q1482" s="1" t="inlineStr">
        <is>
          <t>500+</t>
        </is>
      </c>
      <c r="R1482" t="inlineStr">
        <is>
          <t>Large</t>
        </is>
      </c>
      <c r="S1482" s="1" t="inlineStr">
        <is>
          <t>Business to Business</t>
        </is>
      </c>
      <c r="T1482" s="1" t="inlineStr">
        <is>
          <t>Early childhood development (0-5 years), Primary Education, Secondary Education, Higher Education</t>
        </is>
      </c>
      <c r="U1482" s="1" t="inlineStr">
        <is>
          <t>System/Administrative, Student interfacing</t>
        </is>
      </c>
      <c r="V1482" s="1" t="n"/>
      <c r="W1482" s="1" t="inlineStr">
        <is>
          <t>https://drive.google.com/uc?export=view&amp;id=1ltkX9NQcR_doiTboT2H1jG-0kz3mopQf</t>
        </is>
      </c>
      <c r="X1482" s="1" t="inlineStr">
        <is>
          <t>https://drive.google.com/uc?export=view&amp;id=1ltkX9NQcR_doiTboT2H1jG-0kz3mopQf</t>
        </is>
      </c>
      <c r="Y1482" t="inlineStr">
        <is>
          <t>https://drive.google.com/uc?export=view&amp;id=1ltkX9NQcR_doiTboT2H1jG-0kz3mopQf</t>
        </is>
      </c>
      <c r="Z1482" s="1" t="inlineStr">
        <is>
          <t>https://drive.google.com/uc?export=view&amp;id=1ltkX9NQcR_doiTboT2H1jG-0kz3mopQf</t>
        </is>
      </c>
      <c r="AA1482" s="1" t="inlineStr">
        <is>
          <t>Unverified</t>
        </is>
      </c>
      <c r="AB1482" s="1" t="n"/>
      <c r="AC1482" s="1" t="n"/>
      <c r="AD1482" s="10" t="n"/>
      <c r="AE1482" s="1" t="n"/>
      <c r="AF1482" s="1" t="inlineStr">
        <is>
          <t>No</t>
        </is>
      </c>
      <c r="AG1482" s="1" t="n"/>
      <c r="AH1482" s="1" t="n"/>
    </row>
    <row r="1483" ht="12.5" customHeight="1">
      <c r="A1483" s="6" t="n">
        <v>45181</v>
      </c>
      <c r="B1483" s="1" t="inlineStr">
        <is>
          <t>ORG_1140</t>
        </is>
      </c>
      <c r="C1483" s="1" t="b">
        <v>1</v>
      </c>
      <c r="D1483" s="1" t="inlineStr">
        <is>
          <t>Be-skiller</t>
        </is>
      </c>
      <c r="E1483" s="10" t="inlineStr">
        <is>
          <t>https://be-skiller.com</t>
        </is>
      </c>
      <c r="F1483" t="inlineStr">
        <is>
          <t>be-skiller.com</t>
        </is>
      </c>
      <c r="G1483" s="1" t="inlineStr">
        <is>
          <t>Be-skiller is a company focused on hybrid and virtual training.
We work with multinational companies training their teams of internal trainers, as well as their managers, in soft-skills such as leadership, impact communication, learnability and other.</t>
        </is>
      </c>
      <c r="H1483" s="1" t="inlineStr">
        <is>
          <t>I'm not part of any EdTech association</t>
        </is>
      </c>
      <c r="I1483" s="1" t="n"/>
      <c r="J1483" s="1" t="inlineStr">
        <is>
          <t>Barcelona</t>
        </is>
      </c>
      <c r="K1483" t="inlineStr">
        <is>
          <t>Barcelona</t>
        </is>
      </c>
      <c r="L1483" t="inlineStr">
        <is>
          <t>Barcelona, Spain</t>
        </is>
      </c>
      <c r="M1483" t="n">
        <v>41.3825802</v>
      </c>
      <c r="N1483" t="n">
        <v>2.177073</v>
      </c>
      <c r="O1483" s="1" t="inlineStr">
        <is>
          <t>Spain</t>
        </is>
      </c>
      <c r="P1483" s="1" t="inlineStr">
        <is>
          <t>Andorra, France, Italy, Portugal, Spain, United Kingdom</t>
        </is>
      </c>
      <c r="Q1483" s="1" t="inlineStr">
        <is>
          <t>0 to 10</t>
        </is>
      </c>
      <c r="R1483" t="inlineStr">
        <is>
          <t>Micro</t>
        </is>
      </c>
      <c r="S1483" s="1" t="inlineStr">
        <is>
          <t>Business to Business</t>
        </is>
      </c>
      <c r="T1483" s="1" t="inlineStr">
        <is>
          <t>Corporate Training, Lifelong learning/Adult education</t>
        </is>
      </c>
      <c r="U1483" s="1" t="inlineStr">
        <is>
          <t>Teacher interfacing, Student interfacing, System/Administrative</t>
        </is>
      </c>
      <c r="V1483" s="1" t="n"/>
      <c r="W1483" s="1" t="inlineStr">
        <is>
          <t>https://drive.google.com/uc?export=view&amp;id=16yqCsgbQk5a5Tk8U1K6wQl0V4fNMdb5_</t>
        </is>
      </c>
      <c r="X1483" s="1" t="inlineStr">
        <is>
          <t>https://drive.google.com/uc?export=view&amp;id=16yqCsgbQk5a5Tk8U1K6wQl0V4fNMdb5_</t>
        </is>
      </c>
      <c r="Y1483" t="inlineStr">
        <is>
          <t>https://drive.google.com/uc?export=view&amp;id=16yqCsgbQk5a5Tk8U1K6wQl0V4fNMdb5_</t>
        </is>
      </c>
      <c r="Z1483" s="1" t="inlineStr">
        <is>
          <t>https://drive.google.com/uc?export=view&amp;id=16yqCsgbQk5a5Tk8U1K6wQl0V4fNMdb5_</t>
        </is>
      </c>
      <c r="AA1483" s="1" t="inlineStr">
        <is>
          <t>Unverified</t>
        </is>
      </c>
      <c r="AB1483" s="1" t="n"/>
      <c r="AC1483" s="1" t="n"/>
      <c r="AD1483" s="10" t="n"/>
      <c r="AE1483" s="1" t="n"/>
      <c r="AF1483" s="1" t="inlineStr">
        <is>
          <t>No</t>
        </is>
      </c>
      <c r="AG1483" s="1" t="n"/>
      <c r="AH1483" s="1" t="n"/>
    </row>
    <row r="1484" ht="12.5" customHeight="1">
      <c r="A1484" s="6" t="n">
        <v>45181</v>
      </c>
      <c r="B1484" s="1" t="inlineStr">
        <is>
          <t>ORG_1167</t>
        </is>
      </c>
      <c r="C1484" s="1" t="b">
        <v>1</v>
      </c>
      <c r="D1484" s="1" t="inlineStr">
        <is>
          <t>BioProfe</t>
        </is>
      </c>
      <c r="E1484" s="10" t="inlineStr">
        <is>
          <t>https://bioprofe.com</t>
        </is>
      </c>
      <c r="F1484" t="inlineStr">
        <is>
          <t>bioprofe.com</t>
        </is>
      </c>
      <c r="G1484" s="1" t="inlineStr">
        <is>
          <t>BioProfe: educational software for science exams, to create and solve self-correcting exams of any kind, especially Chemistry, Physics, and Mathematics.
BioProfe can improve the educational quality to any School, Institute or University, especially in Maths, Physics, and Chemistry, and now including a proctoring system to be able to remotely monitor the student while taking the exam.
What makes BioProfe unique is its formula editor. With BioProfe is possible to put unknowns inside the Mathematical or Chemical formulas, and inside the text paragraphs. In this way the student can interact with the formulas to solve them.</t>
        </is>
      </c>
      <c r="H1484" s="1" t="inlineStr">
        <is>
          <t>EduTech Cluster Spain</t>
        </is>
      </c>
      <c r="I1484" s="1" t="n"/>
      <c r="J1484" s="1" t="inlineStr">
        <is>
          <t>Madrid</t>
        </is>
      </c>
      <c r="K1484" t="inlineStr">
        <is>
          <t>Madrid</t>
        </is>
      </c>
      <c r="L1484" t="inlineStr">
        <is>
          <t>Madrid, Spain</t>
        </is>
      </c>
      <c r="M1484" t="n">
        <v>40.416782</v>
      </c>
      <c r="N1484" t="n">
        <v>-3.703507</v>
      </c>
      <c r="O1484" s="1" t="inlineStr">
        <is>
          <t>Spain</t>
        </is>
      </c>
      <c r="P1484" s="1" t="inlineStr">
        <is>
          <t>Spain</t>
        </is>
      </c>
      <c r="Q1484" s="1" t="inlineStr">
        <is>
          <t>0 to 10</t>
        </is>
      </c>
      <c r="R1484" t="inlineStr">
        <is>
          <t>Micro</t>
        </is>
      </c>
      <c r="S1484" s="1" t="inlineStr">
        <is>
          <t>Business to Business</t>
        </is>
      </c>
      <c r="T1484" s="1" t="inlineStr">
        <is>
          <t>Primary Education, Secondary Education, Higher Education, Corporate Training, Lifelong learning/Adult education</t>
        </is>
      </c>
      <c r="U1484" s="1" t="inlineStr">
        <is>
          <t>Student interfacing, Teacher interfacing, System/Administrative</t>
        </is>
      </c>
      <c r="V1484" s="1" t="inlineStr">
        <is>
          <t>BioProfe</t>
        </is>
      </c>
      <c r="W1484" s="1" t="inlineStr">
        <is>
          <t>BioProfe consists of three applications:
1. BioProfe Creator
2. BioProfe Reader 3. BioProfe Corrector BioProfe CREATOR is a tool for teachers that allow them to generate exercises and exams to be sent to their students. The exercises can contain text, test questions, mathematical and chemical formulas with unknowns inside, graphics, images, audios, and videos.
BioProfe READER is an app that allows students to solve the exercises using a tablet (iPads, Android and Windows) or computer. Once the exam is finished, the student can send it back very easily, just pressing a link button.
BioProfe CORRECTOR allows the teachers open the exams that contain the answers given by the students and see the report, check the failures exercise by exercise and also see the statistics on their progress.</t>
        </is>
      </c>
      <c r="X1484" s="10" t="inlineStr">
        <is>
          <t>BioProfepedia</t>
        </is>
      </c>
      <c r="Y1484" t="inlineStr">
        <is>
          <t>A huge exams store (General knowledge, Maths, Physics and Chemistry) accessible to students to learn or review knowledge.
Using the app BioProfe READER, the students can access to BioProfepedia to download these exams and solve them in their tablets or computers.</t>
        </is>
      </c>
      <c r="Z1484" s="1" t="inlineStr">
        <is>
          <t>https://drive.google.com/uc?export=view&amp;id=1FF_kCQ2iRJvoo91Hly1RWppIEaZU9Cqn</t>
        </is>
      </c>
      <c r="AA1484" s="1" t="inlineStr">
        <is>
          <t>Unverified</t>
        </is>
      </c>
      <c r="AB1484" s="1" t="n"/>
      <c r="AC1484" s="1" t="n"/>
      <c r="AD1484" s="10" t="n"/>
      <c r="AE1484" s="1" t="n"/>
      <c r="AF1484" s="1" t="inlineStr">
        <is>
          <t>Yes</t>
        </is>
      </c>
      <c r="AG1484" s="1" t="inlineStr">
        <is>
          <t>SIOEDUC SOCIEDAD LIMITADA</t>
        </is>
      </c>
      <c r="AH1484" s="1" t="inlineStr">
        <is>
          <t>SIOEDUC SOCIEDAD LIMITADA</t>
        </is>
      </c>
      <c r="AI1484" t="inlineStr">
        <is>
          <t>https://www.linkedin.com/company/bioprofe</t>
        </is>
      </c>
    </row>
    <row r="1485" ht="12.5" customHeight="1">
      <c r="A1485" s="6" t="n">
        <v>45181</v>
      </c>
      <c r="B1485" s="1" t="inlineStr">
        <is>
          <t>ORG_1214</t>
        </is>
      </c>
      <c r="C1485" s="1" t="b">
        <v>1</v>
      </c>
      <c r="D1485" s="1" t="inlineStr">
        <is>
          <t>Canal Numérique des Savoirs</t>
        </is>
      </c>
      <c r="E1485" s="10" t="inlineStr">
        <is>
          <t>https://www.cns-edu.com/</t>
        </is>
      </c>
      <c r="F1485" t="inlineStr">
        <is>
          <t>cns-edu.com</t>
        </is>
      </c>
      <c r="G1485" s="1" t="inlineStr">
        <is>
          <t>Creation, publication, dissemination and distribution of educational resources (digital textbooks from primary to secondary levels) and interactive services (adaptive learning) along with educational platforms, compliant with the national curriculum set by Ministry of National Education. Digital support and training, e-parenthood, adaptive learning.</t>
        </is>
      </c>
      <c r="H1485" s="1" t="inlineStr">
        <is>
          <t>AFINEF</t>
        </is>
      </c>
      <c r="I1485" s="1" t="n"/>
      <c r="J1485" s="1" t="inlineStr">
        <is>
          <t>Paris</t>
        </is>
      </c>
      <c r="K1485" t="inlineStr">
        <is>
          <t>Paris</t>
        </is>
      </c>
      <c r="L1485" t="inlineStr">
        <is>
          <t>Paris, France</t>
        </is>
      </c>
      <c r="M1485" t="n">
        <v>48.8534951</v>
      </c>
      <c r="N1485" t="n">
        <v>2.3483915</v>
      </c>
      <c r="O1485" s="1" t="inlineStr">
        <is>
          <t>France</t>
        </is>
      </c>
      <c r="P1485" s="1" t="inlineStr">
        <is>
          <t>Belgium, France, Monaco, Switzerland</t>
        </is>
      </c>
      <c r="Q1485" s="1" t="inlineStr">
        <is>
          <t>51 to 100</t>
        </is>
      </c>
      <c r="R1485" t="inlineStr">
        <is>
          <t>Medium</t>
        </is>
      </c>
      <c r="S1485" s="1" t="inlineStr">
        <is>
          <t>Business to Business, Business to Consumer</t>
        </is>
      </c>
      <c r="T1485" s="1" t="inlineStr">
        <is>
          <t>Early childhood development (0-5 years), Primary Education, Secondary Education, Higher Education, Corporate Training, Lifelong learning/Adult education</t>
        </is>
      </c>
      <c r="U1485" s="1" t="inlineStr">
        <is>
          <t>System/Administrative, Student interfacing, Teacher interfacing</t>
        </is>
      </c>
      <c r="V1485" s="1" t="inlineStr">
        <is>
          <t>TD Lab - Biblio Exos</t>
        </is>
      </c>
      <c r="W1485" s="1" t="inlineStr">
        <is>
          <t>Interactive exercises platform designed for taylored learning. Both customised learning paths and personnal learning paths are on display, so as to make learning an enjoyable experience</t>
        </is>
      </c>
      <c r="X1485" s="1" t="inlineStr">
        <is>
          <t>i-Manuel 2.0</t>
        </is>
      </c>
      <c r="Y1485" t="inlineStr">
        <is>
          <t>interactive textbooks platform specially designed for vocationnal pupils and teachers. This tool allows customised learning paths ands strong interactions between pupils and teachers</t>
        </is>
      </c>
      <c r="Z1485" s="1" t="inlineStr">
        <is>
          <t>https://drive.google.com/uc?export=view&amp;id=14SDVazfE5ddoJ9U-32V9w4sI-r57_sRo</t>
        </is>
      </c>
      <c r="AA1485" s="1" t="inlineStr">
        <is>
          <t>Unverified</t>
        </is>
      </c>
      <c r="AB1485" s="1" t="n"/>
      <c r="AC1485" s="1" t="n"/>
      <c r="AD1485" s="10" t="n"/>
      <c r="AE1485" s="1" t="n"/>
      <c r="AF1485" s="1" t="inlineStr">
        <is>
          <t>Yes</t>
        </is>
      </c>
      <c r="AG1485" s="1" t="n"/>
      <c r="AH1485" s="1" t="inlineStr">
        <is>
          <t>@CNS_SavoirsNum</t>
        </is>
      </c>
      <c r="AI1485" s="1" t="n"/>
      <c r="AJ1485" s="1" t="n"/>
    </row>
    <row r="1486" ht="12.5" customHeight="1">
      <c r="A1486" s="6" t="n">
        <v>45181</v>
      </c>
      <c r="B1486" s="1" t="inlineStr">
        <is>
          <t>ORG_1238</t>
        </is>
      </c>
      <c r="C1486" s="1" t="b">
        <v>1</v>
      </c>
      <c r="D1486" s="1" t="inlineStr">
        <is>
          <t>CIFRA EDUCACION</t>
        </is>
      </c>
      <c r="E1486" s="10" t="inlineStr">
        <is>
          <t>https://www.cifraeducacion.com</t>
        </is>
      </c>
      <c r="F1486" t="inlineStr">
        <is>
          <t>cifraeducacion.com</t>
        </is>
      </c>
      <c r="G1486" s="1" t="inlineStr">
        <is>
          <t>CIFRA EDUCACION is a software development company specialized on Education. Its product is a SMS (School Management System) called CIFRA for the comprehensive Management of educational centers and Communication between the educational community of these centers. It includes solutions for the academic, administrative and economic management, all in a single ecosystem. It is a very intuitive and friendly platform that helps its use and is accompanied by an app that works with push notifications so that communication is online.</t>
        </is>
      </c>
      <c r="H1486" s="1" t="inlineStr">
        <is>
          <t>I'm not part of any EdTech association</t>
        </is>
      </c>
      <c r="I1486" s="1" t="n"/>
      <c r="J1486" s="1" t="inlineStr">
        <is>
          <t>Santander</t>
        </is>
      </c>
      <c r="K1486" t="inlineStr">
        <is>
          <t>Santander</t>
        </is>
      </c>
      <c r="L1486" t="inlineStr">
        <is>
          <t>Santander, Spain</t>
        </is>
      </c>
      <c r="M1486" t="n">
        <v>43.4618932</v>
      </c>
      <c r="N1486" t="n">
        <v>-3.8100255</v>
      </c>
      <c r="O1486" s="1" t="inlineStr">
        <is>
          <t>Spain</t>
        </is>
      </c>
      <c r="P1486" s="1" t="inlineStr">
        <is>
          <t>Spain</t>
        </is>
      </c>
      <c r="Q1486" s="1" t="inlineStr">
        <is>
          <t>0 to 10</t>
        </is>
      </c>
      <c r="R1486" t="inlineStr">
        <is>
          <t>Micro</t>
        </is>
      </c>
      <c r="S1486" s="1" t="inlineStr">
        <is>
          <t>Business to Business, Business to Consumer</t>
        </is>
      </c>
      <c r="T1486" s="1" t="inlineStr">
        <is>
          <t>Early childhood development (0-5 years), Primary Education, Secondary Education, Higher Education</t>
        </is>
      </c>
      <c r="U1486" s="1" t="inlineStr">
        <is>
          <t>System/Administrative, Student interfacing, Teacher interfacing</t>
        </is>
      </c>
      <c r="V1486" s="1" t="n"/>
      <c r="W1486" s="1" t="inlineStr">
        <is>
          <t>https://drive.google.com/uc?export=view&amp;id=1hpzgWAWbWoJZpu04Ot3F1dlyxwq9lJrm</t>
        </is>
      </c>
      <c r="X1486" s="1" t="inlineStr">
        <is>
          <t>https://drive.google.com/uc?export=view&amp;id=1hpzgWAWbWoJZpu04Ot3F1dlyxwq9lJrm</t>
        </is>
      </c>
      <c r="Y1486" t="inlineStr">
        <is>
          <t>https://drive.google.com/uc?export=view&amp;id=1hpzgWAWbWoJZpu04Ot3F1dlyxwq9lJrm</t>
        </is>
      </c>
      <c r="Z1486" s="1" t="inlineStr">
        <is>
          <t>https://drive.google.com/uc?export=view&amp;id=1hpzgWAWbWoJZpu04Ot3F1dlyxwq9lJrm</t>
        </is>
      </c>
      <c r="AA1486" s="1" t="inlineStr">
        <is>
          <t>Unverified</t>
        </is>
      </c>
      <c r="AB1486" s="1" t="n"/>
      <c r="AC1486" s="1" t="n"/>
      <c r="AD1486" s="10" t="n"/>
      <c r="AE1486" s="1" t="n"/>
      <c r="AF1486" s="1" t="inlineStr">
        <is>
          <t>No</t>
        </is>
      </c>
      <c r="AG1486" s="1" t="n"/>
      <c r="AH1486" s="1" t="n"/>
    </row>
    <row r="1487" ht="12.5" customHeight="1">
      <c r="A1487" s="6" t="n">
        <v>45181</v>
      </c>
      <c r="B1487" s="1" t="inlineStr">
        <is>
          <t>ORG_1446</t>
        </is>
      </c>
      <c r="C1487" s="1" t="b">
        <v>1</v>
      </c>
      <c r="D1487" s="1" t="inlineStr">
        <is>
          <t>Édulib</t>
        </is>
      </c>
      <c r="E1487" s="10" t="inlineStr">
        <is>
          <t>https://www.edulib.fr/</t>
        </is>
      </c>
      <c r="F1487" t="inlineStr">
        <is>
          <t>edulib.fr</t>
        </is>
      </c>
      <c r="G1487" s="1" t="inlineStr">
        <is>
          <t>Édulib is the distributor of digital ressources from Belin Éducation, Magnard, Delagrave, Vuibert, BPI and the publisher of the application Lib Manuels. Edulib offers to education professionals more than 800 references, from elementary to higher education in all disciplines, accessible via ENT (GAR compatible), on PC, flash drive or tablet.</t>
        </is>
      </c>
      <c r="H1487" s="1" t="inlineStr">
        <is>
          <t>AFINEF</t>
        </is>
      </c>
      <c r="I1487" s="1" t="n"/>
      <c r="J1487" s="1" t="inlineStr">
        <is>
          <t>Paris</t>
        </is>
      </c>
      <c r="K1487" t="inlineStr">
        <is>
          <t>Paris</t>
        </is>
      </c>
      <c r="L1487" t="inlineStr">
        <is>
          <t>Paris, France</t>
        </is>
      </c>
      <c r="M1487" t="n">
        <v>48.8534951</v>
      </c>
      <c r="N1487" t="n">
        <v>2.3483915</v>
      </c>
      <c r="O1487" s="1" t="inlineStr">
        <is>
          <t>France</t>
        </is>
      </c>
      <c r="P1487" s="1" t="inlineStr">
        <is>
          <t>Belgium, France, Luxembourg, Monaco</t>
        </is>
      </c>
      <c r="Q1487" s="1" t="inlineStr">
        <is>
          <t>11 to 50</t>
        </is>
      </c>
      <c r="R1487" t="inlineStr">
        <is>
          <t>Small</t>
        </is>
      </c>
      <c r="S1487" s="1" t="inlineStr">
        <is>
          <t>Business to Business, Business to Consumer</t>
        </is>
      </c>
      <c r="T1487" s="1" t="inlineStr">
        <is>
          <t>Primary Education, Secondary Education, Higher Education</t>
        </is>
      </c>
      <c r="U1487" s="1" t="inlineStr">
        <is>
          <t>System/Administrative, Student interfacing, Teacher interfacing</t>
        </is>
      </c>
      <c r="V1487" s="1" t="n"/>
      <c r="W1487" s="1" t="inlineStr">
        <is>
          <t>https://drive.google.com/uc?export=view&amp;id=1Zty4eoxgO4vUxWIOUvksJg747t-Z9LIn</t>
        </is>
      </c>
      <c r="X1487" s="1" t="inlineStr">
        <is>
          <t>https://drive.google.com/uc?export=view&amp;id=1Zty4eoxgO4vUxWIOUvksJg747t-Z9LIn</t>
        </is>
      </c>
      <c r="Y1487" t="inlineStr">
        <is>
          <t>https://drive.google.com/uc?export=view&amp;id=1Zty4eoxgO4vUxWIOUvksJg747t-Z9LIn</t>
        </is>
      </c>
      <c r="Z1487" s="1" t="inlineStr">
        <is>
          <t>https://drive.google.com/uc?export=view&amp;id=1Zty4eoxgO4vUxWIOUvksJg747t-Z9LIn</t>
        </is>
      </c>
      <c r="AA1487" s="1" t="inlineStr">
        <is>
          <t>Unverified</t>
        </is>
      </c>
      <c r="AB1487" s="1" t="n"/>
      <c r="AC1487" s="1" t="n"/>
      <c r="AD1487" s="10" t="n"/>
      <c r="AE1487" s="1" t="n"/>
      <c r="AF1487" s="1" t="inlineStr">
        <is>
          <t>No</t>
        </is>
      </c>
      <c r="AG1487" s="1" t="n"/>
      <c r="AH1487" s="1" t="n"/>
    </row>
    <row r="1488" ht="12.5" customHeight="1">
      <c r="A1488" s="6" t="n">
        <v>45181</v>
      </c>
      <c r="B1488" s="1" t="inlineStr">
        <is>
          <t>ORG_1519</t>
        </is>
      </c>
      <c r="C1488" s="1" t="b">
        <v>1</v>
      </c>
      <c r="D1488" s="1" t="inlineStr">
        <is>
          <t>eTrivium</t>
        </is>
      </c>
      <c r="E1488" s="10" t="inlineStr">
        <is>
          <t>www.etrivium.es</t>
        </is>
      </c>
      <c r="F1488" t="inlineStr">
        <is>
          <t>etrivium.es</t>
        </is>
      </c>
      <c r="G1488" s="1" t="inlineStr">
        <is>
          <t>eTrivium is a company dedicated to the development of elearning content adapted to the learning culture of organizations. 
Its 360º methodology integrates processes, people and technology through technopedagogical design and the creation of fully customized elearning content.</t>
        </is>
      </c>
      <c r="H1488" s="1" t="inlineStr">
        <is>
          <t>I'm not part of any EdTech association</t>
        </is>
      </c>
      <c r="I1488" s="1" t="n"/>
      <c r="J1488" s="1" t="inlineStr">
        <is>
          <t>Madrid</t>
        </is>
      </c>
      <c r="K1488" t="inlineStr">
        <is>
          <t>Madrid</t>
        </is>
      </c>
      <c r="L1488" t="inlineStr">
        <is>
          <t>Madrid, Spain</t>
        </is>
      </c>
      <c r="M1488" t="n">
        <v>40.416782</v>
      </c>
      <c r="N1488" t="n">
        <v>-3.703507</v>
      </c>
      <c r="O1488" s="1" t="inlineStr">
        <is>
          <t>Spain</t>
        </is>
      </c>
      <c r="P1488" s="1" t="inlineStr">
        <is>
          <t>Spain</t>
        </is>
      </c>
      <c r="Q1488" s="1" t="inlineStr">
        <is>
          <t>0 to 10</t>
        </is>
      </c>
      <c r="R1488" t="inlineStr">
        <is>
          <t>Micro</t>
        </is>
      </c>
      <c r="S1488" s="1" t="inlineStr">
        <is>
          <t>Business to Business, Business to Consumer, Business to Government</t>
        </is>
      </c>
      <c r="T1488" s="1" t="inlineStr">
        <is>
          <t>Higher Education, Corporate Training, Lifelong learning/Adult education</t>
        </is>
      </c>
      <c r="U1488" s="1" t="inlineStr">
        <is>
          <t>Teacher interfacing, Student interfacing, System/Administrative</t>
        </is>
      </c>
      <c r="V1488" s="1" t="n"/>
      <c r="W1488" s="1" t="inlineStr">
        <is>
          <t>https://drive.google.com/uc?export=view&amp;id=1Nd9ed9C5yEtOPAt2RLC0K1FGYI7aFGz7</t>
        </is>
      </c>
      <c r="X1488" s="1" t="inlineStr">
        <is>
          <t>https://drive.google.com/uc?export=view&amp;id=1Nd9ed9C5yEtOPAt2RLC0K1FGYI7aFGz7</t>
        </is>
      </c>
      <c r="Y1488" t="inlineStr">
        <is>
          <t>https://drive.google.com/uc?export=view&amp;id=1Nd9ed9C5yEtOPAt2RLC0K1FGYI7aFGz7</t>
        </is>
      </c>
      <c r="Z1488" s="1" t="inlineStr">
        <is>
          <t>https://drive.google.com/uc?export=view&amp;id=1Nd9ed9C5yEtOPAt2RLC0K1FGYI7aFGz7</t>
        </is>
      </c>
      <c r="AA1488" s="1" t="inlineStr">
        <is>
          <t>Unverified</t>
        </is>
      </c>
      <c r="AB1488" s="1" t="n"/>
      <c r="AC1488" s="1" t="n"/>
      <c r="AD1488" s="10" t="n"/>
      <c r="AE1488" s="1" t="n"/>
      <c r="AF1488" s="1" t="inlineStr">
        <is>
          <t>No</t>
        </is>
      </c>
      <c r="AG1488" s="1" t="n"/>
      <c r="AH1488" s="1" t="n"/>
    </row>
    <row r="1489" ht="12.5" customHeight="1">
      <c r="A1489" s="6" t="n">
        <v>45181</v>
      </c>
      <c r="B1489" s="1" t="inlineStr">
        <is>
          <t>ORG_1573</t>
        </is>
      </c>
      <c r="C1489" s="1" t="b">
        <v>1</v>
      </c>
      <c r="D1489" s="1" t="inlineStr">
        <is>
          <t>For a Better World</t>
        </is>
      </c>
      <c r="E1489" s="10" t="inlineStr">
        <is>
          <t>https://www.forabetterworld.es/</t>
        </is>
      </c>
      <c r="F1489" t="inlineStr">
        <is>
          <t>forabetterworld.es</t>
        </is>
      </c>
      <c r="G1489" s="1" t="inlineStr">
        <is>
          <t>We help employees and their Companies to measure and to improve their mental health and soft skills through an interactive solution and great influencers</t>
        </is>
      </c>
      <c r="H1489" s="1" t="inlineStr">
        <is>
          <t>I'm not part of any EdTech association</t>
        </is>
      </c>
      <c r="I1489" s="1" t="n"/>
      <c r="J1489" s="1" t="inlineStr">
        <is>
          <t>Torrelodones</t>
        </is>
      </c>
      <c r="K1489" t="inlineStr">
        <is>
          <t>Torrelodones</t>
        </is>
      </c>
      <c r="L1489" t="inlineStr">
        <is>
          <t>Torrelodones, Spain</t>
        </is>
      </c>
      <c r="M1489" t="n">
        <v>40.5762809</v>
      </c>
      <c r="N1489" t="n">
        <v>-3.928603</v>
      </c>
      <c r="O1489" s="1" t="inlineStr">
        <is>
          <t>Spain</t>
        </is>
      </c>
      <c r="P1489" s="1" t="inlineStr">
        <is>
          <t>Spain</t>
        </is>
      </c>
      <c r="Q1489" s="1" t="inlineStr">
        <is>
          <t>0 to 10</t>
        </is>
      </c>
      <c r="R1489" t="inlineStr">
        <is>
          <t>Micro</t>
        </is>
      </c>
      <c r="S1489" s="1" t="inlineStr">
        <is>
          <t>Business to Business, Business to Consumer, Business to Government, Business to Schools</t>
        </is>
      </c>
      <c r="T1489" s="1" t="inlineStr">
        <is>
          <t>Corporate Training, Lifelong learning/Adult education</t>
        </is>
      </c>
      <c r="U1489" s="1" t="inlineStr">
        <is>
          <t>Student interfacing, System/Administrative</t>
        </is>
      </c>
      <c r="V1489" s="1" t="n"/>
      <c r="W1489" s="1" t="inlineStr">
        <is>
          <t>https://drive.google.com/uc?export=view&amp;id=1dKlWE6998UG98nASQ2hZ00BezZpRZKF8</t>
        </is>
      </c>
      <c r="X1489" s="1" t="inlineStr">
        <is>
          <t>https://drive.google.com/uc?export=view&amp;id=1dKlWE6998UG98nASQ2hZ00BezZpRZKF8</t>
        </is>
      </c>
      <c r="Y1489" t="inlineStr">
        <is>
          <t>https://drive.google.com/uc?export=view&amp;id=1dKlWE6998UG98nASQ2hZ00BezZpRZKF8</t>
        </is>
      </c>
      <c r="Z1489" s="1" t="inlineStr">
        <is>
          <t>https://drive.google.com/uc?export=view&amp;id=1dKlWE6998UG98nASQ2hZ00BezZpRZKF8</t>
        </is>
      </c>
      <c r="AA1489" s="1" t="inlineStr">
        <is>
          <t>Unverified</t>
        </is>
      </c>
      <c r="AB1489" s="1" t="n"/>
      <c r="AC1489" s="1" t="n"/>
      <c r="AD1489" s="10" t="n"/>
      <c r="AE1489" s="1" t="n"/>
      <c r="AF1489" s="1" t="inlineStr">
        <is>
          <t>No</t>
        </is>
      </c>
      <c r="AG1489" s="1" t="n"/>
      <c r="AH1489" s="1" t="n"/>
      <c r="AI1489" s="1" t="n"/>
      <c r="AJ1489" s="1" t="n"/>
    </row>
    <row r="1490" ht="12.5" customHeight="1">
      <c r="A1490" s="6" t="n">
        <v>45181</v>
      </c>
      <c r="B1490" s="1" t="inlineStr">
        <is>
          <t>ORG_1666</t>
        </is>
      </c>
      <c r="C1490" s="1" t="b">
        <v>1</v>
      </c>
      <c r="D1490" s="1" t="inlineStr">
        <is>
          <t>Hazu</t>
        </is>
      </c>
      <c r="E1490" s="10" t="inlineStr">
        <is>
          <t>https://www.hazu.io</t>
        </is>
      </c>
      <c r="F1490" t="inlineStr">
        <is>
          <t>hazu.io</t>
        </is>
      </c>
      <c r="G1490" s="1" t="inlineStr">
        <is>
          <t>Hazu is a company that provides a platform for businesses, organizations, and educational institutions to create their own digital world. The platform is visual and organized in a simple interface. Data in Hazu is structured and semantic, making it ideal for training AI and machine learning. The company was founded in 2016 in Silicon Valley and has a subsidiary in Switzerland.</t>
        </is>
      </c>
      <c r="H1490" s="1" t="inlineStr">
        <is>
          <t>Swiss EdTech Collider</t>
        </is>
      </c>
      <c r="I1490" s="1" t="n"/>
      <c r="J1490" s="1" t="inlineStr">
        <is>
          <t>Visp</t>
        </is>
      </c>
      <c r="K1490" t="inlineStr">
        <is>
          <t>Visp</t>
        </is>
      </c>
      <c r="L1490" t="inlineStr">
        <is>
          <t>Visp, Switzerland</t>
        </is>
      </c>
      <c r="M1490" t="n">
        <v>46.2913113</v>
      </c>
      <c r="N1490" t="n">
        <v>7.8811918</v>
      </c>
      <c r="O1490" s="1" t="inlineStr">
        <is>
          <t>Switzerland</t>
        </is>
      </c>
      <c r="P1490" s="1" t="inlineStr">
        <is>
          <t>Austria, Denmark, Finland, Germany, Norway, Sweden, Switzerland</t>
        </is>
      </c>
      <c r="Q1490" s="1" t="inlineStr">
        <is>
          <t>0 to 10</t>
        </is>
      </c>
      <c r="R1490" t="inlineStr">
        <is>
          <t>Micro</t>
        </is>
      </c>
      <c r="S1490" s="1" t="inlineStr">
        <is>
          <t>Business to Business, Business to Consumer, Business to Government, Business to Schools</t>
        </is>
      </c>
      <c r="T1490" s="1" t="inlineStr">
        <is>
          <t>Early childhood development (0-5 years), Primary Education, Secondary Education, Higher Education, Corporate Training, Lifelong learning/Adult education</t>
        </is>
      </c>
      <c r="U1490" s="1" t="inlineStr">
        <is>
          <t>System/Administrative, Student interfacing, Teacher interfacing</t>
        </is>
      </c>
      <c r="V1490" s="1" t="inlineStr">
        <is>
          <t>Hazu</t>
        </is>
      </c>
      <c r="W1490" s="1" t="inlineStr">
        <is>
          <t>Hazu is a Smart Cloud that gives students, teachers and parents the power to do anything they want in the digital world. Our visual building blocks make creating and sharing content a joy! With a simple click, information can be viewed as a mind map, presentation, table, calendar, geo map, Kanban board or even in Virtual Reality. This makes Hazu perfect for highly innovative teachers and educational institutions that want to teach in a modern way, without being limited by technology or having to manage many different tools.</t>
        </is>
      </c>
      <c r="X1490" s="10" t="inlineStr">
        <is>
          <t>https://drive.google.com/uc?export=view&amp;id=1uvFzUGUxKkvHALoAF2gsmtT3oj5RS0je</t>
        </is>
      </c>
      <c r="Y1490" t="inlineStr">
        <is>
          <t>https://drive.google.com/uc?export=view&amp;id=1uvFzUGUxKkvHALoAF2gsmtT3oj5RS0je</t>
        </is>
      </c>
      <c r="Z1490" s="1" t="inlineStr">
        <is>
          <t>https://drive.google.com/uc?export=view&amp;id=1uvFzUGUxKkvHALoAF2gsmtT3oj5RS0je</t>
        </is>
      </c>
      <c r="AA1490" s="1" t="inlineStr">
        <is>
          <t>Unverified</t>
        </is>
      </c>
      <c r="AB1490" s="1" t="n"/>
      <c r="AC1490" s="1" t="n"/>
      <c r="AD1490" s="10" t="n"/>
      <c r="AE1490" s="1" t="n"/>
      <c r="AF1490" s="1" t="inlineStr">
        <is>
          <t>Yes</t>
        </is>
      </c>
      <c r="AG1490" s="1" t="inlineStr">
        <is>
          <t>https://www.linkedin.com/company/hazu</t>
        </is>
      </c>
      <c r="AH1490" s="1" t="inlineStr">
        <is>
          <t>https://www.linkedin.com/company/hazu</t>
        </is>
      </c>
      <c r="AI1490" t="inlineStr">
        <is>
          <t>https://www.linkedin.com/company/hazu</t>
        </is>
      </c>
    </row>
    <row r="1491" ht="12.5" customHeight="1">
      <c r="A1491" s="6" t="n">
        <v>45181</v>
      </c>
      <c r="B1491" s="1" t="inlineStr">
        <is>
          <t>ORG_1781</t>
        </is>
      </c>
      <c r="C1491" s="1" t="b">
        <v>1</v>
      </c>
      <c r="D1491" s="1" t="inlineStr">
        <is>
          <t>Kjuicer</t>
        </is>
      </c>
      <c r="E1491" s="10" t="inlineStr">
        <is>
          <t>https://kjuicer.com</t>
        </is>
      </c>
      <c r="F1491" t="inlineStr">
        <is>
          <t>kjuicer.com</t>
        </is>
      </c>
      <c r="G1491" s="1" t="inlineStr">
        <is>
          <t>Doubling learning speed and creating texts that can be read and explored up to 10 time faster.</t>
        </is>
      </c>
      <c r="H1491" s="1" t="inlineStr">
        <is>
          <t>EdTech Italia</t>
        </is>
      </c>
      <c r="I1491" s="1" t="n"/>
      <c r="J1491" s="1" t="inlineStr">
        <is>
          <t>Milan</t>
        </is>
      </c>
      <c r="K1491" t="inlineStr">
        <is>
          <t>Milan</t>
        </is>
      </c>
      <c r="L1491" t="inlineStr">
        <is>
          <t>Milan, Italy</t>
        </is>
      </c>
      <c r="M1491" t="n">
        <v>45.4641943</v>
      </c>
      <c r="N1491" t="n">
        <v>9.1896346</v>
      </c>
      <c r="O1491" s="1" t="inlineStr">
        <is>
          <t>Italy</t>
        </is>
      </c>
      <c r="P1491" s="1" t="inlineStr">
        <is>
          <t>Italy</t>
        </is>
      </c>
      <c r="Q1491" s="1" t="inlineStr">
        <is>
          <t>0 to 10</t>
        </is>
      </c>
      <c r="R1491" t="inlineStr">
        <is>
          <t>Micro</t>
        </is>
      </c>
      <c r="S1491" s="1" t="inlineStr">
        <is>
          <t>Business to Business, Business to Consumer, Business to Government, Business to Schools</t>
        </is>
      </c>
      <c r="T1491" s="1" t="inlineStr">
        <is>
          <t>Secondary Education, Higher Education, Corporate Training, Lifelong learning/Adult education</t>
        </is>
      </c>
      <c r="U1491" s="1" t="inlineStr">
        <is>
          <t>Student interfacing, Teacher interfacing, System/Administrative</t>
        </is>
      </c>
      <c r="V1491" s="1" t="inlineStr">
        <is>
          <t>Kjuicer</t>
        </is>
      </c>
      <c r="W1491" s="10" t="inlineStr">
        <is>
          <t>With Kjuicer:
- Students can learn twice as fast from their digital texts,
- Teachers and institutions can offer up to 5 times more content to their audiences.</t>
        </is>
      </c>
      <c r="X1491" s="10" t="inlineStr">
        <is>
          <t>https://drive.google.com/uc?export=view&amp;id=1iHy94ihTeZQeW_yBVB8Z5GHtJ2mYB9wc</t>
        </is>
      </c>
      <c r="Y1491" t="inlineStr">
        <is>
          <t>https://drive.google.com/uc?export=view&amp;id=1iHy94ihTeZQeW_yBVB8Z5GHtJ2mYB9wc</t>
        </is>
      </c>
      <c r="Z1491" s="1" t="inlineStr">
        <is>
          <t>https://drive.google.com/uc?export=view&amp;id=1iHy94ihTeZQeW_yBVB8Z5GHtJ2mYB9wc</t>
        </is>
      </c>
      <c r="AA1491" s="1" t="inlineStr">
        <is>
          <t>Unverified</t>
        </is>
      </c>
      <c r="AB1491" s="1" t="n"/>
      <c r="AC1491" s="1" t="n"/>
      <c r="AD1491" s="10" t="n"/>
      <c r="AE1491" s="1" t="n"/>
      <c r="AF1491" s="1" t="inlineStr">
        <is>
          <t>Yes</t>
        </is>
      </c>
      <c r="AG1491" s="1" t="inlineStr">
        <is>
          <t>https://twitter.com/KnowledgeJuicer</t>
        </is>
      </c>
      <c r="AH1491" s="1" t="inlineStr">
        <is>
          <t>https://twitter.com/KnowledgeJuicer</t>
        </is>
      </c>
      <c r="AI1491" t="inlineStr">
        <is>
          <t>https://www.linkedin.com/company/10288288</t>
        </is>
      </c>
    </row>
    <row r="1492" ht="12.5" customHeight="1">
      <c r="A1492" s="6" t="n">
        <v>45181</v>
      </c>
      <c r="B1492" s="1" t="inlineStr">
        <is>
          <t>ORG_1848</t>
        </is>
      </c>
      <c r="C1492" s="1" t="b">
        <v>1</v>
      </c>
      <c r="D1492" s="1" t="inlineStr">
        <is>
          <t>Legiland</t>
        </is>
      </c>
      <c r="E1492" s="10" t="inlineStr">
        <is>
          <t>https://legiland.club/</t>
        </is>
      </c>
      <c r="F1492" t="inlineStr">
        <is>
          <t>legiland.club</t>
        </is>
      </c>
      <c r="G1492" s="1" t="inlineStr">
        <is>
          <t>Legiland is a digital platform designed to encourage kids (6 to 16 years) to read and improve their reading comprehension by means of edutainment strategies. This platform offers a reward for reading books and understanding what is being read. Legiland is a tool available to school teachers and parents which allows them to monitor and assess students' reading comprehension.</t>
        </is>
      </c>
      <c r="H1492" s="1" t="inlineStr">
        <is>
          <t>I'm not part of any EdTech association</t>
        </is>
      </c>
      <c r="I1492" s="1" t="n"/>
      <c r="J1492" s="1" t="inlineStr">
        <is>
          <t>Barcelona</t>
        </is>
      </c>
      <c r="K1492" t="inlineStr">
        <is>
          <t>Barcelona</t>
        </is>
      </c>
      <c r="L1492" t="inlineStr">
        <is>
          <t>Barcelona, Spain</t>
        </is>
      </c>
      <c r="M1492" t="n">
        <v>41.3825802</v>
      </c>
      <c r="N1492" t="n">
        <v>2.177073</v>
      </c>
      <c r="O1492" s="1" t="inlineStr">
        <is>
          <t>Spain</t>
        </is>
      </c>
      <c r="P1492" s="1" t="inlineStr">
        <is>
          <t>Spain</t>
        </is>
      </c>
      <c r="Q1492" s="1" t="inlineStr">
        <is>
          <t>0 to 10</t>
        </is>
      </c>
      <c r="R1492" t="inlineStr">
        <is>
          <t>Micro</t>
        </is>
      </c>
      <c r="S1492" s="1" t="inlineStr">
        <is>
          <t>Business to Business, Business to Consumer, Business to Government, Business to Schools</t>
        </is>
      </c>
      <c r="T1492" s="1" t="inlineStr">
        <is>
          <t>Primary Education, Secondary Education</t>
        </is>
      </c>
      <c r="U1492" s="1" t="inlineStr">
        <is>
          <t>System/Administrative, Student interfacing, Teacher interfacing</t>
        </is>
      </c>
      <c r="V1492" s="1" t="n"/>
      <c r="W1492" s="1" t="inlineStr">
        <is>
          <t>https://drive.google.com/uc?export=view&amp;id=1P4-lWlL6mBUUR0-d195aIhMLWHju0Fz1</t>
        </is>
      </c>
      <c r="X1492" s="1" t="inlineStr">
        <is>
          <t>https://drive.google.com/uc?export=view&amp;id=1P4-lWlL6mBUUR0-d195aIhMLWHju0Fz1</t>
        </is>
      </c>
      <c r="Y1492" t="inlineStr">
        <is>
          <t>https://drive.google.com/uc?export=view&amp;id=1P4-lWlL6mBUUR0-d195aIhMLWHju0Fz1</t>
        </is>
      </c>
      <c r="Z1492" s="1" t="inlineStr">
        <is>
          <t>https://drive.google.com/uc?export=view&amp;id=1P4-lWlL6mBUUR0-d195aIhMLWHju0Fz1</t>
        </is>
      </c>
      <c r="AA1492" s="1" t="inlineStr">
        <is>
          <t>Unverified</t>
        </is>
      </c>
      <c r="AB1492" s="1" t="n"/>
      <c r="AC1492" s="1" t="n"/>
      <c r="AD1492" s="10" t="n"/>
      <c r="AE1492" s="1" t="n"/>
      <c r="AF1492" s="1" t="inlineStr">
        <is>
          <t>No</t>
        </is>
      </c>
      <c r="AG1492" s="1" t="n"/>
      <c r="AH1492" s="1" t="n"/>
      <c r="AI1492" s="1" t="n"/>
      <c r="AJ1492" s="1" t="n"/>
    </row>
    <row r="1493" ht="12.5" customHeight="1">
      <c r="A1493" s="6" t="n">
        <v>45181</v>
      </c>
      <c r="B1493" s="1" t="inlineStr">
        <is>
          <t>ORG_1909</t>
        </is>
      </c>
      <c r="C1493" s="1" t="b">
        <v>1</v>
      </c>
      <c r="D1493" s="1" t="inlineStr">
        <is>
          <t>Maker Camp</t>
        </is>
      </c>
      <c r="E1493" s="10" t="inlineStr">
        <is>
          <t>https://www.makercamp.it</t>
        </is>
      </c>
      <c r="F1493" t="inlineStr">
        <is>
          <t>makercamp.it</t>
        </is>
      </c>
      <c r="G1493" s="1" t="inlineStr">
        <is>
          <t>The company Maker Camp is strongly specialized in the enhancement of the skills of the XXI century - ability to solve complex problems, critical thinking, creativity, collaboration with others - through the use of new technologies and in particular of educational video games, integrating everything with the "analog" tradition.
It is the promoter of national and international contests for cultural and institutional places with which it involves the school population and the educating community with a view to participation from the grass roots to the cultural contents themselves and, also through elements of gamification, promotes the territory of interest.</t>
        </is>
      </c>
      <c r="H1493" s="1" t="inlineStr">
        <is>
          <t>I'm not part of any EdTech association</t>
        </is>
      </c>
      <c r="I1493" s="1" t="n"/>
      <c r="J1493" s="1" t="inlineStr">
        <is>
          <t>Aprilia</t>
        </is>
      </c>
      <c r="K1493" t="inlineStr">
        <is>
          <t>Aprilia</t>
        </is>
      </c>
      <c r="L1493" t="inlineStr">
        <is>
          <t>Aprilia, Italy</t>
        </is>
      </c>
      <c r="M1493" t="n">
        <v>41.5942016</v>
      </c>
      <c r="N1493" t="n">
        <v>12.6485765</v>
      </c>
      <c r="O1493" s="1" t="inlineStr">
        <is>
          <t>Italy</t>
        </is>
      </c>
      <c r="P1493" s="1" t="inlineStr">
        <is>
          <t>Italy</t>
        </is>
      </c>
      <c r="Q1493" s="1" t="inlineStr">
        <is>
          <t>0 to 10</t>
        </is>
      </c>
      <c r="R1493" t="inlineStr">
        <is>
          <t>Micro</t>
        </is>
      </c>
      <c r="S1493" s="1" t="inlineStr">
        <is>
          <t>Business to Business, Business to Consumer, Business to Schools</t>
        </is>
      </c>
      <c r="T1493" s="1" t="inlineStr">
        <is>
          <t>Primary Education, Secondary Education, Higher Education, Corporate Training, Lifelong learning/Adult education</t>
        </is>
      </c>
      <c r="U1493" s="1" t="inlineStr">
        <is>
          <t>System/Administrative, Student interfacing, Teacher interfacing</t>
        </is>
      </c>
      <c r="V1493" s="1" t="n"/>
      <c r="W1493" s="1" t="inlineStr">
        <is>
          <t>https://drive.google.com/uc?export=view&amp;id=1L1-YzOVHTOMSWyQWcZ0daqekwbk2-aQG</t>
        </is>
      </c>
      <c r="X1493" s="1" t="inlineStr">
        <is>
          <t>https://drive.google.com/uc?export=view&amp;id=1L1-YzOVHTOMSWyQWcZ0daqekwbk2-aQG</t>
        </is>
      </c>
      <c r="Y1493" t="inlineStr">
        <is>
          <t>https://drive.google.com/uc?export=view&amp;id=1L1-YzOVHTOMSWyQWcZ0daqekwbk2-aQG</t>
        </is>
      </c>
      <c r="Z1493" s="1" t="inlineStr">
        <is>
          <t>https://drive.google.com/uc?export=view&amp;id=1L1-YzOVHTOMSWyQWcZ0daqekwbk2-aQG</t>
        </is>
      </c>
      <c r="AA1493" s="1" t="inlineStr">
        <is>
          <t>Unverified</t>
        </is>
      </c>
      <c r="AB1493" s="1" t="n"/>
      <c r="AC1493" s="1" t="n"/>
      <c r="AD1493" s="10" t="n"/>
      <c r="AE1493" s="1" t="n"/>
      <c r="AF1493" s="1" t="inlineStr">
        <is>
          <t>No</t>
        </is>
      </c>
      <c r="AG1493" s="1" t="n"/>
      <c r="AH1493" s="1" t="n"/>
    </row>
    <row r="1494" ht="12.5" customHeight="1">
      <c r="A1494" s="6" t="n">
        <v>45181</v>
      </c>
      <c r="B1494" s="1" t="inlineStr">
        <is>
          <t>ORG_1961</t>
        </is>
      </c>
      <c r="C1494" s="1" t="b">
        <v>1</v>
      </c>
      <c r="D1494" s="1" t="inlineStr">
        <is>
          <t>Micole</t>
        </is>
      </c>
      <c r="E1494" s="10" t="inlineStr">
        <is>
          <t>https://www.micole.net/</t>
        </is>
      </c>
      <c r="F1494" t="inlineStr">
        <is>
          <t>micole.net</t>
        </is>
      </c>
      <c r="G1494" s="1" t="inlineStr">
        <is>
          <t>We build the global one stop-shop for families and schools</t>
        </is>
      </c>
      <c r="H1494" s="1" t="inlineStr">
        <is>
          <t>SEK Lab</t>
        </is>
      </c>
      <c r="I1494" s="1" t="n"/>
      <c r="J1494" s="1" t="inlineStr">
        <is>
          <t>Madrid</t>
        </is>
      </c>
      <c r="K1494" t="inlineStr">
        <is>
          <t>Madrid</t>
        </is>
      </c>
      <c r="L1494" t="inlineStr">
        <is>
          <t>Madrid, Spain</t>
        </is>
      </c>
      <c r="M1494" t="n">
        <v>40.416782</v>
      </c>
      <c r="N1494" t="n">
        <v>-3.703507</v>
      </c>
      <c r="O1494" s="1" t="inlineStr">
        <is>
          <t>Spain</t>
        </is>
      </c>
      <c r="P1494" s="1" t="inlineStr">
        <is>
          <t>Spain</t>
        </is>
      </c>
      <c r="Q1494" s="1" t="inlineStr">
        <is>
          <t>0 to 10</t>
        </is>
      </c>
      <c r="R1494" t="inlineStr">
        <is>
          <t>Micro</t>
        </is>
      </c>
      <c r="S1494" s="1" t="inlineStr">
        <is>
          <t>Business to Business, Business to Consumer, Business to Schools</t>
        </is>
      </c>
      <c r="T1494" s="1" t="inlineStr">
        <is>
          <t>Early childhood development (0-5 years), Primary Education, Secondary Education, Higher Education</t>
        </is>
      </c>
      <c r="U1494" s="1" t="inlineStr">
        <is>
          <t>System/Administrative, Student interfacing</t>
        </is>
      </c>
      <c r="V1494" s="10" t="inlineStr">
        <is>
          <t>Micole: school search platform</t>
        </is>
      </c>
      <c r="W1494" s="1" t="inlineStr">
        <is>
          <t>Families use our platform to find the best school for their children from the 30K+ public and private schools in Spain (yet). 
Schools use our platform to showcase themselves and to meet their future students.</t>
        </is>
      </c>
      <c r="X1494" s="10" t="inlineStr">
        <is>
          <t>https://drive.google.com/uc?export=view&amp;id=1S5IOCUyYAgAYRQabwWLvULfLjDIZRfRm</t>
        </is>
      </c>
      <c r="Y1494" t="inlineStr">
        <is>
          <t>https://drive.google.com/uc?export=view&amp;id=1S5IOCUyYAgAYRQabwWLvULfLjDIZRfRm</t>
        </is>
      </c>
      <c r="Z1494" s="1" t="inlineStr">
        <is>
          <t>https://drive.google.com/uc?export=view&amp;id=1S5IOCUyYAgAYRQabwWLvULfLjDIZRfRm</t>
        </is>
      </c>
      <c r="AA1494" s="1" t="inlineStr">
        <is>
          <t>Unverified</t>
        </is>
      </c>
      <c r="AB1494" s="1" t="n"/>
      <c r="AC1494" s="1" t="n"/>
      <c r="AD1494" s="10" t="n"/>
      <c r="AE1494" s="1" t="n"/>
      <c r="AF1494" s="1" t="inlineStr">
        <is>
          <t>Yes</t>
        </is>
      </c>
      <c r="AG1494" s="1" t="inlineStr">
        <is>
          <t>https://www.instagram.com/micoleoficial/</t>
        </is>
      </c>
      <c r="AH1494" s="1" t="inlineStr">
        <is>
          <t>https://www.linkedin.com/company/micole</t>
        </is>
      </c>
      <c r="AI1494" s="1" t="inlineStr">
        <is>
          <t>https://www.linkedin.com/company/micole</t>
        </is>
      </c>
      <c r="AJ1494" s="1" t="n"/>
    </row>
    <row r="1495" ht="12.5" customHeight="1">
      <c r="A1495" s="6" t="n">
        <v>45181</v>
      </c>
      <c r="B1495" s="1" t="inlineStr">
        <is>
          <t>ORG_1964</t>
        </is>
      </c>
      <c r="C1495" s="1" t="b">
        <v>1</v>
      </c>
      <c r="D1495" s="1" t="inlineStr">
        <is>
          <t>MIL Educación</t>
        </is>
      </c>
      <c r="E1495" s="10" t="inlineStr">
        <is>
          <t>www.mil-edu.es</t>
        </is>
      </c>
      <c r="F1495" t="inlineStr">
        <is>
          <t>mil-edu.es</t>
        </is>
      </c>
      <c r="G1495" s="1" t="inlineStr">
        <is>
          <t>Especialists in media literacy. We provide training (courses and workshops) on fake news, advertising and audiovisual to childs and teenagers to strengthen their critical thinking.</t>
        </is>
      </c>
      <c r="H1495" s="1" t="inlineStr">
        <is>
          <t>I'm not part of any EdTech association</t>
        </is>
      </c>
      <c r="I1495" s="1" t="n"/>
      <c r="J1495" s="1" t="inlineStr">
        <is>
          <t>Madrid</t>
        </is>
      </c>
      <c r="K1495" t="inlineStr">
        <is>
          <t>Madrid</t>
        </is>
      </c>
      <c r="L1495" t="inlineStr">
        <is>
          <t>Madrid, Spain</t>
        </is>
      </c>
      <c r="M1495" t="n">
        <v>40.416782</v>
      </c>
      <c r="N1495" t="n">
        <v>-3.703507</v>
      </c>
      <c r="O1495" s="1" t="inlineStr">
        <is>
          <t>Spain</t>
        </is>
      </c>
      <c r="P1495" s="1" t="inlineStr">
        <is>
          <t>Spain</t>
        </is>
      </c>
      <c r="Q1495" s="1" t="inlineStr">
        <is>
          <t>0 to 10</t>
        </is>
      </c>
      <c r="R1495" t="inlineStr">
        <is>
          <t>Micro</t>
        </is>
      </c>
      <c r="S1495" s="1" t="inlineStr">
        <is>
          <t>Business to Business, Business to Consumer, Business to Schools</t>
        </is>
      </c>
      <c r="T1495" s="1" t="inlineStr">
        <is>
          <t>Primary Education, Secondary Education, Corporate Training, Lifelong learning/Adult education</t>
        </is>
      </c>
      <c r="U1495" s="1" t="inlineStr">
        <is>
          <t>Student interfacing, Teacher interfacing, System/Administrative</t>
        </is>
      </c>
      <c r="V1495" s="1" t="n"/>
      <c r="W1495" s="1" t="inlineStr">
        <is>
          <t>https://drive.google.com/uc?export=view&amp;id=1Fi5KfX9sXAA7Q_TP84huK4UyOh3uu11K</t>
        </is>
      </c>
      <c r="X1495" s="1" t="inlineStr">
        <is>
          <t>https://drive.google.com/uc?export=view&amp;id=1Fi5KfX9sXAA7Q_TP84huK4UyOh3uu11K</t>
        </is>
      </c>
      <c r="Y1495" t="inlineStr">
        <is>
          <t>https://drive.google.com/uc?export=view&amp;id=1Fi5KfX9sXAA7Q_TP84huK4UyOh3uu11K</t>
        </is>
      </c>
      <c r="Z1495" s="1" t="inlineStr">
        <is>
          <t>https://drive.google.com/uc?export=view&amp;id=1Fi5KfX9sXAA7Q_TP84huK4UyOh3uu11K</t>
        </is>
      </c>
      <c r="AA1495" s="1" t="inlineStr">
        <is>
          <t>Unverified</t>
        </is>
      </c>
      <c r="AB1495" s="1" t="n"/>
      <c r="AC1495" s="1" t="n"/>
      <c r="AD1495" s="10" t="n"/>
      <c r="AE1495" s="1" t="n"/>
      <c r="AF1495" s="1" t="inlineStr">
        <is>
          <t>No</t>
        </is>
      </c>
      <c r="AG1495" s="1" t="n"/>
      <c r="AH1495" s="1" t="n"/>
      <c r="AI1495" s="1" t="n"/>
      <c r="AJ1495" s="1" t="n"/>
    </row>
    <row r="1496" ht="12.5" customHeight="1">
      <c r="A1496" s="6" t="n">
        <v>45181</v>
      </c>
      <c r="B1496" s="1" t="inlineStr">
        <is>
          <t>ORG_2124</t>
        </is>
      </c>
      <c r="C1496" s="1" t="b">
        <v>1</v>
      </c>
      <c r="D1496" s="1" t="inlineStr">
        <is>
          <t>Professor Film</t>
        </is>
      </c>
      <c r="E1496" s="10" t="inlineStr">
        <is>
          <t>www.professorfilm.eu</t>
        </is>
      </c>
      <c r="F1496" t="inlineStr">
        <is>
          <t>professorfilm.eu</t>
        </is>
      </c>
      <c r="G1496" s="1" t="inlineStr">
        <is>
          <t>Professor film is a production company that specializes in educational video content. 
​
Thanks to our experience in the audiovisual field and our pedagogical knowledge,
we are able to solve the audiovisual, educational and communicative needs of our clients while conforming to the current needs of consumers in the digital era.</t>
        </is>
      </c>
      <c r="H1496" s="1" t="inlineStr">
        <is>
          <t>I'm not part of any EdTech association</t>
        </is>
      </c>
      <c r="I1496" s="1" t="n"/>
      <c r="J1496" s="1" t="inlineStr">
        <is>
          <t>Barcelona</t>
        </is>
      </c>
      <c r="K1496" t="inlineStr">
        <is>
          <t>Barcelona</t>
        </is>
      </c>
      <c r="L1496" t="inlineStr">
        <is>
          <t>Barcelona, Spain</t>
        </is>
      </c>
      <c r="M1496" t="n">
        <v>41.3825802</v>
      </c>
      <c r="N1496" t="n">
        <v>2.177073</v>
      </c>
      <c r="O1496" s="1" t="inlineStr">
        <is>
          <t>Spain</t>
        </is>
      </c>
      <c r="P1496" s="1" t="inlineStr">
        <is>
          <t>Austria, Germany, Netherlands, Spain, United Kingdom</t>
        </is>
      </c>
      <c r="Q1496" s="1" t="inlineStr">
        <is>
          <t>0 to 10</t>
        </is>
      </c>
      <c r="R1496" t="inlineStr">
        <is>
          <t>Micro</t>
        </is>
      </c>
      <c r="S1496" s="1" t="inlineStr">
        <is>
          <t>Business to Business, Business to Government</t>
        </is>
      </c>
      <c r="T1496" s="1" t="inlineStr">
        <is>
          <t>Primary Education, Secondary Education, Higher Education, Corporate Training</t>
        </is>
      </c>
      <c r="U1496" s="1" t="inlineStr">
        <is>
          <t>System/Administrative</t>
        </is>
      </c>
      <c r="V1496" s="1" t="n"/>
      <c r="W1496" s="1" t="inlineStr">
        <is>
          <t>https://drive.google.com/uc?export=view&amp;id=1wFMPtDowA1IpyMcLckUsHMETf_DOCQ8B</t>
        </is>
      </c>
      <c r="X1496" s="1" t="inlineStr">
        <is>
          <t>https://drive.google.com/uc?export=view&amp;id=1wFMPtDowA1IpyMcLckUsHMETf_DOCQ8B</t>
        </is>
      </c>
      <c r="Y1496" t="inlineStr">
        <is>
          <t>https://drive.google.com/uc?export=view&amp;id=1wFMPtDowA1IpyMcLckUsHMETf_DOCQ8B</t>
        </is>
      </c>
      <c r="Z1496" s="1" t="inlineStr">
        <is>
          <t>https://drive.google.com/uc?export=view&amp;id=1wFMPtDowA1IpyMcLckUsHMETf_DOCQ8B</t>
        </is>
      </c>
      <c r="AA1496" s="1" t="inlineStr">
        <is>
          <t>Unverified</t>
        </is>
      </c>
      <c r="AB1496" s="1" t="n"/>
      <c r="AC1496" s="1" t="n"/>
      <c r="AD1496" s="10" t="n"/>
      <c r="AE1496" s="1" t="n"/>
      <c r="AF1496" s="1" t="inlineStr">
        <is>
          <t>No</t>
        </is>
      </c>
      <c r="AG1496" s="1" t="n"/>
      <c r="AH1496" s="1" t="n"/>
    </row>
    <row r="1497" ht="12.5" customHeight="1">
      <c r="A1497" s="6" t="n">
        <v>45181</v>
      </c>
      <c r="B1497" s="1" t="inlineStr">
        <is>
          <t>ORG_2226</t>
        </is>
      </c>
      <c r="C1497" s="1" t="b">
        <v>1</v>
      </c>
      <c r="D1497" s="1" t="inlineStr">
        <is>
          <t>Seidor Edication Business Unit</t>
        </is>
      </c>
      <c r="E1497" s="10" t="inlineStr">
        <is>
          <t>https://www.seidor.com/es-es/industrias/educacion</t>
        </is>
      </c>
      <c r="F1497" t="inlineStr">
        <is>
          <t>seidor.com/es-es/industrias/educacion</t>
        </is>
      </c>
      <c r="G1497" s="1" t="inlineStr">
        <is>
          <t>Seidor is a technology consultancy that offers a comprehensive portfolio of innovation solutions and services, customer experience, ERP, analytics, employee experience, cloud, workplace and cybersecurity. With a turnover of 468 million euros in the 2020 financial year and a workforce made up of more than 6,000 highly qualified professionals, Seidor has a direct presence in 39 countries in Europe, Latin America, the United States, the Middle East, Africa and Asia, providing services to more than 8,000 customers. The consultancy is a partner of the main technological leaders; among which SAP, Microsoft, IBM and Adobe stand out.
Since 2015, Seidor strategically decided to build a specific value proposition for the education sector and, furthermore, in a global way and not only in Spain. Today, the practice of Education is present in Spain, Italy, Peru, Ecuador, Colombia and Chile, with a global proposal that ranges from the implementation of academic and teaching management solutions, to solutions that improve teaching and learning processes. .</t>
        </is>
      </c>
      <c r="H1497" s="1" t="inlineStr">
        <is>
          <t>EduTech Cluster Spain</t>
        </is>
      </c>
      <c r="I1497" s="1" t="n"/>
      <c r="J1497" s="1" t="inlineStr">
        <is>
          <t>Barcelona</t>
        </is>
      </c>
      <c r="K1497" t="inlineStr">
        <is>
          <t>Barcelona</t>
        </is>
      </c>
      <c r="L1497" t="inlineStr">
        <is>
          <t>Barcelona, Spain</t>
        </is>
      </c>
      <c r="M1497" t="n">
        <v>41.3825802</v>
      </c>
      <c r="N1497" t="n">
        <v>2.177073</v>
      </c>
      <c r="O1497" s="1" t="inlineStr">
        <is>
          <t>Spain</t>
        </is>
      </c>
      <c r="P1497" s="1" t="inlineStr">
        <is>
          <t>Andorra, Italy, Portugal, Spain</t>
        </is>
      </c>
      <c r="Q1497" s="1" t="inlineStr">
        <is>
          <t>500+</t>
        </is>
      </c>
      <c r="R1497" t="inlineStr">
        <is>
          <t>Large</t>
        </is>
      </c>
      <c r="S1497" s="1" t="inlineStr">
        <is>
          <t>Business to Business, Business to Government, Business to Schools</t>
        </is>
      </c>
      <c r="T1497" s="1" t="inlineStr">
        <is>
          <t>Higher Education, Corporate Training</t>
        </is>
      </c>
      <c r="U1497" s="1" t="inlineStr">
        <is>
          <t>Teacher interfacing, Student interfacing, System/Administrative</t>
        </is>
      </c>
      <c r="V1497" s="1" t="inlineStr">
        <is>
          <t>LMS experts</t>
        </is>
      </c>
      <c r="W1497" s="1" t="inlineStr">
        <is>
          <t>We are Blackboard Partner, OpenLMS partner and moodle experts. We also as SAP Partner, are experts on implementing SAP Lirmos as LMS</t>
        </is>
      </c>
      <c r="X1497" s="10" t="inlineStr">
        <is>
          <t>Student Lyfe Cycle Management</t>
        </is>
      </c>
      <c r="Y1497" t="inlineStr">
        <is>
          <t>As a big background and knowledge about student lyfe cycle Management processes, we are capable of building systems from Scrath as well as Implementing different kind of Solutions for different kind of customers. As Blackboard Partners, we have the possibilty to implement Anthology solutions as one of the market leaders and also available to implement The Classlie Education solution as one of the edtech with most future.</t>
        </is>
      </c>
      <c r="Z1497" s="1" t="inlineStr">
        <is>
          <t>https://drive.google.com/uc?export=view&amp;id=1VzIVXhrczyEw2JMDGU-8KmMuWHDD9NGx</t>
        </is>
      </c>
      <c r="AA1497" s="1" t="inlineStr">
        <is>
          <t>Unverified</t>
        </is>
      </c>
      <c r="AB1497" s="1" t="n"/>
      <c r="AC1497" s="1" t="n"/>
      <c r="AD1497" s="10" t="n"/>
      <c r="AE1497" s="1" t="n"/>
      <c r="AF1497" s="1" t="inlineStr">
        <is>
          <t>Yes</t>
        </is>
      </c>
      <c r="AG1497" s="1" t="inlineStr">
        <is>
          <t>https://www.linkedin.com/company/seidor/mycompany/verification/</t>
        </is>
      </c>
      <c r="AH1497" s="1" t="inlineStr">
        <is>
          <t>@Seidor</t>
        </is>
      </c>
      <c r="AI1497" t="inlineStr">
        <is>
          <t>https://www.linkedin.com/company/seidor/mycompany/verification/</t>
        </is>
      </c>
    </row>
    <row r="1498" ht="12.5" customHeight="1">
      <c r="A1498" s="6" t="n">
        <v>45181</v>
      </c>
      <c r="B1498" s="1" t="inlineStr">
        <is>
          <t>ORG_2331</t>
        </is>
      </c>
      <c r="C1498" s="1" t="b">
        <v>1</v>
      </c>
      <c r="D1498" s="1" t="inlineStr">
        <is>
          <t>Student Success</t>
        </is>
      </c>
      <c r="E1498" s="1" t="inlineStr">
        <is>
          <t>studentsuccess.app</t>
        </is>
      </c>
      <c r="F1498" t="inlineStr">
        <is>
          <t>studentsuccess.app</t>
        </is>
      </c>
      <c r="G1498" s="1" t="inlineStr">
        <is>
          <t>Business Intelligence and prediction to help personalise education</t>
        </is>
      </c>
      <c r="H1498" s="1" t="inlineStr">
        <is>
          <t>I'm not part of any EdTech association</t>
        </is>
      </c>
      <c r="I1498" s="1" t="n"/>
      <c r="J1498" s="1" t="inlineStr">
        <is>
          <t>Sevilla</t>
        </is>
      </c>
      <c r="K1498" t="inlineStr">
        <is>
          <t>Sevilla</t>
        </is>
      </c>
      <c r="L1498" t="inlineStr">
        <is>
          <t>Sevilla, Spain</t>
        </is>
      </c>
      <c r="M1498" t="n">
        <v>37.3886303</v>
      </c>
      <c r="N1498" t="n">
        <v>-5.9953403</v>
      </c>
      <c r="O1498" s="1" t="inlineStr">
        <is>
          <t>Spain</t>
        </is>
      </c>
      <c r="P1498" s="1" t="inlineStr">
        <is>
          <t>Bulgaria, Finland, Ireland, Poland, Spain, Sweden, United Kingdom</t>
        </is>
      </c>
      <c r="Q1498" s="1" t="inlineStr">
        <is>
          <t>0 to 10</t>
        </is>
      </c>
      <c r="R1498" t="inlineStr">
        <is>
          <t>Micro</t>
        </is>
      </c>
      <c r="S1498" s="1" t="inlineStr">
        <is>
          <t>Business to Business, Business to Government, Business to Schools</t>
        </is>
      </c>
      <c r="T1498" s="1" t="inlineStr">
        <is>
          <t>Primary Education, Secondary Education, Higher Education, Corporate Training</t>
        </is>
      </c>
      <c r="U1498" s="1" t="inlineStr">
        <is>
          <t>System/Administrative, Student interfacing, Teacher interfacing</t>
        </is>
      </c>
      <c r="V1498" s="1" t="inlineStr">
        <is>
          <t>Student Success</t>
        </is>
      </c>
      <c r="W1498" s="1" t="inlineStr">
        <is>
          <t>Student Success is a SaaS providing Business Intelligence and prediction using behavioural data generated in the digital platforms. We provide managers, teachers, parents and students with the necessary evidence to make informed decisions.</t>
        </is>
      </c>
      <c r="X1498" s="10" t="inlineStr">
        <is>
          <t>https://drive.google.com/uc?export=view&amp;id=1kSqDPn_fn-Q9DU2lGr6A4wu0WCCYGtZc</t>
        </is>
      </c>
      <c r="Y1498" t="inlineStr">
        <is>
          <t>https://drive.google.com/uc?export=view&amp;id=1kSqDPn_fn-Q9DU2lGr6A4wu0WCCYGtZc</t>
        </is>
      </c>
      <c r="Z1498" s="1" t="inlineStr">
        <is>
          <t>https://drive.google.com/uc?export=view&amp;id=1kSqDPn_fn-Q9DU2lGr6A4wu0WCCYGtZc</t>
        </is>
      </c>
      <c r="AA1498" s="1" t="inlineStr">
        <is>
          <t>Unverified</t>
        </is>
      </c>
      <c r="AB1498" s="1" t="n"/>
      <c r="AC1498" s="1" t="n"/>
      <c r="AD1498" s="10" t="n"/>
      <c r="AE1498" s="1" t="n"/>
      <c r="AF1498" s="1" t="inlineStr">
        <is>
          <t>Yes</t>
        </is>
      </c>
      <c r="AG1498" s="1" t="inlineStr">
        <is>
          <t>https://www.linkedin.com/company/studentsuccessapp/</t>
        </is>
      </c>
      <c r="AH1498" s="1" t="inlineStr">
        <is>
          <t>@SSuccess_Data</t>
        </is>
      </c>
      <c r="AI1498" s="1" t="inlineStr">
        <is>
          <t>https://www.linkedin.com/company/studentsuccessapp/</t>
        </is>
      </c>
      <c r="AJ1498" s="1" t="n"/>
    </row>
    <row r="1499" ht="12.5" customHeight="1">
      <c r="A1499" s="6" t="n">
        <v>45181</v>
      </c>
      <c r="B1499" s="1" t="inlineStr">
        <is>
          <t>ORG_2362</t>
        </is>
      </c>
      <c r="C1499" s="1" t="b">
        <v>1</v>
      </c>
      <c r="D1499" s="1" t="inlineStr">
        <is>
          <t>Systematic</t>
        </is>
      </c>
      <c r="E1499" s="10" t="inlineStr">
        <is>
          <t>systematic.com/sverige</t>
        </is>
      </c>
      <c r="F1499" t="inlineStr">
        <is>
          <t>systematic.com/sverige</t>
        </is>
      </c>
      <c r="G1499" s="1" t="inlineStr">
        <is>
          <t>Systematic is Denmark's largest privately owned software company. Our solutions are used in areas such as the defence industry, the police, the emergency services, public administration as well as the health, utility and educational sectors.
Technological development never stands still - nor do we at Systematic. We provide advanced solutions in six core business areas: Library &amp; Learning, Digitalisation, Healthcare, Defence, Intelligence &amp; National Security and Renewables &amp; Utilities.
Even though our customers are widely represented within many different areas, what we do is actually very specific. We see it as our task to make the complex simple, to further develop the solutions that our customers already know and trust, and to do everything just a little bit better – while constantly challenging existing workflows and technologies.</t>
        </is>
      </c>
      <c r="H1499" s="1" t="inlineStr">
        <is>
          <t>I'm not part of any EdTech association</t>
        </is>
      </c>
      <c r="I1499" s="1" t="n"/>
      <c r="J1499" s="1" t="inlineStr">
        <is>
          <t>Aarhus</t>
        </is>
      </c>
      <c r="K1499" t="inlineStr">
        <is>
          <t>Aarhus</t>
        </is>
      </c>
      <c r="L1499" t="inlineStr">
        <is>
          <t>Aarhus, Denmark</t>
        </is>
      </c>
      <c r="M1499" t="n">
        <v>56.1496278</v>
      </c>
      <c r="N1499" t="n">
        <v>10.2134046</v>
      </c>
      <c r="O1499" s="1" t="inlineStr">
        <is>
          <t>Denmark</t>
        </is>
      </c>
      <c r="P1499" s="1" t="inlineStr">
        <is>
          <t>Denmark, Estonia, Finland, Germany, Sweden, United Kingdom</t>
        </is>
      </c>
      <c r="Q1499" s="1" t="inlineStr">
        <is>
          <t>500+</t>
        </is>
      </c>
      <c r="R1499" t="inlineStr">
        <is>
          <t>Large</t>
        </is>
      </c>
      <c r="S1499" s="1" t="inlineStr">
        <is>
          <t>Business to Business, Business to Schools</t>
        </is>
      </c>
      <c r="T1499" s="1" t="inlineStr">
        <is>
          <t>Early childhood development (0-5 years), Primary Education, Secondary Education, Lifelong learning/Adult education</t>
        </is>
      </c>
      <c r="U1499" s="1" t="inlineStr">
        <is>
          <t>Student interfacing, Teacher interfacing</t>
        </is>
      </c>
      <c r="V1499" s="1" t="inlineStr">
        <is>
          <t>Cicero</t>
        </is>
      </c>
      <c r="W1499" s="10" t="inlineStr">
        <is>
          <t>Cicero is a user-friendly school library system, adapted for preschool age to high school. Cicero makes the school library accessible and easy for students to both search, borrow and return all kinds of media. The librarien can easy add both physical and digital books as well as other media. Cicero helps students to easy find the right book and find the pleasure in reading. 
Cicero is a well-proven, reliable and user-friendly system, which is continuously developed to meet the needs of our schools.</t>
        </is>
      </c>
      <c r="X1499" s="10" t="inlineStr">
        <is>
          <t>https://drive.google.com/uc?export=view&amp;id=1Z8c4wyb7v8522EdFeTIhWmugJNN5UDUR</t>
        </is>
      </c>
      <c r="Y1499" t="inlineStr">
        <is>
          <t>https://drive.google.com/uc?export=view&amp;id=1Z8c4wyb7v8522EdFeTIhWmugJNN5UDUR</t>
        </is>
      </c>
      <c r="Z1499" s="1" t="inlineStr">
        <is>
          <t>https://drive.google.com/uc?export=view&amp;id=1Z8c4wyb7v8522EdFeTIhWmugJNN5UDUR</t>
        </is>
      </c>
      <c r="AA1499" s="1" t="inlineStr">
        <is>
          <t>Unverified</t>
        </is>
      </c>
      <c r="AB1499" s="1" t="n"/>
      <c r="AC1499" s="1" t="n"/>
      <c r="AD1499" s="10" t="n"/>
      <c r="AE1499" s="1" t="n"/>
      <c r="AF1499" s="1" t="inlineStr">
        <is>
          <t>Yes</t>
        </is>
      </c>
      <c r="AG1499" s="1" t="inlineStr">
        <is>
          <t>https://twitter.com/SystematicGroup</t>
        </is>
      </c>
      <c r="AH1499" s="1" t="inlineStr">
        <is>
          <t>https://twitter.com/SystematicGroup</t>
        </is>
      </c>
      <c r="AI1499" t="inlineStr">
        <is>
          <t>https://www.linkedin.com/company/systematic/</t>
        </is>
      </c>
    </row>
    <row r="1500" ht="12.5" customHeight="1">
      <c r="A1500" s="6" t="n">
        <v>45181</v>
      </c>
      <c r="B1500" s="1" t="inlineStr">
        <is>
          <t>ORG_2368</t>
        </is>
      </c>
      <c r="C1500" s="1" t="b">
        <v>1</v>
      </c>
      <c r="D1500" s="1" t="inlineStr">
        <is>
          <t>Talky</t>
        </is>
      </c>
      <c r="E1500" s="10" t="inlineStr">
        <is>
          <t>https://www.talky-app.com/</t>
        </is>
      </c>
      <c r="F1500" t="inlineStr">
        <is>
          <t>talky-app.com</t>
        </is>
      </c>
      <c r="G1500" s="1" t="inlineStr">
        <is>
          <t>Talky is an innovative, AI-based language learning course designed specifically for children. With Talky, learners can not only acquire new language skills but also prepare for official exams. This game-based application immerses learners in a fictional world where they can progress only by using the newly acquired language knowledge. The use of AI ensures personalized learning experiences, and voice recognition technology is integrated within the game to enhance the language acquisition process. The gamification of the learning experience, coupled with a visually appealing layout, fun games, and transparent progress tracking, ensures high levels of motivation among learners. Talky's community features and meaningful content further enhance the learning experience. This adaptable game can be easily customized to cater to different languages, making it a versatile language learning solution for children. With Talky, children can learn a new language while having fun and interacting with the game, making language acquisition an enjoyable process.</t>
        </is>
      </c>
      <c r="H1500" s="1" t="inlineStr">
        <is>
          <t>I'm not part of any EdTech association</t>
        </is>
      </c>
      <c r="I1500" s="1" t="n"/>
      <c r="J1500" s="1" t="inlineStr">
        <is>
          <t>Berlin</t>
        </is>
      </c>
      <c r="K1500" t="inlineStr">
        <is>
          <t>Berlin</t>
        </is>
      </c>
      <c r="L1500" t="inlineStr">
        <is>
          <t>Berlin, Germany</t>
        </is>
      </c>
      <c r="M1500" t="n">
        <v>52.5173885</v>
      </c>
      <c r="N1500" t="n">
        <v>13.3951309</v>
      </c>
      <c r="O1500" s="1" t="inlineStr">
        <is>
          <t>Germany</t>
        </is>
      </c>
      <c r="P1500" s="1" t="inlineStr">
        <is>
          <t>Germany, Spain</t>
        </is>
      </c>
      <c r="Q1500" s="1" t="inlineStr">
        <is>
          <t>0 to 10</t>
        </is>
      </c>
      <c r="R1500" t="inlineStr">
        <is>
          <t>Micro</t>
        </is>
      </c>
      <c r="S1500" s="1" t="inlineStr">
        <is>
          <t>Business to Consumer</t>
        </is>
      </c>
      <c r="T1500" s="1" t="inlineStr">
        <is>
          <t>Primary Education, Secondary Education</t>
        </is>
      </c>
      <c r="U1500" s="1" t="inlineStr">
        <is>
          <t>System/Administrative, Student interfacing, Teacher interfacing</t>
        </is>
      </c>
      <c r="V1500" s="1" t="n"/>
      <c r="W1500" s="1" t="inlineStr">
        <is>
          <t>https://drive.google.com/uc?export=view&amp;id=1bbLWaQlGZO7_PH9s4PaloX9UKWyt6R5d</t>
        </is>
      </c>
      <c r="X1500" s="1" t="inlineStr">
        <is>
          <t>https://drive.google.com/uc?export=view&amp;id=1bbLWaQlGZO7_PH9s4PaloX9UKWyt6R5d</t>
        </is>
      </c>
      <c r="Y1500" t="inlineStr">
        <is>
          <t>https://drive.google.com/uc?export=view&amp;id=1bbLWaQlGZO7_PH9s4PaloX9UKWyt6R5d</t>
        </is>
      </c>
      <c r="Z1500" s="1" t="inlineStr">
        <is>
          <t>https://drive.google.com/uc?export=view&amp;id=1bbLWaQlGZO7_PH9s4PaloX9UKWyt6R5d</t>
        </is>
      </c>
      <c r="AA1500" s="1" t="inlineStr">
        <is>
          <t>Unverified</t>
        </is>
      </c>
      <c r="AB1500" s="1" t="n"/>
      <c r="AC1500" s="1" t="n"/>
      <c r="AD1500" s="10" t="n"/>
      <c r="AE1500" s="1" t="n"/>
      <c r="AF1500" s="1" t="inlineStr">
        <is>
          <t>No</t>
        </is>
      </c>
      <c r="AG1500" s="1" t="n"/>
      <c r="AH1500" s="1" t="n"/>
    </row>
    <row r="1501" ht="12.5" customHeight="1">
      <c r="A1501" s="6" t="n">
        <v>45181</v>
      </c>
      <c r="B1501" s="1" t="inlineStr">
        <is>
          <t>ORG_2407</t>
        </is>
      </c>
      <c r="C1501" s="1" t="b">
        <v>1</v>
      </c>
      <c r="D1501" s="1" t="inlineStr">
        <is>
          <t>ThePower Business School</t>
        </is>
      </c>
      <c r="E1501" s="10" t="inlineStr">
        <is>
          <t>thepowermba.com</t>
        </is>
      </c>
      <c r="F1501" t="inlineStr">
        <is>
          <t>thepowermba.com</t>
        </is>
      </c>
      <c r="G1501" s="1" t="inlineStr">
        <is>
          <t>ThePower Business School is an online digital business school with a disruptive micro-learning methodology (15-min classes), taught by world-renowned entrepreneurs and experts, for a fraction of the cost of a traditional business school.
Many individuals and businesses from across the world, of all sizes and sectors, are already taking advantage of our programs to expand their transversal business and digital marketing skills.</t>
        </is>
      </c>
      <c r="H1501" s="1" t="inlineStr">
        <is>
          <t>I'm not part of any EdTech association</t>
        </is>
      </c>
      <c r="I1501" s="1" t="n"/>
      <c r="J1501" s="1" t="inlineStr">
        <is>
          <t>Madrid</t>
        </is>
      </c>
      <c r="K1501" t="inlineStr">
        <is>
          <t>Madrid</t>
        </is>
      </c>
      <c r="L1501" t="inlineStr">
        <is>
          <t>Madrid, Spain</t>
        </is>
      </c>
      <c r="M1501" t="n">
        <v>40.416782</v>
      </c>
      <c r="N1501" t="n">
        <v>-3.703507</v>
      </c>
      <c r="O1501" s="1" t="inlineStr">
        <is>
          <t>Spain</t>
        </is>
      </c>
      <c r="P1501" s="1" t="inlineStr">
        <is>
          <t>Belgium, Denmark, Finland, France, Germany, Ireland, Italy, Netherlands, Norway, Poland, Portugal, Romania, Spain, Sweden, Switzerland, United Kingdom</t>
        </is>
      </c>
      <c r="Q1501" s="1" t="inlineStr">
        <is>
          <t>100+</t>
        </is>
      </c>
      <c r="R1501" t="inlineStr">
        <is>
          <t>Medium or Large (unspecified)</t>
        </is>
      </c>
      <c r="S1501" s="1" t="inlineStr">
        <is>
          <t>Business to Consumer</t>
        </is>
      </c>
      <c r="T1501" s="1" t="inlineStr">
        <is>
          <t>Higher Education, Corporate Training, Lifelong learning/Adult education</t>
        </is>
      </c>
      <c r="U1501" s="1" t="inlineStr">
        <is>
          <t>Student interfacing, System/Administrative</t>
        </is>
      </c>
      <c r="V1501" s="1" t="n"/>
      <c r="W1501" s="1" t="n"/>
      <c r="X1501" s="1" t="n"/>
      <c r="Z1501" s="1" t="n"/>
      <c r="AA1501" s="1" t="inlineStr">
        <is>
          <t>Unverified</t>
        </is>
      </c>
      <c r="AB1501" s="1" t="n"/>
      <c r="AC1501" s="1" t="n"/>
      <c r="AD1501" s="1" t="n"/>
      <c r="AE1501" s="1" t="n"/>
      <c r="AF1501" s="1" t="inlineStr">
        <is>
          <t>No</t>
        </is>
      </c>
      <c r="AG1501" s="1" t="n"/>
      <c r="AH1501" s="1" t="n"/>
      <c r="AI1501" s="1" t="n"/>
      <c r="AJ1501" s="1" t="n"/>
    </row>
    <row r="1502" ht="12.5" customHeight="1">
      <c r="A1502" s="6" t="n">
        <v>45181</v>
      </c>
      <c r="B1502" s="1" t="inlineStr">
        <is>
          <t>ORG_2411</t>
        </is>
      </c>
      <c r="C1502" s="1" t="b">
        <v>1</v>
      </c>
      <c r="D1502" s="1" t="inlineStr">
        <is>
          <t>Tietoevry</t>
        </is>
      </c>
      <c r="E1502" s="10" t="inlineStr">
        <is>
          <t>tietoevry.com</t>
        </is>
      </c>
      <c r="F1502" t="inlineStr">
        <is>
          <t>tietoevry.com</t>
        </is>
      </c>
      <c r="G1502" s="1" t="inlineStr">
        <is>
          <t>Seamless digital tools save time and help schools focus on the most important part – bringing first-class learning to the young. Tietoevry develops and supplies schools with these innovative and well-designed tools and services. Our solutions are reliable and secure, simplifying your everyday life for schools.</t>
        </is>
      </c>
      <c r="H1502" s="1" t="inlineStr">
        <is>
          <t>Swedish EdTech Industry</t>
        </is>
      </c>
      <c r="I1502" s="1" t="n"/>
      <c r="J1502" s="1" t="inlineStr">
        <is>
          <t>Espoo</t>
        </is>
      </c>
      <c r="K1502" t="inlineStr">
        <is>
          <t>Espoo</t>
        </is>
      </c>
      <c r="L1502" t="inlineStr">
        <is>
          <t>Espoo, Finland</t>
        </is>
      </c>
      <c r="M1502" t="n">
        <v>60.2049651</v>
      </c>
      <c r="N1502" t="n">
        <v>24.6559808</v>
      </c>
      <c r="O1502" s="1" t="inlineStr">
        <is>
          <t>Finland</t>
        </is>
      </c>
      <c r="P1502" s="1" t="inlineStr">
        <is>
          <t>Finland, Norway, Sweden</t>
        </is>
      </c>
      <c r="Q1502" s="1" t="inlineStr">
        <is>
          <t>500+</t>
        </is>
      </c>
      <c r="R1502" t="inlineStr">
        <is>
          <t>Large</t>
        </is>
      </c>
      <c r="S1502" s="1" t="inlineStr">
        <is>
          <t>Business to Consumer</t>
        </is>
      </c>
      <c r="T1502" s="1" t="inlineStr">
        <is>
          <t>Primary Education, Secondary Education</t>
        </is>
      </c>
      <c r="U1502" s="1" t="inlineStr">
        <is>
          <t>Teacher interfacing, System/Administrative</t>
        </is>
      </c>
      <c r="V1502" s="1" t="inlineStr">
        <is>
          <t>Edlevo</t>
        </is>
      </c>
      <c r="W1502" s="1" t="inlineStr">
        <is>
          <t>Our school digitalisation platform offers municipalities everything from the base setup of a child and student register to various functionalities. We want to support teachers and school administrations by enabling intuitive and easy handling of absence and presence, follow-up on regarding assessments and grades – all compliant with e-services and apps for guardians and students. On top of that we offer a broad range of API:s, supporting various kinds of integrations and analytics solutions that help school management get an instant view of the everyday status. We want you to be able to simplify your everyday life.</t>
        </is>
      </c>
      <c r="X1502" s="10" t="inlineStr">
        <is>
          <t>https://drive.google.com/uc?export=view&amp;id=1-EbNcCFHwSzb_NpxNpwCAhRZTcDNyzxm</t>
        </is>
      </c>
      <c r="Y1502" t="inlineStr">
        <is>
          <t>https://drive.google.com/uc?export=view&amp;id=1-EbNcCFHwSzb_NpxNpwCAhRZTcDNyzxm</t>
        </is>
      </c>
      <c r="Z1502" s="1" t="inlineStr">
        <is>
          <t>https://drive.google.com/uc?export=view&amp;id=1-EbNcCFHwSzb_NpxNpwCAhRZTcDNyzxm</t>
        </is>
      </c>
      <c r="AA1502" s="1" t="inlineStr">
        <is>
          <t>Unverified</t>
        </is>
      </c>
      <c r="AB1502" s="1" t="n"/>
      <c r="AC1502" s="1" t="n"/>
      <c r="AD1502" s="10" t="n"/>
      <c r="AE1502" s="1" t="n"/>
      <c r="AF1502" s="1" t="inlineStr">
        <is>
          <t>Yes</t>
        </is>
      </c>
      <c r="AG1502" s="1" t="inlineStr">
        <is>
          <t>https://www.linkedin.com/company/tietoevry</t>
        </is>
      </c>
      <c r="AH1502" s="1" t="inlineStr">
        <is>
          <t>https://www.linkedin.com/company/tietoevry</t>
        </is>
      </c>
      <c r="AI1502" t="inlineStr">
        <is>
          <t>https://www.linkedin.com/company/tietoevry</t>
        </is>
      </c>
    </row>
    <row r="1503" ht="12.5" customHeight="1">
      <c r="A1503" s="6" t="n">
        <v>45181</v>
      </c>
      <c r="B1503" s="1" t="inlineStr">
        <is>
          <t>ORG_2426</t>
        </is>
      </c>
      <c r="C1503" s="1" t="b">
        <v>1</v>
      </c>
      <c r="D1503" s="1" t="inlineStr">
        <is>
          <t>Tracker Apps</t>
        </is>
      </c>
      <c r="E1503" s="10" t="inlineStr">
        <is>
          <t>www.tracker-apps.com</t>
        </is>
      </c>
      <c r="F1503" t="inlineStr">
        <is>
          <t>tracker-apps.com</t>
        </is>
      </c>
      <c r="G1503" s="1" t="inlineStr">
        <is>
          <t>Tracker Solutions creates apps to help you track their learning journey from secondary school through to your first job. Our apps apply health &amp; fitness tracking principles to tracking learning. We use gamification and goal setting to motivate and celebrate everyone's learning achievements in skills, qualifications and personal attributes.</t>
        </is>
      </c>
      <c r="H1503" s="1" t="inlineStr">
        <is>
          <t>Swiss EdTech Collider</t>
        </is>
      </c>
      <c r="I1503" s="1" t="n"/>
      <c r="J1503" s="1" t="inlineStr">
        <is>
          <t>Bottmingen</t>
        </is>
      </c>
      <c r="K1503" t="inlineStr">
        <is>
          <t>Bottmingen</t>
        </is>
      </c>
      <c r="L1503" t="inlineStr">
        <is>
          <t>Bottmingen, Switzerland</t>
        </is>
      </c>
      <c r="M1503" t="n">
        <v>47.5234501</v>
      </c>
      <c r="N1503" t="n">
        <v>7.5748727</v>
      </c>
      <c r="O1503" s="1" t="inlineStr">
        <is>
          <t>Switzerland</t>
        </is>
      </c>
      <c r="P1503" s="1" t="inlineStr">
        <is>
          <t>Denmark, Finland, Montenegro, Netherlands, Switzerland, United Kingdom</t>
        </is>
      </c>
      <c r="Q1503" s="1" t="inlineStr">
        <is>
          <t>0 to 10</t>
        </is>
      </c>
      <c r="R1503" t="inlineStr">
        <is>
          <t>Micro</t>
        </is>
      </c>
      <c r="S1503" s="1" t="inlineStr">
        <is>
          <t>Business to Consumer, Business to Schools</t>
        </is>
      </c>
      <c r="T1503" s="1" t="inlineStr">
        <is>
          <t>Secondary Education, Higher Education, Lifelong learning/Adult education</t>
        </is>
      </c>
      <c r="U1503" s="1" t="inlineStr">
        <is>
          <t>Student interfacing, Teacher interfacing</t>
        </is>
      </c>
      <c r="V1503" s="1" t="inlineStr">
        <is>
          <t>CredsPo</t>
        </is>
      </c>
      <c r="W1503" s="1" t="inlineStr">
        <is>
          <t>CredsPo is a digital portfolio app that allows you to record all your learning experiences in one place.</t>
        </is>
      </c>
      <c r="X1503" s="10" t="inlineStr">
        <is>
          <t>Service Tracker</t>
        </is>
      </c>
      <c r="Y1503" t="inlineStr">
        <is>
          <t>Service Tracker guides students through the 5 stages of service learning, allowing them to plan, record and reflect on their experiences.</t>
        </is>
      </c>
      <c r="Z1503" s="1" t="inlineStr">
        <is>
          <t>https://drive.google.com/uc?export=view&amp;id=1bIENNpUnO9giupb46Y4QZUNtTBKd3KHS</t>
        </is>
      </c>
      <c r="AA1503" s="1" t="inlineStr">
        <is>
          <t>Unverified</t>
        </is>
      </c>
      <c r="AB1503" s="1" t="n"/>
      <c r="AC1503" s="1" t="n"/>
      <c r="AD1503" s="10" t="n"/>
      <c r="AE1503" s="1" t="n"/>
      <c r="AF1503" s="1" t="inlineStr">
        <is>
          <t>Yes</t>
        </is>
      </c>
      <c r="AG1503" s="1" t="inlineStr">
        <is>
          <t>@trackerapps</t>
        </is>
      </c>
      <c r="AH1503" s="1" t="inlineStr">
        <is>
          <t>https://www.linkedin.com/company/trackerapps/</t>
        </is>
      </c>
      <c r="AI1503" s="1" t="inlineStr">
        <is>
          <t>https://www.linkedin.com/company/trackerapps/</t>
        </is>
      </c>
      <c r="AJ1503" s="1" t="n"/>
    </row>
    <row r="1504" ht="12.5" customHeight="1">
      <c r="A1504" s="6" t="n">
        <v>45181</v>
      </c>
      <c r="B1504" s="1" t="inlineStr">
        <is>
          <t>ORG_2453</t>
        </is>
      </c>
      <c r="C1504" s="1" t="b">
        <v>1</v>
      </c>
      <c r="D1504" s="1" t="inlineStr">
        <is>
          <t>Ucademy</t>
        </is>
      </c>
      <c r="E1504" s="10" t="inlineStr">
        <is>
          <t>https://ucademy.es</t>
        </is>
      </c>
      <c r="F1504" t="inlineStr">
        <is>
          <t>ucademy.es</t>
        </is>
      </c>
      <c r="G1504" s="1" t="inlineStr">
        <is>
          <t>Ucademy is the online academy that revolutionizes the way students prepare for any official exam, maximizing the chances of passing and creating a 100% personalized study environment for each student.</t>
        </is>
      </c>
      <c r="H1504" s="1" t="inlineStr">
        <is>
          <t>I'm not part of any EdTech association</t>
        </is>
      </c>
      <c r="I1504" s="1" t="n"/>
      <c r="J1504" s="1" t="inlineStr">
        <is>
          <t>Madrid</t>
        </is>
      </c>
      <c r="K1504" t="inlineStr">
        <is>
          <t>Madrid</t>
        </is>
      </c>
      <c r="L1504" t="inlineStr">
        <is>
          <t>Madrid, Spain</t>
        </is>
      </c>
      <c r="M1504" t="n">
        <v>40.416782</v>
      </c>
      <c r="N1504" t="n">
        <v>-3.703507</v>
      </c>
      <c r="O1504" s="1" t="inlineStr">
        <is>
          <t>Spain</t>
        </is>
      </c>
      <c r="P1504" s="1" t="inlineStr">
        <is>
          <t>Spain</t>
        </is>
      </c>
      <c r="Q1504" s="1" t="inlineStr">
        <is>
          <t>0 to 10</t>
        </is>
      </c>
      <c r="R1504" t="inlineStr">
        <is>
          <t>Micro</t>
        </is>
      </c>
      <c r="S1504" s="1" t="inlineStr">
        <is>
          <t>Business to Government, Business to Schools</t>
        </is>
      </c>
      <c r="T1504" s="1" t="inlineStr">
        <is>
          <t>Higher Education</t>
        </is>
      </c>
      <c r="U1504" s="1" t="inlineStr">
        <is>
          <t>System/Administrative, Student interfacing</t>
        </is>
      </c>
      <c r="V1504" s="1" t="n"/>
      <c r="W1504" s="1" t="inlineStr">
        <is>
          <t>https://drive.google.com/uc?export=view&amp;id=1lnuKVdhfvGKvlDX1qOFWcWBuscPDnpt3</t>
        </is>
      </c>
      <c r="X1504" s="1" t="inlineStr">
        <is>
          <t>https://drive.google.com/uc?export=view&amp;id=1lnuKVdhfvGKvlDX1qOFWcWBuscPDnpt3</t>
        </is>
      </c>
      <c r="Y1504" t="inlineStr">
        <is>
          <t>https://drive.google.com/uc?export=view&amp;id=1lnuKVdhfvGKvlDX1qOFWcWBuscPDnpt3</t>
        </is>
      </c>
      <c r="Z1504" s="1" t="inlineStr">
        <is>
          <t>https://drive.google.com/uc?export=view&amp;id=1lnuKVdhfvGKvlDX1qOFWcWBuscPDnpt3</t>
        </is>
      </c>
      <c r="AA1504" s="1" t="inlineStr">
        <is>
          <t>Unverified</t>
        </is>
      </c>
      <c r="AB1504" s="1" t="n"/>
      <c r="AC1504" s="1" t="n"/>
      <c r="AD1504" s="10" t="n"/>
      <c r="AE1504" s="1" t="n"/>
      <c r="AF1504" s="1" t="inlineStr">
        <is>
          <t>No</t>
        </is>
      </c>
      <c r="AG1504" s="1" t="n"/>
      <c r="AH1504" s="1" t="n"/>
    </row>
    <row r="1505" ht="12.5" customHeight="1">
      <c r="A1505" s="6" t="n">
        <v>45181</v>
      </c>
      <c r="B1505" s="1" t="inlineStr">
        <is>
          <t>ORG_2539</t>
        </is>
      </c>
      <c r="C1505" s="1" t="b">
        <v>1</v>
      </c>
      <c r="D1505" s="1" t="inlineStr">
        <is>
          <t>Wisepath Srl</t>
        </is>
      </c>
      <c r="E1505" s="10" t="inlineStr">
        <is>
          <t>https://www.wisepath.ai/</t>
        </is>
      </c>
      <c r="F1505" t="inlineStr">
        <is>
          <t>wisepath.ai</t>
        </is>
      </c>
      <c r="G1505" s="1" t="inlineStr">
        <is>
          <t>Wisepath is a Human Centric AI Platform for Soft-Skills Development</t>
        </is>
      </c>
      <c r="H1505" s="1" t="inlineStr">
        <is>
          <t>I'm not part of any EdTech association</t>
        </is>
      </c>
      <c r="I1505" s="1" t="n"/>
      <c r="J1505" s="1" t="inlineStr">
        <is>
          <t>Rovereto</t>
        </is>
      </c>
      <c r="K1505" t="inlineStr">
        <is>
          <t>Rovereto</t>
        </is>
      </c>
      <c r="L1505" t="inlineStr">
        <is>
          <t>Rovereto, Italy</t>
        </is>
      </c>
      <c r="M1505" t="n">
        <v>45.886548</v>
      </c>
      <c r="N1505" t="n">
        <v>11.0452369</v>
      </c>
      <c r="O1505" s="1" t="inlineStr">
        <is>
          <t>Italy</t>
        </is>
      </c>
      <c r="P1505" s="1" t="inlineStr">
        <is>
          <t>Italy</t>
        </is>
      </c>
      <c r="Q1505" s="1" t="inlineStr">
        <is>
          <t>0 to 10</t>
        </is>
      </c>
      <c r="R1505" t="inlineStr">
        <is>
          <t>Micro</t>
        </is>
      </c>
      <c r="S1505" s="1" t="inlineStr">
        <is>
          <t>Business to Government, Business to Schools</t>
        </is>
      </c>
      <c r="T1505" s="1" t="inlineStr">
        <is>
          <t>Higher Education, Corporate Training</t>
        </is>
      </c>
      <c r="U1505" s="1" t="inlineStr">
        <is>
          <t>Student interfacing, System/Administrative</t>
        </is>
      </c>
      <c r="V1505" s="1" t="inlineStr">
        <is>
          <t>Wisepath V1</t>
        </is>
      </c>
      <c r="W1505" s="1" t="inlineStr">
        <is>
          <t>- 18-29yo, following the continuum of students &amp; professionals to be upskilled
- Wisepath Cycle: Discover (Assessment tools) - Plan (define professional objectives) - Learn (access to contents) - Connect (use our social network to allow a 3 level interaction: peer-tp-peer, expert, mentors.
- Fill the gap of like-skills, which impact twice the hard-skills in career paths.</t>
        </is>
      </c>
      <c r="X1505" s="10" t="inlineStr">
        <is>
          <t>https://drive.google.com/uc?export=view&amp;id=1SciQqwd3YGqSf_PAKBCu6Ao_ZYyUZDPK</t>
        </is>
      </c>
      <c r="Y1505" t="inlineStr">
        <is>
          <t>https://drive.google.com/uc?export=view&amp;id=1SciQqwd3YGqSf_PAKBCu6Ao_ZYyUZDPK</t>
        </is>
      </c>
      <c r="Z1505" s="1" t="inlineStr">
        <is>
          <t>https://drive.google.com/uc?export=view&amp;id=1SciQqwd3YGqSf_PAKBCu6Ao_ZYyUZDPK</t>
        </is>
      </c>
      <c r="AA1505" s="1" t="inlineStr">
        <is>
          <t>Unverified</t>
        </is>
      </c>
      <c r="AB1505" s="1" t="n"/>
      <c r="AC1505" s="1" t="n"/>
      <c r="AD1505" s="10" t="n"/>
      <c r="AE1505" s="1" t="n"/>
      <c r="AF1505" s="1" t="inlineStr">
        <is>
          <t>Yes</t>
        </is>
      </c>
      <c r="AG1505" s="1" t="inlineStr">
        <is>
          <t>https://www.linkedin.com/company/79811623/admin/</t>
        </is>
      </c>
      <c r="AH1505" s="1" t="inlineStr">
        <is>
          <t>https://www.linkedin.com/company/79811623/admin/</t>
        </is>
      </c>
      <c r="AI1505" s="1" t="inlineStr">
        <is>
          <t>https://www.linkedin.com/company/79811623/admin/</t>
        </is>
      </c>
      <c r="AJ1505" s="1" t="n"/>
    </row>
    <row r="1506" ht="12.5" customHeight="1">
      <c r="A1506" s="6" t="n">
        <v>45181</v>
      </c>
      <c r="B1506" s="1" t="inlineStr">
        <is>
          <t>ORG_2568</t>
        </is>
      </c>
      <c r="C1506" s="1" t="b">
        <v>1</v>
      </c>
      <c r="D1506" s="1" t="inlineStr">
        <is>
          <t>YourStep</t>
        </is>
      </c>
      <c r="E1506" s="10" t="inlineStr">
        <is>
          <t>https://www.yourstep.ai/</t>
        </is>
      </c>
      <c r="F1506" t="inlineStr">
        <is>
          <t>yourstep.ai</t>
        </is>
      </c>
      <c r="G1506" s="1" t="inlineStr">
        <is>
          <t>The first cloud platform that provides school students with a personalized academic, emotional and university guidance.
Acknowledging that it is complicated and costly for schools to provide a personalized guidance to each student individually, YourStep on an automated manner guides the student with a smart calendar throughout their full school learning experience. 
Synchronized to the school's LMS, and supported by AI, the software proposes and recommends a detailed learning plan based to the student's learning pace, risk of subject failure, interests, state of mind and much more. 
YourStep also tracks and analyzes student's learning progress and displays it to the teacher on an intuitive and unique platform. Allowing them to cluster their students by innovative variables as motivation or effort.</t>
        </is>
      </c>
      <c r="H1506" s="1" t="inlineStr">
        <is>
          <t>I'm not part of any EdTech association</t>
        </is>
      </c>
      <c r="I1506" s="1" t="n"/>
      <c r="J1506" s="1" t="inlineStr">
        <is>
          <t>Madrid</t>
        </is>
      </c>
      <c r="K1506" t="inlineStr">
        <is>
          <t>Madrid</t>
        </is>
      </c>
      <c r="L1506" t="inlineStr">
        <is>
          <t>Madrid, Spain</t>
        </is>
      </c>
      <c r="M1506" t="n">
        <v>40.416782</v>
      </c>
      <c r="N1506" t="n">
        <v>-3.703507</v>
      </c>
      <c r="O1506" s="1" t="inlineStr">
        <is>
          <t>Spain</t>
        </is>
      </c>
      <c r="P1506" s="1" t="inlineStr">
        <is>
          <t>Spain</t>
        </is>
      </c>
      <c r="Q1506" s="1" t="inlineStr">
        <is>
          <t>0 to 10</t>
        </is>
      </c>
      <c r="R1506" t="inlineStr">
        <is>
          <t>Micro</t>
        </is>
      </c>
      <c r="S1506" s="1" t="inlineStr">
        <is>
          <t>Business to Schools, Business to Consumer, Business to Government</t>
        </is>
      </c>
      <c r="T1506" s="1" t="inlineStr">
        <is>
          <t>Primary Education, Secondary Education</t>
        </is>
      </c>
      <c r="U1506" s="1" t="inlineStr">
        <is>
          <t>System/Administrative, Student interfacing, Teacher interfacing</t>
        </is>
      </c>
      <c r="V1506" s="1" t="n"/>
      <c r="W1506" s="1" t="inlineStr">
        <is>
          <t>https://drive.google.com/uc?export=view&amp;id=1ZEN0-h3BgttKje0kFyAkga-GjFAk1wDJ</t>
        </is>
      </c>
      <c r="X1506" s="1" t="inlineStr">
        <is>
          <t>https://drive.google.com/uc?export=view&amp;id=1ZEN0-h3BgttKje0kFyAkga-GjFAk1wDJ</t>
        </is>
      </c>
      <c r="Y1506" t="inlineStr">
        <is>
          <t>https://drive.google.com/uc?export=view&amp;id=1ZEN0-h3BgttKje0kFyAkga-GjFAk1wDJ</t>
        </is>
      </c>
      <c r="Z1506" s="1" t="inlineStr">
        <is>
          <t>https://drive.google.com/uc?export=view&amp;id=1ZEN0-h3BgttKje0kFyAkga-GjFAk1wDJ</t>
        </is>
      </c>
      <c r="AA1506" s="1" t="inlineStr">
        <is>
          <t>Unverified</t>
        </is>
      </c>
      <c r="AB1506" s="1" t="n"/>
      <c r="AC1506" s="1" t="n"/>
      <c r="AD1506" s="10" t="n"/>
      <c r="AE1506" s="1" t="n"/>
      <c r="AF1506" s="1" t="inlineStr">
        <is>
          <t>No</t>
        </is>
      </c>
      <c r="AG1506" s="1" t="n"/>
      <c r="AH1506" s="1" t="n"/>
      <c r="AI1506" s="1" t="n"/>
      <c r="AJ1506" s="1" t="n"/>
    </row>
    <row r="1507" ht="12.5" customHeight="1">
      <c r="A1507" s="6" t="n">
        <v>45181</v>
      </c>
      <c r="B1507" s="1" t="inlineStr">
        <is>
          <t>ORG_1006</t>
        </is>
      </c>
      <c r="C1507" s="1" t="b">
        <v>1</v>
      </c>
      <c r="D1507" s="1" t="inlineStr">
        <is>
          <t>1to1 Progress</t>
        </is>
      </c>
      <c r="E1507" s="10" t="inlineStr">
        <is>
          <t>https://1to1progress.fr/</t>
        </is>
      </c>
      <c r="F1507" t="inlineStr">
        <is>
          <t>1to1progress.fr</t>
        </is>
      </c>
      <c r="G1507" s="1" t="inlineStr">
        <is>
          <t>1to1PROGRESS, a foreign language training organisation, currently offers its services throughout Europe to companies needing to improve the language skills of their employees. Our young and dynamic team is growing and is looking for new collaborators to take on new projects.</t>
        </is>
      </c>
      <c r="H1507" s="1" t="inlineStr">
        <is>
          <t>EdTech France</t>
        </is>
      </c>
      <c r="I1507" s="1" t="n"/>
      <c r="J1507" s="1" t="inlineStr">
        <is>
          <t>Avenue Des Hauts Grigneux À Bihorel</t>
        </is>
      </c>
      <c r="K1507" t="inlineStr">
        <is>
          <t>Avenue Des Hauts Grigneux À Bihorel</t>
        </is>
      </c>
      <c r="L1507" t="inlineStr">
        <is>
          <t>Avenue Des Hauts Grigneux À Bihorel, France</t>
        </is>
      </c>
      <c r="O1507" s="1" t="inlineStr">
        <is>
          <t>France</t>
        </is>
      </c>
      <c r="P1507" s="1" t="inlineStr">
        <is>
          <t>Belgium, France, Germany, Italy, Luxembourg, Netherlands, Portugal, Spain, Turkey, United Kingdom</t>
        </is>
      </c>
      <c r="Q1507" s="1" t="inlineStr">
        <is>
          <t>11 to 50</t>
        </is>
      </c>
      <c r="R1507" t="inlineStr">
        <is>
          <t>Small</t>
        </is>
      </c>
      <c r="S1507" s="1" t="inlineStr">
        <is>
          <t>Business to Business</t>
        </is>
      </c>
      <c r="T1507" s="1" t="inlineStr">
        <is>
          <t>Primary Education, Secondary Education, Corporate Training, Lifelong learning/Adult education</t>
        </is>
      </c>
      <c r="U1507" s="1" t="inlineStr">
        <is>
          <t>System/Administrative, Student interfacing, Teacher interfacing</t>
        </is>
      </c>
      <c r="V1507" s="1" t="inlineStr">
        <is>
          <t>Adult continuing education (language)</t>
        </is>
      </c>
      <c r="W1507" s="1" t="inlineStr">
        <is>
          <t>1to1PROGRESS, a foreign language training organisation, currently offers its services throughout Europe to companies needing to improve the language skills of their employees. Our young and dynamic team is growing and is looking for new collaborators to take on new projects.</t>
        </is>
      </c>
      <c r="X1507" s="10" t="inlineStr">
        <is>
          <t>https://drive.google.com/uc?export=view&amp;id=1h2ZgRt6qY-A_4AHdskLkIaHQrlIxsV9y</t>
        </is>
      </c>
      <c r="Y1507" t="inlineStr">
        <is>
          <t>https://drive.google.com/uc?export=view&amp;id=1h2ZgRt6qY-A_4AHdskLkIaHQrlIxsV9y</t>
        </is>
      </c>
      <c r="Z1507" s="1" t="inlineStr">
        <is>
          <t>https://drive.google.com/uc?export=view&amp;id=1h2ZgRt6qY-A_4AHdskLkIaHQrlIxsV9y</t>
        </is>
      </c>
      <c r="AA1507" s="1" t="inlineStr">
        <is>
          <t>Unverified</t>
        </is>
      </c>
      <c r="AB1507" s="1" t="n"/>
      <c r="AC1507" s="1" t="n"/>
      <c r="AD1507" s="10" t="n"/>
      <c r="AE1507" s="1" t="n"/>
      <c r="AF1507" s="1" t="inlineStr">
        <is>
          <t>Yes</t>
        </is>
      </c>
      <c r="AG1507" s="1" t="inlineStr">
        <is>
          <t>https://fr.linkedin.com/company/1to1progress</t>
        </is>
      </c>
      <c r="AH1507" s="1" t="inlineStr">
        <is>
          <t>https://fr.linkedin.com/company/1to1progress</t>
        </is>
      </c>
      <c r="AI1507" t="inlineStr">
        <is>
          <t>https://fr.linkedin.com/company/1to1progress</t>
        </is>
      </c>
    </row>
    <row r="1508" ht="12.5" customHeight="1">
      <c r="A1508" s="6" t="n">
        <v>45181</v>
      </c>
      <c r="B1508" s="1" t="inlineStr">
        <is>
          <t>ORG_1123</t>
        </is>
      </c>
      <c r="C1508" s="1" t="b">
        <v>1</v>
      </c>
      <c r="D1508" s="1" t="inlineStr">
        <is>
          <t>Aula STEAM</t>
        </is>
      </c>
      <c r="E1508" s="10" t="inlineStr">
        <is>
          <t>https://aulasteam.com/</t>
        </is>
      </c>
      <c r="F1508" t="inlineStr">
        <is>
          <t>aulasteam.com</t>
        </is>
      </c>
      <c r="G1508" s="1" t="inlineStr">
        <is>
          <t>In 2013, I started to promote in Spain the project Aula STEAM  a pioneering initiative in the field of educational technology that aims to integrate the emerging field of textiles and electronics (e-textiles) within the Spanish educational system. Specially, with the goal to show new cultural practices of digital literacy that provides new educational options for the inclusion of minority audiences – such as women and girls – who otherwise would have not get attracted to STEM fields.</t>
        </is>
      </c>
      <c r="H1508" s="1" t="inlineStr">
        <is>
          <t>I'm not part of any EdTech association</t>
        </is>
      </c>
      <c r="I1508" s="1" t="n"/>
      <c r="J1508" s="1" t="inlineStr">
        <is>
          <t>Cangas</t>
        </is>
      </c>
      <c r="K1508" t="inlineStr">
        <is>
          <t>Cangas</t>
        </is>
      </c>
      <c r="L1508" t="inlineStr">
        <is>
          <t>Cangas, Spain</t>
        </is>
      </c>
      <c r="M1508" t="n">
        <v>43.3136138</v>
      </c>
      <c r="N1508" t="n">
        <v>-5.0658503</v>
      </c>
      <c r="O1508" s="1" t="inlineStr">
        <is>
          <t>Spain</t>
        </is>
      </c>
      <c r="P1508" s="1" t="inlineStr">
        <is>
          <t>Spain</t>
        </is>
      </c>
      <c r="Q1508" s="1" t="inlineStr">
        <is>
          <t>0 to 10</t>
        </is>
      </c>
      <c r="R1508" t="inlineStr">
        <is>
          <t>Micro</t>
        </is>
      </c>
      <c r="S1508" s="1" t="inlineStr">
        <is>
          <t>Business to Business</t>
        </is>
      </c>
      <c r="T1508" s="1" t="inlineStr">
        <is>
          <t>Primary Education, Secondary Education, Higher Education, Corporate Training</t>
        </is>
      </c>
      <c r="U1508" s="1" t="inlineStr">
        <is>
          <t>Student interfacing, Teacher interfacing</t>
        </is>
      </c>
      <c r="V1508" s="1" t="n"/>
      <c r="W1508" s="1" t="inlineStr">
        <is>
          <t>https://drive.google.com/uc?export=view&amp;id=1e3CM-y6mNhzmnWuVKYZGkZ1lIZfomlAy</t>
        </is>
      </c>
      <c r="X1508" s="1" t="inlineStr">
        <is>
          <t>https://drive.google.com/uc?export=view&amp;id=1e3CM-y6mNhzmnWuVKYZGkZ1lIZfomlAy</t>
        </is>
      </c>
      <c r="Y1508" t="inlineStr">
        <is>
          <t>https://drive.google.com/uc?export=view&amp;id=1e3CM-y6mNhzmnWuVKYZGkZ1lIZfomlAy</t>
        </is>
      </c>
      <c r="Z1508" s="1" t="inlineStr">
        <is>
          <t>https://drive.google.com/uc?export=view&amp;id=1e3CM-y6mNhzmnWuVKYZGkZ1lIZfomlAy</t>
        </is>
      </c>
      <c r="AA1508" s="1" t="inlineStr">
        <is>
          <t>Unverified</t>
        </is>
      </c>
      <c r="AB1508" s="1" t="n"/>
      <c r="AC1508" s="1" t="n"/>
      <c r="AD1508" s="10" t="n"/>
      <c r="AE1508" s="1" t="n"/>
      <c r="AF1508" s="1" t="inlineStr">
        <is>
          <t>No</t>
        </is>
      </c>
      <c r="AG1508" s="1" t="n"/>
      <c r="AH1508" s="1" t="n"/>
    </row>
    <row r="1509" ht="12.5" customHeight="1">
      <c r="A1509" s="6" t="n">
        <v>45181</v>
      </c>
      <c r="B1509" s="1" t="inlineStr">
        <is>
          <t>ORG_1158</t>
        </is>
      </c>
      <c r="C1509" s="1" t="b">
        <v>1</v>
      </c>
      <c r="D1509" s="1" t="inlineStr">
        <is>
          <t>beUnicoos</t>
        </is>
      </c>
      <c r="E1509" s="10" t="inlineStr">
        <is>
          <t>https://www.beunicoos.com/</t>
        </is>
      </c>
      <c r="F1509" t="inlineStr">
        <is>
          <t>beunicoos.com</t>
        </is>
      </c>
      <c r="G1509" s="1" t="inlineStr">
        <is>
          <t>beUnicoos is an educational platform which aims to be the reference and the meeting point of other educational initiatives. beUnicoos offers videos for free, linked from different sources, of different academical subjects and organized in an easy way to the users (students, teachers, educational institutions, families). 
Around these free videos, there are different layers of tools and resources to step up the knowledge of our users. These tools (solved exercises, gamification, virtual classes, online classes, etc) are for premium users in a subscription mode.
beUnicoos is helping millions of students across the Globe. Mainly in Latam and Spain. Our own content strengthens their work studying and solving exams.
We have also implemented similar solution as beUnicoos in some Universities and other academical institutions, where they have organized the internal knowledge in the same way with our help. In addition, we have taught professors how to make these video pills of 5 minutes to beef up the knowledge of their students after classes.</t>
        </is>
      </c>
      <c r="H1509" s="1" t="inlineStr">
        <is>
          <t>I'm not part of any EdTech association</t>
        </is>
      </c>
      <c r="I1509" s="1" t="n"/>
      <c r="J1509" s="1" t="inlineStr">
        <is>
          <t>Velilla De San Antonio</t>
        </is>
      </c>
      <c r="K1509" t="inlineStr">
        <is>
          <t>Velilla De San Antonio</t>
        </is>
      </c>
      <c r="L1509" t="inlineStr">
        <is>
          <t>Velilla De San Antonio, Spain</t>
        </is>
      </c>
      <c r="M1509" t="n">
        <v>40.3671767</v>
      </c>
      <c r="N1509" t="n">
        <v>-3.4874809</v>
      </c>
      <c r="O1509" s="1" t="inlineStr">
        <is>
          <t>Spain</t>
        </is>
      </c>
      <c r="P150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509" s="1" t="inlineStr">
        <is>
          <t>0 to 10</t>
        </is>
      </c>
      <c r="R1509" t="inlineStr">
        <is>
          <t>Micro</t>
        </is>
      </c>
      <c r="S1509" s="1" t="inlineStr">
        <is>
          <t>Business to Business, Business to Consumer</t>
        </is>
      </c>
      <c r="T1509" s="1" t="inlineStr">
        <is>
          <t>Early childhood development (0-5 years), Primary Education, Secondary Education, Higher Education, Lifelong learning/Adult education</t>
        </is>
      </c>
      <c r="U1509" s="1" t="inlineStr">
        <is>
          <t>System/Administrative, Student interfacing, Teacher interfacing</t>
        </is>
      </c>
      <c r="V1509" s="1" t="n"/>
      <c r="W1509" s="1" t="inlineStr">
        <is>
          <t>https://drive.google.com/uc?export=view&amp;id=18WUxnxQhTvwoSwJxM54qKdNKxpNXkpnN</t>
        </is>
      </c>
      <c r="X1509" s="1" t="inlineStr">
        <is>
          <t>https://drive.google.com/uc?export=view&amp;id=18WUxnxQhTvwoSwJxM54qKdNKxpNXkpnN</t>
        </is>
      </c>
      <c r="Y1509" t="inlineStr">
        <is>
          <t>https://drive.google.com/uc?export=view&amp;id=18WUxnxQhTvwoSwJxM54qKdNKxpNXkpnN</t>
        </is>
      </c>
      <c r="Z1509" s="1" t="inlineStr">
        <is>
          <t>https://drive.google.com/uc?export=view&amp;id=18WUxnxQhTvwoSwJxM54qKdNKxpNXkpnN</t>
        </is>
      </c>
      <c r="AA1509" s="1" t="inlineStr">
        <is>
          <t>Unverified</t>
        </is>
      </c>
      <c r="AB1509" s="1" t="n"/>
      <c r="AC1509" s="1" t="n"/>
      <c r="AD1509" s="10" t="n"/>
      <c r="AE1509" s="1" t="n"/>
      <c r="AF1509" s="1" t="inlineStr">
        <is>
          <t>No</t>
        </is>
      </c>
      <c r="AG1509" s="1" t="n"/>
      <c r="AH1509" s="1" t="n"/>
    </row>
    <row r="1510" ht="12.5" customHeight="1">
      <c r="A1510" s="6" t="n">
        <v>45181</v>
      </c>
      <c r="B1510" s="1" t="inlineStr">
        <is>
          <t>ORG_1518</t>
        </is>
      </c>
      <c r="C1510" s="1" t="b">
        <v>1</v>
      </c>
      <c r="D1510" s="1" t="inlineStr">
        <is>
          <t>Ethafa</t>
        </is>
      </c>
      <c r="E1510" s="10" t="inlineStr">
        <is>
          <t>www.ethafa.com</t>
        </is>
      </c>
      <c r="F1510" t="inlineStr">
        <is>
          <t>ethafa.com</t>
        </is>
      </c>
      <c r="G1510" s="1" t="inlineStr">
        <is>
          <t>Ethafa develops products, experiences, and educational programs to support children aged 9-12 to learn about electronics through an Arduino-based kit and storytelling. The Steammians kit by Ethafa guides young children in exploring the world of sensors and actuators through the stories of funny aliens.</t>
        </is>
      </c>
      <c r="H1510" s="1" t="inlineStr">
        <is>
          <t>Swiss EdTech Collider</t>
        </is>
      </c>
      <c r="I1510" s="1" t="n"/>
      <c r="J1510" s="1" t="inlineStr">
        <is>
          <t>Mendrisio</t>
        </is>
      </c>
      <c r="K1510" t="inlineStr">
        <is>
          <t>Mendrisio</t>
        </is>
      </c>
      <c r="L1510" t="inlineStr">
        <is>
          <t>Mendrisio, Switzerland</t>
        </is>
      </c>
      <c r="M1510" t="n">
        <v>45.8709661</v>
      </c>
      <c r="N1510" t="n">
        <v>8.9875293</v>
      </c>
      <c r="O1510" s="1" t="inlineStr">
        <is>
          <t>Switzerland</t>
        </is>
      </c>
      <c r="P1510" s="1" t="inlineStr">
        <is>
          <t>Switzerland</t>
        </is>
      </c>
      <c r="Q1510" s="1" t="inlineStr">
        <is>
          <t>0 to 10</t>
        </is>
      </c>
      <c r="R1510" t="inlineStr">
        <is>
          <t>Micro</t>
        </is>
      </c>
      <c r="S1510" s="1" t="inlineStr">
        <is>
          <t>Business to Business, Business to Consumer</t>
        </is>
      </c>
      <c r="T1510" s="1" t="inlineStr">
        <is>
          <t>Primary Education</t>
        </is>
      </c>
      <c r="U1510" s="1" t="inlineStr">
        <is>
          <t>System/Administrative, Student interfacing, Teacher interfacing</t>
        </is>
      </c>
      <c r="V1510" s="1" t="inlineStr">
        <is>
          <t>Steammians Kit</t>
        </is>
      </c>
      <c r="W1510" s="10" t="inlineStr">
        <is>
          <t>The kit introduces the world of electronics to children aged 10–12 through playful interactive stories, and through an approach based on gender neutrality and cultural inclusion. It consists of a physical kit that embodies 5 programmable characters: the Steammians. The children can assemble the kit and then use it to interact with the tablet application that proposes challenges requiring problem-solving skills.</t>
        </is>
      </c>
      <c r="X1510" s="10" t="inlineStr">
        <is>
          <t>https://drive.google.com/uc?export=view&amp;id=1j0ccBGU1Mc9rNJRSM3c_RMj5zsRK0IHW</t>
        </is>
      </c>
      <c r="Y1510" t="inlineStr">
        <is>
          <t>https://drive.google.com/uc?export=view&amp;id=1j0ccBGU1Mc9rNJRSM3c_RMj5zsRK0IHW</t>
        </is>
      </c>
      <c r="Z1510" s="1" t="inlineStr">
        <is>
          <t>https://drive.google.com/uc?export=view&amp;id=1j0ccBGU1Mc9rNJRSM3c_RMj5zsRK0IHW</t>
        </is>
      </c>
      <c r="AA1510" s="1" t="inlineStr">
        <is>
          <t>Unverified</t>
        </is>
      </c>
      <c r="AB1510" s="1" t="n"/>
      <c r="AC1510" s="1" t="n"/>
      <c r="AD1510" s="10" t="n"/>
      <c r="AE1510" s="1" t="n"/>
      <c r="AF1510" s="1" t="inlineStr">
        <is>
          <t>Yes</t>
        </is>
      </c>
      <c r="AG1510" s="1" t="inlineStr">
        <is>
          <t>@ethafakit</t>
        </is>
      </c>
      <c r="AH1510" s="1" t="inlineStr">
        <is>
          <t>https://twitter.com/ethafakit</t>
        </is>
      </c>
      <c r="AI1510" t="inlineStr">
        <is>
          <t>https://www.linkedin.com/company/38148290/admin/</t>
        </is>
      </c>
    </row>
    <row r="1511" ht="12.5" customHeight="1">
      <c r="A1511" s="6" t="n">
        <v>45181</v>
      </c>
      <c r="B1511" s="1" t="inlineStr">
        <is>
          <t>ORG_1526</t>
        </is>
      </c>
      <c r="C1511" s="1" t="b">
        <v>1</v>
      </c>
      <c r="D1511" s="1" t="inlineStr">
        <is>
          <t>Eventful AB</t>
        </is>
      </c>
      <c r="E1511" s="10" t="inlineStr">
        <is>
          <t>https://www.eventful.se/</t>
        </is>
      </c>
      <c r="F1511" t="inlineStr">
        <is>
          <t>eventful.se</t>
        </is>
      </c>
      <c r="G1511" s="1" t="inlineStr">
        <is>
          <t>Eventful excellence in system integrations for Microsoft 365 and Google Workspace in Sweden. We are Bringing systems together in a Google, Microsoft or hybrid ecosystem. Eventful is a comprehensive supplier for the modern workplace. We supply units, licenses, device management in addition to integrations and identification. Eventful excels in Single-Sign On, MFA and help schools ready for Swedish Digital National exams.</t>
        </is>
      </c>
      <c r="H1511" s="1" t="inlineStr">
        <is>
          <t>Swedish EdTech Industry</t>
        </is>
      </c>
      <c r="I1511" s="1" t="inlineStr">
        <is>
          <t>Swedish, English</t>
        </is>
      </c>
      <c r="J1511" s="1" t="inlineStr">
        <is>
          <t>Enköping</t>
        </is>
      </c>
      <c r="K1511" t="inlineStr">
        <is>
          <t>Enköping</t>
        </is>
      </c>
      <c r="L1511" t="inlineStr">
        <is>
          <t>Enköping, Sweden</t>
        </is>
      </c>
      <c r="M1511" t="n">
        <v>59.6356115</v>
      </c>
      <c r="N1511" t="n">
        <v>17.077856</v>
      </c>
      <c r="O1511" s="1" t="inlineStr">
        <is>
          <t>Sweden</t>
        </is>
      </c>
      <c r="P1511" s="1" t="inlineStr">
        <is>
          <t>Sweden</t>
        </is>
      </c>
      <c r="Q1511" s="1" t="inlineStr">
        <is>
          <t>11 to 50</t>
        </is>
      </c>
      <c r="R1511" t="inlineStr">
        <is>
          <t>Small</t>
        </is>
      </c>
      <c r="S1511" s="1" t="inlineStr">
        <is>
          <t>Business to Business, Business to Consumer, Business to Government, Business to Schools</t>
        </is>
      </c>
      <c r="T1511" s="1" t="inlineStr">
        <is>
          <t>Early childhood development (0-5 years), Primary Education, Secondary Education, Corporate Training, Lifelong learning/Adult education, Vocational Education and Training (VET), Higher Education</t>
        </is>
      </c>
      <c r="U1511" s="1" t="inlineStr">
        <is>
          <t>System/Administrative</t>
        </is>
      </c>
      <c r="V1511" s="1" t="inlineStr">
        <is>
          <t>Eventful TeamSynk skola</t>
        </is>
      </c>
      <c r="W1511" s="1" t="inlineStr">
        <is>
          <t>Eventful TeamSynk skola connects school systems, which leads to the organization being able to enter school information in a "master system" and thus avoid putting time and effort into entering the same information in several different school systems.
TeamSynk skola uses Flowsync (Eventfuls sync engine) and connects the student information system, (SIS), with various services such as Microsoft's School Data Sync and other school services. The sync aims to increase data quality, comply with GDPR by reducing manual data handling, it creates and populates Microsoft Teams.
Correct data in the right place when you need it!</t>
        </is>
      </c>
      <c r="X1511" s="10" t="inlineStr">
        <is>
          <t>Google ClassroomSynk</t>
        </is>
      </c>
      <c r="Y1511" t="inlineStr">
        <is>
          <t>Eventful ClassroomSynk, connects school systems, which leads to the organization being able to enter school information in a "master system" and thus avoid putting time and effort into entering the same information in several different school systems.
Eventful ClassroomSynk uses Flowsync (Eventfuls sync engine) and connects the student information system, (SIS), with various services such as Google Classroom and other school services. The sync aims to increase data quality, comply with GDPR by reducing manual data handling, it creates and populates Google Classroom.</t>
        </is>
      </c>
      <c r="Z1511" s="1" t="inlineStr">
        <is>
          <t>https://drive.google.com/uc?export=view&amp;id=1t8NOBcYHZUCax5OgnSJebxH_dI2l4Rbg</t>
        </is>
      </c>
      <c r="AA1511" s="1" t="inlineStr">
        <is>
          <t>Unverified</t>
        </is>
      </c>
      <c r="AB1511" s="1" t="n"/>
      <c r="AC1511" s="1" t="n"/>
      <c r="AD1511" s="10" t="n"/>
      <c r="AE1511" s="1" t="n"/>
      <c r="AF1511" s="1" t="inlineStr">
        <is>
          <t>Yes</t>
        </is>
      </c>
      <c r="AG1511" s="1" t="inlineStr">
        <is>
          <t>eventful_ab</t>
        </is>
      </c>
      <c r="AH1511" s="1" t="inlineStr">
        <is>
          <t>https://www.linkedin.com/company/eventful-ab</t>
        </is>
      </c>
      <c r="AI1511" t="inlineStr">
        <is>
          <t>https://www.linkedin.com/company/eventful-ab</t>
        </is>
      </c>
    </row>
    <row r="1512" ht="12.5" customHeight="1">
      <c r="A1512" s="6" t="n">
        <v>45181</v>
      </c>
      <c r="B1512" s="1" t="inlineStr">
        <is>
          <t>ORG_1586</t>
        </is>
      </c>
      <c r="C1512" s="1" t="b">
        <v>1</v>
      </c>
      <c r="D1512" s="1" t="inlineStr">
        <is>
          <t>Friendbase</t>
        </is>
      </c>
      <c r="E1512" s="10" t="inlineStr">
        <is>
          <t>www.friendbase.com</t>
        </is>
      </c>
      <c r="F1512" t="inlineStr">
        <is>
          <t>friendbase.com</t>
        </is>
      </c>
      <c r="G1512" s="1" t="inlineStr">
        <is>
          <t>Friendbase is a virtual world for teens where they can make friends, play games and learn.</t>
        </is>
      </c>
      <c r="H1512" s="1" t="n"/>
      <c r="I1512" s="1" t="n"/>
      <c r="J1512" s="1" t="inlineStr">
        <is>
          <t>Gothenburg</t>
        </is>
      </c>
      <c r="K1512" t="inlineStr">
        <is>
          <t>Gothenburg</t>
        </is>
      </c>
      <c r="L1512" t="inlineStr">
        <is>
          <t>Gothenburg, Sweden</t>
        </is>
      </c>
      <c r="M1512" t="n">
        <v>57.7072326</v>
      </c>
      <c r="N1512" t="n">
        <v>11.9670171</v>
      </c>
      <c r="O1512" s="1" t="inlineStr">
        <is>
          <t>Sweden</t>
        </is>
      </c>
      <c r="P1512" s="1" t="inlineStr">
        <is>
          <t>Austria, Belgium, Bulgaria, Denmark, Estonia, Finland, France, Germany, Greece, Hungary, Ireland, Italy, Luxembourg, Netherlands, Norway, Poland, Portugal, Romania, Spain, Sweden, Switzerland, Turkey, United Kingdom</t>
        </is>
      </c>
      <c r="Q1512" s="1" t="inlineStr">
        <is>
          <t>11 to 50</t>
        </is>
      </c>
      <c r="R1512" t="inlineStr">
        <is>
          <t>Small</t>
        </is>
      </c>
      <c r="S1512" s="1" t="inlineStr">
        <is>
          <t>Business to Business, Business to Consumer, Business to Government, Business to Schools</t>
        </is>
      </c>
      <c r="T1512" s="1" t="inlineStr">
        <is>
          <t>Secondary Education, Lifelong learning/Adult education</t>
        </is>
      </c>
      <c r="U1512" s="1" t="inlineStr">
        <is>
          <t>Student interfacing</t>
        </is>
      </c>
      <c r="V1512" s="10" t="inlineStr">
        <is>
          <t>Friendbase Virtual World</t>
        </is>
      </c>
      <c r="W1512" s="1" t="inlineStr">
        <is>
          <t>Friendbase is a virtual world where teens can make friends, play games and learn through our in game quiz.</t>
        </is>
      </c>
      <c r="X1512" s="10" t="inlineStr">
        <is>
          <t>https://drive.google.com/uc?export=view&amp;id=1EqWvpbJojOr4-HOabS10_go69bu4byuf</t>
        </is>
      </c>
      <c r="Y1512" t="inlineStr">
        <is>
          <t>https://drive.google.com/uc?export=view&amp;id=1EqWvpbJojOr4-HOabS10_go69bu4byuf</t>
        </is>
      </c>
      <c r="Z1512" s="1" t="inlineStr">
        <is>
          <t>https://drive.google.com/uc?export=view&amp;id=1EqWvpbJojOr4-HOabS10_go69bu4byuf</t>
        </is>
      </c>
      <c r="AA1512" s="1" t="inlineStr">
        <is>
          <t>Unverified</t>
        </is>
      </c>
      <c r="AB1512" s="1" t="n"/>
      <c r="AC1512" s="1" t="n"/>
      <c r="AD1512" s="10" t="n"/>
      <c r="AE1512" s="1" t="n"/>
      <c r="AF1512" s="1" t="inlineStr">
        <is>
          <t>Yes</t>
        </is>
      </c>
      <c r="AG1512" s="1" t="inlineStr">
        <is>
          <t>https://instagram.com/friendbase.official</t>
        </is>
      </c>
      <c r="AH1512" s="1" t="inlineStr">
        <is>
          <t>n/a</t>
        </is>
      </c>
      <c r="AI1512" s="1" t="inlineStr">
        <is>
          <t>https://www.linkedin.com/company/friendbase-ab/</t>
        </is>
      </c>
      <c r="AJ1512" s="1" t="n"/>
    </row>
    <row r="1513" ht="12.5" customHeight="1">
      <c r="A1513" s="6" t="n">
        <v>45181</v>
      </c>
      <c r="B1513" s="1" t="inlineStr">
        <is>
          <t>ORG_1659</t>
        </is>
      </c>
      <c r="C1513" s="1" t="b">
        <v>1</v>
      </c>
      <c r="D1513" s="1" t="inlineStr">
        <is>
          <t>hackrocks</t>
        </is>
      </c>
      <c r="E1513" s="10" t="inlineStr">
        <is>
          <t>https://hackrocks.com</t>
        </is>
      </c>
      <c r="F1513" t="inlineStr">
        <is>
          <t>hackrocks.com</t>
        </is>
      </c>
      <c r="G1513" s="1" t="inlineStr">
        <is>
          <t>Cyber Security Learning Platform where students are able to train Cyber Security techniques in safe environments to level up their skills in this world where Cyber Security experts are highly demanded.</t>
        </is>
      </c>
      <c r="H1513" s="1" t="inlineStr">
        <is>
          <t>I'm not part of any EdTech association</t>
        </is>
      </c>
      <c r="I1513" s="1" t="n"/>
      <c r="J1513" s="1" t="inlineStr">
        <is>
          <t>Madrid</t>
        </is>
      </c>
      <c r="K1513" t="inlineStr">
        <is>
          <t>Madrid</t>
        </is>
      </c>
      <c r="L1513" t="inlineStr">
        <is>
          <t>Madrid, Spain</t>
        </is>
      </c>
      <c r="M1513" t="n">
        <v>40.416782</v>
      </c>
      <c r="N1513" t="n">
        <v>-3.703507</v>
      </c>
      <c r="O1513" s="1" t="inlineStr">
        <is>
          <t>Spain</t>
        </is>
      </c>
      <c r="P1513" s="1" t="inlineStr">
        <is>
          <t>Spain</t>
        </is>
      </c>
      <c r="Q1513" s="1" t="inlineStr">
        <is>
          <t>0 to 10</t>
        </is>
      </c>
      <c r="R1513" t="inlineStr">
        <is>
          <t>Micro</t>
        </is>
      </c>
      <c r="S1513" s="1" t="inlineStr">
        <is>
          <t>Business to Business, Business to Consumer, Business to Government, Business to Schools</t>
        </is>
      </c>
      <c r="T1513" s="1" t="inlineStr">
        <is>
          <t>Secondary Education, Higher Education, Corporate Training, Lifelong learning/Adult education</t>
        </is>
      </c>
      <c r="U1513" s="1" t="inlineStr">
        <is>
          <t>Student interfacing, Teacher interfacing, System/Administrative</t>
        </is>
      </c>
      <c r="V1513" s="1" t="n"/>
      <c r="W1513" s="1" t="inlineStr">
        <is>
          <t>https://drive.google.com/uc?export=view&amp;id=1lbCroNa_vVFrL638ElmpzH8V2-F4jNO1</t>
        </is>
      </c>
      <c r="X1513" s="1" t="inlineStr">
        <is>
          <t>https://drive.google.com/uc?export=view&amp;id=1lbCroNa_vVFrL638ElmpzH8V2-F4jNO1</t>
        </is>
      </c>
      <c r="Y1513" t="inlineStr">
        <is>
          <t>https://drive.google.com/uc?export=view&amp;id=1lbCroNa_vVFrL638ElmpzH8V2-F4jNO1</t>
        </is>
      </c>
      <c r="Z1513" s="1" t="inlineStr">
        <is>
          <t>https://drive.google.com/uc?export=view&amp;id=1lbCroNa_vVFrL638ElmpzH8V2-F4jNO1</t>
        </is>
      </c>
      <c r="AA1513" s="1" t="inlineStr">
        <is>
          <t>Unverified</t>
        </is>
      </c>
      <c r="AB1513" s="1" t="n"/>
      <c r="AC1513" s="1" t="n"/>
      <c r="AD1513" s="10" t="n"/>
      <c r="AE1513" s="1" t="n"/>
      <c r="AF1513" s="1" t="inlineStr">
        <is>
          <t>No</t>
        </is>
      </c>
      <c r="AG1513" s="1" t="n"/>
      <c r="AH1513" s="1" t="n"/>
    </row>
    <row r="1514" ht="12.5" customHeight="1">
      <c r="A1514" s="6" t="n">
        <v>45181</v>
      </c>
      <c r="B1514" s="1" t="inlineStr">
        <is>
          <t>ORG_1709</t>
        </is>
      </c>
      <c r="C1514" s="1" t="b">
        <v>1</v>
      </c>
      <c r="D1514" s="1" t="inlineStr">
        <is>
          <t>iKurius</t>
        </is>
      </c>
      <c r="E1514" s="10" t="inlineStr">
        <is>
          <t>www.ikurius.com</t>
        </is>
      </c>
      <c r="F1514" t="inlineStr">
        <is>
          <t>ikurius.com</t>
        </is>
      </c>
      <c r="G1514" s="1" t="inlineStr">
        <is>
          <t>iKurius is a platform that offers Educational Inmersive Experiences in Virtual Reality 360 (it is a mix of a Game-Movie-Trip) in a TOURIST METAVERSE in the format of a film series.</t>
        </is>
      </c>
      <c r="H1514" s="1" t="inlineStr">
        <is>
          <t>I'm not part of any EdTech association</t>
        </is>
      </c>
      <c r="I1514" s="1" t="n"/>
      <c r="J1514" s="1" t="inlineStr">
        <is>
          <t>Sant Cugat Del Valles</t>
        </is>
      </c>
      <c r="K1514" t="inlineStr">
        <is>
          <t>Sant Cugat Del Valles</t>
        </is>
      </c>
      <c r="L1514" t="inlineStr">
        <is>
          <t>Sant Cugat Del Valles, Spain</t>
        </is>
      </c>
      <c r="M1514" t="n">
        <v>41.4707933</v>
      </c>
      <c r="N1514" t="n">
        <v>2.0848815</v>
      </c>
      <c r="O1514" s="1" t="inlineStr">
        <is>
          <t>Spain</t>
        </is>
      </c>
      <c r="P1514" s="1" t="inlineStr">
        <is>
          <t>Spain</t>
        </is>
      </c>
      <c r="Q1514" s="1" t="inlineStr">
        <is>
          <t>0 to 10</t>
        </is>
      </c>
      <c r="R1514" t="inlineStr">
        <is>
          <t>Micro</t>
        </is>
      </c>
      <c r="S1514" s="1" t="inlineStr">
        <is>
          <t>Business to Business, Business to Consumer, Business to Schools</t>
        </is>
      </c>
      <c r="T1514" s="1" t="inlineStr">
        <is>
          <t>Secondary Education</t>
        </is>
      </c>
      <c r="U1514" s="1" t="inlineStr">
        <is>
          <t>Teacher interfacing</t>
        </is>
      </c>
      <c r="V1514" s="1" t="n"/>
      <c r="W1514" s="1" t="inlineStr">
        <is>
          <t>https://drive.google.com/uc?export=view&amp;id=1UfVeizSejTh_Cz2yTKrkHbXsWu_t-kFD</t>
        </is>
      </c>
      <c r="X1514" s="1" t="inlineStr">
        <is>
          <t>https://drive.google.com/uc?export=view&amp;id=1UfVeizSejTh_Cz2yTKrkHbXsWu_t-kFD</t>
        </is>
      </c>
      <c r="Y1514" t="inlineStr">
        <is>
          <t>https://drive.google.com/uc?export=view&amp;id=1UfVeizSejTh_Cz2yTKrkHbXsWu_t-kFD</t>
        </is>
      </c>
      <c r="Z1514" s="1" t="inlineStr">
        <is>
          <t>https://drive.google.com/uc?export=view&amp;id=1UfVeizSejTh_Cz2yTKrkHbXsWu_t-kFD</t>
        </is>
      </c>
      <c r="AA1514" s="1" t="inlineStr">
        <is>
          <t>Unverified</t>
        </is>
      </c>
      <c r="AB1514" s="1" t="n"/>
      <c r="AC1514" s="1" t="n"/>
      <c r="AD1514" s="10" t="n"/>
      <c r="AE1514" s="1" t="n"/>
      <c r="AF1514" s="1" t="inlineStr">
        <is>
          <t>No</t>
        </is>
      </c>
      <c r="AG1514" s="1" t="n"/>
      <c r="AH1514" s="1" t="n"/>
      <c r="AI1514" s="1" t="n"/>
      <c r="AJ1514" s="1" t="n"/>
    </row>
    <row r="1515" ht="12.5" customHeight="1">
      <c r="A1515" s="6" t="n">
        <v>45181</v>
      </c>
      <c r="B1515" s="1" t="inlineStr">
        <is>
          <t>ORG_1728</t>
        </is>
      </c>
      <c r="C1515" s="1" t="b">
        <v>1</v>
      </c>
      <c r="D1515" s="1" t="inlineStr">
        <is>
          <t>Inspera</t>
        </is>
      </c>
      <c r="E1515" s="10" t="inlineStr">
        <is>
          <t>https://www.inspera.com</t>
        </is>
      </c>
      <c r="F1515" t="inlineStr">
        <is>
          <t>inspera.com</t>
        </is>
      </c>
      <c r="G1515" s="1" t="inlineStr">
        <is>
          <t>We help you transition to digital assessment
Inspera supports your organisation’s entire examination cycle. Plan, design, deliver and mark assessments seamlessly – onsite or remotely.</t>
        </is>
      </c>
      <c r="H1515" s="1" t="n"/>
      <c r="I1515" s="1" t="n"/>
      <c r="J1515" s="1" t="inlineStr">
        <is>
          <t>Oslo</t>
        </is>
      </c>
      <c r="K1515" t="inlineStr">
        <is>
          <t>Oslo</t>
        </is>
      </c>
      <c r="L1515" t="inlineStr">
        <is>
          <t>Oslo, Norway</t>
        </is>
      </c>
      <c r="M1515" t="n">
        <v>59.9067935</v>
      </c>
      <c r="N1515" t="n">
        <v>10.7610162</v>
      </c>
      <c r="O1515" s="1" t="inlineStr">
        <is>
          <t>Norway</t>
        </is>
      </c>
      <c r="P1515" s="1" t="inlineStr">
        <is>
          <t>Austria, Estonia, Finland, France, Germany, Iceland, Ireland, Netherlands, Norway, Poland, Portugal, Romania, Spain, Sweden, Switzerland, Ukraine, United Kingdom</t>
        </is>
      </c>
      <c r="Q1515" s="1" t="inlineStr">
        <is>
          <t>100+</t>
        </is>
      </c>
      <c r="R1515" t="inlineStr">
        <is>
          <t>Medium or Large (unspecified)</t>
        </is>
      </c>
      <c r="S1515" s="1" t="inlineStr">
        <is>
          <t>Business to Business, Business to Government</t>
        </is>
      </c>
      <c r="T1515" s="1" t="inlineStr">
        <is>
          <t>Primary Education, Secondary Education, Higher Education, Corporate Training, Lifelong learning/Adult education</t>
        </is>
      </c>
      <c r="U1515" s="1" t="inlineStr">
        <is>
          <t>Teacher interfacing</t>
        </is>
      </c>
      <c r="V1515" s="1" t="inlineStr">
        <is>
          <t>Inspera Assessment</t>
        </is>
      </c>
      <c r="W1515" s="1" t="inlineStr">
        <is>
          <t>Our core platform. Inspera Assessment is a cloud-based assessment platform that supports your organisation's digital examination cycle entirely on-screen.</t>
        </is>
      </c>
      <c r="X1515" s="10" t="inlineStr">
        <is>
          <t>Inspera Examportal</t>
        </is>
      </c>
      <c r="Y1515" t="inlineStr">
        <is>
          <t>With the fully integrated Inspera Lockdown Browser, you can
balance privacy and security while benefiting from strong remote capabilities.</t>
        </is>
      </c>
      <c r="Z1515" s="1" t="inlineStr">
        <is>
          <t>https://drive.google.com/uc?export=view&amp;id=12JBGKFla4CfMtQ6gahyPpeCVHcvUhI1n</t>
        </is>
      </c>
      <c r="AA1515" s="1" t="inlineStr">
        <is>
          <t>Unverified</t>
        </is>
      </c>
      <c r="AB1515" s="1" t="n"/>
      <c r="AC1515" s="1" t="n"/>
      <c r="AD1515" s="10" t="n"/>
      <c r="AE1515" s="1" t="n"/>
      <c r="AF1515" s="1" t="inlineStr">
        <is>
          <t>Yes</t>
        </is>
      </c>
      <c r="AG1515" s="1" t="inlineStr">
        <is>
          <t>https://www.linkedin.com/company/inspera/mycompany/verification/</t>
        </is>
      </c>
      <c r="AH1515" s="1" t="inlineStr">
        <is>
          <t>https://www.linkedin.com/company/inspera/mycompany/verification/</t>
        </is>
      </c>
      <c r="AI1515" t="inlineStr">
        <is>
          <t>https://www.linkedin.com/company/inspera/mycompany/verification/</t>
        </is>
      </c>
    </row>
    <row r="1516" ht="12.5" customHeight="1">
      <c r="A1516" s="6" t="n">
        <v>45181</v>
      </c>
      <c r="B1516" s="1" t="inlineStr">
        <is>
          <t>ORG_1731</t>
        </is>
      </c>
      <c r="C1516" s="1" t="b">
        <v>1</v>
      </c>
      <c r="D1516" s="1" t="inlineStr">
        <is>
          <t>INTERMATIA</t>
        </is>
      </c>
      <c r="E1516" s="10" t="inlineStr">
        <is>
          <t>https://www.intermatia.com</t>
        </is>
      </c>
      <c r="F1516" t="inlineStr">
        <is>
          <t>intermatia.com</t>
        </is>
      </c>
      <c r="G1516" s="1" t="inlineStr">
        <is>
          <t>Herramienta online de ejercicios interactivos de matemáticas dirigidos tanto a centros educativos de Secundaria y Bachillerato como a familias. Cuenta con miles de ejercicios adaptados a los diferentes niveles educativos que se generan de forma automática y se corrigen solos mostrando la resolución correcta de forma detallada. Sus colecciones y prácticas permiten al profesor realizar evaluaciones adaptadas al alumno obteniendo un informe detallado.
Adaptada a ordenadores, tabletas, dispositivos móviles y pizarras digitales, interMatia facilita a profesores y padres seguir de cerca el progreso de los alumnos gracias a sus gráficas de seguimiento individual o grupal.
Con una interfaz atractiva y un editor de fórmulas que funciona como una calculadora científica, el alumno puede expresar de forma natural las soluciones a ejercicios de su nivel. La resolución de ejercicios se presenta de forma similar a un juego, con un marcador de puntuación y con niveles que los alumnos deben ir superando.</t>
        </is>
      </c>
      <c r="H1516" s="1" t="inlineStr">
        <is>
          <t>I'm not part of any EdTech association</t>
        </is>
      </c>
      <c r="I1516" s="1" t="n"/>
      <c r="J1516" s="1" t="inlineStr">
        <is>
          <t>Sevilla</t>
        </is>
      </c>
      <c r="K1516" t="inlineStr">
        <is>
          <t>Sevilla</t>
        </is>
      </c>
      <c r="L1516" t="inlineStr">
        <is>
          <t>Sevilla, Spain</t>
        </is>
      </c>
      <c r="M1516" t="n">
        <v>37.3886303</v>
      </c>
      <c r="N1516" t="n">
        <v>-5.9953403</v>
      </c>
      <c r="O1516" s="1" t="inlineStr">
        <is>
          <t>Spain</t>
        </is>
      </c>
      <c r="P1516" s="1" t="inlineStr">
        <is>
          <t>Spain</t>
        </is>
      </c>
      <c r="Q1516" s="1" t="inlineStr">
        <is>
          <t>0 to 10</t>
        </is>
      </c>
      <c r="R1516" t="inlineStr">
        <is>
          <t>Micro</t>
        </is>
      </c>
      <c r="S1516" s="1" t="inlineStr">
        <is>
          <t>Business to Business, Business to Government</t>
        </is>
      </c>
      <c r="T1516" s="1" t="inlineStr">
        <is>
          <t>Secondary Education</t>
        </is>
      </c>
      <c r="U1516" s="1" t="inlineStr">
        <is>
          <t>System/Administrative, Student interfacing, Teacher interfacing</t>
        </is>
      </c>
      <c r="V1516" s="1" t="n"/>
      <c r="W1516" s="1" t="inlineStr">
        <is>
          <t>https://drive.google.com/uc?export=view&amp;id=1jEkm6rbgbElk0RItewx0nqlYYbIVLWLI</t>
        </is>
      </c>
      <c r="X1516" s="1" t="inlineStr">
        <is>
          <t>https://drive.google.com/uc?export=view&amp;id=1jEkm6rbgbElk0RItewx0nqlYYbIVLWLI</t>
        </is>
      </c>
      <c r="Y1516" t="inlineStr">
        <is>
          <t>https://drive.google.com/uc?export=view&amp;id=1jEkm6rbgbElk0RItewx0nqlYYbIVLWLI</t>
        </is>
      </c>
      <c r="Z1516" s="1" t="inlineStr">
        <is>
          <t>https://drive.google.com/uc?export=view&amp;id=1jEkm6rbgbElk0RItewx0nqlYYbIVLWLI</t>
        </is>
      </c>
      <c r="AA1516" s="1" t="inlineStr">
        <is>
          <t>Unverified</t>
        </is>
      </c>
      <c r="AB1516" s="1" t="n"/>
      <c r="AC1516" s="1" t="n"/>
      <c r="AD1516" s="10" t="n"/>
      <c r="AE1516" s="1" t="n"/>
      <c r="AF1516" s="1" t="inlineStr">
        <is>
          <t>No</t>
        </is>
      </c>
      <c r="AG1516" s="1" t="n"/>
      <c r="AH1516" s="1" t="n"/>
    </row>
    <row r="1517" ht="12.5" customHeight="1">
      <c r="A1517" s="6" t="n">
        <v>45181</v>
      </c>
      <c r="B1517" s="1" t="inlineStr">
        <is>
          <t>ORG_1760</t>
        </is>
      </c>
      <c r="C1517" s="1" t="b">
        <v>1</v>
      </c>
      <c r="D1517" s="1" t="inlineStr">
        <is>
          <t>jvsp</t>
        </is>
      </c>
      <c r="E1517" s="10" t="inlineStr">
        <is>
          <t>www.jvsp.io</t>
        </is>
      </c>
      <c r="F1517" t="inlineStr">
        <is>
          <t>jvsp.io</t>
        </is>
      </c>
      <c r="G1517" s="1" t="inlineStr">
        <is>
          <t>jvsp is an attractive, robust, easy to use, mobile and affordable E-Learning Platform.
A platform that helps achieve collaborative learning, where learners feel like logging in and chatting and administrators are able to build their learning environments quickly and easily.</t>
        </is>
      </c>
      <c r="H1517" s="1" t="inlineStr">
        <is>
          <t>I'm not part of any EdTech association</t>
        </is>
      </c>
      <c r="I1517" s="1" t="n"/>
      <c r="J1517" s="1" t="inlineStr">
        <is>
          <t>Madrid</t>
        </is>
      </c>
      <c r="K1517" t="inlineStr">
        <is>
          <t>Madrid</t>
        </is>
      </c>
      <c r="L1517" t="inlineStr">
        <is>
          <t>Madrid, Spain</t>
        </is>
      </c>
      <c r="M1517" t="n">
        <v>40.416782</v>
      </c>
      <c r="N1517" t="n">
        <v>-3.703507</v>
      </c>
      <c r="O1517" s="1" t="inlineStr">
        <is>
          <t>Spain</t>
        </is>
      </c>
      <c r="P1517" s="1" t="inlineStr">
        <is>
          <t>Albania, Andorra, Armenia, Austria, Azerbaijan, Belgium, Bosnia and Herzegovina, Bulgaria, Croatia, Cyprus, Czechia, Denmark, Estonia, Finland, France, Georgia, Germany, Greece, Hungary, Iceland, Ireland, Italy, Kosovo, Latvia, Liechtenstein, Lithuania, Luxembourg, Malta, Moldova, Monaco, Montenegro, Netherlands, North Macedonia, Norway, Poland, Portugal, Romania, San Marino, Serbia, Slovakia, Slovenia, Spain, Sweden, Switzerland, Turkey, Ukraine, United Kingdom</t>
        </is>
      </c>
      <c r="Q1517" s="1" t="inlineStr">
        <is>
          <t>0 to 10</t>
        </is>
      </c>
      <c r="R1517" t="inlineStr">
        <is>
          <t>Micro</t>
        </is>
      </c>
      <c r="S1517" s="1" t="inlineStr">
        <is>
          <t>Business to Business, Business to Government</t>
        </is>
      </c>
      <c r="T1517" s="1" t="inlineStr">
        <is>
          <t>Corporate Training</t>
        </is>
      </c>
      <c r="U1517" s="1" t="inlineStr">
        <is>
          <t>Teacher interfacing, Student interfacing, System/Administrative</t>
        </is>
      </c>
      <c r="V1517" s="1" t="n"/>
      <c r="W1517" s="1" t="inlineStr">
        <is>
          <t>https://drive.google.com/uc?export=view&amp;id=1D1XsV6F3U7A6J7aSzM9bXpRnXJ1MfyNJ</t>
        </is>
      </c>
      <c r="X1517" s="1" t="inlineStr">
        <is>
          <t>https://drive.google.com/uc?export=view&amp;id=1D1XsV6F3U7A6J7aSzM9bXpRnXJ1MfyNJ</t>
        </is>
      </c>
      <c r="Y1517" t="inlineStr">
        <is>
          <t>https://drive.google.com/uc?export=view&amp;id=1D1XsV6F3U7A6J7aSzM9bXpRnXJ1MfyNJ</t>
        </is>
      </c>
      <c r="Z1517" s="1" t="inlineStr">
        <is>
          <t>https://drive.google.com/uc?export=view&amp;id=1D1XsV6F3U7A6J7aSzM9bXpRnXJ1MfyNJ</t>
        </is>
      </c>
      <c r="AA1517" s="1" t="inlineStr">
        <is>
          <t>Unverified</t>
        </is>
      </c>
      <c r="AB1517" s="1" t="n"/>
      <c r="AC1517" s="1" t="n"/>
      <c r="AD1517" s="10" t="n"/>
      <c r="AE1517" s="1" t="n"/>
      <c r="AF1517" s="1" t="inlineStr">
        <is>
          <t>No</t>
        </is>
      </c>
      <c r="AG1517" s="1" t="n"/>
      <c r="AH1517" s="1" t="n"/>
    </row>
    <row r="1518" ht="12.5" customHeight="1">
      <c r="A1518" s="6" t="n">
        <v>45181</v>
      </c>
      <c r="B1518" s="1" t="inlineStr">
        <is>
          <t>ORG_1807</t>
        </is>
      </c>
      <c r="C1518" s="1" t="b">
        <v>1</v>
      </c>
      <c r="D1518" s="1" t="inlineStr">
        <is>
          <t>LabsLand</t>
        </is>
      </c>
      <c r="E1518" s="10" t="inlineStr">
        <is>
          <t>https://labsland.com</t>
        </is>
      </c>
      <c r="F1518" t="inlineStr">
        <is>
          <t>labsland.com</t>
        </is>
      </c>
      <c r="G1518" s="1" t="inlineStr">
        <is>
          <t>LabsLand is an EdTech company. We provide remote access to real educational laboratory equipment, like those that are used already for their practices, but through the Internet. Our goal is to improve and to democratise STEAM education of all levels, including schools and universities. With our technologies, students can access those physically real laboratories using only their browser, anytime and anywhere. We work with universities around the world and collaborate with them to create and deploy them, promoting a global network of shared laboratories.</t>
        </is>
      </c>
      <c r="H1518" s="1" t="inlineStr">
        <is>
          <t>I'm not part of any EdTech association</t>
        </is>
      </c>
      <c r="I1518" s="1" t="n"/>
      <c r="J1518" s="1" t="inlineStr">
        <is>
          <t>Bilbao</t>
        </is>
      </c>
      <c r="K1518" t="inlineStr">
        <is>
          <t>Bilbao</t>
        </is>
      </c>
      <c r="L1518" t="inlineStr">
        <is>
          <t>Bilbao, Spain</t>
        </is>
      </c>
      <c r="M1518" t="n">
        <v>43.2630018</v>
      </c>
      <c r="N1518" t="n">
        <v>-2.9350039</v>
      </c>
      <c r="O1518" s="1" t="inlineStr">
        <is>
          <t>Spain</t>
        </is>
      </c>
      <c r="P1518" s="1" t="inlineStr">
        <is>
          <t>Germany, Italy, Spain</t>
        </is>
      </c>
      <c r="Q1518" s="1" t="inlineStr">
        <is>
          <t>0 to 10</t>
        </is>
      </c>
      <c r="R1518" t="inlineStr">
        <is>
          <t>Micro</t>
        </is>
      </c>
      <c r="S1518" s="1" t="inlineStr">
        <is>
          <t>Business to Business, Business to Government, Business to Schools</t>
        </is>
      </c>
      <c r="T1518" s="1" t="inlineStr">
        <is>
          <t>Secondary Education, Higher Education, Corporate Training</t>
        </is>
      </c>
      <c r="U1518" s="1" t="inlineStr">
        <is>
          <t>Teacher interfacing, System/Administrative</t>
        </is>
      </c>
      <c r="V1518" s="1" t="n"/>
      <c r="W1518" s="1" t="inlineStr">
        <is>
          <t>https://drive.google.com/uc?export=view&amp;id=1pGYfGSnBWbO09DrPvqgNwxXSoRPjVGnB</t>
        </is>
      </c>
      <c r="X1518" s="1" t="inlineStr">
        <is>
          <t>https://drive.google.com/uc?export=view&amp;id=1pGYfGSnBWbO09DrPvqgNwxXSoRPjVGnB</t>
        </is>
      </c>
      <c r="Y1518" t="inlineStr">
        <is>
          <t>https://drive.google.com/uc?export=view&amp;id=1pGYfGSnBWbO09DrPvqgNwxXSoRPjVGnB</t>
        </is>
      </c>
      <c r="Z1518" s="1" t="inlineStr">
        <is>
          <t>https://drive.google.com/uc?export=view&amp;id=1pGYfGSnBWbO09DrPvqgNwxXSoRPjVGnB</t>
        </is>
      </c>
      <c r="AA1518" s="1" t="inlineStr">
        <is>
          <t>Unverified</t>
        </is>
      </c>
      <c r="AB1518" s="1" t="n"/>
      <c r="AC1518" s="1" t="n"/>
      <c r="AD1518" s="10" t="n"/>
      <c r="AE1518" s="1" t="n"/>
      <c r="AF1518" s="1" t="inlineStr">
        <is>
          <t>No</t>
        </is>
      </c>
      <c r="AG1518" s="1" t="n"/>
      <c r="AH1518" s="1" t="n"/>
    </row>
    <row r="1519" ht="12.5" customHeight="1">
      <c r="A1519" s="6" t="n">
        <v>45181</v>
      </c>
      <c r="B1519" s="1" t="inlineStr">
        <is>
          <t>ORG_1830</t>
        </is>
      </c>
      <c r="C1519" s="1" t="b">
        <v>1</v>
      </c>
      <c r="D1519" s="1" t="inlineStr">
        <is>
          <t>Learnetic SA</t>
        </is>
      </c>
      <c r="E1519" s="10" t="inlineStr">
        <is>
          <t>learnetic.com</t>
        </is>
      </c>
      <c r="F1519" t="inlineStr">
        <is>
          <t>learnetic.com</t>
        </is>
      </c>
      <c r="G1519" s="1" t="inlineStr">
        <is>
          <t>We help educational publishers, digital disruptors and ministries of education implement their technology-driven ePublishing projects and strategies.
By providing solutions at almost every stage of ePublishing processes, we offer a complete suite of Authoring Tools, eLearning &amp; Delivery Platforms, eContent Development Services and ready-made, highly interactive Educational eContent Packages that are WCAG-compliant.</t>
        </is>
      </c>
      <c r="H1519" s="1" t="inlineStr">
        <is>
          <t>EdTech Poland</t>
        </is>
      </c>
      <c r="I1519" s="1" t="n"/>
      <c r="J1519" s="1" t="inlineStr">
        <is>
          <t>Gdansk</t>
        </is>
      </c>
      <c r="K1519" t="inlineStr">
        <is>
          <t>Gdansk</t>
        </is>
      </c>
      <c r="L1519" t="inlineStr">
        <is>
          <t>Gdansk, Poland</t>
        </is>
      </c>
      <c r="M1519" t="n">
        <v>54.3482907</v>
      </c>
      <c r="N1519" t="n">
        <v>18.6540233</v>
      </c>
      <c r="O1519" s="1" t="inlineStr">
        <is>
          <t>Poland</t>
        </is>
      </c>
      <c r="P1519" s="1" t="inlineStr">
        <is>
          <t>Bulgaria, Croatia, Czechia, Finland, France, Georgia, Germany, Greece, Ireland, Italy, Kazakhstan, Lithuania, North Macedonia, Norway, Poland, Portugal, Romania, Serbia, Slovakia, Slovenia, Spain, Turkey, Ukraine</t>
        </is>
      </c>
      <c r="Q1519" s="1" t="inlineStr">
        <is>
          <t>100+</t>
        </is>
      </c>
      <c r="R1519" t="inlineStr">
        <is>
          <t>Medium or Large (unspecified)</t>
        </is>
      </c>
      <c r="S1519" s="1" t="inlineStr">
        <is>
          <t>Business to Business, Business to Government, Business to Schools</t>
        </is>
      </c>
      <c r="T1519" s="1" t="inlineStr">
        <is>
          <t>Early childhood development (0-5 years), Primary Education, Secondary Education</t>
        </is>
      </c>
      <c r="U1519" s="1" t="inlineStr">
        <is>
          <t>System/Administrative</t>
        </is>
      </c>
      <c r="V1519" s="1" t="inlineStr">
        <is>
          <t>Ready-made content</t>
        </is>
      </c>
      <c r="W1519" s="1" t="inlineStr">
        <is>
          <t>We offer a ready suite of eContent packages in different subjects, including Special Educational Needs courseware and the world-largest and most comprehensive Digital Math &amp; Science K-12 Curriculum comprising highly interactive digital lessons and Learning Objects. We develop and extend our products according to the constantly increasing demands of business partners and to the latest technologies available for the end users of our products at home and in school environments.</t>
        </is>
      </c>
      <c r="X1519" s="10" t="inlineStr">
        <is>
          <t>mAuthor - Authoring Tool</t>
        </is>
      </c>
      <c r="Y1519" t="inlineStr">
        <is>
          <t>mAuthor - an authoring tool, which is a cloud-based eDevelopment Platform designed for the specific needs of K-12 educational publishers. It’s an award-winning solution, proven by renowned publishers. mAuthor is a tool for creating interactive educational content, digitizing textbooks, and designing modern, accessible education. It provides all tools to create WCAG-compliant materials.</t>
        </is>
      </c>
      <c r="Z1519" s="1" t="inlineStr">
        <is>
          <t>https://drive.google.com/uc?export=view&amp;id=10-cWWf6p64z0dCc7L3Lq7nKABUZE85Io</t>
        </is>
      </c>
      <c r="AA1519" s="1" t="inlineStr">
        <is>
          <t>Unverified</t>
        </is>
      </c>
      <c r="AB1519" s="1" t="n"/>
      <c r="AC1519" s="1" t="n"/>
      <c r="AD1519" s="10" t="n"/>
      <c r="AE1519" s="1" t="n"/>
      <c r="AF1519" s="1" t="inlineStr">
        <is>
          <t>Yes</t>
        </is>
      </c>
      <c r="AG1519" s="1" t="inlineStr">
        <is>
          <t>https://www.linkedin.com/company/learnetic</t>
        </is>
      </c>
      <c r="AH1519" s="1" t="inlineStr">
        <is>
          <t>https://www.linkedin.com/company/learnetic</t>
        </is>
      </c>
      <c r="AI1519" t="inlineStr">
        <is>
          <t>https://www.linkedin.com/company/learnetic</t>
        </is>
      </c>
    </row>
    <row r="1520" ht="12.5" customHeight="1">
      <c r="A1520" s="6" t="n">
        <v>45181</v>
      </c>
      <c r="B1520" s="1" t="inlineStr">
        <is>
          <t>ORG_1849</t>
        </is>
      </c>
      <c r="C1520" s="1" t="b">
        <v>1</v>
      </c>
      <c r="D1520" s="1" t="inlineStr">
        <is>
          <t>LEIAL TECHNOLOGIES</t>
        </is>
      </c>
      <c r="E1520" s="10" t="inlineStr">
        <is>
          <t>https://www.leialtechnologies.com/</t>
        </is>
      </c>
      <c r="F1520" t="inlineStr">
        <is>
          <t>leialtechnologies.com</t>
        </is>
      </c>
      <c r="G1520" s="1" t="inlineStr">
        <is>
          <t>LEIAL is born with the solid commitment to bring to the market the means and tools required to give the best and most complete training in industrial robotics. We want to put our products within reach of any training centre, of any student. We want to tear down the barriers created by the lack of adequate tools in the education market, hindering the study of this technology, hindering the study of a standard.
LEIAL is born to become that standard.</t>
        </is>
      </c>
      <c r="H1520" s="1" t="inlineStr">
        <is>
          <t>I'm not part of any EdTech association</t>
        </is>
      </c>
      <c r="I1520" s="1" t="n"/>
      <c r="J1520" s="1" t="inlineStr">
        <is>
          <t>Noain</t>
        </is>
      </c>
      <c r="K1520" t="inlineStr">
        <is>
          <t>Noain</t>
        </is>
      </c>
      <c r="L1520" t="inlineStr">
        <is>
          <t>Noain, Spain</t>
        </is>
      </c>
      <c r="M1520" t="n">
        <v>42.7711444</v>
      </c>
      <c r="N1520" t="n">
        <v>-1.6456215</v>
      </c>
      <c r="O1520" s="1" t="inlineStr">
        <is>
          <t>Spain</t>
        </is>
      </c>
      <c r="P1520" s="1" t="inlineStr">
        <is>
          <t>Spain</t>
        </is>
      </c>
      <c r="Q1520" s="1" t="inlineStr">
        <is>
          <t>0 to 10</t>
        </is>
      </c>
      <c r="R1520" t="inlineStr">
        <is>
          <t>Micro</t>
        </is>
      </c>
      <c r="S1520" s="1" t="inlineStr">
        <is>
          <t>Business to Business, Business to Government, Business to Schools</t>
        </is>
      </c>
      <c r="T1520" s="1" t="inlineStr">
        <is>
          <t>Higher Education, Corporate Training</t>
        </is>
      </c>
      <c r="U1520" s="1" t="inlineStr">
        <is>
          <t>Teacher interfacing, Student interfacing, System/Administrative</t>
        </is>
      </c>
      <c r="V1520" s="1" t="n"/>
      <c r="W1520" s="1" t="inlineStr">
        <is>
          <t>https://drive.google.com/uc?export=view&amp;id=1jXVc3cvQPrmw3c-hTXD68WYawMa_n6Bx</t>
        </is>
      </c>
      <c r="X1520" s="1" t="inlineStr">
        <is>
          <t>https://drive.google.com/uc?export=view&amp;id=1jXVc3cvQPrmw3c-hTXD68WYawMa_n6Bx</t>
        </is>
      </c>
      <c r="Y1520" t="inlineStr">
        <is>
          <t>https://drive.google.com/uc?export=view&amp;id=1jXVc3cvQPrmw3c-hTXD68WYawMa_n6Bx</t>
        </is>
      </c>
      <c r="Z1520" s="1" t="inlineStr">
        <is>
          <t>https://drive.google.com/uc?export=view&amp;id=1jXVc3cvQPrmw3c-hTXD68WYawMa_n6Bx</t>
        </is>
      </c>
      <c r="AA1520" s="1" t="inlineStr">
        <is>
          <t>Unverified</t>
        </is>
      </c>
      <c r="AB1520" s="1" t="n"/>
      <c r="AC1520" s="1" t="n"/>
      <c r="AD1520" s="10" t="n"/>
      <c r="AE1520" s="1" t="n"/>
      <c r="AF1520" s="1" t="inlineStr">
        <is>
          <t>No</t>
        </is>
      </c>
      <c r="AG1520" s="1" t="n"/>
      <c r="AH1520" s="1" t="n"/>
    </row>
    <row r="1521" ht="12.5" customHeight="1">
      <c r="A1521" s="6" t="n">
        <v>45181</v>
      </c>
      <c r="B1521" s="1" t="inlineStr">
        <is>
          <t>ORG_1921</t>
        </is>
      </c>
      <c r="C1521" s="1" t="b">
        <v>1</v>
      </c>
      <c r="D1521" s="1" t="inlineStr">
        <is>
          <t>MasQueLearning</t>
        </is>
      </c>
      <c r="E1521" s="10" t="inlineStr">
        <is>
          <t>masquelearning.com</t>
        </is>
      </c>
      <c r="F1521" t="inlineStr">
        <is>
          <t>masquelearning.com</t>
        </is>
      </c>
      <c r="G1521" s="1" t="inlineStr">
        <is>
          <t>We have been revolutionizing traditional projects into memorable experiences for companies, institutions and city councils for more than 10 years through disruptive methodologies such as Gamification, Storytelling and Design Thinking.</t>
        </is>
      </c>
      <c r="H1521" s="1" t="inlineStr">
        <is>
          <t>I'm not part of any EdTech association</t>
        </is>
      </c>
      <c r="I1521" s="1" t="inlineStr">
        <is>
          <t>Spanish, English, French, German, Italian, Catalan</t>
        </is>
      </c>
      <c r="J1521" s="1" t="inlineStr">
        <is>
          <t>Hospitalet De Llobregat</t>
        </is>
      </c>
      <c r="K1521" t="inlineStr">
        <is>
          <t>Hospitalet De Llobregat</t>
        </is>
      </c>
      <c r="L1521" t="inlineStr">
        <is>
          <t>Hospitalet De Llobregat, Spain</t>
        </is>
      </c>
      <c r="M1521" t="n">
        <v>41.3595118</v>
      </c>
      <c r="N1521" t="n">
        <v>2.0996318</v>
      </c>
      <c r="O1521" s="1" t="inlineStr">
        <is>
          <t>Spain</t>
        </is>
      </c>
      <c r="P1521" s="1" t="inlineStr">
        <is>
          <t>Andorra, Belgium, Denmark, Finland, France, Germany, Ireland, Italy, Liechtenstein, Luxembourg, Monaco, Netherlands, Norway, Portugal, San Marino, Spain, Sweden, Switzerland, United Kingdom</t>
        </is>
      </c>
      <c r="Q1521" s="1" t="inlineStr">
        <is>
          <t>3 to 5</t>
        </is>
      </c>
      <c r="R1521" t="inlineStr">
        <is>
          <t>Micro</t>
        </is>
      </c>
      <c r="S1521" s="1" t="inlineStr">
        <is>
          <t>Business to Business, Business to Government, Business to Schools</t>
        </is>
      </c>
      <c r="T1521" s="1" t="inlineStr">
        <is>
          <t>Secondary Education, Corporate Training, Lifelong learning/Adult education, Vocational Education and Training (VET), Higher Education</t>
        </is>
      </c>
      <c r="U1521" s="1" t="inlineStr">
        <is>
          <t>Student interfacing, System/Administrative</t>
        </is>
      </c>
      <c r="V1521" s="10" t="inlineStr">
        <is>
          <t>Digital experiences</t>
        </is>
      </c>
      <c r="W1521" s="10" t="inlineStr">
        <is>
          <t>We design incredible digital experiences: Game-Learnings, Minigames and gamified platforms. Connect with your audience in an epic, different and fun way. Measure, quantify the actions of your users and optimize your results.</t>
        </is>
      </c>
      <c r="X1521" s="10" t="inlineStr">
        <is>
          <t>Gamification consulting</t>
        </is>
      </c>
      <c r="Y1521" t="inlineStr">
        <is>
          <t>Execute with simplicity and impact. Make the complex easy with our experts as your ally. We are a multidisciplinary team that will accompany you to design a project from scratch with a fresh and innovative approach, focusing on results.
Transform the capabilities of your collaborators. Lead change through agility, innovation, collaboration and technology as part of your daily life.
Improve your sales Engage, build loyalty and transform your end customer's experience with gamification and storytelling. Get your results.
Evolve your way of communicating. Connect with all generations and remove demotivation. Memorable narratives for routine processes: On-Boarding, internal communication campaign, work environment and online and in-person facilitation.
Learn to innovate. Connect and think outside the box. Experts in teaching workshops on Gamification Design, Design Thinking, Lego® Serious Play®, Tejeredes, Sirkona, among others.</t>
        </is>
      </c>
      <c r="Z1521" s="1" t="inlineStr">
        <is>
          <t>https://drive.google.com/uc?export=view&amp;id=1D7vaiwp4PWexcF_2EBUHmlqv54u8PMpH</t>
        </is>
      </c>
      <c r="AA1521" s="1" t="inlineStr">
        <is>
          <t>Unverified</t>
        </is>
      </c>
      <c r="AB1521" s="1" t="n"/>
      <c r="AC1521" s="1" t="n"/>
      <c r="AD1521" s="10" t="n"/>
      <c r="AE1521" s="1" t="n"/>
      <c r="AF1521" s="1" t="inlineStr">
        <is>
          <t>Yes</t>
        </is>
      </c>
      <c r="AG1521" s="1" t="inlineStr">
        <is>
          <t>https://www.instagram.com/masquelearning/?hl=es</t>
        </is>
      </c>
      <c r="AH1521" s="1" t="inlineStr">
        <is>
          <t>https://twitter.com/MasQueLearning</t>
        </is>
      </c>
      <c r="AI1521" t="inlineStr">
        <is>
          <t>https://es.linkedin.com/company/mqlplay</t>
        </is>
      </c>
    </row>
    <row r="1522" ht="12.5" customHeight="1">
      <c r="A1522" s="6" t="n">
        <v>45181</v>
      </c>
      <c r="B1522" s="1" t="inlineStr">
        <is>
          <t>ORG_2149</t>
        </is>
      </c>
      <c r="C1522" s="1" t="b">
        <v>1</v>
      </c>
      <c r="D1522" s="1" t="inlineStr">
        <is>
          <t>Quodus</t>
        </is>
      </c>
      <c r="E1522" s="10" t="inlineStr">
        <is>
          <t>https://quodus.ai</t>
        </is>
      </c>
      <c r="F1522" t="inlineStr">
        <is>
          <t>quodus.ai</t>
        </is>
      </c>
      <c r="G1522" s="1" t="inlineStr">
        <is>
          <t>Quodus is smart campus solution that helps education make the most of the space they occupy.
Quodus is a software solution that harvests data from spaces using computer vision and multi-parametric sensing to combine this data with the planned use to help our clients improve their productivity and space efficiency, to reduce running costs and avoid unneeded investments in new building construction.
Quodus has two different use cases: A) Scheduled use spaces, where space occupancy and planning is optimized and B) Free use spaces, where user experience is enhanced with real time occupancy information.</t>
        </is>
      </c>
      <c r="H1522" s="1" t="inlineStr">
        <is>
          <t>SEK Lab</t>
        </is>
      </c>
      <c r="I1522" s="1" t="n"/>
      <c r="J1522" s="1" t="inlineStr">
        <is>
          <t>Sevilla</t>
        </is>
      </c>
      <c r="K1522" t="inlineStr">
        <is>
          <t>Sevilla</t>
        </is>
      </c>
      <c r="L1522" t="inlineStr">
        <is>
          <t>Sevilla, Spain</t>
        </is>
      </c>
      <c r="M1522" t="n">
        <v>37.3886303</v>
      </c>
      <c r="N1522" t="n">
        <v>-5.9953403</v>
      </c>
      <c r="O1522" s="1" t="inlineStr">
        <is>
          <t>Spain</t>
        </is>
      </c>
      <c r="P1522" s="1" t="inlineStr">
        <is>
          <t>Spain, United Kingdom</t>
        </is>
      </c>
      <c r="Q1522" s="1" t="inlineStr">
        <is>
          <t>0 to 10</t>
        </is>
      </c>
      <c r="R1522" t="inlineStr">
        <is>
          <t>Micro</t>
        </is>
      </c>
      <c r="S1522" s="1" t="inlineStr">
        <is>
          <t>Business to Business, Business to Schools</t>
        </is>
      </c>
      <c r="T1522" s="1" t="inlineStr">
        <is>
          <t>Higher Education, Corporate Training</t>
        </is>
      </c>
      <c r="U1522" s="1" t="inlineStr">
        <is>
          <t>System/Administrative</t>
        </is>
      </c>
      <c r="V1522" s="1" t="inlineStr">
        <is>
          <t>Quodus Planned</t>
        </is>
      </c>
      <c r="W1522" s="1" t="inlineStr">
        <is>
          <t>Quodus Planned monitors educational spaces harvesting real time data and combining it with with the existing scheduling software.
This solution highlights space use inefficiencies and detects any difference between planned and executed activity.
With Quodus Planned, education institutions make the most of the space they occupy, increase their productivity and are more energy-efficient.</t>
        </is>
      </c>
      <c r="X1522" s="1" t="inlineStr">
        <is>
          <t>Quodus Study</t>
        </is>
      </c>
      <c r="Y1522" t="inlineStr">
        <is>
          <t>Quodus Study helps enhance user experience in study rooms, libraries, cafes etc. 
Users (mostly students) see seat by seat occupancy that is obtained with Deep learning algorithms that evaluate the occupancy of the desks. The users know before leaving their homes the absolute occupancy of the place they want to study at and they know, once they are at the place seat-by-seat desk occupancy and desk surface occupancy monitoring, detecting occupation with personal belongings (laptop, bag, etc.)</t>
        </is>
      </c>
      <c r="Z1522" s="1" t="inlineStr">
        <is>
          <t>https://drive.google.com/uc?export=view&amp;id=1Nij2ibAzNi8pUTJLIEzH953hcsVRMfn2</t>
        </is>
      </c>
      <c r="AA1522" s="1" t="inlineStr">
        <is>
          <t>Unverified</t>
        </is>
      </c>
      <c r="AB1522" s="1" t="n"/>
      <c r="AC1522" s="1" t="n"/>
      <c r="AD1522" s="10" t="n"/>
      <c r="AE1522" s="1" t="n"/>
      <c r="AF1522" s="1" t="inlineStr">
        <is>
          <t>No</t>
        </is>
      </c>
      <c r="AG1522" s="1" t="n"/>
      <c r="AH1522" s="1" t="n"/>
    </row>
    <row r="1523" ht="12.5" customHeight="1">
      <c r="A1523" s="6" t="n">
        <v>45181</v>
      </c>
      <c r="B1523" s="1" t="inlineStr">
        <is>
          <t>ORG_2158</t>
        </is>
      </c>
      <c r="C1523" s="1" t="b">
        <v>1</v>
      </c>
      <c r="D1523" s="1" t="inlineStr">
        <is>
          <t>Rbean</t>
        </is>
      </c>
      <c r="E1523" s="10" t="inlineStr">
        <is>
          <t>https://rbean.io</t>
        </is>
      </c>
      <c r="F1523" t="inlineStr">
        <is>
          <t>rbean.io</t>
        </is>
      </c>
      <c r="G1523" s="1" t="inlineStr">
        <is>
          <t>We are a pedagogy-driven company. We offer a student-centered LMS, we licence transformative tech courses to vocational schools, and we provide consulting in innovative pedagogies to schools &amp; training centers.</t>
        </is>
      </c>
      <c r="H1523" s="1" t="inlineStr">
        <is>
          <t>EdTech France</t>
        </is>
      </c>
      <c r="I1523" s="1" t="n"/>
      <c r="J1523" s="1" t="inlineStr">
        <is>
          <t>Paris</t>
        </is>
      </c>
      <c r="K1523" t="inlineStr">
        <is>
          <t>Paris</t>
        </is>
      </c>
      <c r="L1523" t="inlineStr">
        <is>
          <t>Paris, France</t>
        </is>
      </c>
      <c r="M1523" t="n">
        <v>48.8534951</v>
      </c>
      <c r="N1523" t="n">
        <v>2.3483915</v>
      </c>
      <c r="O1523" s="1" t="inlineStr">
        <is>
          <t>France</t>
        </is>
      </c>
      <c r="P1523" s="1" t="inlineStr">
        <is>
          <t>France</t>
        </is>
      </c>
      <c r="Q1523" s="1" t="inlineStr">
        <is>
          <t>0 to 10</t>
        </is>
      </c>
      <c r="R1523" t="inlineStr">
        <is>
          <t>Micro</t>
        </is>
      </c>
      <c r="S1523" s="1" t="inlineStr">
        <is>
          <t>Business to Business, Business to Schools</t>
        </is>
      </c>
      <c r="T1523" s="1" t="inlineStr">
        <is>
          <t>Higher Education, Corporate Training</t>
        </is>
      </c>
      <c r="U1523" s="1" t="inlineStr">
        <is>
          <t>Student interfacing, Teacher interfacing, System/Administrative</t>
        </is>
      </c>
      <c r="V1523" s="1" t="inlineStr">
        <is>
          <t>RbeanLMS</t>
        </is>
      </c>
      <c r="W1523" s="1" t="inlineStr">
        <is>
          <t>We have built a learning platform that communicates the right messages about learning. It supports innovative pedagogical practices (project-based learning, peer learning, development of metacognition, advanced gamification) and helps educators craft and run engaging learning experiences.</t>
        </is>
      </c>
      <c r="X1523" s="10" t="inlineStr">
        <is>
          <t>Tech vocational programs</t>
        </is>
      </c>
      <c r="Y1523" t="inlineStr">
        <is>
          <t>Rbean provides empowering tech courses (coding, digital marketing, data science), tailored to each school's needs and specific audience. The courses develop both hard and soft skills, and are deployed out-of-the-box on our platform.</t>
        </is>
      </c>
      <c r="Z1523" s="1" t="inlineStr">
        <is>
          <t>https://drive.google.com/uc?export=view&amp;id=1tFTIKiXgS7IteYSGw21rFR2mHqdgXn-n</t>
        </is>
      </c>
      <c r="AA1523" s="1" t="inlineStr">
        <is>
          <t>Unverified</t>
        </is>
      </c>
      <c r="AB1523" s="1" t="n"/>
      <c r="AC1523" s="1" t="n"/>
      <c r="AD1523" s="10" t="n"/>
      <c r="AE1523" s="1" t="n"/>
      <c r="AF1523" s="1" t="inlineStr">
        <is>
          <t>Yes</t>
        </is>
      </c>
      <c r="AG1523" s="1" t="inlineStr">
        <is>
          <t>https://www.linkedin.com/company/30967711/</t>
        </is>
      </c>
      <c r="AH1523" s="1" t="inlineStr">
        <is>
          <t>https://www.linkedin.com/company/30967711/</t>
        </is>
      </c>
      <c r="AI1523" t="inlineStr">
        <is>
          <t>https://www.linkedin.com/company/30967711/</t>
        </is>
      </c>
    </row>
    <row r="1524" ht="12.5" customHeight="1">
      <c r="A1524" s="6" t="n">
        <v>45181</v>
      </c>
      <c r="B1524" s="1" t="inlineStr">
        <is>
          <t>ORG_2169</t>
        </is>
      </c>
      <c r="C1524" s="1" t="b">
        <v>1</v>
      </c>
      <c r="D1524" s="1" t="inlineStr">
        <is>
          <t>Reconcept</t>
        </is>
      </c>
      <c r="E1524" s="10" t="inlineStr">
        <is>
          <t>https://reconcept.nl</t>
        </is>
      </c>
      <c r="F1524" t="inlineStr">
        <is>
          <t>reconcept.nl</t>
        </is>
      </c>
      <c r="G1524" s="1" t="inlineStr">
        <is>
          <t>Reconcept is a state of the art skills and development portfolio for higher education and medical education. It is used by more than half of all medical students in The Netherlands and provides a tailored experience for students.
Reconcept Portfolio is used to collect feedback from supervisors and peers and to give validated assessments of technical and soft skills. Tools include 360 feedback, peer feedback, handing in assignments and setting personal goals.</t>
        </is>
      </c>
      <c r="H1524" s="1" t="inlineStr">
        <is>
          <t>Dutch EdTech</t>
        </is>
      </c>
      <c r="I1524" s="1" t="n"/>
      <c r="J1524" s="1" t="inlineStr">
        <is>
          <t>Groningen</t>
        </is>
      </c>
      <c r="K1524" t="inlineStr">
        <is>
          <t>Groningen</t>
        </is>
      </c>
      <c r="L1524" t="inlineStr">
        <is>
          <t>Groningen, The Netherlands</t>
        </is>
      </c>
      <c r="M1524" t="n">
        <v>53.1974568</v>
      </c>
      <c r="N1524" t="n">
        <v>6.5225217</v>
      </c>
      <c r="O1524" s="1" t="inlineStr">
        <is>
          <t>The Netherlands</t>
        </is>
      </c>
      <c r="P1524" s="1" t="inlineStr">
        <is>
          <t>Netherlands</t>
        </is>
      </c>
      <c r="Q1524" s="1" t="inlineStr">
        <is>
          <t>0 to 10</t>
        </is>
      </c>
      <c r="R1524" t="inlineStr">
        <is>
          <t>Micro</t>
        </is>
      </c>
      <c r="S1524" s="1" t="inlineStr">
        <is>
          <t>Business to Business, Business to Schools</t>
        </is>
      </c>
      <c r="T1524" s="1" t="inlineStr">
        <is>
          <t>Higher Education, Corporate Training, Lifelong learning/Adult education</t>
        </is>
      </c>
      <c r="U1524" s="1" t="inlineStr">
        <is>
          <t>Student interfacing, Teacher interfacing, System/Administrative</t>
        </is>
      </c>
      <c r="V1524" s="1" t="inlineStr">
        <is>
          <t>Reconcept Portfolio</t>
        </is>
      </c>
      <c r="W1524" s="1" t="inlineStr">
        <is>
          <t>Reconcept is a state of the art skills and development portfolio for higher education and medical education. It is used by more than half of all medical students in The Netherlands and provides a tailored experience for students.
Reconcept Portfolio is used to collect feedback from supervisors and peers and to give validated assessments of technical and soft skills. Tools include 360 feedback, peer feedback, handing in assignments and setting personal goals.</t>
        </is>
      </c>
      <c r="X1524" s="10" t="inlineStr">
        <is>
          <t>https://drive.google.com/uc?export=view&amp;id=1-QdWXem9dKa6dhy9DV2Ra8cDMGiDBzT4</t>
        </is>
      </c>
      <c r="Y1524" t="inlineStr">
        <is>
          <t>https://drive.google.com/uc?export=view&amp;id=1-QdWXem9dKa6dhy9DV2Ra8cDMGiDBzT4</t>
        </is>
      </c>
      <c r="Z1524" s="1" t="inlineStr">
        <is>
          <t>https://drive.google.com/uc?export=view&amp;id=1-QdWXem9dKa6dhy9DV2Ra8cDMGiDBzT4</t>
        </is>
      </c>
      <c r="AA1524" s="1" t="inlineStr">
        <is>
          <t>Unverified</t>
        </is>
      </c>
      <c r="AB1524" s="1" t="n"/>
      <c r="AC1524" s="1" t="n"/>
      <c r="AD1524" s="10" t="n"/>
      <c r="AE1524" s="1" t="n"/>
      <c r="AF1524" s="1" t="inlineStr">
        <is>
          <t>Yes</t>
        </is>
      </c>
      <c r="AG1524" s="1" t="inlineStr">
        <is>
          <t>https://www.linkedin.com/company/reconcept-it</t>
        </is>
      </c>
      <c r="AH1524" s="1" t="inlineStr">
        <is>
          <t>https://www.linkedin.com/company/reconcept-it</t>
        </is>
      </c>
      <c r="AI1524" t="inlineStr">
        <is>
          <t>https://www.linkedin.com/company/reconcept-it</t>
        </is>
      </c>
    </row>
    <row r="1525" ht="12.5" customHeight="1">
      <c r="A1525" s="6" t="n">
        <v>45181</v>
      </c>
      <c r="B1525" s="1" t="inlineStr">
        <is>
          <t>ORG_2190</t>
        </is>
      </c>
      <c r="C1525" s="1" t="b">
        <v>1</v>
      </c>
      <c r="D1525" s="1" t="inlineStr">
        <is>
          <t>Robokids</t>
        </is>
      </c>
      <c r="E1525" s="10" t="inlineStr">
        <is>
          <t>https://robokidsrobotica.com/</t>
        </is>
      </c>
      <c r="F1525" t="inlineStr">
        <is>
          <t>robokidsrobotica.com</t>
        </is>
      </c>
      <c r="G1525" s="1" t="inlineStr">
        <is>
          <t>It is an educational company that on the basis of gamification makes it easier for students to join promoted educational projects in schools and complements/strengthens the work in terms of capabilities transversal, priority in the current educational system.
In addition, it relieves the most frustrating common among teachers time to interact with the area technological.
Creator of tools to measure, evaluate or review knowledge through virtual escape rooms</t>
        </is>
      </c>
      <c r="H1525" s="1" t="inlineStr">
        <is>
          <t>I'm not part of any EdTech association</t>
        </is>
      </c>
      <c r="I1525" s="1" t="n"/>
      <c r="J1525" s="1" t="inlineStr">
        <is>
          <t>Cordoba</t>
        </is>
      </c>
      <c r="K1525" t="inlineStr">
        <is>
          <t>Cordoba</t>
        </is>
      </c>
      <c r="L1525" t="inlineStr">
        <is>
          <t>Cordoba, Spain</t>
        </is>
      </c>
      <c r="M1525" t="n">
        <v>37.8845813</v>
      </c>
      <c r="N1525" t="n">
        <v>-4.7760138</v>
      </c>
      <c r="O1525" s="1" t="inlineStr">
        <is>
          <t>Spain</t>
        </is>
      </c>
      <c r="P1525" s="1" t="inlineStr">
        <is>
          <t>Andorra, Portugal, Spain</t>
        </is>
      </c>
      <c r="Q1525" s="1" t="inlineStr">
        <is>
          <t>0 to 10</t>
        </is>
      </c>
      <c r="R1525" t="inlineStr">
        <is>
          <t>Micro</t>
        </is>
      </c>
      <c r="S1525" s="1" t="inlineStr">
        <is>
          <t>Business to Consumer</t>
        </is>
      </c>
      <c r="T1525" s="1" t="inlineStr">
        <is>
          <t>Primary Education, Secondary Education, Higher Education, Corporate Training, Lifelong learning/Adult education</t>
        </is>
      </c>
      <c r="U1525" s="1" t="inlineStr">
        <is>
          <t>System/Administrative, Student interfacing, Teacher interfacing</t>
        </is>
      </c>
      <c r="V1525" s="1" t="n"/>
      <c r="W1525" s="1" t="inlineStr">
        <is>
          <t>https://drive.google.com/uc?export=view&amp;id=1l8Lpxo4xv8-MEcnjJ6F6ZsSk2lRevtCH</t>
        </is>
      </c>
      <c r="X1525" s="1" t="inlineStr">
        <is>
          <t>https://drive.google.com/uc?export=view&amp;id=1l8Lpxo4xv8-MEcnjJ6F6ZsSk2lRevtCH</t>
        </is>
      </c>
      <c r="Y1525" t="inlineStr">
        <is>
          <t>https://drive.google.com/uc?export=view&amp;id=1l8Lpxo4xv8-MEcnjJ6F6ZsSk2lRevtCH</t>
        </is>
      </c>
      <c r="Z1525" s="1" t="inlineStr">
        <is>
          <t>https://drive.google.com/uc?export=view&amp;id=1l8Lpxo4xv8-MEcnjJ6F6ZsSk2lRevtCH</t>
        </is>
      </c>
      <c r="AA1525" s="1" t="inlineStr">
        <is>
          <t>Unverified</t>
        </is>
      </c>
      <c r="AB1525" s="1" t="n"/>
      <c r="AC1525" s="1" t="n"/>
      <c r="AD1525" s="10" t="n"/>
      <c r="AE1525" s="1" t="n"/>
      <c r="AF1525" s="1" t="inlineStr">
        <is>
          <t>No</t>
        </is>
      </c>
      <c r="AG1525" s="1" t="n"/>
      <c r="AH1525" s="1" t="n"/>
    </row>
    <row r="1526" ht="12.5" customHeight="1">
      <c r="A1526" s="6" t="n">
        <v>45181</v>
      </c>
      <c r="B1526" s="1" t="inlineStr">
        <is>
          <t>ORG_2202</t>
        </is>
      </c>
      <c r="C1526" s="1" t="b">
        <v>1</v>
      </c>
      <c r="D1526" s="1" t="inlineStr">
        <is>
          <t>Royal Schedule</t>
        </is>
      </c>
      <c r="E1526" s="10" t="inlineStr">
        <is>
          <t>https://royalschedule.com/</t>
        </is>
      </c>
      <c r="F1526" t="inlineStr">
        <is>
          <t>royalschedule.com</t>
        </is>
      </c>
      <c r="G1526" s="1" t="inlineStr">
        <is>
          <t>Royal Schedule has developed an AI-based scheduling platform that can create schedules automatically. Royal Schedule is used by schools in K12 and higher education to create and maintain their schedules.
By using the Royal Schedules AI-based algorithm schools can create completed schedules in a few minutes saving the scheduler a lot of time. Furthermore, by going through millions of iterations the algorithm can optimize the schedule for the schools. This can lead to better usage of their resources and better compliance with rules and regulations.
Royal Schedule features two main products:
1. A cloud-based scheduling platform for end-users.
2. An API service that connects other products directly to the Royal Schedules scheduling algorithm.</t>
        </is>
      </c>
      <c r="H1526" s="1" t="inlineStr">
        <is>
          <t>Swedish EdTech Industry</t>
        </is>
      </c>
      <c r="I1526" s="1" t="n"/>
      <c r="J1526" s="1" t="inlineStr">
        <is>
          <t>Stockholm</t>
        </is>
      </c>
      <c r="K1526" t="inlineStr">
        <is>
          <t>Stockholm</t>
        </is>
      </c>
      <c r="L1526" t="inlineStr">
        <is>
          <t>Stockholm, Sweden</t>
        </is>
      </c>
      <c r="M1526" t="n">
        <v>59.3251172</v>
      </c>
      <c r="N1526" t="n">
        <v>18.0710935</v>
      </c>
      <c r="O1526" s="1" t="inlineStr">
        <is>
          <t>Sweden</t>
        </is>
      </c>
      <c r="P1526" s="1" t="inlineStr">
        <is>
          <t>Germany, Liechtenstein, Spain, Sweden</t>
        </is>
      </c>
      <c r="Q1526" s="1" t="inlineStr">
        <is>
          <t>3 to 5</t>
        </is>
      </c>
      <c r="R1526" t="inlineStr">
        <is>
          <t>Micro</t>
        </is>
      </c>
      <c r="S1526" s="1" t="inlineStr">
        <is>
          <t>Business to Consumer, Business to Schools</t>
        </is>
      </c>
      <c r="T1526" s="1" t="inlineStr">
        <is>
          <t>Primary Education, Secondary Education</t>
        </is>
      </c>
      <c r="U1526" s="1" t="inlineStr">
        <is>
          <t>System/Administrative</t>
        </is>
      </c>
      <c r="V1526" s="1" t="inlineStr">
        <is>
          <t>Royal Schedule platform</t>
        </is>
      </c>
      <c r="W1526" s="1" t="inlineStr">
        <is>
          <t>A cloud-based scheduling platform for K12 and higher education. With the help of a smart AI, the user can create schedules automatically to save time and optimize the school's resources.</t>
        </is>
      </c>
      <c r="X1526" s="10" t="inlineStr">
        <is>
          <t>Royal Schedule API</t>
        </is>
      </c>
      <c r="Y1526" t="inlineStr">
        <is>
          <t>An API service that connects other products directly to the Royal Schedules scheduling algorithm.</t>
        </is>
      </c>
      <c r="Z1526" s="1" t="inlineStr">
        <is>
          <t>https://drive.google.com/uc?export=view&amp;id=1whNpUOMWu7fdOFaS_lOl8JeOV66igEMr</t>
        </is>
      </c>
      <c r="AA1526" s="1" t="inlineStr">
        <is>
          <t>Unverified</t>
        </is>
      </c>
      <c r="AB1526" s="1" t="n"/>
      <c r="AC1526" s="1" t="n"/>
      <c r="AD1526" s="10" t="n"/>
      <c r="AE1526" s="1" t="n"/>
      <c r="AF1526" s="1" t="inlineStr">
        <is>
          <t>Yes</t>
        </is>
      </c>
      <c r="AG1526" s="1" t="inlineStr">
        <is>
          <t>https://www.linkedin.com/company/royalschedule</t>
        </is>
      </c>
      <c r="AH1526" s="1" t="inlineStr">
        <is>
          <t>https://www.linkedin.com/company/royalschedule</t>
        </is>
      </c>
      <c r="AI1526" t="inlineStr">
        <is>
          <t>https://www.linkedin.com/company/royalschedule</t>
        </is>
      </c>
    </row>
    <row r="1527" ht="12.5" customHeight="1">
      <c r="A1527" s="6" t="n">
        <v>45181</v>
      </c>
      <c r="B1527" s="1" t="inlineStr">
        <is>
          <t>ORG_2300</t>
        </is>
      </c>
      <c r="C1527" s="1" t="b">
        <v>1</v>
      </c>
      <c r="D1527" s="1" t="inlineStr">
        <is>
          <t>Spacetechies</t>
        </is>
      </c>
      <c r="E1527" s="10" t="inlineStr">
        <is>
          <t>https://www.spacetechies.com/</t>
        </is>
      </c>
      <c r="F1527" t="inlineStr">
        <is>
          <t>spacetechies.com</t>
        </is>
      </c>
      <c r="G1527" s="1" t="inlineStr">
        <is>
          <t>Spacetechies is a network of training centres in digital skills such as programming, robotics, 3D printing, digital design or entrepreneurship for children from the age of five in order to facilitate employability from an early age.</t>
        </is>
      </c>
      <c r="H1527" s="1" t="inlineStr">
        <is>
          <t>I'm not part of any EdTech association</t>
        </is>
      </c>
      <c r="I1527" s="1" t="n"/>
      <c r="J1527" s="1" t="inlineStr">
        <is>
          <t>Madrid</t>
        </is>
      </c>
      <c r="K1527" t="inlineStr">
        <is>
          <t>Madrid</t>
        </is>
      </c>
      <c r="L1527" t="inlineStr">
        <is>
          <t>Madrid, Spain</t>
        </is>
      </c>
      <c r="M1527" t="n">
        <v>40.416782</v>
      </c>
      <c r="N1527" t="n">
        <v>-3.703507</v>
      </c>
      <c r="O1527" s="1" t="inlineStr">
        <is>
          <t>Spain</t>
        </is>
      </c>
      <c r="P1527" s="1" t="inlineStr">
        <is>
          <t>Spain</t>
        </is>
      </c>
      <c r="Q1527" s="1" t="inlineStr">
        <is>
          <t>11 to 50</t>
        </is>
      </c>
      <c r="R1527" t="inlineStr">
        <is>
          <t>Small</t>
        </is>
      </c>
      <c r="S1527" s="1" t="inlineStr">
        <is>
          <t>Business to Consumer, Business to Schools</t>
        </is>
      </c>
      <c r="T1527" s="1" t="inlineStr">
        <is>
          <t>Primary Education, Secondary Education, Higher Education, Corporate Training, Lifelong learning/Adult education</t>
        </is>
      </c>
      <c r="U1527" s="1" t="inlineStr">
        <is>
          <t>System/Administrative, Student interfacing, Teacher interfacing</t>
        </is>
      </c>
      <c r="V1527" s="1" t="n"/>
      <c r="W1527" s="1" t="inlineStr">
        <is>
          <t>https://drive.google.com/uc?export=view&amp;id=1ON1eu7XSyuNfHhKcmFhjZZr1JE5nxSGf</t>
        </is>
      </c>
      <c r="X1527" s="1" t="inlineStr">
        <is>
          <t>https://drive.google.com/uc?export=view&amp;id=1ON1eu7XSyuNfHhKcmFhjZZr1JE5nxSGf</t>
        </is>
      </c>
      <c r="Y1527" t="inlineStr">
        <is>
          <t>https://drive.google.com/uc?export=view&amp;id=1ON1eu7XSyuNfHhKcmFhjZZr1JE5nxSGf</t>
        </is>
      </c>
      <c r="Z1527" s="1" t="inlineStr">
        <is>
          <t>https://drive.google.com/uc?export=view&amp;id=1ON1eu7XSyuNfHhKcmFhjZZr1JE5nxSGf</t>
        </is>
      </c>
      <c r="AA1527" s="1" t="inlineStr">
        <is>
          <t>Unverified</t>
        </is>
      </c>
      <c r="AB1527" s="1" t="n"/>
      <c r="AC1527" s="1" t="n"/>
      <c r="AD1527" s="10" t="n"/>
      <c r="AE1527" s="1" t="n"/>
      <c r="AF1527" s="1" t="inlineStr">
        <is>
          <t>No</t>
        </is>
      </c>
      <c r="AG1527" s="1" t="n"/>
      <c r="AH1527" s="1" t="n"/>
    </row>
    <row r="1528" ht="12.5" customHeight="1">
      <c r="A1528" s="6" t="n">
        <v>45181</v>
      </c>
      <c r="B1528" s="1" t="inlineStr">
        <is>
          <t>ORG_2313</t>
        </is>
      </c>
      <c r="C1528" s="1" t="b">
        <v>1</v>
      </c>
      <c r="D1528" s="1" t="inlineStr">
        <is>
          <t>Spürnasenecke GmbH</t>
        </is>
      </c>
      <c r="E1528" s="10" t="inlineStr">
        <is>
          <t>https://www.spuernasenecke.com/</t>
        </is>
      </c>
      <c r="F1528" t="inlineStr">
        <is>
          <t>spuernasenecke.com</t>
        </is>
      </c>
      <c r="G1528" s="1" t="inlineStr">
        <is>
          <t>The "Spürnasenecke" is an institution for research and experimentation with children in preschool. It includes specially developed furniture, a wide variety of research utensils from the MINT area (science, technology, engineering, and mathematics) as well as ongoing training and network meetings with the educators.
She arouses interest in STEM subjects, recognizes and promotes talent early on and supports children, to become young specialists in science, technology, engineering and mathematics.
Elli, the expedition squirrel, and Hansi, her rabbit friend, accompany the children on their research adventures.</t>
        </is>
      </c>
      <c r="H1528" s="1" t="inlineStr">
        <is>
          <t>I'm not part of any EdTech association</t>
        </is>
      </c>
      <c r="I1528" s="1" t="n"/>
      <c r="J1528" s="1" t="inlineStr">
        <is>
          <t>Salzburg</t>
        </is>
      </c>
      <c r="K1528" t="inlineStr">
        <is>
          <t>Salzburg</t>
        </is>
      </c>
      <c r="L1528" t="inlineStr">
        <is>
          <t>Salzburg, Austria</t>
        </is>
      </c>
      <c r="M1528" t="n">
        <v>47.7981346</v>
      </c>
      <c r="N1528" t="n">
        <v>13.0464806</v>
      </c>
      <c r="O1528" s="1" t="inlineStr">
        <is>
          <t>Austria</t>
        </is>
      </c>
      <c r="P1528" s="1" t="inlineStr">
        <is>
          <t>Austria, Germany, Switzerland</t>
        </is>
      </c>
      <c r="Q1528" s="1" t="inlineStr">
        <is>
          <t>0 to 10</t>
        </is>
      </c>
      <c r="R1528" t="inlineStr">
        <is>
          <t>Micro</t>
        </is>
      </c>
      <c r="S1528" s="1" t="inlineStr">
        <is>
          <t>Business to Government, Business to Schools</t>
        </is>
      </c>
      <c r="T1528" s="1" t="inlineStr">
        <is>
          <t>Early childhood development (0-5 years), Primary Education</t>
        </is>
      </c>
      <c r="U1528" s="1" t="inlineStr">
        <is>
          <t>System/Administrative</t>
        </is>
      </c>
      <c r="V1528" s="1" t="n"/>
      <c r="W1528" s="1" t="n"/>
      <c r="X1528" s="1" t="n"/>
      <c r="Z1528" s="1" t="n"/>
      <c r="AA1528" s="1" t="inlineStr">
        <is>
          <t>Unverified</t>
        </is>
      </c>
      <c r="AB1528" s="1" t="n"/>
      <c r="AC1528" s="1" t="n"/>
      <c r="AD1528" s="1" t="n"/>
      <c r="AE1528" s="1" t="n"/>
      <c r="AF1528" s="1" t="inlineStr">
        <is>
          <t>No</t>
        </is>
      </c>
      <c r="AG1528" s="1" t="n"/>
      <c r="AH1528" s="1" t="n"/>
    </row>
    <row r="1529" ht="12.5" customHeight="1">
      <c r="A1529" s="6" t="n">
        <v>45181</v>
      </c>
      <c r="B1529" s="1" t="inlineStr">
        <is>
          <t>ORG_2472</t>
        </is>
      </c>
      <c r="C1529" s="1" t="b">
        <v>1</v>
      </c>
      <c r="D1529" s="1" t="inlineStr">
        <is>
          <t>Untis</t>
        </is>
      </c>
      <c r="E1529" s="10" t="inlineStr">
        <is>
          <t>www.untis.at</t>
        </is>
      </c>
      <c r="F1529" t="inlineStr">
        <is>
          <t>untis.at</t>
        </is>
      </c>
      <c r="G1529" s="1" t="inlineStr">
        <is>
          <t>Untis creates timetables with the click of a button for more than 26.000 school worldwide. Among our product suite you find tools for substitution scheduling, room booking, class register, communication and many more...</t>
        </is>
      </c>
      <c r="H1529" s="1" t="inlineStr">
        <is>
          <t>I'm not part of any EdTech association</t>
        </is>
      </c>
      <c r="I1529" s="1" t="n"/>
      <c r="J1529" s="1" t="inlineStr">
        <is>
          <t>Stockerau</t>
        </is>
      </c>
      <c r="K1529" t="inlineStr">
        <is>
          <t>Stockerau</t>
        </is>
      </c>
      <c r="L1529" t="inlineStr">
        <is>
          <t>Stockerau, Austria</t>
        </is>
      </c>
      <c r="M1529" t="n">
        <v>48.3846124</v>
      </c>
      <c r="N1529" t="n">
        <v>16.2076303</v>
      </c>
      <c r="O1529" s="1" t="inlineStr">
        <is>
          <t>Austria</t>
        </is>
      </c>
      <c r="P1529" s="1" t="inlineStr">
        <is>
          <t>Austria, Belgium, Bosnia and Herzegovina, Croatia, Denmark, Estonia, Finland, Germany, Ireland, Italy, Liechtenstein, Lithuania, Luxembourg, Netherlands, Norway, Portugal, Romania, Spain, Sweden, Switzerland</t>
        </is>
      </c>
      <c r="Q1529" s="1" t="inlineStr">
        <is>
          <t>100+</t>
        </is>
      </c>
      <c r="R1529" t="inlineStr">
        <is>
          <t>Medium or Large (unspecified)</t>
        </is>
      </c>
      <c r="S1529" s="1" t="inlineStr">
        <is>
          <t>Business to Schools</t>
        </is>
      </c>
      <c r="T1529" s="1" t="inlineStr">
        <is>
          <t>Primary Education, Secondary Education, Higher Education</t>
        </is>
      </c>
      <c r="U1529" s="1" t="inlineStr">
        <is>
          <t>System/Administrative, Student interfacing, Teacher interfacing</t>
        </is>
      </c>
      <c r="V1529" s="1" t="n"/>
      <c r="W1529" s="1" t="inlineStr">
        <is>
          <t>https://drive.google.com/uc?export=view&amp;id=1tTgCwOtIBd-WISdDO0cFGJ-sdhIC5FK7</t>
        </is>
      </c>
      <c r="X1529" s="1" t="inlineStr">
        <is>
          <t>https://drive.google.com/uc?export=view&amp;id=1tTgCwOtIBd-WISdDO0cFGJ-sdhIC5FK7</t>
        </is>
      </c>
      <c r="Y1529" t="inlineStr">
        <is>
          <t>https://drive.google.com/uc?export=view&amp;id=1tTgCwOtIBd-WISdDO0cFGJ-sdhIC5FK7</t>
        </is>
      </c>
      <c r="Z1529" s="1" t="inlineStr">
        <is>
          <t>https://drive.google.com/uc?export=view&amp;id=1tTgCwOtIBd-WISdDO0cFGJ-sdhIC5FK7</t>
        </is>
      </c>
      <c r="AA1529" s="1" t="inlineStr">
        <is>
          <t>Unverified</t>
        </is>
      </c>
      <c r="AB1529" s="1" t="n"/>
      <c r="AC1529" s="1" t="n"/>
      <c r="AD1529" s="10" t="n"/>
      <c r="AE1529" s="1" t="n"/>
      <c r="AF1529" s="1" t="inlineStr">
        <is>
          <t>No</t>
        </is>
      </c>
      <c r="AG1529" s="1" t="n"/>
      <c r="AH1529" s="1" t="n"/>
    </row>
    <row r="1530" ht="12.5" customHeight="1">
      <c r="A1530" s="6" t="n">
        <v>45181</v>
      </c>
      <c r="B1530" s="1" t="inlineStr">
        <is>
          <t>ORG_2488</t>
        </is>
      </c>
      <c r="C1530" s="1" t="b">
        <v>1</v>
      </c>
      <c r="D1530" s="1" t="inlineStr">
        <is>
          <t>VIALUDO</t>
        </is>
      </c>
      <c r="E1530" s="10" t="inlineStr">
        <is>
          <t>https://www.judicia.app/</t>
        </is>
      </c>
      <c r="F1530" t="inlineStr">
        <is>
          <t>judicia.app</t>
        </is>
      </c>
      <c r="G1530" s="1" t="inlineStr">
        <is>
          <t>VIALUDO has the reason to make available to all through the game essential but reputed difficult to access areas such as law, finance, science, accounting..</t>
        </is>
      </c>
      <c r="H1530" s="1" t="inlineStr">
        <is>
          <t>EdTech France</t>
        </is>
      </c>
      <c r="I1530" s="1" t="n"/>
      <c r="J1530" s="1" t="inlineStr">
        <is>
          <t>Paris</t>
        </is>
      </c>
      <c r="K1530" t="inlineStr">
        <is>
          <t>Paris</t>
        </is>
      </c>
      <c r="L1530" t="inlineStr">
        <is>
          <t>Paris, France</t>
        </is>
      </c>
      <c r="M1530" t="n">
        <v>48.8534951</v>
      </c>
      <c r="N1530" t="n">
        <v>2.3483915</v>
      </c>
      <c r="O1530" s="1" t="inlineStr">
        <is>
          <t>France</t>
        </is>
      </c>
      <c r="P1530" s="1" t="inlineStr">
        <is>
          <t>Austria, Belgium, Denmark, Finland, France, Germany, Greece, Iceland, Ireland, Italy, Liechtenstein, Luxembourg, Malta, Monaco, Netherlands, Norway, Poland, Portugal, Romania, Spain, Sweden, Switzerland, United Kingdom</t>
        </is>
      </c>
      <c r="Q1530" s="1" t="inlineStr">
        <is>
          <t>0 to 10</t>
        </is>
      </c>
      <c r="R1530" t="inlineStr">
        <is>
          <t>Micro</t>
        </is>
      </c>
      <c r="S1530" s="1" t="inlineStr">
        <is>
          <t>Business to Consumer, Business to Government, Business to Schools</t>
        </is>
      </c>
      <c r="T1530" s="1" t="inlineStr">
        <is>
          <t>Secondary Education, Higher Education, Corporate Training, Lifelong learning/Adult education</t>
        </is>
      </c>
      <c r="U1530" s="1" t="inlineStr">
        <is>
          <t>System/Administrative, Student interfacing, Teacher interfacing</t>
        </is>
      </c>
      <c r="V1530" s="1" t="inlineStr">
        <is>
          <t>JUDICIA</t>
        </is>
      </c>
      <c r="W1530" s="1" t="inlineStr">
        <is>
          <t>JUDICIA, the serious game that allows to know its rights</t>
        </is>
      </c>
      <c r="X1530" s="1" t="inlineStr">
        <is>
          <t>https://drive.google.com/uc?export=view&amp;id=1OobHUoE1398omjrJuU_Jjy2mxrcb_GAA</t>
        </is>
      </c>
      <c r="Y1530" t="inlineStr">
        <is>
          <t>https://drive.google.com/uc?export=view&amp;id=1OobHUoE1398omjrJuU_Jjy2mxrcb_GAA</t>
        </is>
      </c>
      <c r="Z1530" s="1" t="inlineStr">
        <is>
          <t>https://drive.google.com/uc?export=view&amp;id=1OobHUoE1398omjrJuU_Jjy2mxrcb_GAA</t>
        </is>
      </c>
      <c r="AA1530" s="1" t="inlineStr">
        <is>
          <t>Unverified</t>
        </is>
      </c>
      <c r="AB1530" s="1" t="n"/>
      <c r="AC1530" s="1" t="n"/>
      <c r="AD1530" s="10" t="n"/>
      <c r="AE1530" s="1" t="n"/>
      <c r="AF1530" s="1" t="inlineStr">
        <is>
          <t>No</t>
        </is>
      </c>
      <c r="AG1530" s="1" t="n"/>
      <c r="AH1530" s="1" t="n"/>
    </row>
    <row r="1531" ht="12.5" customHeight="1">
      <c r="A1531" s="6" t="n">
        <v>45181</v>
      </c>
      <c r="B1531" s="1" t="inlineStr">
        <is>
          <t>ORG_1016</t>
        </is>
      </c>
      <c r="C1531" s="1" t="b">
        <v>1</v>
      </c>
      <c r="D1531" s="1" t="inlineStr">
        <is>
          <t>7Speaking</t>
        </is>
      </c>
      <c r="E1531" s="10" t="inlineStr">
        <is>
          <t>https://www.7speaking.com</t>
        </is>
      </c>
      <c r="F1531" t="inlineStr">
        <is>
          <t>7speaking.com</t>
        </is>
      </c>
      <c r="G1531" s="1" t="inlineStr">
        <is>
          <t>Founded in 2001, 7Speaking has rapidly become a leader in the distance- learning language market. 7Speaking is an innovative French blended-learning company that offers online immersion programs in English, French, Spanish, German and Italian.
We cover every type of linguistic training: individual and group classes, e-learning, social learning, double skill training, news-based lessons, video chat… and every activity is personalized according to the level, profession, sector and interests of learners.
Our key figures:
+ 2000: the number of 7Speaking’s major accounts around the world,
 + 75: the number of 7Speaking’s partners on 5 continents,
 + 20: the number of countries in which 7Speaking is present
(France, Italy, Spain, Germany, Mexico, Brazil, Argentina, Colombia, China, etc.)</t>
        </is>
      </c>
      <c r="H1531" s="1" t="inlineStr">
        <is>
          <t>I'm not part of any EdTech association</t>
        </is>
      </c>
      <c r="I1531" s="1" t="n"/>
      <c r="J1531" s="1" t="inlineStr">
        <is>
          <t>Courbevoie</t>
        </is>
      </c>
      <c r="K1531" t="inlineStr">
        <is>
          <t>Courbevoie</t>
        </is>
      </c>
      <c r="L1531" t="inlineStr">
        <is>
          <t>Courbevoie, France</t>
        </is>
      </c>
      <c r="M1531" t="n">
        <v>48.8953328</v>
      </c>
      <c r="N1531" t="n">
        <v>2.2561602</v>
      </c>
      <c r="O1531" s="1" t="inlineStr">
        <is>
          <t>France</t>
        </is>
      </c>
      <c r="P1531" s="1" t="inlineStr">
        <is>
          <t>Belgium, France, Germany, Italy, Luxembourg, Portugal, Spain, Turkey</t>
        </is>
      </c>
      <c r="Q1531" s="1" t="inlineStr">
        <is>
          <t>11 to 50</t>
        </is>
      </c>
      <c r="R1531" t="inlineStr">
        <is>
          <t>Small</t>
        </is>
      </c>
      <c r="S1531" s="1" t="inlineStr">
        <is>
          <t>Business to Business</t>
        </is>
      </c>
      <c r="T1531" s="1" t="inlineStr">
        <is>
          <t>Corporate Training, Lifelong learning/Adult education</t>
        </is>
      </c>
      <c r="U1531" s="1" t="inlineStr">
        <is>
          <t>Teacher interfacing, Student interfacing, System/Administrative</t>
        </is>
      </c>
      <c r="V1531" s="1" t="n"/>
      <c r="W1531" s="1" t="inlineStr">
        <is>
          <t>https://drive.google.com/uc?export=view&amp;id=1NHaUxnWKf23_Y2ZK_TjavMimWylrYNmv</t>
        </is>
      </c>
      <c r="X1531" s="1" t="inlineStr">
        <is>
          <t>https://drive.google.com/uc?export=view&amp;id=1NHaUxnWKf23_Y2ZK_TjavMimWylrYNmv</t>
        </is>
      </c>
      <c r="Y1531" t="inlineStr">
        <is>
          <t>https://drive.google.com/uc?export=view&amp;id=1NHaUxnWKf23_Y2ZK_TjavMimWylrYNmv</t>
        </is>
      </c>
      <c r="Z1531" s="1" t="inlineStr">
        <is>
          <t>https://drive.google.com/uc?export=view&amp;id=1NHaUxnWKf23_Y2ZK_TjavMimWylrYNmv</t>
        </is>
      </c>
      <c r="AA1531" s="1" t="inlineStr">
        <is>
          <t>Unverified</t>
        </is>
      </c>
      <c r="AB1531" s="1" t="n"/>
      <c r="AC1531" s="1" t="n"/>
      <c r="AD1531" s="10" t="n"/>
      <c r="AE1531" s="1" t="n"/>
      <c r="AF1531" s="1" t="inlineStr">
        <is>
          <t>No</t>
        </is>
      </c>
      <c r="AG1531" s="1" t="n"/>
    </row>
    <row r="1532" ht="12.5" customHeight="1">
      <c r="A1532" s="6" t="n">
        <v>45181</v>
      </c>
      <c r="B1532" s="1" t="inlineStr">
        <is>
          <t>ORG_1283</t>
        </is>
      </c>
      <c r="C1532" s="1" t="b">
        <v>1</v>
      </c>
      <c r="D1532" s="1" t="inlineStr">
        <is>
          <t>COLORI</t>
        </is>
      </c>
      <c r="E1532" s="10" t="inlineStr">
        <is>
          <t>https://colori.education/</t>
        </is>
      </c>
      <c r="F1532" t="inlineStr">
        <is>
          <t>colori.education</t>
        </is>
      </c>
      <c r="G1532" s="1" t="inlineStr">
        <is>
          <t>Created in September 2017, COLORI aims to prepare children for the technological transformations that we are experiencing today. COLORI offers activities to discover coding and technology, for children between 3-8 year old, without screens, after school or during school hours. COLORI offers classes for children and training for the educational community</t>
        </is>
      </c>
      <c r="H1532" s="1" t="inlineStr">
        <is>
          <t>EdTech France</t>
        </is>
      </c>
      <c r="I1532" s="1" t="n"/>
      <c r="J1532" s="1" t="inlineStr">
        <is>
          <t>Fontenay Sous Bois</t>
        </is>
      </c>
      <c r="K1532" t="inlineStr">
        <is>
          <t>Fontenay Sous Bois</t>
        </is>
      </c>
      <c r="L1532" t="inlineStr">
        <is>
          <t>Fontenay Sous Bois, France</t>
        </is>
      </c>
      <c r="M1532" t="n">
        <v>48.8490721</v>
      </c>
      <c r="N1532" t="n">
        <v>2.4749347</v>
      </c>
      <c r="O1532" s="1" t="inlineStr">
        <is>
          <t>France</t>
        </is>
      </c>
      <c r="P1532" s="1" t="inlineStr">
        <is>
          <t>France</t>
        </is>
      </c>
      <c r="Q1532" s="1" t="inlineStr">
        <is>
          <t>0 to 10</t>
        </is>
      </c>
      <c r="R1532" t="inlineStr">
        <is>
          <t>Micro</t>
        </is>
      </c>
      <c r="S1532" s="1" t="inlineStr">
        <is>
          <t>Business to Business, Business to Consumer, Business to Government</t>
        </is>
      </c>
      <c r="T1532" s="1" t="inlineStr">
        <is>
          <t>Primary Education, Corporate Training</t>
        </is>
      </c>
      <c r="U1532" s="1" t="inlineStr">
        <is>
          <t>System/Administrative, Student interfacing, Teacher interfacing</t>
        </is>
      </c>
      <c r="V1532" s="10" t="inlineStr">
        <is>
          <t>TRAININGS &amp; CERTIFICATIONS</t>
        </is>
      </c>
      <c r="W1532" s="10" t="inlineStr">
        <is>
          <t>The training focuses on the transmission of our pedagogy, COLORI activities and computer concepts.</t>
        </is>
      </c>
      <c r="X1532" s="10" t="inlineStr">
        <is>
          <t>CLASSES</t>
        </is>
      </c>
      <c r="Y1532" t="inlineStr">
        <is>
          <t>For municipalities and schools wishing to roll out after school activities. We work with fifty local councils in France.</t>
        </is>
      </c>
      <c r="Z1532" s="1" t="inlineStr">
        <is>
          <t>https://drive.google.com/uc?export=view&amp;id=1b7XVmp7dwOIwtZwFFqOBbnGrm1bkPF4D</t>
        </is>
      </c>
      <c r="AA1532" s="1" t="inlineStr">
        <is>
          <t>Unverified</t>
        </is>
      </c>
      <c r="AB1532" s="1" t="n"/>
      <c r="AC1532" s="1" t="n"/>
      <c r="AD1532" s="10" t="n"/>
      <c r="AE1532" s="1" t="n"/>
      <c r="AF1532" s="1" t="inlineStr">
        <is>
          <t>Yes</t>
        </is>
      </c>
      <c r="AG1532" s="1" t="inlineStr">
        <is>
          <t>https://www.instagram.com/colori.officiel/</t>
        </is>
      </c>
      <c r="AH1532" s="1" t="inlineStr">
        <is>
          <t>https://twitter.com/COLORIeducation</t>
        </is>
      </c>
      <c r="AI1532" t="inlineStr">
        <is>
          <t>https://www.linkedin.com/company/colori-montessori</t>
        </is>
      </c>
    </row>
    <row r="1533" ht="12.5" customHeight="1">
      <c r="A1533" s="6" t="n">
        <v>45181</v>
      </c>
      <c r="B1533" s="1" t="inlineStr">
        <is>
          <t>ORG_1525</t>
        </is>
      </c>
      <c r="C1533" s="1" t="b">
        <v>1</v>
      </c>
      <c r="D1533" s="1" t="inlineStr">
        <is>
          <t>Evaluo</t>
        </is>
      </c>
      <c r="E1533" s="10" t="inlineStr">
        <is>
          <t>https://evaluo.eu/</t>
        </is>
      </c>
      <c r="F1533" t="inlineStr">
        <is>
          <t>evaluo.eu</t>
        </is>
      </c>
      <c r="G1533" s="1" t="inlineStr">
        <is>
          <t>Evaluo commits to resolve organizational issues of assessment exams.
Evaluo is an online solution which ensures an optimal experience to educational institutions, from the creation of subjects throught the conduct of the tests to the marking script.
The solution is adaptable to almost all digital interfaces and allows educational institutions, training organizations and companies to manage the entire exams process.
In face to face, hybrid or at distance education, Evaluo reponds in many cases : entrance examination, continious monitoring, certified exams, written and oral tests, ...
The solution integrates certification referentials required for graduation.</t>
        </is>
      </c>
      <c r="H1533" s="1" t="inlineStr">
        <is>
          <t>EdTech France</t>
        </is>
      </c>
      <c r="I1533" s="1" t="n"/>
      <c r="J1533" s="1" t="inlineStr">
        <is>
          <t>Paris</t>
        </is>
      </c>
      <c r="K1533" t="inlineStr">
        <is>
          <t>Paris</t>
        </is>
      </c>
      <c r="L1533" t="inlineStr">
        <is>
          <t>Paris, France</t>
        </is>
      </c>
      <c r="M1533" t="n">
        <v>48.8534951</v>
      </c>
      <c r="N1533" t="n">
        <v>2.3483915</v>
      </c>
      <c r="O1533" s="1" t="inlineStr">
        <is>
          <t>France</t>
        </is>
      </c>
      <c r="P1533" s="1" t="inlineStr">
        <is>
          <t>France</t>
        </is>
      </c>
      <c r="Q1533" s="1" t="inlineStr">
        <is>
          <t>0 to 10</t>
        </is>
      </c>
      <c r="R1533" t="inlineStr">
        <is>
          <t>Micro</t>
        </is>
      </c>
      <c r="S1533" s="1" t="inlineStr">
        <is>
          <t>Business to Business, Business to Government, Business to Schools</t>
        </is>
      </c>
      <c r="T1533" s="1" t="inlineStr">
        <is>
          <t>Secondary Education, Higher Education, Corporate Training</t>
        </is>
      </c>
      <c r="U1533" s="1" t="inlineStr">
        <is>
          <t>Student interfacing, Teacher interfacing, System/Administrative</t>
        </is>
      </c>
      <c r="V1533" s="1" t="inlineStr">
        <is>
          <t>Evaluo Premium</t>
        </is>
      </c>
      <c r="W1533" s="10" t="inlineStr">
        <is>
          <t>Evaluo premium offers unlimited access to the main features of the application. With Premium, educational institutions have everything they need to run secure exams :
- Creation of exam topics
- Smooth student interface
- Flexible organization of exams
- Waiting room for students
- Monitoring room
- Chat
- Marking module
- Anti-cheating system</t>
        </is>
      </c>
      <c r="X1533" s="10" t="inlineStr">
        <is>
          <t>Evaluo Proctoring</t>
        </is>
      </c>
      <c r="Y1533" t="inlineStr">
        <is>
          <t>Evaluo proctoring provides educational institutions with additional security in the organization of exams. Exams are monitored in live thanks to video surveillance by supervisors of the establishment or provided by Evaluo.
This technology allows establishments to guarantee the integrity of a face-to-face or remote examination. Supervisors can add comments about students, chat with struggling students, and block cheating students.</t>
        </is>
      </c>
      <c r="Z1533" s="1" t="inlineStr">
        <is>
          <t>https://drive.google.com/uc?export=view&amp;id=14Ba0fXAI1cuNvOLDuQ_FShFSG1YeO6zR</t>
        </is>
      </c>
      <c r="AA1533" s="1" t="inlineStr">
        <is>
          <t>Unverified</t>
        </is>
      </c>
      <c r="AB1533" s="1" t="n"/>
      <c r="AC1533" s="1" t="n"/>
      <c r="AD1533" s="10" t="n"/>
      <c r="AE1533" s="1" t="n"/>
      <c r="AF1533" s="1" t="inlineStr">
        <is>
          <t>Yes</t>
        </is>
      </c>
      <c r="AG1533" s="1" t="inlineStr">
        <is>
          <t>Evaluo</t>
        </is>
      </c>
      <c r="AH1533" s="1" t="inlineStr">
        <is>
          <t>https://twitter.com/evaluo20</t>
        </is>
      </c>
      <c r="AI1533" s="1" t="inlineStr">
        <is>
          <t>https://www.linkedin.com/company/e-valuo/?viewAsMember=true</t>
        </is>
      </c>
      <c r="AJ1533" s="1" t="n"/>
    </row>
    <row r="1534" ht="12.5" customHeight="1">
      <c r="A1534" s="6" t="n">
        <v>45181</v>
      </c>
      <c r="B1534" s="1" t="inlineStr">
        <is>
          <t>ORG_1718</t>
        </is>
      </c>
      <c r="C1534" s="1" t="b">
        <v>1</v>
      </c>
      <c r="D1534" s="1" t="inlineStr">
        <is>
          <t>Impala</t>
        </is>
      </c>
      <c r="E1534" s="10" t="inlineStr">
        <is>
          <t>impala.in</t>
        </is>
      </c>
      <c r="F1534" t="inlineStr">
        <is>
          <t>impala.in</t>
        </is>
      </c>
      <c r="G1534" s="1" t="inlineStr">
        <is>
          <t>Impala aims to empower people to make conscious and coherent career decisions.</t>
        </is>
      </c>
      <c r="H1534" s="1" t="inlineStr">
        <is>
          <t>EdTech France</t>
        </is>
      </c>
      <c r="I1534" s="1" t="n"/>
      <c r="J1534" s="1" t="inlineStr">
        <is>
          <t>Paris</t>
        </is>
      </c>
      <c r="K1534" t="inlineStr">
        <is>
          <t>Paris</t>
        </is>
      </c>
      <c r="L1534" t="inlineStr">
        <is>
          <t>Paris, France</t>
        </is>
      </c>
      <c r="M1534" t="n">
        <v>48.8534951</v>
      </c>
      <c r="N1534" t="n">
        <v>2.3483915</v>
      </c>
      <c r="O1534" s="1" t="inlineStr">
        <is>
          <t>France</t>
        </is>
      </c>
      <c r="P1534" s="1" t="inlineStr">
        <is>
          <t>France</t>
        </is>
      </c>
      <c r="Q1534" s="1" t="inlineStr">
        <is>
          <t>11 to 50</t>
        </is>
      </c>
      <c r="R1534" t="inlineStr">
        <is>
          <t>Small</t>
        </is>
      </c>
      <c r="S1534" s="1" t="inlineStr">
        <is>
          <t>Business to Business, Business to Schools</t>
        </is>
      </c>
      <c r="T1534" s="1" t="inlineStr">
        <is>
          <t>Secondary Education, Higher Education, Lifelong learning/Adult education</t>
        </is>
      </c>
      <c r="U1534" s="1" t="inlineStr">
        <is>
          <t>System/Administrative, Student interfacing, Teacher interfacing</t>
        </is>
      </c>
      <c r="V1534" s="1" t="inlineStr">
        <is>
          <t>Impala for schools</t>
        </is>
      </c>
      <c r="W1534" s="10" t="inlineStr">
        <is>
          <t>We're providing tools and pedagogical content helping students to find who they are, what they like and what they want to do. Moreover, we offer content, training and tools to professors to help them guide their class.</t>
        </is>
      </c>
      <c r="X1534" s="10" t="inlineStr">
        <is>
          <t>https://drive.google.com/uc?export=view&amp;id=1yE96NIiFdV0L9XjQ05QgNUQGTPd-wZyJ</t>
        </is>
      </c>
      <c r="Y1534" t="inlineStr">
        <is>
          <t>https://drive.google.com/uc?export=view&amp;id=1yE96NIiFdV0L9XjQ05QgNUQGTPd-wZyJ</t>
        </is>
      </c>
      <c r="Z1534" s="1" t="inlineStr">
        <is>
          <t>https://drive.google.com/uc?export=view&amp;id=1yE96NIiFdV0L9XjQ05QgNUQGTPd-wZyJ</t>
        </is>
      </c>
      <c r="AA1534" s="1" t="inlineStr">
        <is>
          <t>Unverified</t>
        </is>
      </c>
      <c r="AB1534" s="1" t="n"/>
      <c r="AC1534" s="1" t="n"/>
      <c r="AD1534" s="10" t="n"/>
      <c r="AE1534" s="1" t="n"/>
      <c r="AF1534" s="1" t="inlineStr">
        <is>
          <t>Yes</t>
        </is>
      </c>
      <c r="AG1534" s="1" t="inlineStr">
        <is>
          <t>https://twitter.com/ImpalaEdu</t>
        </is>
      </c>
      <c r="AH1534" s="1" t="inlineStr">
        <is>
          <t>https://twitter.com/ImpalaEdu</t>
        </is>
      </c>
      <c r="AI1534" t="inlineStr">
        <is>
          <t>https://www.linkedin.com/company/10779330/</t>
        </is>
      </c>
    </row>
    <row r="1535" ht="12.5" customHeight="1">
      <c r="A1535" s="6" t="n">
        <v>45181</v>
      </c>
      <c r="B1535" s="1" t="inlineStr">
        <is>
          <t>ORG_1778</t>
        </is>
      </c>
      <c r="C1535" s="1" t="b">
        <v>1</v>
      </c>
      <c r="D1535" s="1" t="inlineStr">
        <is>
          <t>Kirae</t>
        </is>
      </c>
      <c r="E1535" s="10" t="inlineStr">
        <is>
          <t>https://kirae.io</t>
        </is>
      </c>
      <c r="F1535" t="inlineStr">
        <is>
          <t>kirae.io</t>
        </is>
      </c>
      <c r="G1535" s="1" t="inlineStr">
        <is>
          <t>We use gaming and cognitive sciences to build a sustainable Future of Work. We empower workers and future workers to face transformations by helping them to identify, train and certify soft skills.</t>
        </is>
      </c>
      <c r="H1535" s="1" t="inlineStr">
        <is>
          <t>EdTech France</t>
        </is>
      </c>
      <c r="I1535" s="1" t="n"/>
      <c r="J1535" s="1" t="inlineStr">
        <is>
          <t>Rennes</t>
        </is>
      </c>
      <c r="K1535" t="inlineStr">
        <is>
          <t>Rennes</t>
        </is>
      </c>
      <c r="L1535" t="inlineStr">
        <is>
          <t>Rennes, France</t>
        </is>
      </c>
      <c r="M1535" t="n">
        <v>48.1113387</v>
      </c>
      <c r="N1535" t="n">
        <v>-1.6800198</v>
      </c>
      <c r="O1535" s="1" t="inlineStr">
        <is>
          <t>France</t>
        </is>
      </c>
      <c r="P1535" s="1" t="inlineStr">
        <is>
          <t>France</t>
        </is>
      </c>
      <c r="Q1535" s="1" t="inlineStr">
        <is>
          <t>0 to 10</t>
        </is>
      </c>
      <c r="R1535" t="inlineStr">
        <is>
          <t>Micro</t>
        </is>
      </c>
      <c r="S1535" s="1" t="inlineStr">
        <is>
          <t>Business to Consumer, Business to Government, Business to Schools</t>
        </is>
      </c>
      <c r="T1535" s="1" t="inlineStr">
        <is>
          <t>Higher Education, Corporate Training, Lifelong learning/Adult education</t>
        </is>
      </c>
      <c r="U1535" s="1" t="inlineStr">
        <is>
          <t>Teacher interfacing, Student interfacing, System/Administrative</t>
        </is>
      </c>
      <c r="V1535" s="10" t="inlineStr">
        <is>
          <t>Kirae</t>
        </is>
      </c>
      <c r="W1535" s="10" t="inlineStr">
        <is>
          <t>We design mobile games to help our users score and develop their adaptability, focus, multitasking or planning skills, and we deliver Open Badges to help them advertise for their soft skills to a manager or a recruiter.</t>
        </is>
      </c>
      <c r="X1535" s="10" t="inlineStr">
        <is>
          <t>https://drive.google.com/uc?export=view&amp;id=1bsx5yJvwRECNfXqdsZiocslTVHdYJ9yr</t>
        </is>
      </c>
      <c r="Y1535" t="inlineStr">
        <is>
          <t>https://drive.google.com/uc?export=view&amp;id=1bsx5yJvwRECNfXqdsZiocslTVHdYJ9yr</t>
        </is>
      </c>
      <c r="Z1535" s="1" t="inlineStr">
        <is>
          <t>https://drive.google.com/uc?export=view&amp;id=1bsx5yJvwRECNfXqdsZiocslTVHdYJ9yr</t>
        </is>
      </c>
      <c r="AA1535" s="1" t="inlineStr">
        <is>
          <t>Unverified</t>
        </is>
      </c>
      <c r="AB1535" s="1" t="n"/>
      <c r="AC1535" s="1" t="n"/>
      <c r="AD1535" s="10" t="n"/>
      <c r="AE1535" s="1" t="n"/>
      <c r="AF1535" s="1" t="inlineStr">
        <is>
          <t>Yes</t>
        </is>
      </c>
      <c r="AG1535" s="1" t="inlineStr">
        <is>
          <t>https://www.instagram.com/kirae.learning/</t>
        </is>
      </c>
      <c r="AH1535" t="inlineStr">
        <is>
          <t>https://twitter.com/kiraelearning</t>
        </is>
      </c>
      <c r="AI1535" t="inlineStr">
        <is>
          <t>https://www.linkedin.com/company/kirae/</t>
        </is>
      </c>
    </row>
    <row r="1536" ht="12.5" customHeight="1">
      <c r="A1536" s="6" t="n">
        <v>45181</v>
      </c>
      <c r="B1536" s="1" t="inlineStr">
        <is>
          <t>ORG_1787</t>
        </is>
      </c>
      <c r="C1536" s="1" t="b">
        <v>1</v>
      </c>
      <c r="D1536" s="1" t="inlineStr">
        <is>
          <t>KOKORO lingua</t>
        </is>
      </c>
      <c r="E1536" s="10" t="inlineStr">
        <is>
          <t>https://kokorolingua.com/</t>
        </is>
      </c>
      <c r="F1536" t="inlineStr">
        <is>
          <t>kokorolingua.com</t>
        </is>
      </c>
      <c r="G1536" s="1" t="inlineStr">
        <is>
          <t>KOKORO lingua is an innovative foreign language teaching program for children between 3-8 years old in which, for the first time, native children are teaching their language to other children through online interactive videos. 
Children are learning in a joyful and emotional way and are assimilating at least 250 words and sentences in one year with a perfect accent. 
KOKORO lingua was rewarded several times: Lépine Gold Medal (Paris 2018), BETT Awards finalist (London 2019 and 2020), GESS Awards Winners (Dubai 2020), Cartier Women's Initiative (2023).
The method also won a tender with the French Ministry of Education.</t>
        </is>
      </c>
      <c r="H1536" s="1" t="inlineStr">
        <is>
          <t>AFINEF, EdTech France, Swiss EdTech Collider</t>
        </is>
      </c>
      <c r="I1536" s="1" t="inlineStr">
        <is>
          <t>English, French, Spanish, Italian, German, Japanese</t>
        </is>
      </c>
      <c r="J1536" s="1" t="inlineStr">
        <is>
          <t>Neuchatel</t>
        </is>
      </c>
      <c r="K1536" t="inlineStr">
        <is>
          <t>Neuchatel</t>
        </is>
      </c>
      <c r="L1536" t="inlineStr">
        <is>
          <t>Neuchatel, Switzerland</t>
        </is>
      </c>
      <c r="M1536" t="n">
        <v>46.9895828</v>
      </c>
      <c r="N1536" t="n">
        <v>6.9292641</v>
      </c>
      <c r="O1536" s="1" t="inlineStr">
        <is>
          <t>Switzerland</t>
        </is>
      </c>
      <c r="P1536" s="1" t="inlineStr">
        <is>
          <t>Belgium, France, Germany, Greece, Italy, Lithuania, Luxembourg, Spain, Switzerland, Turkey</t>
        </is>
      </c>
      <c r="Q1536" s="1" t="inlineStr">
        <is>
          <t>6 to 10</t>
        </is>
      </c>
      <c r="R1536" t="inlineStr">
        <is>
          <t>Micro</t>
        </is>
      </c>
      <c r="S1536" s="1" t="inlineStr">
        <is>
          <t>Business to Consumer, Business to Government, Business to Schools</t>
        </is>
      </c>
      <c r="T1536" s="1" t="inlineStr">
        <is>
          <t>Early childhood development (0-5 years), Primary Education</t>
        </is>
      </c>
      <c r="U1536" s="1" t="inlineStr">
        <is>
          <t>System/Administrative, Student interfacing, Teacher interfacing</t>
        </is>
      </c>
      <c r="V1536" s="10" t="inlineStr">
        <is>
          <t>KOKORO lingua - English program</t>
        </is>
      </c>
      <c r="W1536" s="10" t="inlineStr">
        <is>
          <t>12 or 24 months subscriptions for families and teachers to our platform.
12 months subscription: 52 videos + pedagogical support materials (250 words acquired with perfect accent)
24 months subscription: 104 videos + pedagogical support materials (500 words acquired with perfect accent)</t>
        </is>
      </c>
      <c r="X1536" s="10" t="inlineStr">
        <is>
          <t>KOKORO lingua - French program</t>
        </is>
      </c>
      <c r="Y1536" t="inlineStr">
        <is>
          <t>12 months subscription for families and teachers to our platform.
12 months subscription: 36 videos + pedagogical support materials (250 words acquired with perfect accent)</t>
        </is>
      </c>
      <c r="Z1536" s="1" t="inlineStr">
        <is>
          <t>https://drive.google.com/uc?export=view&amp;id=1XxNXGt-hAyt3oUc1YliLBIKxWi5q2kEl</t>
        </is>
      </c>
      <c r="AA1536" s="1" t="inlineStr">
        <is>
          <t>Unverified</t>
        </is>
      </c>
      <c r="AB1536" s="1" t="n"/>
      <c r="AC1536" s="1" t="n"/>
      <c r="AD1536" s="10" t="n"/>
      <c r="AE1536" s="1" t="n"/>
      <c r="AF1536" s="1" t="inlineStr">
        <is>
          <t>Yes</t>
        </is>
      </c>
      <c r="AG1536" s="1" t="inlineStr">
        <is>
          <t>https://www.instagram.com/kokorolingua/</t>
        </is>
      </c>
      <c r="AH1536" s="1" t="inlineStr">
        <is>
          <t>https://twitter.com/kokoro_lingua</t>
        </is>
      </c>
      <c r="AI1536" t="inlineStr">
        <is>
          <t>https://www.linkedin.com/company/18446476/</t>
        </is>
      </c>
    </row>
    <row r="1537" ht="12.5" customHeight="1">
      <c r="A1537" s="6" t="n">
        <v>45181</v>
      </c>
      <c r="B1537" s="1" t="inlineStr">
        <is>
          <t>ORG_2008</t>
        </is>
      </c>
      <c r="C1537" s="1" t="b">
        <v>1</v>
      </c>
      <c r="D1537" s="10" t="inlineStr">
        <is>
          <t>Myracle.io</t>
        </is>
      </c>
      <c r="E1537" s="10" t="inlineStr">
        <is>
          <t>https://myracle.io</t>
        </is>
      </c>
      <c r="F1537" t="inlineStr">
        <is>
          <t>myracle.io</t>
        </is>
      </c>
      <c r="G1537" s="1" t="inlineStr">
        <is>
          <t>Transforming homes and classrooms into real-world STEM labs, empowering teenagers to do STEM with their own hands in the real world.
We make this planet-scale transformation possible with our mixed reality technology running on everyday mobile devices, with or without internet connectivity.</t>
        </is>
      </c>
      <c r="H1537" s="1" t="inlineStr">
        <is>
          <t>I'm not part of any EdTech association</t>
        </is>
      </c>
      <c r="I1537" s="1" t="inlineStr">
        <is>
          <t>English, German</t>
        </is>
      </c>
      <c r="J1537" s="1" t="inlineStr">
        <is>
          <t>Berlin</t>
        </is>
      </c>
      <c r="K1537" t="inlineStr">
        <is>
          <t>Berlin</t>
        </is>
      </c>
      <c r="L1537" t="inlineStr">
        <is>
          <t>Berlin, Germany</t>
        </is>
      </c>
      <c r="M1537" t="n">
        <v>52.5173885</v>
      </c>
      <c r="N1537" t="n">
        <v>13.3951309</v>
      </c>
      <c r="O1537" s="1" t="inlineStr">
        <is>
          <t>Germany</t>
        </is>
      </c>
      <c r="P1537" s="1" t="inlineStr">
        <is>
          <t>Germany</t>
        </is>
      </c>
      <c r="Q1537" s="1" t="inlineStr">
        <is>
          <t>6 to 10</t>
        </is>
      </c>
      <c r="R1537" t="inlineStr">
        <is>
          <t>Micro</t>
        </is>
      </c>
      <c r="S1537" s="1" t="inlineStr">
        <is>
          <t>Business to Consumer, Business to Government, Business to Schools</t>
        </is>
      </c>
      <c r="T1537" s="1" t="inlineStr">
        <is>
          <t>Secondary Education, Lifelong learning/Adult education</t>
        </is>
      </c>
      <c r="U1537" s="1" t="inlineStr">
        <is>
          <t>System/Administrative, Student interfacing, Teacher interfacing</t>
        </is>
      </c>
      <c r="V1537" s="1" t="n"/>
      <c r="W1537" s="1" t="inlineStr">
        <is>
          <t>https://drive.google.com/uc?export=view&amp;id=1K91tzrcCUGRzk61bkCztQqhMIlKjmNiT</t>
        </is>
      </c>
      <c r="X1537" s="1" t="inlineStr">
        <is>
          <t>https://drive.google.com/uc?export=view&amp;id=1K91tzrcCUGRzk61bkCztQqhMIlKjmNiT</t>
        </is>
      </c>
      <c r="Y1537" t="inlineStr">
        <is>
          <t>https://drive.google.com/uc?export=view&amp;id=1K91tzrcCUGRzk61bkCztQqhMIlKjmNiT</t>
        </is>
      </c>
      <c r="Z1537" s="1" t="inlineStr">
        <is>
          <t>https://drive.google.com/uc?export=view&amp;id=1K91tzrcCUGRzk61bkCztQqhMIlKjmNiT</t>
        </is>
      </c>
      <c r="AA1537" s="1" t="inlineStr">
        <is>
          <t>Unverified</t>
        </is>
      </c>
      <c r="AB1537" s="1" t="n"/>
      <c r="AC1537" s="1" t="n"/>
      <c r="AD1537" s="10" t="n"/>
      <c r="AE1537" s="1" t="n"/>
      <c r="AF1537" s="1" t="inlineStr">
        <is>
          <t>No</t>
        </is>
      </c>
      <c r="AG1537" s="1" t="n"/>
      <c r="AH1537" s="1" t="n"/>
    </row>
    <row r="1538" ht="12.5" customHeight="1">
      <c r="A1538" s="6" t="n">
        <v>45181</v>
      </c>
      <c r="B1538" s="1" t="inlineStr">
        <is>
          <t>ORG_1737</t>
        </is>
      </c>
      <c r="C1538" s="1" t="b">
        <v>1</v>
      </c>
      <c r="D1538" s="1" t="inlineStr">
        <is>
          <t>IPESLAND</t>
        </is>
      </c>
      <c r="E1538" s="10" t="inlineStr">
        <is>
          <t>www.ipesland.com</t>
        </is>
      </c>
      <c r="F1538" t="inlineStr">
        <is>
          <t>ipesland.com</t>
        </is>
      </c>
      <c r="G1538" s="1" t="inlineStr">
        <is>
          <t>THE CHALLENGE: 
85% of the jobs of 2030 do not yet exist!
How to retain talent by renewing confidence and motivation in an increasingly complex environment? 
How to prepare teams for their evolution while ensuring their well-being? The demand for emotional intelligence (EI) skills is expected to increase sixfold over the next five years.
"In creating IPESLAND, I chose to combine my passion for neuroscience, health prevention and emotional intelligence management. Respecting one's internal ecology (emotions, motivations, and perceptions) remains a very important driver for his creative and productive performance. IPESLAND: explore I images, P thoughts (pensées in French), E emotions, S sensations to help everyone feel, learn and act in the form of a serious game." Laurence Descamps, the founder
THE SOLUTION: 
IPESLAND offers a hybrid training in immersive learning, which favors the rise in emotional and cognitive skills thanks to a virtual reality application supervised by a certified coach. IPESLAND accompanies individuals and teams in the transition phases of the corporate life cycle from onboarding to offboarding. We address the issues of stress management, absenteeism, and turnover.
Turnkey solution to recreate the link with oneself, one's collaborators, and one's clients to renew confidence and motivation and to develop emotional skills such as empathy, authenticity, flexibility, and societal awareness, which are essential to support digital changes.
OUR ADDED VALUE IN 4 POINTS: 
➡️ the virtual reality application AllerVRsoi (+ 30 possible courses and 8 levels of progression): has been the subject of a scientific study and allows psychocognitive restructuring
➡️ platform that allows you to evaluate your progress through questionnaires
➡️perspective from the coach 
➡️ an individual method entirely in remote learning</t>
        </is>
      </c>
      <c r="H1538" s="1" t="inlineStr">
        <is>
          <t>I'm not part of any EdTech association</t>
        </is>
      </c>
      <c r="I1538" s="1" t="n"/>
      <c r="J1538" s="1" t="inlineStr">
        <is>
          <t>Boulogne Billancourt</t>
        </is>
      </c>
      <c r="K1538" t="inlineStr">
        <is>
          <t>Boulogne Billancourt</t>
        </is>
      </c>
      <c r="L1538" t="inlineStr">
        <is>
          <t>Boulogne Billancourt, France</t>
        </is>
      </c>
      <c r="M1538" t="n">
        <v>48.8356649</v>
      </c>
      <c r="N1538" t="n">
        <v>2.240206</v>
      </c>
      <c r="O1538" s="1" t="inlineStr">
        <is>
          <t>France</t>
        </is>
      </c>
      <c r="P1538" s="1" t="inlineStr">
        <is>
          <t>France</t>
        </is>
      </c>
      <c r="Q1538" s="1" t="inlineStr">
        <is>
          <t>0 to 10</t>
        </is>
      </c>
      <c r="R1538" t="inlineStr">
        <is>
          <t>Micro</t>
        </is>
      </c>
      <c r="S1538" s="1" t="inlineStr">
        <is>
          <t>Business to Business</t>
        </is>
      </c>
      <c r="T1538" s="1" t="inlineStr">
        <is>
          <t>Corporate Training</t>
        </is>
      </c>
      <c r="U1538" s="1" t="inlineStr">
        <is>
          <t>System/Administrative</t>
        </is>
      </c>
      <c r="V1538" s="1" t="n"/>
      <c r="W1538" s="1" t="inlineStr">
        <is>
          <t>https://drive.google.com/uc?export=view&amp;id=1_LHB4kmfWswxuwLURNe2O4US1JyMmNEr</t>
        </is>
      </c>
      <c r="X1538" s="1" t="inlineStr">
        <is>
          <t>https://drive.google.com/uc?export=view&amp;id=1_LHB4kmfWswxuwLURNe2O4US1JyMmNEr</t>
        </is>
      </c>
      <c r="Y1538" t="inlineStr">
        <is>
          <t>https://drive.google.com/uc?export=view&amp;id=1_LHB4kmfWswxuwLURNe2O4US1JyMmNEr</t>
        </is>
      </c>
      <c r="Z1538" s="1" t="inlineStr">
        <is>
          <t>https://drive.google.com/uc?export=view&amp;id=1_LHB4kmfWswxuwLURNe2O4US1JyMmNEr</t>
        </is>
      </c>
      <c r="AA1538" s="1" t="inlineStr">
        <is>
          <t>Unverified</t>
        </is>
      </c>
      <c r="AB1538" s="1" t="n"/>
      <c r="AC1538" s="1" t="n"/>
      <c r="AD1538" s="10" t="n"/>
      <c r="AE1538" s="1" t="n"/>
      <c r="AF1538" s="1" t="inlineStr">
        <is>
          <t>No</t>
        </is>
      </c>
      <c r="AG1538" s="1" t="n"/>
      <c r="AH1538" s="1" t="n"/>
    </row>
    <row r="1539" ht="12.5" customHeight="1">
      <c r="A1539" s="6" t="n">
        <v>45181</v>
      </c>
      <c r="B1539" s="1" t="inlineStr">
        <is>
          <t>ORG_1768</t>
        </is>
      </c>
      <c r="C1539" s="1" t="b">
        <v>1</v>
      </c>
      <c r="D1539" s="1" t="inlineStr">
        <is>
          <t>Kharty</t>
        </is>
      </c>
      <c r="E1539" s="10" t="inlineStr">
        <is>
          <t>www.kharty.com</t>
        </is>
      </c>
      <c r="F1539" t="inlineStr">
        <is>
          <t>kharty.com</t>
        </is>
      </c>
      <c r="G1539" s="1" t="inlineStr">
        <is>
          <t>Kharty is an educational game focused on visual learning through interactive images. Its method excels in a diverse range of subjects like geography, anatomy, science and languages.
Kharty makes it incredibly easy for teachers to gamify their own material, dramatically increasing their students’ engagement and success rate. It also provides a platform of thousands of quality content to choose from.
Students follow a clear learning path that Kharty automatically generates for each gamified material. They also play games and compete with their peers, turning the learning process into a fun, social experience. Teachers are able to track progress and get precise feedback throughout, resulting in time optimization and better results.</t>
        </is>
      </c>
      <c r="H1539" s="1" t="inlineStr">
        <is>
          <t>SEK Lab</t>
        </is>
      </c>
      <c r="I1539" s="1" t="n"/>
      <c r="J1539" s="1" t="inlineStr">
        <is>
          <t>Almeria</t>
        </is>
      </c>
      <c r="K1539" t="inlineStr">
        <is>
          <t>Almeria</t>
        </is>
      </c>
      <c r="L1539" t="inlineStr">
        <is>
          <t>Almeria, Spain</t>
        </is>
      </c>
      <c r="M1539" t="n">
        <v>36.8685739</v>
      </c>
      <c r="N1539" t="n">
        <v>-2.3120282</v>
      </c>
      <c r="O1539" s="1" t="inlineStr">
        <is>
          <t>Spain</t>
        </is>
      </c>
      <c r="P1539" s="1" t="inlineStr">
        <is>
          <t>Spain, United Kingdom</t>
        </is>
      </c>
      <c r="Q1539" s="1" t="inlineStr">
        <is>
          <t>0 to 10</t>
        </is>
      </c>
      <c r="R1539" t="inlineStr">
        <is>
          <t>Micro</t>
        </is>
      </c>
      <c r="S1539" s="1" t="inlineStr">
        <is>
          <t>Business to Business, Business to Consumer, Business to Schools</t>
        </is>
      </c>
      <c r="T1539" s="1" t="inlineStr">
        <is>
          <t>Primary Education, Secondary Education</t>
        </is>
      </c>
      <c r="U1539" s="1" t="inlineStr">
        <is>
          <t>Student interfacing, Teacher interfacing</t>
        </is>
      </c>
      <c r="V1539" s="1" t="inlineStr">
        <is>
          <t>Kharty</t>
        </is>
      </c>
      <c r="W1539" s="1" t="inlineStr">
        <is>
          <t>Kharty is an educational game focused on visual learning through interactive images.
Kharty makes it incredibly easy for teachers to gamify their own material, dramatically increasing their students’ engagement and success rate. It also provides thousands of quality content to choose from.
Students follow a clear learning path that Kharty automatically generates for each gamified material. They play games and compete with their peers, turning the learning process into a fun, social experience.</t>
        </is>
      </c>
      <c r="X1539" s="10" t="inlineStr">
        <is>
          <t>https://drive.google.com/uc?export=view&amp;id=1KNKPweaMO0jPR7UpNasVC6kXyYRq2qaK</t>
        </is>
      </c>
      <c r="Y1539" t="inlineStr">
        <is>
          <t>https://drive.google.com/uc?export=view&amp;id=1KNKPweaMO0jPR7UpNasVC6kXyYRq2qaK</t>
        </is>
      </c>
      <c r="Z1539" s="1" t="inlineStr">
        <is>
          <t>https://drive.google.com/uc?export=view&amp;id=1KNKPweaMO0jPR7UpNasVC6kXyYRq2qaK</t>
        </is>
      </c>
      <c r="AA1539" s="1" t="inlineStr">
        <is>
          <t>Unverified</t>
        </is>
      </c>
      <c r="AB1539" s="1" t="n"/>
      <c r="AC1539" s="1" t="n"/>
      <c r="AD1539" s="10" t="n"/>
      <c r="AE1539" s="1" t="n"/>
      <c r="AF1539" s="1" t="inlineStr">
        <is>
          <t>Yes</t>
        </is>
      </c>
      <c r="AG1539" s="1" t="inlineStr">
        <is>
          <t>@khartyapp</t>
        </is>
      </c>
      <c r="AH1539" s="1" t="inlineStr">
        <is>
          <t>https://www.linkedin.com/company/kharty</t>
        </is>
      </c>
      <c r="AI1539" t="inlineStr">
        <is>
          <t>https://www.linkedin.com/company/kharty</t>
        </is>
      </c>
    </row>
    <row r="1540" ht="12.5" customHeight="1">
      <c r="A1540" s="6" t="n">
        <v>45181</v>
      </c>
      <c r="B1540" s="1" t="inlineStr">
        <is>
          <t>ORG_1827</t>
        </is>
      </c>
      <c r="C1540" s="1" t="b">
        <v>1</v>
      </c>
      <c r="D1540" s="1" t="inlineStr">
        <is>
          <t>LearnEnjoy</t>
        </is>
      </c>
      <c r="E1540" s="10" t="inlineStr">
        <is>
          <t>www.learnenjoy.com</t>
        </is>
      </c>
      <c r="F1540" t="inlineStr">
        <is>
          <t>learnenjoy.com</t>
        </is>
      </c>
      <c r="G1540" s="1" t="inlineStr">
        <is>
          <t>LearnEnjoy fights against school dropout, from the fundamental learning stages of kindergarten and first grade, right up to the 9th grade, thanks to digital tools designed for all students without exception. With a proven educational and social impact on thousands of students, LearnEnjoy offers digital applications and training modules which have been accompanying public policies since 2013.
Our applications, which are real tools for monitoring student progress, were developed with the support of the Ministry of Education, in close collaboration with research institutes and teachers in the field. Our applications are adapted to all conditions of use : they do not require any internet connection!
We complement the use of our educational resources with dedicated training modules, co-designed with teachers, educational advisors and teachers.</t>
        </is>
      </c>
      <c r="H1540" s="1" t="inlineStr">
        <is>
          <t>AFINEF, EdTech France</t>
        </is>
      </c>
      <c r="I1540" s="1" t="inlineStr">
        <is>
          <t>English, French, Italian</t>
        </is>
      </c>
      <c r="J1540" s="1" t="inlineStr">
        <is>
          <t>Levallois-Perret</t>
        </is>
      </c>
      <c r="K1540" t="inlineStr">
        <is>
          <t>Levallois-Perret</t>
        </is>
      </c>
      <c r="L1540" t="inlineStr">
        <is>
          <t>Levallois-Perret, France</t>
        </is>
      </c>
      <c r="M1540" t="n">
        <v>48.892956</v>
      </c>
      <c r="N1540" t="n">
        <v>2.2881683</v>
      </c>
      <c r="O1540" s="1" t="inlineStr">
        <is>
          <t>France</t>
        </is>
      </c>
      <c r="P1540" s="1" t="inlineStr">
        <is>
          <t>Belgium, France</t>
        </is>
      </c>
      <c r="Q1540" s="1" t="inlineStr">
        <is>
          <t>11 to 50</t>
        </is>
      </c>
      <c r="R1540" t="inlineStr">
        <is>
          <t>Small</t>
        </is>
      </c>
      <c r="S1540" s="1" t="inlineStr">
        <is>
          <t>Business to Business, Business to Government, Business to Schools</t>
        </is>
      </c>
      <c r="T1540" s="1" t="inlineStr">
        <is>
          <t>Early childhood development (0-5 years)</t>
        </is>
      </c>
      <c r="U1540" s="1" t="inlineStr">
        <is>
          <t>Student interfacing, Teacher interfacing, System/Administrative</t>
        </is>
      </c>
      <c r="V1540" s="1" t="inlineStr">
        <is>
          <t>PreSchool</t>
        </is>
      </c>
      <c r="W1540" s="10" t="inlineStr">
        <is>
          <t>PreSchool, adapted teaching materials, is an application designed to help all pupils, without exception, from kindergarten, young or old, to access primary learning. Thanks to a fine breakdown of skills and thanks to a precise monitoring of the pupil's progress, the application assists each pupil at his/her own pace: https://www.youtube.com/watch?v=kW-NOzqI32c</t>
        </is>
      </c>
      <c r="X1540" s="10" t="inlineStr">
        <is>
          <t>School</t>
        </is>
      </c>
      <c r="Y1540" t="inlineStr">
        <is>
          <t>School, adapted teaching materials, is an application designed to help all pupils, without exception, from the first grade, young or old, to access fundamental learning. Thanks to a fine breakdown of skills and thanks to a precise monitoring of the pupil's progress, the application assists each pupil at his/her own pace: https://www.youtube.com/watch?v=kW-NOzqI32c</t>
        </is>
      </c>
      <c r="Z1540" s="1" t="inlineStr">
        <is>
          <t>https://drive.google.com/uc?export=view&amp;id=1lbQk3vPTUH5MT1DgN1OpgR5RetNEKAFz</t>
        </is>
      </c>
      <c r="AA1540" s="1" t="inlineStr">
        <is>
          <t>Unverified</t>
        </is>
      </c>
      <c r="AB1540" s="1" t="n"/>
      <c r="AC1540" s="1" t="n"/>
      <c r="AD1540" s="10" t="n"/>
      <c r="AE1540" s="1" t="n"/>
      <c r="AF1540" s="1" t="inlineStr">
        <is>
          <t>Yes</t>
        </is>
      </c>
      <c r="AG1540" s="1" t="inlineStr">
        <is>
          <t>https://twitter.com/learnenjoy</t>
        </is>
      </c>
      <c r="AH1540" s="1" t="inlineStr">
        <is>
          <t>https://twitter.com/learnenjoy</t>
        </is>
      </c>
      <c r="AI1540" t="inlineStr">
        <is>
          <t>https://www.linkedin.com/company/learnenjoy/mycompany/</t>
        </is>
      </c>
    </row>
    <row r="1541" ht="12.5" customHeight="1">
      <c r="A1541" s="6" t="n">
        <v>45181</v>
      </c>
      <c r="B1541" s="1" t="inlineStr">
        <is>
          <t>ORG_2071</t>
        </is>
      </c>
      <c r="C1541" s="1" t="b">
        <v>1</v>
      </c>
      <c r="D1541" s="1" t="inlineStr">
        <is>
          <t>Open Digital Education</t>
        </is>
      </c>
      <c r="E1541" s="10" t="inlineStr">
        <is>
          <t>https://opendigitaleducation.com/index.php?lang=en</t>
        </is>
      </c>
      <c r="F1541" t="inlineStr">
        <is>
          <t>opendigitaleducation.com/index.php?lang=en</t>
        </is>
      </c>
      <c r="G1541" s="1" t="inlineStr">
        <is>
          <t>Open Digital Education is a start-up founded in 2011 by Arnaud Albou and Olivier Vigneau. After successfully launching ONE, the first educational social network designed for elementary schools, Open Digital Education went even further by creating NEO, a collaborative network designed for middle schools and high schools. 
What motivates us? Bringing together those who teach, learn, and contribute to the education of young generations. Simplifying teachers’ lives by offering a secure tool designed for collaboration, communication, and creation. We work tirelessly to place students at the heart of what we do, empower them to take charge of their education, and promote their creativity and academic success.
ONE and NEO are present in 21 countries and already have nearly 9 million users!</t>
        </is>
      </c>
      <c r="H1541" s="1" t="inlineStr">
        <is>
          <t>EdTech France</t>
        </is>
      </c>
      <c r="I1541" s="1" t="n"/>
      <c r="J1541" s="1" t="inlineStr">
        <is>
          <t>Paris</t>
        </is>
      </c>
      <c r="K1541" t="inlineStr">
        <is>
          <t>Paris</t>
        </is>
      </c>
      <c r="L1541" t="inlineStr">
        <is>
          <t>Paris, France</t>
        </is>
      </c>
      <c r="M1541" t="n">
        <v>48.8534951</v>
      </c>
      <c r="N1541" t="n">
        <v>2.3483915</v>
      </c>
      <c r="O1541" s="1" t="inlineStr">
        <is>
          <t>France</t>
        </is>
      </c>
      <c r="P1541" s="1" t="inlineStr">
        <is>
          <t>Belgium, France, Germany, Italy, Portugal, Spain</t>
        </is>
      </c>
      <c r="Q1541" s="1" t="inlineStr">
        <is>
          <t>11 to 50</t>
        </is>
      </c>
      <c r="R1541" t="inlineStr">
        <is>
          <t>Small</t>
        </is>
      </c>
      <c r="S1541" s="1" t="inlineStr">
        <is>
          <t>Business to Business, Business to Government, Business to Schools</t>
        </is>
      </c>
      <c r="T1541" s="1" t="inlineStr">
        <is>
          <t>Primary Education, Secondary Education</t>
        </is>
      </c>
      <c r="U1541" s="1" t="inlineStr">
        <is>
          <t>System/Administrative, Teacher interfacing</t>
        </is>
      </c>
      <c r="V1541" s="1" t="inlineStr">
        <is>
          <t>ONE</t>
        </is>
      </c>
      <c r="W1541" s="10" t="inlineStr">
        <is>
          <t>ONE is the first educational social network designed for elementary schools. ONE addresses many uses: 
- Bringing the educational community together at a school or district level 
- Offering teachers a series of applications that are 100% useful, secured and easy to use
- Communicating with families more easily and encouraging their involvement
- Collaborating with peers, creating more captivating content</t>
        </is>
      </c>
      <c r="X1541" s="10" t="inlineStr">
        <is>
          <t>NEO</t>
        </is>
      </c>
      <c r="Y1541" t="inlineStr">
        <is>
          <t>NEO is a collaborative social network designed for middle schools and high schools. It’s a secure tool designed for collaboration, communication, and creation. Teachers and students have a wide variety of tools to create all their content. They can take their collaborative projects to the next level, by organizing interactive assignments with other classes, years, or even schools.</t>
        </is>
      </c>
      <c r="Z1541" s="1" t="inlineStr">
        <is>
          <t>https://drive.google.com/uc?export=view&amp;id=1v-6iY4N9DA3hgoR68othaWTvbHHaMkTd</t>
        </is>
      </c>
      <c r="AA1541" s="1" t="inlineStr">
        <is>
          <t>Unverified</t>
        </is>
      </c>
      <c r="AB1541" s="1" t="n"/>
      <c r="AC1541" s="1" t="n"/>
      <c r="AD1541" s="10" t="n"/>
      <c r="AE1541" s="1" t="n"/>
      <c r="AF1541" s="1" t="inlineStr">
        <is>
          <t>Yes</t>
        </is>
      </c>
      <c r="AG1541" s="1" t="inlineStr">
        <is>
          <t>Open Digital Education</t>
        </is>
      </c>
      <c r="AH1541" s="1" t="inlineStr">
        <is>
          <t>https://twitter.com/OpenDigitEduc</t>
        </is>
      </c>
      <c r="AI1541" t="inlineStr">
        <is>
          <t>https://fr.linkedin.com/company/open-digital-education</t>
        </is>
      </c>
    </row>
    <row r="1542" ht="12.5" customHeight="1">
      <c r="A1542" s="6" t="n">
        <v>45181</v>
      </c>
      <c r="B1542" s="1" t="inlineStr">
        <is>
          <t>ORG_2157</t>
        </is>
      </c>
      <c r="C1542" s="1" t="b">
        <v>1</v>
      </c>
      <c r="D1542" s="1" t="inlineStr">
        <is>
          <t>Rapidmooc</t>
        </is>
      </c>
      <c r="E1542" s="10" t="inlineStr">
        <is>
          <t>https://rapidmooc.com/</t>
        </is>
      </c>
      <c r="F1542" t="inlineStr">
        <is>
          <t>rapidmooc.com</t>
        </is>
      </c>
      <c r="G1542" s="1" t="inlineStr">
        <is>
          <t>Create professional quality videos in minutes with the Rapidmooc range of self-serve all-in-one video studios!
The Rapidmooc solution is the ultimate combination of top of the range video &amp; audio equipments in slick, customizable units, powered by the Rapidmooc application, designed to empower any individual to record or broadcast live professional quality video, no technical expertise required, no crew needed.
Rapidmooc studios are deployed in more than 400 universities and companies around the world. Our devices considerably simplify the massive production of training and communication video content, to enable a cost effective digital transformation of organizations !</t>
        </is>
      </c>
      <c r="H1542" s="1" t="inlineStr">
        <is>
          <t>EdTech France</t>
        </is>
      </c>
      <c r="I1542" s="1" t="n"/>
      <c r="J1542" s="1" t="inlineStr">
        <is>
          <t>Lyon</t>
        </is>
      </c>
      <c r="K1542" t="inlineStr">
        <is>
          <t>Lyon</t>
        </is>
      </c>
      <c r="L1542" t="inlineStr">
        <is>
          <t>Lyon, France</t>
        </is>
      </c>
      <c r="M1542" t="n">
        <v>45.7578137</v>
      </c>
      <c r="N1542" t="n">
        <v>4.8320114</v>
      </c>
      <c r="O1542" s="1" t="inlineStr">
        <is>
          <t>France</t>
        </is>
      </c>
      <c r="P1542" s="1" t="inlineStr">
        <is>
          <t>Belgium, France, Germany, Italy, Spain, Sweden, Switzerland, United Kingdom</t>
        </is>
      </c>
      <c r="Q1542" s="1" t="inlineStr">
        <is>
          <t>11 to 50</t>
        </is>
      </c>
      <c r="R1542" t="inlineStr">
        <is>
          <t>Small</t>
        </is>
      </c>
      <c r="S1542" s="1" t="inlineStr">
        <is>
          <t>Business to Consumer, Business to Schools</t>
        </is>
      </c>
      <c r="T1542" s="1" t="inlineStr">
        <is>
          <t>Higher Education, Corporate Training, Lifelong learning/Adult education</t>
        </is>
      </c>
      <c r="U1542" s="1" t="inlineStr">
        <is>
          <t>Teacher interfacing, Student interfacing, System/Administrative</t>
        </is>
      </c>
      <c r="V1542" s="1" t="inlineStr">
        <is>
          <t>Rapidmooc Pro Range</t>
        </is>
      </c>
      <c r="W1542" s="10" t="inlineStr">
        <is>
          <t>Video studio with large touchscreen (43'' or 27'') for a maximum ease of use and convenience, with multiple features (teleprompter, live videos, webmeetings, post-production)</t>
        </is>
      </c>
      <c r="X1542" s="10" t="inlineStr">
        <is>
          <t>Rapidmooc Go</t>
        </is>
      </c>
      <c r="Y1542" t="inlineStr">
        <is>
          <t>Mobile video studio with a small touchscreen (12''), adaptable to any type of work environment. Frame on wheels, removable to put the top part of the device on any support.</t>
        </is>
      </c>
      <c r="Z1542" s="1" t="inlineStr">
        <is>
          <t>https://drive.google.com/uc?export=view&amp;id=1kZeQu4tt7k_ZJiH40UHm5QmTgaLwisVR</t>
        </is>
      </c>
      <c r="AA1542" s="1" t="inlineStr">
        <is>
          <t>Unverified</t>
        </is>
      </c>
      <c r="AB1542" s="1" t="n"/>
      <c r="AC1542" s="1" t="n"/>
      <c r="AD1542" s="10" t="n"/>
      <c r="AE1542" s="1" t="n"/>
      <c r="AF1542" s="1" t="inlineStr">
        <is>
          <t>Yes</t>
        </is>
      </c>
      <c r="AG1542" s="1" t="inlineStr">
        <is>
          <t>https://twitter.com/rapidmooc</t>
        </is>
      </c>
      <c r="AH1542" s="1" t="inlineStr">
        <is>
          <t>https://twitter.com/rapidmooc</t>
        </is>
      </c>
      <c r="AI1542" t="inlineStr">
        <is>
          <t>https://www.linkedin.com/company/rapidmooc/</t>
        </is>
      </c>
    </row>
    <row r="1543" ht="12.5" customHeight="1">
      <c r="A1543" s="6" t="n">
        <v>45181</v>
      </c>
      <c r="B1543" s="1" t="inlineStr">
        <is>
          <t>ORG_2461</t>
        </is>
      </c>
      <c r="C1543" s="1" t="b">
        <v>1</v>
      </c>
      <c r="D1543" s="1" t="inlineStr">
        <is>
          <t>Unigow</t>
        </is>
      </c>
      <c r="E1543" s="10" t="inlineStr">
        <is>
          <t>https://unigow.com/</t>
        </is>
      </c>
      <c r="F1543" t="inlineStr">
        <is>
          <t>unigow.com</t>
        </is>
      </c>
      <c r="G1543" s="1" t="inlineStr">
        <is>
          <t>Unigow is an advising platform that helps students to find their ideal studies.</t>
        </is>
      </c>
      <c r="H1543" s="1" t="inlineStr">
        <is>
          <t>SEK Lab</t>
        </is>
      </c>
      <c r="I1543" s="1" t="n"/>
      <c r="J1543" s="1" t="inlineStr">
        <is>
          <t>Leganés</t>
        </is>
      </c>
      <c r="K1543" t="inlineStr">
        <is>
          <t>Leganés</t>
        </is>
      </c>
      <c r="L1543" t="inlineStr">
        <is>
          <t>Leganés, Spain</t>
        </is>
      </c>
      <c r="M1543" t="n">
        <v>40.3281942</v>
      </c>
      <c r="N1543" t="n">
        <v>-3.76527</v>
      </c>
      <c r="O1543" s="1" t="inlineStr">
        <is>
          <t>Spain</t>
        </is>
      </c>
      <c r="P1543" s="1" t="inlineStr">
        <is>
          <t>Spain</t>
        </is>
      </c>
      <c r="Q1543" s="1" t="inlineStr">
        <is>
          <t>0 to 10</t>
        </is>
      </c>
      <c r="R1543" t="inlineStr">
        <is>
          <t>Micro</t>
        </is>
      </c>
      <c r="S1543" s="1" t="inlineStr">
        <is>
          <t>Business to Government, Business to Schools</t>
        </is>
      </c>
      <c r="T1543" s="1" t="inlineStr">
        <is>
          <t>Secondary Education, Higher Education</t>
        </is>
      </c>
      <c r="U1543" s="1" t="inlineStr">
        <is>
          <t>System/Administrative, Student interfacing</t>
        </is>
      </c>
      <c r="V1543" s="1" t="inlineStr">
        <is>
          <t>Advising for high-schoolers</t>
        </is>
      </c>
      <c r="W1543" s="1" t="inlineStr">
        <is>
          <t>A network of students from all colleges and degrees. Get in touch with college students that are in your future degree in order to ask them all the questions that you want.</t>
        </is>
      </c>
      <c r="X1543" s="1" t="inlineStr">
        <is>
          <t>https://drive.google.com/uc?export=view&amp;id=1GT65GYanEK3HhnNv33ZzqP1GPpZidMgd</t>
        </is>
      </c>
      <c r="Y1543" t="inlineStr">
        <is>
          <t>https://drive.google.com/uc?export=view&amp;id=1GT65GYanEK3HhnNv33ZzqP1GPpZidMgd</t>
        </is>
      </c>
      <c r="Z1543" s="1" t="inlineStr">
        <is>
          <t>https://drive.google.com/uc?export=view&amp;id=1GT65GYanEK3HhnNv33ZzqP1GPpZidMgd</t>
        </is>
      </c>
      <c r="AA1543" s="1" t="inlineStr">
        <is>
          <t>Unverified</t>
        </is>
      </c>
      <c r="AB1543" s="1" t="n"/>
      <c r="AC1543" s="1" t="n"/>
      <c r="AD1543" s="10" t="n"/>
      <c r="AE1543" s="1" t="n"/>
      <c r="AF1543" s="1" t="inlineStr">
        <is>
          <t>No</t>
        </is>
      </c>
      <c r="AG1543" s="1" t="n"/>
      <c r="AH1543" s="1" t="n"/>
    </row>
    <row r="1544" ht="12.5" customHeight="1">
      <c r="A1544" s="6" t="n">
        <v>45181</v>
      </c>
      <c r="B1544" s="1" t="inlineStr">
        <is>
          <t>ORG_1017</t>
        </is>
      </c>
      <c r="C1544" s="1" t="b">
        <v>1</v>
      </c>
      <c r="D1544" s="1" t="inlineStr">
        <is>
          <t>8BitCADE</t>
        </is>
      </c>
      <c r="E1544" s="10" t="inlineStr">
        <is>
          <t>8bitcade.com</t>
        </is>
      </c>
      <c r="F1544" t="inlineStr">
        <is>
          <t>8bitcade.com</t>
        </is>
      </c>
      <c r="G1544" s="1" t="inlineStr">
        <is>
          <t>8BitCADE is an ED-tech startup focused on teaching through fun DIY game consoles. Users make the kits to learn in a fun and rewarding way – learning electronics &amp; programming while playing their favourite retro games!</t>
        </is>
      </c>
      <c r="H1544" s="1" t="inlineStr">
        <is>
          <t>I'm not part of any EdTech association</t>
        </is>
      </c>
      <c r="I1544" s="1" t="n"/>
      <c r="J1544" s="1" t="inlineStr">
        <is>
          <t>London</t>
        </is>
      </c>
      <c r="K1544" t="inlineStr">
        <is>
          <t>London</t>
        </is>
      </c>
      <c r="L1544" t="inlineStr">
        <is>
          <t>London, United Kingdom</t>
        </is>
      </c>
      <c r="M1544" t="n">
        <v>51.5074456</v>
      </c>
      <c r="N1544" t="n">
        <v>-0.1277653</v>
      </c>
      <c r="O1544" s="1" t="inlineStr">
        <is>
          <t>United Kingdom</t>
        </is>
      </c>
      <c r="P1544" s="1" t="inlineStr">
        <is>
          <t>Austria, Belgium, Croatia, Denmark, France, Germany, Hungary, Italy, Norway, Portugal, Russia, Spain, Sweden, United Kingdom</t>
        </is>
      </c>
      <c r="Q1544" s="1" t="inlineStr">
        <is>
          <t>0 to 10</t>
        </is>
      </c>
      <c r="R1544" t="inlineStr">
        <is>
          <t>Micro</t>
        </is>
      </c>
      <c r="S1544" s="1" t="inlineStr">
        <is>
          <t>Business to Business</t>
        </is>
      </c>
      <c r="T1544" s="1" t="inlineStr">
        <is>
          <t>Secondary Education, Lifelong learning/Adult education</t>
        </is>
      </c>
      <c r="U1544" s="1" t="inlineStr">
        <is>
          <t>System/Administrative, Student interfacing, Teacher interfacing</t>
        </is>
      </c>
      <c r="V1544" s="1" t="n"/>
      <c r="W1544" s="1" t="inlineStr">
        <is>
          <t>https://drive.google.com/uc?export=view&amp;id=14PMhKKlBCnoendBakvE4Szwkjylmz5qj</t>
        </is>
      </c>
      <c r="X1544" s="1" t="inlineStr">
        <is>
          <t>https://drive.google.com/uc?export=view&amp;id=14PMhKKlBCnoendBakvE4Szwkjylmz5qj</t>
        </is>
      </c>
      <c r="Y1544" t="inlineStr">
        <is>
          <t>https://drive.google.com/uc?export=view&amp;id=14PMhKKlBCnoendBakvE4Szwkjylmz5qj</t>
        </is>
      </c>
      <c r="Z1544" s="1" t="inlineStr">
        <is>
          <t>https://drive.google.com/uc?export=view&amp;id=14PMhKKlBCnoendBakvE4Szwkjylmz5qj</t>
        </is>
      </c>
      <c r="AA1544" s="1" t="inlineStr">
        <is>
          <t>Unverified</t>
        </is>
      </c>
      <c r="AB1544" s="1" t="n"/>
      <c r="AC1544" s="1" t="n"/>
      <c r="AD1544" s="10" t="n"/>
      <c r="AE1544" s="1" t="n"/>
      <c r="AF1544" s="1" t="inlineStr">
        <is>
          <t>No</t>
        </is>
      </c>
      <c r="AG1544" s="1" t="n"/>
      <c r="AH1544" s="1" t="n"/>
      <c r="AI1544" s="1" t="n"/>
      <c r="AJ1544" s="1" t="n"/>
    </row>
    <row r="1545" ht="12.5" customHeight="1">
      <c r="A1545" s="6" t="n">
        <v>45181</v>
      </c>
      <c r="B1545" s="1" t="inlineStr">
        <is>
          <t>ORG_1083</t>
        </is>
      </c>
      <c r="C1545" s="1" t="b">
        <v>1</v>
      </c>
      <c r="D1545" s="1" t="inlineStr">
        <is>
          <t>Apolearn</t>
        </is>
      </c>
      <c r="E1545" s="10" t="inlineStr">
        <is>
          <t>https://apolearn.com/</t>
        </is>
      </c>
      <c r="F1545" t="inlineStr">
        <is>
          <t>apolearn.com</t>
        </is>
      </c>
      <c r="G1545" s="1" t="inlineStr">
        <is>
          <t>Apolearn provides a social and collaborative Learning Management System that puts people at the heart of your training courses.</t>
        </is>
      </c>
      <c r="H1545" s="1" t="inlineStr">
        <is>
          <t>EdTech France</t>
        </is>
      </c>
      <c r="I1545" s="1" t="n"/>
      <c r="J1545" s="1" t="inlineStr">
        <is>
          <t>Saint-Ouen</t>
        </is>
      </c>
      <c r="K1545" t="inlineStr">
        <is>
          <t>Saint-Ouen</t>
        </is>
      </c>
      <c r="L1545" t="inlineStr">
        <is>
          <t>Saint-Ouen, France</t>
        </is>
      </c>
      <c r="M1545" t="n">
        <v>50.03683</v>
      </c>
      <c r="N1545" t="n">
        <v>2.1223737</v>
      </c>
      <c r="O1545" s="1" t="inlineStr">
        <is>
          <t>France</t>
        </is>
      </c>
      <c r="P1545" s="1" t="inlineStr">
        <is>
          <t>France</t>
        </is>
      </c>
      <c r="Q1545" s="1" t="inlineStr">
        <is>
          <t>11 to 50</t>
        </is>
      </c>
      <c r="R1545" t="inlineStr">
        <is>
          <t>Small</t>
        </is>
      </c>
      <c r="S1545" s="1" t="inlineStr">
        <is>
          <t>Business to Business</t>
        </is>
      </c>
      <c r="T1545" s="1" t="inlineStr">
        <is>
          <t>Higher Education, Corporate Training, Lifelong learning/Adult education</t>
        </is>
      </c>
      <c r="U1545" s="1" t="inlineStr">
        <is>
          <t>Teacher interfacing, System/Administrative</t>
        </is>
      </c>
      <c r="V1545" s="1" t="inlineStr">
        <is>
          <t>Apolearn</t>
        </is>
      </c>
      <c r="W1545" s="10" t="inlineStr">
        <is>
          <t>Apolearn is the digital learning platform that puts people at the heart of your training courses. Our LMS provides everything you need to create and animate blended and distance courses.</t>
        </is>
      </c>
      <c r="X1545" s="10" t="inlineStr">
        <is>
          <t>https://drive.google.com/uc?export=view&amp;id=13xT1Ii3usn9h_dHWUs7-6Zbm7EJzBnJL</t>
        </is>
      </c>
      <c r="Y1545" t="inlineStr">
        <is>
          <t>https://drive.google.com/uc?export=view&amp;id=13xT1Ii3usn9h_dHWUs7-6Zbm7EJzBnJL</t>
        </is>
      </c>
      <c r="Z1545" s="1" t="inlineStr">
        <is>
          <t>https://drive.google.com/uc?export=view&amp;id=13xT1Ii3usn9h_dHWUs7-6Zbm7EJzBnJL</t>
        </is>
      </c>
      <c r="AA1545" s="1" t="inlineStr">
        <is>
          <t>Unverified</t>
        </is>
      </c>
      <c r="AB1545" s="1" t="n"/>
      <c r="AC1545" s="1" t="n"/>
      <c r="AD1545" s="10" t="n"/>
      <c r="AE1545" s="1" t="n"/>
      <c r="AF1545" s="1" t="inlineStr">
        <is>
          <t>Yes</t>
        </is>
      </c>
      <c r="AG1545" s="1" t="inlineStr">
        <is>
          <t>https://twitter.com/apolearn</t>
        </is>
      </c>
      <c r="AH1545" s="1" t="inlineStr">
        <is>
          <t>https://twitter.com/apolearn</t>
        </is>
      </c>
      <c r="AI1545" t="inlineStr">
        <is>
          <t>https://www.linkedin.com/company/apolearn</t>
        </is>
      </c>
    </row>
    <row r="1546" ht="12.5" customHeight="1">
      <c r="A1546" s="6" t="n">
        <v>45181</v>
      </c>
      <c r="B1546" s="1" t="inlineStr">
        <is>
          <t>ORG_1102</t>
        </is>
      </c>
      <c r="C1546" s="1" t="b">
        <v>1</v>
      </c>
      <c r="D1546" s="1" t="inlineStr">
        <is>
          <t>Artivive</t>
        </is>
      </c>
      <c r="E1546" s="10" t="inlineStr">
        <is>
          <t>https://artivive.com/</t>
        </is>
      </c>
      <c r="F1546" t="inlineStr">
        <is>
          <t>artivive.com</t>
        </is>
      </c>
      <c r="G1546" s="1" t="inlineStr">
        <is>
          <t>Artivive is an AR tool that allows artists to create new dimensions of art by linking classical with digital art. The digital layer opens doors to a whole new world of possibilities. Artists can take visitors on a journey through time, explain what lies underneath, enhance the art with animations, or show how the artworks were made. 125,000 users are creating artworks with Artivive and are having exhibitions in 92 countries. For museums, exhibitions, galleries, and other art institutions Artivive offers a new and innovative way for the audience to interact with exhibitions. Visitors only have to use their smartphones or tablets in order to experience the layer of augmented reality.</t>
        </is>
      </c>
      <c r="H1546" s="1" t="inlineStr">
        <is>
          <t>EdTech Austria</t>
        </is>
      </c>
      <c r="I1546" s="1" t="n"/>
      <c r="J1546" s="1" t="inlineStr">
        <is>
          <t>Vienna</t>
        </is>
      </c>
      <c r="K1546" t="inlineStr">
        <is>
          <t>Vienna</t>
        </is>
      </c>
      <c r="L1546" t="inlineStr">
        <is>
          <t>Vienna, Austria</t>
        </is>
      </c>
      <c r="M1546" t="n">
        <v>48.2083537</v>
      </c>
      <c r="N1546" t="n">
        <v>16.3725042</v>
      </c>
      <c r="O1546" s="1" t="inlineStr">
        <is>
          <t>Austria</t>
        </is>
      </c>
      <c r="P154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546" s="1" t="inlineStr">
        <is>
          <t>11 to 50</t>
        </is>
      </c>
      <c r="R1546" t="inlineStr">
        <is>
          <t>Small</t>
        </is>
      </c>
      <c r="S1546" s="1" t="inlineStr">
        <is>
          <t>Business to Business</t>
        </is>
      </c>
      <c r="T1546" s="1" t="inlineStr">
        <is>
          <t>Early childhood development (0-5 years), Primary Education, Secondary Education, Higher Education, Corporate Training, Lifelong learning/Adult education</t>
        </is>
      </c>
      <c r="U1546" s="1" t="inlineStr">
        <is>
          <t>System/Administrative, Student interfacing, Teacher interfacing</t>
        </is>
      </c>
      <c r="V1546" s="10" t="inlineStr">
        <is>
          <t>Artivive App</t>
        </is>
      </c>
      <c r="W1546" s="10" t="inlineStr">
        <is>
          <t>Artivive is an easy-to-use, affordable tool for creating Augmented Reality Art. Whether you are a beginner or expert, Artivive welcomes users of every artistic level.To start creating, you need register for an Artivive account. This will give you access to our content management system called Bridge by Artivive.
We work with museums, galleries, festivals, and designers to present tailored solutions to individual problems. For them, Artivive provides a reliable, fast, and scalable infrastructure for the best experience for their visitors, prolonging visitation time, thus increasing emotional bonding. In addition, Artivive creates digital content, organizes workshops, and proposes artists for collaborations.</t>
        </is>
      </c>
      <c r="X1546" s="10" t="inlineStr">
        <is>
          <t>https://drive.google.com/uc?export=view&amp;id=1_-TdzL8HNcwYMRN8js9pXwwbfBa8sxXH</t>
        </is>
      </c>
      <c r="Y1546" t="inlineStr">
        <is>
          <t>https://drive.google.com/uc?export=view&amp;id=1_-TdzL8HNcwYMRN8js9pXwwbfBa8sxXH</t>
        </is>
      </c>
      <c r="Z1546" s="1" t="inlineStr">
        <is>
          <t>https://drive.google.com/uc?export=view&amp;id=1_-TdzL8HNcwYMRN8js9pXwwbfBa8sxXH</t>
        </is>
      </c>
      <c r="AA1546" s="1" t="inlineStr">
        <is>
          <t>Unverified</t>
        </is>
      </c>
      <c r="AB1546" s="1" t="n"/>
      <c r="AC1546" s="1" t="n"/>
      <c r="AD1546" s="10" t="n"/>
      <c r="AE1546" s="1" t="n"/>
      <c r="AF1546" s="1" t="inlineStr">
        <is>
          <t>Yes</t>
        </is>
      </c>
      <c r="AG1546" s="1" t="inlineStr">
        <is>
          <t>https://www.instagram.com/artiviveapp/</t>
        </is>
      </c>
      <c r="AH1546" s="1" t="inlineStr">
        <is>
          <t>https://twitter.com/ArtiviveApp</t>
        </is>
      </c>
      <c r="AI1546" t="inlineStr">
        <is>
          <t>https://www.linkedin.com/company/artivive/</t>
        </is>
      </c>
    </row>
    <row r="1547" ht="12.5" customHeight="1">
      <c r="A1547" s="6" t="n">
        <v>45181</v>
      </c>
      <c r="B1547" s="1" t="inlineStr">
        <is>
          <t>ORG_1148</t>
        </is>
      </c>
      <c r="C1547" s="1" t="b">
        <v>1</v>
      </c>
      <c r="D1547" s="1" t="inlineStr">
        <is>
          <t>Beekee</t>
        </is>
      </c>
      <c r="E1547" s="10" t="inlineStr">
        <is>
          <t>https://beekee.ch</t>
        </is>
      </c>
      <c r="F1547" t="inlineStr">
        <is>
          <t>beekee.ch</t>
        </is>
      </c>
      <c r="G1547" s="1" t="inlineStr">
        <is>
          <t>Reach more learners. Increase engagement. Blended digital learning anywhere – no internet needed!
At Beekee, we're dedicated to empowering learners, educators, trainers, and more with the essential tools and unrestricted access to resources to ignite learning, even in the most challenging circumstances. We firmly stand by the belief that quality education and access to training should be accessible to all, free from the constraints of unreliable internet and power interruptions.
We make this vision a reality, offering you field-ready standalone tools and support to reach a broader audience, enhance engagement, and seamlessly implement blended digital learning, making learning possible, open, and accessible to everyone, no matter the circumstances</t>
        </is>
      </c>
      <c r="H1547" s="1" t="inlineStr">
        <is>
          <t>Swiss EdTech Collider</t>
        </is>
      </c>
      <c r="I1547" s="1" t="inlineStr">
        <is>
          <t>English, French, Spanish, Italian, Portuguese.</t>
        </is>
      </c>
      <c r="J1547" s="1" t="inlineStr">
        <is>
          <t>Carouge</t>
        </is>
      </c>
      <c r="K1547" t="inlineStr">
        <is>
          <t>Carouge</t>
        </is>
      </c>
      <c r="L1547" t="inlineStr">
        <is>
          <t>Carouge, Switzerland</t>
        </is>
      </c>
      <c r="M1547" t="n">
        <v>46.1846691</v>
      </c>
      <c r="N1547" t="n">
        <v>6.1396839</v>
      </c>
      <c r="O1547" s="1" t="inlineStr">
        <is>
          <t>Switzerland</t>
        </is>
      </c>
      <c r="P1547" s="1" t="inlineStr">
        <is>
          <t>France, Spain, Switzerland</t>
        </is>
      </c>
      <c r="Q1547" s="1" t="inlineStr">
        <is>
          <t>6 to 10</t>
        </is>
      </c>
      <c r="R1547" t="inlineStr">
        <is>
          <t>Micro</t>
        </is>
      </c>
      <c r="S1547" s="1" t="inlineStr">
        <is>
          <t>Business to Business</t>
        </is>
      </c>
      <c r="T1547" s="1" t="inlineStr">
        <is>
          <t>Secondary Education, Corporate Training, Lifelong learning/Adult education, Vocational Education and Training (VET), Higher Education</t>
        </is>
      </c>
      <c r="U1547" s="1" t="inlineStr">
        <is>
          <t>Teacher interfacing, System/Administrative, Student interfacing</t>
        </is>
      </c>
      <c r="V1547" s="1" t="inlineStr">
        <is>
          <t>Beekee Box</t>
        </is>
      </c>
      <c r="W1547" s="10" t="inlineStr">
        <is>
          <t>Your pocket-sized digital classroom, empowers educators to deliver dynamic lessons anywhere - no internet needed</t>
        </is>
      </c>
      <c r="X1547" s="10" t="inlineStr">
        <is>
          <t>Beekee Hub</t>
        </is>
      </c>
      <c r="Y1547" t="inlineStr">
        <is>
          <t>Transform any space into a robust digital campus, offering both offline-first learning and online possibilities via mobile data.</t>
        </is>
      </c>
      <c r="Z1547" s="1" t="inlineStr">
        <is>
          <t>https://drive.google.com/uc?export=view&amp;id=1ZfxM41Op9Ykoa9z2v1uPL3Y7bLyQI839</t>
        </is>
      </c>
      <c r="AA1547" s="1" t="inlineStr">
        <is>
          <t>Unverified</t>
        </is>
      </c>
      <c r="AB1547" s="1" t="n"/>
      <c r="AC1547" s="1" t="n"/>
      <c r="AD1547" s="10" t="n"/>
      <c r="AE1547" s="1" t="n"/>
      <c r="AF1547" s="1" t="inlineStr">
        <is>
          <t>Yes</t>
        </is>
      </c>
      <c r="AG1547" s="1" t="inlineStr">
        <is>
          <t>https://twitter.com/beekee_ch</t>
        </is>
      </c>
      <c r="AH1547" s="1" t="inlineStr">
        <is>
          <t>https://twitter.com/beekee_ch</t>
        </is>
      </c>
      <c r="AI1547" t="inlineStr">
        <is>
          <t>https://www.linkedin.com/company/beekee/</t>
        </is>
      </c>
    </row>
    <row r="1548" ht="12.5" customHeight="1">
      <c r="A1548" s="6" t="n">
        <v>45181</v>
      </c>
      <c r="B1548" s="1" t="inlineStr">
        <is>
          <t>ORG_1211</t>
        </is>
      </c>
      <c r="C1548" s="1" t="b">
        <v>1</v>
      </c>
      <c r="D1548" s="1" t="inlineStr">
        <is>
          <t>Calerga Sarl</t>
        </is>
      </c>
      <c r="E1548" s="10" t="inlineStr">
        <is>
          <t>https://calerga.com</t>
        </is>
      </c>
      <c r="F1548" t="inlineStr">
        <is>
          <t>calerga.com</t>
        </is>
      </c>
      <c r="G1548" s="1" t="inlineStr">
        <is>
          <t>Calerga Sarl, a Swiss company, develops and sells Sysquake, a range of software for scientific computation and visualization. It's also active in edtech. It executes consulting projects in the domains of mathematical modeling, simulation, automatic control, and educational software.</t>
        </is>
      </c>
      <c r="H1548" s="1" t="inlineStr">
        <is>
          <t>Swiss EdTech Collider</t>
        </is>
      </c>
      <c r="I1548" s="1" t="n"/>
      <c r="J1548" s="1" t="inlineStr">
        <is>
          <t>Vevey</t>
        </is>
      </c>
      <c r="K1548" t="inlineStr">
        <is>
          <t>Vevey</t>
        </is>
      </c>
      <c r="L1548" t="inlineStr">
        <is>
          <t>Vevey, Switzerland</t>
        </is>
      </c>
      <c r="M1548" t="n">
        <v>46.4602978</v>
      </c>
      <c r="N1548" t="n">
        <v>6.8418655</v>
      </c>
      <c r="O1548" s="1" t="inlineStr">
        <is>
          <t>Switzerland</t>
        </is>
      </c>
      <c r="P1548" s="1" t="inlineStr">
        <is>
          <t>Austria, Belgium, France, Germany, Greece, Ireland, Italy, Poland, Portugal, Spain, Sweden, Switzerland, United Kingdom</t>
        </is>
      </c>
      <c r="Q1548" s="1" t="inlineStr">
        <is>
          <t>0 to 10</t>
        </is>
      </c>
      <c r="R1548" t="inlineStr">
        <is>
          <t>Micro</t>
        </is>
      </c>
      <c r="S1548" s="1" t="inlineStr">
        <is>
          <t>Business to Business</t>
        </is>
      </c>
      <c r="T1548" s="1" t="inlineStr">
        <is>
          <t>Secondary Education, Higher Education, Corporate Training</t>
        </is>
      </c>
      <c r="U1548" s="1" t="inlineStr">
        <is>
          <t>Teacher interfacing, Student interfacing, System/Administrative</t>
        </is>
      </c>
      <c r="V1548" s="1" t="inlineStr">
        <is>
          <t>Sysquake</t>
        </is>
      </c>
      <c r="W1548" s="1" t="inlineStr">
        <is>
          <t>Sysquake is innovative, powerful and flexible software for understanding systems, solving problems, and designing products. What makes it special is its unparalleled graphical interactivity.
Sysquake can be used in many areas, including automatic control, identification of model parameters and model validation, robotics, statistics, demography and finance.
Simulation of dynamic systems can benefit greatly from Sysquake's interactivity. Parameters have often effects which are difficult to deduce intuitively from the model or from a few static simulation graphics. With Sysquake, their manipulation reveal their role and which compromise may be obtained.
Sysquake is available as a native application for Windows, macOS and Linux, and as a web application.</t>
        </is>
      </c>
      <c r="X1548" s="1" t="inlineStr">
        <is>
          <t>https://drive.google.com/uc?export=view&amp;id=1_5X_I5RCltPHZ5-iFP1HKKVSA3NWQ3He</t>
        </is>
      </c>
      <c r="Y1548" t="inlineStr">
        <is>
          <t>https://drive.google.com/uc?export=view&amp;id=1_5X_I5RCltPHZ5-iFP1HKKVSA3NWQ3He</t>
        </is>
      </c>
      <c r="Z1548" s="1" t="inlineStr">
        <is>
          <t>https://drive.google.com/uc?export=view&amp;id=1_5X_I5RCltPHZ5-iFP1HKKVSA3NWQ3He</t>
        </is>
      </c>
      <c r="AA1548" s="1" t="inlineStr">
        <is>
          <t>Unverified</t>
        </is>
      </c>
      <c r="AB1548" s="1" t="n"/>
      <c r="AC1548" s="1" t="n"/>
      <c r="AD1548" s="10" t="n"/>
      <c r="AE1548" s="1" t="n"/>
      <c r="AF1548" s="1" t="inlineStr">
        <is>
          <t>No</t>
        </is>
      </c>
      <c r="AG1548" s="1" t="n"/>
      <c r="AH1548" s="1" t="n"/>
    </row>
    <row r="1549" ht="12.5" customHeight="1">
      <c r="A1549" s="6" t="n">
        <v>45181</v>
      </c>
      <c r="B1549" s="1" t="inlineStr">
        <is>
          <t>ORG_1379</t>
        </is>
      </c>
      <c r="C1549" s="1" t="b">
        <v>1</v>
      </c>
      <c r="D1549" s="1" t="inlineStr">
        <is>
          <t>doubleYou Kids</t>
        </is>
      </c>
      <c r="E1549" s="10" t="inlineStr">
        <is>
          <t>https://www.doubleyoukids.com</t>
        </is>
      </c>
      <c r="F1549" t="inlineStr">
        <is>
          <t>doubleyoukids.com</t>
        </is>
      </c>
      <c r="G1549" s="1" t="inlineStr">
        <is>
          <t>doubleYou Kids aims to create a new way to learn through vocal interactions with affective virtual characters, as fun study support for kids.
« Double » of parents or teachers, our virtual tutors are embedded in smartphone/tablet apps, to provide individualized learning program through skill assessments.
Our apps engage children in playful autonomous learning out loud through vocal quizzes, 3D games and AR/VR experiences. Parents and teachers can assign homework among thousands of educational contents, through messaging or schoolwork apps, and then follow their progress.
To provide fully-embedded educational games, we’ve developed our own technology that provides the missing link between speech recognition and expressive text to speech, and third-party APIs integration such as AR/VR engines.</t>
        </is>
      </c>
      <c r="H1549" s="1" t="inlineStr">
        <is>
          <t>EdTech France</t>
        </is>
      </c>
      <c r="I1549" s="1" t="n"/>
      <c r="J1549" s="1" t="inlineStr">
        <is>
          <t>Paris</t>
        </is>
      </c>
      <c r="K1549" t="inlineStr">
        <is>
          <t>Paris</t>
        </is>
      </c>
      <c r="L1549" t="inlineStr">
        <is>
          <t>Paris, France</t>
        </is>
      </c>
      <c r="M1549" t="n">
        <v>48.8534951</v>
      </c>
      <c r="N1549" t="n">
        <v>2.3483915</v>
      </c>
      <c r="O1549" s="1" t="inlineStr">
        <is>
          <t>France</t>
        </is>
      </c>
      <c r="P1549" s="1" t="inlineStr">
        <is>
          <t>Andorra, Belgium, Denmark, Finland, France, Ireland, Norway, Sweden, Switzerland, United Kingdom</t>
        </is>
      </c>
      <c r="Q1549" s="1" t="inlineStr">
        <is>
          <t>0 to 10</t>
        </is>
      </c>
      <c r="R1549" t="inlineStr">
        <is>
          <t>Micro</t>
        </is>
      </c>
      <c r="S1549" s="1" t="inlineStr">
        <is>
          <t>Business to Business, Business to Consumer</t>
        </is>
      </c>
      <c r="T1549" s="1" t="inlineStr">
        <is>
          <t>Primary Education</t>
        </is>
      </c>
      <c r="U1549" s="1" t="inlineStr">
        <is>
          <t>System/Administrative, Student interfacing, Teacher interfacing</t>
        </is>
      </c>
      <c r="V1549" s="1" t="inlineStr">
        <is>
          <t>AppStore Math8 Leon's Vocal Games (English and French)</t>
        </is>
      </c>
      <c r="W1549" s="10" t="inlineStr">
        <is>
          <t>This app designed for kids ages 7 to 10 allows math learning while having fun with the 3D talking character « Leon ». Utilizing an initial skill assessment, Leon builds an individualized math curricula to meet each child's needs. Always encouraging, Leon helps by giving hints and specific lessons. Leon travels the Earth with children and helps them discover specific regions through 360° VR videos.</t>
        </is>
      </c>
      <c r="X1549" s="10" t="inlineStr">
        <is>
          <t>AppStore Math8 for School (English and French)</t>
        </is>
      </c>
      <c r="Y1549" t="inlineStr">
        <is>
          <t>With Math8 for School, teachers can assign Math8 homework through the Apple « schoolwork » app. They can access to Math8’s educational content and choose from more than 1,000 games, quizzes and lessons. Children can access and play their homework through schoolwork app and teachers can follow their progress with a complete dashboard (statistics, figures).</t>
        </is>
      </c>
      <c r="Z1549" s="1" t="inlineStr">
        <is>
          <t>https://drive.google.com/uc?export=view&amp;id=1lx8pg1yp2BYUVOxzrIW2AgMAPn3TUTqQ</t>
        </is>
      </c>
      <c r="AA1549" s="1" t="inlineStr">
        <is>
          <t>Unverified</t>
        </is>
      </c>
      <c r="AB1549" s="1" t="n"/>
      <c r="AC1549" s="1" t="n"/>
      <c r="AD1549" s="10" t="n"/>
      <c r="AE1549" s="1" t="n"/>
      <c r="AF1549" s="1" t="inlineStr">
        <is>
          <t>Yes</t>
        </is>
      </c>
      <c r="AG1549" s="1" t="inlineStr">
        <is>
          <t>https://twitter.com/DoubleyouKids</t>
        </is>
      </c>
      <c r="AH1549" s="1" t="inlineStr">
        <is>
          <t>https://twitter.com/DoubleyouKids</t>
        </is>
      </c>
      <c r="AI1549" t="inlineStr">
        <is>
          <t>https://www.linkedin.com/company/doubleyoukids/</t>
        </is>
      </c>
    </row>
    <row r="1550" ht="12.5" customHeight="1">
      <c r="A1550" s="6" t="n">
        <v>45181</v>
      </c>
      <c r="B1550" s="1" t="inlineStr">
        <is>
          <t>ORG_1438</t>
        </is>
      </c>
      <c r="C1550" s="1" t="b">
        <v>1</v>
      </c>
      <c r="D1550" s="1" t="inlineStr">
        <is>
          <t>edufactory</t>
        </is>
      </c>
      <c r="E1550" s="10" t="inlineStr">
        <is>
          <t>www.edufactory.com</t>
        </is>
      </c>
      <c r="F1550" t="inlineStr">
        <is>
          <t>edufactory.com</t>
        </is>
      </c>
      <c r="G1550" s="1" t="inlineStr">
        <is>
          <t>edufactory is a pioneer in tailored digital learning in France. For over 10 years, our clients have benefited from our expertise in digital learning to develop 100% personalized and innovative training programs.
Our 360° vision covers all your needs when you enter a digitalization process:
- Customized creation (our core business)
- Consulting and support
- Platform solutions
We are constantly looking for the most relevant technologies applied to learning. We base our expertise and pedagogy on neuroscience to offer our clients engaging and differentiating training solutions.</t>
        </is>
      </c>
      <c r="H1550" s="1" t="inlineStr">
        <is>
          <t>EdTech France</t>
        </is>
      </c>
      <c r="I1550" s="1" t="n"/>
      <c r="J1550" s="1" t="inlineStr">
        <is>
          <t>Paris</t>
        </is>
      </c>
      <c r="K1550" t="inlineStr">
        <is>
          <t>Paris</t>
        </is>
      </c>
      <c r="L1550" t="inlineStr">
        <is>
          <t>Paris, France</t>
        </is>
      </c>
      <c r="M1550" t="n">
        <v>48.8534951</v>
      </c>
      <c r="N1550" t="n">
        <v>2.3483915</v>
      </c>
      <c r="O1550" s="1" t="inlineStr">
        <is>
          <t>France</t>
        </is>
      </c>
      <c r="P1550" s="1" t="inlineStr">
        <is>
          <t>France</t>
        </is>
      </c>
      <c r="Q1550" s="1" t="inlineStr">
        <is>
          <t>11 to 50</t>
        </is>
      </c>
      <c r="R1550" t="inlineStr">
        <is>
          <t>Small</t>
        </is>
      </c>
      <c r="S1550" s="1" t="inlineStr">
        <is>
          <t>Business to Business, Business to Consumer, Business to Government, Business to Schools</t>
        </is>
      </c>
      <c r="T1550" s="1" t="inlineStr">
        <is>
          <t>Secondary Education, Higher Education, Corporate Training, Lifelong learning/Adult education</t>
        </is>
      </c>
      <c r="U1550" s="1" t="inlineStr">
        <is>
          <t>Student interfacing, System/Administrative</t>
        </is>
      </c>
      <c r="V1550" s="10" t="inlineStr">
        <is>
          <t>Tailor-made creation</t>
        </is>
      </c>
      <c r="W1550" s="10" t="inlineStr">
        <is>
          <t>We design our modules entirely on demand:
- all topics: business gestures, technical training, soft skills, HR content, regulations
- all formats: e-learning, serious game, virtual reality, augmented reality, blended learning, video learning, motion design, simulation, micro learning, mobile learning...
- all media: computers, smartphones, tablets, VR headsets
- Graphics : 2D, 3D, actors...</t>
        </is>
      </c>
      <c r="X1550" s="10" t="inlineStr">
        <is>
          <t>Advice &amp; support</t>
        </is>
      </c>
      <c r="Y1550" t="inlineStr">
        <is>
          <t>Our offer is multidisciplinary: acculturation, collaborative workshops, operational recommendations... 
A digital training solution can be delivered through strategic and pedagogical consulting. Our missions can range from a 2-hour drafting of specifications to, for example, 3 years of support for the implementation of a digitalization strategy.</t>
        </is>
      </c>
      <c r="Z1550" s="1" t="inlineStr">
        <is>
          <t>https://drive.google.com/uc?export=view&amp;id=1Cf92a3a8jsgjm5jq7fx2liJwKsWzXxB6</t>
        </is>
      </c>
      <c r="AA1550" s="1" t="inlineStr">
        <is>
          <t>Unverified</t>
        </is>
      </c>
      <c r="AB1550" s="1" t="n"/>
      <c r="AC1550" s="1" t="n"/>
      <c r="AD1550" s="10" t="n"/>
      <c r="AE1550" s="1" t="n"/>
      <c r="AF1550" s="1" t="inlineStr">
        <is>
          <t>Yes</t>
        </is>
      </c>
      <c r="AG1550" s="1" t="inlineStr">
        <is>
          <t>https://www.instagram.com/_edufactory/?hl=fr</t>
        </is>
      </c>
      <c r="AH1550" s="1" t="inlineStr">
        <is>
          <t>https://twitter.com/_edufactory</t>
        </is>
      </c>
      <c r="AI1550" t="inlineStr">
        <is>
          <t>https://www.linkedin.com/company/edufactory</t>
        </is>
      </c>
    </row>
    <row r="1551" ht="12.5" customHeight="1">
      <c r="A1551" s="6" t="n">
        <v>45181</v>
      </c>
      <c r="B1551" s="1" t="inlineStr">
        <is>
          <t>ORG_1562</t>
        </is>
      </c>
      <c r="C1551" s="1" t="b">
        <v>1</v>
      </c>
      <c r="D1551" s="1" t="inlineStr">
        <is>
          <t>Fifty</t>
        </is>
      </c>
      <c r="E1551" s="10" t="inlineStr">
        <is>
          <t>www.fifty.do</t>
        </is>
      </c>
      <c r="F1551" t="inlineStr">
        <is>
          <t>fifty.do</t>
        </is>
      </c>
      <c r="G1551" s="1" t="inlineStr">
        <is>
          <t>Fifty bridges the intention-action gap in training and business transformation. Our eDoing solution enables rapid and measurable adoption of new behaviors. It combines behavioral science (nudge) and technology for use at scale. Fifty is used by companies such as Orange, Engie, Schneider Electric and L'Oréal on 4 major issues 
- Leadership and Management
- New ways of working
- Diversity, Inclusion and CSR
- Corporate values.
Translated with www.DeepL.com/Translator (free version)</t>
        </is>
      </c>
      <c r="H1551" s="1" t="inlineStr">
        <is>
          <t>EdTech France</t>
        </is>
      </c>
      <c r="I1551" s="1" t="n"/>
      <c r="J1551" s="1" t="inlineStr">
        <is>
          <t>Saint Mande</t>
        </is>
      </c>
      <c r="K1551" t="inlineStr">
        <is>
          <t>Saint Mande</t>
        </is>
      </c>
      <c r="L1551" t="inlineStr">
        <is>
          <t>Saint Mande, France</t>
        </is>
      </c>
      <c r="M1551" t="n">
        <v>46.0246916</v>
      </c>
      <c r="N1551" t="n">
        <v>-0.3031149</v>
      </c>
      <c r="O1551" s="1" t="inlineStr">
        <is>
          <t>France</t>
        </is>
      </c>
      <c r="P1551" s="1" t="inlineStr">
        <is>
          <t>Belgium, France, Germany, Italy, Luxembourg, Monaco, Spain, United Kingdom</t>
        </is>
      </c>
      <c r="Q1551" s="1" t="inlineStr">
        <is>
          <t>11 to 50</t>
        </is>
      </c>
      <c r="R1551" t="inlineStr">
        <is>
          <t>Small</t>
        </is>
      </c>
      <c r="S1551" s="1" t="inlineStr">
        <is>
          <t>Business to Business, Business to Consumer, Business to Government, Business to Schools</t>
        </is>
      </c>
      <c r="T1551" s="1" t="inlineStr">
        <is>
          <t>Corporate Training</t>
        </is>
      </c>
      <c r="U1551" s="1" t="inlineStr">
        <is>
          <t>System/Administrative</t>
        </is>
      </c>
      <c r="V1551" s="1" t="inlineStr">
        <is>
          <t>Fifty</t>
        </is>
      </c>
      <c r="W1551" s="1" t="inlineStr">
        <is>
          <t>Fifty offers an eDoing platform that combines behavioral science and technology.
It enables to :
- Translate expected behaviors into micro-actions, using our bank of proven and customizable actions
- Recommend these actions to all your employees, through our platform integrated with your existing tools
- Help your employees moving into actions thanks to nudges and social features
- Measure and manage change on a collective scale
With Fifty, anchor behaviors in a simple, empowering and measurable way.</t>
        </is>
      </c>
      <c r="X1551" s="10" t="inlineStr">
        <is>
          <t>https://drive.google.com/uc?export=view&amp;id=1x2IVAax4UqTXsiajtvTJ-3jSJo-euwEp</t>
        </is>
      </c>
      <c r="Y1551" t="inlineStr">
        <is>
          <t>https://drive.google.com/uc?export=view&amp;id=1x2IVAax4UqTXsiajtvTJ-3jSJo-euwEp</t>
        </is>
      </c>
      <c r="Z1551" s="1" t="inlineStr">
        <is>
          <t>https://drive.google.com/uc?export=view&amp;id=1x2IVAax4UqTXsiajtvTJ-3jSJo-euwEp</t>
        </is>
      </c>
      <c r="AA1551" s="1" t="inlineStr">
        <is>
          <t>Unverified</t>
        </is>
      </c>
      <c r="AB1551" s="1" t="n"/>
      <c r="AC1551" s="1" t="n"/>
      <c r="AD1551" s="10" t="n"/>
      <c r="AE1551" s="1" t="n"/>
      <c r="AF1551" s="1" t="inlineStr">
        <is>
          <t>Yes</t>
        </is>
      </c>
      <c r="AG1551" s="1" t="inlineStr">
        <is>
          <t>https://www.linkedin.com/company/fifty-edoing/</t>
        </is>
      </c>
      <c r="AH1551" s="1" t="inlineStr">
        <is>
          <t>https://www.linkedin.com/company/fifty-edoing/</t>
        </is>
      </c>
      <c r="AI1551" s="1" t="inlineStr">
        <is>
          <t>https://www.linkedin.com/company/fifty-edoing/</t>
        </is>
      </c>
      <c r="AJ1551" s="1" t="n"/>
    </row>
    <row r="1552" ht="12.5" customHeight="1">
      <c r="A1552" s="6" t="n">
        <v>45181</v>
      </c>
      <c r="B1552" s="1" t="inlineStr">
        <is>
          <t>ORG_1671</t>
        </is>
      </c>
      <c r="C1552" s="1" t="b">
        <v>1</v>
      </c>
      <c r="D1552" s="1" t="inlineStr">
        <is>
          <t>hello RSE</t>
        </is>
      </c>
      <c r="E1552" s="10" t="inlineStr">
        <is>
          <t>https://hellorse.fr/</t>
        </is>
      </c>
      <c r="F1552" t="inlineStr">
        <is>
          <t>hellorse.fr</t>
        </is>
      </c>
      <c r="G1552" s="1" t="inlineStr">
        <is>
          <t>hello RSE is a marketplace with an impact, which offers buyers in the public and private sectors a responsible purchasing tunnel. Its algorithm highlights the most local and virtuous offers and sellers. hello RSE offers digital resources (hardware/software) but is gradually expanding into new areas (furniture, hygiene, office supplies, etc.).
In a market traditionally driven by price, our customers confirm their interest in short circuits, as well as in companies that favour ethics and transparency, diversity and respect for the environment. This is why we have decided to subscribe to the diversity charter, but also to be labelled "Numérique Responsable 2" by the LUCIE ecolabel. 
hello RSE offers its customers new, rental and refurbished products. It thus contributes to the emergence of the circular economy. 
Finally, hello RSE is an expert in its field and cultivates high standards on a daily basis for the benefit of quality customer service. Its sales teams have numerous certifications that make it unique (Microsoft, Corel, Adobe and Google for Education; EdTech). hello RSE is committed to responsible, sustainable e-Commerce that reconciles economic, social and environmental performance</t>
        </is>
      </c>
      <c r="H1552" s="1" t="inlineStr">
        <is>
          <t>EdTech France</t>
        </is>
      </c>
      <c r="I1552" s="1" t="n"/>
      <c r="J1552" s="1" t="inlineStr">
        <is>
          <t>Bordeaux</t>
        </is>
      </c>
      <c r="K1552" t="inlineStr">
        <is>
          <t>Bordeaux</t>
        </is>
      </c>
      <c r="L1552" t="inlineStr">
        <is>
          <t>Bordeaux, France</t>
        </is>
      </c>
      <c r="M1552" t="n">
        <v>44.841225</v>
      </c>
      <c r="N1552" t="n">
        <v>-0.5800364</v>
      </c>
      <c r="O1552" s="1" t="inlineStr">
        <is>
          <t>France</t>
        </is>
      </c>
      <c r="P1552" s="1" t="inlineStr">
        <is>
          <t>Belgium, France</t>
        </is>
      </c>
      <c r="Q1552" s="1" t="inlineStr">
        <is>
          <t>0 to 10</t>
        </is>
      </c>
      <c r="R1552" t="inlineStr">
        <is>
          <t>Micro</t>
        </is>
      </c>
      <c r="S1552" s="1" t="inlineStr">
        <is>
          <t>Business to Business, Business to Consumer, Business to Government, Business to Schools</t>
        </is>
      </c>
      <c r="T1552" s="1" t="inlineStr">
        <is>
          <t>Early childhood development (0-5 years), Primary Education, Secondary Education, Higher Education</t>
        </is>
      </c>
      <c r="U1552" s="1" t="inlineStr">
        <is>
          <t>Teacher interfacing, Student interfacing, System/Administrative</t>
        </is>
      </c>
      <c r="V1552" s="1" t="inlineStr">
        <is>
          <t>EDUCandCO</t>
        </is>
      </c>
      <c r="W1552" s="1" t="inlineStr">
        <is>
          <t>We offer packs adapted to education distributed under the name of EDUCandCO. These packages contain software (educational and entertainment software such as the EdTech) and hardware (tablets, hybrid computers). The real added value of these packs is their ability to cover all fields of action for schools wishing to equip their classrooms in an optimised way.</t>
        </is>
      </c>
      <c r="X1552" s="10" t="inlineStr">
        <is>
          <t>Education software</t>
        </is>
      </c>
      <c r="Y1552" t="inlineStr">
        <is>
          <t>Our proposal in software and certification will equip students or employees in their activities. We distribute Adobe Education, Microsoft, Corel, Google and Edtech software. These official certifications allow thousands of users to enjoy their digital tools in a more secure and appropriate way.</t>
        </is>
      </c>
      <c r="Z1552" s="1" t="inlineStr">
        <is>
          <t>https://drive.google.com/uc?export=view&amp;id=1w_aq8VOojnCK8o31ME7BdTHvAnoaEHuN</t>
        </is>
      </c>
      <c r="AA1552" s="1" t="inlineStr">
        <is>
          <t>Unverified</t>
        </is>
      </c>
      <c r="AB1552" s="1" t="n"/>
      <c r="AC1552" s="1" t="n"/>
      <c r="AD1552" s="10" t="n"/>
      <c r="AE1552" s="1" t="n"/>
      <c r="AF1552" s="1" t="inlineStr">
        <is>
          <t>Yes</t>
        </is>
      </c>
      <c r="AG1552" s="1" t="inlineStr">
        <is>
          <t>https://www.linkedin.com/company/hellorse/mycompany/?viewAsMember=true</t>
        </is>
      </c>
      <c r="AH1552" s="1" t="inlineStr">
        <is>
          <t>https://www.linkedin.com/company/hellorse/mycompany/?viewAsMember=true</t>
        </is>
      </c>
      <c r="AI1552" t="inlineStr">
        <is>
          <t>https://www.linkedin.com/company/hellorse/mycompany/?viewAsMember=true</t>
        </is>
      </c>
    </row>
    <row r="1553" ht="12.5" customHeight="1">
      <c r="A1553" s="6" t="n">
        <v>45181</v>
      </c>
      <c r="B1553" s="1" t="inlineStr">
        <is>
          <t>ORG_1701</t>
        </is>
      </c>
      <c r="C1553" s="1" t="b">
        <v>1</v>
      </c>
      <c r="D1553" s="1" t="inlineStr">
        <is>
          <t>iamprogrez</t>
        </is>
      </c>
      <c r="E1553" s="10" t="inlineStr">
        <is>
          <t>www.iamprogrez.com</t>
        </is>
      </c>
      <c r="F1553" t="inlineStr">
        <is>
          <t>iamprogrez.com</t>
        </is>
      </c>
      <c r="G1553" s="1" t="inlineStr">
        <is>
          <t>iamprogrez is a Dutch data tech company that delivers validated soft skill assessment technology for b2e, b2b &amp; b2gov. 
Our motto: “never stop growing” applies to both people and organisations. We connect our passion for both people and data through our technology and create endless possibilities. Our technology is fully focused on the maximum development of people by making their skills, passion and talent visible.
Our tech
•	any time, anywhere 
•	plug &amp; play
•	gamification technology (it is NOT a game)
•	20 min assessments (max)
•	Real time data dashboards
•	SaaS</t>
        </is>
      </c>
      <c r="H1553" s="1" t="n"/>
      <c r="I1553" s="1" t="n"/>
      <c r="J1553" s="1" t="inlineStr">
        <is>
          <t>Den Haag</t>
        </is>
      </c>
      <c r="K1553" t="inlineStr">
        <is>
          <t>Den Haag</t>
        </is>
      </c>
      <c r="L1553" t="inlineStr">
        <is>
          <t>Den Haag, The Netherlands</t>
        </is>
      </c>
      <c r="M1553" t="n">
        <v>52.0749456</v>
      </c>
      <c r="N1553" t="n">
        <v>4.2696802</v>
      </c>
      <c r="O1553" s="1" t="inlineStr">
        <is>
          <t>The Netherlands</t>
        </is>
      </c>
      <c r="P1553" s="1" t="inlineStr">
        <is>
          <t>Netherlands</t>
        </is>
      </c>
      <c r="Q1553" s="1" t="inlineStr">
        <is>
          <t>11 to 50</t>
        </is>
      </c>
      <c r="R1553" t="inlineStr">
        <is>
          <t>Small</t>
        </is>
      </c>
      <c r="S1553" s="1" t="inlineStr">
        <is>
          <t>Business to Business, Business to Consumer, Business to Schools</t>
        </is>
      </c>
      <c r="T1553" s="1" t="inlineStr">
        <is>
          <t>Early childhood development (0-5 years), Primary Education, Secondary Education, Corporate Training, Lifelong learning/Adult education</t>
        </is>
      </c>
      <c r="U1553" s="1" t="inlineStr">
        <is>
          <t>System/Administrative, Student interfacing</t>
        </is>
      </c>
      <c r="V1553" s="1" t="inlineStr">
        <is>
          <t>Digital soft skill assessment</t>
        </is>
      </c>
      <c r="W1553" s="10" t="inlineStr">
        <is>
          <t>validated digital soft skill assessments: 
•	better study choice
•	bridging the skill gap to the labor market
•	personalized learning 
•	career guidance 
•	up to 18.000 soft skills</t>
        </is>
      </c>
      <c r="X1553" s="10" t="inlineStr">
        <is>
          <t>Minecraft Education Skill Builder</t>
        </is>
      </c>
      <c r="Y1553" t="inlineStr">
        <is>
          <t>•	building &amp; delivering Minecraft Education Worlds with an added layer (Skill Builder) to measure 21st century skills which can be connected to student learning objectives
•	facilitates gamebased learning</t>
        </is>
      </c>
      <c r="Z1553" s="1" t="inlineStr">
        <is>
          <t>https://drive.google.com/uc?export=view&amp;id=1us57gsY4-z0ACSO2K_jYut24iok0oeFi</t>
        </is>
      </c>
      <c r="AA1553" s="1" t="inlineStr">
        <is>
          <t>Unverified</t>
        </is>
      </c>
      <c r="AB1553" s="1" t="n"/>
      <c r="AC1553" s="1" t="n"/>
      <c r="AD1553" s="10" t="n"/>
      <c r="AE1553" s="1" t="n"/>
      <c r="AF1553" s="1" t="inlineStr">
        <is>
          <t>Yes</t>
        </is>
      </c>
      <c r="AG1553" s="1" t="inlineStr">
        <is>
          <t>iamprogrez</t>
        </is>
      </c>
      <c r="AH1553" s="1" t="inlineStr">
        <is>
          <t>https://twitter.com/IamProgrez</t>
        </is>
      </c>
      <c r="AI1553" t="inlineStr">
        <is>
          <t>https://www.linkedin.com/company/5102576/admin/</t>
        </is>
      </c>
    </row>
    <row r="1554" ht="12.5" customHeight="1">
      <c r="A1554" s="6" t="n">
        <v>45181</v>
      </c>
      <c r="B1554" s="1" t="inlineStr">
        <is>
          <t>ORG_1740</t>
        </is>
      </c>
      <c r="C1554" s="1" t="b">
        <v>1</v>
      </c>
      <c r="D1554" s="1" t="inlineStr">
        <is>
          <t>ISIcrunch</t>
        </is>
      </c>
      <c r="E1554" s="10" t="inlineStr">
        <is>
          <t>https://www.isicrunch.com</t>
        </is>
      </c>
      <c r="F1554" t="inlineStr">
        <is>
          <t>isicrunch.com</t>
        </is>
      </c>
      <c r="G1554" s="1" t="inlineStr">
        <is>
          <t>ISI empowers Educational Publishers by creating interactive eTextbooks, enabling custom libraries and interactive reading.
ISI is a major player in inclusive education allowing born-accessible resources to be used by any level of DYS handicap and blind people.
Our platforms boost productivity of eTextbooks and inclusive educational resources to be used on any device including Mobile.
Connected to many LMS, ISI products are key parts of adaptive learning processes.</t>
        </is>
      </c>
      <c r="H1554" s="1" t="inlineStr">
        <is>
          <t>EdTech France</t>
        </is>
      </c>
      <c r="I1554" s="1" t="n"/>
      <c r="J1554" s="1" t="inlineStr">
        <is>
          <t>Les Ulis</t>
        </is>
      </c>
      <c r="K1554" t="inlineStr">
        <is>
          <t>Les Ulis</t>
        </is>
      </c>
      <c r="L1554" t="inlineStr">
        <is>
          <t>Les Ulis, France</t>
        </is>
      </c>
      <c r="M1554" t="n">
        <v>48.681708</v>
      </c>
      <c r="N1554" t="n">
        <v>2.1701573</v>
      </c>
      <c r="O1554" s="1" t="inlineStr">
        <is>
          <t>France</t>
        </is>
      </c>
      <c r="P1554" s="1" t="inlineStr">
        <is>
          <t>Belgium, France, Netherlands, Portugal, Spain</t>
        </is>
      </c>
      <c r="Q1554" s="1" t="inlineStr">
        <is>
          <t>0 to 10</t>
        </is>
      </c>
      <c r="R1554" t="inlineStr">
        <is>
          <t>Micro</t>
        </is>
      </c>
      <c r="S1554" s="1" t="inlineStr">
        <is>
          <t>Business to Business, Business to Consumer, Business to Schools</t>
        </is>
      </c>
      <c r="T1554" s="1" t="inlineStr">
        <is>
          <t>Primary Education, Secondary Education, Higher Education, Corporate Training</t>
        </is>
      </c>
      <c r="U1554" s="1" t="inlineStr">
        <is>
          <t>System/Administrative, Student interfacing, Teacher interfacing</t>
        </is>
      </c>
      <c r="V1554" s="1" t="inlineStr">
        <is>
          <t>ISIcrunch</t>
        </is>
      </c>
      <c r="W1554" s="10" t="inlineStr">
        <is>
          <t>ISIcrunch is the leading platform to create highly interactive eTextbooks.
Used by many educational publishers in France and internationally (Europe, Africa, Brazil, etc.)
Create, Review and Manage your production in real-time with the extensive functionalities of this reference platform.
More than 3 millions pages already produced by our platform supporting the EPUB standards.</t>
        </is>
      </c>
      <c r="X1554" s="10" t="inlineStr">
        <is>
          <t>ISIaccess</t>
        </is>
      </c>
      <c r="Y1554" t="inlineStr">
        <is>
          <t>Create your own custom library, from open access to secure and private connection, with an integrated Reader delivering full interactivity.
Used in French schools with the GAR connector of the Ministry of Education, supporting many other connectors such as LTI, Moodle Plug-In, Blackboard, ISIaccess is used all across the world.</t>
        </is>
      </c>
      <c r="Z1554" s="1" t="inlineStr">
        <is>
          <t>https://drive.google.com/uc?export=view&amp;id=1sfm4HtYWhkhcaNfO0Z8NjUlFSnGP1XDO</t>
        </is>
      </c>
      <c r="AA1554" s="1" t="inlineStr">
        <is>
          <t>Unverified</t>
        </is>
      </c>
      <c r="AB1554" s="1" t="n"/>
      <c r="AC1554" s="1" t="n"/>
      <c r="AD1554" s="10" t="n"/>
      <c r="AE1554" s="1" t="n"/>
      <c r="AF1554" s="1" t="inlineStr">
        <is>
          <t>Yes</t>
        </is>
      </c>
      <c r="AG1554" s="1" t="inlineStr">
        <is>
          <t>ISI SAS</t>
        </is>
      </c>
      <c r="AH1554" s="1" t="inlineStr">
        <is>
          <t>https://twitter.com/ISIcrunch</t>
        </is>
      </c>
      <c r="AI1554" s="1" t="inlineStr">
        <is>
          <t>https://www.linkedin.com/in/vincentwartelle/</t>
        </is>
      </c>
      <c r="AJ1554" s="1" t="n"/>
    </row>
    <row r="1555" ht="12.5" customHeight="1">
      <c r="A1555" s="6" t="n">
        <v>45181</v>
      </c>
      <c r="B1555" s="1" t="inlineStr">
        <is>
          <t>ORG_1832</t>
        </is>
      </c>
      <c r="C1555" s="1" t="b">
        <v>1</v>
      </c>
      <c r="D1555" s="1" t="inlineStr">
        <is>
          <t>Learning Boost</t>
        </is>
      </c>
      <c r="E1555" s="10" t="inlineStr">
        <is>
          <t>https://www.learning-boost.com/</t>
        </is>
      </c>
      <c r="F1555" t="inlineStr">
        <is>
          <t>learning-boost.com</t>
        </is>
      </c>
      <c r="G1555" s="1" t="inlineStr">
        <is>
          <t>Create custom assessment surveys with Learning Boost to assess your team’s maturity on key topics and help them develop their skills</t>
        </is>
      </c>
      <c r="H1555" s="1" t="inlineStr">
        <is>
          <t>EdTech France</t>
        </is>
      </c>
      <c r="I1555" s="1" t="inlineStr">
        <is>
          <t>French, English</t>
        </is>
      </c>
      <c r="J1555" s="1" t="inlineStr">
        <is>
          <t>Paris</t>
        </is>
      </c>
      <c r="K1555" t="inlineStr">
        <is>
          <t>Paris</t>
        </is>
      </c>
      <c r="L1555" t="inlineStr">
        <is>
          <t>Paris, France</t>
        </is>
      </c>
      <c r="M1555" t="n">
        <v>48.8534951</v>
      </c>
      <c r="N1555" t="n">
        <v>2.3483915</v>
      </c>
      <c r="O1555" s="1" t="inlineStr">
        <is>
          <t>France</t>
        </is>
      </c>
      <c r="P1555" s="1" t="inlineStr">
        <is>
          <t>France</t>
        </is>
      </c>
      <c r="Q1555" s="1" t="inlineStr">
        <is>
          <t>11 to 50</t>
        </is>
      </c>
      <c r="R1555" t="inlineStr">
        <is>
          <t>Small</t>
        </is>
      </c>
      <c r="S1555" s="1" t="inlineStr">
        <is>
          <t>Business to Business, Business to Consumer, Business to Schools</t>
        </is>
      </c>
      <c r="T1555" s="1" t="inlineStr">
        <is>
          <t>Corporate Training</t>
        </is>
      </c>
      <c r="U1555" s="1" t="inlineStr">
        <is>
          <t>System/Administrative</t>
        </is>
      </c>
      <c r="V1555" s="1" t="inlineStr">
        <is>
          <t>Learning Boost</t>
        </is>
      </c>
      <c r="W1555" s="10" t="inlineStr">
        <is>
          <t>Empower your teams: help them adapt to new goals and ambitions : 
1.Measure your team members’ key skills
2. Assess the impact of training programs
3. Personalize learning paths for each team member</t>
        </is>
      </c>
      <c r="X1555" s="10" t="inlineStr">
        <is>
          <t>https://drive.google.com/uc?export=view&amp;id=1LynT39ezg8vDMQvCO437rPsI3Z8SWH3V</t>
        </is>
      </c>
      <c r="Y1555" t="inlineStr">
        <is>
          <t>https://drive.google.com/uc?export=view&amp;id=1LynT39ezg8vDMQvCO437rPsI3Z8SWH3V</t>
        </is>
      </c>
      <c r="Z1555" s="1" t="inlineStr">
        <is>
          <t>https://drive.google.com/uc?export=view&amp;id=1LynT39ezg8vDMQvCO437rPsI3Z8SWH3V</t>
        </is>
      </c>
      <c r="AA1555" s="1" t="inlineStr">
        <is>
          <t>Unverified</t>
        </is>
      </c>
      <c r="AB1555" s="1" t="n"/>
      <c r="AC1555" s="1" t="n"/>
      <c r="AD1555" s="10" t="n"/>
      <c r="AE1555" s="1" t="n"/>
      <c r="AF1555" s="1" t="inlineStr">
        <is>
          <t>Yes</t>
        </is>
      </c>
      <c r="AG1555" s="1" t="inlineStr">
        <is>
          <t>https://twitter.com/Learning_Boost</t>
        </is>
      </c>
      <c r="AH1555" s="1" t="inlineStr">
        <is>
          <t>https://twitter.com/Learning_Boost</t>
        </is>
      </c>
      <c r="AI1555" s="1" t="inlineStr">
        <is>
          <t>https://www.linkedin.com/showcase/learningboost/</t>
        </is>
      </c>
      <c r="AJ1555" s="1" t="n"/>
    </row>
    <row r="1556" ht="12.5" customHeight="1">
      <c r="A1556" s="6" t="n">
        <v>45181</v>
      </c>
      <c r="B1556" s="1" t="inlineStr">
        <is>
          <t>ORG_1897</t>
        </is>
      </c>
      <c r="C1556" s="1" t="b">
        <v>1</v>
      </c>
      <c r="D1556" s="1" t="inlineStr">
        <is>
          <t>LYNX EDUCATE</t>
        </is>
      </c>
      <c r="E1556" s="10" t="inlineStr">
        <is>
          <t>https://www.lynxeducate.com/</t>
        </is>
      </c>
      <c r="F1556" t="inlineStr">
        <is>
          <t>lynxeducate.com</t>
        </is>
      </c>
      <c r="G1556" s="1" t="inlineStr">
        <is>
          <t>We make it easy for companies to train employees through certified education programs: LYNX is a digital platform that provides a broad range of certified education offerings from leading learning institutions to meet workforce development needs across Europe and the UK</t>
        </is>
      </c>
      <c r="H1556" s="1" t="inlineStr">
        <is>
          <t>EdTech France</t>
        </is>
      </c>
      <c r="I1556" s="1" t="n"/>
      <c r="J1556" s="1" t="inlineStr">
        <is>
          <t>Paris</t>
        </is>
      </c>
      <c r="K1556" t="inlineStr">
        <is>
          <t>Paris</t>
        </is>
      </c>
      <c r="L1556" t="inlineStr">
        <is>
          <t>Paris, France</t>
        </is>
      </c>
      <c r="M1556" t="n">
        <v>48.8534951</v>
      </c>
      <c r="N1556" t="n">
        <v>2.3483915</v>
      </c>
      <c r="O1556" s="1" t="inlineStr">
        <is>
          <t>France</t>
        </is>
      </c>
      <c r="P1556" s="1" t="inlineStr">
        <is>
          <t>France, United Kingdom</t>
        </is>
      </c>
      <c r="Q1556" s="1" t="inlineStr">
        <is>
          <t>0 to 10</t>
        </is>
      </c>
      <c r="R1556" t="inlineStr">
        <is>
          <t>Micro</t>
        </is>
      </c>
      <c r="S1556" s="1" t="inlineStr">
        <is>
          <t>Business to Business, Business to Consumer, Business to Schools</t>
        </is>
      </c>
      <c r="T1556" s="1" t="inlineStr">
        <is>
          <t>Corporate Training, Lifelong learning/Adult education</t>
        </is>
      </c>
      <c r="U1556" s="1" t="inlineStr">
        <is>
          <t>System/Administrative</t>
        </is>
      </c>
      <c r="V1556" s="10" t="inlineStr">
        <is>
          <t>Lynx Educate</t>
        </is>
      </c>
      <c r="W1556" s="10" t="inlineStr">
        <is>
          <t>LYNX is a digital platform that provides a broad range of certified education offerings from leading learning institutions to meet workforce development needs across Europe and the UK</t>
        </is>
      </c>
      <c r="X1556" s="10" t="inlineStr">
        <is>
          <t>https://drive.google.com/uc?export=view&amp;id=1wU9PXCp2dSGAEvNRIuWTFQU7x8xnA32K</t>
        </is>
      </c>
      <c r="Y1556" t="inlineStr">
        <is>
          <t>https://drive.google.com/uc?export=view&amp;id=1wU9PXCp2dSGAEvNRIuWTFQU7x8xnA32K</t>
        </is>
      </c>
      <c r="Z1556" s="1" t="inlineStr">
        <is>
          <t>https://drive.google.com/uc?export=view&amp;id=1wU9PXCp2dSGAEvNRIuWTFQU7x8xnA32K</t>
        </is>
      </c>
      <c r="AA1556" s="1" t="inlineStr">
        <is>
          <t>Unverified</t>
        </is>
      </c>
      <c r="AB1556" s="1" t="n"/>
      <c r="AC1556" s="1" t="n"/>
      <c r="AD1556" s="10" t="n"/>
      <c r="AE1556" s="1" t="n"/>
      <c r="AF1556" t="inlineStr">
        <is>
          <t>Yes</t>
        </is>
      </c>
      <c r="AG1556" t="inlineStr">
        <is>
          <t>https://www.instagram.com/lynxeducate/</t>
        </is>
      </c>
      <c r="AH1556" t="inlineStr">
        <is>
          <t>https://twitter.com/LynxEducate</t>
        </is>
      </c>
      <c r="AI1556" t="inlineStr">
        <is>
          <t>https://www.linkedin.com/company/lynxeducate/</t>
        </is>
      </c>
    </row>
    <row r="1557" ht="12.5" customHeight="1">
      <c r="A1557" s="6" t="n">
        <v>45181</v>
      </c>
      <c r="B1557" s="1" t="inlineStr">
        <is>
          <t>ORG_1982</t>
        </is>
      </c>
      <c r="C1557" s="1" t="b">
        <v>1</v>
      </c>
      <c r="D1557" s="10" t="inlineStr">
        <is>
          <t>Mokosi.lt</t>
        </is>
      </c>
      <c r="E1557" s="10" t="inlineStr">
        <is>
          <t>www.mokosi.lt</t>
        </is>
      </c>
      <c r="F1557" t="inlineStr">
        <is>
          <t>mokosi.lt</t>
        </is>
      </c>
      <c r="G1557" s="1" t="inlineStr">
        <is>
          <t>Mokosi connects students with teachers for online individual or small group lessons, enabling personalized studies, as well as flexibility on date and time suitable for both parties and duration of the lessons. Mokosi enables the teacher to share their personal profile and sell their IP content to other teachers. As part of the lessons, teachers can share a feedback with the parents allowing them to monitor the progress of the student, as well as give their own feedback to the teacher. Mokosi supports the teachers with an abundance of ready made teaching courseware integrated on board the platform.</t>
        </is>
      </c>
      <c r="H1557" s="1" t="inlineStr">
        <is>
          <t>EdTech Lithuania</t>
        </is>
      </c>
      <c r="I1557" s="1" t="n"/>
      <c r="J1557" s="1" t="inlineStr">
        <is>
          <t>Akademija</t>
        </is>
      </c>
      <c r="K1557" t="inlineStr">
        <is>
          <t>Akademija</t>
        </is>
      </c>
      <c r="L1557" t="inlineStr">
        <is>
          <t>Akademija, Lithuania</t>
        </is>
      </c>
      <c r="M1557" t="n">
        <v>54.7021466</v>
      </c>
      <c r="N1557" t="n">
        <v>25.31299</v>
      </c>
      <c r="O1557" s="1" t="inlineStr">
        <is>
          <t>Lithuania</t>
        </is>
      </c>
      <c r="P1557" s="1" t="inlineStr">
        <is>
          <t>Albania, Lithuania, Romania</t>
        </is>
      </c>
      <c r="Q1557" s="1" t="inlineStr">
        <is>
          <t>0 to 10</t>
        </is>
      </c>
      <c r="R1557" t="inlineStr">
        <is>
          <t>Micro</t>
        </is>
      </c>
      <c r="S1557" s="1" t="inlineStr">
        <is>
          <t>Business to Business, Business to Government</t>
        </is>
      </c>
      <c r="T1557" s="1" t="inlineStr">
        <is>
          <t>Secondary Education</t>
        </is>
      </c>
      <c r="U1557" s="1" t="inlineStr">
        <is>
          <t>System/Administrative, Student interfacing, Teacher interfacing</t>
        </is>
      </c>
      <c r="V1557" s="10" t="inlineStr">
        <is>
          <t>Mokosi.lt</t>
        </is>
      </c>
      <c r="W1557" s="1" t="inlineStr">
        <is>
          <t>Mokosi connects students with teachers for online individual or small group lessons, enabling personalized studies, as well as flexibility on date and time suitable for both parties and duration of the lessons. Mokosi enables the teacher to share their personal profile and sell their IP content to other teachers. As part of the lessons, teachers can share a feedback with the parents allowing them to monitor the progress of the student, as well as give their own feedback to the teacher. Mokosi supports the teachers with an abundance of ready made teaching courseware integrated on board the platform.</t>
        </is>
      </c>
      <c r="X1557" s="10" t="inlineStr">
        <is>
          <t>https://drive.google.com/uc?export=view&amp;id=18an0fgPkiqoP-l5zPehiyE3TED94W9Wk</t>
        </is>
      </c>
      <c r="Y1557" t="inlineStr">
        <is>
          <t>https://drive.google.com/uc?export=view&amp;id=18an0fgPkiqoP-l5zPehiyE3TED94W9Wk</t>
        </is>
      </c>
      <c r="Z1557" s="10" t="inlineStr">
        <is>
          <t>https://drive.google.com/uc?export=view&amp;id=18an0fgPkiqoP-l5zPehiyE3TED94W9Wk</t>
        </is>
      </c>
      <c r="AA1557" s="1" t="inlineStr">
        <is>
          <t>Unverified</t>
        </is>
      </c>
      <c r="AB1557" s="1" t="n"/>
      <c r="AC1557" s="1" t="n"/>
      <c r="AD1557" s="10" t="n"/>
      <c r="AE1557" s="1" t="n"/>
      <c r="AF1557" s="1" t="inlineStr">
        <is>
          <t>Yes</t>
        </is>
      </c>
      <c r="AG1557" s="1" t="inlineStr">
        <is>
          <t>https://www.instagram.com/mokosi.lt/</t>
        </is>
      </c>
      <c r="AH1557" s="1" t="inlineStr">
        <is>
          <t>https://www.linkedin.com/search/results/all/?keywords=mokosi&amp;origin=RICH_QUERY_SUGGESTION&amp;position=0&amp;searchId=5d3a9742-42b3-415a-859d-77bcebf2982b&amp;sid=3K0</t>
        </is>
      </c>
      <c r="AI1557" t="inlineStr">
        <is>
          <t>https://www.linkedin.com/search/results/all/?keywords=mokosi&amp;origin=RICH_QUERY_SUGGESTION&amp;position=0&amp;searchId=5d3a9742-42b3-415a-859d-77bcebf2982b&amp;sid=3K0</t>
        </is>
      </c>
    </row>
    <row r="1558" ht="12.5" customHeight="1">
      <c r="A1558" s="6" t="n">
        <v>45181</v>
      </c>
      <c r="B1558" s="1" t="inlineStr">
        <is>
          <t>ORG_2000</t>
        </is>
      </c>
      <c r="C1558" s="1" t="b">
        <v>1</v>
      </c>
      <c r="D1558" s="1" t="inlineStr">
        <is>
          <t>My Green Training Box</t>
        </is>
      </c>
      <c r="E1558" s="10" t="inlineStr">
        <is>
          <t>www.mygreentrainingbox.com</t>
        </is>
      </c>
      <c r="F1558" t="inlineStr">
        <is>
          <t>mygreentrainingbox.com</t>
        </is>
      </c>
      <c r="G1558" s="1" t="inlineStr">
        <is>
          <t>My Green Training Box is the 1st free access digital training streaming platform on sustainable development which focuses on several different areas: Agriculture, Ecological construction, CSR, Health, sustainable tourism, and many more.</t>
        </is>
      </c>
      <c r="H1558" s="1" t="inlineStr">
        <is>
          <t>EdTech France</t>
        </is>
      </c>
      <c r="I1558" s="1" t="n"/>
      <c r="J1558" s="1" t="inlineStr">
        <is>
          <t>Nailloux</t>
        </is>
      </c>
      <c r="K1558" t="inlineStr">
        <is>
          <t>Nailloux</t>
        </is>
      </c>
      <c r="L1558" t="inlineStr">
        <is>
          <t>Nailloux, France</t>
        </is>
      </c>
      <c r="M1558" t="n">
        <v>43.3558921</v>
      </c>
      <c r="N1558" t="n">
        <v>1.6233628</v>
      </c>
      <c r="O1558" s="1" t="inlineStr">
        <is>
          <t>France</t>
        </is>
      </c>
      <c r="P1558" s="1" t="inlineStr">
        <is>
          <t>France, Turkey</t>
        </is>
      </c>
      <c r="Q1558" s="1" t="inlineStr">
        <is>
          <t>0 to 10</t>
        </is>
      </c>
      <c r="R1558" t="inlineStr">
        <is>
          <t>Micro</t>
        </is>
      </c>
      <c r="S1558" s="1" t="inlineStr">
        <is>
          <t>Business to Business, Business to Government</t>
        </is>
      </c>
      <c r="T1558" s="1" t="inlineStr">
        <is>
          <t>Higher Education, Corporate Training, Lifelong learning/Adult education</t>
        </is>
      </c>
      <c r="U1558" s="1" t="inlineStr">
        <is>
          <t>Student interfacing, Teacher interfacing, System/Administrative</t>
        </is>
      </c>
      <c r="V1558" s="1" t="n"/>
      <c r="W1558" s="1" t="inlineStr">
        <is>
          <t>https://drive.google.com/uc?export=view&amp;id=1IGNvwyYjuTQeDJDDkA9zqH8l3l95Jv69</t>
        </is>
      </c>
      <c r="X1558" s="1" t="inlineStr">
        <is>
          <t>https://drive.google.com/uc?export=view&amp;id=1IGNvwyYjuTQeDJDDkA9zqH8l3l95Jv69</t>
        </is>
      </c>
      <c r="Y1558" t="inlineStr">
        <is>
          <t>https://drive.google.com/uc?export=view&amp;id=1IGNvwyYjuTQeDJDDkA9zqH8l3l95Jv69</t>
        </is>
      </c>
      <c r="Z1558" s="1" t="inlineStr">
        <is>
          <t>https://drive.google.com/uc?export=view&amp;id=1IGNvwyYjuTQeDJDDkA9zqH8l3l95Jv69</t>
        </is>
      </c>
      <c r="AA1558" s="1" t="inlineStr">
        <is>
          <t>Unverified</t>
        </is>
      </c>
      <c r="AB1558" s="1" t="n"/>
      <c r="AC1558" s="1" t="n"/>
      <c r="AD1558" s="10" t="n"/>
      <c r="AE1558" s="1" t="n"/>
      <c r="AF1558" t="inlineStr">
        <is>
          <t>No</t>
        </is>
      </c>
    </row>
    <row r="1559" ht="12.5" customHeight="1">
      <c r="A1559" s="6" t="n">
        <v>45181</v>
      </c>
      <c r="B1559" s="1" t="inlineStr">
        <is>
          <t>ORG_2026</t>
        </is>
      </c>
      <c r="C1559" s="1" t="b">
        <v>1</v>
      </c>
      <c r="D1559" s="1" t="inlineStr">
        <is>
          <t>NEOCOSMO</t>
        </is>
      </c>
      <c r="E1559" s="10" t="inlineStr">
        <is>
          <t>www.neocosmo.de</t>
        </is>
      </c>
      <c r="F1559" t="inlineStr">
        <is>
          <t>neocosmo.de</t>
        </is>
      </c>
      <c r="G1559" s="1" t="inlineStr">
        <is>
          <t>NEOCOSMO is working on digital communication and learning solution. Focus is on social intranet / digital workplace solutions that are with knowledge tools and learning platforms. Clients are companies, public sector organisations and higher education institutions. The product PIIPE Workplace is an intelligent digital workplace and learning platform as well employee app.</t>
        </is>
      </c>
      <c r="H1559" s="1" t="inlineStr">
        <is>
          <t>Swiss EdTech Collider</t>
        </is>
      </c>
      <c r="I1559" s="1" t="n"/>
      <c r="J1559" s="1" t="inlineStr">
        <is>
          <t>Saarbrücken</t>
        </is>
      </c>
      <c r="K1559" t="inlineStr">
        <is>
          <t>Saarbrücken</t>
        </is>
      </c>
      <c r="L1559" t="inlineStr">
        <is>
          <t>Saarbrücken, Germany</t>
        </is>
      </c>
      <c r="M1559" t="n">
        <v>49.234362</v>
      </c>
      <c r="N1559" t="n">
        <v>6.996379</v>
      </c>
      <c r="O1559" s="1" t="inlineStr">
        <is>
          <t>Germany</t>
        </is>
      </c>
      <c r="P1559" s="1" t="inlineStr">
        <is>
          <t>Austria, Belgium, France, Luxembourg, Netherlands, Switzerland</t>
        </is>
      </c>
      <c r="Q1559" s="1" t="inlineStr">
        <is>
          <t>11 to 50</t>
        </is>
      </c>
      <c r="R1559" t="inlineStr">
        <is>
          <t>Small</t>
        </is>
      </c>
      <c r="S1559" s="1" t="inlineStr">
        <is>
          <t>Business to Business, Business to Government, Business to Schools</t>
        </is>
      </c>
      <c r="T1559" s="1" t="inlineStr">
        <is>
          <t>Higher Education, Corporate Training, Lifelong learning/Adult education</t>
        </is>
      </c>
      <c r="U1559" s="1" t="inlineStr">
        <is>
          <t>System/Administrative</t>
        </is>
      </c>
      <c r="V1559" s="1" t="inlineStr">
        <is>
          <t>PIIPE Workplace</t>
        </is>
      </c>
      <c r="W1559" s="10" t="inlineStr">
        <is>
          <t>Intelligent social intranet platform and mobile employee app with integrated knowledge and learning functionality.</t>
        </is>
      </c>
      <c r="X1559" s="10" t="inlineStr">
        <is>
          <t>PIIPE Learning</t>
        </is>
      </c>
      <c r="Y1559" t="inlineStr">
        <is>
          <t>Learning experience portal that orchestrates courses from different platforms within an intelligent, open portal to search, find, rate, share and register into courses. The platform is used e.g. as front-end portal of the AI Campus and eGov Campus in Germany.</t>
        </is>
      </c>
      <c r="Z1559" s="1" t="inlineStr">
        <is>
          <t>https://drive.google.com/uc?export=view&amp;id=1ATZrm0Rq2tmemNqG1-vOmPl-MBXbAi_u</t>
        </is>
      </c>
      <c r="AA1559" s="1" t="inlineStr">
        <is>
          <t>Unverified</t>
        </is>
      </c>
      <c r="AB1559" s="1" t="n"/>
      <c r="AC1559" s="1" t="n"/>
      <c r="AD1559" s="10" t="n"/>
      <c r="AE1559" s="1" t="n"/>
      <c r="AF1559" s="1" t="inlineStr">
        <is>
          <t>Yes</t>
        </is>
      </c>
      <c r="AG1559" s="1" t="inlineStr">
        <is>
          <t>NEOCOSMO GmbH</t>
        </is>
      </c>
      <c r="AH1559" s="1" t="inlineStr">
        <is>
          <t>https://mobile.twitter.com/neocosmo_</t>
        </is>
      </c>
      <c r="AI1559" t="inlineStr">
        <is>
          <t>https://www.linkedin.com/company/neocosmo</t>
        </is>
      </c>
    </row>
    <row r="1560" ht="12.5" customHeight="1">
      <c r="A1560" s="6" t="n">
        <v>45181</v>
      </c>
      <c r="B1560" s="1" t="inlineStr">
        <is>
          <t>ORG_2102</t>
        </is>
      </c>
      <c r="C1560" s="1" t="b">
        <v>1</v>
      </c>
      <c r="D1560" s="1" t="inlineStr">
        <is>
          <t>Ping Pong</t>
        </is>
      </c>
      <c r="E1560" s="10" t="inlineStr">
        <is>
          <t>www.pingpong.se</t>
        </is>
      </c>
      <c r="F1560" t="inlineStr">
        <is>
          <t>pingpong.se</t>
        </is>
      </c>
      <c r="G1560" s="1" t="inlineStr">
        <is>
          <t>Ping Pong is a Swedish LMS company, focused on customers in the public sector. We help customers create a vibrant learning environment with course catalogs, course library, reports, statistics and HR-functionality with competence management.</t>
        </is>
      </c>
      <c r="H1560" s="1" t="inlineStr">
        <is>
          <t>Swedish EdTech Industry</t>
        </is>
      </c>
      <c r="I1560" s="1" t="n"/>
      <c r="J1560" s="1" t="inlineStr">
        <is>
          <t>Stockholm</t>
        </is>
      </c>
      <c r="K1560" t="inlineStr">
        <is>
          <t>Stockholm</t>
        </is>
      </c>
      <c r="L1560" t="inlineStr">
        <is>
          <t>Stockholm, Sweden</t>
        </is>
      </c>
      <c r="M1560" t="n">
        <v>59.3251172</v>
      </c>
      <c r="N1560" t="n">
        <v>18.0710935</v>
      </c>
      <c r="O1560" s="1" t="inlineStr">
        <is>
          <t>Sweden</t>
        </is>
      </c>
      <c r="P1560" s="1" t="inlineStr">
        <is>
          <t>Sweden</t>
        </is>
      </c>
      <c r="Q1560" s="1" t="inlineStr">
        <is>
          <t>11 to 50</t>
        </is>
      </c>
      <c r="R1560" t="inlineStr">
        <is>
          <t>Small</t>
        </is>
      </c>
      <c r="S1560" s="1" t="inlineStr">
        <is>
          <t>Business to Business, Business to Government, Business to Schools</t>
        </is>
      </c>
      <c r="T1560" s="1" t="inlineStr">
        <is>
          <t>Primary Education, Secondary Education, Higher Education, Corporate Training, Lifelong learning/Adult education</t>
        </is>
      </c>
      <c r="U1560" s="1" t="inlineStr">
        <is>
          <t>Student interfacing, System/Administrative</t>
        </is>
      </c>
      <c r="V1560" s="1" t="inlineStr">
        <is>
          <t>PING PONG</t>
        </is>
      </c>
      <c r="W1560" s="1" t="inlineStr">
        <is>
          <t>We help larger entities in the public sector to organize learning. They create courses, manage their employees and make sure to educate and certify them.</t>
        </is>
      </c>
      <c r="X1560" s="10" t="inlineStr">
        <is>
          <t>https://drive.google.com/uc?export=view&amp;id=1rIezXc_54H737IYf4NlvTIyg_lNk1bWo</t>
        </is>
      </c>
      <c r="Y1560" t="inlineStr">
        <is>
          <t>https://drive.google.com/uc?export=view&amp;id=1rIezXc_54H737IYf4NlvTIyg_lNk1bWo</t>
        </is>
      </c>
      <c r="Z1560" s="1" t="inlineStr">
        <is>
          <t>https://drive.google.com/uc?export=view&amp;id=1rIezXc_54H737IYf4NlvTIyg_lNk1bWo</t>
        </is>
      </c>
      <c r="AA1560" s="1" t="inlineStr">
        <is>
          <t>Unverified</t>
        </is>
      </c>
      <c r="AB1560" s="1" t="n"/>
      <c r="AC1560" s="1" t="n"/>
      <c r="AD1560" s="10" t="n"/>
      <c r="AE1560" s="1" t="n"/>
      <c r="AF1560" s="1" t="inlineStr">
        <is>
          <t>Yes</t>
        </is>
      </c>
      <c r="AG1560" s="1" t="inlineStr">
        <is>
          <t>https://www.linkedin.com/company/ping-pong-ab/</t>
        </is>
      </c>
      <c r="AH1560" s="1" t="inlineStr">
        <is>
          <t>https://www.linkedin.com/company/ping-pong-ab/</t>
        </is>
      </c>
      <c r="AI1560" t="inlineStr">
        <is>
          <t>https://www.linkedin.com/company/ping-pong-ab/</t>
        </is>
      </c>
    </row>
    <row r="1561" ht="12.5" customHeight="1">
      <c r="A1561" s="6" t="n">
        <v>45181</v>
      </c>
      <c r="B1561" s="1" t="inlineStr">
        <is>
          <t>ORG_2111</t>
        </is>
      </c>
      <c r="C1561" s="1" t="b">
        <v>1</v>
      </c>
      <c r="D1561" s="1" t="inlineStr">
        <is>
          <t>PLUME</t>
        </is>
      </c>
      <c r="E1561" s="10" t="inlineStr">
        <is>
          <t>www.plume-app.co</t>
        </is>
      </c>
      <c r="F1561" t="inlineStr">
        <is>
          <t>plume-app.co</t>
        </is>
      </c>
      <c r="G1561" s="1" t="inlineStr">
        <is>
          <t>Plume is an adaptive learning application to learn written expression for children and students, from 7. 
In a playful context, kids develop their ability to express themselves in different writing spaces, including free writing, stories to complete, games and more. Plume is available online but can be used offline and the writings can be uploaded into the application to follow the kids's progress, in classrooms or at home.</t>
        </is>
      </c>
      <c r="H1561" s="1" t="inlineStr">
        <is>
          <t>AFINEF, EdTech France</t>
        </is>
      </c>
      <c r="I1561" s="1" t="n"/>
      <c r="J1561" s="1" t="inlineStr">
        <is>
          <t>Saint Ouen</t>
        </is>
      </c>
      <c r="K1561" t="inlineStr">
        <is>
          <t>Saint Ouen</t>
        </is>
      </c>
      <c r="L1561" t="inlineStr">
        <is>
          <t>Saint Ouen, France</t>
        </is>
      </c>
      <c r="M1561" t="n">
        <v>50.03683</v>
      </c>
      <c r="N1561" t="n">
        <v>2.1223737</v>
      </c>
      <c r="O1561" s="1" t="inlineStr">
        <is>
          <t>France</t>
        </is>
      </c>
      <c r="P1561" s="1" t="inlineStr">
        <is>
          <t>Belgium, France, Switzerland</t>
        </is>
      </c>
      <c r="Q1561" s="1" t="inlineStr">
        <is>
          <t>11 to 50</t>
        </is>
      </c>
      <c r="R1561" t="inlineStr">
        <is>
          <t>Small</t>
        </is>
      </c>
      <c r="S1561" s="1" t="inlineStr">
        <is>
          <t>Business to Business, Business to Government, Business to Schools</t>
        </is>
      </c>
      <c r="T1561" s="1" t="inlineStr">
        <is>
          <t>Primary Education, Secondary Education</t>
        </is>
      </c>
      <c r="U1561" s="1" t="inlineStr">
        <is>
          <t>System/Administrative, Student interfacing, Teacher interfacing</t>
        </is>
      </c>
      <c r="V1561" s="10" t="inlineStr">
        <is>
          <t>Plume</t>
        </is>
      </c>
      <c r="W1561" s="10" t="inlineStr">
        <is>
          <t>Plume is a web and mobile application used, to improve writing skills of children from 7, at school or at home.</t>
        </is>
      </c>
      <c r="X1561" s="10" t="inlineStr">
        <is>
          <t>https://drive.google.com/uc?export=view&amp;id=184wKg7zOcr7rU8Qkuu3VM2bqyXDhKln2</t>
        </is>
      </c>
      <c r="Y1561" t="inlineStr">
        <is>
          <t>https://drive.google.com/uc?export=view&amp;id=184wKg7zOcr7rU8Qkuu3VM2bqyXDhKln2</t>
        </is>
      </c>
      <c r="Z1561" s="1" t="inlineStr">
        <is>
          <t>https://drive.google.com/uc?export=view&amp;id=184wKg7zOcr7rU8Qkuu3VM2bqyXDhKln2</t>
        </is>
      </c>
      <c r="AA1561" s="1" t="inlineStr">
        <is>
          <t>Unverified</t>
        </is>
      </c>
      <c r="AB1561" s="1" t="n"/>
      <c r="AC1561" s="1" t="n"/>
      <c r="AD1561" s="10" t="n"/>
      <c r="AE1561" s="1" t="n"/>
      <c r="AF1561" s="1" t="inlineStr">
        <is>
          <t>Yes</t>
        </is>
      </c>
      <c r="AG1561" s="1" t="inlineStr">
        <is>
          <t>https://www.instagram.com/plume_app</t>
        </is>
      </c>
      <c r="AH1561" s="1" t="inlineStr">
        <is>
          <t>https://twitter.com/plume_app</t>
        </is>
      </c>
      <c r="AI1561" t="inlineStr">
        <is>
          <t>https://www.linkedin.com/company/plume-app</t>
        </is>
      </c>
    </row>
    <row r="1562" ht="12.5" customHeight="1">
      <c r="A1562" s="6" t="n">
        <v>45181</v>
      </c>
      <c r="B1562" s="1" t="inlineStr">
        <is>
          <t>ORG_2120</t>
        </is>
      </c>
      <c r="C1562" s="1" t="b">
        <v>1</v>
      </c>
      <c r="D1562" s="1" t="inlineStr">
        <is>
          <t>PowerZ</t>
        </is>
      </c>
      <c r="E1562" s="10" t="inlineStr">
        <is>
          <t>Https://powerz.tech</t>
        </is>
      </c>
      <c r="F1562" t="inlineStr">
        <is>
          <t>powerz.tech</t>
        </is>
      </c>
      <c r="G1562" s="1" t="inlineStr">
        <is>
          <t>The Fortnite of education</t>
        </is>
      </c>
      <c r="H1562" s="1" t="inlineStr">
        <is>
          <t>EdTech France</t>
        </is>
      </c>
      <c r="I1562" s="1" t="n"/>
      <c r="J1562" s="1" t="inlineStr">
        <is>
          <t>Paris</t>
        </is>
      </c>
      <c r="K1562" t="inlineStr">
        <is>
          <t>Paris</t>
        </is>
      </c>
      <c r="L1562" t="inlineStr">
        <is>
          <t>Paris, France</t>
        </is>
      </c>
      <c r="M1562" t="n">
        <v>48.8534951</v>
      </c>
      <c r="N1562" t="n">
        <v>2.3483915</v>
      </c>
      <c r="O1562" s="1" t="inlineStr">
        <is>
          <t>France</t>
        </is>
      </c>
      <c r="P1562" s="1" t="inlineStr">
        <is>
          <t>France</t>
        </is>
      </c>
      <c r="Q1562" s="1" t="inlineStr">
        <is>
          <t>11 to 50</t>
        </is>
      </c>
      <c r="R1562" t="inlineStr">
        <is>
          <t>Small</t>
        </is>
      </c>
      <c r="S1562" s="1" t="inlineStr">
        <is>
          <t>Business to Business, Business to Schools</t>
        </is>
      </c>
      <c r="T1562" s="1" t="inlineStr">
        <is>
          <t>Primary Education</t>
        </is>
      </c>
      <c r="U1562" s="1" t="inlineStr">
        <is>
          <t>System/Administrative, Student interfacing</t>
        </is>
      </c>
      <c r="V1562" s="10" t="inlineStr">
        <is>
          <t>PowerZ</t>
        </is>
      </c>
      <c r="W1562" s="10" t="inlineStr">
        <is>
          <t>PowerZ is a true video game aiming at making children (K12) learn everything!</t>
        </is>
      </c>
      <c r="X1562" s="10" t="inlineStr">
        <is>
          <t>https://drive.google.com/uc?export=view&amp;id=12hGQ7P-tEKOt3HPdZLVGyJ8dpkn0WXsa</t>
        </is>
      </c>
      <c r="Y1562" t="inlineStr">
        <is>
          <t>https://drive.google.com/uc?export=view&amp;id=12hGQ7P-tEKOt3HPdZLVGyJ8dpkn0WXsa</t>
        </is>
      </c>
      <c r="Z1562" s="1" t="inlineStr">
        <is>
          <t>https://drive.google.com/uc?export=view&amp;id=12hGQ7P-tEKOt3HPdZLVGyJ8dpkn0WXsa</t>
        </is>
      </c>
      <c r="AA1562" s="1" t="inlineStr">
        <is>
          <t>Unverified</t>
        </is>
      </c>
      <c r="AB1562" s="1" t="n"/>
      <c r="AC1562" s="1" t="n"/>
      <c r="AD1562" s="10" t="n"/>
      <c r="AE1562" s="1" t="n"/>
      <c r="AF1562" s="1" t="inlineStr">
        <is>
          <t>Yes</t>
        </is>
      </c>
      <c r="AG1562" s="1" t="inlineStr">
        <is>
          <t>https://www.instagram.com/powerz.official/</t>
        </is>
      </c>
      <c r="AH1562" s="1" t="inlineStr">
        <is>
          <t>https://twitter.com/PowerZ_official</t>
        </is>
      </c>
      <c r="AI1562" t="inlineStr">
        <is>
          <t>https://www.linkedin.com/company/powerz/</t>
        </is>
      </c>
    </row>
    <row r="1563" ht="12.5" customHeight="1">
      <c r="A1563" s="6" t="n">
        <v>45181</v>
      </c>
      <c r="B1563" s="1" t="inlineStr">
        <is>
          <t>ORG_2175</t>
        </is>
      </c>
      <c r="C1563" s="1" t="b">
        <v>1</v>
      </c>
      <c r="D1563" s="1" t="inlineStr">
        <is>
          <t>Reflectus</t>
        </is>
      </c>
      <c r="E1563" s="10" t="inlineStr">
        <is>
          <t>www.reflectus.eu</t>
        </is>
      </c>
      <c r="F1563" t="inlineStr">
        <is>
          <t>reflectus.eu</t>
        </is>
      </c>
      <c r="G1563" s="1" t="inlineStr">
        <is>
          <t>Making systematic practice of reflection possible for learners and educators by
bringing in time saving IT solution.</t>
        </is>
      </c>
      <c r="H1563" s="1" t="inlineStr">
        <is>
          <t>SuperCharger Ventures</t>
        </is>
      </c>
      <c r="I1563" s="1" t="inlineStr">
        <is>
          <t>English, Lithuanian</t>
        </is>
      </c>
      <c r="J1563" s="1" t="inlineStr">
        <is>
          <t>Anyksciai</t>
        </is>
      </c>
      <c r="K1563" t="inlineStr">
        <is>
          <t>Anyksciai</t>
        </is>
      </c>
      <c r="L1563" t="inlineStr">
        <is>
          <t>Anyksciai, Lithuania</t>
        </is>
      </c>
      <c r="M1563" t="n">
        <v>55.5349516</v>
      </c>
      <c r="N1563" t="n">
        <v>25.0424158</v>
      </c>
      <c r="O1563" s="1" t="inlineStr">
        <is>
          <t>Lithuania</t>
        </is>
      </c>
      <c r="P1563" s="1" t="inlineStr">
        <is>
          <t>Lithuania</t>
        </is>
      </c>
      <c r="Q1563" s="1" t="inlineStr">
        <is>
          <t>3 to 5</t>
        </is>
      </c>
      <c r="R1563" t="inlineStr">
        <is>
          <t>Micro</t>
        </is>
      </c>
      <c r="S1563" s="1" t="inlineStr">
        <is>
          <t>Business to Consumer</t>
        </is>
      </c>
      <c r="T1563" s="1" t="inlineStr">
        <is>
          <t>Primary Education, Secondary Education, Lifelong learning/Adult education</t>
        </is>
      </c>
      <c r="U1563" s="1" t="inlineStr">
        <is>
          <t>Student interfacing, Teacher interfacing</t>
        </is>
      </c>
      <c r="V1563" s="10" t="inlineStr">
        <is>
          <t>Reflectus</t>
        </is>
      </c>
      <c r="W1563" s="1" t="inlineStr">
        <is>
          <t>Reflectus is an online reflection system that automates, simplifies, and ensures consistent reflective practice between teacher and students.
The Reflectus system consists of two parts:
an online platform for the teachers
a mobile APP for students.
Reflectus is suitable for K-12 teachers and students.</t>
        </is>
      </c>
      <c r="X1563" s="10" t="inlineStr">
        <is>
          <t>https://drive.google.com/uc?export=view&amp;id=1t-1eurjLCjufBLFY9VGynI07XlYWkJRZ</t>
        </is>
      </c>
      <c r="Y1563" t="inlineStr">
        <is>
          <t>https://drive.google.com/uc?export=view&amp;id=1t-1eurjLCjufBLFY9VGynI07XlYWkJRZ</t>
        </is>
      </c>
      <c r="Z1563" s="1" t="inlineStr">
        <is>
          <t>https://drive.google.com/uc?export=view&amp;id=1t-1eurjLCjufBLFY9VGynI07XlYWkJRZ</t>
        </is>
      </c>
      <c r="AA1563" s="1" t="inlineStr">
        <is>
          <t>Unverified</t>
        </is>
      </c>
      <c r="AB1563" s="1" t="n"/>
      <c r="AC1563" s="1" t="n"/>
      <c r="AD1563" s="10" t="n"/>
      <c r="AE1563" s="1" t="n"/>
      <c r="AF1563" s="1" t="inlineStr">
        <is>
          <t>Yes</t>
        </is>
      </c>
      <c r="AG1563" s="1" t="inlineStr">
        <is>
          <t>https://www.instagram.com/reflectus.lt/</t>
        </is>
      </c>
      <c r="AH1563" s="1" t="inlineStr">
        <is>
          <t>https://www.linkedin.com/company/reflectus-lt/</t>
        </is>
      </c>
      <c r="AI1563" t="inlineStr">
        <is>
          <t>https://www.linkedin.com/company/reflectus-lt/</t>
        </is>
      </c>
    </row>
    <row r="1564" ht="12.5" customHeight="1">
      <c r="A1564" s="6" t="n">
        <v>45181</v>
      </c>
      <c r="B1564" s="1" t="inlineStr">
        <is>
          <t>ORG_2312</t>
        </is>
      </c>
      <c r="C1564" s="1" t="b">
        <v>1</v>
      </c>
      <c r="D1564" s="1" t="inlineStr">
        <is>
          <t>sproof</t>
        </is>
      </c>
      <c r="E1564" s="10" t="inlineStr">
        <is>
          <t>https://sproof.io</t>
        </is>
      </c>
      <c r="F1564" t="inlineStr">
        <is>
          <t>sproof.io</t>
        </is>
      </c>
      <c r="G1564" s="1" t="inlineStr">
        <is>
          <t>Whether contracts, certificates or delivery bills – countless documents are waiting to be verified, certified or signed every day. Not only to save paper, but also to make these important processes faster and, above all, more secure, entrepreneurs Clemens Brunner, Fabian Knirsch and Erich Höpoldseder founded the Salzburg-based startup sproof in 2019. Their application “sproof sign” is currently used, for example, to digitally sign annual reports from schools, exam results, certificates and complete degrees from universities.
The tool is particularly popular for distance learning students, who can use it to obtain the final document without much hassle. Other use cases can also be found in university administration – for example, to conclude contracts with partner organizations. In addition, sproof is used to digitize and digitally sign work, internship or vocational training certificates from institutes and organizations. This contributes to sustainability and brings security to the transmission of digital documents.</t>
        </is>
      </c>
      <c r="H1564" s="1" t="inlineStr">
        <is>
          <t>EdTech Austria</t>
        </is>
      </c>
      <c r="I1564" s="1" t="n"/>
      <c r="J1564" s="1" t="inlineStr">
        <is>
          <t>Puch Bei Hallein</t>
        </is>
      </c>
      <c r="K1564" t="inlineStr">
        <is>
          <t>Puch Bei Hallein</t>
        </is>
      </c>
      <c r="L1564" t="inlineStr">
        <is>
          <t>Puch Bei Hallein, Austria</t>
        </is>
      </c>
      <c r="M1564" t="n">
        <v>47.716852</v>
      </c>
      <c r="N1564" t="n">
        <v>13.0904526</v>
      </c>
      <c r="O1564" s="1" t="inlineStr">
        <is>
          <t>Austria</t>
        </is>
      </c>
      <c r="P1564" s="1" t="inlineStr">
        <is>
          <t>Austria, Germany</t>
        </is>
      </c>
      <c r="Q1564" s="1" t="inlineStr">
        <is>
          <t>11 to 50</t>
        </is>
      </c>
      <c r="R1564" t="inlineStr">
        <is>
          <t>Small</t>
        </is>
      </c>
      <c r="S1564" s="1" t="inlineStr">
        <is>
          <t>Business to Consumer, Business to Government, Business to Schools</t>
        </is>
      </c>
      <c r="T1564" s="1" t="inlineStr">
        <is>
          <t>Secondary Education, Corporate Training, Lifelong learning/Adult education</t>
        </is>
      </c>
      <c r="U1564" s="1" t="inlineStr">
        <is>
          <t>System/Administrative</t>
        </is>
      </c>
      <c r="V1564" s="1" t="inlineStr">
        <is>
          <t>sproof sign</t>
        </is>
      </c>
      <c r="W1564" s="1" t="inlineStr">
        <is>
          <t>The cloud-based application sproof sign couldn’t be simpler: Upload a document, sign it, assign a signature, and send it on as needed. At present, it is not only growing fast, but is also developing rapidly. The mission is still clear – sproof is one the way to becoming Europe’s most secure digital signature. Indeed, the application meets all the prescribed requirements for legally binding digital signatures according to the current eIDAS regulation. In general, the following also applies: “Qualified digital signatures are legally equivalent to handwritten signatures. What’s more, the services are hosted via European servers, so the offerings are all also DSGVO-compliant.</t>
        </is>
      </c>
      <c r="X1564" s="10" t="inlineStr">
        <is>
          <t>https://drive.google.com/uc?export=view&amp;id=1UOop4R32NgNdfohuWNkiWTrjzmCwUZGw</t>
        </is>
      </c>
      <c r="Y1564" t="inlineStr">
        <is>
          <t>https://drive.google.com/uc?export=view&amp;id=1UOop4R32NgNdfohuWNkiWTrjzmCwUZGw</t>
        </is>
      </c>
      <c r="Z1564" s="1" t="inlineStr">
        <is>
          <t>https://drive.google.com/uc?export=view&amp;id=1UOop4R32NgNdfohuWNkiWTrjzmCwUZGw</t>
        </is>
      </c>
      <c r="AA1564" s="1" t="inlineStr">
        <is>
          <t>Unverified</t>
        </is>
      </c>
      <c r="AB1564" s="1" t="n"/>
      <c r="AC1564" s="1" t="n"/>
      <c r="AD1564" s="10" t="n"/>
      <c r="AE1564" s="1" t="n"/>
      <c r="AF1564" t="inlineStr">
        <is>
          <t>Yes</t>
        </is>
      </c>
      <c r="AG1564" t="inlineStr">
        <is>
          <t>sproof GmbH</t>
        </is>
      </c>
      <c r="AH1564" t="inlineStr">
        <is>
          <t>sproof GmbH</t>
        </is>
      </c>
      <c r="AI1564" t="inlineStr">
        <is>
          <t>www.linkedin.com/company/sproof</t>
        </is>
      </c>
    </row>
    <row r="1565" ht="12.5" customHeight="1">
      <c r="A1565" s="6" t="n">
        <v>45181</v>
      </c>
      <c r="B1565" s="1" t="inlineStr">
        <is>
          <t>ORG_2427</t>
        </is>
      </c>
      <c r="C1565" s="1" t="b">
        <v>1</v>
      </c>
      <c r="D1565" s="1" t="inlineStr">
        <is>
          <t>Traindy</t>
        </is>
      </c>
      <c r="E1565" s="10" t="inlineStr">
        <is>
          <t>http://traindy.io</t>
        </is>
      </c>
      <c r="F1565" t="inlineStr">
        <is>
          <t>traindy.io</t>
        </is>
      </c>
      <c r="G1565" s="1" t="inlineStr">
        <is>
          <t>Traindy is an innovative company in the domain of education and training whose DNA is rooted in research and cognitive sciences. 
It's current main offer is the Learning Coach ecosystem that aims to help individuals and organization to learn how to learn and that revolves around a learning companion mobile app whose goal is to develop the learner autonomy and performance.</t>
        </is>
      </c>
      <c r="H1565" s="1" t="inlineStr">
        <is>
          <t>EdTech France</t>
        </is>
      </c>
      <c r="I1565" s="1" t="n"/>
      <c r="J1565" s="1" t="inlineStr">
        <is>
          <t>Paris</t>
        </is>
      </c>
      <c r="K1565" t="inlineStr">
        <is>
          <t>Paris</t>
        </is>
      </c>
      <c r="L1565" t="inlineStr">
        <is>
          <t>Paris, France</t>
        </is>
      </c>
      <c r="M1565" t="n">
        <v>48.8534951</v>
      </c>
      <c r="N1565" t="n">
        <v>2.3483915</v>
      </c>
      <c r="O1565" s="1" t="inlineStr">
        <is>
          <t>France</t>
        </is>
      </c>
      <c r="P1565" s="1" t="inlineStr">
        <is>
          <t>France</t>
        </is>
      </c>
      <c r="Q1565" s="1" t="inlineStr">
        <is>
          <t>0 to 10</t>
        </is>
      </c>
      <c r="R1565" t="inlineStr">
        <is>
          <t>Micro</t>
        </is>
      </c>
      <c r="S1565" s="1" t="inlineStr">
        <is>
          <t>Business to Consumer, Business to Schools</t>
        </is>
      </c>
      <c r="T1565" s="1" t="inlineStr">
        <is>
          <t>Secondary Education, Higher Education, Corporate Training, Lifelong learning/Adult education</t>
        </is>
      </c>
      <c r="U1565" s="1" t="inlineStr">
        <is>
          <t>Student interfacing, System/Administrative</t>
        </is>
      </c>
      <c r="V1565" s="1" t="n"/>
      <c r="W1565" s="1" t="inlineStr">
        <is>
          <t>https://drive.google.com/uc?export=view&amp;id=1-UNejTA3R8cJvZCBIvrxqsYC7QJhg4HK</t>
        </is>
      </c>
      <c r="X1565" s="1" t="inlineStr">
        <is>
          <t>https://drive.google.com/uc?export=view&amp;id=1-UNejTA3R8cJvZCBIvrxqsYC7QJhg4HK</t>
        </is>
      </c>
      <c r="Y1565" t="inlineStr">
        <is>
          <t>https://drive.google.com/uc?export=view&amp;id=1-UNejTA3R8cJvZCBIvrxqsYC7QJhg4HK</t>
        </is>
      </c>
      <c r="Z1565" s="1" t="inlineStr">
        <is>
          <t>https://drive.google.com/uc?export=view&amp;id=1-UNejTA3R8cJvZCBIvrxqsYC7QJhg4HK</t>
        </is>
      </c>
      <c r="AA1565" s="1" t="inlineStr">
        <is>
          <t>Unverified</t>
        </is>
      </c>
      <c r="AB1565" s="1" t="n"/>
      <c r="AC1565" s="1" t="n"/>
      <c r="AD1565" s="10" t="n"/>
      <c r="AE1565" s="1" t="n"/>
      <c r="AF1565" s="1" t="inlineStr">
        <is>
          <t>No</t>
        </is>
      </c>
      <c r="AG1565" s="1" t="n"/>
      <c r="AH1565" s="1" t="n"/>
    </row>
    <row r="1566" ht="12.5" customHeight="1">
      <c r="A1566" s="6" t="n">
        <v>45181</v>
      </c>
      <c r="B1566" s="1" t="inlineStr">
        <is>
          <t>ORG_2432</t>
        </is>
      </c>
      <c r="C1566" s="1" t="b">
        <v>1</v>
      </c>
      <c r="D1566" s="1" t="inlineStr">
        <is>
          <t>Tridan</t>
        </is>
      </c>
      <c r="E1566" s="10" t="inlineStr">
        <is>
          <t>https://www.tridan.tech</t>
        </is>
      </c>
      <c r="F1566" t="inlineStr">
        <is>
          <t>tridan.tech</t>
        </is>
      </c>
      <c r="G1566" s="1" t="inlineStr">
        <is>
          <t>Tridan is a test solution for evaluating operational skills in several technical jobs :
Data scientist, Digital marketing, Business Developer...
Goals: Avoid recruitment mistakes, Help students in promoting their skills, Allow schools to measure learning outcomes</t>
        </is>
      </c>
      <c r="H1566" s="1" t="inlineStr">
        <is>
          <t>EdTech France</t>
        </is>
      </c>
      <c r="I1566" s="1" t="inlineStr">
        <is>
          <t>French</t>
        </is>
      </c>
      <c r="J1566" s="1" t="inlineStr">
        <is>
          <t>Avrillé</t>
        </is>
      </c>
      <c r="K1566" t="inlineStr">
        <is>
          <t>Avrillé</t>
        </is>
      </c>
      <c r="L1566" t="inlineStr">
        <is>
          <t>Avrillé, France</t>
        </is>
      </c>
      <c r="M1566" t="n">
        <v>47.5045657</v>
      </c>
      <c r="N1566" t="n">
        <v>-0.5956539</v>
      </c>
      <c r="O1566" s="1" t="inlineStr">
        <is>
          <t>France</t>
        </is>
      </c>
      <c r="P1566" s="1" t="inlineStr">
        <is>
          <t>Andorra, Belgium, France, Switzerland</t>
        </is>
      </c>
      <c r="Q1566" s="1" t="inlineStr">
        <is>
          <t>0 to 2</t>
        </is>
      </c>
      <c r="R1566" t="inlineStr">
        <is>
          <t>Solo entrepreneur</t>
        </is>
      </c>
      <c r="S1566" s="1" t="inlineStr">
        <is>
          <t>Business to Government</t>
        </is>
      </c>
      <c r="T1566" s="1" t="inlineStr">
        <is>
          <t>Higher Education</t>
        </is>
      </c>
      <c r="U1566" s="1" t="inlineStr">
        <is>
          <t>Student interfacing, Teacher interfacing, System/Administrative</t>
        </is>
      </c>
      <c r="V1566" s="1" t="inlineStr">
        <is>
          <t>Tridan+ Digital Marketing</t>
        </is>
      </c>
      <c r="W1566" s="10" t="inlineStr">
        <is>
          <t>The Tridan+ Digital Marketing test assesses 6 main operational skills which are: SEO, SEA, Community Management, Webmarketing, Analytics, Webmastering</t>
        </is>
      </c>
      <c r="X1566" s="10" t="inlineStr">
        <is>
          <t>Tridan+ Data Scientist</t>
        </is>
      </c>
      <c r="Y1566" t="inlineStr">
        <is>
          <t>The Tridan+ Data scientist test assesses 6 main operational skills which are: Database, Programming, Data Visualization &amp; Data Storytelling, machine-learning, "Classic" statistics, Data processing / ETL</t>
        </is>
      </c>
      <c r="Z1566" s="1" t="inlineStr">
        <is>
          <t>https://drive.google.com/uc?export=view&amp;id=1qb7HZ-a9t40qD5db8d2_SVHIbizLNJup</t>
        </is>
      </c>
      <c r="AA1566" s="1" t="inlineStr">
        <is>
          <t>Unverified</t>
        </is>
      </c>
      <c r="AB1566" s="1" t="n"/>
      <c r="AC1566" s="1" t="n"/>
      <c r="AD1566" s="10" t="n"/>
      <c r="AE1566" s="1" t="n"/>
      <c r="AF1566" s="1" t="inlineStr">
        <is>
          <t>Yes</t>
        </is>
      </c>
      <c r="AG1566" s="1" t="inlineStr">
        <is>
          <t>https://twitter.com/tridan_test</t>
        </is>
      </c>
      <c r="AH1566" s="1" t="inlineStr">
        <is>
          <t>https://twitter.com/tridan_test</t>
        </is>
      </c>
      <c r="AI1566" t="inlineStr">
        <is>
          <t>https://www.linkedin.com/company/tridan-test</t>
        </is>
      </c>
    </row>
    <row r="1567" ht="12.5" customHeight="1">
      <c r="A1567" s="6" t="n">
        <v>45181</v>
      </c>
      <c r="B1567" s="1" t="inlineStr">
        <is>
          <t>ORG_2487</t>
        </is>
      </c>
      <c r="C1567" s="1" t="b">
        <v>1</v>
      </c>
      <c r="D1567" s="1" t="inlineStr">
        <is>
          <t>Vextur, UAB</t>
        </is>
      </c>
      <c r="E1567" s="10" t="inlineStr">
        <is>
          <t>https://vextur.com/</t>
        </is>
      </c>
      <c r="F1567" t="inlineStr">
        <is>
          <t>vextur.com</t>
        </is>
      </c>
      <c r="G1567" s="1" t="inlineStr">
        <is>
          <t>Premium Moodle partner in the Baltic region. Vextur offers all Moodle-related services from analysis and consultations to custom development and integrations. Offer Moodle LMS and Moodle Workplace solutions.</t>
        </is>
      </c>
      <c r="H1567" s="1" t="inlineStr">
        <is>
          <t>EdTech Lithuania</t>
        </is>
      </c>
      <c r="I1567" s="1" t="n"/>
      <c r="J1567" s="1" t="inlineStr">
        <is>
          <t>Vilnius</t>
        </is>
      </c>
      <c r="K1567" t="inlineStr">
        <is>
          <t>Vilnius</t>
        </is>
      </c>
      <c r="L1567" t="inlineStr">
        <is>
          <t>Vilnius, Lithuania</t>
        </is>
      </c>
      <c r="M1567" t="n">
        <v>54.6870458</v>
      </c>
      <c r="N1567" t="n">
        <v>25.2829111</v>
      </c>
      <c r="O1567" s="1" t="inlineStr">
        <is>
          <t>Lithuania</t>
        </is>
      </c>
      <c r="P1567" s="1" t="inlineStr">
        <is>
          <t>Bulgaria, Estonia, Kazakhstan, Latvia, Lithuania, Ukraine</t>
        </is>
      </c>
      <c r="Q1567" s="1" t="inlineStr">
        <is>
          <t>0 to 10</t>
        </is>
      </c>
      <c r="R1567" t="inlineStr">
        <is>
          <t>Micro</t>
        </is>
      </c>
      <c r="S1567" s="1" t="inlineStr">
        <is>
          <t>Business to Government, Business to Schools</t>
        </is>
      </c>
      <c r="T1567" s="1" t="inlineStr">
        <is>
          <t>Primary Education, Secondary Education, Higher Education, Corporate Training, Lifelong learning/Adult education</t>
        </is>
      </c>
      <c r="U1567" s="1" t="inlineStr">
        <is>
          <t>Student interfacing, Teacher interfacing, System/Administrative</t>
        </is>
      </c>
      <c r="V1567" s="1" t="inlineStr">
        <is>
          <t>Moodle LMS</t>
        </is>
      </c>
      <c r="W1567" s="1" t="inlineStr">
        <is>
          <t>Leading learning management system in the world. Used by millions of users and has a huge community of users.</t>
        </is>
      </c>
      <c r="X1567" s="10" t="inlineStr">
        <is>
          <t>Moodle Workplace</t>
        </is>
      </c>
      <c r="Y1567" t="inlineStr">
        <is>
          <t>Moodle Workplace platform, designed for custom users' requirements and functionality.</t>
        </is>
      </c>
      <c r="Z1567" s="1" t="inlineStr">
        <is>
          <t>https://drive.google.com/uc?export=view&amp;id=1KTmjupBPRQ4o4Wue9gd9kPBAus666k-m</t>
        </is>
      </c>
      <c r="AA1567" s="1" t="inlineStr">
        <is>
          <t>Unverified</t>
        </is>
      </c>
      <c r="AB1567" s="1" t="n"/>
      <c r="AC1567" s="1" t="n"/>
      <c r="AD1567" s="10" t="n"/>
      <c r="AE1567" s="1" t="n"/>
      <c r="AF1567" t="inlineStr">
        <is>
          <t>Yes</t>
        </is>
      </c>
      <c r="AG1567" t="inlineStr">
        <is>
          <t>Demo</t>
        </is>
      </c>
      <c r="AH1567" t="inlineStr">
        <is>
          <t>Demo</t>
        </is>
      </c>
      <c r="AI1567" t="inlineStr">
        <is>
          <t>https://www.linkedin.com/company/vextur</t>
        </is>
      </c>
    </row>
    <row r="1568" ht="12.5" customHeight="1">
      <c r="A1568" s="6" t="n">
        <v>45181</v>
      </c>
      <c r="B1568" s="1" t="inlineStr">
        <is>
          <t>ORG_1066</t>
        </is>
      </c>
      <c r="C1568" s="1" t="b">
        <v>1</v>
      </c>
      <c r="D1568" s="1" t="inlineStr">
        <is>
          <t>AlumnForce</t>
        </is>
      </c>
      <c r="E1568" s="10" t="inlineStr">
        <is>
          <t>https://www.alumnforce.com/</t>
        </is>
      </c>
      <c r="F1568" t="inlineStr">
        <is>
          <t>alumnforce.com</t>
        </is>
      </c>
      <c r="G1568" s="1" t="inlineStr">
        <is>
          <t>AlumnForce is the web and mobile solution for community and alumni network management. Create, customize and develop the perfect solution to engage and empower your community on a unique platform: Social Network / Career Center / Virtual Career Fair / Mentoring / Fundraising.
AlumnForce offers you an “all-in-one” platform that adapts to your needs and those of your community. And this, no matter how big your network is, whether it has 100 members or more than 1 million. We already work with 300+ networks in 12 countries around the world.
Create your platform with the solutions that suit your needs. Bring your community together online, keep in touch and support your members throughout their professional career.</t>
        </is>
      </c>
      <c r="H1568" s="1" t="inlineStr">
        <is>
          <t>EdTech France</t>
        </is>
      </c>
      <c r="I1568" s="1" t="inlineStr">
        <is>
          <t>French, English, Spanish, Hungarian</t>
        </is>
      </c>
      <c r="J1568" s="1" t="inlineStr">
        <is>
          <t>Paris</t>
        </is>
      </c>
      <c r="K1568" t="inlineStr">
        <is>
          <t>Paris</t>
        </is>
      </c>
      <c r="L1568" t="inlineStr">
        <is>
          <t>Paris, France</t>
        </is>
      </c>
      <c r="M1568" t="n">
        <v>48.8534951</v>
      </c>
      <c r="N1568" t="n">
        <v>2.3483915</v>
      </c>
      <c r="O1568" s="1" t="inlineStr">
        <is>
          <t>France</t>
        </is>
      </c>
      <c r="P1568" s="1" t="inlineStr">
        <is>
          <t>Belgium, France, Hungary, Italy, Luxembourg, Monaco, Netherlands, Portugal, Spain, Switzerland, United Kingdom</t>
        </is>
      </c>
      <c r="Q1568" s="1" t="inlineStr">
        <is>
          <t>11 to 50</t>
        </is>
      </c>
      <c r="R1568" t="inlineStr">
        <is>
          <t>Small</t>
        </is>
      </c>
      <c r="S1568" s="1" t="inlineStr">
        <is>
          <t>Business to Business</t>
        </is>
      </c>
      <c r="T1568" s="1" t="inlineStr">
        <is>
          <t>Secondary Education, Corporate Training, Lifelong learning/Adult education, Vocational Education and Training (VET), Higher Education</t>
        </is>
      </c>
      <c r="U1568" s="1" t="inlineStr">
        <is>
          <t>Teacher interfacing, System/Administrative, Student interfacing</t>
        </is>
      </c>
      <c r="V1568" s="1" t="inlineStr">
        <is>
          <t>AlumnForce</t>
        </is>
      </c>
      <c r="W1568" s="10" t="inlineStr">
        <is>
          <t>AlumnForce is a web and mobile alumni solution
Create and manage your private network and foster exchanges between students, graduates, alumni, recruiters, teachers and staff.
A simple, intuitive and configurable alumni platform:
- Groups &amp; clubs
- Career center 
- Mentoring program 
- Email &amp; newsletters
- Virtual/Hybrid job fair
- Data management &amp; statistics</t>
        </is>
      </c>
      <c r="X1568" s="10" t="inlineStr">
        <is>
          <t>https://drive.google.com/uc?export=view&amp;id=1IBGpek4F-8bPP3TbN8NTTeEuDNuLZ0KE</t>
        </is>
      </c>
      <c r="Y1568" t="inlineStr">
        <is>
          <t>https://drive.google.com/uc?export=view&amp;id=1IBGpek4F-8bPP3TbN8NTTeEuDNuLZ0KE</t>
        </is>
      </c>
      <c r="Z1568" s="1" t="inlineStr">
        <is>
          <t>https://drive.google.com/uc?export=view&amp;id=1IBGpek4F-8bPP3TbN8NTTeEuDNuLZ0KE</t>
        </is>
      </c>
      <c r="AA1568" s="1" t="inlineStr">
        <is>
          <t>Unverified</t>
        </is>
      </c>
      <c r="AB1568" s="1" t="n"/>
      <c r="AC1568" s="1" t="n"/>
      <c r="AD1568" s="10" t="n"/>
      <c r="AE1568" s="1" t="n"/>
      <c r="AF1568" s="1" t="inlineStr">
        <is>
          <t>Yes</t>
        </is>
      </c>
      <c r="AG1568" s="1" t="inlineStr">
        <is>
          <t>https://twitter.com/AlumnForce</t>
        </is>
      </c>
      <c r="AH1568" s="1" t="inlineStr">
        <is>
          <t>https://twitter.com/AlumnForce</t>
        </is>
      </c>
      <c r="AI1568" t="inlineStr">
        <is>
          <t>https://www.linkedin.com/company/alumnforce-alumni-success-platform/</t>
        </is>
      </c>
    </row>
    <row r="1569" ht="12.5" customHeight="1">
      <c r="A1569" s="6" t="n">
        <v>45181</v>
      </c>
      <c r="B1569" s="1" t="inlineStr">
        <is>
          <t>ORG_1086</t>
        </is>
      </c>
      <c r="C1569" s="1" t="b">
        <v>1</v>
      </c>
      <c r="D1569" s="1" t="inlineStr">
        <is>
          <t>Appscapes</t>
        </is>
      </c>
      <c r="E1569" s="10" t="inlineStr">
        <is>
          <t>www.appscapes.com</t>
        </is>
      </c>
      <c r="F1569" t="inlineStr">
        <is>
          <t>appscapes.com</t>
        </is>
      </c>
      <c r="G1569" s="1" t="inlineStr">
        <is>
          <t>We are a subscription-based mobile application for educational institutions. The platform helps them strengthen their IT infraestructure, while offering its students tools that increase student engagement and facilitate student integration.</t>
        </is>
      </c>
      <c r="H1569" s="1" t="inlineStr">
        <is>
          <t>SEK Lab</t>
        </is>
      </c>
      <c r="I1569" s="1" t="n"/>
      <c r="J1569" s="1" t="inlineStr">
        <is>
          <t>Carrer De Oristà 165</t>
        </is>
      </c>
      <c r="L1569" t="inlineStr">
        <is>
          <t>Carrer De Oristà 165, Spain</t>
        </is>
      </c>
      <c r="O1569" s="1" t="inlineStr">
        <is>
          <t>Spain</t>
        </is>
      </c>
      <c r="P1569" s="1" t="inlineStr">
        <is>
          <t>France, Poland, Portugal, Spain, United Kingdom</t>
        </is>
      </c>
      <c r="Q1569" s="1" t="inlineStr">
        <is>
          <t>0 to 10</t>
        </is>
      </c>
      <c r="R1569" t="inlineStr">
        <is>
          <t>Micro</t>
        </is>
      </c>
      <c r="S1569" s="1" t="inlineStr">
        <is>
          <t>Business to Business</t>
        </is>
      </c>
      <c r="T1569" s="1" t="inlineStr">
        <is>
          <t>Higher Education</t>
        </is>
      </c>
      <c r="U1569" s="1" t="inlineStr">
        <is>
          <t>Student interfacing</t>
        </is>
      </c>
      <c r="V1569" s="1" t="inlineStr">
        <is>
          <t>Appscapes</t>
        </is>
      </c>
      <c r="W1569" s="1" t="inlineStr">
        <is>
          <t>It's a suscription based mobile application that facilitates student communication, event organization and centralizing school resources to have an easier access.</t>
        </is>
      </c>
      <c r="X1569" s="1" t="inlineStr">
        <is>
          <t>https://drive.google.com/uc?export=view&amp;id=1jq3TfUnlbKQQ_62vXpvGFO7cD_O0qkOw</t>
        </is>
      </c>
      <c r="Y1569" t="inlineStr">
        <is>
          <t>https://drive.google.com/uc?export=view&amp;id=1jq3TfUnlbKQQ_62vXpvGFO7cD_O0qkOw</t>
        </is>
      </c>
      <c r="Z1569" s="1" t="inlineStr">
        <is>
          <t>https://drive.google.com/uc?export=view&amp;id=1jq3TfUnlbKQQ_62vXpvGFO7cD_O0qkOw</t>
        </is>
      </c>
      <c r="AA1569" s="1" t="inlineStr">
        <is>
          <t>Unverified</t>
        </is>
      </c>
      <c r="AB1569" s="1" t="n"/>
      <c r="AC1569" s="1" t="n"/>
      <c r="AD1569" s="10" t="n"/>
      <c r="AE1569" s="1" t="n"/>
      <c r="AF1569" t="inlineStr">
        <is>
          <t>No</t>
        </is>
      </c>
    </row>
    <row r="1570" ht="12.5" customHeight="1">
      <c r="A1570" s="6" t="n">
        <v>45181</v>
      </c>
      <c r="B1570" s="1" t="inlineStr">
        <is>
          <t>ORG_1094</t>
        </is>
      </c>
      <c r="C1570" s="1" t="b">
        <v>1</v>
      </c>
      <c r="D1570" s="1" t="inlineStr">
        <is>
          <t>Areeka</t>
        </is>
      </c>
      <c r="E1570" s="10" t="inlineStr">
        <is>
          <t>https://areeka.net</t>
        </is>
      </c>
      <c r="F1570" t="inlineStr">
        <is>
          <t>areeka.net</t>
        </is>
      </c>
      <c r="G1570" s="1" t="inlineStr">
        <is>
          <t>Areeka is an innovative Augmented Reality (AR) application revolutionizing the Education market for Publishers, Companies and Private users. Our platform enhances student engagement with their learning material allowing them to grasp concepts better, and also learn anytime and anywhere from their smartphones. Areeka also serves as an integrated Fun and Interactive Learning platform comprising a Wide Database of customizable 3D models, an E-commerce online shop for easy purchase of material, and offers an Easy-To-Use Web based AR platform.</t>
        </is>
      </c>
      <c r="H1570" s="1" t="inlineStr">
        <is>
          <t>I'm not part of any EdTech association</t>
        </is>
      </c>
      <c r="I1570" s="1" t="n"/>
      <c r="J1570" s="1" t="inlineStr">
        <is>
          <t>Vienna</t>
        </is>
      </c>
      <c r="K1570" t="inlineStr">
        <is>
          <t>Vienna</t>
        </is>
      </c>
      <c r="L1570" t="inlineStr">
        <is>
          <t>Vienna, Austria</t>
        </is>
      </c>
      <c r="M1570" t="n">
        <v>48.2083537</v>
      </c>
      <c r="N1570" t="n">
        <v>16.3725042</v>
      </c>
      <c r="O1570" s="1" t="inlineStr">
        <is>
          <t>Austria</t>
        </is>
      </c>
      <c r="P1570" s="1" t="inlineStr">
        <is>
          <t>Armenia, Austria, Czechia, France, Germany, Italy, Liechtenstein, Poland, Russia, Switzerland, United Kingdom</t>
        </is>
      </c>
      <c r="Q1570" s="1" t="inlineStr">
        <is>
          <t>0 to 10</t>
        </is>
      </c>
      <c r="R1570" t="inlineStr">
        <is>
          <t>Micro</t>
        </is>
      </c>
      <c r="S1570" s="1" t="inlineStr">
        <is>
          <t>Business to Business</t>
        </is>
      </c>
      <c r="T1570" s="1" t="inlineStr">
        <is>
          <t>Early childhood development (0-5 years), Primary Education, Secondary Education, Lifelong learning/Adult education</t>
        </is>
      </c>
      <c r="U1570" s="1" t="inlineStr">
        <is>
          <t>System/Administrative, Student interfacing, Teacher interfacing</t>
        </is>
      </c>
      <c r="V1570" s="1" t="n"/>
      <c r="W1570" s="1" t="inlineStr">
        <is>
          <t>https://drive.google.com/uc?export=view&amp;id=1e3FvGcHIv9khtbOKZDb4kOBpw4AcO_lr</t>
        </is>
      </c>
      <c r="X1570" s="1" t="inlineStr">
        <is>
          <t>https://drive.google.com/uc?export=view&amp;id=1e3FvGcHIv9khtbOKZDb4kOBpw4AcO_lr</t>
        </is>
      </c>
      <c r="Y1570" t="inlineStr">
        <is>
          <t>https://drive.google.com/uc?export=view&amp;id=1e3FvGcHIv9khtbOKZDb4kOBpw4AcO_lr</t>
        </is>
      </c>
      <c r="Z1570" s="1" t="inlineStr">
        <is>
          <t>https://drive.google.com/uc?export=view&amp;id=1e3FvGcHIv9khtbOKZDb4kOBpw4AcO_lr</t>
        </is>
      </c>
      <c r="AA1570" s="1" t="inlineStr">
        <is>
          <t>Unverified</t>
        </is>
      </c>
      <c r="AB1570" s="1" t="n"/>
      <c r="AC1570" s="1" t="n"/>
      <c r="AD1570" s="10" t="n"/>
      <c r="AE1570" s="1" t="n"/>
      <c r="AF1570" t="inlineStr">
        <is>
          <t>No</t>
        </is>
      </c>
    </row>
    <row r="1571" ht="12.5" customHeight="1">
      <c r="A1571" s="6" t="n">
        <v>45181</v>
      </c>
      <c r="B1571" s="1" t="inlineStr">
        <is>
          <t>ORG_1095</t>
        </is>
      </c>
      <c r="C1571" s="1" t="b">
        <v>1</v>
      </c>
      <c r="D1571" s="1" t="inlineStr">
        <is>
          <t>AREN Education</t>
        </is>
      </c>
      <c r="E1571" s="10" t="inlineStr">
        <is>
          <t>https://areneducation.com/en/</t>
        </is>
      </c>
      <c r="F1571" t="inlineStr">
        <is>
          <t>areneducation.com/en</t>
        </is>
      </c>
      <c r="G1571" s="1" t="inlineStr">
        <is>
          <t>AREN do Simplify access to quality educational resources for Teachers and Students, including the Parents. Provide to governments personalized dashboards for the digital usage and content.</t>
        </is>
      </c>
      <c r="H1571" s="1" t="inlineStr">
        <is>
          <t>AFINEF, EdTech France</t>
        </is>
      </c>
      <c r="I1571" s="1" t="inlineStr">
        <is>
          <t>English, France, Arabic, Spanish</t>
        </is>
      </c>
      <c r="J1571" s="1" t="inlineStr">
        <is>
          <t>Paris</t>
        </is>
      </c>
      <c r="K1571" t="inlineStr">
        <is>
          <t>Paris</t>
        </is>
      </c>
      <c r="L1571" t="inlineStr">
        <is>
          <t>Paris, France</t>
        </is>
      </c>
      <c r="M1571" t="n">
        <v>48.8534951</v>
      </c>
      <c r="N1571" t="n">
        <v>2.3483915</v>
      </c>
      <c r="O1571" s="1" t="inlineStr">
        <is>
          <t>France</t>
        </is>
      </c>
      <c r="P1571" s="1" t="inlineStr">
        <is>
          <t>Belgium, France, Italy, Luxembourg, Monaco, Switzerland</t>
        </is>
      </c>
      <c r="Q1571" s="1" t="inlineStr">
        <is>
          <t>6 to 10</t>
        </is>
      </c>
      <c r="R1571" t="inlineStr">
        <is>
          <t>Micro</t>
        </is>
      </c>
      <c r="S1571" s="1" t="inlineStr">
        <is>
          <t>Business to Business</t>
        </is>
      </c>
      <c r="T1571" s="1" t="inlineStr">
        <is>
          <t>Early childhood development (0-5 years), Primary Education, Secondary Education</t>
        </is>
      </c>
      <c r="U1571" s="1" t="inlineStr">
        <is>
          <t>System/Administrative, Student interfacing, Teacher interfacing</t>
        </is>
      </c>
      <c r="V1571" s="1" t="inlineStr">
        <is>
          <t>AREN+</t>
        </is>
      </c>
      <c r="W1571" s="1" t="inlineStr">
        <is>
          <t>The plateform support governments in the acquisition of digital solutions for the Education Sector. We Work with partners of choice to ensure deployments.</t>
        </is>
      </c>
      <c r="X1571" s="10" t="inlineStr">
        <is>
          <t>and a large catalog of multi EdTech resources</t>
        </is>
      </c>
      <c r="Y1571" t="inlineStr">
        <is>
          <t>Treasure innovative educational resources, proven by research and produced by partners, and or validated by them. Deploy those resources via our platform.</t>
        </is>
      </c>
      <c r="Z1571" s="1" t="inlineStr">
        <is>
          <t>https://drive.google.com/uc?export=view&amp;id=1FNV-tXlhxHr375OgON_e9NsZmHSzXf7T</t>
        </is>
      </c>
      <c r="AA1571" s="1" t="inlineStr">
        <is>
          <t>Unverified</t>
        </is>
      </c>
      <c r="AB1571" s="1" t="n"/>
      <c r="AC1571" s="1" t="n"/>
      <c r="AD1571" s="10" t="n"/>
      <c r="AE1571" s="1" t="n"/>
      <c r="AF1571" s="1" t="inlineStr">
        <is>
          <t>Yes</t>
        </is>
      </c>
      <c r="AG1571" s="1" t="inlineStr">
        <is>
          <t>https://www.linkedin.com/company/36144549/admin/feed/posts/</t>
        </is>
      </c>
      <c r="AH1571" s="1" t="inlineStr">
        <is>
          <t>https://www.linkedin.com/company/36144549/admin/feed/posts/</t>
        </is>
      </c>
      <c r="AI1571" t="inlineStr">
        <is>
          <t>https://www.linkedin.com/company/36144549/admin/feed/posts/</t>
        </is>
      </c>
    </row>
    <row r="1572" ht="12.5" customHeight="1">
      <c r="A1572" s="6" t="n">
        <v>45181</v>
      </c>
      <c r="B1572" s="1" t="inlineStr">
        <is>
          <t>ORG_1106</t>
        </is>
      </c>
      <c r="C1572" s="1" t="b">
        <v>1</v>
      </c>
      <c r="D1572" s="1" t="inlineStr">
        <is>
          <t>ASB PUBLISHING</t>
        </is>
      </c>
      <c r="E1572" s="10" t="inlineStr">
        <is>
          <t>www.asbpublishing.com</t>
        </is>
      </c>
      <c r="F1572" t="inlineStr">
        <is>
          <t>asbpublishing.com</t>
        </is>
      </c>
      <c r="G1572" s="1" t="inlineStr">
        <is>
          <t>ASB PUBLISHING is an eLearning publisher, leader in soft skills short video program. Visit our Web site : www.asbpublishing.com</t>
        </is>
      </c>
      <c r="H1572" s="1" t="inlineStr">
        <is>
          <t>EdTech France</t>
        </is>
      </c>
      <c r="I1572" s="1" t="n"/>
      <c r="J1572" s="1" t="inlineStr">
        <is>
          <t>Paris</t>
        </is>
      </c>
      <c r="K1572" t="inlineStr">
        <is>
          <t>Paris</t>
        </is>
      </c>
      <c r="L1572" t="inlineStr">
        <is>
          <t>Paris, France</t>
        </is>
      </c>
      <c r="M1572" t="n">
        <v>48.8534951</v>
      </c>
      <c r="N1572" t="n">
        <v>2.3483915</v>
      </c>
      <c r="O1572" s="1" t="inlineStr">
        <is>
          <t>France</t>
        </is>
      </c>
      <c r="P1572" s="1" t="inlineStr">
        <is>
          <t>Belgium, France, Germany, Ireland, Italy, Luxembourg, Monaco, Netherlands, United Kingdom</t>
        </is>
      </c>
      <c r="Q1572" s="1" t="inlineStr">
        <is>
          <t>0 to 2</t>
        </is>
      </c>
      <c r="R1572" t="inlineStr">
        <is>
          <t>Solo entrepreneur</t>
        </is>
      </c>
      <c r="S1572" s="1" t="inlineStr">
        <is>
          <t>Business to Business</t>
        </is>
      </c>
      <c r="T1572" s="1" t="inlineStr">
        <is>
          <t>Secondary Education, Corporate Training, Lifelong learning/Adult education</t>
        </is>
      </c>
      <c r="U1572" s="1" t="inlineStr">
        <is>
          <t>Student interfacing, Teacher interfacing, System/Administrative</t>
        </is>
      </c>
      <c r="V1572" s="1" t="inlineStr">
        <is>
          <t>Management skills</t>
        </is>
      </c>
      <c r="W1572" s="1" t="inlineStr">
        <is>
          <t>40+ eLearning sessions, each of them given for 20 minutes learning, 100% video, that deal with distance management, appraisal interview, coaching... Actionable tips, dos and don'ts, easy going short videos (1 to 3 minutes videos). Atawad and responsive programmes. Contact us for free demo at www.asbpublishing.com !</t>
        </is>
      </c>
      <c r="X1572" s="1" t="inlineStr">
        <is>
          <t>Selling and negotiating skills</t>
        </is>
      </c>
      <c r="Y1572" t="inlineStr">
        <is>
          <t>15+ eLearning sessions, each of them given for 20 minutes learning, 100% video, that deal with ccustomer experience, sales, négociation... Actionable tips, dos and don'ts, easy going short videos (1 to 3 minutes videos). Atawad and responsive programmes. Contact us for free demo at www.asbpublishing.com !</t>
        </is>
      </c>
      <c r="Z1572" s="1" t="inlineStr">
        <is>
          <t>https://drive.google.com/uc?export=view&amp;id=1WeC4JVjBzZs-QTbEVlTn5bEQat-WEFQH</t>
        </is>
      </c>
      <c r="AA1572" s="1" t="inlineStr">
        <is>
          <t>Unverified</t>
        </is>
      </c>
      <c r="AB1572" s="1" t="n"/>
      <c r="AC1572" s="1" t="n"/>
      <c r="AD1572" s="10" t="n"/>
      <c r="AE1572" s="1" t="n"/>
      <c r="AF1572" t="inlineStr">
        <is>
          <t>No</t>
        </is>
      </c>
    </row>
    <row r="1573" ht="12.5" customHeight="1">
      <c r="A1573" s="6" t="n">
        <v>45181</v>
      </c>
      <c r="B1573" s="1" t="inlineStr">
        <is>
          <t>ORG_1136</t>
        </is>
      </c>
      <c r="C1573" s="1" t="b">
        <v>1</v>
      </c>
      <c r="D1573" s="1" t="inlineStr">
        <is>
          <t>BALIO</t>
        </is>
      </c>
      <c r="E1573" s="10" t="inlineStr">
        <is>
          <t>https://balio.app/</t>
        </is>
      </c>
      <c r="F1573" t="inlineStr">
        <is>
          <t>balio.app</t>
        </is>
      </c>
      <c r="G1573" s="1" t="inlineStr">
        <is>
          <t>A place without borders to learn and connect with what limits you from being able to make decisions freely: monetary resources and mental health.</t>
        </is>
      </c>
      <c r="H1573" s="1" t="inlineStr">
        <is>
          <t>SEK Lab</t>
        </is>
      </c>
      <c r="I1573" s="1" t="n"/>
      <c r="J1573" s="1" t="inlineStr">
        <is>
          <t>Barcelona</t>
        </is>
      </c>
      <c r="K1573" t="inlineStr">
        <is>
          <t>Barcelona</t>
        </is>
      </c>
      <c r="L1573" t="inlineStr">
        <is>
          <t>Barcelona, Spain</t>
        </is>
      </c>
      <c r="M1573" t="n">
        <v>41.3825802</v>
      </c>
      <c r="N1573" t="n">
        <v>2.177073</v>
      </c>
      <c r="O1573" s="1" t="inlineStr">
        <is>
          <t>Spain</t>
        </is>
      </c>
      <c r="P1573" s="1" t="inlineStr">
        <is>
          <t>Spain</t>
        </is>
      </c>
      <c r="Q1573" s="1" t="inlineStr">
        <is>
          <t>0 to 10</t>
        </is>
      </c>
      <c r="R1573" t="inlineStr">
        <is>
          <t>Micro</t>
        </is>
      </c>
      <c r="S1573" s="1" t="inlineStr">
        <is>
          <t>Business to Business</t>
        </is>
      </c>
      <c r="T1573" s="1" t="inlineStr">
        <is>
          <t>Higher Education, Lifelong learning/Adult education</t>
        </is>
      </c>
      <c r="U1573" s="1" t="inlineStr">
        <is>
          <t>System/Administrative, Student interfacing</t>
        </is>
      </c>
      <c r="V1573" s="10" t="inlineStr">
        <is>
          <t>BALIO ACADEMY</t>
        </is>
      </c>
      <c r="W1573" s="10" t="inlineStr">
        <is>
          <t>Platform that teach all about money using microlearning with top experts</t>
        </is>
      </c>
      <c r="X1573" s="10" t="inlineStr">
        <is>
          <t>https://drive.google.com/uc?export=view&amp;id=1OsQikp6yK5hKG8chxyaL2blyiMqfyU_e</t>
        </is>
      </c>
      <c r="Y1573" t="inlineStr">
        <is>
          <t>https://drive.google.com/uc?export=view&amp;id=1OsQikp6yK5hKG8chxyaL2blyiMqfyU_e</t>
        </is>
      </c>
      <c r="Z1573" s="1" t="inlineStr">
        <is>
          <t>https://drive.google.com/uc?export=view&amp;id=1OsQikp6yK5hKG8chxyaL2blyiMqfyU_e</t>
        </is>
      </c>
      <c r="AA1573" s="1" t="inlineStr">
        <is>
          <t>Unverified</t>
        </is>
      </c>
      <c r="AB1573" s="1" t="n"/>
      <c r="AC1573" s="1" t="n"/>
      <c r="AD1573" s="10" t="n"/>
      <c r="AE1573" s="1" t="n"/>
      <c r="AF1573" t="inlineStr">
        <is>
          <t>Yes</t>
        </is>
      </c>
      <c r="AG1573" t="inlineStr">
        <is>
          <t>https://www.instagram.com/balioapp/</t>
        </is>
      </c>
      <c r="AH1573" t="inlineStr">
        <is>
          <t>https://twitter.com/Balio</t>
        </is>
      </c>
      <c r="AI1573" t="inlineStr">
        <is>
          <t>https://www.linkedin.com/company/balio</t>
        </is>
      </c>
    </row>
    <row r="1574" ht="12.5" customHeight="1">
      <c r="A1574" s="6" t="n">
        <v>45181</v>
      </c>
      <c r="B1574" s="1" t="inlineStr">
        <is>
          <t>ORG_1170</t>
        </is>
      </c>
      <c r="C1574" s="1" t="b">
        <v>1</v>
      </c>
      <c r="D1574" s="1" t="inlineStr">
        <is>
          <t>bitmark Association</t>
        </is>
      </c>
      <c r="E1574" s="10" t="inlineStr">
        <is>
          <t>https://bitmark-association.org/</t>
        </is>
      </c>
      <c r="F1574" t="inlineStr">
        <is>
          <t>bitmark-association.org</t>
        </is>
      </c>
      <c r="G1574" s="1" t="inlineStr">
        <is>
          <t>bitmark is the world’s first open-source content-first standard for digital learning content.
Today there are thousands of different ways to create digital learning content - leading to lock-ins for all. To make education available we need to have a common ground - that's bitmark. As an open standard bitmark increases the interoperability for the digital education world. This means that learning content can be easily exchanged between different platforms.Use it, share it and help close the education gap in the world.</t>
        </is>
      </c>
      <c r="H1574" s="1" t="inlineStr">
        <is>
          <t>Swiss EdTech Collider</t>
        </is>
      </c>
      <c r="I1574" s="1" t="n"/>
      <c r="J1574" s="1" t="inlineStr">
        <is>
          <t>Zurich</t>
        </is>
      </c>
      <c r="K1574" t="inlineStr">
        <is>
          <t>Zurich</t>
        </is>
      </c>
      <c r="L1574" t="inlineStr">
        <is>
          <t>Zurich, Switzerland</t>
        </is>
      </c>
      <c r="M1574" t="n">
        <v>47.3744489</v>
      </c>
      <c r="N1574" t="n">
        <v>8.5410422</v>
      </c>
      <c r="O1574" s="1" t="inlineStr">
        <is>
          <t>Switzerland</t>
        </is>
      </c>
      <c r="P157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574" s="1" t="inlineStr">
        <is>
          <t>11 to 50</t>
        </is>
      </c>
      <c r="R1574" t="inlineStr">
        <is>
          <t>Small</t>
        </is>
      </c>
      <c r="S1574" s="1" t="inlineStr">
        <is>
          <t>Business to Business</t>
        </is>
      </c>
      <c r="T1574" s="1" t="inlineStr">
        <is>
          <t>Lifelong learning/Adult education</t>
        </is>
      </c>
      <c r="U1574" s="1" t="inlineStr">
        <is>
          <t>Student interfacing, Teacher interfacing, System/Administrative</t>
        </is>
      </c>
      <c r="V1574" s="1" t="inlineStr">
        <is>
          <t>bitmark</t>
        </is>
      </c>
      <c r="W1574" s="10" t="inlineStr">
        <is>
          <t>Some people might call bitmark a uncompromisingly content-first (and mobile-first) data standard for digital, interactive textbooks.
More technically speaking, bitmark is an umbrella term for the bitmark REST API, the bitmark JSON data model and the bitmark markup language.
bitmark was born out of the need to digitize learning material. bitmark therefore is highly specialized in static and interactive learning content like quizzes.
bitmark is strictly content-first, which means, you have one common data base of all digital assets for mobile, tablet and Web apps.</t>
        </is>
      </c>
      <c r="X1574" s="10" t="inlineStr">
        <is>
          <t>https://drive.google.com/uc?export=view&amp;id=1UPRJH_FA9-7pmBTmX5ZqzGNhjvnB4PwC</t>
        </is>
      </c>
      <c r="Y1574" t="inlineStr">
        <is>
          <t>https://drive.google.com/uc?export=view&amp;id=1UPRJH_FA9-7pmBTmX5ZqzGNhjvnB4PwC</t>
        </is>
      </c>
      <c r="Z1574" s="1" t="inlineStr">
        <is>
          <t>https://drive.google.com/uc?export=view&amp;id=1UPRJH_FA9-7pmBTmX5ZqzGNhjvnB4PwC</t>
        </is>
      </c>
      <c r="AA1574" s="1" t="inlineStr">
        <is>
          <t>Unverified</t>
        </is>
      </c>
      <c r="AB1574" s="1" t="n"/>
      <c r="AC1574" s="1" t="n"/>
      <c r="AD1574" s="10" t="n"/>
      <c r="AE1574" s="1" t="n"/>
      <c r="AF1574" s="1" t="inlineStr">
        <is>
          <t>Yes</t>
        </is>
      </c>
      <c r="AG1574" s="1" t="inlineStr">
        <is>
          <t>https://twitter.com/bitmarkstandard</t>
        </is>
      </c>
      <c r="AH1574" s="1" t="inlineStr">
        <is>
          <t>https://twitter.com/bitmarkstandard</t>
        </is>
      </c>
      <c r="AI1574" t="inlineStr">
        <is>
          <t>https://www.linkedin.com/company/bitmark-association</t>
        </is>
      </c>
    </row>
    <row r="1575" ht="12.5" customHeight="1">
      <c r="A1575" s="6" t="n">
        <v>45181</v>
      </c>
      <c r="B1575" s="1" t="inlineStr">
        <is>
          <t>ORG_1176</t>
        </is>
      </c>
      <c r="C1575" s="1" t="b">
        <v>1</v>
      </c>
      <c r="D1575" s="1" t="inlineStr">
        <is>
          <t>BLUE FROG ROBOTICS</t>
        </is>
      </c>
      <c r="E1575" s="10" t="inlineStr">
        <is>
          <t>www.bluefrogrobotics.com</t>
        </is>
      </c>
      <c r="F1575" t="inlineStr">
        <is>
          <t>bluefrogrobotics.com</t>
        </is>
      </c>
      <c r="G1575" s="1" t="inlineStr">
        <is>
          <t>BLUE FROG ROBOTICS, pioneer and leader in social robotics creates “Robots for Good” that embody Emotional AI to drive significant positive impact on major social issues: Education, Inclusion of vulnerable people and Ageing population. A Word First, the company deploys the largest fleet of humanoid tele-education robots in the world after winning a contract from the French Ministry of National Education to fight against isolation of Hospitalized children to be “tele-present”. In addition, Buddy can serve as a teaching assistant, student’s learning companion as well as an essential teaching tool for coding and programming.</t>
        </is>
      </c>
      <c r="H1575" s="1" t="inlineStr">
        <is>
          <t>EdTech France</t>
        </is>
      </c>
      <c r="I1575" s="1" t="n"/>
      <c r="J1575" s="1" t="inlineStr">
        <is>
          <t>Paris</t>
        </is>
      </c>
      <c r="K1575" t="inlineStr">
        <is>
          <t>Paris</t>
        </is>
      </c>
      <c r="L1575" t="inlineStr">
        <is>
          <t>Paris, France</t>
        </is>
      </c>
      <c r="M1575" t="n">
        <v>48.8534951</v>
      </c>
      <c r="N1575" t="n">
        <v>2.3483915</v>
      </c>
      <c r="O1575" s="1" t="inlineStr">
        <is>
          <t>France</t>
        </is>
      </c>
      <c r="P1575" s="1" t="inlineStr">
        <is>
          <t>Belgium, France, Germany, Italy, Netherlands, Spain, Sweden, Switzerland, United Kingdom</t>
        </is>
      </c>
      <c r="Q1575" s="1" t="inlineStr">
        <is>
          <t>11 to 50</t>
        </is>
      </c>
      <c r="R1575" t="inlineStr">
        <is>
          <t>Small</t>
        </is>
      </c>
      <c r="S1575" s="1" t="inlineStr">
        <is>
          <t>Business to Business</t>
        </is>
      </c>
      <c r="T1575" s="1" t="inlineStr">
        <is>
          <t>Early childhood development (0-5 years), Primary Education, Secondary Education, Higher Education</t>
        </is>
      </c>
      <c r="U1575" s="1" t="inlineStr">
        <is>
          <t>Student interfacing, Teacher interfacing, System/Administrative</t>
        </is>
      </c>
      <c r="V1575" s="1" t="inlineStr">
        <is>
          <t>BUDDY, THE EDUCATIONAL ROBOT</t>
        </is>
      </c>
      <c r="W1575" s="1" t="inlineStr">
        <is>
          <t>Buddy Educational Robot provides meaningful 21st century education in the classroom through interactive and immersive learning experiences. Buddy makes learning more impactful and playful at every level of education from preschool through to higher education, including distance learning for students that are unable to physically attend school and education of children with behavioral and autism spectrum disorders. Buddy allows the teacher to start fun activities around programming. It is also an advanced development platform for application projects in higher education.</t>
        </is>
      </c>
      <c r="X1575" s="10" t="inlineStr">
        <is>
          <t>BUDDY, THE AVATAR OF SICK CHILDREN</t>
        </is>
      </c>
      <c r="Y1575" t="inlineStr">
        <is>
          <t>Buddy brings education and school to children in hospitals or long-term care and helps them feel represented in a unique way when they are unable to physically attend school. Set up in the classroom, Buddy becomes their avatar, allowing them to take distance courses and to interact by adding movements, emotions and life to the communications. Students feel empowered with a highly engaging virtual presence. They can participate in classroom discussions, move around classroom and playground, socialize with their classmates.</t>
        </is>
      </c>
      <c r="Z1575" s="1" t="inlineStr">
        <is>
          <t>https://drive.google.com/uc?export=view&amp;id=1Xx2VlMDxUvQFP6UnoWkOwU94zFq29uQF</t>
        </is>
      </c>
      <c r="AA1575" s="1" t="inlineStr">
        <is>
          <t>Unverified</t>
        </is>
      </c>
      <c r="AB1575" s="1" t="n"/>
      <c r="AC1575" s="1" t="n"/>
      <c r="AD1575" s="10" t="n"/>
      <c r="AE1575" s="1" t="n"/>
      <c r="AF1575" s="1" t="inlineStr">
        <is>
          <t>Yes</t>
        </is>
      </c>
      <c r="AG1575" s="1" t="inlineStr">
        <is>
          <t>buddyrobotics</t>
        </is>
      </c>
      <c r="AH1575" s="1" t="inlineStr">
        <is>
          <t>adoptbuddy</t>
        </is>
      </c>
      <c r="AI1575" t="inlineStr">
        <is>
          <t>https://www.linkedin.com/company/bluefrogrobotics</t>
        </is>
      </c>
    </row>
    <row r="1576" ht="12.5" customHeight="1">
      <c r="A1576" s="6" t="n">
        <v>45181</v>
      </c>
      <c r="B1576" s="1" t="inlineStr">
        <is>
          <t>ORG_1222</t>
        </is>
      </c>
      <c r="C1576" s="1" t="b">
        <v>1</v>
      </c>
      <c r="D1576" s="1" t="inlineStr">
        <is>
          <t>CatnClever</t>
        </is>
      </c>
      <c r="E1576" s="10" t="inlineStr">
        <is>
          <t>https://www.catnclever.com/</t>
        </is>
      </c>
      <c r="F1576" t="inlineStr">
        <is>
          <t>catnclever.com</t>
        </is>
      </c>
      <c r="G1576" s="1" t="inlineStr">
        <is>
          <t>We are a Swiss EdTech start-up based in St. Gallen, founded 2021. 
We develop a gamified learning platform for pre-schoolers – CatnClever. 
It is a math and literacy app that uses AI to create interactive games that give children head start at school and in life. 
CatnClever incorporates social and emotional learning, body movement and music. It introduces young children to essential foundational concepts in academic subjects, while also helping them develop important non-academic competencies. AI enabled adaptive learning platform personalizes users' learning journey and provides parents with data on child's progress.
Our enthusiastic, multidisciplinary team includes software engineers, educators, storytellers, illustrators, actors and musicians from Europe and the Americas. 
We are convinced that digital learning will increasingly be part of upbringing and will support the education of our children. That is why we think that a sensitive early entry into the digital world is immensely important.</t>
        </is>
      </c>
      <c r="H1576" s="1" t="inlineStr">
        <is>
          <t>Swiss EdTech Collider</t>
        </is>
      </c>
      <c r="I1576" s="1" t="inlineStr">
        <is>
          <t>German, English, Ukrainian</t>
        </is>
      </c>
      <c r="J1576" s="1" t="inlineStr">
        <is>
          <t>St. Gallen</t>
        </is>
      </c>
      <c r="K1576" t="inlineStr">
        <is>
          <t>St. Gallen</t>
        </is>
      </c>
      <c r="L1576" t="inlineStr">
        <is>
          <t>St. Gallen, Switzerland</t>
        </is>
      </c>
      <c r="M1576" t="n">
        <v>47.425618</v>
      </c>
      <c r="N1576" t="n">
        <v>9.376239699999999</v>
      </c>
      <c r="O1576" s="1" t="inlineStr">
        <is>
          <t>Switzerland</t>
        </is>
      </c>
      <c r="P1576" s="1" t="inlineStr">
        <is>
          <t>Austria, Germany, Liechtenstein, Switzerland, Ukraine, United Kingdom</t>
        </is>
      </c>
      <c r="Q1576" s="1" t="inlineStr">
        <is>
          <t>6 to 10</t>
        </is>
      </c>
      <c r="R1576" t="inlineStr">
        <is>
          <t>Micro</t>
        </is>
      </c>
      <c r="S1576" s="1" t="inlineStr">
        <is>
          <t>Business to Business</t>
        </is>
      </c>
      <c r="T1576" s="1" t="inlineStr">
        <is>
          <t>Early childhood development (0-5 years), Primary Education</t>
        </is>
      </c>
      <c r="U1576" s="1" t="inlineStr">
        <is>
          <t>System/Administrative, Student interfacing</t>
        </is>
      </c>
      <c r="V1576" s="1" t="inlineStr">
        <is>
          <t>CatnClever</t>
        </is>
      </c>
      <c r="W1576" s="1" t="inlineStr">
        <is>
          <t>At Clever Forever Education, we believe that preschool children should be supported when entering the digital world. They shall have fun and play and also be motivated to learn and to get to know the world. Parents, in turn, shall feel ensured that their child will only see safe, appropriate and ad-free content. In our first app, CatnClever, interactive games and exercises foster basic skills like counting, spelling and spatial thinking but the child will also be supported in feeling empathetically, taking care of the environment and in having a sense for equality between genders and cultures. Each exercise has been developed based on pedagogical standards and is adjusted in perspective to the child's learning progress. CatnClever is the first app by Clever Forever Education, a Swiss start-up that wants to make the idea of lifelong learning a little easier with digital products.</t>
        </is>
      </c>
      <c r="X1576" s="1" t="inlineStr">
        <is>
          <t>https://drive.google.com/uc?export=view&amp;id=1c4JCwPFoK0AHTcC_qoTR4hC9pH9JuSe4</t>
        </is>
      </c>
      <c r="Y1576" t="inlineStr">
        <is>
          <t>https://drive.google.com/uc?export=view&amp;id=1c4JCwPFoK0AHTcC_qoTR4hC9pH9JuSe4</t>
        </is>
      </c>
      <c r="Z1576" s="1" t="inlineStr">
        <is>
          <t>https://drive.google.com/uc?export=view&amp;id=1c4JCwPFoK0AHTcC_qoTR4hC9pH9JuSe4</t>
        </is>
      </c>
      <c r="AA1576" s="1" t="inlineStr">
        <is>
          <t>Unverified</t>
        </is>
      </c>
      <c r="AB1576" s="1" t="n"/>
      <c r="AC1576" s="1" t="n"/>
      <c r="AD1576" s="10" t="n"/>
      <c r="AE1576" s="1" t="n"/>
      <c r="AF1576" s="1" t="inlineStr">
        <is>
          <t>No</t>
        </is>
      </c>
      <c r="AG1576" s="1" t="n"/>
      <c r="AH1576" s="1" t="n"/>
    </row>
    <row r="1577" ht="12.5" customHeight="1">
      <c r="A1577" s="6" t="n">
        <v>45181</v>
      </c>
      <c r="B1577" s="1" t="inlineStr">
        <is>
          <t>ORG_1251</t>
        </is>
      </c>
      <c r="C1577" s="1" t="b">
        <v>1</v>
      </c>
      <c r="D1577" s="1" t="inlineStr">
        <is>
          <t>Classninjas</t>
        </is>
      </c>
      <c r="E1577" s="10" t="inlineStr">
        <is>
          <t>https://www.classninjas.com/</t>
        </is>
      </c>
      <c r="F1577" t="inlineStr">
        <is>
          <t>classninjas.com</t>
        </is>
      </c>
      <c r="G1577" s="1" t="inlineStr">
        <is>
          <t>Classninjas aims to provide the best education content in mathematics on relevant digital platforms. Our company offers a wide variety of math content on TikTok, YouTube, Instagram and on a mobile app, both for iOS and Android.</t>
        </is>
      </c>
      <c r="H1577" s="1" t="inlineStr">
        <is>
          <t>I'm not part of any EdTech association</t>
        </is>
      </c>
      <c r="I1577" s="1" t="n"/>
      <c r="J1577" s="1" t="inlineStr">
        <is>
          <t>Vienna</t>
        </is>
      </c>
      <c r="K1577" t="inlineStr">
        <is>
          <t>Vienna</t>
        </is>
      </c>
      <c r="L1577" t="inlineStr">
        <is>
          <t>Vienna, Austria</t>
        </is>
      </c>
      <c r="M1577" t="n">
        <v>48.2083537</v>
      </c>
      <c r="N1577" t="n">
        <v>16.3725042</v>
      </c>
      <c r="O1577" s="1" t="inlineStr">
        <is>
          <t>Austria</t>
        </is>
      </c>
      <c r="P1577" s="1" t="inlineStr">
        <is>
          <t>Austria, Germany, Switzerland</t>
        </is>
      </c>
      <c r="Q1577" s="1" t="inlineStr">
        <is>
          <t>0 to 10</t>
        </is>
      </c>
      <c r="R1577" t="inlineStr">
        <is>
          <t>Micro</t>
        </is>
      </c>
      <c r="S1577" s="1" t="inlineStr">
        <is>
          <t>Business to Business</t>
        </is>
      </c>
      <c r="T1577" s="1" t="inlineStr">
        <is>
          <t>Secondary Education</t>
        </is>
      </c>
      <c r="U1577" s="1" t="inlineStr">
        <is>
          <t>Student interfacing, Teacher interfacing, System/Administrative</t>
        </is>
      </c>
      <c r="V1577" s="1" t="inlineStr">
        <is>
          <t>Classninjas App</t>
        </is>
      </c>
      <c r="W1577" s="1" t="inlineStr">
        <is>
          <t>Math learning app that allows watching learning videos, doing quizzes and simulating tests from NMS/AHS-Unterstufe to A-levels. Entire app is free for parents and students and available a homework tool for teachers for a yearly fee.</t>
        </is>
      </c>
      <c r="X1577" s="10" t="inlineStr">
        <is>
          <t>Social Media</t>
        </is>
      </c>
      <c r="Y1577" t="inlineStr">
        <is>
          <t>We offer entertaining and educational content on TikTok, YouTube and Instagram on an almost daily routine. All of our social media platforms combined reach 500.000 students on average per month.</t>
        </is>
      </c>
      <c r="Z1577" s="1" t="inlineStr">
        <is>
          <t>https://drive.google.com/uc?export=view&amp;id=1qColL1Ml0T535yc1xwANJoJnsUXZ_RKF</t>
        </is>
      </c>
      <c r="AA1577" s="1" t="inlineStr">
        <is>
          <t>Unverified</t>
        </is>
      </c>
      <c r="AB1577" s="1" t="n"/>
      <c r="AC1577" s="1" t="n"/>
      <c r="AD1577" s="10" t="n"/>
      <c r="AE1577" s="1" t="n"/>
      <c r="AF1577" s="1" t="inlineStr">
        <is>
          <t>Yes</t>
        </is>
      </c>
      <c r="AG1577" s="1" t="inlineStr">
        <is>
          <t>classninjas</t>
        </is>
      </c>
      <c r="AH1577" s="1" t="inlineStr">
        <is>
          <t>https://www.linkedin.com/company/classninjas/</t>
        </is>
      </c>
      <c r="AI1577" t="inlineStr">
        <is>
          <t>https://www.linkedin.com/company/classninjas/</t>
        </is>
      </c>
    </row>
    <row r="1578" ht="12.5" customHeight="1">
      <c r="A1578" s="6" t="n">
        <v>45181</v>
      </c>
      <c r="B1578" s="1" t="inlineStr">
        <is>
          <t>ORG_1313</t>
        </is>
      </c>
      <c r="C1578" s="1" t="b">
        <v>1</v>
      </c>
      <c r="D1578" s="1" t="inlineStr">
        <is>
          <t>CrocosGoDigital</t>
        </is>
      </c>
      <c r="E1578" s="10" t="inlineStr">
        <is>
          <t>www.crocosgodigital.com</t>
        </is>
      </c>
      <c r="F1578" t="inlineStr">
        <is>
          <t>crocosgodigital.com</t>
        </is>
      </c>
      <c r="G1578" s="1" t="inlineStr">
        <is>
          <t>Mixing Neurosciences &amp; AI and scientific based, CrocosGoDigital develops a leading platform to Stimulate cognitive &amp; learning functions for Children (6-15), helping pre-detection of strengths &amp; weaknesses, and follow-up their progresses. 
CrocosGoDigital serve Schools, City Halls, Hospitals,... for over 20,000 children, and is fully adapted for NDD Children.
With multiple winning awards and patents pending, CrocosGoDigital is leading innovation in the neuro-education space, impacting significantly children learning capacities.</t>
        </is>
      </c>
      <c r="H1578" s="1" t="inlineStr">
        <is>
          <t>EdTech France</t>
        </is>
      </c>
      <c r="I1578" s="1" t="n"/>
      <c r="J1578" s="1" t="inlineStr">
        <is>
          <t>Marseille</t>
        </is>
      </c>
      <c r="K1578" t="inlineStr">
        <is>
          <t>Marseille</t>
        </is>
      </c>
      <c r="L1578" t="inlineStr">
        <is>
          <t>Marseille, France</t>
        </is>
      </c>
      <c r="M1578" t="n">
        <v>43.2963986</v>
      </c>
      <c r="N1578" t="n">
        <v>5.3777888</v>
      </c>
      <c r="O1578" s="1" t="inlineStr">
        <is>
          <t>France</t>
        </is>
      </c>
      <c r="P1578" s="1" t="inlineStr">
        <is>
          <t>France</t>
        </is>
      </c>
      <c r="Q1578" s="1" t="inlineStr">
        <is>
          <t>11 to 50</t>
        </is>
      </c>
      <c r="R1578" t="inlineStr">
        <is>
          <t>Small</t>
        </is>
      </c>
      <c r="S1578" s="1" t="inlineStr">
        <is>
          <t>Business to Business</t>
        </is>
      </c>
      <c r="T1578" s="1" t="inlineStr">
        <is>
          <t>Primary Education, Secondary Education</t>
        </is>
      </c>
      <c r="U1578" s="1" t="inlineStr">
        <is>
          <t>System/Administrative, Student interfacing, Teacher interfacing</t>
        </is>
      </c>
      <c r="V1578" s="1" t="inlineStr">
        <is>
          <t>Crocos-STIM</t>
        </is>
      </c>
      <c r="W1578" s="1" t="inlineStr">
        <is>
          <t>Crocos-STIM is a set of hundreds of cognitive stimulation workshops (1h based), using robots/drones/... coding and other ludo-educative activities, full designed by our Neuro-specialists and research lab partners, to stimulate cognitive &amp; learning functions of children.</t>
        </is>
      </c>
      <c r="X1578" s="1" t="inlineStr">
        <is>
          <t>Crocos-MAP</t>
        </is>
      </c>
      <c r="Y1578" t="inlineStr">
        <is>
          <t>Crocos-MAP is a set of intense cognitive stimulation workshops that helps to notice child behaviour, strengths and weaknesses, and follow up progresses.</t>
        </is>
      </c>
      <c r="Z1578" s="1" t="inlineStr">
        <is>
          <t>https://drive.google.com/uc?export=view&amp;id=1U9D7pPksCKxNCt4rVcObuAHPr1FwhqgV</t>
        </is>
      </c>
      <c r="AA1578" s="1" t="inlineStr">
        <is>
          <t>Unverified</t>
        </is>
      </c>
      <c r="AB1578" s="1" t="n"/>
      <c r="AC1578" s="1" t="n"/>
      <c r="AD1578" s="10" t="n"/>
      <c r="AE1578" s="1" t="n"/>
      <c r="AF1578" t="inlineStr">
        <is>
          <t>No</t>
        </is>
      </c>
    </row>
    <row r="1579" ht="12.5" customHeight="1">
      <c r="A1579" s="6" t="n">
        <v>45181</v>
      </c>
      <c r="B1579" s="1" t="inlineStr">
        <is>
          <t>ORG_1325</t>
        </is>
      </c>
      <c r="C1579" s="1" t="b">
        <v>1</v>
      </c>
      <c r="D1579" s="1" t="inlineStr">
        <is>
          <t>D.D. INTERNATIONAL srl - Programma Doppio Diploma</t>
        </is>
      </c>
      <c r="E1579" s="10" t="inlineStr">
        <is>
          <t>www.materdoppiodiploma.it</t>
        </is>
      </c>
      <c r="F1579" t="inlineStr">
        <is>
          <t>materdoppiodiploma.it</t>
        </is>
      </c>
      <c r="G1579" s="1" t="inlineStr">
        <is>
          <t>The Dual Diploma Program - Mater Academy allows students around the world to earn a US High School Diploma while simultaneously completing high school in their country of origin. The purpose is to provide an additional competitive advantage to these students by fostering the development of self-directed and responsible 21st century life-long learners through the thoughtful use of interactive, media-rich educational opportunities in a flexible, student-centered, virtual learning environment.</t>
        </is>
      </c>
      <c r="H1579" s="1" t="inlineStr">
        <is>
          <t>I'm not part of any EdTech association</t>
        </is>
      </c>
      <c r="I1579" s="1" t="n"/>
      <c r="J1579" s="1" t="inlineStr">
        <is>
          <t>Verona</t>
        </is>
      </c>
      <c r="K1579" t="inlineStr">
        <is>
          <t>Verona</t>
        </is>
      </c>
      <c r="L1579" t="inlineStr">
        <is>
          <t>Verona, Italy</t>
        </is>
      </c>
      <c r="M1579" t="n">
        <v>45.4424977</v>
      </c>
      <c r="N1579" t="n">
        <v>10.9857377</v>
      </c>
      <c r="O1579" s="1" t="inlineStr">
        <is>
          <t>Italy</t>
        </is>
      </c>
      <c r="P1579" s="1" t="inlineStr">
        <is>
          <t>Austria, Italy</t>
        </is>
      </c>
      <c r="Q1579" s="1" t="inlineStr">
        <is>
          <t>0 to 10</t>
        </is>
      </c>
      <c r="R1579" t="inlineStr">
        <is>
          <t>Micro</t>
        </is>
      </c>
      <c r="S1579" s="1" t="inlineStr">
        <is>
          <t>Business to Business</t>
        </is>
      </c>
      <c r="T1579" s="1" t="inlineStr">
        <is>
          <t>Secondary Education</t>
        </is>
      </c>
      <c r="U1579" s="1" t="inlineStr">
        <is>
          <t>System/Administrative, Student interfacing, Teacher interfacing</t>
        </is>
      </c>
      <c r="V1579" s="1" t="inlineStr">
        <is>
          <t>Programma Doppio Diploma Italia-USA Mater Academy</t>
        </is>
      </c>
      <c r="W1579" s="1" t="inlineStr">
        <is>
          <t>The Dual Diploma Program - Mater Academy allows students around the world to earn a US High School Diploma while simultaneously completing high school in their country of origin. The purpose is to provide an additional competitive advantage to these students by fostering the development of self-directed and responsible 21st century life-long learners through the thoughtful use of interactive, media-rich educational opportunities in a flexible, student-centered, virtual learning environment.</t>
        </is>
      </c>
      <c r="X1579" s="1" t="inlineStr">
        <is>
          <t>https://drive.google.com/uc?export=view&amp;id=1LlR2LOyAudD4-PexIkGLcnfH3sqGaZvA</t>
        </is>
      </c>
      <c r="Y1579" t="inlineStr">
        <is>
          <t>https://drive.google.com/uc?export=view&amp;id=1LlR2LOyAudD4-PexIkGLcnfH3sqGaZvA</t>
        </is>
      </c>
      <c r="Z1579" s="1" t="inlineStr">
        <is>
          <t>https://drive.google.com/uc?export=view&amp;id=1LlR2LOyAudD4-PexIkGLcnfH3sqGaZvA</t>
        </is>
      </c>
      <c r="AA1579" s="1" t="inlineStr">
        <is>
          <t>Unverified</t>
        </is>
      </c>
      <c r="AB1579" s="1" t="n"/>
      <c r="AC1579" s="1" t="n"/>
      <c r="AD1579" s="10" t="n"/>
      <c r="AE1579" s="1" t="n"/>
      <c r="AF1579" t="inlineStr">
        <is>
          <t>Yes</t>
        </is>
      </c>
      <c r="AG1579" t="inlineStr">
        <is>
          <t>doppio.diploma</t>
        </is>
      </c>
    </row>
    <row r="1580" ht="12.5" customHeight="1">
      <c r="A1580" s="6" t="n">
        <v>45181</v>
      </c>
      <c r="B1580" s="1" t="inlineStr">
        <is>
          <t>ORG_1369</t>
        </is>
      </c>
      <c r="C1580" s="1" t="b">
        <v>1</v>
      </c>
      <c r="D1580" s="1" t="inlineStr">
        <is>
          <t>Docendum®</t>
        </is>
      </c>
      <c r="E1580" s="10" t="inlineStr">
        <is>
          <t>www.docendum.it</t>
        </is>
      </c>
      <c r="F1580" t="inlineStr">
        <is>
          <t>docendum.it</t>
        </is>
      </c>
      <c r="G1580" s="1" t="inlineStr">
        <is>
          <t>Docendum is the Italian leader in coding, robotics and digital citizenship training in schools.</t>
        </is>
      </c>
      <c r="H1580" s="1" t="inlineStr">
        <is>
          <t>EdTech Italia</t>
        </is>
      </c>
      <c r="I1580" s="1" t="n"/>
      <c r="J1580" s="1" t="inlineStr">
        <is>
          <t>Roma</t>
        </is>
      </c>
      <c r="K1580" t="inlineStr">
        <is>
          <t>Roma</t>
        </is>
      </c>
      <c r="L1580" t="inlineStr">
        <is>
          <t>Roma, Italy</t>
        </is>
      </c>
      <c r="M1580" t="n">
        <v>41.8933203</v>
      </c>
      <c r="N1580" t="n">
        <v>12.4829321</v>
      </c>
      <c r="O1580" s="1" t="inlineStr">
        <is>
          <t>Italy</t>
        </is>
      </c>
      <c r="P1580" s="1" t="inlineStr">
        <is>
          <t>Italy</t>
        </is>
      </c>
      <c r="Q1580" s="1" t="inlineStr">
        <is>
          <t>0 to 10</t>
        </is>
      </c>
      <c r="R1580" t="inlineStr">
        <is>
          <t>Micro</t>
        </is>
      </c>
      <c r="S1580" s="1" t="inlineStr">
        <is>
          <t>Business to Business, Business to Consumer</t>
        </is>
      </c>
      <c r="T1580" s="1" t="inlineStr">
        <is>
          <t>Primary Education, Secondary Education, Lifelong learning/Adult education</t>
        </is>
      </c>
      <c r="U1580" s="1" t="inlineStr">
        <is>
          <t>System/Administrative, Student interfacing, Teacher interfacing</t>
        </is>
      </c>
      <c r="V1580" s="10" t="inlineStr">
        <is>
          <t>Coding in schools</t>
        </is>
      </c>
      <c r="W1580" s="1" t="inlineStr">
        <is>
          <t>We teach coding in Italian schools. With more than 15,000 pupils trained in coding, we are the industry leader.</t>
        </is>
      </c>
      <c r="X1580" s="10" t="inlineStr">
        <is>
          <t>https://drive.google.com/uc?export=view&amp;id=1ebK1zFh7dTJzTbCVy3VhL6rj5HU7Vo5r</t>
        </is>
      </c>
      <c r="Y1580" t="inlineStr">
        <is>
          <t>https://drive.google.com/uc?export=view&amp;id=1ebK1zFh7dTJzTbCVy3VhL6rj5HU7Vo5r</t>
        </is>
      </c>
      <c r="Z1580" s="1" t="inlineStr">
        <is>
          <t>https://drive.google.com/uc?export=view&amp;id=1ebK1zFh7dTJzTbCVy3VhL6rj5HU7Vo5r</t>
        </is>
      </c>
      <c r="AA1580" s="1" t="inlineStr">
        <is>
          <t>Unverified</t>
        </is>
      </c>
      <c r="AB1580" s="1" t="n"/>
      <c r="AC1580" s="1" t="n"/>
      <c r="AD1580" s="10" t="n"/>
      <c r="AE1580" s="1" t="n"/>
      <c r="AF1580" t="inlineStr">
        <is>
          <t>Yes</t>
        </is>
      </c>
      <c r="AG1580" t="inlineStr">
        <is>
          <t>https://www.instagram.com/docendum/</t>
        </is>
      </c>
      <c r="AH1580" t="inlineStr">
        <is>
          <t>Docendum srl</t>
        </is>
      </c>
      <c r="AI1580" t="inlineStr">
        <is>
          <t>https://www.linkedin.com/company/10153088/</t>
        </is>
      </c>
    </row>
    <row r="1581" ht="12.5" customHeight="1">
      <c r="A1581" s="6" t="n">
        <v>45181</v>
      </c>
      <c r="B1581" s="1" t="inlineStr">
        <is>
          <t>ORG_1511</t>
        </is>
      </c>
      <c r="C1581" s="1" t="b">
        <v>1</v>
      </c>
      <c r="D1581" s="1" t="inlineStr">
        <is>
          <t>Escuelab</t>
        </is>
      </c>
      <c r="E1581" s="10" t="inlineStr">
        <is>
          <t>www.escuelab.es</t>
        </is>
      </c>
      <c r="F1581" t="inlineStr">
        <is>
          <t>escuelab.es</t>
        </is>
      </c>
      <c r="G1581" s="1" t="inlineStr">
        <is>
          <t>Escuelab is a social business that democratizes access to a hands-on, interactive STEAM education developing skills for the future in children regardless of their socio-economic situation, both through direct activities and by online teacher-training.</t>
        </is>
      </c>
      <c r="H1581" s="1" t="inlineStr">
        <is>
          <t>SEK Lab</t>
        </is>
      </c>
      <c r="I1581" s="1" t="n"/>
      <c r="J1581" s="1" t="inlineStr">
        <is>
          <t>Madrid</t>
        </is>
      </c>
      <c r="K1581" t="inlineStr">
        <is>
          <t>Madrid</t>
        </is>
      </c>
      <c r="L1581" t="inlineStr">
        <is>
          <t>Madrid, Spain</t>
        </is>
      </c>
      <c r="M1581" t="n">
        <v>40.416782</v>
      </c>
      <c r="N1581" t="n">
        <v>-3.703507</v>
      </c>
      <c r="O1581" s="1" t="inlineStr">
        <is>
          <t>Spain</t>
        </is>
      </c>
      <c r="P1581" s="1" t="inlineStr">
        <is>
          <t>Spain</t>
        </is>
      </c>
      <c r="Q1581" s="1" t="inlineStr">
        <is>
          <t>0 to 10</t>
        </is>
      </c>
      <c r="R1581" t="inlineStr">
        <is>
          <t>Micro</t>
        </is>
      </c>
      <c r="S1581" s="1" t="inlineStr">
        <is>
          <t>Business to Business, Business to Consumer</t>
        </is>
      </c>
      <c r="T1581" s="1" t="inlineStr">
        <is>
          <t>Early childhood development (0-5 years), Primary Education</t>
        </is>
      </c>
      <c r="U1581" s="1" t="inlineStr">
        <is>
          <t>System/Administrative, Student interfacing, Teacher interfacing</t>
        </is>
      </c>
      <c r="V1581" s="10" t="inlineStr">
        <is>
          <t>Escuelab Platform</t>
        </is>
      </c>
      <c r="W1581" s="10" t="inlineStr">
        <is>
          <t>Escuelab is a social enterprise that democratizes access to practical, interactive science education, fostering STEM vocations and skills for the future amongst 4-14 year-olds. We have designed a methodology based on neuro-education research. Since 2015 we apply it in-person activities with children and teachers. In 2018 we started packaging our materials into an online platform for primary school teachers, who multiply the impact of our work by using it in the classroom, potentially reaching all schools with internet access in the world. W also used it directly with students during remote learning in 2020.  
We adjust our prizing policies to the socio-economic level of attending students, with a scholarship scheme for students at risk of socio-economic vulnerability to attend our programs free of cost. We sell our services to private schools and the public school administration, companies interested in improving employee work-life balance, and individual parents and teachers.</t>
        </is>
      </c>
      <c r="X1581" s="10" t="inlineStr">
        <is>
          <t>https://drive.google.com/uc?export=view&amp;id=18WlyZcBQJkaprvVmBc9z-tIkxQT5m6QK</t>
        </is>
      </c>
      <c r="Y1581" t="inlineStr">
        <is>
          <t>https://drive.google.com/uc?export=view&amp;id=18WlyZcBQJkaprvVmBc9z-tIkxQT5m6QK</t>
        </is>
      </c>
      <c r="Z1581" s="1" t="inlineStr">
        <is>
          <t>https://drive.google.com/uc?export=view&amp;id=18WlyZcBQJkaprvVmBc9z-tIkxQT5m6QK</t>
        </is>
      </c>
      <c r="AA1581" s="1" t="inlineStr">
        <is>
          <t>Unverified</t>
        </is>
      </c>
      <c r="AB1581" s="1" t="n"/>
      <c r="AC1581" s="1" t="n"/>
      <c r="AD1581" s="10" t="n"/>
      <c r="AE1581" s="1" t="n"/>
      <c r="AF1581" t="inlineStr">
        <is>
          <t>Yes</t>
        </is>
      </c>
      <c r="AG1581" t="inlineStr">
        <is>
          <t>https://instagram.com/escuelab.innov.educ</t>
        </is>
      </c>
      <c r="AH1581" t="inlineStr">
        <is>
          <t>https://twitter.com/EscuelabMadrid</t>
        </is>
      </c>
      <c r="AI1581" t="inlineStr">
        <is>
          <t>https://www.linkedin.com/company/escuelab</t>
        </is>
      </c>
    </row>
    <row r="1582" ht="12.5" customHeight="1">
      <c r="A1582" s="6" t="n">
        <v>45181</v>
      </c>
      <c r="B1582" s="1" t="inlineStr">
        <is>
          <t>ORG_1550</t>
        </is>
      </c>
      <c r="C1582" s="1" t="b">
        <v>1</v>
      </c>
      <c r="D1582" s="1" t="inlineStr">
        <is>
          <t>Fabula Games</t>
        </is>
      </c>
      <c r="E1582" s="10" t="inlineStr">
        <is>
          <t>www.fabula-games.de</t>
        </is>
      </c>
      <c r="F1582" t="inlineStr">
        <is>
          <t>fabula-games.de</t>
        </is>
      </c>
      <c r="G1582" s="1" t="inlineStr">
        <is>
          <t>Fabula Game is expert in Serious Games and Gamification. That’s why we focus exclusively on making digital training interactive, motivating and playful — and significantly more effective. For you. For your employees. For your success.
Whether you need a ready-made Serious Game or one especially designed for your needs: we cover the whole range.</t>
        </is>
      </c>
      <c r="H1582" s="1" t="inlineStr">
        <is>
          <t>Swiss EdTech Collider</t>
        </is>
      </c>
      <c r="I1582" s="1" t="n"/>
      <c r="J1582" s="1" t="inlineStr">
        <is>
          <t>Dortmund</t>
        </is>
      </c>
      <c r="K1582" t="inlineStr">
        <is>
          <t>Dortmund</t>
        </is>
      </c>
      <c r="L1582" t="inlineStr">
        <is>
          <t>Dortmund, Germany</t>
        </is>
      </c>
      <c r="M1582" t="n">
        <v>51.5142273</v>
      </c>
      <c r="N1582" t="n">
        <v>7.4652789</v>
      </c>
      <c r="O1582" s="1" t="inlineStr">
        <is>
          <t>Germany</t>
        </is>
      </c>
      <c r="P1582" s="1" t="inlineStr">
        <is>
          <t>Austria, Germany, Switzerland</t>
        </is>
      </c>
      <c r="Q1582" s="1" t="inlineStr">
        <is>
          <t>0 to 10</t>
        </is>
      </c>
      <c r="R1582" t="inlineStr">
        <is>
          <t>Micro</t>
        </is>
      </c>
      <c r="S1582" s="1" t="inlineStr">
        <is>
          <t>Business to Business, Business to Consumer</t>
        </is>
      </c>
      <c r="T1582" s="1" t="inlineStr">
        <is>
          <t>Corporate Training</t>
        </is>
      </c>
      <c r="U1582" s="1" t="inlineStr">
        <is>
          <t>Student interfacing, System/Administrative</t>
        </is>
      </c>
      <c r="V1582" s="1" t="inlineStr">
        <is>
          <t>Individual Serious Games</t>
        </is>
      </c>
      <c r="W1582" s="1" t="inlineStr">
        <is>
          <t>We start from your needs, your contents to suggest a Game Design. If this proposal suits you, the game will be developed interactively with you, so that when the Serious Game is delivered, it perfectly meets your expectations and those of the users.</t>
        </is>
      </c>
      <c r="X1582" s="1" t="inlineStr">
        <is>
          <t>Univseral Games</t>
        </is>
      </c>
      <c r="Y1582" t="inlineStr">
        <is>
          <t>Our Universal Games are ready-made trainings that you can use immediately. Or we can adapt their content or look &amp; feel at your request. The advantage: they can be licensed at a competitive price.
This ensures that you also benefit from the advantages of game-based learning — and we don’t have to develop your own individual game.</t>
        </is>
      </c>
      <c r="Z1582" s="1" t="inlineStr">
        <is>
          <t>https://drive.google.com/uc?export=view&amp;id=1cFXdTTOM9S5GxHNs3gjwJhZEFtFCXz7A</t>
        </is>
      </c>
      <c r="AA1582" s="1" t="inlineStr">
        <is>
          <t>Unverified</t>
        </is>
      </c>
      <c r="AB1582" s="1" t="n"/>
      <c r="AC1582" s="1" t="n"/>
      <c r="AD1582" s="10" t="n"/>
      <c r="AE1582" s="1" t="n"/>
      <c r="AF1582" s="1" t="inlineStr">
        <is>
          <t>No</t>
        </is>
      </c>
      <c r="AG1582" s="1" t="n"/>
      <c r="AH1582" s="1" t="n"/>
    </row>
    <row r="1583" ht="12.5" customHeight="1">
      <c r="A1583" s="6" t="n">
        <v>45181</v>
      </c>
      <c r="B1583" s="1" t="inlineStr">
        <is>
          <t>ORG_1555</t>
        </is>
      </c>
      <c r="C1583" s="1" t="b">
        <v>1</v>
      </c>
      <c r="D1583" s="1" t="inlineStr">
        <is>
          <t>feamzy</t>
        </is>
      </c>
      <c r="E1583" s="10" t="inlineStr">
        <is>
          <t>https://www.feamzy.com/</t>
        </is>
      </c>
      <c r="F1583" t="inlineStr">
        <is>
          <t>feamzy.com</t>
        </is>
      </c>
      <c r="G1583" s="1" t="inlineStr">
        <is>
          <t>feamzy is an inclusive and innovative social network designed not only for school parents but also for parent-teacher associations (PTAs). This mobile application facilitates seamless communication between parents within the same class, as well as PTA members, allowing them to quickly and conveniently exchange information such as homework, event updates, and course details, all while safeguarding their personal contact information.
Moreover, feamzy extends its services to PTAs by providing them with exclusive access to a wealth of complimentary resources directly within the application. These resources have been specifically tailored to assist PTAs in optimizing their collective parent management. Through Feamzy, PTAs can take advantage of a shared calendar, a built-in chat function, and tools for requesting and sharing important documents, thereby enhancing overall communication and coordination amongst parents and PTA members alike</t>
        </is>
      </c>
      <c r="H1583" s="1" t="inlineStr">
        <is>
          <t>EdTech France</t>
        </is>
      </c>
      <c r="I1583" s="1" t="inlineStr">
        <is>
          <t>French</t>
        </is>
      </c>
      <c r="J1583" s="1" t="inlineStr">
        <is>
          <t>Paris</t>
        </is>
      </c>
      <c r="K1583" t="inlineStr">
        <is>
          <t>Paris</t>
        </is>
      </c>
      <c r="L1583" t="inlineStr">
        <is>
          <t>Paris, France</t>
        </is>
      </c>
      <c r="M1583" t="n">
        <v>48.8534951</v>
      </c>
      <c r="N1583" t="n">
        <v>2.3483915</v>
      </c>
      <c r="O1583" s="1" t="inlineStr">
        <is>
          <t>France</t>
        </is>
      </c>
      <c r="P1583" s="1" t="inlineStr">
        <is>
          <t>France</t>
        </is>
      </c>
      <c r="Q1583" s="1" t="inlineStr">
        <is>
          <t>3 to 5</t>
        </is>
      </c>
      <c r="R1583" t="inlineStr">
        <is>
          <t>Micro</t>
        </is>
      </c>
      <c r="S1583" s="1" t="inlineStr">
        <is>
          <t>Business to Business, Business to Consumer</t>
        </is>
      </c>
      <c r="T1583" s="1" t="inlineStr">
        <is>
          <t>Early childhood development (0-5 years), Primary Education, Secondary Education</t>
        </is>
      </c>
      <c r="U1583" s="1" t="inlineStr">
        <is>
          <t>System/Administrative, Teacher interfacing</t>
        </is>
      </c>
      <c r="V1583" s="10" t="inlineStr">
        <is>
          <t>feamzy</t>
        </is>
      </c>
      <c r="W1583" s="10" t="inlineStr">
        <is>
          <t>The free mobile application Feamzy is the best alternative to parent WhatsApp groups. Feamzy prioritizes data privacy. Parents can interact with other class parents without sharing their phone numbers or email addresses.
With Feamzy, they can exchange important information necessary for their children's education. They have access to:
A class chat moderated by all the parents in the class.
A shared calendar.
Features for sharing and requesting information.
The ability to post urgent updates to notify parents in case of emergencies.
Access to educational content, including replays of Feamzy webinars.</t>
        </is>
      </c>
      <c r="X1583" s="10" t="inlineStr">
        <is>
          <t>feamzy APE</t>
        </is>
      </c>
      <c r="Y1583" t="inlineStr">
        <is>
          <t>The Feamzy APE application provides all Parent-Teacher Associations (PTAs) with a fast and efficient means of communicating with all parents within the school. The information transmitted by the PTA through Feamzy APE is delivered to the parents of the institution via the free mobile application Feamzy, without parents having to share their contact details.
This streamlining of communication allows PTAs to save valuable time and focus fully on their mission, which includes advocating for students' interests, serving as intermediaries between the school and families to inform parents, and bringing together the educational community for collaborative and friendly events within the school.</t>
        </is>
      </c>
      <c r="Z1583" s="1" t="inlineStr">
        <is>
          <t>https://drive.google.com/uc?export=view&amp;id=1-VbH4MZSNFHc5B_dXwRZ8HexdC-Kvo0X</t>
        </is>
      </c>
      <c r="AA1583" s="1" t="inlineStr">
        <is>
          <t>Unverified</t>
        </is>
      </c>
      <c r="AB1583" s="1" t="n"/>
      <c r="AC1583" s="1" t="n"/>
      <c r="AD1583" s="10" t="n"/>
      <c r="AE1583" s="1" t="n"/>
      <c r="AF1583" s="1" t="inlineStr">
        <is>
          <t>Yes</t>
        </is>
      </c>
      <c r="AG1583" s="1" t="inlineStr">
        <is>
          <t>https://www.instagram.com/feamzy_application/</t>
        </is>
      </c>
      <c r="AH1583" s="1" t="inlineStr">
        <is>
          <t>https://twitter.com/MarieLewin_18</t>
        </is>
      </c>
      <c r="AI1583" t="inlineStr">
        <is>
          <t>https://www.linkedin.com/company/34700226</t>
        </is>
      </c>
    </row>
    <row r="1584" ht="12.5" customHeight="1">
      <c r="A1584" s="6" t="n">
        <v>45181</v>
      </c>
      <c r="B1584" s="1" t="inlineStr">
        <is>
          <t>ORG_1567</t>
        </is>
      </c>
      <c r="C1584" s="1" t="b">
        <v>1</v>
      </c>
      <c r="D1584" s="1" t="inlineStr">
        <is>
          <t>Flowchase</t>
        </is>
      </c>
      <c r="E1584" s="10" t="inlineStr">
        <is>
          <t>https://flowchase.app/</t>
        </is>
      </c>
      <c r="F1584" t="inlineStr">
        <is>
          <t>flowchase.app</t>
        </is>
      </c>
      <c r="G1584" s="1" t="inlineStr">
        <is>
          <t>Flowchase is a tool that helps higher education institutions maximise their graduates' employability.
With our mobile app and textbook, English teachers personalize the way they teach English pronunciation and spoken skills to their students thanks to voice technology.
Our technology analyzes their voice, detects errors, and gives them personalized feedback.
We are a spin-off company of the UCLouvain university in Belgium and we continue to collaborate closely with universities to develop our tool.</t>
        </is>
      </c>
      <c r="H1584" s="1" t="inlineStr">
        <is>
          <t>EdTech France, edtechstation</t>
        </is>
      </c>
      <c r="I1584" s="1" t="inlineStr">
        <is>
          <t>English</t>
        </is>
      </c>
      <c r="J1584" s="1" t="inlineStr">
        <is>
          <t>Louvain-La-Neuve</t>
        </is>
      </c>
      <c r="K1584" t="inlineStr">
        <is>
          <t>Louvain-La-Neuve</t>
        </is>
      </c>
      <c r="L1584" t="inlineStr">
        <is>
          <t>Louvain-La-Neuve, Belgium</t>
        </is>
      </c>
      <c r="M1584" t="n">
        <v>50.6740673</v>
      </c>
      <c r="N1584" t="n">
        <v>4.6138095</v>
      </c>
      <c r="O1584" s="1" t="inlineStr">
        <is>
          <t>Belgium</t>
        </is>
      </c>
      <c r="P1584" s="1" t="inlineStr">
        <is>
          <t>Belgium, France, Spain</t>
        </is>
      </c>
      <c r="Q1584" s="1" t="inlineStr">
        <is>
          <t>6 to 10</t>
        </is>
      </c>
      <c r="R1584" t="inlineStr">
        <is>
          <t>Micro</t>
        </is>
      </c>
      <c r="S1584" s="1" t="inlineStr">
        <is>
          <t>Business to Business, Business to Consumer, Business to Government</t>
        </is>
      </c>
      <c r="T1584" s="1" t="inlineStr">
        <is>
          <t>Corporate Training, Higher Education</t>
        </is>
      </c>
      <c r="U1584" s="1" t="inlineStr">
        <is>
          <t>Student interfacing, Teacher interfacing, System/Administrative</t>
        </is>
      </c>
      <c r="V1584" s="10" t="inlineStr">
        <is>
          <t>Flowchase</t>
        </is>
      </c>
      <c r="W1584" s="1" t="inlineStr">
        <is>
          <t>Flowchase is a mobile app designed to focus on English spoken skills with AI.
We have courses for Businesses for their employees in different industries. We create personalised content for their onboarding experience and various roles.
Several courses are available to students and teachers in Higher Education: General English (different levels), Business English, English for STEM, Legal English, English for Marketing and Sales, and professional skills like presentation and interview preparation.
We designed our service with specialists and teachers and based on our scientific research.</t>
        </is>
      </c>
      <c r="X1584" s="10" t="inlineStr">
        <is>
          <t>https://drive.google.com/uc?export=view&amp;id=1soQN9VQYUkJcmbEJUpE08ojeIlslJ1rL</t>
        </is>
      </c>
      <c r="Y1584" t="inlineStr">
        <is>
          <t>https://drive.google.com/uc?export=view&amp;id=1soQN9VQYUkJcmbEJUpE08ojeIlslJ1rL</t>
        </is>
      </c>
      <c r="Z1584" s="1" t="inlineStr">
        <is>
          <t>https://drive.google.com/uc?export=view&amp;id=1soQN9VQYUkJcmbEJUpE08ojeIlslJ1rL</t>
        </is>
      </c>
      <c r="AA1584" s="1" t="inlineStr">
        <is>
          <t>Unverified</t>
        </is>
      </c>
      <c r="AB1584" s="1" t="n"/>
      <c r="AC1584" s="1" t="n"/>
      <c r="AD1584" s="10" t="n"/>
      <c r="AE1584" s="1" t="n"/>
      <c r="AF1584" s="1" t="inlineStr">
        <is>
          <t>Yes</t>
        </is>
      </c>
      <c r="AG1584" s="1" t="inlineStr">
        <is>
          <t>https://www.instagram.com/flowchase.app/</t>
        </is>
      </c>
      <c r="AH1584" s="1" t="inlineStr">
        <is>
          <t>https://www.linkedin.com/company/flowchase/</t>
        </is>
      </c>
      <c r="AI1584" s="1" t="inlineStr">
        <is>
          <t>https://www.linkedin.com/company/flowchase/</t>
        </is>
      </c>
      <c r="AJ1584" s="1" t="n"/>
    </row>
    <row r="1585" ht="12.5" customHeight="1">
      <c r="A1585" s="6" t="n">
        <v>45181</v>
      </c>
      <c r="B1585" s="1" t="inlineStr">
        <is>
          <t>ORG_1619</t>
        </is>
      </c>
      <c r="C1585" s="1" t="b">
        <v>1</v>
      </c>
      <c r="D1585" s="1" t="inlineStr">
        <is>
          <t>Get More Brain</t>
        </is>
      </c>
      <c r="E1585" s="10" t="inlineStr">
        <is>
          <t>https://www.getmorebrain.com/</t>
        </is>
      </c>
      <c r="F1585" t="inlineStr">
        <is>
          <t>getmorebrain.com</t>
        </is>
      </c>
      <c r="G1585" s="1" t="inlineStr">
        <is>
          <t>Get More Brain Ltd is a startup based in Zurich/Switzerland. It's our goal to make learning better by transforming the current educational industry and providing them a path to a successful digital future.</t>
        </is>
      </c>
      <c r="H1585" s="1" t="inlineStr">
        <is>
          <t>Swiss EdTech Collider</t>
        </is>
      </c>
      <c r="I1585" s="1" t="n"/>
      <c r="J1585" s="1" t="inlineStr">
        <is>
          <t>Zurich</t>
        </is>
      </c>
      <c r="K1585" t="inlineStr">
        <is>
          <t>Zurich</t>
        </is>
      </c>
      <c r="L1585" t="inlineStr">
        <is>
          <t>Zurich, Switzerland</t>
        </is>
      </c>
      <c r="M1585" t="n">
        <v>47.3744489</v>
      </c>
      <c r="N1585" t="n">
        <v>8.5410422</v>
      </c>
      <c r="O1585" s="1" t="inlineStr">
        <is>
          <t>Switzerland</t>
        </is>
      </c>
      <c r="P1585" s="1" t="inlineStr">
        <is>
          <t>Belgium, Denmark, Finland, France, Germany, Iceland, Ireland, Liechtenstein, Luxembourg, Monaco, Netherlands, Norway, Romania, Spain, Sweden, Switzerland, United Kingdom</t>
        </is>
      </c>
      <c r="Q1585" s="1" t="inlineStr">
        <is>
          <t>11 to 50</t>
        </is>
      </c>
      <c r="R1585" t="inlineStr">
        <is>
          <t>Small</t>
        </is>
      </c>
      <c r="S1585" s="1" t="inlineStr">
        <is>
          <t>Business to Business, Business to Consumer, Business to Government, Business to Schools</t>
        </is>
      </c>
      <c r="T1585" s="1" t="inlineStr">
        <is>
          <t>Higher Education, Corporate Training, Lifelong learning/Adult education</t>
        </is>
      </c>
      <c r="U1585" s="1" t="inlineStr">
        <is>
          <t>Teacher interfacing, Student interfacing, System/Administrative</t>
        </is>
      </c>
      <c r="V1585" s="10" t="inlineStr">
        <is>
          <t>Get More Brain</t>
        </is>
      </c>
      <c r="W1585" s="1" t="inlineStr">
        <is>
          <t>Get More Brain is a messenger-based e-learning platform.
Learners and teachers are empowered to immerse themselves
in the new world of learning: More personal, adaptive, nugget-based, and more fun.
Learning materials become interactive and provide instant, smart feedback. Learners are motivated to interact with other humans and AI-bots ... all that on any smartphone in the world.</t>
        </is>
      </c>
      <c r="X1585" s="10" t="inlineStr">
        <is>
          <t>https://drive.google.com/uc?export=view&amp;id=1kn21N-Bw4ty4pT6Ke9ZK4TNYVtVxdbqp</t>
        </is>
      </c>
      <c r="Y1585" t="inlineStr">
        <is>
          <t>https://drive.google.com/uc?export=view&amp;id=1kn21N-Bw4ty4pT6Ke9ZK4TNYVtVxdbqp</t>
        </is>
      </c>
      <c r="Z1585" s="1" t="inlineStr">
        <is>
          <t>https://drive.google.com/uc?export=view&amp;id=1kn21N-Bw4ty4pT6Ke9ZK4TNYVtVxdbqp</t>
        </is>
      </c>
      <c r="AA1585" s="1" t="inlineStr">
        <is>
          <t>Unverified</t>
        </is>
      </c>
      <c r="AB1585" s="1" t="n"/>
      <c r="AC1585" s="1" t="n"/>
      <c r="AD1585" s="10" t="n"/>
      <c r="AE1585" s="1" t="n"/>
      <c r="AF1585" s="1" t="inlineStr">
        <is>
          <t>Yes</t>
        </is>
      </c>
      <c r="AG1585" s="1" t="inlineStr">
        <is>
          <t>https://www.instagram.com/getmorebraindevs</t>
        </is>
      </c>
      <c r="AH1585" s="1" t="inlineStr">
        <is>
          <t>Get More Brain AG</t>
        </is>
      </c>
      <c r="AI1585" s="1" t="inlineStr">
        <is>
          <t>https://www.linkedin.com/company/getmorebrain</t>
        </is>
      </c>
      <c r="AJ1585" s="1" t="n"/>
    </row>
    <row r="1586" ht="12.5" customHeight="1">
      <c r="A1586" s="6" t="n">
        <v>45181</v>
      </c>
      <c r="B1586" s="1" t="inlineStr">
        <is>
          <t>ORG_1636</t>
        </is>
      </c>
      <c r="C1586" s="1" t="b">
        <v>1</v>
      </c>
      <c r="D1586" s="1" t="inlineStr">
        <is>
          <t>GoStudent</t>
        </is>
      </c>
      <c r="E1586" s="10" t="inlineStr">
        <is>
          <t>www.gostudent.org</t>
        </is>
      </c>
      <c r="F1586" t="inlineStr">
        <is>
          <t>gostudent.org</t>
        </is>
      </c>
      <c r="G1586" s="1" t="inlineStr">
        <is>
          <t>GoStudent is one of the world’s leading tutoring providers and education platforms. Founded in Vienna, Austria, in 2016 by Felix Ohswald (CEO) and Gregor Müller (COO), the venture-backed unicorn has raised more than €675m from investors including Prosus, Left Lane Capital and SoftBank Vision Fund 2. Believing the future of education is hybrid, GoStudent has expanded its offering over the past two years with the acquisition of three EdTech companies - Seneca Learning, Tus Media and Fox Education - and offline tutoring business, Studienkreis. Together, these companies aim to unite the best of the online and offline world to unlock every child’s potential. Across its portfolio, GoStudent employs more than 1,500 staff and supports more than 11 million families each month.</t>
        </is>
      </c>
      <c r="H1586" s="1" t="inlineStr">
        <is>
          <t>EdTech Austria</t>
        </is>
      </c>
      <c r="I1586" s="1" t="n"/>
      <c r="J1586" s="1" t="inlineStr">
        <is>
          <t>Vienna</t>
        </is>
      </c>
      <c r="K1586" t="inlineStr">
        <is>
          <t>Vienna</t>
        </is>
      </c>
      <c r="L1586" t="inlineStr">
        <is>
          <t>Vienna, Austria</t>
        </is>
      </c>
      <c r="M1586" t="n">
        <v>48.2083537</v>
      </c>
      <c r="N1586" t="n">
        <v>16.3725042</v>
      </c>
      <c r="O1586" s="1" t="inlineStr">
        <is>
          <t>Austria</t>
        </is>
      </c>
      <c r="P1586" s="1" t="inlineStr">
        <is>
          <t>Austria, Belgium, France, Germany, Greece, Ireland, Italy, Luxembourg, Netherlands, Spain, Switzerland, Turkey, United Kingdom</t>
        </is>
      </c>
      <c r="Q1586" s="1" t="inlineStr">
        <is>
          <t>500+</t>
        </is>
      </c>
      <c r="R1586" t="inlineStr">
        <is>
          <t>Large</t>
        </is>
      </c>
      <c r="S1586" s="1" t="inlineStr">
        <is>
          <t>Business to Business, Business to Consumer, Business to Government, Business to Schools</t>
        </is>
      </c>
      <c r="T1586" s="1" t="inlineStr">
        <is>
          <t>Primary Education</t>
        </is>
      </c>
      <c r="U1586" s="1" t="inlineStr">
        <is>
          <t>System/Administrative, Student interfacing</t>
        </is>
      </c>
      <c r="V1586" s="10" t="inlineStr">
        <is>
          <t>GoStudent</t>
        </is>
      </c>
      <c r="W1586" s="10" t="inlineStr">
        <is>
          <t>GoStudent facilitates 1:1 video-based tuition, with lessons taking place within the company’s custom-made virtual classroom, GoClass. Aimed at students aged 6-18, GoStudent offers personalised support for more than 30 school subjects. Believing the right student-tutor match is crucial to academic success, GoStudent pairs tutors with students based on their learning style and needs.
Lessons are booked via the GoStudent platform. This can be accessed using a computer (Web App) or a mobile device (Mobile App). Students and tutors interact live in GoClass, which features integrated functions such as a whiteboard and the option to share a screen and edit documents together. Documents and work in progress can be saved to each child’s virtual workspace to be revisited at a later date.
Currently, more than 23,000 self-employed tutors offer their services via GoClass. In order to offer their services via the GoStudent platform, tutors undergo a rigorous selection process, involving a subject matter test, demonstration of teaching ability and background check.</t>
        </is>
      </c>
      <c r="X1586" s="10" t="inlineStr">
        <is>
          <t>https://drive.google.com/uc?export=view&amp;id=1ZcMYf4OPYAAb7Su3QzoA3S63ejEFsWjw</t>
        </is>
      </c>
      <c r="Y1586" t="inlineStr">
        <is>
          <t>https://drive.google.com/uc?export=view&amp;id=1ZcMYf4OPYAAb7Su3QzoA3S63ejEFsWjw</t>
        </is>
      </c>
      <c r="Z1586" s="1" t="inlineStr">
        <is>
          <t>https://drive.google.com/uc?export=view&amp;id=1ZcMYf4OPYAAb7Su3QzoA3S63ejEFsWjw</t>
        </is>
      </c>
      <c r="AA1586" s="1" t="inlineStr">
        <is>
          <t>Unverified</t>
        </is>
      </c>
      <c r="AB1586" s="1" t="n"/>
      <c r="AC1586" s="1" t="n"/>
      <c r="AD1586" s="10" t="n"/>
      <c r="AE1586" s="1" t="n"/>
      <c r="AF1586" s="1" t="inlineStr">
        <is>
          <t>Yes</t>
        </is>
      </c>
      <c r="AG1586" s="1" t="inlineStr">
        <is>
          <t>https://www.instagram.com/gostudent_life</t>
        </is>
      </c>
      <c r="AH1586" s="1" t="inlineStr">
        <is>
          <t>https://twitter.com/gostudent1</t>
        </is>
      </c>
      <c r="AI1586" t="inlineStr">
        <is>
          <t>https://www.linkedin.com/company/gostudent-gmbh</t>
        </is>
      </c>
    </row>
    <row r="1587" ht="12.5" customHeight="1">
      <c r="A1587" s="6" t="n">
        <v>45181</v>
      </c>
      <c r="B1587" s="1" t="inlineStr">
        <is>
          <t>ORG_1656</t>
        </is>
      </c>
      <c r="C1587" s="1" t="b">
        <v>1</v>
      </c>
      <c r="D1587" s="1" t="inlineStr">
        <is>
          <t>HABILITATEM</t>
        </is>
      </c>
      <c r="E1587" s="10" t="inlineStr">
        <is>
          <t>https://habilitatem.com/</t>
        </is>
      </c>
      <c r="F1587" t="inlineStr">
        <is>
          <t>habilitatem.com</t>
        </is>
      </c>
      <c r="G1587" s="1" t="inlineStr">
        <is>
          <t>Our objective is to support higher education institutions in adopting competency-based approaches. The very strong alignment of strategic players in Europe on the importance of competency development to ensure employability supports our convictions.
We look to enhance the training offer of our clients by issuing an individualized competency passport for their learners. This passport summarizes the achievements of learners during the years. It presents the professional competencies, the soft-skills and the language skills they have acquired.
The purpose is to support students when looking to start their professional life thanks to a complete inventory of their competencies. This passport will help them to meet the expectations of our fast-changing society and those of companies and public organizations.</t>
        </is>
      </c>
      <c r="H1587" s="1" t="inlineStr">
        <is>
          <t>EdTech France</t>
        </is>
      </c>
      <c r="I1587" s="1" t="n"/>
      <c r="J1587" s="1" t="inlineStr">
        <is>
          <t>Paris</t>
        </is>
      </c>
      <c r="K1587" t="inlineStr">
        <is>
          <t>Paris</t>
        </is>
      </c>
      <c r="L1587" t="inlineStr">
        <is>
          <t>Paris, France</t>
        </is>
      </c>
      <c r="M1587" t="n">
        <v>48.8534951</v>
      </c>
      <c r="N1587" t="n">
        <v>2.3483915</v>
      </c>
      <c r="O1587" s="1" t="inlineStr">
        <is>
          <t>France</t>
        </is>
      </c>
      <c r="P1587" s="1" t="inlineStr">
        <is>
          <t>Denmark, France, Italy, Spain</t>
        </is>
      </c>
      <c r="Q1587" s="1" t="inlineStr">
        <is>
          <t>0 to 10</t>
        </is>
      </c>
      <c r="R1587" t="inlineStr">
        <is>
          <t>Micro</t>
        </is>
      </c>
      <c r="S1587" s="1" t="inlineStr">
        <is>
          <t>Business to Business, Business to Consumer, Business to Government, Business to Schools</t>
        </is>
      </c>
      <c r="T1587" s="1" t="inlineStr">
        <is>
          <t>Higher Education, Corporate Training, Lifelong learning/Adult education</t>
        </is>
      </c>
      <c r="U1587" s="1" t="inlineStr">
        <is>
          <t>Student interfacing, System/Administrative</t>
        </is>
      </c>
      <c r="V1587" s="1" t="inlineStr">
        <is>
          <t>HABILITATEM Competency Passeport</t>
        </is>
      </c>
      <c r="W1587" s="1" t="inlineStr">
        <is>
          <t>Our passport summarizes the achievements of learners during the years. It presents the professional competencies, the soft-skills and the language skills they have acquired.
The purpose is to support students when looking to start their professional life thanks to a complete inventory of their competencies. This passport will help them to meet the expectations of our fast-changing society and those of companies and public organizations.</t>
        </is>
      </c>
      <c r="X1587" s="1" t="inlineStr">
        <is>
          <t>https://drive.google.com/uc?export=view&amp;id=1AoAHbMKLdRaz2anYunxKy93W8ULZN3_x</t>
        </is>
      </c>
      <c r="Y1587" t="inlineStr">
        <is>
          <t>https://drive.google.com/uc?export=view&amp;id=1AoAHbMKLdRaz2anYunxKy93W8ULZN3_x</t>
        </is>
      </c>
      <c r="Z1587" s="1" t="inlineStr">
        <is>
          <t>https://drive.google.com/uc?export=view&amp;id=1AoAHbMKLdRaz2anYunxKy93W8ULZN3_x</t>
        </is>
      </c>
      <c r="AA1587" s="1" t="inlineStr">
        <is>
          <t>Unverified</t>
        </is>
      </c>
      <c r="AB1587" s="1" t="n"/>
      <c r="AC1587" s="1" t="n"/>
      <c r="AD1587" s="10" t="n"/>
      <c r="AE1587" s="1" t="n"/>
      <c r="AF1587" s="1" t="inlineStr">
        <is>
          <t>No</t>
        </is>
      </c>
      <c r="AG1587" s="1" t="n"/>
      <c r="AH1587" s="1" t="inlineStr">
        <is>
          <t>n/a</t>
        </is>
      </c>
      <c r="AI1587" s="1" t="inlineStr">
        <is>
          <t>n/a</t>
        </is>
      </c>
    </row>
    <row r="1588" ht="12.5" customHeight="1">
      <c r="A1588" s="6" t="n">
        <v>45181</v>
      </c>
      <c r="B1588" s="1" t="inlineStr">
        <is>
          <t>ORG_1739</t>
        </is>
      </c>
      <c r="C1588" s="1" t="b">
        <v>1</v>
      </c>
      <c r="D1588" s="1" t="inlineStr">
        <is>
          <t>ISDI France</t>
        </is>
      </c>
      <c r="E1588" s="10" t="inlineStr">
        <is>
          <t>http://www.isdicrm.com/fr</t>
        </is>
      </c>
      <c r="F1588" t="inlineStr">
        <is>
          <t>isdicrm.com/fr</t>
        </is>
      </c>
      <c r="G1588" s="1" t="inlineStr">
        <is>
          <t>ISDI France has been founded as a Salesforce Authorized Training Provider, helping Salesforce as worldwide CRM leader to develop its ecosystem in France &amp; EMEA. Today, ISDI France is specialised in vocational training in the digital transformation tools &amp; cloud solutions, helping software vendors to skill up their partners and customers, supporting the job creation in their space and helping bridging the skills gap in the digital world.</t>
        </is>
      </c>
      <c r="H1588" s="1" t="inlineStr">
        <is>
          <t>EdTech France</t>
        </is>
      </c>
      <c r="I1588" s="1" t="n"/>
      <c r="J1588" s="1" t="inlineStr">
        <is>
          <t>Paris</t>
        </is>
      </c>
      <c r="K1588" t="inlineStr">
        <is>
          <t>Paris</t>
        </is>
      </c>
      <c r="L1588" t="inlineStr">
        <is>
          <t>Paris, France</t>
        </is>
      </c>
      <c r="M1588" t="n">
        <v>48.8534951</v>
      </c>
      <c r="N1588" t="n">
        <v>2.3483915</v>
      </c>
      <c r="O1588" s="1" t="inlineStr">
        <is>
          <t>France</t>
        </is>
      </c>
      <c r="P1588" s="1" t="inlineStr">
        <is>
          <t>Belgium, France, Luxembourg, Spain, Switzerland</t>
        </is>
      </c>
      <c r="Q1588" s="1" t="inlineStr">
        <is>
          <t>0 to 10</t>
        </is>
      </c>
      <c r="R1588" t="inlineStr">
        <is>
          <t>Micro</t>
        </is>
      </c>
      <c r="S1588" s="1" t="inlineStr">
        <is>
          <t>Business to Business, Business to Consumer, Business to Government, Business to Schools</t>
        </is>
      </c>
      <c r="T1588" s="1" t="inlineStr">
        <is>
          <t>Corporate Training, Lifelong learning/Adult education</t>
        </is>
      </c>
      <c r="U1588" s="1" t="inlineStr">
        <is>
          <t>Student interfacing, System/Administrative</t>
        </is>
      </c>
      <c r="V1588" s="1" t="inlineStr">
        <is>
          <t>Salesforce Official Training</t>
        </is>
      </c>
      <c r="W1588" s="1" t="inlineStr">
        <is>
          <t>Salesforce official trainings aiming at helping partners &amp; customer prepare for the certification exams, on all clouds, all solutions of Salesforce</t>
        </is>
      </c>
      <c r="X1588" s="10" t="inlineStr">
        <is>
          <t>Digital Transformation Courses</t>
        </is>
      </c>
      <c r="Y1588" t="inlineStr">
        <is>
          <t>Inspiration courses aiming at inspiring leaders &amp; managers in all digital transformation topics and challenges. Delivered 100% by professionals at strategic positions in the best companies in France.</t>
        </is>
      </c>
      <c r="Z1588" s="1" t="inlineStr">
        <is>
          <t>https://drive.google.com/uc?export=view&amp;id=15-1OvEuONOoqHE3fI56KXsvUB0R5503v</t>
        </is>
      </c>
      <c r="AA1588" s="1" t="inlineStr">
        <is>
          <t>Unverified</t>
        </is>
      </c>
      <c r="AB1588" s="1" t="n"/>
      <c r="AC1588" s="1" t="n"/>
      <c r="AD1588" s="10" t="n"/>
      <c r="AE1588" s="1" t="n"/>
      <c r="AF1588" s="1" t="inlineStr">
        <is>
          <t>Yes</t>
        </is>
      </c>
      <c r="AG1588" s="1" t="inlineStr">
        <is>
          <t>https://www.linkedin.com/company/19200104</t>
        </is>
      </c>
      <c r="AH1588" s="1" t="inlineStr">
        <is>
          <t>https://www.linkedin.com/company/19200104</t>
        </is>
      </c>
      <c r="AI1588" s="1" t="inlineStr">
        <is>
          <t>https://www.linkedin.com/company/19200104</t>
        </is>
      </c>
      <c r="AJ1588" s="1" t="n"/>
    </row>
    <row r="1589" ht="12.5" customHeight="1">
      <c r="A1589" s="6" t="n">
        <v>45181</v>
      </c>
      <c r="B1589" s="1" t="inlineStr">
        <is>
          <t>ORG_1755</t>
        </is>
      </c>
      <c r="C1589" s="1" t="b">
        <v>1</v>
      </c>
      <c r="D1589" s="1" t="inlineStr">
        <is>
          <t>Jeux&amp;Co</t>
        </is>
      </c>
      <c r="E1589" s="10" t="inlineStr">
        <is>
          <t>https://www.jeuxandco.com/</t>
        </is>
      </c>
      <c r="F1589" t="inlineStr">
        <is>
          <t>jeuxandco.com</t>
        </is>
      </c>
      <c r="G1589" s="1" t="inlineStr">
        <is>
          <t>With more than 1500 games for K12, 500 geographical games and 25 different ways to play, Jeux&amp;Co has been one of the French leaders in education technologies since 1998. 
History, Geography, Sciences, Foreign languages... Everything is made to learn while having fun!
With Jeux&amp;Co, there is something for everyone thanks to our BtoC and BtoB offers:
-Learnious Media: take advantage of a direct integration of our games on your website based on a plug-and-play model (for medias, In flight entertainment, In cruise entertainment...)
-Learnious Family: an innovative app for young students with inclusive educational games (DYS, ADHD), progress and scores tracking for an easy learning!
-Learnious Edu: thousands of games and content for teachers, classroom management tool, quiz builder and assessment automation.
-Geographic-games: one of the largest geographic gaming platforms in the world with a community of over a million members. Quizzes, location and map games or tournaments in more than 5 languages to know your geography at your fingertips.</t>
        </is>
      </c>
      <c r="H1589" s="1" t="inlineStr">
        <is>
          <t>I'm not part of any EdTech association</t>
        </is>
      </c>
      <c r="I1589" s="1" t="n"/>
      <c r="J1589" s="1" t="inlineStr">
        <is>
          <t>San Martino Di Lota</t>
        </is>
      </c>
      <c r="K1589" t="inlineStr">
        <is>
          <t>San Martino Di Lota</t>
        </is>
      </c>
      <c r="L1589" t="inlineStr">
        <is>
          <t>San Martino Di Lota, France</t>
        </is>
      </c>
      <c r="M1589" t="n">
        <v>42.7363431</v>
      </c>
      <c r="N1589" t="n">
        <v>9.4377499</v>
      </c>
      <c r="O1589" s="1" t="inlineStr">
        <is>
          <t>France</t>
        </is>
      </c>
      <c r="P1589" s="1" t="inlineStr">
        <is>
          <t>Austria, France, Germany, Italy, Spain, Switzerland, United Kingdom</t>
        </is>
      </c>
      <c r="Q1589" s="1" t="inlineStr">
        <is>
          <t>0 to 10</t>
        </is>
      </c>
      <c r="R1589" t="inlineStr">
        <is>
          <t>Micro</t>
        </is>
      </c>
      <c r="S1589" s="1" t="inlineStr">
        <is>
          <t>Business to Business, Business to Consumer, Business to Government, Business to Schools</t>
        </is>
      </c>
      <c r="T1589" s="1" t="inlineStr">
        <is>
          <t>Primary Education, Secondary Education</t>
        </is>
      </c>
      <c r="U1589" s="1" t="inlineStr">
        <is>
          <t>System/Administrative, Student interfacing, Teacher interfacing</t>
        </is>
      </c>
      <c r="V1589" s="1" t="n"/>
      <c r="W1589" s="1" t="inlineStr">
        <is>
          <t>https://drive.google.com/uc?export=view&amp;id=1VKsJ4X0o00-xlzLv84e1LgZxCKkWe_U3</t>
        </is>
      </c>
      <c r="X1589" s="1" t="inlineStr">
        <is>
          <t>https://drive.google.com/uc?export=view&amp;id=1VKsJ4X0o00-xlzLv84e1LgZxCKkWe_U3</t>
        </is>
      </c>
      <c r="Y1589" t="inlineStr">
        <is>
          <t>https://drive.google.com/uc?export=view&amp;id=1VKsJ4X0o00-xlzLv84e1LgZxCKkWe_U3</t>
        </is>
      </c>
      <c r="Z1589" s="1" t="inlineStr">
        <is>
          <t>https://drive.google.com/uc?export=view&amp;id=1VKsJ4X0o00-xlzLv84e1LgZxCKkWe_U3</t>
        </is>
      </c>
      <c r="AA1589" s="1" t="inlineStr">
        <is>
          <t>Unverified</t>
        </is>
      </c>
      <c r="AB1589" s="1" t="n"/>
      <c r="AC1589" s="1" t="n"/>
      <c r="AD1589" s="10" t="n"/>
      <c r="AE1589" s="1" t="n"/>
      <c r="AF1589" s="1" t="inlineStr">
        <is>
          <t>No</t>
        </is>
      </c>
      <c r="AG1589" s="1" t="n"/>
      <c r="AH1589" s="1" t="n"/>
      <c r="AI1589" s="1" t="n"/>
      <c r="AJ1589" s="1" t="n"/>
    </row>
    <row r="1590" ht="12.5" customHeight="1">
      <c r="A1590" s="6" t="n">
        <v>45181</v>
      </c>
      <c r="B1590" s="1" t="inlineStr">
        <is>
          <t>ORG_1761</t>
        </is>
      </c>
      <c r="C1590" s="1" t="b">
        <v>1</v>
      </c>
      <c r="D1590" s="1" t="inlineStr">
        <is>
          <t>KALÉA DIGITAL ET FORMATION</t>
        </is>
      </c>
      <c r="E1590" s="10" t="inlineStr">
        <is>
          <t>https://www.kalea-formation.com/</t>
        </is>
      </c>
      <c r="F1590" t="inlineStr">
        <is>
          <t>kalea-formation.com</t>
        </is>
      </c>
      <c r="G1590" s="1" t="inlineStr">
        <is>
          <t>Committed alongside insurance players by choice and conviction for 15 years and passionate about the transformations of the sector, we combine the best teaching techniques and innovative learning materials to meet your Business, HR and operational challenges.</t>
        </is>
      </c>
      <c r="H1590" s="1" t="inlineStr">
        <is>
          <t>EdTech France</t>
        </is>
      </c>
      <c r="I1590" s="1" t="n"/>
      <c r="J1590" s="1" t="inlineStr">
        <is>
          <t>Asnières Sur Seine</t>
        </is>
      </c>
      <c r="K1590" t="inlineStr">
        <is>
          <t>Asnières Sur Seine</t>
        </is>
      </c>
      <c r="L1590" t="inlineStr">
        <is>
          <t>Asnières Sur Seine, France</t>
        </is>
      </c>
      <c r="M1590" t="n">
        <v>48.9105948</v>
      </c>
      <c r="N1590" t="n">
        <v>2.2890454</v>
      </c>
      <c r="O1590" s="1" t="inlineStr">
        <is>
          <t>France</t>
        </is>
      </c>
      <c r="P1590" s="1" t="inlineStr">
        <is>
          <t>France, United Kingdom</t>
        </is>
      </c>
      <c r="Q1590" s="1" t="inlineStr">
        <is>
          <t>6 to 10</t>
        </is>
      </c>
      <c r="R1590" t="inlineStr">
        <is>
          <t>Micro</t>
        </is>
      </c>
      <c r="S1590" s="1" t="inlineStr">
        <is>
          <t>Business to Business, Business to Consumer, Business to Government, Business to Schools</t>
        </is>
      </c>
      <c r="T1590" s="1" t="inlineStr">
        <is>
          <t>Corporate Training</t>
        </is>
      </c>
      <c r="U1590" s="1" t="inlineStr">
        <is>
          <t>System/Administrative, Student interfacing</t>
        </is>
      </c>
      <c r="V1590" s="1" t="inlineStr">
        <is>
          <t>TAILOR-MADE TRAINING</t>
        </is>
      </c>
      <c r="W1590" s="1" t="inlineStr">
        <is>
          <t>Launch of new products, conquest of new markets, transformation of businesses, updating of commercial methods...</t>
        </is>
      </c>
      <c r="X1590" s="10" t="inlineStr">
        <is>
          <t>CONTINUOUS-LEARNING</t>
        </is>
      </c>
      <c r="Y1590" t="inlineStr">
        <is>
          <t>Continuous deciphering of news and market transformations to be constantly on the lookout for your sector of activity.</t>
        </is>
      </c>
      <c r="Z1590" s="1" t="inlineStr">
        <is>
          <t>https://drive.google.com/uc?export=view&amp;id=1ptLDTYiraAtR98N3agT-Y4-IaVehKEjI</t>
        </is>
      </c>
      <c r="AA1590" s="1" t="inlineStr">
        <is>
          <t>Unverified</t>
        </is>
      </c>
      <c r="AB1590" s="1" t="n"/>
      <c r="AC1590" s="1" t="n"/>
      <c r="AD1590" s="10" t="n"/>
      <c r="AE1590" s="1" t="n"/>
      <c r="AF1590" s="1" t="inlineStr">
        <is>
          <t>Yes</t>
        </is>
      </c>
      <c r="AG1590" s="1" t="inlineStr">
        <is>
          <t>https://www.linkedin.com/company/877277</t>
        </is>
      </c>
      <c r="AH1590" s="1" t="inlineStr">
        <is>
          <t>https://www.linkedin.com/company/877277</t>
        </is>
      </c>
      <c r="AI1590" s="1" t="inlineStr">
        <is>
          <t>https://www.linkedin.com/company/877277</t>
        </is>
      </c>
      <c r="AJ1590" s="1" t="n"/>
    </row>
    <row r="1591" ht="12.5" customHeight="1">
      <c r="A1591" s="6" t="n">
        <v>45181</v>
      </c>
      <c r="B1591" s="1" t="inlineStr">
        <is>
          <t>ORG_1817</t>
        </is>
      </c>
      <c r="C1591" s="1" t="b">
        <v>1</v>
      </c>
      <c r="D1591" s="1" t="inlineStr">
        <is>
          <t>laWEbox</t>
        </is>
      </c>
      <c r="E1591" s="10" t="inlineStr">
        <is>
          <t>www.laWEbox.com</t>
        </is>
      </c>
      <c r="F1591" t="inlineStr">
        <is>
          <t>lawebox.com</t>
        </is>
      </c>
      <c r="G1591" s="1" t="inlineStr">
        <is>
          <t>laWEbox : AI for management.
This adaptative and collaborative innovative learning experience accelerate managerial transformation : mobilize, train and anchor.
laWEbox application offers different possibilities to learn and progress among peers and on his own, 3 of them are exclusive :
- Peer doing is the heart of the pedagogy: laWEbox contents enable people to experiment and challenge their practices, among peers, in teams sharing
- Lazare, laWEbox AI chatbot, answers all management questions by offering concrete techniques in reply. Lazare is a virtual "management assistant".
- Auto-adjustment of contents sent according to participants needs and feedbacks</t>
        </is>
      </c>
      <c r="H1591" s="1" t="inlineStr">
        <is>
          <t>EdTech France</t>
        </is>
      </c>
      <c r="I1591" s="1" t="inlineStr">
        <is>
          <t>English, French</t>
        </is>
      </c>
      <c r="J1591" s="1" t="inlineStr">
        <is>
          <t>Paris</t>
        </is>
      </c>
      <c r="K1591" t="inlineStr">
        <is>
          <t>Paris</t>
        </is>
      </c>
      <c r="L1591" t="inlineStr">
        <is>
          <t>Paris, France</t>
        </is>
      </c>
      <c r="M1591" t="n">
        <v>48.8534951</v>
      </c>
      <c r="N1591" t="n">
        <v>2.3483915</v>
      </c>
      <c r="O1591" s="1" t="inlineStr">
        <is>
          <t>France</t>
        </is>
      </c>
      <c r="P159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591" s="1" t="inlineStr">
        <is>
          <t>3 to 5</t>
        </is>
      </c>
      <c r="R1591" t="inlineStr">
        <is>
          <t>Micro</t>
        </is>
      </c>
      <c r="S1591" s="1" t="inlineStr">
        <is>
          <t>Business to Business, Business to Consumer, Business to Schools</t>
        </is>
      </c>
      <c r="T1591" s="1" t="inlineStr">
        <is>
          <t>Corporate Training, Lifelong learning/Adult education</t>
        </is>
      </c>
      <c r="U1591" s="1" t="inlineStr">
        <is>
          <t>System/Administrative</t>
        </is>
      </c>
      <c r="V1591" s="10" t="inlineStr">
        <is>
          <t>laWEroom</t>
        </is>
      </c>
      <c r="W1591" s="10" t="inlineStr">
        <is>
          <t>What’s the point? laWEbox platform serves as a common thread in the training courses or managerial transformation to anchor good practices and key actions. PeerDoing = transformation acceleration
What will you find in laWEroom?
-short contents to jump into action
-a cocoaching pair to choose among your peer group
-quizzes to test your knowledge
-a learning community of colleagues in your pocket to ask your questions and tips
-gamification to gain additional features
For which deliverables?
-Stimulation to grow: extend the virtual classroom with concrete technics answering the question « how can I use those learnings today? »
-Helpfull solutions: a managerial toolkit collecting the best practices of all the TEDI groups of manager (thanks to IA)
-Way forward: a personal map presenting your strengths and areas of progress</t>
        </is>
      </c>
      <c r="X1591" s="10" t="inlineStr">
        <is>
          <t>https://drive.google.com/uc?export=view&amp;id=1btGQlVTjZ3akbFF6Z9bJGeFP_VLP3ili</t>
        </is>
      </c>
      <c r="Y1591" t="inlineStr">
        <is>
          <t>https://drive.google.com/uc?export=view&amp;id=1btGQlVTjZ3akbFF6Z9bJGeFP_VLP3ili</t>
        </is>
      </c>
      <c r="Z1591" s="1" t="inlineStr">
        <is>
          <t>https://drive.google.com/uc?export=view&amp;id=1btGQlVTjZ3akbFF6Z9bJGeFP_VLP3ili</t>
        </is>
      </c>
      <c r="AA1591" s="1" t="inlineStr">
        <is>
          <t>Unverified</t>
        </is>
      </c>
      <c r="AB1591" s="1" t="n"/>
      <c r="AC1591" s="1" t="n"/>
      <c r="AD1591" s="10" t="n"/>
      <c r="AE1591" s="1" t="n"/>
      <c r="AF1591" s="1" t="inlineStr">
        <is>
          <t>Yes</t>
        </is>
      </c>
      <c r="AG1591" s="1" t="inlineStr">
        <is>
          <t>https://www.instagram.com/lawebox/?hl=fr</t>
        </is>
      </c>
      <c r="AH1591" s="1" t="inlineStr">
        <is>
          <t>https://mobile.twitter.com/adebernardy</t>
        </is>
      </c>
      <c r="AI1591" s="1" t="inlineStr">
        <is>
          <t>https://www.linkedin.com/company/18363081/admin/</t>
        </is>
      </c>
      <c r="AJ1591" s="1" t="n"/>
    </row>
    <row r="1592" ht="12.5" customHeight="1">
      <c r="A1592" s="6" t="n">
        <v>45181</v>
      </c>
      <c r="B1592" s="1" t="inlineStr">
        <is>
          <t>ORG_1818</t>
        </is>
      </c>
      <c r="C1592" s="1" t="b">
        <v>1</v>
      </c>
      <c r="D1592" s="1" t="inlineStr">
        <is>
          <t>LawStar</t>
        </is>
      </c>
      <c r="E1592" s="10" t="inlineStr">
        <is>
          <t>www.lawstar.at</t>
        </is>
      </c>
      <c r="F1592" t="inlineStr">
        <is>
          <t>lawstar.at</t>
        </is>
      </c>
      <c r="G1592" s="1" t="inlineStr">
        <is>
          <t>LawStar is a platform and service which offers students and others to prepare for exam, test and overall to educate and extend their knowledge and skills in the fields of law, tax and economics with video courses and webinars.
Additionally its a community based platform offering daily law and tax news, access to governments law database (RIS) and other feature as quizzes etc.</t>
        </is>
      </c>
      <c r="H1592" s="1" t="inlineStr">
        <is>
          <t>I'm not part of any EdTech association</t>
        </is>
      </c>
      <c r="I1592" s="1" t="n"/>
      <c r="J1592" s="1" t="inlineStr">
        <is>
          <t>Vienna</t>
        </is>
      </c>
      <c r="K1592" t="inlineStr">
        <is>
          <t>Vienna</t>
        </is>
      </c>
      <c r="L1592" t="inlineStr">
        <is>
          <t>Vienna, Austria</t>
        </is>
      </c>
      <c r="M1592" t="n">
        <v>48.2083537</v>
      </c>
      <c r="N1592" t="n">
        <v>16.3725042</v>
      </c>
      <c r="O1592" s="1" t="inlineStr">
        <is>
          <t>Austria</t>
        </is>
      </c>
      <c r="P1592" s="1" t="inlineStr">
        <is>
          <t>Austria</t>
        </is>
      </c>
      <c r="Q1592" s="1" t="inlineStr">
        <is>
          <t>0 to 10</t>
        </is>
      </c>
      <c r="R1592" t="inlineStr">
        <is>
          <t>Micro</t>
        </is>
      </c>
      <c r="S1592" s="1" t="inlineStr">
        <is>
          <t>Business to Business, Business to Government</t>
        </is>
      </c>
      <c r="T1592" s="1" t="inlineStr">
        <is>
          <t>Higher Education, Corporate Training, Lifelong learning/Adult education</t>
        </is>
      </c>
      <c r="U1592" s="1" t="inlineStr">
        <is>
          <t>Student interfacing, System/Administrative</t>
        </is>
      </c>
      <c r="V1592" s="1" t="n"/>
      <c r="W1592" s="1" t="inlineStr">
        <is>
          <t>https://drive.google.com/uc?export=view&amp;id=1P2GVMc3kitRyEuwnimfored0CbyyPwF8</t>
        </is>
      </c>
      <c r="X1592" s="1" t="inlineStr">
        <is>
          <t>https://drive.google.com/uc?export=view&amp;id=1P2GVMc3kitRyEuwnimfored0CbyyPwF8</t>
        </is>
      </c>
      <c r="Y1592" t="inlineStr">
        <is>
          <t>https://drive.google.com/uc?export=view&amp;id=1P2GVMc3kitRyEuwnimfored0CbyyPwF8</t>
        </is>
      </c>
      <c r="Z1592" s="1" t="inlineStr">
        <is>
          <t>https://drive.google.com/uc?export=view&amp;id=1P2GVMc3kitRyEuwnimfored0CbyyPwF8</t>
        </is>
      </c>
      <c r="AA1592" s="1" t="inlineStr">
        <is>
          <t>Unverified</t>
        </is>
      </c>
      <c r="AB1592" s="1" t="n"/>
      <c r="AC1592" s="1" t="n"/>
      <c r="AD1592" s="10" t="n"/>
      <c r="AE1592" s="1" t="n"/>
      <c r="AF1592" s="1" t="inlineStr">
        <is>
          <t>No</t>
        </is>
      </c>
      <c r="AG1592" s="1" t="n"/>
      <c r="AH1592" s="1" t="n"/>
      <c r="AI1592" s="1" t="n"/>
      <c r="AJ1592" s="1" t="n"/>
    </row>
    <row r="1593" ht="12.5" customHeight="1">
      <c r="A1593" s="6" t="n">
        <v>45181</v>
      </c>
      <c r="B1593" s="1" t="inlineStr">
        <is>
          <t>ORG_1819</t>
        </is>
      </c>
      <c r="C1593" s="1" t="b">
        <v>1</v>
      </c>
      <c r="D1593" s="1" t="inlineStr">
        <is>
          <t>Le Bahut</t>
        </is>
      </c>
      <c r="E1593" s="10" t="inlineStr">
        <is>
          <t>https://le-bahut.com/</t>
        </is>
      </c>
      <c r="F1593" t="inlineStr">
        <is>
          <t>le-bahut.com</t>
        </is>
      </c>
      <c r="G1593" s="1" t="inlineStr">
        <is>
          <t>Le Bahut is a school dedicated to new jobs.
Our first course is dedicated to Digital Learning and opened in Lyon in September 2020.
Our ambition is to train Digital Learning Managers capable of designing complete training modules, from gathering requirements to the technical production of tools, including the popularisation of content, graphic design and project management.
Our second course is dedicated to the job of Artificial Intelligence Project Manager and will open in April 2024.
Our ambition is to train project managers capable of acting as the interface between operational business people and data scientists, in order to create truly useful and effective solutions.</t>
        </is>
      </c>
      <c r="H1593" s="1" t="inlineStr">
        <is>
          <t>EdTech France</t>
        </is>
      </c>
      <c r="I1593" s="1" t="inlineStr">
        <is>
          <t>French</t>
        </is>
      </c>
      <c r="J1593" s="1" t="inlineStr">
        <is>
          <t>Lyon</t>
        </is>
      </c>
      <c r="K1593" t="inlineStr">
        <is>
          <t>Lyon</t>
        </is>
      </c>
      <c r="L1593" t="inlineStr">
        <is>
          <t>Lyon, France</t>
        </is>
      </c>
      <c r="M1593" t="n">
        <v>45.7578137</v>
      </c>
      <c r="N1593" t="n">
        <v>4.8320114</v>
      </c>
      <c r="O1593" s="1" t="inlineStr">
        <is>
          <t>France</t>
        </is>
      </c>
      <c r="P1593" s="1" t="inlineStr">
        <is>
          <t>Belgium, France, Luxembourg, Monaco, Switzerland</t>
        </is>
      </c>
      <c r="Q1593" s="1" t="inlineStr">
        <is>
          <t>11 to 50</t>
        </is>
      </c>
      <c r="R1593" t="inlineStr">
        <is>
          <t>Small</t>
        </is>
      </c>
      <c r="S1593" s="1" t="inlineStr">
        <is>
          <t>Business to Business, Business to Government, Business to Schools</t>
        </is>
      </c>
      <c r="T1593" s="1" t="inlineStr">
        <is>
          <t>Corporate Training, Lifelong learning/Adult education, Higher Education</t>
        </is>
      </c>
      <c r="U1593" s="1" t="inlineStr">
        <is>
          <t>Teacher interfacing, System/Administrative, Student interfacing</t>
        </is>
      </c>
      <c r="V1593" s="1" t="inlineStr">
        <is>
          <t>Ecole Le Bahut</t>
        </is>
      </c>
      <c r="W1593" s="10" t="inlineStr">
        <is>
          <t>Le Bahut is a school which trains Digital Learning Managers and AI Project Managers in 13 weeks.</t>
        </is>
      </c>
      <c r="X1593" s="10" t="inlineStr">
        <is>
          <t>Formations Le Bahut</t>
        </is>
      </c>
      <c r="Y1593" t="inlineStr">
        <is>
          <t>Le Bahut offers trainings on Digital Learning and on AI for professionals and trainers.</t>
        </is>
      </c>
      <c r="Z1593" s="1" t="inlineStr">
        <is>
          <t>https://drive.google.com/uc?export=view&amp;id=18yCtVW8hwBti0HkRjnCog_NtZV5K4aCT</t>
        </is>
      </c>
      <c r="AA1593" s="1" t="inlineStr">
        <is>
          <t>Unverified</t>
        </is>
      </c>
      <c r="AB1593" s="1" t="n"/>
      <c r="AC1593" s="1" t="n"/>
      <c r="AD1593" s="10" t="n"/>
      <c r="AE1593" s="1" t="n"/>
      <c r="AF1593" s="1" t="inlineStr">
        <is>
          <t>Yes</t>
        </is>
      </c>
      <c r="AG1593" s="1" t="inlineStr">
        <is>
          <t>https://twitter.com/sydopedago</t>
        </is>
      </c>
      <c r="AH1593" s="1" t="inlineStr">
        <is>
          <t>https://twitter.com/sydopedago</t>
        </is>
      </c>
      <c r="AI1593" s="1" t="inlineStr">
        <is>
          <t>https://www.linkedin.com/school/le-bahut-lyon/</t>
        </is>
      </c>
      <c r="AJ1593" s="1" t="n"/>
    </row>
    <row r="1594" ht="12.5" customHeight="1">
      <c r="A1594" s="6" t="n">
        <v>45181</v>
      </c>
      <c r="B1594" s="1" t="inlineStr">
        <is>
          <t>ORG_1820</t>
        </is>
      </c>
      <c r="C1594" s="1" t="b">
        <v>1</v>
      </c>
      <c r="D1594" s="1" t="inlineStr">
        <is>
          <t>Le Coin du Prof</t>
        </is>
      </c>
      <c r="E1594" s="10" t="inlineStr">
        <is>
          <t>www.lecoinduprof.fr</t>
        </is>
      </c>
      <c r="F1594" t="inlineStr">
        <is>
          <t>lecoinduprof.fr</t>
        </is>
      </c>
      <c r="G1594" s="1" t="inlineStr">
        <is>
          <t>Le Coin du Prof is a all-in-one platform which :
- make teacher's work easier
- offer motivating learning material for students</t>
        </is>
      </c>
      <c r="H1594" s="1" t="inlineStr">
        <is>
          <t>AFINEF, EdTech France</t>
        </is>
      </c>
      <c r="I1594" s="1" t="inlineStr">
        <is>
          <t>French</t>
        </is>
      </c>
      <c r="J1594" s="1" t="inlineStr">
        <is>
          <t>Bordeaux</t>
        </is>
      </c>
      <c r="K1594" t="inlineStr">
        <is>
          <t>Bordeaux</t>
        </is>
      </c>
      <c r="L1594" t="inlineStr">
        <is>
          <t>Bordeaux, France</t>
        </is>
      </c>
      <c r="M1594" t="n">
        <v>44.841225</v>
      </c>
      <c r="N1594" t="n">
        <v>-0.5800364</v>
      </c>
      <c r="O1594" s="1" t="inlineStr">
        <is>
          <t>France</t>
        </is>
      </c>
      <c r="P1594" s="1" t="inlineStr">
        <is>
          <t>France</t>
        </is>
      </c>
      <c r="Q1594" s="1" t="inlineStr">
        <is>
          <t>0 to 2</t>
        </is>
      </c>
      <c r="R1594" t="inlineStr">
        <is>
          <t>Solo entrepreneur</t>
        </is>
      </c>
      <c r="S1594" s="1" t="inlineStr">
        <is>
          <t>Business to Business, Business to Government, Business to Schools</t>
        </is>
      </c>
      <c r="T1594" s="1" t="inlineStr">
        <is>
          <t>Secondary Education</t>
        </is>
      </c>
      <c r="U1594" s="1" t="inlineStr">
        <is>
          <t>Teacher interfacing</t>
        </is>
      </c>
      <c r="V1594" s="1" t="inlineStr">
        <is>
          <t>MathTeacher's Corner</t>
        </is>
      </c>
      <c r="W1594" s="1" t="inlineStr">
        <is>
          <t>Math Teacher's Corner is a all-in-one platform where math teachers can customize turnkey learning material (such as ritual activities, escape games, assessments), organize their work and use motivating tools for their students.</t>
        </is>
      </c>
      <c r="X1594" s="10" t="inlineStr">
        <is>
          <t>https://drive.google.com/uc?export=view&amp;id=13nG-7BeWGwwRxgF81WIn8SqgPkE8WPcL</t>
        </is>
      </c>
      <c r="Y1594" t="inlineStr">
        <is>
          <t>https://drive.google.com/uc?export=view&amp;id=13nG-7BeWGwwRxgF81WIn8SqgPkE8WPcL</t>
        </is>
      </c>
      <c r="Z1594" s="1" t="inlineStr">
        <is>
          <t>https://drive.google.com/uc?export=view&amp;id=13nG-7BeWGwwRxgF81WIn8SqgPkE8WPcL</t>
        </is>
      </c>
      <c r="AA1594" s="1" t="inlineStr">
        <is>
          <t>Unverified</t>
        </is>
      </c>
      <c r="AB1594" s="1" t="n"/>
      <c r="AC1594" s="1" t="n"/>
      <c r="AD1594" s="10" t="n"/>
      <c r="AE1594" s="1" t="n"/>
      <c r="AF1594" s="1" t="inlineStr">
        <is>
          <t>Yes</t>
        </is>
      </c>
      <c r="AG1594" s="1" t="inlineStr">
        <is>
          <t>https://www.linkedin.com/company/le-coin-du-prof/</t>
        </is>
      </c>
      <c r="AH1594" s="1" t="inlineStr">
        <is>
          <t>https://www.linkedin.com/company/le-coin-du-prof/</t>
        </is>
      </c>
      <c r="AI1594" s="1" t="inlineStr">
        <is>
          <t>https://www.linkedin.com/company/le-coin-du-prof/</t>
        </is>
      </c>
      <c r="AJ1594" s="1" t="n"/>
    </row>
    <row r="1595" ht="12.5" customHeight="1">
      <c r="A1595" s="6" t="n">
        <v>45181</v>
      </c>
      <c r="B1595" s="1" t="inlineStr">
        <is>
          <t>ORG_1821</t>
        </is>
      </c>
      <c r="C1595" s="1" t="b">
        <v>1</v>
      </c>
      <c r="D1595" s="1" t="inlineStr">
        <is>
          <t>Le Reacteur - Coding Bootcamp</t>
        </is>
      </c>
      <c r="E1595" s="10" t="inlineStr">
        <is>
          <t>https://www.lereacteur.io</t>
        </is>
      </c>
      <c r="F1595" t="inlineStr">
        <is>
          <t>lereacteur.io</t>
        </is>
      </c>
      <c r="G1595" s="1" t="inlineStr">
        <is>
          <t>Le Reacteur est un coding bootcamp qui enseigne la programmation aux personnes en reconversion professionnelle. Initialement spécialisé dans le JavaScript et le framework React, notre organisme propose une formation qui se décline en deux formats - temps plein et temps partiel - afin de se former au métier de développeur Full-Stack Web et Mobile. Localisé à Paris, il est possible de suivre nos formations sur place ou à distance.</t>
        </is>
      </c>
      <c r="H1595" s="1" t="inlineStr">
        <is>
          <t>EdTech France</t>
        </is>
      </c>
      <c r="I1595" s="1" t="n"/>
      <c r="J1595" s="1" t="inlineStr">
        <is>
          <t>Paris</t>
        </is>
      </c>
      <c r="K1595" t="inlineStr">
        <is>
          <t>Paris</t>
        </is>
      </c>
      <c r="L1595" t="inlineStr">
        <is>
          <t>Paris, France</t>
        </is>
      </c>
      <c r="M1595" t="n">
        <v>48.8534951</v>
      </c>
      <c r="N1595" t="n">
        <v>2.3483915</v>
      </c>
      <c r="O1595" s="1" t="inlineStr">
        <is>
          <t>France</t>
        </is>
      </c>
      <c r="P1595" s="1" t="inlineStr">
        <is>
          <t>Belgium, France, Luxembourg</t>
        </is>
      </c>
      <c r="Q1595" s="1" t="inlineStr">
        <is>
          <t>0 to 10</t>
        </is>
      </c>
      <c r="R1595" t="inlineStr">
        <is>
          <t>Micro</t>
        </is>
      </c>
      <c r="S1595" s="1" t="inlineStr">
        <is>
          <t>Business to Business, Business to Government, Business to Schools</t>
        </is>
      </c>
      <c r="T1595" s="1" t="inlineStr">
        <is>
          <t>Higher Education, Corporate Training, Lifelong learning/Adult education</t>
        </is>
      </c>
      <c r="U1595" s="1" t="inlineStr">
        <is>
          <t>Student interfacing</t>
        </is>
      </c>
      <c r="V1595" s="10" t="inlineStr">
        <is>
          <t>Bootcamp Full-Stack JavaScript Web &amp; Mobile</t>
        </is>
      </c>
      <c r="W1595" s="10" t="inlineStr">
        <is>
          <t>This training allows you to train as a Web and Mobile developer. In a 10-week full-time or 25-week part-time format, we teach different programming languages such as: JavaScript, Node.js, HTML/CSS, React and React Native. It is possible to follow the curriculum on site in Paris (France) or by distance learning. The training is project-oriented, which means that the students realize more than ten replicas of websites or mobile applications during their training. During the last two weeks, students are put in touch with startups to create MVPs. After the training, students are invited to go on a 4 to 6 month internship in a company, to complete their course with a professional experience.
Translated with www.DeepL.com/Translator (free version)</t>
        </is>
      </c>
      <c r="X1595" s="10" t="inlineStr">
        <is>
          <t>https://drive.google.com/uc?export=view&amp;id=1JJs9LwYrFPgU0cS00mS_G0Ovw5G2HgkW</t>
        </is>
      </c>
      <c r="Y1595" t="inlineStr">
        <is>
          <t>https://drive.google.com/uc?export=view&amp;id=1JJs9LwYrFPgU0cS00mS_G0Ovw5G2HgkW</t>
        </is>
      </c>
      <c r="Z1595" s="1" t="inlineStr">
        <is>
          <t>https://drive.google.com/uc?export=view&amp;id=1JJs9LwYrFPgU0cS00mS_G0Ovw5G2HgkW</t>
        </is>
      </c>
      <c r="AA1595" s="1" t="inlineStr">
        <is>
          <t>Unverified</t>
        </is>
      </c>
      <c r="AB1595" s="1" t="n"/>
      <c r="AC1595" s="1" t="n"/>
      <c r="AD1595" s="10" t="n"/>
      <c r="AE1595" s="1" t="n"/>
      <c r="AF1595" s="1" t="inlineStr">
        <is>
          <t>Yes</t>
        </is>
      </c>
      <c r="AG1595" s="1" t="inlineStr">
        <is>
          <t>https://www.instagram.com/lereacteur.io</t>
        </is>
      </c>
      <c r="AH1595" s="1" t="inlineStr">
        <is>
          <t>https://twitter.com/LeReacteurIO</t>
        </is>
      </c>
      <c r="AI1595" s="1" t="inlineStr">
        <is>
          <t>https://www.linkedin.com/school/13211127/admin/</t>
        </is>
      </c>
      <c r="AJ1595" s="1" t="n"/>
    </row>
    <row r="1596" ht="12.5" customHeight="1">
      <c r="A1596" s="6" t="n">
        <v>45181</v>
      </c>
      <c r="B1596" s="1" t="inlineStr">
        <is>
          <t>ORG_1918</t>
        </is>
      </c>
      <c r="C1596" s="1" t="b">
        <v>1</v>
      </c>
      <c r="D1596" s="1" t="inlineStr">
        <is>
          <t>Maria Schools</t>
        </is>
      </c>
      <c r="E1596" s="10" t="inlineStr">
        <is>
          <t>https://www.mariaschools.com/</t>
        </is>
      </c>
      <c r="F1596" t="inlineStr">
        <is>
          <t>mariaschools.com</t>
        </is>
      </c>
      <c r="G1596" s="1" t="inlineStr">
        <is>
          <t>Maria, the campus that trains for the future
The creation of Maria Schools was born out of Agnes Alazard's and Annabelle Bignon's bet to create a place of meeting, exchange, experimentation, a big house where one accepts not to know, and to learn every day.
Maria Schools is a new kind of school campus to enable lifelong employability.
Our goal is to reinvent adult education to build confidence and empower people to take charge of their professional future. 
Today we have three schools on our campus, Lion, Maestro et Hero, with a fourth coming up in 2022.</t>
        </is>
      </c>
      <c r="H1596" s="1" t="inlineStr">
        <is>
          <t>I'm not part of any EdTech association</t>
        </is>
      </c>
      <c r="I1596" s="1" t="n"/>
      <c r="J1596" s="1" t="inlineStr">
        <is>
          <t>Paris</t>
        </is>
      </c>
      <c r="K1596" t="inlineStr">
        <is>
          <t>Paris</t>
        </is>
      </c>
      <c r="L1596" t="inlineStr">
        <is>
          <t>Paris, France</t>
        </is>
      </c>
      <c r="M1596" t="n">
        <v>48.8534951</v>
      </c>
      <c r="N1596" t="n">
        <v>2.3483915</v>
      </c>
      <c r="O1596" s="1" t="inlineStr">
        <is>
          <t>France</t>
        </is>
      </c>
      <c r="P1596" s="1" t="inlineStr">
        <is>
          <t>France</t>
        </is>
      </c>
      <c r="Q1596" s="1" t="inlineStr">
        <is>
          <t>11 to 50</t>
        </is>
      </c>
      <c r="R1596" t="inlineStr">
        <is>
          <t>Small</t>
        </is>
      </c>
      <c r="S1596" s="1" t="inlineStr">
        <is>
          <t>Business to Business, Business to Government, Business to Schools</t>
        </is>
      </c>
      <c r="T1596" s="1" t="inlineStr">
        <is>
          <t>Corporate Training, Lifelong learning/Adult education</t>
        </is>
      </c>
      <c r="U1596" s="1" t="inlineStr">
        <is>
          <t>Teacher interfacing, Student interfacing, System/Administrative</t>
        </is>
      </c>
      <c r="V1596" s="1" t="n"/>
      <c r="W1596" s="1" t="inlineStr">
        <is>
          <t>https://drive.google.com/uc?export=view&amp;id=19lPxeoZ7D003S5ClcJ2bcpKIEZOj_nIo</t>
        </is>
      </c>
      <c r="X1596" s="1" t="inlineStr">
        <is>
          <t>https://drive.google.com/uc?export=view&amp;id=19lPxeoZ7D003S5ClcJ2bcpKIEZOj_nIo</t>
        </is>
      </c>
      <c r="Y1596" t="inlineStr">
        <is>
          <t>https://drive.google.com/uc?export=view&amp;id=19lPxeoZ7D003S5ClcJ2bcpKIEZOj_nIo</t>
        </is>
      </c>
      <c r="Z1596" s="1" t="inlineStr">
        <is>
          <t>https://drive.google.com/uc?export=view&amp;id=19lPxeoZ7D003S5ClcJ2bcpKIEZOj_nIo</t>
        </is>
      </c>
      <c r="AA1596" s="1" t="inlineStr">
        <is>
          <t>Unverified</t>
        </is>
      </c>
      <c r="AB1596" s="1" t="n"/>
      <c r="AC1596" s="1" t="n"/>
      <c r="AD1596" s="10" t="n"/>
      <c r="AE1596" s="1" t="n"/>
      <c r="AF1596" s="1" t="inlineStr">
        <is>
          <t>No</t>
        </is>
      </c>
      <c r="AG1596" s="1" t="n"/>
      <c r="AH1596" s="1" t="n"/>
      <c r="AI1596" s="1" t="n"/>
      <c r="AJ1596" s="1" t="n"/>
    </row>
    <row r="1597" ht="12.5" customHeight="1">
      <c r="A1597" s="6" t="n">
        <v>45181</v>
      </c>
      <c r="B1597" s="1" t="inlineStr">
        <is>
          <t>ORG_1929</t>
        </is>
      </c>
      <c r="C1597" s="1" t="b">
        <v>1</v>
      </c>
      <c r="D1597" s="1" t="inlineStr">
        <is>
          <t>MathLive</t>
        </is>
      </c>
      <c r="E1597" s="10" t="inlineStr">
        <is>
          <t>https://mathlive.fr/</t>
        </is>
      </c>
      <c r="F1597" t="inlineStr">
        <is>
          <t>mathlive.fr</t>
        </is>
      </c>
      <c r="G1597" s="1" t="inlineStr">
        <is>
          <t>Heureux Hasard is an EdTech company which creates, develops and sells collaborative and playful digital tools for scientific disciplines teaching. 
Our tools enable students during classes to perform collaborative activities in order to solve a problem or perform a demonstration. 
https://mathlive.fr/
https://xplive.fr/</t>
        </is>
      </c>
      <c r="H1597" s="1" t="inlineStr">
        <is>
          <t>AFINEF, EdTech France</t>
        </is>
      </c>
      <c r="I1597" s="1" t="inlineStr">
        <is>
          <t>French</t>
        </is>
      </c>
      <c r="J1597" s="1" t="inlineStr">
        <is>
          <t>Velaux</t>
        </is>
      </c>
      <c r="K1597" t="inlineStr">
        <is>
          <t>Velaux</t>
        </is>
      </c>
      <c r="L1597" t="inlineStr">
        <is>
          <t>Velaux, France</t>
        </is>
      </c>
      <c r="M1597" t="n">
        <v>43.5217717</v>
      </c>
      <c r="N1597" t="n">
        <v>5.2540649</v>
      </c>
      <c r="O1597" s="1" t="inlineStr">
        <is>
          <t>France</t>
        </is>
      </c>
      <c r="P1597" s="1" t="inlineStr">
        <is>
          <t>Belgium, France, Luxembourg, Switzerland</t>
        </is>
      </c>
      <c r="Q1597" s="1" t="inlineStr">
        <is>
          <t>3 to 5</t>
        </is>
      </c>
      <c r="R1597" t="inlineStr">
        <is>
          <t>Micro</t>
        </is>
      </c>
      <c r="S1597" s="1" t="inlineStr">
        <is>
          <t>Business to Business, Business to Government, Business to Schools</t>
        </is>
      </c>
      <c r="T1597" s="1" t="inlineStr">
        <is>
          <t>Secondary Education</t>
        </is>
      </c>
      <c r="U1597" s="1" t="inlineStr">
        <is>
          <t>Student interfacing, Teacher interfacing, System/Administrative</t>
        </is>
      </c>
      <c r="V1597" s="1" t="inlineStr">
        <is>
          <t>MathLive</t>
        </is>
      </c>
      <c r="W1597" s="10" t="inlineStr">
        <is>
          <t>MathLive is an online platform which enables math teachers to perform collaborative and playful activities during classes. The platform is based on real time pooling, processing and analysis of results provided by students in order to solve problems and carry out demonstrations cooperatively. While doing an activity, students visualize their own impact and also the class collective effort. Students become actors of their own learning.</t>
        </is>
      </c>
      <c r="X1597" s="10" t="inlineStr">
        <is>
          <t>XpLive</t>
        </is>
      </c>
      <c r="Y1597" t="inlineStr">
        <is>
          <t>XpLive is an online platform which enables experimental sciences (chemistry, physics, biology) teachers to perform collaborative and playful activities during classes. The platform is based on real time pooling, processing and analysis of results provided by students in order to solve problems and carry out scientific protocols cooperatively. While doing an activity, students visualise their own impact and also the class collective effort. Students become actors of their own learning.</t>
        </is>
      </c>
      <c r="Z1597" s="1" t="inlineStr">
        <is>
          <t>https://drive.google.com/uc?export=view&amp;id=1HXR6Sz5qrmYrebZcVo7i07Uq6L3nhhYJ</t>
        </is>
      </c>
      <c r="AA1597" s="1" t="inlineStr">
        <is>
          <t>Unverified</t>
        </is>
      </c>
      <c r="AB1597" s="1" t="n"/>
      <c r="AC1597" s="1" t="n"/>
      <c r="AD1597" s="10" t="n"/>
      <c r="AE1597" s="1" t="n"/>
      <c r="AF1597" s="1" t="inlineStr">
        <is>
          <t>Yes</t>
        </is>
      </c>
      <c r="AG1597" s="1" t="inlineStr">
        <is>
          <t>https://twitter.com/MathliveFR</t>
        </is>
      </c>
      <c r="AH1597" s="1" t="inlineStr">
        <is>
          <t>https://twitter.com/MathliveFR</t>
        </is>
      </c>
      <c r="AI1597" s="1" t="inlineStr">
        <is>
          <t>https://www.linkedin.com/company/75763624</t>
        </is>
      </c>
      <c r="AJ1597" s="1" t="n"/>
    </row>
    <row r="1598" ht="12.5" customHeight="1">
      <c r="A1598" s="6" t="n">
        <v>45181</v>
      </c>
      <c r="B1598" s="1" t="inlineStr">
        <is>
          <t>ORG_1942</t>
        </is>
      </c>
      <c r="C1598" s="1" t="b">
        <v>1</v>
      </c>
      <c r="D1598" s="1" t="inlineStr">
        <is>
          <t>MeetYourSchool</t>
        </is>
      </c>
      <c r="E1598" s="10" t="inlineStr">
        <is>
          <t>pro.meetyourschool.com</t>
        </is>
      </c>
      <c r="F1598" t="inlineStr">
        <is>
          <t>pro.meetyourschool.com</t>
        </is>
      </c>
      <c r="G1598" s="1" t="inlineStr">
        <is>
          <t>MeetYourSchool.com is the first virtual event platform dedicated to school and career guidance for young people. In just a few clicks and for free, you can meet hundreds of schools and companies.</t>
        </is>
      </c>
      <c r="H1598" s="1" t="inlineStr">
        <is>
          <t>EdTech France</t>
        </is>
      </c>
      <c r="I1598" s="1" t="n"/>
      <c r="J1598" s="1" t="inlineStr">
        <is>
          <t>Venelles</t>
        </is>
      </c>
      <c r="K1598" t="inlineStr">
        <is>
          <t>Venelles</t>
        </is>
      </c>
      <c r="L1598" t="inlineStr">
        <is>
          <t>Venelles, France</t>
        </is>
      </c>
      <c r="M1598" t="n">
        <v>43.6003084</v>
      </c>
      <c r="N1598" t="n">
        <v>5.4804956</v>
      </c>
      <c r="O1598" s="1" t="inlineStr">
        <is>
          <t>France</t>
        </is>
      </c>
      <c r="P1598" s="1" t="inlineStr">
        <is>
          <t>Belgium, France, Switzerland</t>
        </is>
      </c>
      <c r="Q1598" s="1" t="inlineStr">
        <is>
          <t>0 to 10</t>
        </is>
      </c>
      <c r="R1598" t="inlineStr">
        <is>
          <t>Micro</t>
        </is>
      </c>
      <c r="S1598" s="1" t="inlineStr">
        <is>
          <t>Business to Business, Business to Government, Business to Schools</t>
        </is>
      </c>
      <c r="T1598" s="1" t="inlineStr">
        <is>
          <t>Secondary Education, Higher Education</t>
        </is>
      </c>
      <c r="U1598" s="1" t="inlineStr">
        <is>
          <t>System/Administrative, Student interfacing</t>
        </is>
      </c>
      <c r="V1598" s="1" t="inlineStr">
        <is>
          <t>MeetYourSchool</t>
        </is>
      </c>
      <c r="W1598" s="1" t="inlineStr">
        <is>
          <t>MeetYourSchool.com is the first virtual event platform dedicated to school and career guidance for young people. In just a few clicks and for free, you can meet hundreds of schools and companies.</t>
        </is>
      </c>
      <c r="X1598" s="1" t="inlineStr">
        <is>
          <t>https://drive.google.com/uc?export=view&amp;id=1LbvM2sfuK6q7TjO7DYYiabYdR47a9OPj</t>
        </is>
      </c>
      <c r="Y1598" t="inlineStr">
        <is>
          <t>https://drive.google.com/uc?export=view&amp;id=1LbvM2sfuK6q7TjO7DYYiabYdR47a9OPj</t>
        </is>
      </c>
      <c r="Z1598" s="1" t="inlineStr">
        <is>
          <t>https://drive.google.com/uc?export=view&amp;id=1LbvM2sfuK6q7TjO7DYYiabYdR47a9OPj</t>
        </is>
      </c>
      <c r="AA1598" s="1" t="inlineStr">
        <is>
          <t>Unverified</t>
        </is>
      </c>
      <c r="AB1598" s="1" t="n"/>
      <c r="AC1598" s="1" t="n"/>
      <c r="AD1598" s="10" t="n"/>
      <c r="AE1598" s="1" t="n"/>
      <c r="AF1598" s="1" t="inlineStr">
        <is>
          <t>No</t>
        </is>
      </c>
      <c r="AG1598" s="1" t="n"/>
      <c r="AH1598" s="1" t="n"/>
      <c r="AI1598" s="1" t="n"/>
      <c r="AJ1598" s="1" t="n"/>
    </row>
    <row r="1599" ht="12.5" customHeight="1">
      <c r="A1599" s="6" t="n">
        <v>45181</v>
      </c>
      <c r="B1599" s="1" t="inlineStr">
        <is>
          <t>ORG_1954</t>
        </is>
      </c>
      <c r="C1599" s="1" t="b">
        <v>1</v>
      </c>
      <c r="D1599" s="1" t="inlineStr">
        <is>
          <t>merci e-commerce</t>
        </is>
      </c>
      <c r="E1599" s="10" t="inlineStr">
        <is>
          <t>https://merci-ecommerce.fr</t>
        </is>
      </c>
      <c r="F1599" t="inlineStr">
        <is>
          <t>merci-ecommerce.fr</t>
        </is>
      </c>
      <c r="G1599" s="1" t="inlineStr">
        <is>
          <t>merci e-commerce is a French professional training organization for artisans, freelancers and retailors, which aims to help them acquire the necessary e-commerce skills required for their digital transition.</t>
        </is>
      </c>
      <c r="H1599" s="1" t="inlineStr">
        <is>
          <t>EdTech France</t>
        </is>
      </c>
      <c r="I1599" s="1" t="n"/>
      <c r="J1599" s="1" t="inlineStr">
        <is>
          <t>Aris</t>
        </is>
      </c>
      <c r="K1599" t="inlineStr">
        <is>
          <t>Aris</t>
        </is>
      </c>
      <c r="L1599" t="inlineStr">
        <is>
          <t>Aris, France</t>
        </is>
      </c>
      <c r="M1599" t="n">
        <v>43.1479542</v>
      </c>
      <c r="N1599" t="n">
        <v>-0.2036008</v>
      </c>
      <c r="O1599" s="1" t="inlineStr">
        <is>
          <t>France</t>
        </is>
      </c>
      <c r="P1599" s="1" t="inlineStr">
        <is>
          <t>France</t>
        </is>
      </c>
      <c r="Q1599" s="1" t="inlineStr">
        <is>
          <t>0 to 10</t>
        </is>
      </c>
      <c r="R1599" t="inlineStr">
        <is>
          <t>Micro</t>
        </is>
      </c>
      <c r="S1599" s="1" t="inlineStr">
        <is>
          <t>Business to Business, Business to Government, Business to Schools</t>
        </is>
      </c>
      <c r="T1599" s="1" t="inlineStr">
        <is>
          <t>Corporate Training, Lifelong learning/Adult education</t>
        </is>
      </c>
      <c r="U1599" s="1" t="inlineStr">
        <is>
          <t>Student interfacing, Teacher interfacing, System/Administrative</t>
        </is>
      </c>
      <c r="V1599" s="10" t="inlineStr">
        <is>
          <t>Ma Première Boutique en ligne</t>
        </is>
      </c>
      <c r="W1599" s="1" t="inlineStr">
        <is>
          <t>This 2 days training course (in French) aims to help all traditional retailors, freelancers and artisans acquire all the necessary skills to create their first e-commerce website. As we are Shopify Education partners, this focuses on using Shopify as a content management system.</t>
        </is>
      </c>
      <c r="X1599" s="10" t="inlineStr">
        <is>
          <t>https://drive.google.com/uc?export=view&amp;id=1G0mfPbvyDjqDX8SSUVosRRaDO5-JPV4C</t>
        </is>
      </c>
      <c r="Y1599" t="inlineStr">
        <is>
          <t>https://drive.google.com/uc?export=view&amp;id=1G0mfPbvyDjqDX8SSUVosRRaDO5-JPV4C</t>
        </is>
      </c>
      <c r="Z1599" s="1" t="inlineStr">
        <is>
          <t>https://drive.google.com/uc?export=view&amp;id=1G0mfPbvyDjqDX8SSUVosRRaDO5-JPV4C</t>
        </is>
      </c>
      <c r="AA1599" s="1" t="inlineStr">
        <is>
          <t>Unverified</t>
        </is>
      </c>
      <c r="AB1599" s="1" t="n"/>
      <c r="AC1599" s="1" t="n"/>
      <c r="AD1599" s="10" t="n"/>
      <c r="AE1599" s="1" t="n"/>
      <c r="AF1599" s="1" t="inlineStr">
        <is>
          <t>Yes</t>
        </is>
      </c>
      <c r="AG1599" s="1" t="inlineStr">
        <is>
          <t>https://www.instagram.com/merciecommerce/?hl=fr</t>
        </is>
      </c>
      <c r="AH1599" s="1" t="inlineStr">
        <is>
          <t>https://www.linkedin.com/company/merci-e-commerce</t>
        </is>
      </c>
      <c r="AI1599" s="1" t="inlineStr">
        <is>
          <t>https://www.linkedin.com/company/merci-e-commerce</t>
        </is>
      </c>
      <c r="AJ1599" s="1" t="n"/>
    </row>
    <row r="1600" ht="12.5" customHeight="1">
      <c r="A1600" s="6" t="n">
        <v>45181</v>
      </c>
      <c r="B1600" s="1" t="inlineStr">
        <is>
          <t>ORG_1958</t>
        </is>
      </c>
      <c r="C1600" s="1" t="b">
        <v>1</v>
      </c>
      <c r="D1600" s="10" t="inlineStr">
        <is>
          <t>Mescahiersnumeriques.com</t>
        </is>
      </c>
      <c r="E1600" s="10" t="inlineStr">
        <is>
          <t>www.mescahiersnumeriques.com</t>
        </is>
      </c>
      <c r="F1600" t="inlineStr">
        <is>
          <t>mescahiersnumeriques.com</t>
        </is>
      </c>
      <c r="G1600" s="1" t="inlineStr">
        <is>
          <t>Our company has developped two webapps to help pupils to review mathematics, french, history, geography and english, in conformity with the programs of the National Education.
The first one is mescahiersdevacances.com, which is opened from the 1st of July to the 12th of september.
The second one is mescahiersderevisions.com, which is opened from the 13th of September to the 30th of June.
For both of them, there is a large accompaniement of the pupil with two helps very intuitives.
There is also an accompaniement of the parents to able them to help there child.
There are hundred of exercises to serenely prepare the child to be confortable with the level of his class.</t>
        </is>
      </c>
      <c r="H1600" s="1" t="inlineStr">
        <is>
          <t>EdTech France</t>
        </is>
      </c>
      <c r="I1600" s="1" t="n"/>
      <c r="J1600" s="1" t="inlineStr">
        <is>
          <t>Morières-Lès-Avignon</t>
        </is>
      </c>
      <c r="K1600" t="inlineStr">
        <is>
          <t>Morières-Lès-Avignon</t>
        </is>
      </c>
      <c r="L1600" t="inlineStr">
        <is>
          <t>Morières-Lès-Avignon, France</t>
        </is>
      </c>
      <c r="M1600" t="n">
        <v>43.9424927</v>
      </c>
      <c r="N1600" t="n">
        <v>4.9047597</v>
      </c>
      <c r="O1600" s="1" t="inlineStr">
        <is>
          <t>France</t>
        </is>
      </c>
      <c r="P1600" s="1" t="inlineStr">
        <is>
          <t>Andorra, Austria, Belgium, France, Germany, Greece, Italy, Luxembourg, Netherlands, Russia, Spain, Switzerland, Turkey, United Kingdom</t>
        </is>
      </c>
      <c r="Q1600" s="1" t="inlineStr">
        <is>
          <t>0 to 10</t>
        </is>
      </c>
      <c r="R1600" t="inlineStr">
        <is>
          <t>Micro</t>
        </is>
      </c>
      <c r="S1600" s="1" t="inlineStr">
        <is>
          <t>Business to Business, Business to Government, Business to Schools</t>
        </is>
      </c>
      <c r="T1600" s="1" t="inlineStr">
        <is>
          <t>Primary Education</t>
        </is>
      </c>
      <c r="U1600" s="1" t="inlineStr">
        <is>
          <t>System/Administrative, Student interfacing</t>
        </is>
      </c>
      <c r="V1600" s="10" t="inlineStr">
        <is>
          <t>mescahiersdevacances.com</t>
        </is>
      </c>
      <c r="W1600" s="1" t="inlineStr">
        <is>
          <t>With mescahiersdevacances.com, children from 6 to 11 years old are accompanied to review the program of the level that they have just left.
Open from the 1st of July to the 12th of September, our webapp is in conformity with the programs of the National Education.
It includes intuitive helps for the child and his parents, rewards and games.
There are hundred of exercices to be serenely prepared for the next back to school.</t>
        </is>
      </c>
      <c r="X1600" s="10" t="inlineStr">
        <is>
          <t>mescahiersderevisions.com</t>
        </is>
      </c>
      <c r="Y1600" t="inlineStr">
        <is>
          <t>With mescahiersderevisions.com, children from 6 to 11 years old are accompanied to review the program of their current class.
Open from the 13th of September to the 30th of June, our webapp is in conformity with the programs of the National Education.
It includes intuitive helps for the children and their parents, rewards and games.
There are also many tools that helps the children to be confident with the exercises. They can print the pedagogical references and use them to succeed.
There are hundred of exercices to be serenely accompanied in parallel of the work made at school.</t>
        </is>
      </c>
      <c r="Z1600" s="10" t="inlineStr">
        <is>
          <t>https://drive.google.com/uc?export=view&amp;id=1IhJxNiTdw-yDp_nRpPYkXq7EYdzLtOeG</t>
        </is>
      </c>
      <c r="AA1600" s="1" t="inlineStr">
        <is>
          <t>Unverified</t>
        </is>
      </c>
      <c r="AB1600" s="10" t="n"/>
      <c r="AC1600" s="1" t="n"/>
      <c r="AD1600" s="10" t="n"/>
      <c r="AE1600" s="1" t="n"/>
      <c r="AF1600" s="1" t="inlineStr">
        <is>
          <t>Yes</t>
        </is>
      </c>
      <c r="AG1600" s="1" t="inlineStr">
        <is>
          <t>https://www.instagram.com/mescahiersnumeriques/</t>
        </is>
      </c>
      <c r="AH1600" s="1" t="inlineStr">
        <is>
          <t>https://www.linkedin.com/company/mes-cahiers-num%C3%A9riques/?viewAsMember=true</t>
        </is>
      </c>
      <c r="AI1600" s="1" t="inlineStr">
        <is>
          <t>https://www.linkedin.com/company/mes-cahiers-num%C3%A9riques/?viewAsMember=true</t>
        </is>
      </c>
      <c r="AJ1600" s="1" t="n"/>
    </row>
    <row r="1601" ht="12.5" customHeight="1">
      <c r="A1601" s="6" t="n">
        <v>45181</v>
      </c>
      <c r="B1601" s="1" t="inlineStr">
        <is>
          <t>ORG_2057</t>
        </is>
      </c>
      <c r="C1601" s="1" t="b">
        <v>1</v>
      </c>
      <c r="D1601" s="1" t="inlineStr">
        <is>
          <t>OfCourseMe</t>
        </is>
      </c>
      <c r="E1601" s="10" t="inlineStr">
        <is>
          <t>https://ofcourse.me/</t>
        </is>
      </c>
      <c r="F1601" t="inlineStr">
        <is>
          <t>ofcourse.me</t>
        </is>
      </c>
      <c r="G1601" s="1" t="inlineStr">
        <is>
          <t>OfCourseMe's Mission is to help organizations create lifelong learners. 
We achieve this by creating curated pathways on demand for our customers and helping LnD managers promote them internally. 
Over 500k employees from companies like Vodafone, Sky, UniCredit, Eni, Generali already use our solution.</t>
        </is>
      </c>
      <c r="H1601" s="1" t="inlineStr">
        <is>
          <t>EdTech Finland</t>
        </is>
      </c>
      <c r="I1601" s="1" t="inlineStr">
        <is>
          <t>Italian, English, French, Spanish, German, Polish, Russian, Portuguese, Czech, Slovakian, Serbian</t>
        </is>
      </c>
      <c r="J1601" s="1" t="inlineStr">
        <is>
          <t>Monza</t>
        </is>
      </c>
      <c r="K1601" t="inlineStr">
        <is>
          <t>Monza</t>
        </is>
      </c>
      <c r="L1601" t="inlineStr">
        <is>
          <t>Monza, Italy</t>
        </is>
      </c>
      <c r="M1601" t="n">
        <v>45.5844865</v>
      </c>
      <c r="N1601" t="n">
        <v>9.2749057</v>
      </c>
      <c r="O1601" s="1" t="inlineStr">
        <is>
          <t>Italy</t>
        </is>
      </c>
      <c r="P1601" s="1" t="inlineStr">
        <is>
          <t>Italy</t>
        </is>
      </c>
      <c r="Q1601" s="1" t="inlineStr">
        <is>
          <t>11 to 50</t>
        </is>
      </c>
      <c r="R1601" t="inlineStr">
        <is>
          <t>Small</t>
        </is>
      </c>
      <c r="S1601" s="1" t="inlineStr">
        <is>
          <t>Business to Business, Business to Government, Business to Schools</t>
        </is>
      </c>
      <c r="T1601" s="1" t="inlineStr">
        <is>
          <t>Corporate Training, Lifelong learning/Adult education</t>
        </is>
      </c>
      <c r="U1601" s="1" t="inlineStr">
        <is>
          <t>System/Administrative, Student interfacing</t>
        </is>
      </c>
      <c r="V1601" s="1" t="inlineStr">
        <is>
          <t>Content curation as-a-service</t>
        </is>
      </c>
      <c r="W1601" s="10" t="inlineStr">
        <is>
          <t>Creation of on demand curated pathways for our customers, leveraging over 2 mln learning assets from over 1k providers in over 20 languages.</t>
        </is>
      </c>
      <c r="X1601" s="10" t="inlineStr">
        <is>
          <t>SkillMe</t>
        </is>
      </c>
      <c r="Y1601" t="inlineStr">
        <is>
          <t>AI powered content tagging engine which associated any content catalogue to any proprietary skill taxonomy, in order to deliver skill-based recommendations at scale.</t>
        </is>
      </c>
      <c r="Z1601" s="1" t="inlineStr">
        <is>
          <t>https://drive.google.com/uc?export=view&amp;id=15iM05Bj7uP4drIB-p5gzQJdRZYnZFIgz</t>
        </is>
      </c>
      <c r="AA1601" s="1" t="inlineStr">
        <is>
          <t>Unverified</t>
        </is>
      </c>
      <c r="AB1601" s="1" t="n"/>
      <c r="AC1601" s="1" t="n"/>
      <c r="AD1601" s="10" t="n"/>
      <c r="AE1601" s="1" t="n"/>
      <c r="AF1601" s="1" t="inlineStr">
        <is>
          <t>Yes</t>
        </is>
      </c>
      <c r="AG1601" s="1" t="inlineStr">
        <is>
          <t>Black Swan srl - OfCourseMe</t>
        </is>
      </c>
      <c r="AH1601" s="1" t="inlineStr">
        <is>
          <t>https://twitter.com/Of_Course_Me</t>
        </is>
      </c>
      <c r="AI1601" s="1" t="inlineStr">
        <is>
          <t>https://www.linkedin.com/company/ofcourseme-official/mycompany/?viewAsMember=true</t>
        </is>
      </c>
      <c r="AJ1601" s="1" t="n"/>
    </row>
    <row r="1602" ht="12.5" customHeight="1">
      <c r="A1602" s="6" t="n">
        <v>45181</v>
      </c>
      <c r="B1602" s="1" t="inlineStr">
        <is>
          <t>ORG_2104</t>
        </is>
      </c>
      <c r="C1602" s="1" t="b">
        <v>1</v>
      </c>
      <c r="D1602" s="1" t="inlineStr">
        <is>
          <t>Pipplet</t>
        </is>
      </c>
      <c r="E1602" s="10" t="inlineStr">
        <is>
          <t>https://www.pipplet.com/</t>
        </is>
      </c>
      <c r="F1602" t="inlineStr">
        <is>
          <t>pipplet.com</t>
        </is>
      </c>
      <c r="G1602" s="1" t="inlineStr">
        <is>
          <t>Pipplet is the leading language testing solution for companies. Our test assesses the actual oral and written skills of your candidates, employees and learners in 40 languages. 100% human assessment, online and without appointment. Easy, fast and reliable. Trusted by prestigious clients such as Tiktok, Shopify, Accenture and Berlitz, Pipplet is now part of ETS Global (TOEIC, TOEFL).</t>
        </is>
      </c>
      <c r="H1602" s="1" t="inlineStr">
        <is>
          <t>EdTech France</t>
        </is>
      </c>
      <c r="I1602" s="1" t="n"/>
      <c r="J1602" s="1" t="inlineStr">
        <is>
          <t>Paris</t>
        </is>
      </c>
      <c r="K1602" t="inlineStr">
        <is>
          <t>Paris</t>
        </is>
      </c>
      <c r="L1602" t="inlineStr">
        <is>
          <t>Paris, France</t>
        </is>
      </c>
      <c r="M1602" t="n">
        <v>48.8534951</v>
      </c>
      <c r="N1602" t="n">
        <v>2.3483915</v>
      </c>
      <c r="O1602" s="1" t="inlineStr">
        <is>
          <t>France</t>
        </is>
      </c>
      <c r="P160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602" s="1" t="inlineStr">
        <is>
          <t>11 to 50</t>
        </is>
      </c>
      <c r="R1602" t="inlineStr">
        <is>
          <t>Small</t>
        </is>
      </c>
      <c r="S1602" s="1" t="inlineStr">
        <is>
          <t>Business to Business, Business to Schools</t>
        </is>
      </c>
      <c r="T1602" s="1" t="inlineStr">
        <is>
          <t>Higher Education, Corporate Training, Lifelong learning/Adult education</t>
        </is>
      </c>
      <c r="U1602" s="1" t="inlineStr">
        <is>
          <t>Teacher interfacing, System/Administrative</t>
        </is>
      </c>
      <c r="V1602" s="1" t="inlineStr">
        <is>
          <t>Pipplet</t>
        </is>
      </c>
      <c r="W1602" s="10" t="inlineStr">
        <is>
          <t>The Pipplet test assesses the actual oral and written skills of your candidates, employees and learners in 40 languages. 100% human assessment, online and without appointment. Easy, fast and reliable.</t>
        </is>
      </c>
      <c r="X1602" s="10" t="inlineStr">
        <is>
          <t>https://drive.google.com/uc?export=view&amp;id=1dVY7kcaZ3aEfEgJZzkOw12IO-5BAfVuj</t>
        </is>
      </c>
      <c r="Y1602" t="inlineStr">
        <is>
          <t>https://drive.google.com/uc?export=view&amp;id=1dVY7kcaZ3aEfEgJZzkOw12IO-5BAfVuj</t>
        </is>
      </c>
      <c r="Z1602" s="1" t="inlineStr">
        <is>
          <t>https://drive.google.com/uc?export=view&amp;id=1dVY7kcaZ3aEfEgJZzkOw12IO-5BAfVuj</t>
        </is>
      </c>
      <c r="AA1602" s="1" t="inlineStr">
        <is>
          <t>Unverified</t>
        </is>
      </c>
      <c r="AB1602" s="1" t="n"/>
      <c r="AC1602" s="1" t="n"/>
      <c r="AD1602" s="10" t="n"/>
      <c r="AE1602" s="1" t="n"/>
      <c r="AF1602" s="1" t="inlineStr">
        <is>
          <t>Yes</t>
        </is>
      </c>
      <c r="AG1602" s="1" t="inlineStr">
        <is>
          <t>https://twitter.com/pipplet</t>
        </is>
      </c>
      <c r="AH1602" s="1" t="inlineStr">
        <is>
          <t>https://twitter.com/pipplet</t>
        </is>
      </c>
      <c r="AI1602" s="1" t="inlineStr">
        <is>
          <t>https://fr.linkedin.com/company/pipplet</t>
        </is>
      </c>
      <c r="AJ1602" s="1" t="n"/>
    </row>
    <row r="1603" ht="12.5" customHeight="1">
      <c r="A1603" s="6" t="n">
        <v>45181</v>
      </c>
      <c r="B1603" s="1" t="inlineStr">
        <is>
          <t>ORG_2167</t>
        </is>
      </c>
      <c r="C1603" s="1" t="b">
        <v>1</v>
      </c>
      <c r="D1603" s="1" t="inlineStr">
        <is>
          <t>Reality Academy</t>
        </is>
      </c>
      <c r="E1603" s="10" t="inlineStr">
        <is>
          <t>www.reality-academy.fr</t>
        </is>
      </c>
      <c r="F1603" t="inlineStr">
        <is>
          <t>reality-academy.fr</t>
        </is>
      </c>
      <c r="G1603" s="1" t="inlineStr">
        <is>
          <t>Reality Academy is an edtech startup specialized in the production of immersive and interactive content. We developed a large catalogue of training in Virtual Reality that covers several topics such as : Management, Sales, Work Safety, Road Safety, Cybersecurity or Diversity.
Our pedagogical method based on the “Learning by Doing” approach allows to immerse the learner in conditional scenarios similar to reality, and thus to train him by practice while using the codes of gamification and emotion.
The results: 4x more efficient memorization of messages and 87% of learners who want to renew the experience.
To support the deployment of our solutions, we offer various related services:
- A VR headset pack with integrated training
- An LMS VR platform with results monitoring
- A session monitoring Application
From pedagogical design to filming, post-production and application development, Reality Academy develops the most innovative digital learning courses alongside recognized business experts.</t>
        </is>
      </c>
      <c r="H1603" s="1" t="inlineStr">
        <is>
          <t>EdTech France</t>
        </is>
      </c>
      <c r="I1603" s="1" t="n"/>
      <c r="J1603" s="1" t="inlineStr">
        <is>
          <t>Bagnolet</t>
        </is>
      </c>
      <c r="K1603" t="inlineStr">
        <is>
          <t>Bagnolet</t>
        </is>
      </c>
      <c r="L1603" t="inlineStr">
        <is>
          <t>Bagnolet, France</t>
        </is>
      </c>
      <c r="M1603" t="n">
        <v>48.8688199</v>
      </c>
      <c r="N1603" t="n">
        <v>2.4173658</v>
      </c>
      <c r="O1603" s="1" t="inlineStr">
        <is>
          <t>France</t>
        </is>
      </c>
      <c r="P1603" s="1" t="inlineStr">
        <is>
          <t>France</t>
        </is>
      </c>
      <c r="Q1603" s="1" t="inlineStr">
        <is>
          <t>11 to 50</t>
        </is>
      </c>
      <c r="R1603" t="inlineStr">
        <is>
          <t>Small</t>
        </is>
      </c>
      <c r="S1603" s="1" t="inlineStr">
        <is>
          <t>Business to Business, Business to Schools</t>
        </is>
      </c>
      <c r="T1603" s="1" t="inlineStr">
        <is>
          <t>Higher Education, Corporate Training, Lifelong learning/Adult education</t>
        </is>
      </c>
      <c r="U1603" s="1" t="inlineStr">
        <is>
          <t>Teacher interfacing, System/Administrative</t>
        </is>
      </c>
      <c r="V1603" s="1" t="inlineStr">
        <is>
          <t>VR training catalogue</t>
        </is>
      </c>
      <c r="W1603" s="10" t="inlineStr">
        <is>
          <t>Reality Academy has developed the widest range of VR training catalogues. Our goal is to provide the best training solution with a playful, immersive and innovative solution that boosts professional skills and raises awareness on issues. A "Learning by Doing" pedagogy that places the learners at the center of their training, giving them a strong and lasting emotional impact that increases memorization rate.
Our current available catalogues : Management VR, Sales VR, Mobility VR, HSE VR, Diversity VR, Cybersecurity VR.</t>
        </is>
      </c>
      <c r="X1603" s="10" t="inlineStr">
        <is>
          <t>Global Immersive Learning offer</t>
        </is>
      </c>
      <c r="Y1603" t="inlineStr">
        <is>
          <t>Reality Academy provide the most complete solution on the market worldwide to deploy Immersive Learning solution. Our goal is to revolutionize training with our playful, immersive and interactive approach. A major innovation to meet the training challenges of companies: attracting talent and effectively developing their skills.
It includes : VR training, VR headset pack, an LMS VR platform with both a learner and a trainer login, and a session monitoring Application.</t>
        </is>
      </c>
      <c r="Z1603" s="1" t="inlineStr">
        <is>
          <t>https://drive.google.com/uc?export=view&amp;id=1TVBy94oBak8NOpKYf99jIy20Mbb6l-Hi</t>
        </is>
      </c>
      <c r="AA1603" s="1" t="inlineStr">
        <is>
          <t>Unverified</t>
        </is>
      </c>
      <c r="AB1603" s="1" t="n"/>
      <c r="AC1603" s="1" t="n"/>
      <c r="AD1603" s="10" t="n"/>
      <c r="AE1603" s="1" t="n"/>
      <c r="AF1603" s="1" t="inlineStr">
        <is>
          <t>Yes</t>
        </is>
      </c>
      <c r="AG1603" s="1" t="inlineStr">
        <is>
          <t>https://twitter.com/realityacademyf</t>
        </is>
      </c>
      <c r="AH1603" s="1" t="inlineStr">
        <is>
          <t>https://twitter.com/realityacademyf</t>
        </is>
      </c>
      <c r="AI1603" s="1" t="inlineStr">
        <is>
          <t>https://www.linkedin.com/company/reality-academy</t>
        </is>
      </c>
      <c r="AJ1603" s="1" t="n"/>
    </row>
    <row r="1604" ht="12.5" customHeight="1">
      <c r="A1604" s="6" t="n">
        <v>45181</v>
      </c>
      <c r="B1604" s="1" t="inlineStr">
        <is>
          <t>ORG_2196</t>
        </is>
      </c>
      <c r="C1604" s="1" t="b">
        <v>1</v>
      </c>
      <c r="D1604" s="1" t="inlineStr">
        <is>
          <t>Robotikos Akademija</t>
        </is>
      </c>
      <c r="E1604" s="10" t="inlineStr">
        <is>
          <t>www.robotikosakademija.lt</t>
        </is>
      </c>
      <c r="F1604" t="inlineStr">
        <is>
          <t>robotikosakademija.lt</t>
        </is>
      </c>
      <c r="G1604" s="1" t="inlineStr">
        <is>
          <t>Robotics Academy is informal education company based in Lithuania that focuses on bringing robotics education into every child's life. The main goal of Robotics Academy is to raise a new generation of technology creators who by learning meaningfully today will create inspiring and purposeful changes in the future. Currently, Robotics Academy has 7000 weekly students in Lithuania that go to physical robotics afterschool classes in 90% of Lithuania's Schools. It is operated by 100 teachers and 40 people administration team. It has its own content department and uses state-of-the-art LEGO Education robots and Apple Ipad computers. It is a unique blend of their own created educational universe, with a fictional characters-based curriculum which makes students very involved in learning the real-life application of STEM knowledge and tools.</t>
        </is>
      </c>
      <c r="H1604" s="1" t="inlineStr">
        <is>
          <t>EdTech Lithuania</t>
        </is>
      </c>
      <c r="I1604" s="1" t="n"/>
      <c r="J1604" s="1" t="inlineStr">
        <is>
          <t>Vilnius</t>
        </is>
      </c>
      <c r="K1604" t="inlineStr">
        <is>
          <t>Vilnius</t>
        </is>
      </c>
      <c r="L1604" t="inlineStr">
        <is>
          <t>Vilnius, Lithuania</t>
        </is>
      </c>
      <c r="M1604" t="n">
        <v>54.6870458</v>
      </c>
      <c r="N1604" t="n">
        <v>25.2829111</v>
      </c>
      <c r="O1604" s="1" t="inlineStr">
        <is>
          <t>Lithuania</t>
        </is>
      </c>
      <c r="P1604" s="1" t="inlineStr">
        <is>
          <t>Lithuania</t>
        </is>
      </c>
      <c r="Q1604" s="1" t="inlineStr">
        <is>
          <t>11 to 50</t>
        </is>
      </c>
      <c r="R1604" t="inlineStr">
        <is>
          <t>Small</t>
        </is>
      </c>
      <c r="S1604" s="1" t="inlineStr">
        <is>
          <t>Business to Business, Business to Schools</t>
        </is>
      </c>
      <c r="T1604" s="1" t="inlineStr">
        <is>
          <t>Early childhood development (0-5 years), Primary Education</t>
        </is>
      </c>
      <c r="U1604" s="1" t="inlineStr">
        <is>
          <t>System/Administrative, Student interfacing</t>
        </is>
      </c>
      <c r="V1604" s="10" t="inlineStr">
        <is>
          <t>Robotics aftreschool classes</t>
        </is>
      </c>
      <c r="W1604" s="1" t="inlineStr">
        <is>
          <t>Robotics Afterschool classes (Grade 1 to 4) that teach children the basics of robotics, engineering, electronics, and programming. Also introduces the field of STEM. We do this by using the most advanced LEGO Education robotics kits and apple Ipad tablets. In our lessons students from ages, 4 to 12 learn how to solve problems by using digital and physical tools combination. At the end of our 8 years course, children will be fully available to grasp, understand and use the basics of the Engineering design thinking method and use it with any kind of building kit and graphical programming environment.</t>
        </is>
      </c>
      <c r="X1604" s="10" t="inlineStr">
        <is>
          <t>https://drive.google.com/uc?export=view&amp;id=1dZlGDvBJ_hyyophdqlQbsbDRaE6SWRYS</t>
        </is>
      </c>
      <c r="Y1604" t="inlineStr">
        <is>
          <t>https://drive.google.com/uc?export=view&amp;id=1dZlGDvBJ_hyyophdqlQbsbDRaE6SWRYS</t>
        </is>
      </c>
      <c r="Z1604" s="1" t="inlineStr">
        <is>
          <t>https://drive.google.com/uc?export=view&amp;id=1dZlGDvBJ_hyyophdqlQbsbDRaE6SWRYS</t>
        </is>
      </c>
      <c r="AA1604" s="1" t="inlineStr">
        <is>
          <t>Unverified</t>
        </is>
      </c>
      <c r="AB1604" s="1" t="n"/>
      <c r="AC1604" s="1" t="n"/>
      <c r="AD1604" s="10" t="n"/>
      <c r="AE1604" s="1" t="n"/>
      <c r="AF1604" s="1" t="inlineStr">
        <is>
          <t>Yes</t>
        </is>
      </c>
      <c r="AG1604" s="1" t="inlineStr">
        <is>
          <t>https://www.instagram.com/robotikosakademija/?hl=en</t>
        </is>
      </c>
      <c r="AH1604" s="1" t="inlineStr">
        <is>
          <t>https://www.linkedin.com/company/robotikosakademija</t>
        </is>
      </c>
      <c r="AI1604" s="1" t="inlineStr">
        <is>
          <t>https://www.linkedin.com/company/robotikosakademija</t>
        </is>
      </c>
      <c r="AJ1604" s="1" t="n"/>
    </row>
    <row r="1605" ht="12.5" customHeight="1">
      <c r="A1605" s="6" t="n">
        <v>45181</v>
      </c>
      <c r="B1605" s="1" t="inlineStr">
        <is>
          <t>ORG_2234</t>
        </is>
      </c>
      <c r="C1605" s="1" t="b">
        <v>1</v>
      </c>
      <c r="D1605" s="1" t="inlineStr">
        <is>
          <t>Sharing Academy</t>
        </is>
      </c>
      <c r="E1605" s="10" t="inlineStr">
        <is>
          <t>https://sharingacademy.com</t>
        </is>
      </c>
      <c r="F1605" t="inlineStr">
        <is>
          <t>sharingacademy.com</t>
        </is>
      </c>
      <c r="G1605" s="1" t="inlineStr">
        <is>
          <t>Sharing Academy is a peer-to-peer tutoring marketplace that allows students to offer and to find peer-tutoring classes from any course within his degree and university.
Our innovation relies in offering the trust and safety students are looking for in a peer-tutor:
1. Tutor’s identity verification.
2. Tutor’s degree verification.
3. Tutor’s academic record verification
4. Friends’ and colleagues’ recommendations.
5. Tutor’s class reviews that include 6 main characteristics for the classes they tutor: communication, class preparation, knowledge transfer, passion for teaching, punctuality and positive attitude.
The positive effects of this connection are numerous: not only do peers in need of help find answers to their questions, but it encourages sharing subject-specific knowledge between members of the same community. Colleagues who never met before create powerful bonds with their peers. And most importantly, according the pyramid of learning of William Glasser, the best way of learning is teaching.</t>
        </is>
      </c>
      <c r="H1605" s="1" t="inlineStr">
        <is>
          <t>SEK Lab</t>
        </is>
      </c>
      <c r="I1605" s="1" t="inlineStr">
        <is>
          <t>Spanish, Catalan, English</t>
        </is>
      </c>
      <c r="J1605" s="1" t="inlineStr">
        <is>
          <t>Barcelona</t>
        </is>
      </c>
      <c r="K1605" t="inlineStr">
        <is>
          <t>Barcelona</t>
        </is>
      </c>
      <c r="L1605" t="inlineStr">
        <is>
          <t>Barcelona, Spain</t>
        </is>
      </c>
      <c r="M1605" t="n">
        <v>41.3825802</v>
      </c>
      <c r="N1605" t="n">
        <v>2.177073</v>
      </c>
      <c r="O1605" s="1" t="inlineStr">
        <is>
          <t>Spain</t>
        </is>
      </c>
      <c r="P1605" s="1" t="inlineStr">
        <is>
          <t>Spain</t>
        </is>
      </c>
      <c r="Q1605" s="1" t="inlineStr">
        <is>
          <t>0 to 2</t>
        </is>
      </c>
      <c r="R1605" t="inlineStr">
        <is>
          <t>Solo entrepreneur</t>
        </is>
      </c>
      <c r="S1605" s="1" t="inlineStr">
        <is>
          <t>Business to Consumer</t>
        </is>
      </c>
      <c r="T1605" s="1" t="inlineStr">
        <is>
          <t>Secondary Education, Corporate Training, Vocational Education and Training (VET), Higher Education</t>
        </is>
      </c>
      <c r="U1605" s="1" t="inlineStr">
        <is>
          <t>Student interfacing, System/Administrative</t>
        </is>
      </c>
      <c r="V1605" s="10" t="inlineStr">
        <is>
          <t>Sharing Academy</t>
        </is>
      </c>
      <c r="W1605" s="10" t="inlineStr">
        <is>
          <t>Sharing Academy is a peer-to-peer tutoring marketplace that allows students to offer and to find peer-tutoring classes from any course within his degree and university.</t>
        </is>
      </c>
      <c r="X1605" s="10" t="inlineStr">
        <is>
          <t>https://drive.google.com/uc?export=view&amp;id=1QOI7WEQov6DsbAG_qIVpJ7ZZBClCoZ_J</t>
        </is>
      </c>
      <c r="Y1605" t="inlineStr">
        <is>
          <t>https://drive.google.com/uc?export=view&amp;id=1QOI7WEQov6DsbAG_qIVpJ7ZZBClCoZ_J</t>
        </is>
      </c>
      <c r="Z1605" s="1" t="inlineStr">
        <is>
          <t>https://drive.google.com/uc?export=view&amp;id=1QOI7WEQov6DsbAG_qIVpJ7ZZBClCoZ_J</t>
        </is>
      </c>
      <c r="AA1605" s="1" t="inlineStr">
        <is>
          <t>Unverified</t>
        </is>
      </c>
      <c r="AB1605" s="1" t="n"/>
      <c r="AC1605" s="1" t="n"/>
      <c r="AD1605" s="10" t="n"/>
      <c r="AE1605" s="1" t="n"/>
      <c r="AF1605" s="1" t="inlineStr">
        <is>
          <t>Yes</t>
        </is>
      </c>
      <c r="AG1605" s="1" t="inlineStr">
        <is>
          <t>https://www.instagram.com/sharingacademy/</t>
        </is>
      </c>
      <c r="AH1605" s="1" t="inlineStr">
        <is>
          <t>https://twitter.com/SharingAcademy</t>
        </is>
      </c>
      <c r="AI1605" s="1" t="inlineStr">
        <is>
          <t>https://www.linkedin.com/company/5217616/admin/</t>
        </is>
      </c>
      <c r="AJ1605" s="1" t="n"/>
    </row>
    <row r="1606" ht="12.5" customHeight="1">
      <c r="A1606" s="6" t="n">
        <v>45181</v>
      </c>
      <c r="B1606" s="1" t="inlineStr">
        <is>
          <t>ORG_2236</t>
        </is>
      </c>
      <c r="C1606" s="1" t="b">
        <v>1</v>
      </c>
      <c r="D1606" s="1" t="inlineStr">
        <is>
          <t>Sight-O</t>
        </is>
      </c>
      <c r="E1606" s="10" t="inlineStr">
        <is>
          <t>https://www.sight-o.io</t>
        </is>
      </c>
      <c r="F1606" t="inlineStr">
        <is>
          <t>sight-o.io</t>
        </is>
      </c>
      <c r="G1606" s="1" t="inlineStr">
        <is>
          <t>Sight-O is a Music EdTech startup that develops and markets a digital and interactive method of sight reading. Sight reading is the action of playing a previously unknown score. This fundamental discipline gives the power to explore musical repertoires more easily.</t>
        </is>
      </c>
      <c r="H1606" s="1" t="inlineStr">
        <is>
          <t>AFINEF, EdTech France</t>
        </is>
      </c>
      <c r="I1606" s="1" t="n"/>
      <c r="J1606" s="1" t="inlineStr">
        <is>
          <t>Champs-Sur-Marne</t>
        </is>
      </c>
      <c r="K1606" t="inlineStr">
        <is>
          <t>Champs-Sur-Marne</t>
        </is>
      </c>
      <c r="L1606" t="inlineStr">
        <is>
          <t>Champs-Sur-Marne, France</t>
        </is>
      </c>
      <c r="M1606" t="n">
        <v>48.8526892</v>
      </c>
      <c r="N1606" t="n">
        <v>2.6027219</v>
      </c>
      <c r="O1606" s="1" t="inlineStr">
        <is>
          <t>France</t>
        </is>
      </c>
      <c r="P1606" s="1" t="inlineStr">
        <is>
          <t>Belgium, France, Germany, Italy, Spain, Switzerland, United Kingdom</t>
        </is>
      </c>
      <c r="Q1606" s="1" t="inlineStr">
        <is>
          <t>0 to 10</t>
        </is>
      </c>
      <c r="R1606" t="inlineStr">
        <is>
          <t>Micro</t>
        </is>
      </c>
      <c r="S1606" s="1" t="inlineStr">
        <is>
          <t>Business to Consumer</t>
        </is>
      </c>
      <c r="T1606" s="1" t="inlineStr">
        <is>
          <t>Primary Education, Lifelong learning/Adult education</t>
        </is>
      </c>
      <c r="U1606" s="1" t="inlineStr">
        <is>
          <t>System/Administrative, Student interfacing, Teacher interfacing</t>
        </is>
      </c>
      <c r="V1606" s="10" t="inlineStr">
        <is>
          <t>Sight-O - Sight reading interactive method</t>
        </is>
      </c>
      <c r="W1606" s="10" t="inlineStr">
        <is>
          <t>With the help of 10,000 original adapted exercises and an animated rectangular "Mask" that moves over the score from pulse to pulse, the method helps to re-educate the musician's eye movement and to develop his reading reflexes. 
An ancestral method finally digitized, Sight-O wants to combine the ultra-efficient methods of the past with current technologies and uses, through a playful interface where the learning experience is at the heart of the concerns.
Thanks to the computer's microphone, the user is corrected by Sight-O which gives him a score and the possibility to listen to his performance again.</t>
        </is>
      </c>
      <c r="X1606" s="10" t="inlineStr">
        <is>
          <t>https://drive.google.com/uc?export=view&amp;id=1RVw34vAkgVRdFhXUNtikn3V2lfUG0bC_</t>
        </is>
      </c>
      <c r="Y1606" t="inlineStr">
        <is>
          <t>https://drive.google.com/uc?export=view&amp;id=1RVw34vAkgVRdFhXUNtikn3V2lfUG0bC_</t>
        </is>
      </c>
      <c r="Z1606" s="1" t="inlineStr">
        <is>
          <t>https://drive.google.com/uc?export=view&amp;id=1RVw34vAkgVRdFhXUNtikn3V2lfUG0bC_</t>
        </is>
      </c>
      <c r="AA1606" s="1" t="inlineStr">
        <is>
          <t>Unverified</t>
        </is>
      </c>
      <c r="AB1606" s="1" t="n"/>
      <c r="AC1606" s="1" t="n"/>
      <c r="AD1606" s="10" t="n"/>
      <c r="AE1606" s="1" t="n"/>
      <c r="AF1606" s="1" t="inlineStr">
        <is>
          <t>Yes</t>
        </is>
      </c>
      <c r="AG1606" s="1" t="inlineStr">
        <is>
          <t>https://www.instagram.com/sighto.io/</t>
        </is>
      </c>
      <c r="AH1606" s="1" t="inlineStr">
        <is>
          <t>https://twitter.com/sighto_io</t>
        </is>
      </c>
      <c r="AI1606" s="1" t="inlineStr">
        <is>
          <t>https://fr.linkedin.com/company/sight-o</t>
        </is>
      </c>
      <c r="AJ1606" s="1" t="n"/>
    </row>
    <row r="1607" ht="12.5" customHeight="1">
      <c r="A1607" s="6" t="n">
        <v>45181</v>
      </c>
      <c r="B1607" s="1" t="inlineStr">
        <is>
          <t>ORG_2259</t>
        </is>
      </c>
      <c r="C1607" s="1" t="b">
        <v>1</v>
      </c>
      <c r="D1607" s="1" t="inlineStr">
        <is>
          <t>Skillsoft/ Global KNowledge</t>
        </is>
      </c>
      <c r="E1607" s="10" t="inlineStr">
        <is>
          <t>https://www.globalknowledge.com/fr-fr/</t>
        </is>
      </c>
      <c r="F1607" t="inlineStr">
        <is>
          <t>globalknowledge.com/fr-fr</t>
        </is>
      </c>
      <c r="G1607" s="1" t="inlineStr">
        <is>
          <t>Global Knowledge, une organisation du groupe Skillsoft ​
Global Knowledge est un leader mondial de la formation informatique et technologique, aidant les individus et les organisations à acquérir les compétences dont ils ont besoin pour réussir dans un monde en constante évolution.
Avec un réseau international de bureaux et centres de formation, Global Knowledge a la flexibilité unique de proposer un large portefeuille de cours dans plus de 100 pays, sur site ou distance et via un réseau de partenaires mondial.
Créée en 1995, Global Knowledge comprend 1000 employés à travers le monde et contribue au succès de plus de 200,000 professionnels IT chaque année.
En juin 2021, Global Knowledge fusionne avec Skillsoft pour créer le leader mondial de la formation en entreprise.
Leadership
Investisseurs
Que vous vous en doutiez ou non, vos compétences sont la clé de votre succès. La technologie et les processus sont essentiels pour atteindre les objectifs organisationnels. Même s'ils ont été démocratisés par la révolution numérique, le plus grand challenge reste le manque de compétences qui détourne votre retour sur les investissements technologiques. Les organisations qui utilisent avec succès la technologie pour accélérer leur performance transforment également avec succès les capacités de leurs employés afin de maximiser leurs investissements.
Un ancrage fort au sein de la communauté technologique
Notre contribution au sein de la communauté technologique mondiale va bien au-delà de la formation informatique. La portée croissante de la technologie fait en sorte que chaque collaborateur dans l'entreprise devient un professionnel de la technologie. Les rôles spécialisés hyper-ciblés sont plus que jamais nécessaires, mais nous devons aussi compter sur des compétences transverses. Notre mission est de répondre à un panorama complet de profils au sein des organisations. Ainsi, nous formons au-delà des sujets traditionnels de l'informatique et formons plus que les équipes IT des entreprises.
Nos équipes pédagogiques ont élaboré des programmes fondés sur les «Best Practices» pour répondre aux attentes des dirigeants et accompagner les managers et leurs équipes.
En synthèse, la performance durable et le développement d’une entreprise reposent sur la maîtrise de ses systèmes, l’organisation et les processus, mais aussi essentiellement, sur la qualité du management de son capital humain. Que vous gériez des initiatives technologiques critiques, que vous développiez votre vivier de talents ou que vous lanciez de nouveaux produits et services sur le marché, nos solutions de formation innovantes et flexibles vous permettront de réussir.
Pourquoi Global Knowledge?
Un IMPACT durable, évolutif et reproductible - avec un minimum d'interruption. Depuis plus de 25 ans, les organisations, petites et grandes, les éditeurs et constructeurs informatiques, et les gouvernements du monde entier s'adressent à Global Knowledge.
En offrant un accès à des experts en la matière, en délivrant des formations agréées et à la pointe de l'industrie grâce à de multiples formats, nous préparons le terrain pour votre succès en réduisant les écarts de compétences. Vous constaterez également des répercussions positives sur l'intégration et la fidélisation des employés grâce à l'amélioration des compétences et à une plus grande satisfaction au travail.
Tout cela dépend du niveau de qualité que nous nous sommes fixé. Nous croyons en l'uniformité et maintenons des normes internes rigoureuses afin de vous offrir une expérience de formation exceptionnelle partout dans le monde. Seul un organisme de formation indépendant, multi-spécialiste, peut vous garantir cela.
Les faits :
Le plus grand groupe de formation mondial dédié IT et Méthodes
+ 5 000 sessions garanties par an
+ 3 000 formations uniques
+ 1 100 experts 95% de taux de satisfaction global
Partenaire formation agréé sur : Amazon Web Services, Cisco, Citrix, IBM, Microsoft, VMware, etc, et d'autres références internationales comme ITIL® ou PMP.
Présent dans plus de 100 pays (et dans les eaux internationales)
Nos garanties qualité
Les garanties Global KnowledgeDécouvrez toutes les bonnes raisons de nous faire confiance
qualité formationGlobal Knowledge est certifié Qualiopi
Equipes pédagogiquesNos équipes pédagogiques
En ligne et dans le monde entier
Depuis 1995, le nombre d'employés a cru pour atteindre aujourd'hui 1500 personnes dans le monde. Le siège social du groupe est situé à Cary, en Caroline du Nord (États-Unis). Le siège social canadien se trouve à Toronto, et notre siège social EMEA (Europe, Moyen-Orient et Afrique) se trouve à Wokingham, au Royaume-Uni.
Sites internationaux : Belgique, Canada, Danemark, Égypte, France, Irlande, Pays-Bas, Norvège, Qatar, Arabie Saoudite, Espagne, Suède et Émirats Arabes Unis.
Rendez-vous sur globalknowledge.com
A travers nos centres et nos capacités de formation en ligne, nous délivrons ce que vous recherchez, au moment et où vous en avez besoin. Et cela, nous le faisons tous les jours.</t>
        </is>
      </c>
      <c r="H1607" s="1" t="inlineStr">
        <is>
          <t>EdTech France</t>
        </is>
      </c>
      <c r="I1607" s="1" t="n"/>
      <c r="J1607" s="1" t="inlineStr">
        <is>
          <t>Rueil Malmaison</t>
        </is>
      </c>
      <c r="K1607" t="inlineStr">
        <is>
          <t>Rueil Malmaison</t>
        </is>
      </c>
      <c r="L1607" t="inlineStr">
        <is>
          <t>Rueil Malmaison, France</t>
        </is>
      </c>
      <c r="M1607" t="n">
        <v>48.87778</v>
      </c>
      <c r="N1607" t="n">
        <v>2.1802832</v>
      </c>
      <c r="O1607" s="1" t="inlineStr">
        <is>
          <t>France</t>
        </is>
      </c>
      <c r="P1607" s="1" t="inlineStr">
        <is>
          <t>Belgium, Denmark, France, Ireland, Luxembourg, Monaco, Netherlands, Norway, Spain, Sweden, Switzerland, United Kingdom</t>
        </is>
      </c>
      <c r="Q1607" s="1" t="inlineStr">
        <is>
          <t>500+</t>
        </is>
      </c>
      <c r="R1607" t="inlineStr">
        <is>
          <t>Large</t>
        </is>
      </c>
      <c r="S1607" s="1" t="inlineStr">
        <is>
          <t>Business to Consumer</t>
        </is>
      </c>
      <c r="T1607" s="1" t="inlineStr">
        <is>
          <t>Secondary Education, Higher Education, Corporate Training, Lifelong learning/Adult education</t>
        </is>
      </c>
      <c r="U1607" s="1" t="inlineStr">
        <is>
          <t>System/Administrative, Student interfacing</t>
        </is>
      </c>
      <c r="V1607" s="1" t="inlineStr">
        <is>
          <t>Formation Informatique et Business Management</t>
        </is>
      </c>
      <c r="W1607" s="1" t="inlineStr">
        <is>
          <t>DOMAINES
Analyse Business
Architecture d'entreprise TOGAF®
Big Data
BlockchainBusiness et Management
Cloud Computing
Conteneurs
Cybersécurité
Datacenter
DevOps
Excellence Opérationnelle et Lean
Fondamentaux IT
Gestion de données
Gestion de projets
Gouvernance IT et Conformité
Infrastructure et Systèmes
Intelligence Artificielle (IA) et Machine Learning
Internet des Objets (IoT)
ITIL® : Gestion des services IT
Java
Langages et Développement
Linux Systèmes et Serveurs
Management de réseaux
Mobile Device 
Management
Méthode Agile Scrum
Réseaux informatiques
Réseaux Wireless (sans-fil)
Solutions collaboratives
Technologies Emergentes
Virtualisation des SI</t>
        </is>
      </c>
      <c r="X1607" s="10" t="inlineStr">
        <is>
          <t>Formation Informatique et Business Management</t>
        </is>
      </c>
      <c r="Y1607" t="inlineStr">
        <is>
          <t>EDITEURS INFORMATIQUES
Formation (ISC)²
Formation Avaya
Formation AWS Amazon Web Services
Formation Cisco
Formation Citrix
Formation CompTIA
Formation Google Cloud Platform
Formation IBM : Systèmes et Software
Formation ISACAFormation Juniper Networks
Formation Microsoft
Formation Mirantis
Formation Nutanix
Formation Palo Alto
Formation Red Hat
Formation SAFe - Scaled Agile Framework
Formation ServiceNow
Formation Veeam
Formation VMware</t>
        </is>
      </c>
      <c r="Z1607" s="1" t="n"/>
      <c r="AA1607" s="1" t="inlineStr">
        <is>
          <t>Unverified</t>
        </is>
      </c>
      <c r="AB1607" s="1" t="n"/>
      <c r="AC1607" s="1" t="n"/>
      <c r="AD1607" s="1" t="n"/>
      <c r="AE1607" s="1" t="n"/>
      <c r="AF1607" s="1" t="inlineStr">
        <is>
          <t>Yes</t>
        </is>
      </c>
      <c r="AG1607" s="1" t="inlineStr">
        <is>
          <t>https://www.linkedin.com/company/global-knowledge-training/</t>
        </is>
      </c>
      <c r="AH1607" s="1" t="inlineStr">
        <is>
          <t>https://www.linkedin.com/company/global-knowledge-training/</t>
        </is>
      </c>
      <c r="AI1607" s="1" t="inlineStr">
        <is>
          <t>https://www.linkedin.com/company/global-knowledge-training/</t>
        </is>
      </c>
      <c r="AJ1607" s="1" t="n"/>
    </row>
    <row r="1608" ht="12.5" customHeight="1">
      <c r="A1608" s="6" t="n">
        <v>45181</v>
      </c>
      <c r="B1608" s="1" t="inlineStr">
        <is>
          <t>ORG_2276</t>
        </is>
      </c>
      <c r="C1608" s="1" t="b">
        <v>1</v>
      </c>
      <c r="D1608" s="1" t="inlineStr">
        <is>
          <t>Smartch</t>
        </is>
      </c>
      <c r="E1608" s="10" t="inlineStr">
        <is>
          <t>http://www.smartch.fr/</t>
        </is>
      </c>
      <c r="F1608" t="inlineStr">
        <is>
          <t>smartch.fr</t>
        </is>
      </c>
      <c r="G1608" s="1" t="inlineStr">
        <is>
          <t>Smartch is a team of digital learning experts, supporting its customers on any subject linked to training and digital learning. 
From choosing and implementing tools / platforms fully integrated in their information system to developing tailor-made contents, with any technology (authoring tools as well as Full 3D, VR, IV...).
Smartch is an Edtech, as it develops its own technology, and a training company Qualiopi-certified (French quality certification).</t>
        </is>
      </c>
      <c r="H1608" s="1" t="inlineStr">
        <is>
          <t>EdTech France</t>
        </is>
      </c>
      <c r="I1608" s="1" t="n"/>
      <c r="J1608" s="1" t="inlineStr">
        <is>
          <t>Paris</t>
        </is>
      </c>
      <c r="K1608" t="inlineStr">
        <is>
          <t>Paris</t>
        </is>
      </c>
      <c r="L1608" t="inlineStr">
        <is>
          <t>Paris, France</t>
        </is>
      </c>
      <c r="M1608" t="n">
        <v>48.8534951</v>
      </c>
      <c r="N1608" t="n">
        <v>2.3483915</v>
      </c>
      <c r="O1608" s="1" t="inlineStr">
        <is>
          <t>France</t>
        </is>
      </c>
      <c r="P1608" s="1" t="inlineStr">
        <is>
          <t>France</t>
        </is>
      </c>
      <c r="Q1608" s="1" t="inlineStr">
        <is>
          <t>11 to 50</t>
        </is>
      </c>
      <c r="R1608" t="inlineStr">
        <is>
          <t>Small</t>
        </is>
      </c>
      <c r="S1608" s="1" t="inlineStr">
        <is>
          <t>Business to Consumer</t>
        </is>
      </c>
      <c r="T1608" s="1" t="inlineStr">
        <is>
          <t>Corporate Training, Lifelong learning/Adult education</t>
        </is>
      </c>
      <c r="U1608" s="1" t="inlineStr">
        <is>
          <t>Teacher interfacing, Student interfacing, System/Administrative</t>
        </is>
      </c>
      <c r="V1608" s="1" t="inlineStr">
        <is>
          <t>Ecosystems</t>
        </is>
      </c>
      <c r="W1608" s="1" t="inlineStr">
        <is>
          <t>We support our customers in all phases for the choice, implementation and run of their training ecosystem. We provide fully personalized solutions, based on existing platforms on the market on which we add specific developments when required to fully integrate the ecosystem in the customer's information system.</t>
        </is>
      </c>
      <c r="X1608" s="10" t="inlineStr">
        <is>
          <t>Tailor-made contents</t>
        </is>
      </c>
      <c r="Y1608" t="inlineStr">
        <is>
          <t>We create tailor-made contents, in fully digital, mobile or blended learning, using various technologies on the market (authoring tools, Full 3D, VR/AR...).
Our team is expert in pedagogy and technology and adapts to all your learning projects.</t>
        </is>
      </c>
      <c r="Z1608" s="1" t="inlineStr">
        <is>
          <t>https://drive.google.com/uc?export=view&amp;id=1dGNT6OLhI8APNt83gu61_YvR09aTKfgC</t>
        </is>
      </c>
      <c r="AA1608" s="1" t="inlineStr">
        <is>
          <t>Unverified</t>
        </is>
      </c>
      <c r="AB1608" s="1" t="n"/>
      <c r="AC1608" s="1" t="n"/>
      <c r="AD1608" s="10" t="n"/>
      <c r="AE1608" s="1" t="n"/>
      <c r="AF1608" s="1" t="inlineStr">
        <is>
          <t>Yes</t>
        </is>
      </c>
      <c r="AG1608" s="1" t="inlineStr">
        <is>
          <t>https://www.linkedin.com/company/smartch/</t>
        </is>
      </c>
      <c r="AH1608" s="1" t="inlineStr">
        <is>
          <t>https://www.linkedin.com/company/smartch/</t>
        </is>
      </c>
      <c r="AI1608" s="1" t="inlineStr">
        <is>
          <t>https://www.linkedin.com/company/smartch/</t>
        </is>
      </c>
      <c r="AJ1608" s="1" t="n"/>
    </row>
    <row r="1609" ht="12.5" customHeight="1">
      <c r="A1609" s="6" t="n">
        <v>45181</v>
      </c>
      <c r="B1609" s="1" t="inlineStr">
        <is>
          <t>ORG_2289</t>
        </is>
      </c>
      <c r="C1609" s="1" t="b">
        <v>1</v>
      </c>
      <c r="D1609" s="1" t="inlineStr">
        <is>
          <t>SOFT KIDS</t>
        </is>
      </c>
      <c r="E1609" s="10" t="inlineStr">
        <is>
          <t>https://www.softkids.net/en/home/</t>
        </is>
      </c>
      <c r="F1609" t="inlineStr">
        <is>
          <t>softkids.net/en/home</t>
        </is>
      </c>
      <c r="G1609" s="1" t="inlineStr">
        <is>
          <t>Soft Kids is the 1st worldwilde application for developing kid's soft skills with gamification. 
It supports teachers and parents for developing 21st century skills.</t>
        </is>
      </c>
      <c r="H1609" s="1" t="inlineStr">
        <is>
          <t>EdTech France</t>
        </is>
      </c>
      <c r="I1609" s="1" t="n"/>
      <c r="J1609" s="1" t="inlineStr">
        <is>
          <t>Saint-Cloud</t>
        </is>
      </c>
      <c r="K1609" t="inlineStr">
        <is>
          <t>Saint-Cloud</t>
        </is>
      </c>
      <c r="L1609" t="inlineStr">
        <is>
          <t>Saint-Cloud, France</t>
        </is>
      </c>
      <c r="M1609" t="n">
        <v>48.8437412</v>
      </c>
      <c r="N1609" t="n">
        <v>2.219344</v>
      </c>
      <c r="O1609" s="1" t="inlineStr">
        <is>
          <t>France</t>
        </is>
      </c>
      <c r="P160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Q1609" s="1" t="inlineStr">
        <is>
          <t>0 to 10</t>
        </is>
      </c>
      <c r="R1609" t="inlineStr">
        <is>
          <t>Micro</t>
        </is>
      </c>
      <c r="S1609" s="1" t="inlineStr">
        <is>
          <t>Business to Consumer</t>
        </is>
      </c>
      <c r="T1609" s="1" t="inlineStr">
        <is>
          <t>Primary Education, Secondary Education</t>
        </is>
      </c>
      <c r="U1609" s="1" t="inlineStr">
        <is>
          <t>System/Administrative, Student interfacing, Teacher interfacing</t>
        </is>
      </c>
      <c r="V1609" s="10" t="inlineStr">
        <is>
          <t>SOFT KIDS</t>
        </is>
      </c>
      <c r="W1609" s="10" t="inlineStr">
        <is>
          <t>SOFT KIDS is the first interactive application for cultivating children's soft skills as a family. 
Soft Skills are the essential behavioural competencies of the 21st century (source OECD - Education Report 2030). 
With Soft Kids, children are fulfilled and prepared for tomorrow's world!
In addition, your child will learn to use the screen in a responsible and interactive way. We develop programmes for each soft skill with experts.
The whole family and teachers have their own interface to follow kid's progress.
Each programme consists of 10 modules with videos, quizzes and games. With each game, your child earns drops of water and can water and grow the Soft Kids tree.
An interface, dedicated to adults, allows to follow the answers and the progress made by the child. We also share tips and tricks in a library to help parents better understand the concept of soft skills. 
Programme 1: "Feeling good about yourself" to cultivate your self-confidence
Programme 2: "Super Polite" to cultivate politeness and good manners
Programme 3: "I can do it!" to cultivate perseverance
Programme 4: "I have opinions!" to cultivate critival thinking
Programme 5: "I have emotions!" to cultivate emotion management
+ new ones every month.</t>
        </is>
      </c>
      <c r="X1609" s="10" t="inlineStr">
        <is>
          <t>https://drive.google.com/uc?export=view&amp;id=1DKOaVlm6LkveEnlDJqMknO58jsVr95NQ</t>
        </is>
      </c>
      <c r="Y1609" t="inlineStr">
        <is>
          <t>https://drive.google.com/uc?export=view&amp;id=1DKOaVlm6LkveEnlDJqMknO58jsVr95NQ</t>
        </is>
      </c>
      <c r="Z1609" s="1" t="inlineStr">
        <is>
          <t>https://drive.google.com/uc?export=view&amp;id=1DKOaVlm6LkveEnlDJqMknO58jsVr95NQ</t>
        </is>
      </c>
      <c r="AA1609" s="1" t="inlineStr">
        <is>
          <t>Unverified</t>
        </is>
      </c>
      <c r="AB1609" s="1" t="n"/>
      <c r="AC1609" s="1" t="n"/>
      <c r="AD1609" s="10" t="n"/>
      <c r="AE1609" s="1" t="n"/>
      <c r="AF1609" s="1" t="inlineStr">
        <is>
          <t>Yes</t>
        </is>
      </c>
      <c r="AG1609" s="1" t="inlineStr">
        <is>
          <t>https://www.instagram.com/soft_kids_apps/?hl=fr</t>
        </is>
      </c>
      <c r="AH1609" s="1" t="inlineStr">
        <is>
          <t>https://twitter.com/kids_soft</t>
        </is>
      </c>
      <c r="AI1609" s="1" t="inlineStr">
        <is>
          <t>https://www.linkedin.com/company/soft-kids/?viewAsMember=true</t>
        </is>
      </c>
      <c r="AJ1609" s="1" t="n"/>
    </row>
    <row r="1610" ht="12.5" customHeight="1">
      <c r="A1610" s="6" t="n">
        <v>45181</v>
      </c>
      <c r="B1610" s="1" t="inlineStr">
        <is>
          <t>ORG_2298</t>
        </is>
      </c>
      <c r="C1610" s="1" t="b">
        <v>1</v>
      </c>
      <c r="D1610" s="1" t="inlineStr">
        <is>
          <t>SoWeSign</t>
        </is>
      </c>
      <c r="E1610" s="10" t="inlineStr">
        <is>
          <t>https://sowesign.com</t>
        </is>
      </c>
      <c r="F1610" t="inlineStr">
        <is>
          <t>sowesign.com</t>
        </is>
      </c>
      <c r="G1610" s="1" t="inlineStr">
        <is>
          <t>Founded in 2017, JeSuisEnCours offers dematerialization solutions for training organizations.
Following the acquisition of key account customers. As well as the internationalization of the offer due to opportunities detected in the United States and Spain. JeSuisEnCours becomes SoWeSign in 2020: a name that fits any context and can be exported to other territories!</t>
        </is>
      </c>
      <c r="H1610" s="1" t="inlineStr">
        <is>
          <t>EdTech France</t>
        </is>
      </c>
      <c r="I1610" s="1" t="n"/>
      <c r="J1610" s="1" t="inlineStr">
        <is>
          <t>La Chevroliere</t>
        </is>
      </c>
      <c r="K1610" t="inlineStr">
        <is>
          <t>La Chevroliere</t>
        </is>
      </c>
      <c r="L1610" t="inlineStr">
        <is>
          <t>La Chevroliere, France</t>
        </is>
      </c>
      <c r="M1610" t="n">
        <v>47.0936557</v>
      </c>
      <c r="N1610" t="n">
        <v>-1.6117844</v>
      </c>
      <c r="O1610" s="1" t="inlineStr">
        <is>
          <t>France</t>
        </is>
      </c>
      <c r="P1610" s="1" t="inlineStr">
        <is>
          <t>Belgium, France, Germany, Italy, Spain, Switzerland</t>
        </is>
      </c>
      <c r="Q1610" s="1" t="inlineStr">
        <is>
          <t>11 to 50</t>
        </is>
      </c>
      <c r="R1610" t="inlineStr">
        <is>
          <t>Small</t>
        </is>
      </c>
      <c r="S1610" s="1" t="inlineStr">
        <is>
          <t>Business to Consumer, Business to Government, Business to Schools</t>
        </is>
      </c>
      <c r="T1610" s="1" t="inlineStr">
        <is>
          <t>Secondary Education, Higher Education, Corporate Training, Lifelong learning/Adult education</t>
        </is>
      </c>
      <c r="U1610" s="1" t="inlineStr">
        <is>
          <t>System/Administrative, Student interfacing</t>
        </is>
      </c>
      <c r="V1610" s="10" t="inlineStr">
        <is>
          <t>SoWeSign</t>
        </is>
      </c>
      <c r="W1610" s="10" t="inlineStr">
        <is>
          <t>SoWeSign facilitates enrolment! sowesign digitalizes the enrolment process for training centers. The solution is composed of a management interface available online on the one hand and an application on the other hand. The management interface allows you to plan training sessions, supervise attendance, consult all the documents in an EDM, have contracts and agreements signed online, etc. Applications and portals are available to sign-in from any device, from an application or a web browser.</t>
        </is>
      </c>
      <c r="X1610" s="10" t="n"/>
      <c r="Z1610" s="1" t="n"/>
      <c r="AA1610" s="1" t="inlineStr">
        <is>
          <t>Unverified</t>
        </is>
      </c>
      <c r="AB1610" s="1" t="n"/>
      <c r="AC1610" s="1" t="n"/>
      <c r="AD1610" s="1" t="n"/>
      <c r="AE1610" s="1" t="n"/>
      <c r="AF1610" s="1" t="inlineStr">
        <is>
          <t>Yes</t>
        </is>
      </c>
      <c r="AG1610" s="1" t="inlineStr">
        <is>
          <t>https://www.instagram.com/sws_sowesign/</t>
        </is>
      </c>
      <c r="AH1610" s="1" t="inlineStr">
        <is>
          <t>https://twitter.com/SoWeSign</t>
        </is>
      </c>
      <c r="AI1610" s="1" t="inlineStr">
        <is>
          <t>https://www.linkedin.com/company/sowesign-1</t>
        </is>
      </c>
      <c r="AJ1610" s="1" t="n"/>
    </row>
    <row r="1611" ht="12.5" customHeight="1">
      <c r="A1611" s="6" t="n">
        <v>45181</v>
      </c>
      <c r="B1611" s="1" t="inlineStr">
        <is>
          <t>ORG_2397</t>
        </is>
      </c>
      <c r="C1611" s="1" t="b">
        <v>1</v>
      </c>
      <c r="D1611" s="1" t="inlineStr">
        <is>
          <t>The Experience Accelerator</t>
        </is>
      </c>
      <c r="E1611" s="10" t="inlineStr">
        <is>
          <t>https://theexperienceaccelerator.com</t>
        </is>
      </c>
      <c r="F1611" t="inlineStr">
        <is>
          <t>theexperienceaccelerator.com</t>
        </is>
      </c>
      <c r="G1611" s="1" t="inlineStr">
        <is>
          <t>Fusing the power of video, virtual reality, deliberate practice, AI and virtual coaches, we improve the world’s behavioural skills. Through our innovative learning solutions, managers and employees quickly and efficiently acquire, practice and get fast cycle feedback on their new behaviours.</t>
        </is>
      </c>
      <c r="H1611" s="1" t="inlineStr">
        <is>
          <t>Swiss EdTech Collider</t>
        </is>
      </c>
      <c r="I1611" s="1" t="n"/>
      <c r="J1611" s="1" t="inlineStr">
        <is>
          <t>La Tour De Peilz</t>
        </is>
      </c>
      <c r="K1611" t="inlineStr">
        <is>
          <t>La Tour De Peilz</t>
        </is>
      </c>
      <c r="L1611" t="inlineStr">
        <is>
          <t>La Tour De Peilz, Switzerland</t>
        </is>
      </c>
      <c r="M1611" t="n">
        <v>46.4537524</v>
      </c>
      <c r="N1611" t="n">
        <v>6.8569063</v>
      </c>
      <c r="O1611" s="1" t="inlineStr">
        <is>
          <t>Switzerland</t>
        </is>
      </c>
      <c r="P1611" s="1" t="inlineStr">
        <is>
          <t>Switzerland, United Kingdom</t>
        </is>
      </c>
      <c r="Q1611" s="1" t="inlineStr">
        <is>
          <t>0 to 10</t>
        </is>
      </c>
      <c r="R1611" t="inlineStr">
        <is>
          <t>Micro</t>
        </is>
      </c>
      <c r="S1611" s="1" t="inlineStr">
        <is>
          <t>Business to Consumer, Business to Schools</t>
        </is>
      </c>
      <c r="T1611" s="1" t="inlineStr">
        <is>
          <t>Corporate Training</t>
        </is>
      </c>
      <c r="U1611" s="1" t="inlineStr">
        <is>
          <t>Student interfacing, System/Administrative</t>
        </is>
      </c>
      <c r="V1611" s="10" t="inlineStr">
        <is>
          <t>The Skills Accelerator</t>
        </is>
      </c>
      <c r="W1611" s="10" t="inlineStr">
        <is>
          <t>Through our fully virtual, web accessible learning platform, we use a combination of e-content, visualisation and practice along with personalised, AI augmented feedback to help our learners adopt leadership behavioural skills faster. Our learners tell us they appreciate how we hold the mirror up to their behaviour, allow them to practice new techniques and provide personalised, detailed feedback in a safe environment. On average, we see our learners improve their target behaviours by 40-80%.</t>
        </is>
      </c>
      <c r="X1611" s="10" t="inlineStr">
        <is>
          <t>Behaviour Matters</t>
        </is>
      </c>
      <c r="Y1611" t="inlineStr">
        <is>
          <t>Our immersive virtual reality solutions help our learners improve the behaviours that will make them successful at work. Using standalone virtual reality headsets, learners experience realistic scenarios, understand first hand the impact of their choices and get fast cycle, personalised feedback on their performance - both where their strengths lie and where they can improve.</t>
        </is>
      </c>
      <c r="Z1611" s="1" t="inlineStr">
        <is>
          <t>https://drive.google.com/uc?export=view&amp;id=1xlUbPMvPt_BewbYbx-cOd4HtPkAln8KI</t>
        </is>
      </c>
      <c r="AA1611" s="1" t="inlineStr">
        <is>
          <t>Unverified</t>
        </is>
      </c>
      <c r="AB1611" s="1" t="n"/>
      <c r="AC1611" s="1" t="n"/>
      <c r="AD1611" s="10" t="n"/>
      <c r="AE1611" s="1" t="n"/>
      <c r="AF1611" s="1" t="inlineStr">
        <is>
          <t>Yes</t>
        </is>
      </c>
      <c r="AG1611" s="1" t="inlineStr">
        <is>
          <t>https://www.instagram.com/theexperienceaccelerator/</t>
        </is>
      </c>
      <c r="AH1611" s="1" t="inlineStr">
        <is>
          <t>https://twitter.com/ExpAccelerator</t>
        </is>
      </c>
      <c r="AI1611" s="1" t="inlineStr">
        <is>
          <t>https://www.linkedin.com/company/theexperienceaccelerator/</t>
        </is>
      </c>
      <c r="AJ1611" s="1" t="n"/>
    </row>
    <row r="1612" ht="12.5" customHeight="1">
      <c r="A1612" s="6" t="n">
        <v>45181</v>
      </c>
      <c r="B1612" s="1" t="inlineStr">
        <is>
          <t>ORG_2398</t>
        </is>
      </c>
      <c r="C1612" s="1" t="b">
        <v>1</v>
      </c>
      <c r="D1612" s="1" t="inlineStr">
        <is>
          <t>The Inventors</t>
        </is>
      </c>
      <c r="E1612" s="10" t="inlineStr">
        <is>
          <t>www.theinventors.io</t>
        </is>
      </c>
      <c r="F1612" t="inlineStr">
        <is>
          <t>theinventors.io</t>
        </is>
      </c>
      <c r="G1612" s="1" t="inlineStr">
        <is>
          <t>The Inventors develops and deliver educational programs and products designed to inspire, build curiosity and
confidence in youth. With a major focus on technologies, each activity exposes students to individual or group challenges
designed to learn and open curiosity about STEAM (Science, Technology, Engineering, Arts and Maths) subjects while
building soft skills such as self-confidence, collaboration, critical and creative thinking and resilience.</t>
        </is>
      </c>
      <c r="H1612" s="1" t="inlineStr">
        <is>
          <t>SEK Lab</t>
        </is>
      </c>
      <c r="I1612" s="1" t="n"/>
      <c r="J1612" s="1" t="inlineStr">
        <is>
          <t>Caparica</t>
        </is>
      </c>
      <c r="K1612" t="inlineStr">
        <is>
          <t>Caparica</t>
        </is>
      </c>
      <c r="L1612" t="inlineStr">
        <is>
          <t>Caparica, Portugal</t>
        </is>
      </c>
      <c r="M1612" t="n">
        <v>38.5980703</v>
      </c>
      <c r="N1612" t="n">
        <v>-9.207235900000001</v>
      </c>
      <c r="O1612" s="1" t="inlineStr">
        <is>
          <t>Portugal</t>
        </is>
      </c>
      <c r="P1612" s="1" t="inlineStr">
        <is>
          <t>Netherlands, Portugal</t>
        </is>
      </c>
      <c r="Q1612" s="1" t="inlineStr">
        <is>
          <t>11 to 50</t>
        </is>
      </c>
      <c r="R1612" t="inlineStr">
        <is>
          <t>Small</t>
        </is>
      </c>
      <c r="S1612" s="1" t="inlineStr">
        <is>
          <t>Business to Consumer, Business to Schools</t>
        </is>
      </c>
      <c r="T1612" s="1" t="inlineStr">
        <is>
          <t>Early childhood development (0-5 years), Primary Education</t>
        </is>
      </c>
      <c r="U1612" s="1" t="inlineStr">
        <is>
          <t>Student interfacing, Teacher interfacing</t>
        </is>
      </c>
      <c r="V1612" s="1" t="n"/>
      <c r="W1612" s="1" t="inlineStr">
        <is>
          <t>https://drive.google.com/uc?export=view&amp;id=1Cs8HfXzEoKFvcvQQQ4-u2IngO50Cy820</t>
        </is>
      </c>
      <c r="X1612" s="1" t="inlineStr">
        <is>
          <t>https://drive.google.com/uc?export=view&amp;id=1Cs8HfXzEoKFvcvQQQ4-u2IngO50Cy820</t>
        </is>
      </c>
      <c r="Y1612" t="inlineStr">
        <is>
          <t>https://drive.google.com/uc?export=view&amp;id=1Cs8HfXzEoKFvcvQQQ4-u2IngO50Cy820</t>
        </is>
      </c>
      <c r="Z1612" s="1" t="inlineStr">
        <is>
          <t>https://drive.google.com/uc?export=view&amp;id=1Cs8HfXzEoKFvcvQQQ4-u2IngO50Cy820</t>
        </is>
      </c>
      <c r="AA1612" s="1" t="inlineStr">
        <is>
          <t>Unverified</t>
        </is>
      </c>
      <c r="AB1612" s="1" t="n"/>
      <c r="AC1612" s="1" t="n"/>
      <c r="AD1612" s="10" t="n"/>
      <c r="AE1612" s="1" t="n"/>
      <c r="AF1612" s="1" t="inlineStr">
        <is>
          <t>No</t>
        </is>
      </c>
      <c r="AG1612" s="1" t="n"/>
      <c r="AH1612" s="1" t="n"/>
      <c r="AI1612" s="1" t="n"/>
      <c r="AJ1612" s="1" t="n"/>
    </row>
    <row r="1613" ht="12.5" customHeight="1">
      <c r="A1613" s="6" t="n">
        <v>45181</v>
      </c>
      <c r="B1613" s="1" t="inlineStr">
        <is>
          <t>ORG_2400</t>
        </is>
      </c>
      <c r="C1613" s="1" t="b">
        <v>1</v>
      </c>
      <c r="D1613" s="1" t="inlineStr">
        <is>
          <t>The Long Finger Company</t>
        </is>
      </c>
      <c r="E1613" s="10" t="inlineStr">
        <is>
          <t>thelongfingercompany.com</t>
        </is>
      </c>
      <c r="F1613" t="inlineStr">
        <is>
          <t>thelongfingercompany.com</t>
        </is>
      </c>
      <c r="G1613" s="1" t="inlineStr">
        <is>
          <t>At The Long Finger Company we create apps that improve lives, facilitate communication and improve relationships between people. We focus on the education sector helping schools, professionals, students and families.</t>
        </is>
      </c>
      <c r="H1613" s="1" t="inlineStr">
        <is>
          <t>SEK Lab</t>
        </is>
      </c>
      <c r="I1613" s="1" t="n"/>
      <c r="J1613" s="1" t="inlineStr">
        <is>
          <t>Valencia</t>
        </is>
      </c>
      <c r="K1613" t="inlineStr">
        <is>
          <t>Valencia</t>
        </is>
      </c>
      <c r="L1613" t="inlineStr">
        <is>
          <t>Valencia, Spain</t>
        </is>
      </c>
      <c r="M1613" t="n">
        <v>39.6819591</v>
      </c>
      <c r="N1613" t="n">
        <v>-0.7654406</v>
      </c>
      <c r="O1613" s="1" t="inlineStr">
        <is>
          <t>Spain</t>
        </is>
      </c>
      <c r="P1613" s="1" t="inlineStr">
        <is>
          <t>Andorra, Austria, Belgium, Bulgaria, Croatia, Denmark, Finland, France, Germany, Italy, Malta, Monaco, Netherlands, Norway, Poland, Portugal, San Marino, Spain, Sweden, Switzerland, United Kingdom</t>
        </is>
      </c>
      <c r="Q1613" s="1" t="inlineStr">
        <is>
          <t>0 to 10</t>
        </is>
      </c>
      <c r="R1613" t="inlineStr">
        <is>
          <t>Micro</t>
        </is>
      </c>
      <c r="S1613" s="1" t="inlineStr">
        <is>
          <t>Business to Consumer, Business to Schools</t>
        </is>
      </c>
      <c r="T1613" s="1" t="inlineStr">
        <is>
          <t>Early childhood development (0-5 years), Primary Education, Corporate Training</t>
        </is>
      </c>
      <c r="U1613" s="1" t="inlineStr">
        <is>
          <t>System/Administrative, Student interfacing, Teacher interfacing</t>
        </is>
      </c>
      <c r="V1613" s="1" t="inlineStr">
        <is>
          <t>Schooltivity</t>
        </is>
      </c>
      <c r="W1613" s="1" t="inlineStr">
        <is>
          <t>The app for Early Childhood and Primary Education, a platform designed to meet the needs of the Early Childhood and Primary Education stages, promoting the evolution of the student at an early age and facilitating communication between the school and families.
Due to its exquisite design and functionality, it was the winner of the Mobile Premier Awards (Mobile World Congress 2016).</t>
        </is>
      </c>
      <c r="X1613" s="1" t="inlineStr">
        <is>
          <t>Academity</t>
        </is>
      </c>
      <c r="Y1613" t="inlineStr">
        <is>
          <t>The simple and effective way to manage your academy
The ideal tool for academies… Academity allows from center management to a wide number of functionalities to facilitate teacher-student interaction: attendance control, flexibility to access class content, motivation (reward for student effort) , personalized learning, etc.</t>
        </is>
      </c>
      <c r="Z1613" s="1" t="inlineStr">
        <is>
          <t>https://drive.google.com/uc?export=view&amp;id=12X4t1M7K82mJQM9LgkeX4GezMu-zN5D6</t>
        </is>
      </c>
      <c r="AA1613" s="1" t="inlineStr">
        <is>
          <t>Unverified</t>
        </is>
      </c>
      <c r="AB1613" s="1" t="n"/>
      <c r="AC1613" s="1" t="n"/>
      <c r="AD1613" s="10" t="n"/>
      <c r="AE1613" s="1" t="n"/>
      <c r="AF1613" s="1" t="inlineStr">
        <is>
          <t>No</t>
        </is>
      </c>
      <c r="AG1613" s="1" t="n"/>
      <c r="AH1613" s="1" t="n"/>
      <c r="AI1613" s="1" t="n"/>
      <c r="AJ1613" s="1" t="n"/>
    </row>
    <row r="1614" ht="12.5" customHeight="1">
      <c r="A1614" s="6" t="n">
        <v>45181</v>
      </c>
      <c r="B1614" s="1" t="inlineStr">
        <is>
          <t>ORG_2505</t>
        </is>
      </c>
      <c r="C1614" s="1" t="b">
        <v>1</v>
      </c>
      <c r="D1614" s="1" t="inlineStr">
        <is>
          <t>VocaCoach</t>
        </is>
      </c>
      <c r="E1614" s="10" t="inlineStr">
        <is>
          <t>https://vocacoach.fr/</t>
        </is>
      </c>
      <c r="F1614" t="inlineStr">
        <is>
          <t>vocacoach.fr</t>
        </is>
      </c>
      <c r="G1614" s="1" t="inlineStr">
        <is>
          <t>74% of working people suffer from glossophobia, the fear of speaking in public. Yet it is an essential element of daily professional success.
VocaCoach is an oral expression training application powered by artificial intelligence and voice analysis. It allows you to practice independently in order to gain efficiency and self-confidence before your interviews or presentations.
In concrete terms, the user records himself and obtains a detailed analysis of his oral expression: speed, tone, hesitations, repetitions... and advice on how to progress. It works in English and French. Easily integrated into a training program, VocaCoach allows for a rapid diagnosis of oral skills and continuous training.
 VocaCoach's goal is to democratize access to this type of training for all working people throughout their professional lives, starting with their studies.</t>
        </is>
      </c>
      <c r="H1614" s="1" t="inlineStr">
        <is>
          <t>EdTech France</t>
        </is>
      </c>
      <c r="I1614" s="1" t="n"/>
      <c r="J1614" s="1" t="inlineStr">
        <is>
          <t>Evry-Courcouronnes</t>
        </is>
      </c>
      <c r="K1614" t="inlineStr">
        <is>
          <t>Evry-Courcouronnes</t>
        </is>
      </c>
      <c r="L1614" t="inlineStr">
        <is>
          <t>Evry-Courcouronnes, France</t>
        </is>
      </c>
      <c r="M1614" t="n">
        <v>48.629966</v>
      </c>
      <c r="N1614" t="n">
        <v>2.4381816</v>
      </c>
      <c r="O1614" s="1" t="inlineStr">
        <is>
          <t>France</t>
        </is>
      </c>
      <c r="P1614" s="1" t="inlineStr">
        <is>
          <t>France</t>
        </is>
      </c>
      <c r="Q1614" s="1" t="inlineStr">
        <is>
          <t>0 to 10</t>
        </is>
      </c>
      <c r="R1614" t="inlineStr">
        <is>
          <t>Micro</t>
        </is>
      </c>
      <c r="S1614" s="1" t="inlineStr">
        <is>
          <t>Business to Government</t>
        </is>
      </c>
      <c r="T1614" s="1" t="inlineStr">
        <is>
          <t>Secondary Education, Higher Education, Corporate Training</t>
        </is>
      </c>
      <c r="U1614" s="1" t="inlineStr">
        <is>
          <t>Teacher interfacing, Student interfacing, System/Administrative</t>
        </is>
      </c>
      <c r="V1614" s="10" t="inlineStr">
        <is>
          <t>VocaCoach App</t>
        </is>
      </c>
      <c r="W1614" s="10" t="inlineStr">
        <is>
          <t>VocaCoach is an oral expression training application powered by artificial intelligence and voice analysis. It allows you to practice independently in order to gain efficiency and self-confidence before your interviews or presentations.
In concrete terms, the user records himself and obtains a detailed analysis of his oral expression: speed, tone, hesitations, repetitions... and advice on how to progress. It works in French and in English.</t>
        </is>
      </c>
      <c r="X1614" s="10" t="inlineStr">
        <is>
          <t>https://drive.google.com/uc?export=view&amp;id=1_Mmk7mWmDwzqwjH3g6jMT5yAQ3KxAxpM</t>
        </is>
      </c>
      <c r="Y1614" t="inlineStr">
        <is>
          <t>https://drive.google.com/uc?export=view&amp;id=1_Mmk7mWmDwzqwjH3g6jMT5yAQ3KxAxpM</t>
        </is>
      </c>
      <c r="Z1614" s="1" t="inlineStr">
        <is>
          <t>https://drive.google.com/uc?export=view&amp;id=1_Mmk7mWmDwzqwjH3g6jMT5yAQ3KxAxpM</t>
        </is>
      </c>
      <c r="AA1614" s="1" t="inlineStr">
        <is>
          <t>Unverified</t>
        </is>
      </c>
      <c r="AB1614" s="1" t="n"/>
      <c r="AC1614" s="1" t="n"/>
      <c r="AD1614" s="10" t="n"/>
      <c r="AE1614" s="1" t="n"/>
      <c r="AF1614" s="1" t="inlineStr">
        <is>
          <t>Yes</t>
        </is>
      </c>
      <c r="AG1614" s="1" t="inlineStr">
        <is>
          <t>https://www.instagram.com/vocacoach/</t>
        </is>
      </c>
      <c r="AH1614" s="1" t="inlineStr">
        <is>
          <t>https://twitter.com/VocaCoach</t>
        </is>
      </c>
      <c r="AI1614" s="1" t="inlineStr">
        <is>
          <t>https://www.linkedin.com/company/30675854/</t>
        </is>
      </c>
      <c r="AJ1614" s="1" t="n"/>
    </row>
    <row r="1615" ht="12.5" customHeight="1">
      <c r="A1615" s="6" t="n">
        <v>45181</v>
      </c>
      <c r="B1615" s="1" t="inlineStr">
        <is>
          <t>ORG_2511</t>
        </is>
      </c>
      <c r="C1615" s="1" t="b">
        <v>1</v>
      </c>
      <c r="D1615" s="1" t="inlineStr">
        <is>
          <t>VYTURYS</t>
        </is>
      </c>
      <c r="E1615" s="10" t="inlineStr">
        <is>
          <t>www.vyturys.lt</t>
        </is>
      </c>
      <c r="F1615" t="inlineStr">
        <is>
          <t>vyturys.lt</t>
        </is>
      </c>
      <c r="G1615" s="1" t="inlineStr">
        <is>
          <t>Vyturys is a digital social reading platform for schools, which spans across all age groups and all reading modes. Whether you want to read gorgeous digital picture books with three year olds, read and/or listen to Dostoevsky on you phone, it's all there. Engage your students in a discussion on why Raskolnikov killed two ladies but we still pity him without leaving the book and get detailed reports of every comment, click or scroll they make.</t>
        </is>
      </c>
      <c r="H1615" s="1" t="inlineStr">
        <is>
          <t>EdTech Lithuania</t>
        </is>
      </c>
      <c r="I1615" s="1" t="n"/>
      <c r="J1615" s="1" t="inlineStr">
        <is>
          <t>Vilnius</t>
        </is>
      </c>
      <c r="K1615" t="inlineStr">
        <is>
          <t>Vilnius</t>
        </is>
      </c>
      <c r="L1615" t="inlineStr">
        <is>
          <t>Vilnius, Lithuania</t>
        </is>
      </c>
      <c r="M1615" t="n">
        <v>54.6870458</v>
      </c>
      <c r="N1615" t="n">
        <v>25.2829111</v>
      </c>
      <c r="O1615" s="1" t="inlineStr">
        <is>
          <t>Lithuania</t>
        </is>
      </c>
      <c r="P1615" s="1" t="inlineStr">
        <is>
          <t>Lithuania</t>
        </is>
      </c>
      <c r="Q1615" s="1" t="inlineStr">
        <is>
          <t>0 to 10</t>
        </is>
      </c>
      <c r="R1615" t="inlineStr">
        <is>
          <t>Micro</t>
        </is>
      </c>
      <c r="S1615" s="1" t="inlineStr">
        <is>
          <t>Business to Government, Business to Schools</t>
        </is>
      </c>
      <c r="T1615" s="1" t="inlineStr">
        <is>
          <t>Early childhood development (0-5 years), Primary Education, Secondary Education</t>
        </is>
      </c>
      <c r="U1615" s="1" t="inlineStr">
        <is>
          <t>System/Administrative, Student interfacing, Teacher interfacing</t>
        </is>
      </c>
      <c r="V1615" s="1" t="inlineStr">
        <is>
          <t>digital social reading platforms</t>
        </is>
      </c>
      <c r="W1615" s="1" t="inlineStr">
        <is>
          <t>Student reading motivations starts declining at the age of ten. Vyturys is there to build it and sustain it buy offerening access to different modes of reading, which include picture, digital and audio books. Since student engagement with books is critical, Vyturys also allows native chatting within the book to prolong student engagement times and provides teachers with detailed individual and class level reports.</t>
        </is>
      </c>
      <c r="X1615" s="1" t="inlineStr">
        <is>
          <t>https://drive.google.com/uc?export=view&amp;id=1-DFqfCDhLkHCxoNsYaQJ4dYF8IqfHH8G</t>
        </is>
      </c>
      <c r="Y1615" t="inlineStr">
        <is>
          <t>https://drive.google.com/uc?export=view&amp;id=1-DFqfCDhLkHCxoNsYaQJ4dYF8IqfHH8G</t>
        </is>
      </c>
      <c r="Z1615" s="1" t="inlineStr">
        <is>
          <t>https://drive.google.com/uc?export=view&amp;id=1-DFqfCDhLkHCxoNsYaQJ4dYF8IqfHH8G</t>
        </is>
      </c>
      <c r="AA1615" s="1" t="inlineStr">
        <is>
          <t>Unverified</t>
        </is>
      </c>
      <c r="AB1615" s="1" t="n"/>
      <c r="AC1615" s="1" t="n"/>
      <c r="AD1615" s="10" t="n"/>
      <c r="AE1615" s="1" t="n"/>
      <c r="AF1615" s="1" t="inlineStr">
        <is>
          <t>No</t>
        </is>
      </c>
      <c r="AG1615" s="1" t="n"/>
      <c r="AH1615" s="1" t="n"/>
      <c r="AI1615" s="1" t="n"/>
      <c r="AJ1615" s="1" t="n"/>
    </row>
    <row r="1616" ht="12.5" customHeight="1">
      <c r="A1616" s="6" t="n">
        <v>45181</v>
      </c>
      <c r="B1616" s="1" t="inlineStr">
        <is>
          <t>ORG_1775</t>
        </is>
      </c>
      <c r="C1616" s="1" t="b">
        <v>1</v>
      </c>
      <c r="D1616" s="1" t="inlineStr">
        <is>
          <t>Kinescope</t>
        </is>
      </c>
      <c r="E1616" s="10" t="inlineStr">
        <is>
          <t>https://kinescope.io/</t>
        </is>
      </c>
      <c r="F1616" t="inlineStr">
        <is>
          <t>kinescope.io</t>
        </is>
      </c>
      <c r="G1616" s="1" t="inlineStr">
        <is>
          <t>Kinescope is an end-to-end video hosting platform for e-learning with headquarters in Emmen, Netherlands. Kinescope runs on top of own private CDN infrastructure and has few data centers across the world. Customers can host, store and upload thousands of video courses directly from the dashboard.
Kinescope's features include interactive player allowing users to customize it according to their branding, add subtitles, chapters, attachments, in-depth analytics to monitor video performance and engagement, and live broadcasts with DVR and video archive enabled. Another useful feature Kinescope offers is premium content protection with industry-leading DRM encryption like Apple FairPlay, as well as private links and password protection ensuring the customer’s video is shared only with the audience they choose to.
Due to its private infrastructure, Kinescope offers revolutionary pricing without hidden fees and fixed subscriptions, with all features available to every user.</t>
        </is>
      </c>
      <c r="H1616" s="1" t="inlineStr">
        <is>
          <t>Dutch EdTech</t>
        </is>
      </c>
      <c r="I1616" s="1" t="inlineStr">
        <is>
          <t>English, Dutch</t>
        </is>
      </c>
      <c r="J1616" s="1" t="inlineStr">
        <is>
          <t>Emmen</t>
        </is>
      </c>
      <c r="K1616" t="inlineStr">
        <is>
          <t>Emmen</t>
        </is>
      </c>
      <c r="L1616" t="inlineStr">
        <is>
          <t>Emmen, The Netherlands</t>
        </is>
      </c>
      <c r="M1616" t="n">
        <v>52.7862581</v>
      </c>
      <c r="N1616" t="n">
        <v>6.8940871</v>
      </c>
      <c r="O1616" s="1" t="inlineStr">
        <is>
          <t>The Netherlands</t>
        </is>
      </c>
      <c r="P161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Q1616" s="1" t="inlineStr">
        <is>
          <t>11 to 50</t>
        </is>
      </c>
      <c r="R1616" t="inlineStr">
        <is>
          <t>Small</t>
        </is>
      </c>
      <c r="S1616" s="1" t="inlineStr">
        <is>
          <t>Business to Business, Business to Consumer, Business to Government, Business to Schools</t>
        </is>
      </c>
      <c r="T1616" s="1" t="inlineStr">
        <is>
          <t>Primary Education, Secondary Education, Corporate Training, Lifelong learning/Adult education, Vocational Education and Training (VET), Higher Education</t>
        </is>
      </c>
      <c r="U1616" s="1" t="inlineStr">
        <is>
          <t>Teacher interfacing, System/Administrative, Student interfacing</t>
        </is>
      </c>
      <c r="V1616" s="1" t="inlineStr">
        <is>
          <t>Interactive video player with in-depth analytics</t>
        </is>
      </c>
      <c r="W1616" s="1" t="inlineStr">
        <is>
          <t>The interactive video player is perfectly suited for people who share educational or corporate training and learning online.
It is easy to use, customizable and lets the educator the opportunity to decide how to present the material to the audience – by adding chapters, subtitles, logos, attachments and links.
The analytics features – visible per individual video or a project – give a thorough insight of the video’s performance, engagement rate, unique views, demographics and technology used by the viewers.</t>
        </is>
      </c>
      <c r="X1616" s="10" t="inlineStr">
        <is>
          <t>Private CDN infrastructure &amp; DRM protection</t>
        </is>
      </c>
      <c r="Y1616" t="inlineStr">
        <is>
          <t>Kinescope has a private CDN infrastructure with own equipment and racks. This allows to deliver large volumes of video traffic with next to zero latency.
All videos have multi-level protection against unauthorized access. From private signatures and CORS policy to enterprise DRM protection Apple FairPlay and ClearKey technologies, Kinescope ensures all videos are delivered securely. In addition, Kinescope provides mitigation against DDoS and other attack vectors.</t>
        </is>
      </c>
      <c r="Z1616" s="1" t="inlineStr">
        <is>
          <t>https://drive.google.com/uc?export=view&amp;id=1WyulEauxUCtISAhVhbxFjxDKtB9zXX-A</t>
        </is>
      </c>
      <c r="AA1616" s="1" t="inlineStr">
        <is>
          <t>Unverified</t>
        </is>
      </c>
      <c r="AB1616" s="1" t="n"/>
      <c r="AC1616" s="1" t="n"/>
      <c r="AD1616" s="10" t="n"/>
      <c r="AE1616" s="1" t="n"/>
      <c r="AF1616" s="1" t="inlineStr">
        <is>
          <t>Yes</t>
        </is>
      </c>
      <c r="AG1616" s="1" t="inlineStr">
        <is>
          <t>https://www.linkedin.com/company/kinescopeio/</t>
        </is>
      </c>
      <c r="AH1616" s="1" t="inlineStr">
        <is>
          <t>https://www.linkedin.com/company/kinescopeio/</t>
        </is>
      </c>
      <c r="AI1616" s="1" t="inlineStr">
        <is>
          <t>https://www.linkedin.com/company/kinescopeio/</t>
        </is>
      </c>
      <c r="AJ1616" s="1" t="n"/>
    </row>
    <row r="1617" ht="12.5" customHeight="1">
      <c r="A1617" s="6" t="n">
        <v>45181</v>
      </c>
      <c r="B1617" s="1" t="inlineStr">
        <is>
          <t>ORG_1135</t>
        </is>
      </c>
      <c r="C1617" s="1" t="b">
        <v>1</v>
      </c>
      <c r="D1617" s="1" t="inlineStr">
        <is>
          <t>Bacco Software Systems</t>
        </is>
      </c>
      <c r="E1617" s="10" t="inlineStr">
        <is>
          <t>https://www.accento.app</t>
        </is>
      </c>
      <c r="F1617" t="inlineStr">
        <is>
          <t>accento.app</t>
        </is>
      </c>
      <c r="G1617" s="1" t="inlineStr">
        <is>
          <t>The goal of Bacco is to develop the Accento educational software, which will significantly improve the world of sound artists.
Musicians spend predominantly most of their time practising, not performing, so we want to revolutionize the quality of that practice time.
Accento will transform the value of personal practice time and teacher lessons: Music students will finally have fun practising and develop tremendous learning speed with Accento.</t>
        </is>
      </c>
      <c r="H1617" s="1" t="inlineStr">
        <is>
          <t>EdTech Austria</t>
        </is>
      </c>
      <c r="I1617" s="1" t="inlineStr">
        <is>
          <t>German, English, Spanish, Korean, Chinese, French, Danish</t>
        </is>
      </c>
      <c r="J1617" s="1" t="inlineStr">
        <is>
          <t>Salzburg</t>
        </is>
      </c>
      <c r="K1617" t="inlineStr">
        <is>
          <t>Salzburg</t>
        </is>
      </c>
      <c r="L1617" t="inlineStr">
        <is>
          <t>Salzburg, Austria</t>
        </is>
      </c>
      <c r="M1617" t="n">
        <v>47.7981346</v>
      </c>
      <c r="N1617" t="n">
        <v>13.0464806</v>
      </c>
      <c r="O1617" s="1" t="inlineStr">
        <is>
          <t>Austria</t>
        </is>
      </c>
      <c r="P1617" s="1" t="inlineStr">
        <is>
          <t>Andorra, Austria, Belgium, Bosnia and Herzegovina, Bulgaria, Croatia, Cyprus, Czechia, Denmark, Estonia, Finland, France, Germany, Greece, Hungary, Iceland, Ireland, Italy, Kosovo, Latvia, Liechtenstein, Lithuania, Luxembourg, Malta, Moldova, Monaco, Montenegro, Netherlands, Norway, Poland, Portugal, Romania, San Marino, Slovakia, Slovenia, Spain, Sweden, Switzerland, Turkey, Ukraine, United Kingdom</t>
        </is>
      </c>
      <c r="Q1617" s="1" t="inlineStr">
        <is>
          <t>3 to 5</t>
        </is>
      </c>
      <c r="R1617" t="inlineStr">
        <is>
          <t>Micro</t>
        </is>
      </c>
      <c r="S1617" s="1" t="inlineStr">
        <is>
          <t>Business to Business, Business to Consumer</t>
        </is>
      </c>
      <c r="T1617" s="1" t="inlineStr">
        <is>
          <t>Primary Education, Secondary Education, Lifelong learning/Adult education, Vocational Education and Training (VET)</t>
        </is>
      </c>
      <c r="U1617" s="1" t="inlineStr">
        <is>
          <t>System/Administrative, Student interfacing, Teacher interfacing</t>
        </is>
      </c>
      <c r="V1617" s="1" t="inlineStr">
        <is>
          <t>Accento Music Assistant</t>
        </is>
      </c>
      <c r="W1617" s="10" t="inlineStr">
        <is>
          <t>Accento not only supports and encourages the practice process. Meanwhile, it also promotes the joy of playing an instrument!
The advanced system, in combination with the outstanding frequency recognition algorithm, provides an optimal training progress for students. For this purpose, it analyses what was played and compares it with the piece. After that, specially tailored exercises created by music educators are compiled.
These pieces are integrated with learning concepts and perfectly coordinated with each other. They are also combined with different levels of difficulty and different musical styles.
In effect, the exercises are adapted exactly to the needs of the musician. This method leads to successful level-adapted training without demanding too much from the student.</t>
        </is>
      </c>
      <c r="X1617" s="10" t="inlineStr">
        <is>
          <t>https://drive.google.com/uc?export=view&amp;id=19XZ0KipXO_51Tb6ojZ13DTogUG6eJecc</t>
        </is>
      </c>
      <c r="Y1617" t="inlineStr">
        <is>
          <t>https://drive.google.com/uc?export=view&amp;id=19XZ0KipXO_51Tb6ojZ13DTogUG6eJecc</t>
        </is>
      </c>
      <c r="Z1617" s="1" t="inlineStr">
        <is>
          <t>https://drive.google.com/uc?export=view&amp;id=19XZ0KipXO_51Tb6ojZ13DTogUG6eJecc</t>
        </is>
      </c>
      <c r="AA1617" s="1" t="inlineStr">
        <is>
          <t>Unverified</t>
        </is>
      </c>
      <c r="AB1617" s="1" t="n"/>
      <c r="AC1617" s="1" t="n"/>
      <c r="AD1617" s="10" t="n"/>
      <c r="AE1617" s="1" t="n"/>
      <c r="AF1617" s="1" t="inlineStr">
        <is>
          <t>Yes</t>
        </is>
      </c>
      <c r="AG1617" s="1" t="inlineStr">
        <is>
          <t>https://twitter.com/AccentoApp</t>
        </is>
      </c>
      <c r="AH1617" s="1" t="inlineStr">
        <is>
          <t>https://twitter.com/AccentoApp</t>
        </is>
      </c>
      <c r="AI1617" s="1" t="inlineStr">
        <is>
          <t>https://www.linkedin.com/company/bacco-software-systems</t>
        </is>
      </c>
      <c r="AJ1617" s="1" t="n"/>
    </row>
    <row r="1618" ht="12.5" customHeight="1">
      <c r="A1618" s="6" t="n">
        <v>45181</v>
      </c>
      <c r="B1618" s="1" t="inlineStr">
        <is>
          <t>ORG_2013</t>
        </is>
      </c>
      <c r="C1618" s="1" t="b">
        <v>1</v>
      </c>
      <c r="D1618" s="1" t="inlineStr">
        <is>
          <t>MyStudyWeb</t>
        </is>
      </c>
      <c r="E1618" s="10" t="inlineStr">
        <is>
          <t>https://mystudyweb.com/corporate/</t>
        </is>
      </c>
      <c r="F1618" t="inlineStr">
        <is>
          <t>mystudyweb.com/corporate</t>
        </is>
      </c>
      <c r="G1618" s="1" t="inlineStr">
        <is>
          <t>MyStudyWeb is a leading EdTech reseller for the Swedish market and have launched several products that now are market leaders in their segments.
We are looking for EdTech products that have a proven success in their home market and can be sold in the Swedish market after some adaptation and localisation. It is an advantage, but not a requirement, if your product is in the testing or assessment space.
Our reseller engagement covers the sales and marketing activities, training and first line support that are required to launch your product successfully and grow sales over many years.</t>
        </is>
      </c>
      <c r="H1618" s="1" t="inlineStr">
        <is>
          <t>Swedish EdTech Industry</t>
        </is>
      </c>
      <c r="I1618" s="1" t="n"/>
      <c r="J1618" s="1" t="inlineStr">
        <is>
          <t>Stockholm</t>
        </is>
      </c>
      <c r="K1618" t="inlineStr">
        <is>
          <t>Stockholm</t>
        </is>
      </c>
      <c r="L1618" t="inlineStr">
        <is>
          <t>Stockholm, Sweden</t>
        </is>
      </c>
      <c r="M1618" t="n">
        <v>59.3251172</v>
      </c>
      <c r="N1618" t="n">
        <v>18.0710935</v>
      </c>
      <c r="O1618" s="1" t="inlineStr">
        <is>
          <t>Sweden</t>
        </is>
      </c>
      <c r="P1618" s="1" t="inlineStr">
        <is>
          <t>Sweden</t>
        </is>
      </c>
      <c r="Q1618" s="1" t="inlineStr">
        <is>
          <t>3 to 5</t>
        </is>
      </c>
      <c r="R1618" t="inlineStr">
        <is>
          <t>Micro</t>
        </is>
      </c>
      <c r="S1618" s="1" t="inlineStr">
        <is>
          <t>Business to Business, Business to Government, Business to Schools</t>
        </is>
      </c>
      <c r="T1618" s="1" t="inlineStr">
        <is>
          <t>Primary Education, Secondary Education</t>
        </is>
      </c>
      <c r="U1618" s="1" t="inlineStr">
        <is>
          <t>Student interfacing, Teacher interfacing</t>
        </is>
      </c>
      <c r="V1618" s="10" t="inlineStr">
        <is>
          <t>Kartläggaren</t>
        </is>
      </c>
      <c r="W1618" s="1" t="inlineStr">
        <is>
          <t>Digital progression test in Swedish, Mathematics and English. Kartläggaren is a used for large scale progression testing at start of academic year and each test takes 45 minutes.</t>
        </is>
      </c>
      <c r="X1618" s="10" t="inlineStr">
        <is>
          <t>mystudyweb</t>
        </is>
      </c>
      <c r="Y1618" t="inlineStr">
        <is>
          <t>Digital teaching materials in Swedish, Mathematics, English and Science. Can be used both as stand alone teaching material or as follow-up material to Kartläggaren to which it is fully integrated.</t>
        </is>
      </c>
      <c r="Z1618" s="1" t="inlineStr">
        <is>
          <t>https://drive.google.com/uc?export=view&amp;id=16BQz96vGyusEltAkDCnaSrGGqflZJcBJ</t>
        </is>
      </c>
      <c r="AA1618" s="1" t="inlineStr">
        <is>
          <t>Unverified</t>
        </is>
      </c>
      <c r="AB1618" s="1" t="n"/>
      <c r="AC1618" s="1" t="n"/>
      <c r="AD1618" s="10" t="n"/>
      <c r="AE1618" s="1" t="n"/>
      <c r="AF1618" s="1" t="inlineStr">
        <is>
          <t>Yes</t>
        </is>
      </c>
      <c r="AG1618" s="1" t="inlineStr">
        <is>
          <t>https://www.instagram.com/mystudyweb</t>
        </is>
      </c>
      <c r="AH1618" s="1" t="inlineStr">
        <is>
          <t>https://www.linkedin.com/company/mystudyweb-sweden-ab</t>
        </is>
      </c>
      <c r="AI1618" s="1" t="inlineStr">
        <is>
          <t>https://www.linkedin.com/company/mystudyweb-sweden-ab</t>
        </is>
      </c>
      <c r="AJ1618" s="1" t="n"/>
    </row>
    <row r="1619" ht="12.5" customHeight="1">
      <c r="A1619" s="6" t="n">
        <v>45181</v>
      </c>
      <c r="B1619" s="1" t="inlineStr">
        <is>
          <t>ORG_2170</t>
        </is>
      </c>
      <c r="C1619" s="1" t="b">
        <v>1</v>
      </c>
      <c r="D1619" s="1" t="inlineStr">
        <is>
          <t>Recrout</t>
        </is>
      </c>
      <c r="E1619" s="10" t="inlineStr">
        <is>
          <t>https://edutech.recrout.com/</t>
        </is>
      </c>
      <c r="F1619" t="inlineStr">
        <is>
          <t>edutech.recrout.com</t>
        </is>
      </c>
      <c r="G1619" s="1" t="inlineStr">
        <is>
          <t>Students are one of the most important links in our society. They are the new leaders, innovators, makers and creators, implementers, economists and politicians of the future. Their talent is undeniably important and necessary to keep society healthy and energetic. In the face of a changing world, we help Universities to get the best out of their students.
In our core, we believe there is more to people than merely a piece of paper, we believe in people’s talents. Our mission with Recrout EduTech is to help students discover their talent and strengthen their personal ambitions. Empowering young talent to achieve personal success. 
The personal guidance of students is of great importance to increase study success and to reduce dropout rates. We think we know our students but who are they really, what are their personality powers? How can we understand our students better, how can we achieve a qualitative deepening within the programs of personal student guidance?
Recrout's innovative software enables Universities to positively stimulate student development by assessing each student to discover their competencies and personal growth potential. Enabling universities to guide their students to more study success.</t>
        </is>
      </c>
      <c r="H1619" s="1" t="inlineStr">
        <is>
          <t>Dutch EdTech</t>
        </is>
      </c>
      <c r="I1619" s="1" t="inlineStr">
        <is>
          <t>English, Dutch</t>
        </is>
      </c>
      <c r="J1619" s="1" t="inlineStr">
        <is>
          <t>Hoofddorp</t>
        </is>
      </c>
      <c r="K1619" t="inlineStr">
        <is>
          <t>Hoofddorp</t>
        </is>
      </c>
      <c r="L1619" t="inlineStr">
        <is>
          <t>Hoofddorp, The Netherlands</t>
        </is>
      </c>
      <c r="M1619" t="n">
        <v>52.2909045</v>
      </c>
      <c r="N1619" t="n">
        <v>4.6592809</v>
      </c>
      <c r="O1619" s="1" t="inlineStr">
        <is>
          <t>The Netherlands</t>
        </is>
      </c>
      <c r="P1619" s="1" t="inlineStr">
        <is>
          <t>Netherlands</t>
        </is>
      </c>
      <c r="Q1619" s="1" t="inlineStr">
        <is>
          <t>6 to 10</t>
        </is>
      </c>
      <c r="R1619" t="inlineStr">
        <is>
          <t>Micro</t>
        </is>
      </c>
      <c r="S1619" s="1" t="inlineStr">
        <is>
          <t>Business to Consumer, Business to Government, Business to Schools</t>
        </is>
      </c>
      <c r="T1619" s="1" t="inlineStr">
        <is>
          <t>Corporate Training, Higher Education</t>
        </is>
      </c>
      <c r="U1619" s="1" t="inlineStr">
        <is>
          <t>Student interfacing, Teacher interfacing, System/Administrative</t>
        </is>
      </c>
      <c r="V1619" s="10" t="inlineStr">
        <is>
          <t>Student Coaching &amp; Guidance Platform</t>
        </is>
      </c>
      <c r="W1619" s="10" t="inlineStr">
        <is>
          <t>Students are one of the most important links in our society. They are the new leaders, innovators, makers and creators, implementers, economists and politicians of the future. Their talent is undeniably important and necessary to keep society healthy and energetic. In the face of a changing world, we help Universities to get the best out of their students.
In our core, we believe there is more to people than merely a piece of paper, we believe in people’s talents. Our mission with Recrout EduTech is to help students discover their talent and strengthen their personal ambitions. Empowering young talent to achieve personal success. 
The personal guidance of students is of great importance to increase study success and to reduce dropout rates. We think we know our students but who are they really, what are their personality powers? How can we understand our students better, how can we achieve a qualitative deepening within the programs of personal student guidance?
Recrout's innovative software enables Universities to positively stimulate student development by assessing each student to discover their competencies and personal growth potential. Enabling universities to guide their students to more study success.</t>
        </is>
      </c>
      <c r="X1619" s="10" t="inlineStr">
        <is>
          <t>https://drive.google.com/uc?export=view&amp;id=1nMDHfWuE6BgutaO69ojv2JarV_z27m8f</t>
        </is>
      </c>
      <c r="Y1619" t="inlineStr">
        <is>
          <t>https://drive.google.com/uc?export=view&amp;id=1nMDHfWuE6BgutaO69ojv2JarV_z27m8f</t>
        </is>
      </c>
      <c r="Z1619" s="1" t="inlineStr">
        <is>
          <t>https://drive.google.com/uc?export=view&amp;id=1nMDHfWuE6BgutaO69ojv2JarV_z27m8f</t>
        </is>
      </c>
      <c r="AA1619" s="1" t="inlineStr">
        <is>
          <t>Unverified</t>
        </is>
      </c>
      <c r="AB1619" s="1" t="n"/>
      <c r="AC1619" s="1" t="n"/>
      <c r="AD1619" s="10" t="n"/>
      <c r="AE1619" s="1" t="n"/>
      <c r="AF1619" s="1" t="inlineStr">
        <is>
          <t>Yes</t>
        </is>
      </c>
      <c r="AG1619" s="1" t="inlineStr">
        <is>
          <t>https://twitter.com/recrout</t>
        </is>
      </c>
      <c r="AH1619" s="1" t="inlineStr">
        <is>
          <t>https://twitter.com/recrout</t>
        </is>
      </c>
      <c r="AI1619" s="1" t="inlineStr">
        <is>
          <t>https://www.linkedin.com/company/recrout/</t>
        </is>
      </c>
      <c r="AJ1619" s="1" t="n"/>
    </row>
    <row r="1620" ht="12.5" customHeight="1">
      <c r="A1620" s="6" t="n">
        <v>45181</v>
      </c>
      <c r="B1620" s="1" t="inlineStr">
        <is>
          <t>ORG_2513</t>
        </is>
      </c>
      <c r="C1620" s="1" t="b">
        <v>1</v>
      </c>
      <c r="D1620" s="1" t="inlineStr">
        <is>
          <t>Warp VR</t>
        </is>
      </c>
      <c r="E1620" s="10" t="inlineStr">
        <is>
          <t>https://www.warpvr.com/</t>
        </is>
      </c>
      <c r="F1620" t="inlineStr">
        <is>
          <t>warpvr.com</t>
        </is>
      </c>
      <c r="G1620" s="1" t="inlineStr">
        <is>
          <t>Warp VR is the easiest and most powerful way to create and scale interactive story-based VR training &amp; onboarding scenarios for enterprise, training agencies and education.
Companies like ASML, Erste Bank, KLM, Shell, and Tata Steel use Warp VR to train their workforce in safety, security and soft skills in a realistic and personalized way — showing results like a 75% increase in learning quality and retention, a 40% reduction in training time, and a 70% performance improvement.</t>
        </is>
      </c>
      <c r="H1620" s="1" t="inlineStr">
        <is>
          <t>Dutch EdTech</t>
        </is>
      </c>
      <c r="I1620" s="1" t="inlineStr">
        <is>
          <t>All</t>
        </is>
      </c>
      <c r="J1620" s="1" t="inlineStr">
        <is>
          <t>Vreeland</t>
        </is>
      </c>
      <c r="K1620" t="inlineStr">
        <is>
          <t>Vreeland</t>
        </is>
      </c>
      <c r="L1620" t="inlineStr">
        <is>
          <t>Vreeland, The Netherlands</t>
        </is>
      </c>
      <c r="M1620" t="n">
        <v>52.2347438</v>
      </c>
      <c r="N1620" t="n">
        <v>5.0500684</v>
      </c>
      <c r="O1620" s="1" t="inlineStr">
        <is>
          <t>The Netherlands</t>
        </is>
      </c>
      <c r="P1620" s="1" t="inlineStr">
        <is>
          <t>Austria, Belgium, Denmark, Netherlands, United Kingdom</t>
        </is>
      </c>
      <c r="Q1620" s="1" t="inlineStr">
        <is>
          <t>11 to 50</t>
        </is>
      </c>
      <c r="R1620" t="inlineStr">
        <is>
          <t>Small</t>
        </is>
      </c>
      <c r="S1620" s="1" t="inlineStr">
        <is>
          <t>Business to Government, Business to Schools</t>
        </is>
      </c>
      <c r="T1620" s="1" t="inlineStr">
        <is>
          <t>Secondary Education, Corporate Training, Vocational Education and Training (VET), Higher Education</t>
        </is>
      </c>
      <c r="U1620" s="1" t="inlineStr">
        <is>
          <t>Teacher interfacing, System/Administrative</t>
        </is>
      </c>
      <c r="V1620" s="10" t="inlineStr">
        <is>
          <t>Warp Studio</t>
        </is>
      </c>
      <c r="W1620" s="10" t="inlineStr">
        <is>
          <t>Warp Studio is your central hub for creating, distributing and analysing real and immersive training scenarios. Collaborate with your team to create impact, engage your workforce and grow your business.
- Create any scenario you can think of
- Distribute to all major mobile VR platforms
- Analyze training data, up to every single choice</t>
        </is>
      </c>
      <c r="X1620" s="10" t="inlineStr">
        <is>
          <t>https://drive.google.com/uc?export=view&amp;id=1iHLsHQmvi6CMrUAS4EjrNtw8-wa943zh</t>
        </is>
      </c>
      <c r="Y1620" t="inlineStr">
        <is>
          <t>https://drive.google.com/uc?export=view&amp;id=1iHLsHQmvi6CMrUAS4EjrNtw8-wa943zh</t>
        </is>
      </c>
      <c r="Z1620" s="1" t="inlineStr">
        <is>
          <t>https://drive.google.com/uc?export=view&amp;id=1iHLsHQmvi6CMrUAS4EjrNtw8-wa943zh</t>
        </is>
      </c>
      <c r="AA1620" s="1" t="inlineStr">
        <is>
          <t>Unverified</t>
        </is>
      </c>
      <c r="AB1620" s="1" t="n"/>
      <c r="AC1620" s="1" t="n"/>
      <c r="AD1620" s="10" t="n"/>
      <c r="AE1620" s="1" t="n"/>
      <c r="AF1620" s="1" t="inlineStr">
        <is>
          <t>Yes</t>
        </is>
      </c>
      <c r="AG1620" s="1" t="inlineStr">
        <is>
          <t>https://www.instagram.com/warp_vr/</t>
        </is>
      </c>
      <c r="AH1620" s="1" t="inlineStr">
        <is>
          <t>https://twitter.com/WarpVR</t>
        </is>
      </c>
      <c r="AI1620" s="1" t="inlineStr">
        <is>
          <t>https://www.linkedin.com/company/warpvr/</t>
        </is>
      </c>
      <c r="AJ1620" s="1" t="n"/>
    </row>
    <row r="1621" ht="12.5" customHeight="1">
      <c r="A1621" s="6" t="n">
        <v>45181</v>
      </c>
      <c r="B1621" s="1" t="inlineStr">
        <is>
          <t>ORG_1073</t>
        </is>
      </c>
      <c r="C1621" s="1" t="b">
        <v>1</v>
      </c>
      <c r="D1621" s="1" t="inlineStr">
        <is>
          <t>Annie Advisor</t>
        </is>
      </c>
      <c r="E1621" s="10" t="inlineStr">
        <is>
          <t>https://annieadvisor.com</t>
        </is>
      </c>
      <c r="F1621" t="inlineStr">
        <is>
          <t>annieadvisor.com</t>
        </is>
      </c>
      <c r="G1621" s="1" t="inlineStr">
        <is>
          <t>We're a Helsinki-based startup that develops Annie, a proactive student support chatbot for secondary and higher education. Annie finds hidden support needs among students and directs them to the correct services before their issues escalate, thereby making support more effective and students more successful.
We're a team of human-centered technologists and experts on human behavior with decades of collective experience in educational technology.</t>
        </is>
      </c>
      <c r="H1621" s="1" t="inlineStr">
        <is>
          <t>EdTech Finland</t>
        </is>
      </c>
      <c r="I1621" s="1" t="inlineStr">
        <is>
          <t>English, Italian, Swedish, Spanish, Catalan, Finnish</t>
        </is>
      </c>
      <c r="J1621" s="1" t="inlineStr">
        <is>
          <t>Helsinki</t>
        </is>
      </c>
      <c r="K1621" t="inlineStr">
        <is>
          <t>Helsinki</t>
        </is>
      </c>
      <c r="L1621" t="inlineStr">
        <is>
          <t>Helsinki, Finland</t>
        </is>
      </c>
      <c r="M1621" t="n">
        <v>60.1666204</v>
      </c>
      <c r="N1621" t="n">
        <v>24.9435408</v>
      </c>
      <c r="O1621" s="1" t="inlineStr">
        <is>
          <t>Finland</t>
        </is>
      </c>
      <c r="P1621" s="1" t="inlineStr">
        <is>
          <t>Finland, Italy, Spain</t>
        </is>
      </c>
      <c r="Q1621" s="1" t="inlineStr">
        <is>
          <t>6 to 10</t>
        </is>
      </c>
      <c r="R1621" t="inlineStr">
        <is>
          <t>Micro</t>
        </is>
      </c>
      <c r="S1621" s="1" t="inlineStr">
        <is>
          <t>Business to Business, Business to Government</t>
        </is>
      </c>
      <c r="T1621" s="1" t="inlineStr">
        <is>
          <t>Secondary Education, Vocational Education and Training (VET), Higher Education</t>
        </is>
      </c>
      <c r="U1621" s="1" t="inlineStr">
        <is>
          <t>Teacher interfacing, System/Administrative</t>
        </is>
      </c>
      <c r="V1621" s="10" t="inlineStr">
        <is>
          <t>Annie Advisor</t>
        </is>
      </c>
      <c r="W1621" s="10" t="inlineStr">
        <is>
          <t>Annie is a proactive student support chatbot for secondary and higher education. Annie finds hidden support needs among students and directs them to the correct services before their issues escalate, thereby making support more effective and students more successful. The bot is based on SMS messages and typically gets an 80% response rate with 15% students reporting support needs.</t>
        </is>
      </c>
      <c r="X1621" s="10" t="inlineStr">
        <is>
          <t>https://drive.google.com/uc?export=view&amp;id=1uaf-f_GtQBvh7Jv8nqewNe1iwd2LmEbr</t>
        </is>
      </c>
      <c r="Y1621" t="inlineStr">
        <is>
          <t>https://drive.google.com/uc?export=view&amp;id=1uaf-f_GtQBvh7Jv8nqewNe1iwd2LmEbr</t>
        </is>
      </c>
      <c r="Z1621" s="1" t="inlineStr">
        <is>
          <t>https://drive.google.com/uc?export=view&amp;id=1uaf-f_GtQBvh7Jv8nqewNe1iwd2LmEbr</t>
        </is>
      </c>
      <c r="AA1621" s="1" t="inlineStr">
        <is>
          <t>Unverified</t>
        </is>
      </c>
      <c r="AB1621" s="1" t="n"/>
      <c r="AC1621" s="1" t="n"/>
      <c r="AD1621" s="10" t="n"/>
      <c r="AE1621" s="1" t="n"/>
      <c r="AF1621" s="1" t="inlineStr">
        <is>
          <t>Yes</t>
        </is>
      </c>
      <c r="AG1621" s="1" t="inlineStr">
        <is>
          <t>https://www.instagram.com/annieadvisor/</t>
        </is>
      </c>
      <c r="AH1621" s="1" t="inlineStr">
        <is>
          <t>https://twitter.com/advisor_annie</t>
        </is>
      </c>
      <c r="AI1621" s="1" t="inlineStr">
        <is>
          <t>https://www.linkedin.com/company/annie-advisor</t>
        </is>
      </c>
      <c r="AJ1621" s="1" t="n"/>
    </row>
    <row r="1622" ht="12.5" customHeight="1">
      <c r="A1622" s="6" t="n">
        <v>45180</v>
      </c>
      <c r="B1622" s="1" t="inlineStr">
        <is>
          <t>ORG_2223</t>
        </is>
      </c>
      <c r="C1622" s="1" t="b">
        <v>1</v>
      </c>
      <c r="D1622" s="1" t="inlineStr">
        <is>
          <t>Sdui</t>
        </is>
      </c>
      <c r="E1622" s="10" t="inlineStr">
        <is>
          <t>https://sdui.de/</t>
        </is>
      </c>
      <c r="F1622" t="inlineStr">
        <is>
          <t>sdui.de</t>
        </is>
      </c>
      <c r="G1622" s="1" t="inlineStr">
        <is>
          <t>Sdui simplifies communication and organization in schools and daycare centres. The aim of the platform is to reduce the time spent on administrative tasks and to make learning more effective and accessible. For this purpose, Sdui develops GPDR-compliant solutions that connect teachers, parents and children. With features such as chat, video calls, cloud, timetable and translations, the platform creates the infrastructure for digital learning. Sdui was founded in Koblenz in 2018 and is now one of the fastest-growing start-ups in the German edtech industry.
As of February 2022, Sdui employs around 150 people and has reached more than 5,000 schools and daycare centres in Europe.</t>
        </is>
      </c>
      <c r="H1622" s="1" t="inlineStr">
        <is>
          <t>I'm not part of any EdTech association</t>
        </is>
      </c>
      <c r="I1622" s="1" t="n"/>
      <c r="J1622" s="1" t="inlineStr">
        <is>
          <t>Koblenz</t>
        </is>
      </c>
      <c r="K1622" t="inlineStr">
        <is>
          <t>Koblenz</t>
        </is>
      </c>
      <c r="L1622" t="inlineStr">
        <is>
          <t>Koblenz, Germany</t>
        </is>
      </c>
      <c r="M1622" t="n">
        <v>50.3533278</v>
      </c>
      <c r="N1622" t="n">
        <v>7.5943951</v>
      </c>
      <c r="O1622" s="1" t="inlineStr">
        <is>
          <t>Germany</t>
        </is>
      </c>
      <c r="P1622" s="1" t="inlineStr">
        <is>
          <t>Austria, Belgium, France, Germany, Switzerland</t>
        </is>
      </c>
      <c r="Q1622" s="1" t="inlineStr">
        <is>
          <t>100+</t>
        </is>
      </c>
      <c r="R1622" t="inlineStr">
        <is>
          <t>Medium or Large (unspecified)</t>
        </is>
      </c>
      <c r="S1622" s="1" t="inlineStr">
        <is>
          <t>Business to Consumer</t>
        </is>
      </c>
      <c r="T1622" s="1" t="inlineStr">
        <is>
          <t>Early childhood development (0-5 years), Primary Education, Secondary Education</t>
        </is>
      </c>
      <c r="U1622" s="1" t="inlineStr">
        <is>
          <t>System/Administrative, Student interfacing, Teacher interfacing</t>
        </is>
      </c>
      <c r="V1622" s="1" t="n"/>
      <c r="W1622" s="1" t="inlineStr">
        <is>
          <t>https://drive.google.com/uc?export=view&amp;id=1jAklF2tlq7qW761LQaC6EW9dsp_noXHl</t>
        </is>
      </c>
      <c r="X1622" s="1" t="inlineStr">
        <is>
          <t>https://drive.google.com/uc?export=view&amp;id=1jAklF2tlq7qW761LQaC6EW9dsp_noXHl</t>
        </is>
      </c>
      <c r="Y1622" t="inlineStr">
        <is>
          <t>https://drive.google.com/uc?export=view&amp;id=1jAklF2tlq7qW761LQaC6EW9dsp_noXHl</t>
        </is>
      </c>
      <c r="Z1622" s="1" t="inlineStr">
        <is>
          <t>https://drive.google.com/uc?export=view&amp;id=1jAklF2tlq7qW761LQaC6EW9dsp_noXHl</t>
        </is>
      </c>
      <c r="AA1622" s="1" t="inlineStr">
        <is>
          <t>Unverified</t>
        </is>
      </c>
      <c r="AB1622" s="1" t="n"/>
      <c r="AC1622" s="1" t="n"/>
      <c r="AD1622" s="10" t="n"/>
      <c r="AE1622" s="1" t="n"/>
      <c r="AF1622" s="1" t="inlineStr">
        <is>
          <t>No</t>
        </is>
      </c>
      <c r="AG1622" s="1" t="n"/>
      <c r="AH1622" s="1" t="n"/>
      <c r="AI1622" s="1" t="n"/>
      <c r="AJ1622" s="1" t="n"/>
    </row>
    <row r="1623" ht="12.5" customHeight="1">
      <c r="A1623" s="6" t="n">
        <v>45896</v>
      </c>
      <c r="B1623" s="1" t="inlineStr">
        <is>
          <t>ORG_1293</t>
        </is>
      </c>
      <c r="C1623" s="1" t="b">
        <v>1</v>
      </c>
      <c r="D1623" s="1" t="inlineStr">
        <is>
          <t>CoNurse</t>
        </is>
      </c>
      <c r="E1623" s="10" t="inlineStr">
        <is>
          <t>https://www.conurse.net/</t>
        </is>
      </c>
      <c r="F1623" t="inlineStr">
        <is>
          <t>conurse.net</t>
        </is>
      </c>
      <c r="G1623" s="1" t="inlineStr">
        <is>
          <t>CoNurse is a platform and mobile app designed to be the ultimate pocket companion for future nurses, providing learning support with practical content and both clinical and digital skills development.</t>
        </is>
      </c>
      <c r="H1623" s="1" t="inlineStr">
        <is>
          <t>EdTech Estonia</t>
        </is>
      </c>
      <c r="I1623" s="1" t="inlineStr">
        <is>
          <t>English, Estonian, Lithuanian, Ukrainian, Spanish</t>
        </is>
      </c>
      <c r="J1623" s="1" t="inlineStr">
        <is>
          <t>Tallinn</t>
        </is>
      </c>
      <c r="K1623" t="inlineStr">
        <is>
          <t>Tallinn</t>
        </is>
      </c>
      <c r="L1623" t="inlineStr">
        <is>
          <t>Tallinn, Estonia</t>
        </is>
      </c>
      <c r="M1623" t="n">
        <v>59.437242</v>
      </c>
      <c r="N1623" t="n">
        <v>24.7572693</v>
      </c>
      <c r="O1623" s="1" t="inlineStr">
        <is>
          <t>Estonia</t>
        </is>
      </c>
      <c r="P1623" s="1" t="inlineStr">
        <is>
          <t>https://www.instagram.com/conurse_app/</t>
        </is>
      </c>
      <c r="Q1623" s="1" t="inlineStr">
        <is>
          <t>Micro (1-9 FTE employees)</t>
        </is>
      </c>
      <c r="R1623" t="inlineStr">
        <is>
          <t>Micro</t>
        </is>
      </c>
      <c r="S1623" s="1" t="inlineStr">
        <is>
          <t>Business to Business, Business to Schools</t>
        </is>
      </c>
      <c r="T1623" s="1" t="inlineStr">
        <is>
          <t>Corporate Training, Higher Education, Vocational Education and Training (VET)</t>
        </is>
      </c>
      <c r="U1623" s="1" t="inlineStr">
        <is>
          <t>Student interfacing, System/Administrative</t>
        </is>
      </c>
      <c r="V1623" s="10" t="inlineStr">
        <is>
          <t>CoNurse for Education</t>
        </is>
      </c>
      <c r="W1623" s="1" t="inlineStr">
        <is>
          <t>CoNurse is a platform and mobile app designed to be the ultimate pocket companion for future nurses, providing learning support with step-by-step practical content and both clinical and digital skills development.</t>
        </is>
      </c>
      <c r="X1623" s="10" t="inlineStr">
        <is>
          <t>https://drive.google.com/uc?export=view&amp;id=1XITi5nGcUd-p8dgV_AtMufVnZlrEk2Zq</t>
        </is>
      </c>
      <c r="Y1623" t="inlineStr">
        <is>
          <t>https://drive.google.com/uc?export=view&amp;id=1XITi5nGcUd-p8dgV_AtMufVnZlrEk2Zq</t>
        </is>
      </c>
      <c r="Z1623" s="1" t="inlineStr">
        <is>
          <t>https://drive.google.com/uc?export=view&amp;id=1XITi5nGcUd-p8dgV_AtMufVnZlrEk2Zq</t>
        </is>
      </c>
      <c r="AA1623" s="1" t="inlineStr">
        <is>
          <t>Verified</t>
        </is>
      </c>
      <c r="AB1623" s="1" t="inlineStr">
        <is>
          <t>Public-private partnerships, Project consortium building, Industry-academia partnerships, Collaborations between EdTech organisations</t>
        </is>
      </c>
      <c r="AC1623" s="1" t="inlineStr">
        <is>
          <t>For-profit company</t>
        </is>
      </c>
      <c r="AD1623" s="10" t="b">
        <v>1</v>
      </c>
      <c r="AE1623" s="1" t="b">
        <v>1</v>
      </c>
      <c r="AF1623" s="1" t="inlineStr">
        <is>
          <t>Yes</t>
        </is>
      </c>
      <c r="AG1623" s="1" t="inlineStr">
        <is>
          <t>https://www.instagram.com/conurse_app/</t>
        </is>
      </c>
      <c r="AH1623" s="1" t="inlineStr">
        <is>
          <t>https://www.linkedin.com/company/conurseapp/</t>
        </is>
      </c>
      <c r="AI1623" s="1" t="inlineStr">
        <is>
          <t>https://www.linkedin.com/company/conurseapp/</t>
        </is>
      </c>
      <c r="AJ1623" s="1" t="n"/>
    </row>
    <row r="1624" ht="12.5" customHeight="1">
      <c r="A1624" s="6" t="n">
        <v>45896</v>
      </c>
      <c r="B1624" s="1" t="inlineStr">
        <is>
          <t>ORG_2668</t>
        </is>
      </c>
      <c r="C1624" s="1" t="b">
        <v>1</v>
      </c>
      <c r="D1624" s="1" t="inlineStr">
        <is>
          <t>Amimi</t>
        </is>
      </c>
      <c r="E1624" s="10" t="inlineStr">
        <is>
          <t>https://jeeni.ai/</t>
        </is>
      </c>
      <c r="F1624" t="inlineStr">
        <is>
          <t>jeeni.ai</t>
        </is>
      </c>
      <c r="G1624" s="1" t="inlineStr">
        <is>
          <t>We help parents to teach kids EQ</t>
        </is>
      </c>
      <c r="H1624" s="1" t="inlineStr">
        <is>
          <t>DOHE</t>
        </is>
      </c>
      <c r="I1624" s="1" t="inlineStr">
        <is>
          <t>English</t>
        </is>
      </c>
      <c r="J1624" s="1" t="inlineStr">
        <is>
          <t>Lisbon</t>
        </is>
      </c>
      <c r="K1624" t="inlineStr">
        <is>
          <t>Lisbon</t>
        </is>
      </c>
      <c r="L1624" t="inlineStr">
        <is>
          <t>Lisbon, Portugal</t>
        </is>
      </c>
      <c r="M1624" t="n">
        <v>38.7077507</v>
      </c>
      <c r="N1624" t="n">
        <v>-9.136591900000001</v>
      </c>
      <c r="O1624" s="1" t="inlineStr">
        <is>
          <t>Portugal</t>
        </is>
      </c>
      <c r="P1624" s="1" t="inlineStr">
        <is>
          <t>Globally</t>
        </is>
      </c>
      <c r="Q1624" s="1" t="inlineStr">
        <is>
          <t>Micro (1-9 FTE employees)</t>
        </is>
      </c>
      <c r="R1624" t="inlineStr">
        <is>
          <t>Micro</t>
        </is>
      </c>
      <c r="S1624" s="1" t="inlineStr">
        <is>
          <t>Business to Consumer</t>
        </is>
      </c>
      <c r="T1624" s="1" t="inlineStr">
        <is>
          <t>Early childhood development (0-5 years), Primary Education</t>
        </is>
      </c>
      <c r="U1624" s="1" t="inlineStr">
        <is>
          <t>Student interfacing</t>
        </is>
      </c>
      <c r="V1624" s="1" t="inlineStr">
        <is>
          <t>iOS app</t>
        </is>
      </c>
      <c r="W1624" s="1" t="inlineStr">
        <is>
          <t>AI tutor, purpose-built to help children develop emotional intelligence through interactive play</t>
        </is>
      </c>
      <c r="X1624" s="1" t="inlineStr">
        <is>
          <t>https://drive.google.com/uc?export=view&amp;id=1ZzILKXiBNvuFCsdU4HTO5kMNWjEV5Du7</t>
        </is>
      </c>
      <c r="Y1624" t="inlineStr">
        <is>
          <t>https://drive.google.com/uc?export=view&amp;id=1ZzILKXiBNvuFCsdU4HTO5kMNWjEV5Du7</t>
        </is>
      </c>
      <c r="Z1624" s="1" t="inlineStr">
        <is>
          <t>https://drive.google.com/uc?export=view&amp;id=1ZzILKXiBNvuFCsdU4HTO5kMNWjEV5Du7</t>
        </is>
      </c>
      <c r="AA1624" s="1" t="inlineStr">
        <is>
          <t>Verified</t>
        </is>
      </c>
      <c r="AB1624" s="1" t="inlineStr">
        <is>
          <t>Collaborations between EdTech organisations, Project consortium building, Public-private partnerships, Industry-academia partnerships</t>
        </is>
      </c>
      <c r="AC1624" s="1" t="inlineStr">
        <is>
          <t>For-profit company</t>
        </is>
      </c>
      <c r="AD1624" s="10" t="b">
        <v>1</v>
      </c>
      <c r="AE1624" s="1" t="b">
        <v>1</v>
      </c>
      <c r="AF1624" s="1" t="inlineStr">
        <is>
          <t>No</t>
        </is>
      </c>
      <c r="AG1624" s="1" t="n"/>
      <c r="AH1624" s="1" t="n"/>
      <c r="AI1624" s="1" t="n"/>
      <c r="AJ1624" s="1" t="n"/>
    </row>
    <row r="1625" ht="12.5" customHeight="1">
      <c r="A1625" s="6" t="n">
        <v>45896</v>
      </c>
      <c r="B1625" s="1" t="inlineStr">
        <is>
          <t>ORG_2669</t>
        </is>
      </c>
      <c r="C1625" s="1" t="b">
        <v>1</v>
      </c>
      <c r="D1625" s="1" t="inlineStr">
        <is>
          <t>RecruitHer</t>
        </is>
      </c>
      <c r="E1625" s="10" t="inlineStr">
        <is>
          <t>https://recruither.co.uk/</t>
        </is>
      </c>
      <c r="F1625" t="inlineStr">
        <is>
          <t>recruither.co.uk</t>
        </is>
      </c>
      <c r="G1625" s="1" t="inlineStr">
        <is>
          <t>RecruitHer is a recruitment consultancy that champions diverse GTM in EdTech sector.We specialise in professionals who bring deep educational insights (across HE, K12, IB, and FE), enabling companies to hit growth targets and secure their next funding rounds or investments.</t>
        </is>
      </c>
      <c r="H1625" s="1" t="inlineStr">
        <is>
          <t>I'm not part of any EdTech association</t>
        </is>
      </c>
      <c r="I1625" s="1" t="inlineStr">
        <is>
          <t>English, Polish</t>
        </is>
      </c>
      <c r="J1625" s="1" t="inlineStr">
        <is>
          <t>London</t>
        </is>
      </c>
      <c r="K1625" t="inlineStr">
        <is>
          <t>London</t>
        </is>
      </c>
      <c r="L1625" t="inlineStr">
        <is>
          <t>London, United Kingdom</t>
        </is>
      </c>
      <c r="M1625" t="n">
        <v>51.5074456</v>
      </c>
      <c r="N1625" t="n">
        <v>-0.1277653</v>
      </c>
      <c r="O1625" s="1" t="inlineStr">
        <is>
          <t>United Kingdom</t>
        </is>
      </c>
      <c r="P1625" s="1" t="inlineStr">
        <is>
          <t>Austria, Belgium, Bulgaria, Denmark, Albania, Andorra, Belarus, Bosnia and Herzegovina, Croatia, Republic of Cyprus, Czechia, Estonia, United Kingdom, Ukraine, Turkey, Switzerland, Sweden, Slovenia, Spain, San Marino, Poland, Netherlands, Montenegro, Norway, Romania, North Macedonia, Monaco, Portugal, Slovakia, Luxembourg, Latvia, Ireland, Greece, Finland, France, Hungary, Italy, Liechtenstein, Malta, Germany, Iceland, Kosovo, Lithuania, Moldova</t>
        </is>
      </c>
      <c r="Q1625" s="1" t="inlineStr">
        <is>
          <t>Micro (1-9 FTE employees)</t>
        </is>
      </c>
      <c r="R1625" t="inlineStr">
        <is>
          <t>Micro</t>
        </is>
      </c>
      <c r="S1625" s="1" t="inlineStr">
        <is>
          <t>Business to Business</t>
        </is>
      </c>
      <c r="T1625" s="1" t="inlineStr">
        <is>
          <t>Early childhood development (0-5 years), Primary Education, Secondary Education, Vocational Education and Training (VET), Higher Education, Special Education</t>
        </is>
      </c>
      <c r="U1625" s="1" t="inlineStr">
        <is>
          <t>Other</t>
        </is>
      </c>
      <c r="V1625" s="10" t="inlineStr">
        <is>
          <t>Recruitment</t>
        </is>
      </c>
      <c r="W1625" s="1" t="inlineStr">
        <is>
          <t>We place top diverse talent with insight knowledge of education sector in Go-to-Market (GTM) teams in EdTech sector and allow them to see results from day one.</t>
        </is>
      </c>
      <c r="X1625" s="10" t="inlineStr">
        <is>
          <t>https://drive.google.com/uc?export=view&amp;id=15qpCI4JeZVZ8Qa_mXesuP2dfzELmkyh3</t>
        </is>
      </c>
      <c r="Y1625" t="inlineStr">
        <is>
          <t>https://drive.google.com/uc?export=view&amp;id=15qpCI4JeZVZ8Qa_mXesuP2dfzELmkyh3</t>
        </is>
      </c>
      <c r="Z1625" s="1" t="inlineStr">
        <is>
          <t>https://drive.google.com/uc?export=view&amp;id=15qpCI4JeZVZ8Qa_mXesuP2dfzELmkyh3</t>
        </is>
      </c>
      <c r="AA1625" s="1" t="inlineStr">
        <is>
          <t>Verified</t>
        </is>
      </c>
      <c r="AB1625" s="1" t="inlineStr">
        <is>
          <t>Industry-academia partnerships, Collaborations between EdTech organisations</t>
        </is>
      </c>
      <c r="AC1625" s="1" t="inlineStr">
        <is>
          <t>For-profit company</t>
        </is>
      </c>
      <c r="AD1625" s="10" t="b">
        <v>1</v>
      </c>
      <c r="AE1625" s="1" t="b">
        <v>1</v>
      </c>
      <c r="AF1625" s="1" t="inlineStr">
        <is>
          <t>Yes</t>
        </is>
      </c>
      <c r="AG1625" s="1" t="inlineStr">
        <is>
          <t>https://www.instagram.com/recruit_her_uk/</t>
        </is>
      </c>
      <c r="AH1625" s="1" t="inlineStr">
        <is>
          <t>https://www.linkedin.com/company/recruither-consulting/</t>
        </is>
      </c>
      <c r="AI1625" s="1" t="inlineStr">
        <is>
          <t>https://www.linkedin.com/company/recruither-consulting/</t>
        </is>
      </c>
      <c r="AJ1625" s="1" t="n"/>
    </row>
    <row r="1626" ht="12.5" customHeight="1">
      <c r="A1626" s="6" t="n">
        <v>45898</v>
      </c>
      <c r="B1626" s="1" t="inlineStr">
        <is>
          <t>ORG_2670</t>
        </is>
      </c>
      <c r="C1626" s="1" t="b">
        <v>1</v>
      </c>
      <c r="D1626" s="10" t="inlineStr">
        <is>
          <t>Eduzone.AI</t>
        </is>
      </c>
      <c r="E1626" s="10" t="inlineStr">
        <is>
          <t>https://www.eduzone.ai</t>
        </is>
      </c>
      <c r="F1626" t="inlineStr">
        <is>
          <t>eduzone.ai</t>
        </is>
      </c>
      <c r="G1626" s="1" t="inlineStr">
        <is>
          <t>Eduzone.AI is an innovative EdTech platform that empowers teachers and educators with AI-driven tools to create, customize, share, and assess educational content more efficiently, giving them back valuable time to focus on their students.</t>
        </is>
      </c>
      <c r="H1626" s="1" t="inlineStr">
        <is>
          <t>Dutch EdTech</t>
        </is>
      </c>
      <c r="I1626" s="1" t="inlineStr">
        <is>
          <t>English</t>
        </is>
      </c>
      <c r="J1626" s="1" t="inlineStr">
        <is>
          <t>Amsterdam</t>
        </is>
      </c>
      <c r="K1626" t="inlineStr">
        <is>
          <t>Amsterdam</t>
        </is>
      </c>
      <c r="L1626" t="inlineStr">
        <is>
          <t>Amsterdam, The Netherlands</t>
        </is>
      </c>
      <c r="M1626" t="n">
        <v>52.3701984</v>
      </c>
      <c r="N1626" t="n">
        <v>4.892168</v>
      </c>
      <c r="O1626" s="1" t="inlineStr">
        <is>
          <t>The Netherlands</t>
        </is>
      </c>
      <c r="P1626" s="1" t="inlineStr">
        <is>
          <t>Albania, Belarus, Bulgaria, Croatia, Belgium, Andorra, Austria, Bosnia and Herzegovina, Republic of Cyprus, Estonia, Denmark, Czechia, Finland, France, Germany, Iceland, Kosovo, Lithuania, Moldova, Malta, Liechtenstein, Italy, Hungary, Luxembourg, Latvia, Ireland, Greece, Monaco, North Macedonia, Portugal, Slovakia, Sweden, Ukraine, United Kingdom, Switzerland, Slovenia, Romania, Norway, Montenegro, Netherlands, Poland, San Marino, Spain, Turkey</t>
        </is>
      </c>
      <c r="Q1626" s="1" t="inlineStr">
        <is>
          <t>Micro (1-9 FTE employees)</t>
        </is>
      </c>
      <c r="R1626" t="inlineStr">
        <is>
          <t>Micro</t>
        </is>
      </c>
      <c r="S1626" s="1" t="inlineStr">
        <is>
          <t>Business to Business, Business to Consumer, Business to Schools</t>
        </is>
      </c>
      <c r="T1626" s="1" t="inlineStr">
        <is>
          <t>Special Education, Lifelong learning/Adult education, Corporate Training, Higher Education, Vocational Education and Training (VET), Secondary Education, Primary Education, Early childhood development (0-5 years)</t>
        </is>
      </c>
      <c r="U1626" s="1" t="inlineStr">
        <is>
          <t>Teacher interfacing, Student interfacing</t>
        </is>
      </c>
      <c r="V1626" s="1" t="inlineStr">
        <is>
          <t>Eduzone.AI</t>
        </is>
      </c>
      <c r="W1626" s="1" t="inlineStr">
        <is>
          <t>Eduzone.AI is an innovative EdTech platform that empowers teachers and educators with AI-driven tools to create, customize, share, and assess educational content more efficiently, giving them back valuable time to focus on their students.</t>
        </is>
      </c>
      <c r="X1626" s="10" t="inlineStr">
        <is>
          <t>https://drive.google.com/uc?export=view&amp;id=1ty4U9VEFG-Z0TQ35sMHG2E2MeCOWcfwE</t>
        </is>
      </c>
      <c r="Y1626" t="inlineStr">
        <is>
          <t>https://drive.google.com/uc?export=view&amp;id=1ty4U9VEFG-Z0TQ35sMHG2E2MeCOWcfwE</t>
        </is>
      </c>
      <c r="Z1626" s="10" t="inlineStr">
        <is>
          <t>https://drive.google.com/uc?export=view&amp;id=1ty4U9VEFG-Z0TQ35sMHG2E2MeCOWcfwE</t>
        </is>
      </c>
      <c r="AA1626" s="1" t="inlineStr">
        <is>
          <t>Verified</t>
        </is>
      </c>
      <c r="AB1626" s="1" t="inlineStr">
        <is>
          <t>Collaborations between EdTech organisations, Public-private partnerships, Industry-academia partnerships, Project consortium building</t>
        </is>
      </c>
      <c r="AC1626" s="1" t="inlineStr">
        <is>
          <t>For-profit company</t>
        </is>
      </c>
      <c r="AD1626" s="10" t="b">
        <v>1</v>
      </c>
      <c r="AE1626" s="1" t="b">
        <v>1</v>
      </c>
      <c r="AF1626" s="1" t="inlineStr">
        <is>
          <t>Yes</t>
        </is>
      </c>
      <c r="AG1626" s="1" t="inlineStr">
        <is>
          <t>https://www.linkedin.com/company/eduzone-ai</t>
        </is>
      </c>
      <c r="AH1626" s="1" t="inlineStr">
        <is>
          <t>https://www.linkedin.com/company/eduzone-ai</t>
        </is>
      </c>
      <c r="AI1626" s="1" t="inlineStr">
        <is>
          <t>https://www.linkedin.com/company/eduzone-ai</t>
        </is>
      </c>
      <c r="AJ1626" s="1" t="n"/>
    </row>
    <row r="1627" ht="12.5" customHeight="1">
      <c r="A1627" s="6" t="n">
        <v>45898</v>
      </c>
      <c r="B1627" s="1" t="inlineStr">
        <is>
          <t>ORG_2671</t>
        </is>
      </c>
      <c r="C1627" s="1" t="b">
        <v>1</v>
      </c>
      <c r="D1627" s="1" t="inlineStr">
        <is>
          <t>FORAMIND</t>
        </is>
      </c>
      <c r="E1627" s="10" t="inlineStr">
        <is>
          <t>https://zihinlerfora.com</t>
        </is>
      </c>
      <c r="F1627" t="inlineStr">
        <is>
          <t>zihinlerfora.com</t>
        </is>
      </c>
      <c r="G1627" s="1" t="inlineStr">
        <is>
          <t>Zihinler FORA is company name and FORAMIND is mind mapping software name that was developed by Zihinler FORA. It is the mind mapping software compant and Tony Buzan Certified Training Center</t>
        </is>
      </c>
      <c r="H1627" s="1" t="inlineStr">
        <is>
          <t>ETKÝM Türkiye</t>
        </is>
      </c>
      <c r="I1627" s="1" t="inlineStr">
        <is>
          <t>English, Turkish</t>
        </is>
      </c>
      <c r="J1627" s="1" t="inlineStr">
        <is>
          <t>Ankara</t>
        </is>
      </c>
      <c r="K1627" t="inlineStr">
        <is>
          <t>Ankara</t>
        </is>
      </c>
      <c r="L1627" t="inlineStr">
        <is>
          <t>Ankara, Turkiye</t>
        </is>
      </c>
      <c r="M1627" t="n">
        <v>39.9207759</v>
      </c>
      <c r="N1627" t="n">
        <v>32.8540497</v>
      </c>
      <c r="O1627" s="1" t="inlineStr">
        <is>
          <t>Turkiye</t>
        </is>
      </c>
      <c r="P1627" s="1" t="inlineStr">
        <is>
          <t>Turkey, United Kingdom</t>
        </is>
      </c>
      <c r="Q1627" s="1" t="inlineStr">
        <is>
          <t>Small (10-49 FTE employees)</t>
        </is>
      </c>
      <c r="R1627" t="inlineStr">
        <is>
          <t>Small</t>
        </is>
      </c>
      <c r="S1627" s="1" t="inlineStr">
        <is>
          <t>Business to Business, Business to Consumer, Business to Government, Business to Schools</t>
        </is>
      </c>
      <c r="T1627" s="1" t="inlineStr">
        <is>
          <t>Primary Education, Secondary Education, Vocational Education and Training (VET), Higher Education, Corporate Training, Lifelong learning/Adult education, Special Education</t>
        </is>
      </c>
      <c r="U1627" s="1" t="inlineStr">
        <is>
          <t>Student interfacing, Teacher interfacing, System/Administrative</t>
        </is>
      </c>
      <c r="V1627" s="1" t="inlineStr">
        <is>
          <t>FORAMIND and Mind Mapping Training</t>
        </is>
      </c>
      <c r="W1627" s="1" t="inlineStr">
        <is>
          <t>FORAMIND is Mind Mapping Software with AI</t>
        </is>
      </c>
      <c r="X1627" s="1" t="inlineStr">
        <is>
          <t>Tony Buzan Certified Training Center</t>
        </is>
      </c>
      <c r="Y1627" t="inlineStr">
        <is>
          <t>Certified Mind Mapping Training is delivered to teachers and students. And also corporate employees.</t>
        </is>
      </c>
      <c r="Z1627" s="1" t="inlineStr">
        <is>
          <t>https://drive.google.com/uc?export=view&amp;id=1POOxX5IiZFezvU0KVvfqt4nh-LqTqYUX</t>
        </is>
      </c>
      <c r="AA1627" s="1" t="inlineStr">
        <is>
          <t>Verified</t>
        </is>
      </c>
      <c r="AB1627" s="1" t="inlineStr">
        <is>
          <t>Collaborations between EdTech organisations, Public-private partnerships, Industry-academia partnerships</t>
        </is>
      </c>
      <c r="AC1627" s="1" t="inlineStr">
        <is>
          <t>For-profit company</t>
        </is>
      </c>
      <c r="AD1627" s="10" t="b">
        <v>1</v>
      </c>
      <c r="AE1627" s="1" t="b">
        <v>1</v>
      </c>
      <c r="AF1627" s="1" t="inlineStr">
        <is>
          <t>Yes</t>
        </is>
      </c>
      <c r="AG1627" s="1" t="n"/>
      <c r="AH1627" s="1" t="n"/>
      <c r="AI1627" s="1" t="inlineStr">
        <is>
          <t>linkedin/showcase/foramind</t>
        </is>
      </c>
      <c r="AJ1627" s="1" t="n"/>
    </row>
    <row r="1628" ht="12.5" customHeight="1">
      <c r="A1628" s="6" t="n">
        <v>45898</v>
      </c>
      <c r="B1628" s="1" t="inlineStr">
        <is>
          <t>ORG_2672</t>
        </is>
      </c>
      <c r="C1628" s="1" t="b">
        <v>1</v>
      </c>
      <c r="D1628" s="1" t="inlineStr">
        <is>
          <t>SWISSMENTOR AG</t>
        </is>
      </c>
      <c r="E1628" s="10" t="inlineStr">
        <is>
          <t>www.swissmentor.com</t>
        </is>
      </c>
      <c r="F1628" t="inlineStr">
        <is>
          <t>swissmentor.com</t>
        </is>
      </c>
      <c r="G1628" s="1" t="inlineStr">
        <is>
          <t>SWISSMENTOR AG is a software company in Bern, Switzerland. We build a school management and e-learning platform for Swiss education providers. It covers people and company records, invoicing and payroll, timetables with conflict checks and iCal, exams and reports, and document and video management. The system runs on Azure, Kubernetes or on-premises with a GraphQL API.</t>
        </is>
      </c>
      <c r="H1628" s="1" t="inlineStr">
        <is>
          <t>I'm not part of any EdTech association</t>
        </is>
      </c>
      <c r="I1628" s="1" t="inlineStr">
        <is>
          <t>English, German</t>
        </is>
      </c>
      <c r="J1628" s="1" t="inlineStr">
        <is>
          <t>Bern</t>
        </is>
      </c>
      <c r="K1628" t="inlineStr">
        <is>
          <t>Bern</t>
        </is>
      </c>
      <c r="L1628" t="inlineStr">
        <is>
          <t>Bern, Switzerland</t>
        </is>
      </c>
      <c r="M1628" t="n">
        <v>46.9484742</v>
      </c>
      <c r="N1628" t="n">
        <v>7.4521749</v>
      </c>
      <c r="O1628" s="1" t="inlineStr">
        <is>
          <t>Switzerland</t>
        </is>
      </c>
      <c r="P1628" s="1" t="inlineStr">
        <is>
          <t>Switzerland</t>
        </is>
      </c>
      <c r="Q1628" s="1" t="inlineStr">
        <is>
          <t>Micro (1-9 FTE employees)</t>
        </is>
      </c>
      <c r="R1628" t="inlineStr">
        <is>
          <t>Micro</t>
        </is>
      </c>
      <c r="S1628" s="1" t="inlineStr">
        <is>
          <t>Business to Business, Business to Schools, Business to Government</t>
        </is>
      </c>
      <c r="T1628" s="1" t="inlineStr">
        <is>
          <t>Higher Education, Corporate Training, Lifelong learning/Adult education</t>
        </is>
      </c>
      <c r="U1628" s="1" t="inlineStr">
        <is>
          <t>Student interfacing, Teacher interfacing, System/Administrative</t>
        </is>
      </c>
      <c r="V1628" s="1" t="inlineStr">
        <is>
          <t>SwissMentor</t>
        </is>
      </c>
      <c r="W1628" s="1" t="inlineStr">
        <is>
          <t>School management software and e-learning platform for administration, timetables, exams, payroll, and digital learning.</t>
        </is>
      </c>
      <c r="X1628" s="10" t="inlineStr">
        <is>
          <t>https://drive.google.com/uc?export=view&amp;id=1ay57RweT3yd5eZp6rwr2uLO4bkB0OrN3</t>
        </is>
      </c>
      <c r="Y1628" t="inlineStr">
        <is>
          <t>https://drive.google.com/uc?export=view&amp;id=1ay57RweT3yd5eZp6rwr2uLO4bkB0OrN3</t>
        </is>
      </c>
      <c r="Z1628" s="1" t="inlineStr">
        <is>
          <t>https://drive.google.com/uc?export=view&amp;id=1ay57RweT3yd5eZp6rwr2uLO4bkB0OrN3</t>
        </is>
      </c>
      <c r="AA1628" s="1" t="inlineStr">
        <is>
          <t>Verified</t>
        </is>
      </c>
      <c r="AB1628" s="1" t="inlineStr">
        <is>
          <t>Collaborations between EdTech organisations, Project consortium building, Public-private partnerships</t>
        </is>
      </c>
      <c r="AC1628" s="1" t="inlineStr">
        <is>
          <t>For-profit company</t>
        </is>
      </c>
      <c r="AD1628" s="10" t="b">
        <v>1</v>
      </c>
      <c r="AE1628" s="1" t="b">
        <v>1</v>
      </c>
      <c r="AF1628" s="1" t="inlineStr">
        <is>
          <t>Yes</t>
        </is>
      </c>
      <c r="AG1628" s="1" t="inlineStr">
        <is>
          <t>https://www.linkedin.com/company/swissmentor</t>
        </is>
      </c>
      <c r="AH1628" s="1" t="inlineStr">
        <is>
          <t>https://www.linkedin.com/company/swissmentor</t>
        </is>
      </c>
      <c r="AI1628" s="1" t="inlineStr">
        <is>
          <t>https://www.linkedin.com/company/swissmentor</t>
        </is>
      </c>
      <c r="AJ1628" s="1" t="n"/>
    </row>
    <row r="1629" ht="12.5" customHeight="1">
      <c r="A1629" s="6" t="n">
        <v>45898</v>
      </c>
      <c r="B1629" s="1" t="inlineStr">
        <is>
          <t>ORG_1966</t>
        </is>
      </c>
      <c r="C1629" s="1" t="b">
        <v>1</v>
      </c>
      <c r="D1629" s="1" t="inlineStr">
        <is>
          <t>Milton Education</t>
        </is>
      </c>
      <c r="E1629" s="10" t="inlineStr">
        <is>
          <t>miltoneducation.com</t>
        </is>
      </c>
      <c r="F1629" t="inlineStr">
        <is>
          <t>miltoneducation.com</t>
        </is>
      </c>
      <c r="G1629" s="1" t="inlineStr">
        <is>
          <t>An English language learning method where play is at the heart of everyday learning. Our method motivates students to ask questions rather than simply accept answers, using materials that spark curiosity and make learning truly meaningful.</t>
        </is>
      </c>
      <c r="H1629" s="1" t="inlineStr">
        <is>
          <t>EduTech Cluster Spain</t>
        </is>
      </c>
      <c r="I1629" s="1" t="inlineStr">
        <is>
          <t>English</t>
        </is>
      </c>
      <c r="J1629" s="1" t="inlineStr">
        <is>
          <t>Madrid</t>
        </is>
      </c>
      <c r="K1629" t="inlineStr">
        <is>
          <t>Madrid</t>
        </is>
      </c>
      <c r="L1629" t="inlineStr">
        <is>
          <t>Madrid, Spain</t>
        </is>
      </c>
      <c r="M1629" t="n">
        <v>40.416782</v>
      </c>
      <c r="N1629" t="n">
        <v>-3.703507</v>
      </c>
      <c r="O1629" s="1" t="inlineStr">
        <is>
          <t>Spain</t>
        </is>
      </c>
      <c r="P1629" s="1" t="inlineStr">
        <is>
          <t>Spain</t>
        </is>
      </c>
      <c r="Q1629" s="1" t="inlineStr">
        <is>
          <t>Small (10-49 FTE employees)</t>
        </is>
      </c>
      <c r="R1629" t="inlineStr">
        <is>
          <t>Small</t>
        </is>
      </c>
      <c r="S1629" s="1" t="inlineStr">
        <is>
          <t>Business to Business, Business to Schools, Business to Consumer</t>
        </is>
      </c>
      <c r="T1629" s="1" t="inlineStr">
        <is>
          <t>Early childhood development (0-5 years), Primary Education, Secondary Education, Vocational Education and Training (VET)</t>
        </is>
      </c>
      <c r="U1629" s="1" t="inlineStr">
        <is>
          <t>Student interfacing, Teacher interfacing</t>
        </is>
      </c>
      <c r="V1629" s="10" t="inlineStr">
        <is>
          <t>Read &amp; Play</t>
        </is>
      </c>
      <c r="W1629" s="10" t="inlineStr">
        <is>
          <t>A digital reading platform for primary students with over 800 audiobooks, 3,000 self-correcting exercises, and Kahoot-style games to practise English in a fun way. Hybrid methodology available which includes our printed literacy workbook, Bookroom Bites.</t>
        </is>
      </c>
      <c r="X1629" s="10" t="inlineStr">
        <is>
          <t>Read &amp; Prep</t>
        </is>
      </c>
      <c r="Y1629" t="inlineStr">
        <is>
          <t>A digital English learning platform for secondary students that combines a vast library of graded audiobooks with interactive exercises. Read &amp; Prep helps learners prepare for official exams while sparking curiosity and fostering meaningful, independent learning.</t>
        </is>
      </c>
      <c r="Z1629" s="1" t="inlineStr">
        <is>
          <t>https://drive.google.com/uc?export=view&amp;id=1E9ZhRuyPTk2j9YDta1rH6Aln-0ruSYk-</t>
        </is>
      </c>
      <c r="AA1629" s="1" t="inlineStr">
        <is>
          <t>Verified</t>
        </is>
      </c>
      <c r="AB1629" s="1" t="inlineStr">
        <is>
          <t>Collaborations between EdTech organisations, Project consortium building, Industry-academia partnerships</t>
        </is>
      </c>
      <c r="AC1629" s="1" t="inlineStr">
        <is>
          <t>For-profit company</t>
        </is>
      </c>
      <c r="AD1629" s="10" t="b">
        <v>1</v>
      </c>
      <c r="AE1629" s="1" t="b">
        <v>1</v>
      </c>
      <c r="AF1629" s="1" t="inlineStr">
        <is>
          <t>Yes</t>
        </is>
      </c>
      <c r="AG1629" s="1" t="inlineStr">
        <is>
          <t>https://www.instagram.com/miltonenglishteachers</t>
        </is>
      </c>
      <c r="AH1629" s="1" t="inlineStr">
        <is>
          <t>https://x.com/MiltonEducation</t>
        </is>
      </c>
      <c r="AI1629" s="1" t="inlineStr">
        <is>
          <t>https://www.linkedin.com/company</t>
        </is>
      </c>
      <c r="AJ1629" s="10" t="inlineStr">
        <is>
          <t>https://www.facebook.com/educationmilton</t>
        </is>
      </c>
    </row>
    <row r="1630" ht="12.5" customHeight="1">
      <c r="A1630" s="6" t="n">
        <v>45898</v>
      </c>
      <c r="B1630" s="1" t="inlineStr">
        <is>
          <t>ORG_2673</t>
        </is>
      </c>
      <c r="C1630" s="1" t="b">
        <v>1</v>
      </c>
      <c r="D1630" s="1" t="inlineStr">
        <is>
          <t>Academy Smart</t>
        </is>
      </c>
      <c r="E1630" s="10" t="inlineStr">
        <is>
          <t>https://academysmart.com/</t>
        </is>
      </c>
      <c r="F1630" t="inlineStr">
        <is>
          <t>academysmart.com</t>
        </is>
      </c>
      <c r="G1630" s="1" t="inlineStr">
        <is>
          <t>We're EdTech consultancy company specializing in LMS development, customization and integration., educational portals and applications development, quiz and certification platforms, LTI compliance implementation. We have our own LMS platform and CPD dashboard products.</t>
        </is>
      </c>
      <c r="H1630" s="1" t="inlineStr">
        <is>
          <t>I'm not part of any EdTech association</t>
        </is>
      </c>
      <c r="I1630" s="1" t="inlineStr">
        <is>
          <t>English, German, Ukrainian</t>
        </is>
      </c>
      <c r="J1630" s="1" t="inlineStr">
        <is>
          <t>Kharkiv</t>
        </is>
      </c>
      <c r="K1630" t="inlineStr">
        <is>
          <t>Kharkiv</t>
        </is>
      </c>
      <c r="L1630" t="inlineStr">
        <is>
          <t>Kharkiv, Ukraine</t>
        </is>
      </c>
      <c r="M1630" t="n">
        <v>49.9923181</v>
      </c>
      <c r="N1630" t="n">
        <v>36.2310146</v>
      </c>
      <c r="O1630" s="1" t="inlineStr">
        <is>
          <t>Ukraine</t>
        </is>
      </c>
      <c r="P1630" s="1" t="inlineStr">
        <is>
          <t>Austria, Belgium, Finland, Germany, Ireland, Netherlands, Norway, Switzerland, Sweden</t>
        </is>
      </c>
      <c r="Q1630" s="1" t="inlineStr">
        <is>
          <t>Medium (50-250 FTE employees)</t>
        </is>
      </c>
      <c r="R1630" t="inlineStr">
        <is>
          <t>Medium</t>
        </is>
      </c>
      <c r="S1630" s="1" t="inlineStr">
        <is>
          <t>Business to Business</t>
        </is>
      </c>
      <c r="T1630" s="1" t="inlineStr">
        <is>
          <t>Vocational Education and Training (VET), Corporate Training, Lifelong learning/Adult education, Special Education, Higher Education</t>
        </is>
      </c>
      <c r="U1630" s="1" t="inlineStr">
        <is>
          <t>Student interfacing, Teacher interfacing, System/Administrative</t>
        </is>
      </c>
      <c r="V1630" s="10" t="inlineStr">
        <is>
          <t>Academy Smart LMS</t>
        </is>
      </c>
      <c r="W1630" s="1" t="inlineStr">
        <is>
          <t>A fully customizable, self-hosted Learning Management System for training providers — built with true multi-tenancy, enterprise-grade access control, and no subscription lock-in.</t>
        </is>
      </c>
      <c r="X1630" s="10" t="inlineStr">
        <is>
          <t>Custom LMS and EdTech development</t>
        </is>
      </c>
      <c r="Y1630" t="inlineStr">
        <is>
          <t>Development of custom LMS platforms, extension and integration of the off-the-shelf LMS, educational portals, school management software, certification platforms.</t>
        </is>
      </c>
      <c r="Z1630" s="1" t="inlineStr">
        <is>
          <t>https://drive.google.com/uc?export=view&amp;id=138gwu4ntlUssSwNjaCqfiENP4pcAVqIT</t>
        </is>
      </c>
      <c r="AA1630" s="1" t="inlineStr">
        <is>
          <t>Verified</t>
        </is>
      </c>
      <c r="AB1630" s="1" t="inlineStr">
        <is>
          <t>Collaborations between EdTech organisations, Public-private partnerships, Project consortium building, Industry-academia partnerships</t>
        </is>
      </c>
      <c r="AC1630" s="1" t="inlineStr">
        <is>
          <t>For-profit company</t>
        </is>
      </c>
      <c r="AD1630" s="10" t="b">
        <v>1</v>
      </c>
      <c r="AE1630" s="1" t="b">
        <v>0</v>
      </c>
      <c r="AF1630" s="1" t="inlineStr">
        <is>
          <t>Yes</t>
        </is>
      </c>
      <c r="AG1630" s="1" t="inlineStr">
        <is>
          <t>https://www.instagram.com/academysmart.team/</t>
        </is>
      </c>
      <c r="AH1630" s="1" t="inlineStr">
        <is>
          <t>https://www.linkedin.com/company/academy-smart-ltd-/</t>
        </is>
      </c>
      <c r="AI1630" s="1" t="inlineStr">
        <is>
          <t>https://www.linkedin.com/company/academy-smart-ltd-/</t>
        </is>
      </c>
      <c r="AJ1630" s="10" t="inlineStr">
        <is>
          <t>https://www.facebook.com/academysmart.com.ua</t>
        </is>
      </c>
    </row>
    <row r="1631" ht="12.5" customHeight="1">
      <c r="A1631" s="6" t="n">
        <v>45898</v>
      </c>
      <c r="B1631" s="1" t="inlineStr">
        <is>
          <t>ORG_1859</t>
        </is>
      </c>
      <c r="C1631" s="1" t="b">
        <v>1</v>
      </c>
      <c r="D1631" s="1" t="inlineStr">
        <is>
          <t>LessonUp</t>
        </is>
      </c>
      <c r="E1631" s="10" t="inlineStr">
        <is>
          <t>https://www.lessonup.com</t>
        </is>
      </c>
      <c r="F1631" t="inlineStr">
        <is>
          <t>lessonup.com</t>
        </is>
      </c>
      <c r="G1631" s="1" t="inlineStr">
        <is>
          <t>LessonUp is a Netherlands-based all-in-one teaching platform that empowers educators to create, deliver, and share interactive lessons in both classroom and remote settings. Founded in 2015, it combines powerful teaching tools, formative assessment, and a vast library of customizable resources into one intuitive environment. Teachers can design engaging lessons enriched with interactive elements such as quizzes, polls, mind maps, and drag-and-drop tasks, ensuring active student participation and catering to diverse learning styles. LessonUp also provides real-time insights into student progress, helping teachers identify knowledge gaps and adapt instruction effectively. With a library of over two million lessons created by educators, publishers, and cultural institutions like the Van Gogh Museum and the Anne Frank House, it supports knowledge sharing at scale. Used by more than 200,000 teachers in over 170 countries, LessonUp fosters innovative pedagogy while remaining fully GDPR-compliant and integrating seamlessly with major LMS platforms.</t>
        </is>
      </c>
      <c r="H1631" s="1" t="inlineStr">
        <is>
          <t>Dutch EdTech</t>
        </is>
      </c>
      <c r="I1631" s="1" t="inlineStr">
        <is>
          <t>English, Dutch</t>
        </is>
      </c>
      <c r="J1631" s="1" t="inlineStr">
        <is>
          <t>The Hague</t>
        </is>
      </c>
      <c r="K1631" t="inlineStr">
        <is>
          <t>The Hague</t>
        </is>
      </c>
      <c r="L1631" t="inlineStr">
        <is>
          <t>The Hague, The Netherlands</t>
        </is>
      </c>
      <c r="M1631" t="n">
        <v>52.0749456</v>
      </c>
      <c r="N1631" t="n">
        <v>4.2696802</v>
      </c>
      <c r="O1631" s="1" t="inlineStr">
        <is>
          <t>The Netherlands</t>
        </is>
      </c>
      <c r="P1631" s="1" t="inlineStr">
        <is>
          <t>United Kingdom, Ukraine, Turkey, Switzerland, Sweden, Slovakia, Slovenia, Spain, San Marino, Romania, Portugal, North Macedonia, Norway, Poland, Netherlands, Montenegro, Monaco, Luxembourg, Malta, Moldova, Lithuania, Liechtenstein, Latvia, Ireland, Italy, Kosovo, Iceland, Hungary, Greece, Finland, France, Germany, Estonia, Denmark, Czechia, Bulgaria, Croatia, Republic of Cyprus, Bosnia and Herzegovina, Belgium, Belarus, Albania, Andorra, Austria</t>
        </is>
      </c>
      <c r="Q1631" s="1" t="inlineStr">
        <is>
          <t>Small (10-49 FTE employees)</t>
        </is>
      </c>
      <c r="R1631" t="inlineStr">
        <is>
          <t>Small</t>
        </is>
      </c>
      <c r="S1631" s="1" t="inlineStr">
        <is>
          <t>Business to Consumer, Business to Schools</t>
        </is>
      </c>
      <c r="T1631" s="1" t="inlineStr">
        <is>
          <t>Secondary Education, Vocational Education and Training (VET), Special Education, Higher Education</t>
        </is>
      </c>
      <c r="U1631" s="1" t="inlineStr">
        <is>
          <t>Teacher interfacing</t>
        </is>
      </c>
      <c r="V1631" s="10" t="inlineStr">
        <is>
          <t>Lesson creation</t>
        </is>
      </c>
      <c r="W1631" s="10" t="inlineStr">
        <is>
          <t>Create lessons from scratch, with AI, by uploading a PowerPoint or just select a lesson from our lesson library</t>
        </is>
      </c>
      <c r="X1631" s="10" t="inlineStr">
        <is>
          <t>Lesson teaching</t>
        </is>
      </c>
      <c r="Y1631" t="inlineStr">
        <is>
          <t>Teach your lesson in a classroom, or in hybrid/remote situations and let students join on their mobile device to ensure interactivity and engagement.</t>
        </is>
      </c>
      <c r="Z1631" s="1" t="inlineStr">
        <is>
          <t>https://drive.google.com/uc?export=view&amp;id=1KsUAway5y5G1kJk-nypzbf3ee1F939s5</t>
        </is>
      </c>
      <c r="AA1631" s="1" t="inlineStr">
        <is>
          <t>Verified</t>
        </is>
      </c>
      <c r="AB1631" s="1" t="inlineStr">
        <is>
          <t>Public-private partnerships, Industry-academia partnerships, Project consortium building, Collaborations between EdTech organisations</t>
        </is>
      </c>
      <c r="AC1631" s="1" t="inlineStr">
        <is>
          <t>For-profit company</t>
        </is>
      </c>
      <c r="AD1631" s="10" t="b">
        <v>1</v>
      </c>
      <c r="AE1631" s="1" t="b">
        <v>1</v>
      </c>
      <c r="AF1631" s="1" t="inlineStr">
        <is>
          <t>Yes</t>
        </is>
      </c>
      <c r="AG1631" s="1" t="inlineStr">
        <is>
          <t>https://www.instagram.com/_lessonup</t>
        </is>
      </c>
      <c r="AH1631" s="1" t="inlineStr">
        <is>
          <t>https://x.com/lessonup</t>
        </is>
      </c>
      <c r="AI1631" s="1" t="inlineStr">
        <is>
          <t>https://www.linkedin.com/company/lessonupnl</t>
        </is>
      </c>
      <c r="AJ1631" s="10" t="inlineStr">
        <is>
          <t>https://www.facebook.com/lessonup</t>
        </is>
      </c>
    </row>
    <row r="1632" ht="12.5" customHeight="1">
      <c r="A1632" s="6" t="n">
        <v>45898</v>
      </c>
      <c r="B1632" s="1" t="inlineStr">
        <is>
          <t>ORG_2243</t>
        </is>
      </c>
      <c r="C1632" s="1" t="b">
        <v>1</v>
      </c>
      <c r="D1632" s="1" t="inlineStr">
        <is>
          <t>Simone et les Robots</t>
        </is>
      </c>
      <c r="E1632" s="10" t="inlineStr">
        <is>
          <t>https://www.simoneetlesrobots.com/</t>
        </is>
      </c>
      <c r="F1632" t="inlineStr">
        <is>
          <t>simoneetlesrobots.com</t>
        </is>
      </c>
      <c r="G1632" s="1" t="inlineStr">
        <is>
          <t>Simone et les Robots is a strategy consulting compagny specialized in higher education. We act as an accelerator of transformation, helping institutions and EdTech companies design and implement innovative strategies. With a deep knowledge of the HigherEd ecosystem, we support our clients in shaping their future.</t>
        </is>
      </c>
      <c r="H1632" s="1" t="inlineStr">
        <is>
          <t>EdTech France</t>
        </is>
      </c>
      <c r="I1632" s="1" t="inlineStr">
        <is>
          <t>French, English</t>
        </is>
      </c>
      <c r="J1632" s="1" t="inlineStr">
        <is>
          <t>Paris</t>
        </is>
      </c>
      <c r="K1632" t="inlineStr">
        <is>
          <t>Paris</t>
        </is>
      </c>
      <c r="L1632" t="inlineStr">
        <is>
          <t>Paris, France</t>
        </is>
      </c>
      <c r="M1632" t="n">
        <v>48.8534951</v>
      </c>
      <c r="N1632" t="n">
        <v>2.3483915</v>
      </c>
      <c r="O1632" s="1" t="inlineStr">
        <is>
          <t>France</t>
        </is>
      </c>
      <c r="P1632" s="1" t="inlineStr">
        <is>
          <t>France</t>
        </is>
      </c>
      <c r="Q1632" s="1" t="inlineStr">
        <is>
          <t>Micro (1-9 FTE employees)</t>
        </is>
      </c>
      <c r="R1632" t="inlineStr">
        <is>
          <t>Micro</t>
        </is>
      </c>
      <c r="S1632" s="1" t="inlineStr">
        <is>
          <t>Business to Business, Business to Schools, Business to Government</t>
        </is>
      </c>
      <c r="T1632" s="1" t="inlineStr">
        <is>
          <t>Higher Education, Vocational Education and Training (VET), Lifelong learning/Adult education</t>
        </is>
      </c>
      <c r="U1632" s="1" t="inlineStr">
        <is>
          <t>Other</t>
        </is>
      </c>
      <c r="V1632" s="10" t="inlineStr">
        <is>
          <t>Transformation strategy</t>
        </is>
      </c>
      <c r="W1632" s="1" t="inlineStr">
        <is>
          <t>We advise and support higher education institutions in their transformation strategy. From master plans to project management, we combine strategic vision, organizational expertise and pragmatic execution, driven by innovation and performance.</t>
        </is>
      </c>
      <c r="X1632" s="10" t="inlineStr">
        <is>
          <t>Brand and market strategy</t>
        </is>
      </c>
      <c r="Y1632" t="inlineStr">
        <is>
          <t>We help institutions and EdTech companies strengthen their brand, communication and positioning through identity building, competitive analysis and market intelligence. We enable them to differentiate and increase their visibility and impact in the HigherEd and EdTech ecosystem.</t>
        </is>
      </c>
      <c r="Z1632" s="1" t="inlineStr">
        <is>
          <t>https://drive.google.com/uc?export=view&amp;id=13wXCRW7cvNc_PsJXd5i_y4QfKA5kKOx4</t>
        </is>
      </c>
      <c r="AA1632" s="1" t="inlineStr">
        <is>
          <t>Verified</t>
        </is>
      </c>
      <c r="AB1632" s="1" t="inlineStr">
        <is>
          <t>Collaborations between EdTech organisations, Project consortium building, Public-private partnerships, Industry-academia partnerships, Other</t>
        </is>
      </c>
      <c r="AC1632" s="1" t="inlineStr">
        <is>
          <t>For-profit company</t>
        </is>
      </c>
      <c r="AD1632" s="10" t="b">
        <v>1</v>
      </c>
      <c r="AE1632" s="1" t="b">
        <v>0</v>
      </c>
      <c r="AF1632" s="1" t="inlineStr">
        <is>
          <t>Yes</t>
        </is>
      </c>
      <c r="AG1632" s="1" t="inlineStr">
        <is>
          <t>https://www.instagram.com/simoneetlesrobots/?hl=fr</t>
        </is>
      </c>
      <c r="AH1632" s="1" t="inlineStr">
        <is>
          <t>https://fr.linkedin.com/company/simone-et-les-robots</t>
        </is>
      </c>
      <c r="AI1632" s="1" t="inlineStr">
        <is>
          <t>https://fr.linkedin.com/company/simone-et-les-robots</t>
        </is>
      </c>
      <c r="AJ1632" s="1" t="n"/>
    </row>
    <row r="1633" ht="12.5" customHeight="1">
      <c r="A1633" s="6" t="n">
        <v>45898</v>
      </c>
      <c r="B1633" s="1" t="inlineStr">
        <is>
          <t>ORG_2674</t>
        </is>
      </c>
      <c r="C1633" s="1" t="b">
        <v>1</v>
      </c>
      <c r="D1633" s="1" t="inlineStr">
        <is>
          <t>School of Education, University of Aberdeen</t>
        </is>
      </c>
      <c r="E1633" s="10" t="inlineStr">
        <is>
          <t>www.abdn.ac.uk/education</t>
        </is>
      </c>
      <c r="F1633" t="inlineStr">
        <is>
          <t>abdn.ac.uk/education</t>
        </is>
      </c>
      <c r="G1633" s="1" t="inlineStr">
        <is>
          <t>Higher Education/University, the school of education is a Teacher Education institute</t>
        </is>
      </c>
      <c r="H1633" s="1" t="inlineStr">
        <is>
          <t>I'm not part of any EdTech association</t>
        </is>
      </c>
      <c r="I1633" s="1" t="n"/>
      <c r="J1633" s="1" t="inlineStr">
        <is>
          <t>Aberdeen, Uk</t>
        </is>
      </c>
      <c r="K1633" t="inlineStr">
        <is>
          <t>Aberdeen</t>
        </is>
      </c>
      <c r="L1633" t="inlineStr">
        <is>
          <t>Aberdeen, Scotland</t>
        </is>
      </c>
      <c r="M1633" t="n">
        <v>57.1482429</v>
      </c>
      <c r="N1633" t="n">
        <v>-2.0928095</v>
      </c>
      <c r="O1633" s="1" t="inlineStr">
        <is>
          <t>Scotland</t>
        </is>
      </c>
      <c r="P1633" s="1" t="n"/>
      <c r="Q1633" s="1" t="inlineStr">
        <is>
          <t>Large (250+ FTE employees)</t>
        </is>
      </c>
      <c r="R1633" t="inlineStr">
        <is>
          <t>Large</t>
        </is>
      </c>
      <c r="S1633" s="1" t="inlineStr">
        <is>
          <t>Business to Schools, Business to Government</t>
        </is>
      </c>
      <c r="T1633" s="1" t="inlineStr">
        <is>
          <t>Primary Education, Secondary Education, Early childhood development (0-5 years), Higher Education, Lifelong learning/Adult education, Special Education</t>
        </is>
      </c>
      <c r="U1633" s="1" t="inlineStr">
        <is>
          <t>Teacher interfacing, Student interfacing</t>
        </is>
      </c>
      <c r="V1633" s="1" t="inlineStr">
        <is>
          <t>EdTech software incubator</t>
        </is>
      </c>
      <c r="W1633" s="1" t="inlineStr">
        <is>
          <t>Working with students and staff from both the School of Education and the school of Computing, we deliver a range of bespoke software solutions</t>
        </is>
      </c>
      <c r="X1633" s="10" t="inlineStr">
        <is>
          <t>Knowledge Exchange</t>
        </is>
      </c>
      <c r="Y1633" t="inlineStr">
        <is>
          <t>Working with industry partners to support development of solutions</t>
        </is>
      </c>
      <c r="Z1633" s="1" t="inlineStr">
        <is>
          <t>https://drive.google.com/uc?export=view&amp;id=1IIqU782MVMSjBi7mLgI3ySNtgh4kXnNV</t>
        </is>
      </c>
      <c r="AA1633" s="1" t="inlineStr">
        <is>
          <t>Verified</t>
        </is>
      </c>
      <c r="AB1633" s="1" t="inlineStr">
        <is>
          <t>Public-private partnerships, Industry-academia partnerships</t>
        </is>
      </c>
      <c r="AC1633" s="1" t="inlineStr">
        <is>
          <t>University</t>
        </is>
      </c>
      <c r="AD1633" s="10" t="b">
        <v>1</v>
      </c>
      <c r="AE1633" s="1" t="n"/>
      <c r="AF1633" s="1" t="inlineStr">
        <is>
          <t>Yes</t>
        </is>
      </c>
      <c r="AG1633" s="1" t="inlineStr">
        <is>
          <t>http://linkedin.com/school/university-of-aberdeen</t>
        </is>
      </c>
      <c r="AH1633" s="1" t="inlineStr">
        <is>
          <t>http://linkedin.com/school/university-of-aberdeen</t>
        </is>
      </c>
      <c r="AI1633" s="1" t="inlineStr">
        <is>
          <t>linkedin.com/school/university-of-aberdeen</t>
        </is>
      </c>
      <c r="AJ1633" s="1" t="n"/>
    </row>
    <row r="1634" ht="12.5" customHeight="1">
      <c r="A1634" s="6" t="n">
        <v>45899</v>
      </c>
      <c r="B1634" s="1" t="inlineStr">
        <is>
          <t>ORG_1247</t>
        </is>
      </c>
      <c r="C1634" s="1" t="b">
        <v>1</v>
      </c>
      <c r="D1634" s="1" t="inlineStr">
        <is>
          <t>Classigogo</t>
        </is>
      </c>
      <c r="E1634" s="10" t="inlineStr">
        <is>
          <t>www.classigogo.com</t>
        </is>
      </c>
      <c r="F1634" t="inlineStr">
        <is>
          <t>classigogo.com</t>
        </is>
      </c>
      <c r="G1634" s="1" t="inlineStr">
        <is>
          <t>Classigogo is an online teaching tool that helps teachers instantly restore focus and energy in the classroom through movement-based quizzes.</t>
        </is>
      </c>
      <c r="H1634" s="1" t="inlineStr">
        <is>
          <t>Dutch EdTech</t>
        </is>
      </c>
      <c r="I1634" s="1" t="inlineStr">
        <is>
          <t>English, Dutch</t>
        </is>
      </c>
      <c r="J1634" s="1" t="inlineStr">
        <is>
          <t>The Hague</t>
        </is>
      </c>
      <c r="K1634" t="inlineStr">
        <is>
          <t>The Hague</t>
        </is>
      </c>
      <c r="L1634" t="inlineStr">
        <is>
          <t>The Hague, The Netherlands</t>
        </is>
      </c>
      <c r="M1634" t="n">
        <v>52.0749456</v>
      </c>
      <c r="N1634" t="n">
        <v>4.2696802</v>
      </c>
      <c r="O1634" s="1" t="inlineStr">
        <is>
          <t>The Netherlands</t>
        </is>
      </c>
      <c r="P1634" s="1" t="inlineStr">
        <is>
          <t>Netherlands, Belgium, United Kingdom</t>
        </is>
      </c>
      <c r="Q1634" s="1" t="inlineStr">
        <is>
          <t>Micro (1-9 FTE employees)</t>
        </is>
      </c>
      <c r="R1634" t="inlineStr">
        <is>
          <t>Micro</t>
        </is>
      </c>
      <c r="S1634" s="1" t="inlineStr">
        <is>
          <t>Business to Consumer, Business to Schools</t>
        </is>
      </c>
      <c r="T1634" s="1" t="inlineStr">
        <is>
          <t>Primary Education, Secondary Education, Special Education</t>
        </is>
      </c>
      <c r="U1634" s="1" t="inlineStr">
        <is>
          <t>Teacher interfacing, Student interfacing</t>
        </is>
      </c>
      <c r="V1634" s="10" t="inlineStr">
        <is>
          <t>Classigogo</t>
        </is>
      </c>
      <c r="W1634" s="1" t="inlineStr">
        <is>
          <t>Classigogo is an online teaching tool that helps teachers instantly restore focus and energy in the classroom through movement-based quizzes.</t>
        </is>
      </c>
      <c r="X1634" s="10" t="inlineStr">
        <is>
          <t>https://drive.google.com/uc?export=view&amp;id=1ie3LH2eboxquj8zmqCFmFFA0Nt3mL-ao</t>
        </is>
      </c>
      <c r="Y1634" t="inlineStr">
        <is>
          <t>https://drive.google.com/uc?export=view&amp;id=1ie3LH2eboxquj8zmqCFmFFA0Nt3mL-ao</t>
        </is>
      </c>
      <c r="Z1634" s="1" t="inlineStr">
        <is>
          <t>https://drive.google.com/uc?export=view&amp;id=1ie3LH2eboxquj8zmqCFmFFA0Nt3mL-ao</t>
        </is>
      </c>
      <c r="AA1634" s="1" t="inlineStr">
        <is>
          <t>Verified</t>
        </is>
      </c>
      <c r="AB1634" s="1" t="inlineStr">
        <is>
          <t>Collaborations between EdTech organisations, Industry-academia partnerships</t>
        </is>
      </c>
      <c r="AC1634" s="1" t="inlineStr">
        <is>
          <t>For-profit company</t>
        </is>
      </c>
      <c r="AD1634" s="10" t="b">
        <v>1</v>
      </c>
      <c r="AE1634" s="1" t="b">
        <v>1</v>
      </c>
      <c r="AF1634" s="1" t="inlineStr">
        <is>
          <t>Yes</t>
        </is>
      </c>
      <c r="AG1634" s="1" t="inlineStr">
        <is>
          <t>https://www.instagram.com/classigogo</t>
        </is>
      </c>
      <c r="AH1634" s="1" t="inlineStr">
        <is>
          <t>https://www.linkedin.com/company/classigogo/</t>
        </is>
      </c>
      <c r="AI1634" s="1" t="inlineStr">
        <is>
          <t>https://www.linkedin.com/company/classigogo/</t>
        </is>
      </c>
      <c r="AJ1634" s="1" t="n"/>
    </row>
    <row r="1635" ht="12.5" customHeight="1">
      <c r="A1635" s="6" t="n">
        <v>45901</v>
      </c>
      <c r="B1635" s="1" t="inlineStr">
        <is>
          <t>ORG_2675</t>
        </is>
      </c>
      <c r="C1635" s="1" t="b">
        <v>1</v>
      </c>
      <c r="D1635" s="1" t="inlineStr">
        <is>
          <t>Copernia</t>
        </is>
      </c>
      <c r="E1635" s="10" t="inlineStr">
        <is>
          <t>www.copernia.eu</t>
        </is>
      </c>
      <c r="F1635" t="inlineStr">
        <is>
          <t>copernia.eu</t>
        </is>
      </c>
      <c r="G1635" s="1" t="inlineStr">
        <is>
          <t>Copernia is a groundbreaking international initiative ( a joint degree of EM Lyon, Maxromedia, European University Cypris and Noroff) to prepare future leaders who will shape tomorrow's educational landscape by integrating artificial intelligence, cognitive sciences, and cutting-edge learning design into transformative educational models.</t>
        </is>
      </c>
      <c r="H1635" s="1" t="inlineStr">
        <is>
          <t>EdTech France</t>
        </is>
      </c>
      <c r="I1635" s="1" t="inlineStr">
        <is>
          <t>English</t>
        </is>
      </c>
      <c r="J1635" s="1" t="inlineStr">
        <is>
          <t>Paris</t>
        </is>
      </c>
      <c r="K1635" t="inlineStr">
        <is>
          <t>Paris</t>
        </is>
      </c>
      <c r="L1635" t="inlineStr">
        <is>
          <t>Paris, France</t>
        </is>
      </c>
      <c r="M1635" t="n">
        <v>48.8534951</v>
      </c>
      <c r="N1635" t="n">
        <v>2.3483915</v>
      </c>
      <c r="O1635" s="1" t="inlineStr">
        <is>
          <t>France</t>
        </is>
      </c>
      <c r="P1635" s="1" t="inlineStr">
        <is>
          <t>Republic of Cyprus, France, Germany, Norway, Albania, Andorra, Austria, Belgium, Belarus, Bosnia and Herzegovina, Croatia, Bulgaria, Czechia, Denmark, Estonia, Finland, Greece, Ireland, Latvia, Luxembourg, Monaco, North Macedonia, Portugal, Romania, Montenegro, Malta, Liechtenstein, Italy, Hungary, Iceland, Kosovo, Lithuania, Moldova, Netherlands, San Marino, Poland, Spain, Slovenia, Slovakia, Sweden, Ukraine, Switzerland, Turkey, United Kingdom</t>
        </is>
      </c>
      <c r="Q1635" s="1" t="inlineStr">
        <is>
          <t>Large (250+ FTE employees)</t>
        </is>
      </c>
      <c r="R1635" t="inlineStr">
        <is>
          <t>Large</t>
        </is>
      </c>
      <c r="S1635" s="1" t="inlineStr">
        <is>
          <t>Business to Business, Business to Consumer, Business to Schools</t>
        </is>
      </c>
      <c r="T1635" s="1" t="inlineStr">
        <is>
          <t>Higher Education</t>
        </is>
      </c>
      <c r="U1635" s="1" t="inlineStr">
        <is>
          <t>Student interfacing, Teacher interfacing</t>
        </is>
      </c>
      <c r="V1635" s="1" t="inlineStr">
        <is>
          <t>Master of Science in Innovation and Technology for Education</t>
        </is>
      </c>
      <c r="W1635" s="1" t="inlineStr">
        <is>
          <t>Our MsC is designed to empower our students with the knowledge and skills to transform the education sector. The program guides the through a carefully structured learning journey across four semesters (120 ECTS)</t>
        </is>
      </c>
      <c r="X1635" s="10" t="inlineStr">
        <is>
          <t>Executive Programme in Innovation &amp; Technology for Education</t>
        </is>
      </c>
      <c r="Y1635" t="inlineStr">
        <is>
          <t>A dedicated program specifically for ambitious educators, learning &amp; development professionals, policymakers, and entrepreneurs who want to stay at the forefront of educational transformation—without putting their careers on hold.</t>
        </is>
      </c>
      <c r="Z1635" s="1" t="inlineStr">
        <is>
          <t>https://drive.google.com/uc?export=view&amp;id=1TJXbzJ0VQVnxHUY_tWGmuuJjLYvlHMRF</t>
        </is>
      </c>
      <c r="AA1635" s="1" t="inlineStr">
        <is>
          <t>Verified</t>
        </is>
      </c>
      <c r="AB1635" s="1" t="inlineStr">
        <is>
          <t>Collaborations between EdTech organisations, Industry-academia partnerships</t>
        </is>
      </c>
      <c r="AC1635" s="1" t="inlineStr">
        <is>
          <t>University</t>
        </is>
      </c>
      <c r="AD1635" s="10" t="b">
        <v>1</v>
      </c>
      <c r="AE1635" s="1" t="b">
        <v>1</v>
      </c>
      <c r="AF1635" s="1" t="inlineStr">
        <is>
          <t>Yes</t>
        </is>
      </c>
      <c r="AG1635" s="1" t="inlineStr">
        <is>
          <t>https://www.linkedin.com/school/coperniaedu/</t>
        </is>
      </c>
      <c r="AH1635" s="1" t="inlineStr">
        <is>
          <t>https://www.linkedin.com/school/coperniaedu/</t>
        </is>
      </c>
      <c r="AI1635" s="1" t="inlineStr">
        <is>
          <t>https://www.linkedin.com/school/coperniaedu/</t>
        </is>
      </c>
      <c r="AJ1635" s="1" t="n"/>
    </row>
    <row r="1636" ht="12.5" customHeight="1">
      <c r="A1636" s="6" t="n">
        <v>45901</v>
      </c>
      <c r="B1636" s="1" t="inlineStr">
        <is>
          <t>ORG_2676</t>
        </is>
      </c>
      <c r="C1636" s="1" t="b">
        <v>1</v>
      </c>
      <c r="D1636" s="1" t="inlineStr">
        <is>
          <t>Abstract-Technology GMBH</t>
        </is>
      </c>
      <c r="E1636" s="10" t="inlineStr">
        <is>
          <t>https://abstract-technology.de/</t>
        </is>
      </c>
      <c r="F1636" t="inlineStr">
        <is>
          <t>abstract-technology.de</t>
        </is>
      </c>
      <c r="G1636" s="1" t="inlineStr">
        <is>
          <t>At Abstract Technology, we are a leading European Certified Integration Partner for Open edX®, specializing in delivering customized LMS solutions tailored to the needs of academic institutions.  Open edX® is a powerful, scalable, and open-source platform that supports structured learning, flexible customization, and advanced analytics. Its capabilities in multitenancy, high performance, and data-driven personalization make it a strong fit for institutions seeking a robust and future-proof LMS.</t>
        </is>
      </c>
      <c r="H1636" s="1" t="inlineStr">
        <is>
          <t>I'm not part of any EdTech association</t>
        </is>
      </c>
      <c r="I1636" s="1" t="inlineStr">
        <is>
          <t>English, German, Portuguese, Czech, Finnish, Irish, Maltese, Slovak, Ukrainian, Catalan, Slovenian, Polish, Latvian, Greek, Danish, Bulgarian, Italian, French, Spanish, Dutch, Croatian, Estonian, Hungarian, Lithuanian, Romanian, Swedish, Basque</t>
        </is>
      </c>
      <c r="J1636" s="1" t="inlineStr">
        <is>
          <t>Berlin</t>
        </is>
      </c>
      <c r="K1636" t="inlineStr">
        <is>
          <t>Berlin</t>
        </is>
      </c>
      <c r="L1636" t="inlineStr">
        <is>
          <t>Berlin, Germany</t>
        </is>
      </c>
      <c r="M1636" t="n">
        <v>52.5173885</v>
      </c>
      <c r="N1636" t="n">
        <v>13.3951309</v>
      </c>
      <c r="O1636" s="1" t="inlineStr">
        <is>
          <t>Germany</t>
        </is>
      </c>
      <c r="P1636" s="1" t="n"/>
      <c r="Q1636" s="1" t="inlineStr">
        <is>
          <t>Small (10-49 FTE employees)</t>
        </is>
      </c>
      <c r="R1636" t="inlineStr">
        <is>
          <t>Small</t>
        </is>
      </c>
      <c r="S1636" s="1" t="inlineStr">
        <is>
          <t>Business to Business, Business to Government, Business to Schools</t>
        </is>
      </c>
      <c r="T1636" s="1" t="inlineStr">
        <is>
          <t>Vocational Education and Training (VET), Corporate Training, Higher Education, Lifelong learning/Adult education</t>
        </is>
      </c>
      <c r="U1636" s="1" t="inlineStr">
        <is>
          <t>Student interfacing, Teacher interfacing, System/Administrative</t>
        </is>
      </c>
      <c r="V1636" s="1" t="inlineStr">
        <is>
          <t>Open edX® LMS platform</t>
        </is>
      </c>
      <c r="W1636" s="1" t="inlineStr">
        <is>
          <t>A powerful open-source learning platform trusted by global leaders: Open-source platform created by Harvard &amp; MIT, trusted by
100+ million learners worldwide. No licensing fees, complete control over features, branding, and integrations.Supports any audience size, multilingual + accessibility-ready.</t>
        </is>
      </c>
      <c r="X1636" s="10" t="inlineStr">
        <is>
          <t>AI-Powered Open edX® platform:</t>
        </is>
      </c>
      <c r="Y1636" t="inlineStr">
        <is>
          <t>Versatile Learning Models: Versatile Learning Models, MOOCs and Blended Learning.</t>
        </is>
      </c>
      <c r="Z1636" s="1" t="inlineStr">
        <is>
          <t>https://drive.google.com/uc?export=view&amp;id=17rDOWvX1OJ62DWNtyUuTEDXqX3L03NNm</t>
        </is>
      </c>
      <c r="AA1636" s="1" t="inlineStr">
        <is>
          <t>Verified</t>
        </is>
      </c>
      <c r="AB1636" s="1" t="inlineStr">
        <is>
          <t>Collaborations between EdTech organisations, Project consortium building, Public-private partnerships, Industry-academia partnerships</t>
        </is>
      </c>
      <c r="AC1636" s="1" t="inlineStr">
        <is>
          <t>For-profit company</t>
        </is>
      </c>
      <c r="AD1636" s="10" t="b">
        <v>1</v>
      </c>
      <c r="AE1636" s="1" t="b">
        <v>1</v>
      </c>
      <c r="AF1636" s="1" t="inlineStr">
        <is>
          <t>Yes</t>
        </is>
      </c>
      <c r="AG1636" s="1" t="inlineStr">
        <is>
          <t>https://www.linkedin.com/company/abstract-technology-gmbh/</t>
        </is>
      </c>
      <c r="AH1636" s="1" t="inlineStr">
        <is>
          <t>https://www.linkedin.com/company/abstract-technology-gmbh/</t>
        </is>
      </c>
      <c r="AI1636" s="1" t="inlineStr">
        <is>
          <t>https://www.linkedin.com/company/abstract-technology-gmbh/</t>
        </is>
      </c>
      <c r="AJ1636" s="1" t="n"/>
    </row>
    <row r="1637" ht="12.5" customHeight="1">
      <c r="A1637" s="6" t="n">
        <v>45901</v>
      </c>
      <c r="B1637" s="1" t="inlineStr">
        <is>
          <t>ORG_1407</t>
        </is>
      </c>
      <c r="C1637" s="1" t="b">
        <v>1</v>
      </c>
      <c r="D1637" s="1" t="inlineStr">
        <is>
          <t>Edge Tutor International</t>
        </is>
      </c>
      <c r="E1637" s="10" t="inlineStr">
        <is>
          <t>http://www.edgetutor.co</t>
        </is>
      </c>
      <c r="F1637" t="inlineStr">
        <is>
          <t>edgetutor.co</t>
        </is>
      </c>
      <c r="G1637" s="1" t="inlineStr">
        <is>
          <t>EDGE Tutor is Asia’s fastest-growing online tutoring outsourcing provider, connecting top 3% certified Filipino and Sri Lankan educators with education companies worldwide. With offices in New York, London, Singapore, and Manila, we deliver high-quality, scalable tutoring solutions across ESL, Business English, and Math.</t>
        </is>
      </c>
      <c r="H1637" s="1" t="inlineStr">
        <is>
          <t>I'm not part of any EdTech association</t>
        </is>
      </c>
      <c r="I1637" s="1" t="inlineStr">
        <is>
          <t>English</t>
        </is>
      </c>
      <c r="J1637" s="1" t="inlineStr">
        <is>
          <t>Singapore</t>
        </is>
      </c>
      <c r="K1637" t="inlineStr">
        <is>
          <t>Singapore</t>
        </is>
      </c>
      <c r="L1637" t="inlineStr">
        <is>
          <t>Singapore, Singapore</t>
        </is>
      </c>
      <c r="M1637" t="n">
        <v>1.357107</v>
      </c>
      <c r="N1637" t="n">
        <v>103.8194992</v>
      </c>
      <c r="O1637" s="1" t="inlineStr">
        <is>
          <t>Singapore</t>
        </is>
      </c>
      <c r="P1637" s="1" t="inlineStr">
        <is>
          <t>France, United Kingdom, Spain, Poland, Turkey, Austria, Estonia, Germany, Italy, Sweden, Switzerland</t>
        </is>
      </c>
      <c r="Q1637" s="1" t="inlineStr">
        <is>
          <t>Medium (50-250 FTE employees)</t>
        </is>
      </c>
      <c r="R1637" t="inlineStr">
        <is>
          <t>Medium</t>
        </is>
      </c>
      <c r="S1637" s="1" t="inlineStr">
        <is>
          <t>Business to Business</t>
        </is>
      </c>
      <c r="T1637" s="1" t="inlineStr">
        <is>
          <t>Primary Education, Secondary Education, Higher Education, Corporate Training, Lifelong learning/Adult education, Special Education</t>
        </is>
      </c>
      <c r="U1637" s="1" t="inlineStr">
        <is>
          <t>Teacher interfacing, System/Administrative, Other</t>
        </is>
      </c>
      <c r="V1637" s="1" t="inlineStr">
        <is>
          <t>K-12 Tutoring (English &amp; Math)</t>
        </is>
      </c>
      <c r="W1637" s="1" t="inlineStr">
        <is>
          <t>Top 3% certified educators deliver scalable, white-labeled instruction in English and Math for K-12 learners, ensuring academic growth and consistency.</t>
        </is>
      </c>
      <c r="X1637" s="10" t="inlineStr">
        <is>
          <t>Adult &amp; Business English</t>
        </is>
      </c>
      <c r="Y1637" t="inlineStr">
        <is>
          <t>Customized English programs for adults and professionals that enhance fluency, workplace communication, and global career readiness.</t>
        </is>
      </c>
      <c r="Z1637" s="1" t="inlineStr">
        <is>
          <t>https://drive.google.com/uc?export=view&amp;id=1QWlTsipFr7qK0CSHrzNrpalSg64Cl-ow</t>
        </is>
      </c>
      <c r="AA1637" s="1" t="inlineStr">
        <is>
          <t>Verified</t>
        </is>
      </c>
      <c r="AB1637" s="1" t="inlineStr">
        <is>
          <t>Other, Collaborations between EdTech organisations, Project consortium building, Public-private partnerships, Industry-academia partnerships</t>
        </is>
      </c>
      <c r="AC1637" s="1" t="inlineStr">
        <is>
          <t>For-profit company</t>
        </is>
      </c>
      <c r="AD1637" s="10" t="b">
        <v>1</v>
      </c>
      <c r="AE1637" s="1" t="b">
        <v>1</v>
      </c>
      <c r="AF1637" s="1" t="inlineStr">
        <is>
          <t>Yes</t>
        </is>
      </c>
      <c r="AG1637" s="1" t="inlineStr">
        <is>
          <t>https://www.linkedin.com/company/edge-tutor-international/</t>
        </is>
      </c>
      <c r="AH1637" s="1" t="inlineStr">
        <is>
          <t>https://www.linkedin.com/company/edge-tutor-international/</t>
        </is>
      </c>
      <c r="AI1637" s="1" t="inlineStr">
        <is>
          <t>https://www.linkedin.com/company/edge-tutor-international/</t>
        </is>
      </c>
      <c r="AJ1637" s="1" t="n"/>
    </row>
    <row r="1638" ht="12.5" customHeight="1">
      <c r="A1638" s="6" t="n">
        <v>45901</v>
      </c>
      <c r="B1638" s="1" t="inlineStr">
        <is>
          <t>ORG_2677</t>
        </is>
      </c>
      <c r="C1638" s="1" t="b">
        <v>1</v>
      </c>
      <c r="D1638" s="1" t="inlineStr">
        <is>
          <t>ThingLink Oy</t>
        </is>
      </c>
      <c r="E1638" s="10" t="inlineStr">
        <is>
          <t>https://www.thinglink.com/</t>
        </is>
      </c>
      <c r="F1638" t="inlineStr">
        <is>
          <t>thinglink.com</t>
        </is>
      </c>
      <c r="G1638" s="1" t="inlineStr">
        <is>
          <t>ThingLink is a Finnish education technology company providing a platform for creating and sharing interactive images, videos, and 3D/XR content. Used in over 190 countries, it supports teaching, training, and communication by making it easy to build visual, multimodal, and accessible learning experiences.</t>
        </is>
      </c>
      <c r="H1638" s="1" t="inlineStr">
        <is>
          <t>I'm not part of any EdTech association</t>
        </is>
      </c>
      <c r="I1638" s="1" t="inlineStr">
        <is>
          <t>English, French, Spanish, Dutch, Italian, German, Portuguese, Bulgarian, Croatian, Estonian, Danish, Czech, Finnish, Greek, Hungarian, Lithuanian, Latvian, Irish, Maltese, Polish, Romanian, Swedish, Slovenian, Slovak, Ukrainian, Catalan, Basque</t>
        </is>
      </c>
      <c r="J1638" s="1" t="inlineStr">
        <is>
          <t>Kontiolahti</t>
        </is>
      </c>
      <c r="K1638" t="inlineStr">
        <is>
          <t>Kontiolahti</t>
        </is>
      </c>
      <c r="L1638" t="inlineStr">
        <is>
          <t>Kontiolahti, Finland</t>
        </is>
      </c>
      <c r="M1638" t="n">
        <v>62.766667</v>
      </c>
      <c r="N1638" t="n">
        <v>29.85</v>
      </c>
      <c r="O1638" s="1" t="inlineStr">
        <is>
          <t>Finland</t>
        </is>
      </c>
      <c r="P1638" s="1" t="inlineStr">
        <is>
          <t>Albania, Andorra, Austria, Belarus, Belgium, Bosnia and Herzegovina, Bulgaria, Croatia, Republic of Cyprus, Estonia, Denmark, Czechia, Finland, France, Germany, Iceland, Hungary, Greece, Ireland, Italy, Kosovo, Latvia, Liechtenstein, Lithuania, Luxembourg, Malta, Moldova, Netherlands, Montenegro, Monaco, North Macedonia, Norway, Poland, San Marino, Romania, Portugal, Slovakia, Slovenia, Spain, Turkey, Switzerland, Sweden, Ukraine, United Kingdom</t>
        </is>
      </c>
      <c r="Q1638" s="1" t="inlineStr">
        <is>
          <t>Small (10-49 FTE employees)</t>
        </is>
      </c>
      <c r="R1638" t="inlineStr">
        <is>
          <t>Small</t>
        </is>
      </c>
      <c r="S1638" s="1" t="inlineStr">
        <is>
          <t>Business to Business, Business to Consumer, Business to Government, Business to Schools</t>
        </is>
      </c>
      <c r="T1638" s="1" t="inlineStr">
        <is>
          <t>Primary Education, Secondary Education, Vocational Education and Training (VET), Higher Education, Corporate Training, Lifelong learning/Adult education, Special Education</t>
        </is>
      </c>
      <c r="U1638" s="1" t="inlineStr">
        <is>
          <t>Student interfacing, Teacher interfacing, System/Administrative</t>
        </is>
      </c>
      <c r="V1638" s="10" t="inlineStr">
        <is>
          <t>ThingLink Platform</t>
        </is>
      </c>
      <c r="W1638" s="10" t="inlineStr">
        <is>
          <t>https://drive.google.com/uc?export=view&amp;id=1TWfLk2INUjFBxwFJofeM53FKFWmxh79W</t>
        </is>
      </c>
      <c r="X1638" s="10" t="inlineStr">
        <is>
          <t>https://drive.google.com/uc?export=view&amp;id=1TWfLk2INUjFBxwFJofeM53FKFWmxh79W</t>
        </is>
      </c>
      <c r="Y1638" t="inlineStr">
        <is>
          <t>https://drive.google.com/uc?export=view&amp;id=1TWfLk2INUjFBxwFJofeM53FKFWmxh79W</t>
        </is>
      </c>
      <c r="Z1638" s="1" t="inlineStr">
        <is>
          <t>https://drive.google.com/uc?export=view&amp;id=1TWfLk2INUjFBxwFJofeM53FKFWmxh79W</t>
        </is>
      </c>
      <c r="AA1638" s="1" t="inlineStr">
        <is>
          <t>Verified</t>
        </is>
      </c>
      <c r="AB1638" s="1" t="inlineStr">
        <is>
          <t>Collaborations between EdTech organisations, Project consortium building, Public-private partnerships, Industry-academia partnerships</t>
        </is>
      </c>
      <c r="AC1638" s="1" t="inlineStr">
        <is>
          <t>For-profit company</t>
        </is>
      </c>
      <c r="AD1638" s="10" t="b">
        <v>1</v>
      </c>
      <c r="AE1638" s="1" t="b">
        <v>1</v>
      </c>
      <c r="AF1638" s="1" t="inlineStr">
        <is>
          <t>Yes</t>
        </is>
      </c>
      <c r="AG1638" s="1" t="inlineStr">
        <is>
          <t>https://www.instagram.com/thinglink/</t>
        </is>
      </c>
      <c r="AH1638" s="1" t="inlineStr">
        <is>
          <t>https://x.com/ThingLink</t>
        </is>
      </c>
      <c r="AI1638" s="1" t="inlineStr">
        <is>
          <t>https://www.linkedin.com/groups/9054683/</t>
        </is>
      </c>
      <c r="AJ1638" s="10" t="inlineStr">
        <is>
          <t>https://www.facebook.com/ThingLink/</t>
        </is>
      </c>
    </row>
    <row r="1639" ht="12.5" customHeight="1">
      <c r="A1639" s="6" t="n">
        <v>45901</v>
      </c>
      <c r="B1639" s="1" t="inlineStr">
        <is>
          <t>ORG_2678</t>
        </is>
      </c>
      <c r="C1639" s="1" t="b">
        <v>1</v>
      </c>
      <c r="D1639" s="1" t="inlineStr">
        <is>
          <t>Open CPD</t>
        </is>
      </c>
      <c r="E1639" s="10" t="inlineStr">
        <is>
          <t>www.open-cpd.com</t>
        </is>
      </c>
      <c r="F1639" t="inlineStr">
        <is>
          <t>open-cpd.com</t>
        </is>
      </c>
      <c r="G1639" s="1" t="inlineStr">
        <is>
          <t>Open CPD is a self-service accreditation platform that enables training providers, event organisers, and course creators to issue tamper-proof CPD certificates and digital badges in minutes. It offers a cost-effective, flexible alternative to traditional accreditation models, with features including LMS integration, blockchain verification, and support for both in-person and online training.  Open CPD has a particularly large impact in disadvantaged and underserved communities, where credible evidence of lifelong learning can open doors to employment and opportunity. As a result, Open CPD has become a globally recognised provider, with strong adoption and acceptance across Africa, South Asia, and other parts of the developing world, while still supporting UK and European providers with robust compliance and audit features.</t>
        </is>
      </c>
      <c r="H1639" s="1" t="inlineStr">
        <is>
          <t>DOHE</t>
        </is>
      </c>
      <c r="I1639" s="1" t="inlineStr">
        <is>
          <t>English</t>
        </is>
      </c>
      <c r="J1639" s="1" t="inlineStr">
        <is>
          <t>London</t>
        </is>
      </c>
      <c r="K1639" t="inlineStr">
        <is>
          <t>London</t>
        </is>
      </c>
      <c r="L1639" t="inlineStr">
        <is>
          <t>London, United Kingdom</t>
        </is>
      </c>
      <c r="M1639" t="n">
        <v>51.5074456</v>
      </c>
      <c r="N1639" t="n">
        <v>-0.1277653</v>
      </c>
      <c r="O1639" s="1" t="inlineStr">
        <is>
          <t>United Kingdom</t>
        </is>
      </c>
      <c r="P1639" s="1" t="inlineStr">
        <is>
          <t>Ukraine, United Kingdom, Turkey, Switzerland, Sweden, Slovakia, Spain, Slovenia, Romania, San Marino, Portugal, North Macedonia, Norway, Poland, Netherlands, Montenegro, Monaco, Luxembourg, Malta, Moldova, Lithuania, Liechtenstein, Latvia, Ireland, Italy, Kosovo, Iceland, Hungary, Greece, France, Germany, Finland, Czechia, Denmark, Estonia, Republic of Cyprus, Croatia, Bulgaria, Belarus, Albania, Andorra, Belgium, Bosnia and Herzegovina, Austria</t>
        </is>
      </c>
      <c r="Q1639" s="1" t="inlineStr">
        <is>
          <t>Micro (1-9 FTE employees)</t>
        </is>
      </c>
      <c r="R1639" t="inlineStr">
        <is>
          <t>Micro</t>
        </is>
      </c>
      <c r="S1639" s="1" t="inlineStr">
        <is>
          <t>Business to Business</t>
        </is>
      </c>
      <c r="T1639" s="1" t="inlineStr">
        <is>
          <t>Vocational Education and Training (VET), Corporate Training, Lifelong learning/Adult education</t>
        </is>
      </c>
      <c r="U1639" s="1" t="inlineStr">
        <is>
          <t>System/Administrative</t>
        </is>
      </c>
      <c r="V1639" s="10" t="inlineStr">
        <is>
          <t>Global Lifelong Learning Credentials for Underserved and Disadvantaged Communities</t>
        </is>
      </c>
      <c r="W1639" s="1" t="inlineStr">
        <is>
          <t>Open CPD empowers training providers, course creators, and event organisers—especially those serving underserved and disadvantaged communities—to issue tamper-proof CPD certificates, open badges, and CPD points swiftly and affordably. With global recognition across Africa, South Asia and elsewhere.</t>
        </is>
      </c>
      <c r="X1639" s="10" t="inlineStr">
        <is>
          <t>Local Framework Alignment &amp; Verifiable Aims, Skills, Outcomes (ASO)</t>
        </is>
      </c>
      <c r="Y1639" t="inlineStr">
        <is>
          <t>Helps training providers re-align their courses with local professional development frameworks by defining and delivering clearly structured Aims, Skills, and Outcomes (ASO) — and issuing certificates that provide verifiable, information-rich proof of learning.</t>
        </is>
      </c>
      <c r="Z1639" s="1" t="inlineStr">
        <is>
          <t>https://drive.google.com/uc?export=view&amp;id=1ZZrzP4b8B0qrqFZT_6l4UqmJutPHiP3x</t>
        </is>
      </c>
      <c r="AA1639" s="1" t="inlineStr">
        <is>
          <t>Verified</t>
        </is>
      </c>
      <c r="AB1639" s="1" t="inlineStr">
        <is>
          <t>Project consortium building, Collaborations between EdTech organisations</t>
        </is>
      </c>
      <c r="AC1639" s="1" t="inlineStr">
        <is>
          <t>For-profit company</t>
        </is>
      </c>
      <c r="AD1639" s="10" t="b">
        <v>0</v>
      </c>
      <c r="AE1639" s="1" t="b">
        <v>0</v>
      </c>
      <c r="AF1639" s="1" t="inlineStr">
        <is>
          <t>Yes</t>
        </is>
      </c>
      <c r="AG1639" s="1" t="inlineStr">
        <is>
          <t>https://www.instagram.com/@open_cpd</t>
        </is>
      </c>
      <c r="AH1639" s="1" t="inlineStr">
        <is>
          <t>https://www.linkedin.com/company/open-cpd/</t>
        </is>
      </c>
      <c r="AI1639" s="1" t="inlineStr">
        <is>
          <t>https://www.linkedin.com/company/open-cpd/</t>
        </is>
      </c>
      <c r="AJ1639" s="10" t="inlineStr">
        <is>
          <t>https://www.facebook.com/open.cpd.w3/</t>
        </is>
      </c>
    </row>
    <row r="1640" ht="12.5" customHeight="1">
      <c r="A1640" s="6" t="n">
        <v>45902</v>
      </c>
      <c r="B1640" s="1" t="inlineStr">
        <is>
          <t>ORG_2679</t>
        </is>
      </c>
      <c r="C1640" s="1" t="b">
        <v>1</v>
      </c>
      <c r="D1640" s="1" t="inlineStr">
        <is>
          <t>Zexsoft (with Glyph Notes)</t>
        </is>
      </c>
      <c r="E1640" s="10" t="inlineStr">
        <is>
          <t>https://www.zexsoft.eu</t>
        </is>
      </c>
      <c r="F1640" t="inlineStr">
        <is>
          <t>zexsoft.eu</t>
        </is>
      </c>
      <c r="G1640" s="1" t="inlineStr">
        <is>
          <t>Glyph Notes is a digital workspace for STEM students, researchers and teachers built around interactivity, smart input and collaboration.</t>
        </is>
      </c>
      <c r="H1640" s="1" t="inlineStr">
        <is>
          <t>I'm not part of any EdTech association</t>
        </is>
      </c>
      <c r="I1640" s="1" t="inlineStr">
        <is>
          <t>English, Romanian</t>
        </is>
      </c>
      <c r="J1640" s="1" t="inlineStr">
        <is>
          <t>Cluj-Napoca</t>
        </is>
      </c>
      <c r="K1640" t="inlineStr">
        <is>
          <t>Cluj-Napoca</t>
        </is>
      </c>
      <c r="L1640" t="inlineStr">
        <is>
          <t>Cluj-Napoca, Romania</t>
        </is>
      </c>
      <c r="M1640" t="n">
        <v>46.769379</v>
      </c>
      <c r="N1640" t="n">
        <v>23.5899542</v>
      </c>
      <c r="O1640" s="1" t="inlineStr">
        <is>
          <t>Romania</t>
        </is>
      </c>
      <c r="P1640" s="1" t="inlineStr">
        <is>
          <t>Romania</t>
        </is>
      </c>
      <c r="Q1640" s="1" t="inlineStr">
        <is>
          <t>Micro (1-9 FTE employees)</t>
        </is>
      </c>
      <c r="R1640" t="inlineStr">
        <is>
          <t>Micro</t>
        </is>
      </c>
      <c r="S1640" s="1" t="inlineStr">
        <is>
          <t>Business to Schools, Business to Business</t>
        </is>
      </c>
      <c r="T1640" s="1" t="inlineStr">
        <is>
          <t>Higher Education</t>
        </is>
      </c>
      <c r="U1640" s="1" t="inlineStr">
        <is>
          <t>Student interfacing, Teacher interfacing</t>
        </is>
      </c>
      <c r="V1640" s="10" t="inlineStr">
        <is>
          <t>Glyph Notes</t>
        </is>
      </c>
      <c r="W1640" s="10" t="inlineStr">
        <is>
          <t>Glyph Notes is a digital workspace for STEM students, researchers and teachers built around interactivity, smart input and collaboration.</t>
        </is>
      </c>
      <c r="X1640" s="10" t="inlineStr">
        <is>
          <t>https://drive.google.com/uc?export=view&amp;id=1M6u6pMjBfsk_wHyST6m3PbNKkGa31dpm</t>
        </is>
      </c>
      <c r="Y1640" t="inlineStr">
        <is>
          <t>https://drive.google.com/uc?export=view&amp;id=1M6u6pMjBfsk_wHyST6m3PbNKkGa31dpm</t>
        </is>
      </c>
      <c r="Z1640" s="1" t="inlineStr">
        <is>
          <t>https://drive.google.com/uc?export=view&amp;id=1M6u6pMjBfsk_wHyST6m3PbNKkGa31dpm</t>
        </is>
      </c>
      <c r="AA1640" s="1" t="inlineStr">
        <is>
          <t>Verified</t>
        </is>
      </c>
      <c r="AB1640" s="1" t="inlineStr">
        <is>
          <t>Collaborations between EdTech organisations, Industry-academia partnerships, Project consortium building, Public-private partnerships</t>
        </is>
      </c>
      <c r="AC1640" s="1" t="inlineStr">
        <is>
          <t>For-profit company</t>
        </is>
      </c>
      <c r="AD1640" s="10" t="b">
        <v>1</v>
      </c>
      <c r="AE1640" s="1" t="b">
        <v>1</v>
      </c>
      <c r="AF1640" s="1" t="inlineStr">
        <is>
          <t>Yes</t>
        </is>
      </c>
      <c r="AG1640" s="1" t="inlineStr">
        <is>
          <t>https://www.instagram.com/zexsoft/</t>
        </is>
      </c>
      <c r="AH1640" s="1" t="inlineStr">
        <is>
          <t>https://twitter.com/zexsoft</t>
        </is>
      </c>
      <c r="AI1640" s="1" t="inlineStr">
        <is>
          <t>https://www.linkedin.com/company/zexsoft</t>
        </is>
      </c>
      <c r="AJ1640" s="10" t="inlineStr">
        <is>
          <t>https://www.facebook.com/zexsoft/</t>
        </is>
      </c>
    </row>
    <row r="1641" ht="12.5" customHeight="1">
      <c r="A1641" s="6" t="n">
        <v>45903</v>
      </c>
      <c r="B1641" s="1" t="inlineStr">
        <is>
          <t>ORG_2680</t>
        </is>
      </c>
      <c r="C1641" s="1" t="b">
        <v>1</v>
      </c>
      <c r="D1641" s="1" t="inlineStr">
        <is>
          <t>Scottish Teachers Advancing Computing Science (STACS)</t>
        </is>
      </c>
      <c r="E1641" s="1" t="inlineStr">
        <is>
          <t>stacs.scot</t>
        </is>
      </c>
      <c r="F1641" t="inlineStr">
        <is>
          <t>stacs.scot</t>
        </is>
      </c>
      <c r="G1641" s="1" t="inlineStr">
        <is>
          <t>STACS is a teacher-led organisation focused on empowering and collaborating with the Computing Science teaching community in Scotland. Following Professor Mark Logan’s Scottish Tech Ecosystem Review, STACS was launched with funding from the Scottish Government to directly address the report's educational recommendations and enhance Computing Science provision nationwide.</t>
        </is>
      </c>
      <c r="H1641" s="1" t="inlineStr">
        <is>
          <t>I'm not part of any EdTech association</t>
        </is>
      </c>
      <c r="I1641" s="1" t="inlineStr">
        <is>
          <t>English</t>
        </is>
      </c>
      <c r="J1641" s="1" t="inlineStr">
        <is>
          <t>Glasgow</t>
        </is>
      </c>
      <c r="K1641" t="inlineStr">
        <is>
          <t>Glasgow</t>
        </is>
      </c>
      <c r="L1641" t="inlineStr">
        <is>
          <t>Glasgow, Scotland</t>
        </is>
      </c>
      <c r="M1641" t="n">
        <v>55.861155</v>
      </c>
      <c r="N1641" t="n">
        <v>-4.2501687</v>
      </c>
      <c r="O1641" s="1" t="inlineStr">
        <is>
          <t>Scotland</t>
        </is>
      </c>
      <c r="P1641" s="1" t="inlineStr">
        <is>
          <t>United Kingdom, Teaching resources are open to all educators anywhere in the world.</t>
        </is>
      </c>
      <c r="Q1641" s="1" t="inlineStr">
        <is>
          <t>Micro (1-9 FTE employees)</t>
        </is>
      </c>
      <c r="R1641" t="inlineStr">
        <is>
          <t>Micro</t>
        </is>
      </c>
      <c r="S1641" s="1" t="inlineStr">
        <is>
          <t>Business to Schools</t>
        </is>
      </c>
      <c r="T1641" s="1" t="inlineStr">
        <is>
          <t>Primary Education, Secondary Education, Lifelong learning/Adult education</t>
        </is>
      </c>
      <c r="U1641" s="1" t="inlineStr">
        <is>
          <t>Teacher interfacing</t>
        </is>
      </c>
      <c r="V1641" s="1" t="inlineStr">
        <is>
          <t>Professional Learning &amp; Teacher Support for Computing Science</t>
        </is>
      </c>
      <c r="W1641" s="10" t="inlineStr">
        <is>
          <t>STACS provides a wide range of professional learning opportunities, including bespoke workshops, events, &amp; an annual conference, to empower Computing Science teachers with the skills and knowledge to deliver high-quality education. We also offer ongoing mentorship and a supportive community network.</t>
        </is>
      </c>
      <c r="X1641" s="10" t="inlineStr">
        <is>
          <t>Curriculum Development &amp; Resource Creation</t>
        </is>
      </c>
      <c r="Y1641" t="inlineStr">
        <is>
          <t>We develop &amp; curate innovative curriculum resources &amp;teaching materials that are directly aligned with the Scottish CS curriculum. Over 410 hours of high quality, practical, engaging, and easy for teachers to integrate into their classrooms, from primary school through to the senior phase.</t>
        </is>
      </c>
      <c r="Z1641" s="1" t="inlineStr">
        <is>
          <t>https://drive.google.com/uc?export=view&amp;id=1M0uLV-YTG_060pOCln1umBvR3uJy2FVo</t>
        </is>
      </c>
      <c r="AA1641" s="1" t="inlineStr">
        <is>
          <t>Verified</t>
        </is>
      </c>
      <c r="AB1641" s="1" t="inlineStr">
        <is>
          <t>Industry-academia partnerships, Project consortium building, Public-private partnerships, Collaborations between EdTech organisations, Other</t>
        </is>
      </c>
      <c r="AC1641" s="1" t="inlineStr">
        <is>
          <t>Public institution</t>
        </is>
      </c>
      <c r="AD1641" s="10" t="b">
        <v>1</v>
      </c>
      <c r="AE1641" s="1" t="b">
        <v>1</v>
      </c>
      <c r="AF1641" s="1" t="inlineStr">
        <is>
          <t>Yes</t>
        </is>
      </c>
      <c r="AG1641" s="1" t="inlineStr">
        <is>
          <t>https://x.com/stacshq</t>
        </is>
      </c>
      <c r="AH1641" s="1" t="inlineStr">
        <is>
          <t>https://x.com/stacshq</t>
        </is>
      </c>
      <c r="AI1641" s="1" t="inlineStr">
        <is>
          <t>https://www.linkedin.com/company/stacshq</t>
        </is>
      </c>
      <c r="AJ1641" s="1" t="n"/>
    </row>
    <row r="1642" ht="12.5" customHeight="1">
      <c r="A1642" s="6" t="n">
        <v>45903</v>
      </c>
      <c r="B1642" s="1" t="inlineStr">
        <is>
          <t>ORG_2681</t>
        </is>
      </c>
      <c r="C1642" s="1" t="b">
        <v>1</v>
      </c>
      <c r="D1642" s="1" t="inlineStr">
        <is>
          <t>dressCode</t>
        </is>
      </c>
      <c r="E1642" s="1" t="inlineStr">
        <is>
          <t>www.dresscode.org.uk and www.dresscode.club</t>
        </is>
      </c>
      <c r="F1642" t="inlineStr">
        <is>
          <t>dresscode.org.uk and www.dresscode.club</t>
        </is>
      </c>
      <c r="G1642" s="1" t="inlineStr">
        <is>
          <t>dressCode is a non-profit charity with a mission to close the Computing Science gender gap. Founded by a teacher, the organisation works to inspire, support, and engage pupils, particularly girls, in Computing Science by creating free, high-quality digital resources, running competitions, and building a network of dressCode clubs. We aim to bridge the gap between education and industry to help flood the tech talent pipeline with the next generation of female tech professionals.</t>
        </is>
      </c>
      <c r="H1642" s="1" t="inlineStr">
        <is>
          <t>I'm not part of any EdTech association</t>
        </is>
      </c>
      <c r="I1642" s="1" t="inlineStr">
        <is>
          <t>English</t>
        </is>
      </c>
      <c r="J1642" s="1" t="inlineStr">
        <is>
          <t>Glasgow</t>
        </is>
      </c>
      <c r="K1642" t="inlineStr">
        <is>
          <t>Glasgow</t>
        </is>
      </c>
      <c r="L1642" t="inlineStr">
        <is>
          <t>Glasgow, Scotland</t>
        </is>
      </c>
      <c r="M1642" t="n">
        <v>55.861155</v>
      </c>
      <c r="N1642" t="n">
        <v>-4.2501687</v>
      </c>
      <c r="O1642" s="1" t="inlineStr">
        <is>
          <t>Scotland</t>
        </is>
      </c>
      <c r="P1642" s="1" t="inlineStr">
        <is>
          <t>United Kingdom, dressCode club is avaliable worldwide.</t>
        </is>
      </c>
      <c r="Q1642" s="1" t="inlineStr">
        <is>
          <t>Solo entrepreneur</t>
        </is>
      </c>
      <c r="R1642" t="inlineStr">
        <is>
          <t>Solo entrepreneur</t>
        </is>
      </c>
      <c r="S1642" s="1" t="inlineStr">
        <is>
          <t>Business to Schools</t>
        </is>
      </c>
      <c r="T1642" s="1" t="inlineStr">
        <is>
          <t>Primary Education, Secondary Education</t>
        </is>
      </c>
      <c r="U1642" s="1" t="inlineStr">
        <is>
          <t>Student interfacing, Teacher interfacing</t>
        </is>
      </c>
      <c r="V1642" s="1" t="inlineStr">
        <is>
          <t>School Clubs &amp; Community Building</t>
        </is>
      </c>
      <c r="W1642" s="10" t="inlineStr">
        <is>
          <t>We help support club leaders in schools, libraries etc setting up and running their own dressCode club. We provide free, high-quality digital content, including "pick up and play" resources,  to help engage girls at grassroots levels and help close the gender gap in Computing Science.</t>
        </is>
      </c>
      <c r="X1642" s="10" t="inlineStr">
        <is>
          <t>Digital Education Content &amp; Competitions</t>
        </is>
      </c>
      <c r="Y1642" t="inlineStr">
        <is>
          <t>We also run national competitions like the annual Halloween, Christmas, Cyber Advent, Summer of Code comp to challenge and inspire pupils. Provide free certificates of recognition to all primary and secondary schools and free physical awards available to every secondary school in Scotland and more</t>
        </is>
      </c>
      <c r="Z1642" s="1" t="inlineStr">
        <is>
          <t>https://drive.google.com/uc?export=view&amp;id=1ktD5oIYyX3DVhJfD_lcGd24MeeNY8tpx</t>
        </is>
      </c>
      <c r="AA1642" s="1" t="inlineStr">
        <is>
          <t>Verified</t>
        </is>
      </c>
      <c r="AB1642" s="1" t="inlineStr">
        <is>
          <t>Industry-academia partnerships, Collaborations between EdTech organisations, Other</t>
        </is>
      </c>
      <c r="AC1642" s="1" t="inlineStr">
        <is>
          <t>Non-profit organisation</t>
        </is>
      </c>
      <c r="AD1642" s="10" t="b">
        <v>1</v>
      </c>
      <c r="AE1642" s="1" t="b">
        <v>1</v>
      </c>
      <c r="AF1642" s="1" t="inlineStr">
        <is>
          <t>Yes</t>
        </is>
      </c>
      <c r="AG1642" s="1" t="inlineStr">
        <is>
          <t>https://x.com/dresscodehq</t>
        </is>
      </c>
      <c r="AH1642" s="1" t="inlineStr">
        <is>
          <t>https://x.com/dresscodehq</t>
        </is>
      </c>
      <c r="AI1642" s="1" t="inlineStr">
        <is>
          <t>https://www.linkedin.com/company/dresscodehq</t>
        </is>
      </c>
      <c r="AJ1642" s="1" t="n"/>
    </row>
    <row r="1643" ht="12.5" customHeight="1">
      <c r="A1643" s="6" t="n">
        <v>45903</v>
      </c>
      <c r="B1643" s="1" t="inlineStr">
        <is>
          <t>ORG_2682</t>
        </is>
      </c>
      <c r="C1643" s="1" t="b">
        <v>1</v>
      </c>
      <c r="D1643" s="1" t="inlineStr">
        <is>
          <t>Klapp GmbH</t>
        </is>
      </c>
      <c r="E1643" s="10" t="inlineStr">
        <is>
          <t>www.klapp.pro</t>
        </is>
      </c>
      <c r="F1643" t="inlineStr">
        <is>
          <t>klapp.pro</t>
        </is>
      </c>
      <c r="G1643" s="1" t="inlineStr">
        <is>
          <t>Klapp is a Swiss-based Software as a Service solution that streamlines communication in the education sector. It centralizes messages, documents, appointment notifications, absence reports, and calendars—all in one user-friendly interface.</t>
        </is>
      </c>
      <c r="H1643" s="1" t="inlineStr">
        <is>
          <t>Swiss EdTech Collider</t>
        </is>
      </c>
      <c r="I1643" s="1" t="inlineStr">
        <is>
          <t>English, German, French, Spanish, Italian, Serbian</t>
        </is>
      </c>
      <c r="J1643" s="1" t="inlineStr">
        <is>
          <t>Fislisbach Ag</t>
        </is>
      </c>
      <c r="K1643" t="inlineStr">
        <is>
          <t>Fislisbach Ag</t>
        </is>
      </c>
      <c r="L1643" t="inlineStr">
        <is>
          <t>Fislisbach Ag, Switzerland</t>
        </is>
      </c>
      <c r="M1643" t="n">
        <v>47.4369631</v>
      </c>
      <c r="N1643" t="n">
        <v>8.289945700000001</v>
      </c>
      <c r="O1643" s="1" t="inlineStr">
        <is>
          <t>Switzerland</t>
        </is>
      </c>
      <c r="P1643" s="1" t="inlineStr">
        <is>
          <t>Bosnia and Herzegovina, Liechtenstein, Switzerland, Italy, Spain</t>
        </is>
      </c>
      <c r="Q1643" s="1" t="inlineStr">
        <is>
          <t>Small (10-49 FTE employees)</t>
        </is>
      </c>
      <c r="R1643" t="inlineStr">
        <is>
          <t>Small</t>
        </is>
      </c>
      <c r="S1643" s="1" t="inlineStr">
        <is>
          <t>Business to Business, Business to Schools, Business to Government</t>
        </is>
      </c>
      <c r="T1643" s="1" t="inlineStr">
        <is>
          <t>Early childhood development (0-5 years), Primary Education, Secondary Education, Special Education</t>
        </is>
      </c>
      <c r="U1643" s="1" t="inlineStr">
        <is>
          <t>Teacher interfacing</t>
        </is>
      </c>
      <c r="V1643" s="10" t="inlineStr">
        <is>
          <t>Klapp</t>
        </is>
      </c>
      <c r="W1643" s="10" t="inlineStr">
        <is>
          <t>A secure, multilingual platform that connects teachers and parents (with optional student involvement) for all school-related communication — including messaging, absence reporting, file sharing, calendars, and more — in one easy-to-use hub.</t>
        </is>
      </c>
      <c r="X1643" s="10" t="inlineStr">
        <is>
          <t>https://drive.google.com/uc?export=view&amp;id=1FxQfooMPIR8ExYyRHKfjR1sf7PV1pakC</t>
        </is>
      </c>
      <c r="Y1643" t="inlineStr">
        <is>
          <t>https://drive.google.com/uc?export=view&amp;id=1FxQfooMPIR8ExYyRHKfjR1sf7PV1pakC</t>
        </is>
      </c>
      <c r="Z1643" s="1" t="inlineStr">
        <is>
          <t>https://drive.google.com/uc?export=view&amp;id=1FxQfooMPIR8ExYyRHKfjR1sf7PV1pakC</t>
        </is>
      </c>
      <c r="AA1643" s="1" t="inlineStr">
        <is>
          <t>Verified</t>
        </is>
      </c>
      <c r="AB1643" s="1" t="inlineStr">
        <is>
          <t>Collaborations between EdTech organisations, Industry-academia partnerships</t>
        </is>
      </c>
      <c r="AC1643" s="1" t="inlineStr">
        <is>
          <t>For-profit company</t>
        </is>
      </c>
      <c r="AD1643" s="10" t="b">
        <v>1</v>
      </c>
      <c r="AE1643" s="1" t="b">
        <v>1</v>
      </c>
      <c r="AF1643" s="1" t="inlineStr">
        <is>
          <t>Yes</t>
        </is>
      </c>
      <c r="AG1643" s="1" t="inlineStr">
        <is>
          <t>https://www.instagram.com/klappgmbh/</t>
        </is>
      </c>
      <c r="AH1643" s="1" t="inlineStr">
        <is>
          <t>https://x.com/KlappInfo</t>
        </is>
      </c>
      <c r="AI1643" s="1" t="inlineStr">
        <is>
          <t>https://ch.linkedin.com/company/klapp-eg</t>
        </is>
      </c>
      <c r="AJ1643" s="10" t="inlineStr">
        <is>
          <t>https://www.facebook.com/klapp.pro</t>
        </is>
      </c>
    </row>
    <row r="1644" ht="12.5" customHeight="1">
      <c r="A1644" s="6" t="n">
        <v>45903</v>
      </c>
      <c r="B1644" s="1" t="inlineStr">
        <is>
          <t>ORG_2683</t>
        </is>
      </c>
      <c r="C1644" s="1" t="b">
        <v>1</v>
      </c>
      <c r="D1644" s="1" t="inlineStr">
        <is>
          <t>Learntech Unleashed Ltd</t>
        </is>
      </c>
      <c r="E1644" s="10" t="inlineStr">
        <is>
          <t>www.learntechunleashed.com</t>
        </is>
      </c>
      <c r="F1644" t="inlineStr">
        <is>
          <t>learntechunleashed.com</t>
        </is>
      </c>
      <c r="G1644" s="1" t="inlineStr">
        <is>
          <t>Lesson planning and curriculum overlay tool</t>
        </is>
      </c>
      <c r="H1644" s="1" t="inlineStr">
        <is>
          <t>I'm not part of any EdTech association</t>
        </is>
      </c>
      <c r="I1644" s="1" t="inlineStr">
        <is>
          <t>English</t>
        </is>
      </c>
      <c r="J1644" s="1" t="inlineStr">
        <is>
          <t>Liverpool</t>
        </is>
      </c>
      <c r="K1644" t="inlineStr">
        <is>
          <t>Liverpool</t>
        </is>
      </c>
      <c r="L1644" t="inlineStr">
        <is>
          <t>Liverpool, United Kingdom</t>
        </is>
      </c>
      <c r="M1644" t="n">
        <v>53.3933411</v>
      </c>
      <c r="N1644" t="n">
        <v>-2.9166389</v>
      </c>
      <c r="O1644" s="1" t="inlineStr">
        <is>
          <t>United Kingdom</t>
        </is>
      </c>
      <c r="P1644" s="1" t="inlineStr">
        <is>
          <t>United Kingdom</t>
        </is>
      </c>
      <c r="Q1644" s="1" t="inlineStr">
        <is>
          <t>Micro (1-9 FTE employees)</t>
        </is>
      </c>
      <c r="R1644" t="inlineStr">
        <is>
          <t>Micro</t>
        </is>
      </c>
      <c r="S1644" s="1" t="inlineStr">
        <is>
          <t>Business to Schools, Business to Government</t>
        </is>
      </c>
      <c r="T1644" s="1" t="inlineStr">
        <is>
          <t>Secondary Education, Primary Education</t>
        </is>
      </c>
      <c r="U1644" s="1" t="inlineStr">
        <is>
          <t>Teacher interfacing</t>
        </is>
      </c>
      <c r="V1644" s="1" t="inlineStr">
        <is>
          <t>Lesson Planning Tool</t>
        </is>
      </c>
      <c r="W1644" s="1" t="inlineStr">
        <is>
          <t>Save time and speed to create amazing lessons.</t>
        </is>
      </c>
      <c r="X1644" s="1" t="inlineStr">
        <is>
          <t>Holistic curriculum overlay</t>
        </is>
      </c>
      <c r="Y1644" t="inlineStr">
        <is>
          <t>Multiple best practice overlays for schools worldwide, including the SDGs, Skillsbuilder Framework and more.</t>
        </is>
      </c>
      <c r="Z1644" s="1" t="inlineStr">
        <is>
          <t>https://drive.google.com/uc?export=view&amp;id=1O6MpxCiaRtdVRhSIYd0Q-WgcuQnncorD</t>
        </is>
      </c>
      <c r="AA1644" s="1" t="inlineStr">
        <is>
          <t>Verified</t>
        </is>
      </c>
      <c r="AB1644" s="1" t="inlineStr">
        <is>
          <t>Collaborations between EdTech organisations, Public-private partnerships, Project consortium building, Industry-academia partnerships</t>
        </is>
      </c>
      <c r="AC1644" s="1" t="inlineStr">
        <is>
          <t>For-profit company</t>
        </is>
      </c>
      <c r="AD1644" s="10" t="b">
        <v>1</v>
      </c>
      <c r="AE1644" s="1" t="b">
        <v>1</v>
      </c>
      <c r="AF1644" s="1" t="inlineStr">
        <is>
          <t>No</t>
        </is>
      </c>
      <c r="AG1644" s="1" t="n"/>
      <c r="AH1644" s="1" t="n"/>
      <c r="AI1644" s="1" t="n"/>
      <c r="AJ1644" s="1" t="n"/>
    </row>
    <row r="1645" ht="12.5" customHeight="1">
      <c r="A1645" s="6" t="n">
        <v>45904</v>
      </c>
      <c r="B1645" s="1" t="inlineStr">
        <is>
          <t>ORG_2684</t>
        </is>
      </c>
      <c r="C1645" s="1" t="b">
        <v>1</v>
      </c>
      <c r="D1645" s="1" t="inlineStr">
        <is>
          <t>Technology Readiness Council</t>
        </is>
      </c>
      <c r="E1645" s="10" t="inlineStr">
        <is>
          <t>https://technologyreadiness.org/</t>
        </is>
      </c>
      <c r="F1645" t="inlineStr">
        <is>
          <t>technologyreadiness.org</t>
        </is>
      </c>
      <c r="G1645" s="1" t="inlineStr">
        <is>
          <t>Technology Readiness Council (TRC)  The Technology Readiness Council (TRC) is a non-profit network of senior educators and IT leaders from over 20 countries. It supports schools and educational professionals in bridging the gap between current technological infrastructure and future-oriented teaching needs. The TRC provides professional development, coaching, audits and certification programmes such as the TRC Tech Ready School and TRC Tech Innovation School, helping institutions ensure safe, strategic and innovative integration of educational technology.</t>
        </is>
      </c>
      <c r="H1645" s="1" t="inlineStr">
        <is>
          <t>I'm not part of any EdTech association</t>
        </is>
      </c>
      <c r="I1645" s="1" t="inlineStr">
        <is>
          <t>English</t>
        </is>
      </c>
      <c r="J1645" s="1" t="inlineStr">
        <is>
          <t>Brussels</t>
        </is>
      </c>
      <c r="K1645" t="inlineStr">
        <is>
          <t>Brussels</t>
        </is>
      </c>
      <c r="L1645" t="inlineStr">
        <is>
          <t>Brussels, Belgium</t>
        </is>
      </c>
      <c r="M1645" t="n">
        <v>50.8387951</v>
      </c>
      <c r="N1645" t="n">
        <v>4.3753041</v>
      </c>
      <c r="O1645" s="1" t="inlineStr">
        <is>
          <t>Belgium</t>
        </is>
      </c>
      <c r="P1645" s="1" t="inlineStr">
        <is>
          <t>Belgium, Czechia, Denmark, Germany, Hungary, Italy, Netherlands, Poland, Spain, Switzerland, Romania, France, Croatia, Japan, Malaysia, Philippines, Korea, Kenya</t>
        </is>
      </c>
      <c r="Q1645" s="1" t="inlineStr">
        <is>
          <t>Small (10-49 FTE employees)</t>
        </is>
      </c>
      <c r="R1645" t="inlineStr">
        <is>
          <t>Small</t>
        </is>
      </c>
      <c r="S1645" s="1" t="inlineStr">
        <is>
          <t>Business to Schools</t>
        </is>
      </c>
      <c r="T1645" s="1" t="inlineStr">
        <is>
          <t>Early childhood development (0-5 years), Primary Education, Secondary Education, Vocational Education and Training (VET), Higher Education, Lifelong learning/Adult education, Special Education</t>
        </is>
      </c>
      <c r="U1645" s="1" t="inlineStr">
        <is>
          <t>Student interfacing, Teacher interfacing, System/Administrative</t>
        </is>
      </c>
      <c r="V1645" s="1" t="inlineStr">
        <is>
          <t>Tech Director as a Service</t>
        </is>
      </c>
      <c r="W1645" s="1" t="inlineStr">
        <is>
          <t>Tech Director as a Service provides schools with access to experienced technology leadership without the need for a full-time appointment. The TRC offers strategic guidance, digital transformation planning, and expert support to help schools make informed decisions.</t>
        </is>
      </c>
      <c r="X1645" s="10" t="inlineStr">
        <is>
          <t>https://drive.google.com/uc?export=view&amp;id=178NZuuh_CXxDwT6V72miO4W9EmMttOGu</t>
        </is>
      </c>
      <c r="Y1645" t="inlineStr">
        <is>
          <t>https://drive.google.com/uc?export=view&amp;id=178NZuuh_CXxDwT6V72miO4W9EmMttOGu</t>
        </is>
      </c>
      <c r="Z1645" s="1" t="inlineStr">
        <is>
          <t>https://drive.google.com/uc?export=view&amp;id=178NZuuh_CXxDwT6V72miO4W9EmMttOGu</t>
        </is>
      </c>
      <c r="AA1645" s="1" t="inlineStr">
        <is>
          <t>Verified</t>
        </is>
      </c>
      <c r="AB1645" s="1" t="inlineStr">
        <is>
          <t>Project consortium building, Collaborations between EdTech organisations, Industry-academia partnerships, Public-private partnerships</t>
        </is>
      </c>
      <c r="AC1645" s="1" t="inlineStr">
        <is>
          <t>Non-profit organisation</t>
        </is>
      </c>
      <c r="AD1645" s="10" t="b">
        <v>1</v>
      </c>
      <c r="AE1645" s="1" t="b">
        <v>1</v>
      </c>
      <c r="AF1645" s="1" t="inlineStr">
        <is>
          <t>Yes</t>
        </is>
      </c>
      <c r="AG1645" s="1" t="inlineStr">
        <is>
          <t>https://www.linkedin.com/company/thetrc</t>
        </is>
      </c>
      <c r="AH1645" s="1" t="inlineStr">
        <is>
          <t>https://www.linkedin.com/company/thetrc</t>
        </is>
      </c>
      <c r="AI1645" s="1" t="inlineStr">
        <is>
          <t>https://www.linkedin.com/company/thetrc</t>
        </is>
      </c>
      <c r="AJ1645" s="1" t="n"/>
    </row>
    <row r="1646" ht="12.5" customHeight="1">
      <c r="A1646" s="6" t="n">
        <v>45904</v>
      </c>
      <c r="B1646" s="1" t="inlineStr">
        <is>
          <t>ORG_2005</t>
        </is>
      </c>
      <c r="C1646" s="1" t="b">
        <v>1</v>
      </c>
      <c r="D1646" s="1" t="inlineStr">
        <is>
          <t>My-Serious-Game</t>
        </is>
      </c>
      <c r="E1646" s="10" t="inlineStr">
        <is>
          <t>www.my-serious-game.com</t>
        </is>
      </c>
      <c r="F1646" t="inlineStr">
        <is>
          <t>my-serious-game.com</t>
        </is>
      </c>
      <c r="G1646" s="1" t="inlineStr">
        <is>
          <t>My-Serious-Game creates customized and high-end digital training courses (serious games, blended learning, virtual and augmented reality, mobile applications, digital learning, 3D simulations, interactive videos...).</t>
        </is>
      </c>
      <c r="H1646" s="1" t="inlineStr">
        <is>
          <t>EdTech France</t>
        </is>
      </c>
      <c r="I1646" s="1" t="inlineStr">
        <is>
          <t>English, French, Spanish, German, Italian, Dutch, Portuguese, Bulgarian, Croatian, Czech, Danish, Estonian, Hungarian, Greek, Finnish, Irish, Latvian, Lithuanian, Romanian, Polish, Maltese, Slovak, Slovenian, Swedish, Basque, Catalan, Ukrainian</t>
        </is>
      </c>
      <c r="J1646" s="1" t="inlineStr">
        <is>
          <t>Tours</t>
        </is>
      </c>
      <c r="K1646" t="inlineStr">
        <is>
          <t>Tours</t>
        </is>
      </c>
      <c r="L1646" t="inlineStr">
        <is>
          <t>Tours, France</t>
        </is>
      </c>
      <c r="M1646" t="n">
        <v>47.3900474</v>
      </c>
      <c r="N1646" t="n">
        <v>0.6889268</v>
      </c>
      <c r="O1646" s="1" t="inlineStr">
        <is>
          <t>France</t>
        </is>
      </c>
      <c r="P1646" s="1" t="inlineStr">
        <is>
          <t>France, Denmark, Belgium, Italy</t>
        </is>
      </c>
      <c r="Q1646" s="1" t="inlineStr">
        <is>
          <t>Small (10-49 FTE employees)</t>
        </is>
      </c>
      <c r="R1646" t="inlineStr">
        <is>
          <t>Small</t>
        </is>
      </c>
      <c r="S1646" s="1" t="inlineStr">
        <is>
          <t>Business to Business, Business to Government, Business to Schools</t>
        </is>
      </c>
      <c r="T1646" s="1" t="inlineStr">
        <is>
          <t>Corporate Training, Lifelong learning/Adult education, Primary Education, Secondary Education, Vocational Education and Training (VET), Higher Education, Special Education</t>
        </is>
      </c>
      <c r="U1646" s="1" t="inlineStr">
        <is>
          <t>System/Administrative, Teacher interfacing</t>
        </is>
      </c>
      <c r="V1646" s="1" t="inlineStr">
        <is>
          <t>Digital Learning</t>
        </is>
      </c>
      <c r="W1646" s="1" t="inlineStr">
        <is>
          <t>e-Learning, Blended learning, mobile learning...</t>
        </is>
      </c>
      <c r="X1646" s="10" t="inlineStr">
        <is>
          <t>Serious Games</t>
        </is>
      </c>
      <c r="Y1646" t="inlineStr">
        <is>
          <t>3D simulations, virtual reality, serious gaming...</t>
        </is>
      </c>
      <c r="Z1646" s="1" t="inlineStr">
        <is>
          <t>https://drive.google.com/uc?export=view&amp;id=18UlZVFAkLBFx_AfzI1tZJIp_lTP-1TNp</t>
        </is>
      </c>
      <c r="AA1646" s="1" t="inlineStr">
        <is>
          <t>Verified</t>
        </is>
      </c>
      <c r="AB1646" s="1" t="inlineStr">
        <is>
          <t>Collaborations between EdTech organisations, Project consortium building, Public-private partnerships, Industry-academia partnerships</t>
        </is>
      </c>
      <c r="AC1646" s="1" t="inlineStr">
        <is>
          <t>For-profit company</t>
        </is>
      </c>
      <c r="AD1646" s="10" t="b">
        <v>1</v>
      </c>
      <c r="AE1646" s="1" t="b">
        <v>1</v>
      </c>
      <c r="AF1646" s="1" t="inlineStr">
        <is>
          <t>Yes</t>
        </is>
      </c>
      <c r="AG1646" s="1" t="inlineStr">
        <is>
          <t>https://www.linkedin.com/company/my-serious-game</t>
        </is>
      </c>
      <c r="AH1646" s="1" t="inlineStr">
        <is>
          <t>https://www.linkedin.com/company/my-serious-game</t>
        </is>
      </c>
      <c r="AI1646" s="1" t="inlineStr">
        <is>
          <t>https://www.linkedin.com/company/my-serious-game</t>
        </is>
      </c>
      <c r="AJ1646" s="1" t="n"/>
    </row>
    <row r="1647" ht="12.5" customHeight="1">
      <c r="A1647" s="6" t="n">
        <v>45904</v>
      </c>
      <c r="B1647" s="1" t="inlineStr">
        <is>
          <t>ORG_2442</t>
        </is>
      </c>
      <c r="C1647" s="1" t="b">
        <v>1</v>
      </c>
      <c r="D1647" s="1" t="inlineStr">
        <is>
          <t>Tutornow</t>
        </is>
      </c>
      <c r="E1647" s="10" t="inlineStr">
        <is>
          <t>https://www.tutornow.it/</t>
        </is>
      </c>
      <c r="F1647" t="inlineStr">
        <is>
          <t>tutornow.it</t>
        </is>
      </c>
      <c r="G1647" s="1" t="inlineStr">
        <is>
          <t>TutorNow is a leading online tutoring platform with over 15,000 tutors, offering personalized  educational paths for individuals and companies. Our advanced digital tools and proprietary  Virtual Classroom - with over 50 features - enable a complete learning experience:  interactive tools, collaborative text and code editors, DSA/BES support, and full compatibility  across PC, tablet, and mobile. AI ensures perfect student-tutor matching, making every  lesson effective, inclusive, and tailored for both one-on-one and group sessions.</t>
        </is>
      </c>
      <c r="H1647" s="1" t="inlineStr">
        <is>
          <t>EdTech Italia</t>
        </is>
      </c>
      <c r="I1647" s="1" t="inlineStr">
        <is>
          <t>English, Italian</t>
        </is>
      </c>
      <c r="J1647" s="1" t="inlineStr">
        <is>
          <t>Lomazzo</t>
        </is>
      </c>
      <c r="K1647" t="inlineStr">
        <is>
          <t>Lomazzo</t>
        </is>
      </c>
      <c r="L1647" t="inlineStr">
        <is>
          <t>Lomazzo, Italy</t>
        </is>
      </c>
      <c r="M1647" t="n">
        <v>45.6917739</v>
      </c>
      <c r="N1647" t="n">
        <v>9.0330073</v>
      </c>
      <c r="O1647" s="1" t="inlineStr">
        <is>
          <t>Italy</t>
        </is>
      </c>
      <c r="P1647" s="1" t="inlineStr">
        <is>
          <t>Italy, Switzerland</t>
        </is>
      </c>
      <c r="Q1647" s="1" t="inlineStr">
        <is>
          <t>Small (10-49 FTE employees)</t>
        </is>
      </c>
      <c r="R1647" t="inlineStr">
        <is>
          <t>Small</t>
        </is>
      </c>
      <c r="S1647" s="1" t="inlineStr">
        <is>
          <t>Business to Consumer, Business to Government, Business to Business, Business to Schools</t>
        </is>
      </c>
      <c r="T1647" s="1" t="inlineStr">
        <is>
          <t>Primary Education, Secondary Education, Higher Education, Corporate Training, Special Education</t>
        </is>
      </c>
      <c r="U1647" s="1" t="inlineStr">
        <is>
          <t>Student interfacing, Teacher interfacing, System/Administrative, Other</t>
        </is>
      </c>
      <c r="V1647" s="1" t="inlineStr">
        <is>
          <t>one-on-one video lessons between student and tutor</t>
        </is>
      </c>
      <c r="W1647" s="1" t="inlineStr">
        <is>
          <t>https://drive.google.com/uc?export=view&amp;id=1A4__9BviFXTlk46iZrXWdrRwXWY1TblH</t>
        </is>
      </c>
      <c r="X1647" s="1" t="inlineStr">
        <is>
          <t>https://drive.google.com/uc?export=view&amp;id=1A4__9BviFXTlk46iZrXWdrRwXWY1TblH</t>
        </is>
      </c>
      <c r="Y1647" t="inlineStr">
        <is>
          <t>https://drive.google.com/uc?export=view&amp;id=1A4__9BviFXTlk46iZrXWdrRwXWY1TblH</t>
        </is>
      </c>
      <c r="Z1647" s="1" t="inlineStr">
        <is>
          <t>https://drive.google.com/uc?export=view&amp;id=1A4__9BviFXTlk46iZrXWdrRwXWY1TblH</t>
        </is>
      </c>
      <c r="AA1647" s="1" t="inlineStr">
        <is>
          <t>Verified</t>
        </is>
      </c>
      <c r="AB1647" s="1" t="inlineStr">
        <is>
          <t>Public-private partnerships, Collaborations between EdTech organisations, Other, Industry-academia partnerships</t>
        </is>
      </c>
      <c r="AC1647" s="1" t="inlineStr">
        <is>
          <t>For-profit company</t>
        </is>
      </c>
      <c r="AD1647" s="10" t="b">
        <v>1</v>
      </c>
      <c r="AE1647" s="1" t="b">
        <v>1</v>
      </c>
      <c r="AF1647" s="1" t="inlineStr">
        <is>
          <t>No</t>
        </is>
      </c>
      <c r="AG1647" s="1" t="n"/>
      <c r="AH1647" s="1" t="n"/>
      <c r="AI1647" s="1" t="n"/>
      <c r="AJ1647" s="1" t="n"/>
    </row>
    <row r="1648" ht="12.5" customHeight="1">
      <c r="A1648" s="6" t="n">
        <v>45904</v>
      </c>
      <c r="B1648" s="1" t="inlineStr">
        <is>
          <t>ORG_2685</t>
        </is>
      </c>
      <c r="C1648" s="1" t="b">
        <v>1</v>
      </c>
      <c r="D1648" s="1" t="inlineStr">
        <is>
          <t>Zamizen</t>
        </is>
      </c>
      <c r="E1648" s="10" t="inlineStr">
        <is>
          <t>zamizen.fr</t>
        </is>
      </c>
      <c r="F1648" t="inlineStr">
        <is>
          <t>zamizen.fr</t>
        </is>
      </c>
      <c r="G1648" s="1" t="inlineStr">
        <is>
          <t>Zamizen allows 3-11 year olds to learn soft skills (emotions, relationships), with an impact on well-being, attention, school climate and inclusiveness. The programme ensures pedagogical continuity between school, extracurricular activities and the family.</t>
        </is>
      </c>
      <c r="H1648" s="1" t="inlineStr">
        <is>
          <t>AFINEF, EdTech France</t>
        </is>
      </c>
      <c r="I1648" s="1" t="inlineStr">
        <is>
          <t>French</t>
        </is>
      </c>
      <c r="J1648" s="1" t="inlineStr">
        <is>
          <t>La Rochelle</t>
        </is>
      </c>
      <c r="K1648" t="inlineStr">
        <is>
          <t>La Rochelle</t>
        </is>
      </c>
      <c r="L1648" t="inlineStr">
        <is>
          <t>La Rochelle, France</t>
        </is>
      </c>
      <c r="M1648" t="n">
        <v>46.159732</v>
      </c>
      <c r="N1648" t="n">
        <v>-1.1515951</v>
      </c>
      <c r="O1648" s="1" t="inlineStr">
        <is>
          <t>France</t>
        </is>
      </c>
      <c r="P1648" s="1" t="inlineStr">
        <is>
          <t>France, Belgium, Switzerland</t>
        </is>
      </c>
      <c r="Q1648" s="1" t="inlineStr">
        <is>
          <t>Micro (1-9 FTE employees)</t>
        </is>
      </c>
      <c r="R1648" t="inlineStr">
        <is>
          <t>Micro</t>
        </is>
      </c>
      <c r="S1648" s="1" t="inlineStr">
        <is>
          <t>Business to Government, Business to Schools, Business to Business</t>
        </is>
      </c>
      <c r="T1648" s="1" t="inlineStr">
        <is>
          <t>Early childhood development (0-5 years), Primary Education, Lifelong learning/Adult education</t>
        </is>
      </c>
      <c r="U1648" s="1" t="inlineStr">
        <is>
          <t>Teacher interfacing</t>
        </is>
      </c>
      <c r="V1648" s="10" t="inlineStr">
        <is>
          <t>Zamizen School Program</t>
        </is>
      </c>
      <c r="W1648" s="1" t="inlineStr">
        <is>
          <t>Annual subscription to the online program (video &amp; audio) + 1 pedagogical kit per class + Training and support + Impact measurement</t>
        </is>
      </c>
      <c r="X1648" s="10" t="inlineStr">
        <is>
          <t>Zamizen Extracurricular Program</t>
        </is>
      </c>
      <c r="Y1648" t="inlineStr">
        <is>
          <t>Training of 10 facilitators in conducting Zamizen workshops + Emotions toolkit</t>
        </is>
      </c>
      <c r="Z1648" s="1" t="inlineStr">
        <is>
          <t>https://drive.google.com/uc?export=view&amp;id=1oTFX4Ef-8TyosUaL3Tsf04l0xXK03nxG</t>
        </is>
      </c>
      <c r="AA1648" s="1" t="inlineStr">
        <is>
          <t>Verified</t>
        </is>
      </c>
      <c r="AB1648" s="1" t="inlineStr">
        <is>
          <t>Project consortium building, Public-private partnerships</t>
        </is>
      </c>
      <c r="AC1648" s="1" t="inlineStr">
        <is>
          <t>For-profit company</t>
        </is>
      </c>
      <c r="AD1648" s="10" t="b">
        <v>1</v>
      </c>
      <c r="AE1648" s="1" t="b">
        <v>1</v>
      </c>
      <c r="AF1648" s="1" t="inlineStr">
        <is>
          <t>Yes</t>
        </is>
      </c>
      <c r="AG1648" s="1" t="inlineStr">
        <is>
          <t>https://www.instagram.com/leszamizen/?hl=fr</t>
        </is>
      </c>
      <c r="AH1648" s="1" t="inlineStr">
        <is>
          <t>https://www.linkedin.com/company</t>
        </is>
      </c>
      <c r="AI1648" s="1" t="inlineStr">
        <is>
          <t>https://www.linkedin.com/company</t>
        </is>
      </c>
      <c r="AJ1648" s="10" t="inlineStr">
        <is>
          <t>https://www.facebook.com/leszamizen</t>
        </is>
      </c>
    </row>
    <row r="1649" ht="12.5" customHeight="1">
      <c r="A1649" s="6" t="n">
        <v>45904</v>
      </c>
      <c r="B1649" s="1" t="inlineStr">
        <is>
          <t>ORG_2686</t>
        </is>
      </c>
      <c r="C1649" s="1" t="b">
        <v>1</v>
      </c>
      <c r="D1649" s="1" t="inlineStr">
        <is>
          <t>My Training Box</t>
        </is>
      </c>
      <c r="E1649" s="10" t="inlineStr">
        <is>
          <t>www.mygreentraningbox.com</t>
        </is>
      </c>
      <c r="F1649" t="inlineStr">
        <is>
          <t>mygreentraningbox.com</t>
        </is>
      </c>
      <c r="G1649" s="1" t="inlineStr">
        <is>
          <t>My Green Training Box is a learning platform providing digital courses for sustainable topic in various fields: agriculture, CSR, energy, health...</t>
        </is>
      </c>
      <c r="H1649" s="1" t="inlineStr">
        <is>
          <t>EdTech France</t>
        </is>
      </c>
      <c r="I1649" s="1" t="inlineStr">
        <is>
          <t>English, French, Spanish, Italian</t>
        </is>
      </c>
      <c r="J1649" s="1" t="inlineStr">
        <is>
          <t>Toulouse</t>
        </is>
      </c>
      <c r="K1649" t="inlineStr">
        <is>
          <t>Toulouse</t>
        </is>
      </c>
      <c r="L1649" t="inlineStr">
        <is>
          <t>Toulouse, France</t>
        </is>
      </c>
      <c r="M1649" t="n">
        <v>43.6044638</v>
      </c>
      <c r="N1649" t="n">
        <v>1.4442433</v>
      </c>
      <c r="O1649" s="1" t="inlineStr">
        <is>
          <t>France</t>
        </is>
      </c>
      <c r="P1649" s="1" t="inlineStr">
        <is>
          <t>France, Italy, Greece, United Kingdom, Turkey, Spain, Belgium</t>
        </is>
      </c>
      <c r="Q1649" s="1" t="inlineStr">
        <is>
          <t>Micro (1-9 FTE employees)</t>
        </is>
      </c>
      <c r="R1649" t="inlineStr">
        <is>
          <t>Micro</t>
        </is>
      </c>
      <c r="S1649" s="1" t="inlineStr">
        <is>
          <t>Business to Business, Business to Government, Business to Schools, Business to Consumer</t>
        </is>
      </c>
      <c r="T1649" s="1" t="inlineStr">
        <is>
          <t>Corporate Training, Lifelong learning/Adult education, Higher Education, Vocational Education and Training (VET)</t>
        </is>
      </c>
      <c r="U1649" s="1" t="inlineStr">
        <is>
          <t>Student interfacing, Teacher interfacing</t>
        </is>
      </c>
      <c r="V1649" s="1" t="inlineStr">
        <is>
          <t>Creation of digital learning content</t>
        </is>
      </c>
      <c r="W1649" s="1" t="inlineStr">
        <is>
          <t>Video, podcast, text, assessment contents</t>
        </is>
      </c>
      <c r="X1649" s="10" t="inlineStr">
        <is>
          <t>Learning Management System</t>
        </is>
      </c>
      <c r="Y1649" t="inlineStr">
        <is>
          <t>Distribution of digital courses on My Green Training Box</t>
        </is>
      </c>
      <c r="Z1649" s="1" t="inlineStr">
        <is>
          <t>https://drive.google.com/uc?export=view&amp;id=1bhvlXqXjUTrt2Yx0yta5gD_izlVlRYay</t>
        </is>
      </c>
      <c r="AA1649" s="1" t="inlineStr">
        <is>
          <t>Verified</t>
        </is>
      </c>
      <c r="AB1649" s="1" t="inlineStr">
        <is>
          <t>Collaborations between EdTech organisations, Project consortium building, Public-private partnerships, Industry-academia partnerships</t>
        </is>
      </c>
      <c r="AC1649" s="1" t="inlineStr">
        <is>
          <t>For-profit company</t>
        </is>
      </c>
      <c r="AD1649" s="10" t="b">
        <v>1</v>
      </c>
      <c r="AE1649" s="1" t="b">
        <v>1</v>
      </c>
      <c r="AF1649" s="1" t="inlineStr">
        <is>
          <t>Yes</t>
        </is>
      </c>
      <c r="AG1649" s="1" t="inlineStr">
        <is>
          <t>https://www.linkedin.com/showcase/mygreentrainingbox/?viewAsMember=true</t>
        </is>
      </c>
      <c r="AH1649" s="1" t="inlineStr">
        <is>
          <t>https://www.linkedin.com/showcase/mygreentrainingbox/?viewAsMember=true</t>
        </is>
      </c>
      <c r="AI1649" s="1" t="inlineStr">
        <is>
          <t>https://www.linkedin.com/showcase/mygreentrainingbox/?viewAsMember=true</t>
        </is>
      </c>
      <c r="AJ1649" s="1" t="n"/>
    </row>
    <row r="1650" ht="12.5" customHeight="1">
      <c r="A1650" s="6" t="n">
        <v>45904</v>
      </c>
      <c r="B1650" s="1" t="inlineStr">
        <is>
          <t>ORG_2687</t>
        </is>
      </c>
      <c r="C1650" s="1" t="b">
        <v>1</v>
      </c>
      <c r="D1650" s="1" t="inlineStr">
        <is>
          <t>Develhope</t>
        </is>
      </c>
      <c r="E1650" s="10" t="inlineStr">
        <is>
          <t>www.develhope.co</t>
        </is>
      </c>
      <c r="F1650" t="inlineStr">
        <is>
          <t>develhope.co</t>
        </is>
      </c>
      <c r="G1650" s="1" t="inlineStr">
        <is>
          <t>Develhope is an educational project with a high social impact focused on the development of innovative digital skills, with the aim of training and multiplying opportunities for talented young people wishing to pursue a career in tech.</t>
        </is>
      </c>
      <c r="H1650" s="1" t="inlineStr">
        <is>
          <t>I'm not part of any EdTech association</t>
        </is>
      </c>
      <c r="I1650" s="1" t="inlineStr">
        <is>
          <t>Italian, English</t>
        </is>
      </c>
      <c r="J1650" s="1" t="inlineStr">
        <is>
          <t>Palermo</t>
        </is>
      </c>
      <c r="K1650" t="inlineStr">
        <is>
          <t>Palermo</t>
        </is>
      </c>
      <c r="L1650" t="inlineStr">
        <is>
          <t>Palermo, Italy</t>
        </is>
      </c>
      <c r="M1650" t="n">
        <v>38.1112268</v>
      </c>
      <c r="N1650" t="n">
        <v>13.3524434</v>
      </c>
      <c r="O1650" s="1" t="inlineStr">
        <is>
          <t>Italy</t>
        </is>
      </c>
      <c r="P1650" s="1" t="inlineStr">
        <is>
          <t>Italy</t>
        </is>
      </c>
      <c r="Q1650" s="1" t="inlineStr">
        <is>
          <t>Small (10-49 FTE employees)</t>
        </is>
      </c>
      <c r="R1650" t="inlineStr">
        <is>
          <t>Small</t>
        </is>
      </c>
      <c r="S1650" s="1" t="inlineStr">
        <is>
          <t>Business to Consumer</t>
        </is>
      </c>
      <c r="T1650" s="1" t="inlineStr">
        <is>
          <t>Vocational Education and Training (VET)</t>
        </is>
      </c>
      <c r="U1650" s="1" t="inlineStr">
        <is>
          <t>Teacher interfacing, Student interfacing</t>
        </is>
      </c>
      <c r="V1650" s="10" t="inlineStr">
        <is>
          <t>Digital skills courses (marketing, UX/UI, AI) for NGOs and PMIs</t>
        </is>
      </c>
      <c r="W1650" s="1" t="inlineStr">
        <is>
          <t>Live Courses are ideal for those starting from scratch and wanting to embark on a new career. 4-10 weeks, 2h a day, 100% remote, no experience required. We have the following courses: Digital Marketing/AI Specialist, UX/UI Design, Supply Chain &amp; Logistics, AI Tools for PMIs, AI Tools for NGOs.</t>
        </is>
      </c>
      <c r="X1650" s="10" t="inlineStr">
        <is>
          <t>Programming courses</t>
        </is>
      </c>
      <c r="Y1650" t="inlineStr">
        <is>
          <t>Live or Flex online courses to become a developer: 5-12 months, 100% remote, no experience required. We have: Web programming, AI &amp; Data analytics, Java Backend development, .Net development.</t>
        </is>
      </c>
      <c r="Z1650" s="1" t="inlineStr">
        <is>
          <t>https://drive.google.com/uc?export=view&amp;id=1c8XkAHEU7gpWuRNLkTkUqhmdtPX59FBR</t>
        </is>
      </c>
      <c r="AA1650" s="1" t="inlineStr">
        <is>
          <t>Verified</t>
        </is>
      </c>
      <c r="AB1650" s="1" t="inlineStr">
        <is>
          <t>Collaborations between EdTech organisations, Project consortium building, Public-private partnerships, Industry-academia partnerships</t>
        </is>
      </c>
      <c r="AC1650" s="1" t="inlineStr">
        <is>
          <t>For-profit company</t>
        </is>
      </c>
      <c r="AD1650" s="10" t="b">
        <v>0</v>
      </c>
      <c r="AE1650" s="1" t="b">
        <v>1</v>
      </c>
      <c r="AF1650" s="1" t="inlineStr">
        <is>
          <t>Yes</t>
        </is>
      </c>
      <c r="AG1650" s="1" t="inlineStr">
        <is>
          <t>https://www.instagram.com/devel.hope/</t>
        </is>
      </c>
      <c r="AH1650" s="1" t="inlineStr">
        <is>
          <t>https://www.linkedin.com/school/develhope/</t>
        </is>
      </c>
      <c r="AI1650" s="1" t="inlineStr">
        <is>
          <t>https://www.linkedin.com/school/develhope/</t>
        </is>
      </c>
      <c r="AJ1650" s="10" t="inlineStr">
        <is>
          <t>https://www.facebook.com/go.develhope</t>
        </is>
      </c>
    </row>
    <row r="1651" ht="12.5" customHeight="1">
      <c r="A1651" s="6" t="n">
        <v>45905</v>
      </c>
      <c r="B1651" s="1" t="inlineStr">
        <is>
          <t>ORG_2688</t>
        </is>
      </c>
      <c r="C1651" s="1" t="b">
        <v>1</v>
      </c>
      <c r="D1651" s="1" t="inlineStr">
        <is>
          <t>Abilous</t>
        </is>
      </c>
      <c r="E1651" s="10" t="inlineStr">
        <is>
          <t>https://abilous.com</t>
        </is>
      </c>
      <c r="F1651" t="inlineStr">
        <is>
          <t>abilous.com</t>
        </is>
      </c>
      <c r="G1651" s="1" t="inlineStr">
        <is>
          <t>Abilous SAS is an innovative EdTech startup incubated at the INRIA Sophia-Antipolis research laboratory and a member of the 4th cohort of the CY EdTech Labs program (Cergy Paris University).  Abilous is an all-in-one, easy-to-use, and customizable gamified educational platform that makes learning fun through gamification and educational games. It offers detailed student progress tracking and personalized learning paths to support differentiated learning.  The platform also integrates an AI authoring tool to facilitate the creation and sharing of new interactive educational content through a multitude of possible formats and activities.  Abilous SAS also offers its flexible educational LMS as a white label.</t>
        </is>
      </c>
      <c r="H1651" s="1" t="inlineStr">
        <is>
          <t>EdTech France</t>
        </is>
      </c>
      <c r="I1651" s="1" t="inlineStr">
        <is>
          <t>French</t>
        </is>
      </c>
      <c r="J1651" s="1" t="inlineStr">
        <is>
          <t>Montauroux</t>
        </is>
      </c>
      <c r="K1651" t="inlineStr">
        <is>
          <t>Montauroux</t>
        </is>
      </c>
      <c r="L1651" t="inlineStr">
        <is>
          <t>Montauroux, France</t>
        </is>
      </c>
      <c r="M1651" t="n">
        <v>43.617944</v>
      </c>
      <c r="N1651" t="n">
        <v>6.765164</v>
      </c>
      <c r="O1651" s="1" t="inlineStr">
        <is>
          <t>France</t>
        </is>
      </c>
      <c r="P1651" s="1" t="inlineStr">
        <is>
          <t>Belgium, France, Monaco</t>
        </is>
      </c>
      <c r="Q1651" s="1" t="inlineStr">
        <is>
          <t>Micro (1-9 FTE employees)</t>
        </is>
      </c>
      <c r="R1651" t="inlineStr">
        <is>
          <t>Micro</t>
        </is>
      </c>
      <c r="S1651" s="1" t="inlineStr">
        <is>
          <t>Business to Business, Business to Consumer, Business to Government, Business to Schools</t>
        </is>
      </c>
      <c r="T1651" s="1" t="inlineStr">
        <is>
          <t>Primary Education, Secondary Education, Higher Education, Lifelong learning/Adult education, Special Education, Corporate Training, Vocational Education and Training (VET)</t>
        </is>
      </c>
      <c r="U1651" s="1" t="inlineStr">
        <is>
          <t>Teacher interfacing, Student interfacing</t>
        </is>
      </c>
      <c r="V1651" s="10" t="inlineStr">
        <is>
          <t>Abilous</t>
        </is>
      </c>
      <c r="W1651" s="1" t="inlineStr">
        <is>
          <t>Abilous is an all-in-one, easy-to-use gamified educational platform.
It allows you to differentiate learning (personalized learning paths), track student progress, and create/share interactive content.
Abilous integrates a library of content on fundamental knowledge and educational games.</t>
        </is>
      </c>
      <c r="X1651" s="10" t="inlineStr">
        <is>
          <t>Abilous Studio</t>
        </is>
      </c>
      <c r="Y1651" t="inlineStr">
        <is>
          <t>The Abilous educational platform integrates an AI-assisted authoring tool to easily create and share a variety of interactive educational content in multiple formats.
Artificial intelligence generates different types of activities, quizzes, and more from teachers' course files.</t>
        </is>
      </c>
      <c r="Z1651" s="1" t="inlineStr">
        <is>
          <t>https://drive.google.com/uc?export=view&amp;id=1Xk-k5BbAib1-M5-O7j8Us4aggKUZArmU</t>
        </is>
      </c>
      <c r="AA1651" s="1" t="inlineStr">
        <is>
          <t>Verified</t>
        </is>
      </c>
      <c r="AB1651" s="1" t="inlineStr">
        <is>
          <t>Project consortium building, Public-private partnerships, Industry-academia partnerships, Collaborations between EdTech organisations, Other</t>
        </is>
      </c>
      <c r="AC1651" s="1" t="inlineStr">
        <is>
          <t>For-profit company</t>
        </is>
      </c>
      <c r="AD1651" s="10" t="b">
        <v>1</v>
      </c>
      <c r="AE1651" s="1" t="b">
        <v>1</v>
      </c>
      <c r="AF1651" s="1" t="inlineStr">
        <is>
          <t>Yes</t>
        </is>
      </c>
      <c r="AG1651" s="1" t="inlineStr">
        <is>
          <t>https://www.instagram.com/abilousapp/</t>
        </is>
      </c>
      <c r="AH1651" s="1" t="inlineStr">
        <is>
          <t>https://www.linkedin.com/company/abilous</t>
        </is>
      </c>
      <c r="AI1651" s="1" t="inlineStr">
        <is>
          <t>https://www.linkedin.com/company/abilous</t>
        </is>
      </c>
      <c r="AJ1651" s="10" t="inlineStr">
        <is>
          <t>https://www.facebook.com/abilousfb</t>
        </is>
      </c>
    </row>
    <row r="1652" ht="12.5" customHeight="1">
      <c r="A1652" s="6" t="n">
        <v>45905</v>
      </c>
      <c r="B1652" s="1" t="inlineStr">
        <is>
          <t>ORG_2689</t>
        </is>
      </c>
      <c r="C1652" s="1" t="b">
        <v>1</v>
      </c>
      <c r="D1652" s="1" t="inlineStr">
        <is>
          <t>GoDeal</t>
        </is>
      </c>
      <c r="E1652" s="10" t="inlineStr">
        <is>
          <t>www.godeal.ai</t>
        </is>
      </c>
      <c r="F1652" t="inlineStr">
        <is>
          <t>godeal.ai</t>
        </is>
      </c>
      <c r="G1652" s="1" t="inlineStr">
        <is>
          <t>We build AI-powered solutions to hack sales performance. Our platforms create data-driven coaching and learning paths that enable sales teams to drive measurable and long-term growth.</t>
        </is>
      </c>
      <c r="H1652" s="1" t="inlineStr">
        <is>
          <t>I'm not part of any EdTech association</t>
        </is>
      </c>
      <c r="I1652" s="1" t="inlineStr">
        <is>
          <t>English, Spanish, French, Portuguese</t>
        </is>
      </c>
      <c r="J1652" s="1" t="inlineStr">
        <is>
          <t>Barcelona</t>
        </is>
      </c>
      <c r="K1652" t="inlineStr">
        <is>
          <t>Barcelona</t>
        </is>
      </c>
      <c r="L1652" t="inlineStr">
        <is>
          <t>Barcelona, Spain</t>
        </is>
      </c>
      <c r="M1652" t="n">
        <v>41.3825802</v>
      </c>
      <c r="N1652" t="n">
        <v>2.177073</v>
      </c>
      <c r="O1652" s="1" t="inlineStr">
        <is>
          <t>Spain</t>
        </is>
      </c>
      <c r="P1652" s="1" t="inlineStr">
        <is>
          <t>Germany, France, Andorra, Portugal, Spain, Turkey, Netherlands, Poland, United Kingdom, Italy, Greece</t>
        </is>
      </c>
      <c r="Q1652" s="1" t="inlineStr">
        <is>
          <t>Micro (1-9 FTE employees)</t>
        </is>
      </c>
      <c r="R1652" t="inlineStr">
        <is>
          <t>Micro</t>
        </is>
      </c>
      <c r="S1652" s="1" t="inlineStr">
        <is>
          <t>Business to Business</t>
        </is>
      </c>
      <c r="T1652" s="1" t="inlineStr">
        <is>
          <t>Corporate Training, Lifelong learning/Adult education</t>
        </is>
      </c>
      <c r="U1652" s="1" t="inlineStr">
        <is>
          <t>Student interfacing</t>
        </is>
      </c>
      <c r="V1652" s="1" t="inlineStr">
        <is>
          <t>GoDeal</t>
        </is>
      </c>
      <c r="W1652" s="1" t="inlineStr">
        <is>
          <t>Godeal is an AI Sales Coach Agent for sales reps and managers. It analyzes sales conversations to automate workflows and provide actionable performance insights, driving accelerated growth.</t>
        </is>
      </c>
      <c r="X1652" s="10" t="inlineStr">
        <is>
          <t>Talentrip</t>
        </is>
      </c>
      <c r="Y1652" t="inlineStr">
        <is>
          <t>Talentrip helps organizations unlock high potential. Through initial assessment, it builds customized learning paths and tracks development with continuous performance reviews to ensure consistent and targeted professional growth.</t>
        </is>
      </c>
      <c r="Z1652" s="1" t="inlineStr">
        <is>
          <t>https://drive.google.com/uc?export=view&amp;id=1EzZogNy1ydfk279hF6B-04Wpj2hnrZpN</t>
        </is>
      </c>
      <c r="AA1652" s="1" t="inlineStr">
        <is>
          <t>Verified</t>
        </is>
      </c>
      <c r="AB1652" s="1" t="inlineStr">
        <is>
          <t>Collaborations between EdTech organisations</t>
        </is>
      </c>
      <c r="AC1652" s="1" t="inlineStr">
        <is>
          <t>For-profit company</t>
        </is>
      </c>
      <c r="AD1652" s="10" t="b">
        <v>1</v>
      </c>
      <c r="AE1652" s="1" t="b">
        <v>1</v>
      </c>
      <c r="AF1652" s="1" t="inlineStr">
        <is>
          <t>Yes</t>
        </is>
      </c>
      <c r="AG1652" s="1" t="inlineStr">
        <is>
          <t>https://www.linkedin.com/company/godeal-ai</t>
        </is>
      </c>
      <c r="AH1652" s="1" t="inlineStr">
        <is>
          <t>https://www.linkedin.com/company/godeal-ai</t>
        </is>
      </c>
      <c r="AI1652" s="1" t="inlineStr">
        <is>
          <t>https://www.linkedin.com/company/godeal-ai</t>
        </is>
      </c>
      <c r="AJ1652" s="1" t="n"/>
    </row>
    <row r="1653" ht="12.5" customHeight="1">
      <c r="A1653" s="6" t="n">
        <v>45906</v>
      </c>
      <c r="B1653" s="1" t="inlineStr">
        <is>
          <t>ORG_2690</t>
        </is>
      </c>
      <c r="C1653" s="1" t="b">
        <v>1</v>
      </c>
      <c r="D1653" s="1" t="inlineStr">
        <is>
          <t>Exeko</t>
        </is>
      </c>
      <c r="E1653" s="10" t="inlineStr">
        <is>
          <t>exeko.ai</t>
        </is>
      </c>
      <c r="F1653" t="inlineStr">
        <is>
          <t>exeko.ai</t>
        </is>
      </c>
      <c r="G1653" s="1" t="inlineStr">
        <is>
          <t>Exeko is revolutionising academic support with an AI-powered platform that connects teachers, agencies and students. It also includes a virtual AI tutor who supports each student on their journey to academic success.</t>
        </is>
      </c>
      <c r="H1653" s="1" t="inlineStr">
        <is>
          <t>EdTech France</t>
        </is>
      </c>
      <c r="I1653" s="1" t="inlineStr">
        <is>
          <t>French, English</t>
        </is>
      </c>
      <c r="J1653" s="1" t="inlineStr">
        <is>
          <t>Le Chesnay (Paris)</t>
        </is>
      </c>
      <c r="K1653" t="inlineStr">
        <is>
          <t>Paris</t>
        </is>
      </c>
      <c r="L1653" t="inlineStr">
        <is>
          <t>Paris, France</t>
        </is>
      </c>
      <c r="M1653" t="n">
        <v>48.8534951</v>
      </c>
      <c r="N1653" t="n">
        <v>2.3483915</v>
      </c>
      <c r="O1653" s="1" t="inlineStr">
        <is>
          <t>France</t>
        </is>
      </c>
      <c r="P1653" s="1" t="n"/>
      <c r="Q1653" s="1" t="inlineStr">
        <is>
          <t>Micro (1-9 FTE employees)</t>
        </is>
      </c>
      <c r="R1653" t="inlineStr">
        <is>
          <t>Micro</t>
        </is>
      </c>
      <c r="S1653" s="1" t="inlineStr">
        <is>
          <t>Business to Business, Business to Consumer, Business to Schools</t>
        </is>
      </c>
      <c r="T1653" s="1" t="inlineStr">
        <is>
          <t>Primary Education, Secondary Education, Higher Education, Lifelong learning/Adult education</t>
        </is>
      </c>
      <c r="U1653" s="1" t="inlineStr">
        <is>
          <t>Student interfacing, Teacher interfacing, System/Administrative</t>
        </is>
      </c>
      <c r="V1653" s="1" t="inlineStr">
        <is>
          <t>Platform</t>
        </is>
      </c>
      <c r="W1653" s="1" t="inlineStr">
        <is>
          <t>Platform connecting private tutors, tuition agencies and students.</t>
        </is>
      </c>
      <c r="X1653" s="10" t="inlineStr">
        <is>
          <t>IA agent</t>
        </is>
      </c>
      <c r="Y1653" t="inlineStr">
        <is>
          <t>A virtual AI tutor who supports each student with particular tutoring.</t>
        </is>
      </c>
      <c r="Z1653" s="1" t="inlineStr">
        <is>
          <t>https://drive.google.com/uc?export=view&amp;id=1xS1W0egYTDkosl0LN0CymOEMd3gwevaw</t>
        </is>
      </c>
      <c r="AA1653" s="1" t="inlineStr">
        <is>
          <t>Verified</t>
        </is>
      </c>
      <c r="AB1653" s="1" t="inlineStr">
        <is>
          <t>Collaborations between EdTech organisations, Public-private partnerships, Other, Industry-academia partnerships</t>
        </is>
      </c>
      <c r="AC1653" s="1" t="inlineStr">
        <is>
          <t>For-profit company</t>
        </is>
      </c>
      <c r="AD1653" s="10" t="b">
        <v>1</v>
      </c>
      <c r="AE1653" s="1" t="b">
        <v>1</v>
      </c>
      <c r="AF1653" s="1" t="inlineStr">
        <is>
          <t>Yes</t>
        </is>
      </c>
      <c r="AG1653" s="1" t="inlineStr">
        <is>
          <t>https://www.linkedin.com/company/exeko-ai</t>
        </is>
      </c>
      <c r="AH1653" s="1" t="inlineStr">
        <is>
          <t>https://www.linkedin.com/company/exeko-ai</t>
        </is>
      </c>
      <c r="AI1653" s="1" t="inlineStr">
        <is>
          <t>https://www.linkedin.com/company/exeko-ai</t>
        </is>
      </c>
      <c r="AJ1653" s="1" t="n"/>
    </row>
    <row r="1654" ht="12.5" customHeight="1">
      <c r="A1654" s="6" t="n">
        <v>45908</v>
      </c>
      <c r="B1654" s="1" t="inlineStr">
        <is>
          <t>ORG_2691</t>
        </is>
      </c>
      <c r="C1654" s="1" t="b">
        <v>1</v>
      </c>
      <c r="D1654" s="1" t="inlineStr">
        <is>
          <t>Fundatia UiPath Foundation</t>
        </is>
      </c>
      <c r="E1654" s="10" t="inlineStr">
        <is>
          <t>https://uipathfoundation.com/</t>
        </is>
      </c>
      <c r="F1654" t="inlineStr">
        <is>
          <t>uipathfoundation.com</t>
        </is>
      </c>
      <c r="G1654" s="1" t="inlineStr">
        <is>
          <t>UiPath Foundation is a non-profit (non-profit-making) organization that invests its resources into educational and social programs. We are changing the trajectory of children and youth  living in poverty in Romania through technology-enabled education and long-term, personalized support. With the guidance of inspiring role models, we are equipping each young person with the skills for the future and the confidence to succeed, both in school and beyond. Our innovative model implies a 360 system of support for children and young people, addressing multiple needs, and ensuring a continuum of educational support from secondary school all throughout highschool, and even beyond. By providing essential digital infrastructure such as tablets, laptops and reliable internet access, an online learning platform, we open doors to boundless learning possibilities. We equip children with essential programming and AI skills as a core part of their digital education through our AI Literacy curriculum.</t>
        </is>
      </c>
      <c r="H1654" s="1" t="inlineStr">
        <is>
          <t>I'm not part of any EdTech association</t>
        </is>
      </c>
      <c r="I1654" s="1" t="inlineStr">
        <is>
          <t>English, Romanian</t>
        </is>
      </c>
      <c r="J1654" s="1" t="inlineStr">
        <is>
          <t>Bucharest</t>
        </is>
      </c>
      <c r="K1654" t="inlineStr">
        <is>
          <t>Bucharest</t>
        </is>
      </c>
      <c r="L1654" t="inlineStr">
        <is>
          <t>Bucharest, Romania</t>
        </is>
      </c>
      <c r="M1654" t="n">
        <v>44.4361414</v>
      </c>
      <c r="N1654" t="n">
        <v>26.102684</v>
      </c>
      <c r="O1654" s="1" t="inlineStr">
        <is>
          <t>Romania</t>
        </is>
      </c>
      <c r="P1654" s="1" t="inlineStr">
        <is>
          <t>Albania, Andorra, Austria, Belarus, Belgium, Bosnia and Herzegovina, Croatia, Bulgaria, Czechia, Denmark, Estonia, Germany, France, Hungary, Iceland, Kosovo, Italy, Ireland, Latvia, Liechtenstein, Finland, Greece, Lithuania, Moldova, Malta, Luxembourg, Monaco, Montenegro, Netherlands, Poland, Norway, Portugal, Slovakia, Sweden, Ukraine, North Macedonia, Romania, Slovenia, Switzerland, United Kingdom, San Marino, Spain, Turkey</t>
        </is>
      </c>
      <c r="Q1654" s="1" t="inlineStr">
        <is>
          <t>Small (10-49 FTE employees)</t>
        </is>
      </c>
      <c r="R1654" t="inlineStr">
        <is>
          <t>Small</t>
        </is>
      </c>
      <c r="S1654" s="1" t="inlineStr">
        <is>
          <t>Business to Schools</t>
        </is>
      </c>
      <c r="T1654" s="1" t="inlineStr">
        <is>
          <t>Early childhood development (0-5 years), Secondary Education, Higher Education</t>
        </is>
      </c>
      <c r="U1654" s="1" t="inlineStr">
        <is>
          <t>Student interfacing, Teacher interfacing, System/Administrative</t>
        </is>
      </c>
      <c r="V1654" s="1" t="inlineStr">
        <is>
          <t>AI Literacy curriculum for high schoolers</t>
        </is>
      </c>
      <c r="W1654" s="1" t="inlineStr">
        <is>
          <t>AI Generation is an AI Literacy curriculum for high schoolers created by UiPath Foundation in partnership with the App Inventor Foundation an initiative of the Massachusetts Institute of Technology (MIT), and Global Science of Learning Education Network. 
The curriculum leverages the AI Competency F</t>
        </is>
      </c>
      <c r="X1654" s="10" t="inlineStr">
        <is>
          <t>Own Your Path eLearning Platform</t>
        </is>
      </c>
      <c r="Y1654" t="inlineStr">
        <is>
          <t>Own Your Path is UiPath Foundation’s digital learning ecosystem, designed to ensure equitable access to quality education for underserved students. It provides an engaging and structured online learning environment where students can access courses, assignments, and tailored resources aligned with t</t>
        </is>
      </c>
      <c r="Z1654" s="1" t="inlineStr">
        <is>
          <t>https://drive.google.com/uc?export=view&amp;id=1yIURW1NGa1yRiayEZEVVBa9kK-QwmDUx</t>
        </is>
      </c>
      <c r="AA1654" s="1" t="inlineStr">
        <is>
          <t>Verified</t>
        </is>
      </c>
      <c r="AB1654" s="1" t="inlineStr">
        <is>
          <t>Collaborations between EdTech organisations, Project consortium building</t>
        </is>
      </c>
      <c r="AC1654" s="1" t="inlineStr">
        <is>
          <t>Non-profit organisation</t>
        </is>
      </c>
      <c r="AD1654" s="10" t="b">
        <v>1</v>
      </c>
      <c r="AE1654" s="1" t="b">
        <v>1</v>
      </c>
      <c r="AF1654" s="1" t="inlineStr">
        <is>
          <t>Yes</t>
        </is>
      </c>
      <c r="AG1654" s="1" t="inlineStr">
        <is>
          <t>https://www.linkedin.com/company/uipathfoundation/posts/?feedView=all</t>
        </is>
      </c>
      <c r="AH1654" s="1" t="inlineStr">
        <is>
          <t>https://www.linkedin.com/company/uipathfoundation/posts/?feedView=all</t>
        </is>
      </c>
      <c r="AI1654" s="1" t="inlineStr">
        <is>
          <t>https://www.linkedin.com/company/uipathfoundation/posts/?feedView=all</t>
        </is>
      </c>
      <c r="AJ1654" s="1" t="n"/>
    </row>
    <row r="1655" ht="12.5" customHeight="1">
      <c r="A1655" s="6" t="n">
        <v>45909</v>
      </c>
      <c r="B1655" s="1" t="inlineStr">
        <is>
          <t>ORG_2180</t>
        </is>
      </c>
      <c r="C1655" s="1" t="b">
        <v>1</v>
      </c>
      <c r="D1655" s="1" t="inlineStr">
        <is>
          <t>Revas - Business Simulation Games</t>
        </is>
      </c>
      <c r="E1655" s="10" t="inlineStr">
        <is>
          <t>https://www.revas.online/</t>
        </is>
      </c>
      <c r="F1655" t="inlineStr">
        <is>
          <t>revas.online</t>
        </is>
      </c>
      <c r="G1655" s="1" t="inlineStr">
        <is>
          <t>Revas develops online Business Simulation Games for education and corporate training. Participants run virtual SMEs, make realistic business decisions, and compete in dynamic markets. Ideal for business, entrepreneurship, and soft-skills development. Used by 1000+ institutions worldwide, including universities, schools, and corporate clients. Revas empowers learners to think like CEOs and understand the mechanics of business.</t>
        </is>
      </c>
      <c r="H1655" s="1" t="inlineStr">
        <is>
          <t>EdTech Poland</t>
        </is>
      </c>
      <c r="I1655" s="1" t="inlineStr">
        <is>
          <t>English, Polish, Spanish, French, Ukrainian, Georgian</t>
        </is>
      </c>
      <c r="J1655" s="1" t="inlineStr">
        <is>
          <t>Rzeszów</t>
        </is>
      </c>
      <c r="K1655" t="inlineStr">
        <is>
          <t>Rzeszów</t>
        </is>
      </c>
      <c r="L1655" t="inlineStr">
        <is>
          <t>Rzeszów, Poland</t>
        </is>
      </c>
      <c r="M1655" t="n">
        <v>50.013319</v>
      </c>
      <c r="N1655" t="n">
        <v>22.0161677</v>
      </c>
      <c r="O1655" s="1" t="inlineStr">
        <is>
          <t>Poland</t>
        </is>
      </c>
      <c r="P1655" s="1" t="inlineStr">
        <is>
          <t>Austria, Belgium, Denmark, France, Hungary, Ireland, Lithuania, Poland, Spain, United Kingdom, Ukraine, Portugal, Romania</t>
        </is>
      </c>
      <c r="Q1655" s="1" t="inlineStr">
        <is>
          <t>Micro (1-9 FTE employees)</t>
        </is>
      </c>
      <c r="R1655" t="inlineStr">
        <is>
          <t>Micro</t>
        </is>
      </c>
      <c r="S1655" s="1" t="inlineStr">
        <is>
          <t>Business to Government, Business to Schools, Business to Business</t>
        </is>
      </c>
      <c r="T1655" s="1" t="inlineStr">
        <is>
          <t>Secondary Education, Vocational Education and Training (VET), Higher Education, Corporate Training, Lifelong learning/Adult education</t>
        </is>
      </c>
      <c r="U1655" s="1" t="inlineStr">
        <is>
          <t>Student interfacing, Teacher interfacing, System/Administrative</t>
        </is>
      </c>
      <c r="V1655" s="1" t="inlineStr">
        <is>
          <t>Business Management &amp; Business Planning Simulations</t>
        </is>
      </c>
      <c r="W1655" s="1" t="inlineStr">
        <is>
          <t>Students run virtual small businesses or plan a new venture in class and compete against one another for customers in a competitive market. 20 industries available from Travel agency through Boutique hotel to Factory.</t>
        </is>
      </c>
      <c r="X1655" s="10" t="inlineStr">
        <is>
          <t>Bugeto Personal Finance Simulation</t>
        </is>
      </c>
      <c r="Y1655" t="inlineStr">
        <is>
          <t>Students manage their personal finance and time making daily choices about the food, transport, education, leisure etc. They need to maximize their wealth making sure their health and satisfaction is on a stable level.</t>
        </is>
      </c>
      <c r="Z1655" s="1" t="inlineStr">
        <is>
          <t>https://drive.google.com/uc?export=view&amp;id=1CjSkXMNgfUvIo3ZtmAPIrtbMhy5lju2T</t>
        </is>
      </c>
      <c r="AA1655" s="1" t="inlineStr">
        <is>
          <t>Verified</t>
        </is>
      </c>
      <c r="AB1655" s="1" t="inlineStr">
        <is>
          <t>Collaborations between EdTech organisations, Other</t>
        </is>
      </c>
      <c r="AC1655" s="1" t="inlineStr">
        <is>
          <t>For-profit company</t>
        </is>
      </c>
      <c r="AD1655" s="10" t="b">
        <v>1</v>
      </c>
      <c r="AE1655" s="1" t="inlineStr">
        <is>
          <t>https://www.facebook.com/revaspl</t>
        </is>
      </c>
      <c r="AF1655" s="1" t="inlineStr">
        <is>
          <t>Yes</t>
        </is>
      </c>
      <c r="AG1655" s="1" t="inlineStr">
        <is>
          <t>https://www.linkedin.com/company/revas-business-simulation-gamesfac</t>
        </is>
      </c>
      <c r="AH1655" s="1" t="inlineStr">
        <is>
          <t>https://www.linkedin.com/company/revas-business-simulation-gamesfac</t>
        </is>
      </c>
      <c r="AI1655" s="1" t="inlineStr">
        <is>
          <t>https://www.linkedin.com/company/revas-business-simulation-gamesfac</t>
        </is>
      </c>
      <c r="AJ1655" s="10" t="inlineStr">
        <is>
          <t>https://www.facebook.com/revaspl</t>
        </is>
      </c>
    </row>
    <row r="1656" ht="12.5" customHeight="1">
      <c r="A1656" s="6" t="n">
        <v>45910</v>
      </c>
      <c r="B1656" s="1" t="inlineStr">
        <is>
          <t>ORG_2693</t>
        </is>
      </c>
      <c r="C1656" s="1" t="b">
        <v>1</v>
      </c>
      <c r="D1656" s="1" t="inlineStr">
        <is>
          <t>Dutch Edtech</t>
        </is>
      </c>
      <c r="E1656" s="10" t="inlineStr">
        <is>
          <t>https://dutchedtech.com/</t>
        </is>
      </c>
      <c r="F1656" t="inlineStr">
        <is>
          <t>dutchedtech.com</t>
        </is>
      </c>
      <c r="G1656" s="1" t="inlineStr">
        <is>
          <t>Dutch Edtech is on a mission to elevate education through technology, aiming to establish the Netherlands as the world leader in impactful Edtech innovation by 2030. Based at the Marineterrein in Amsterdam, we unite a growing network of over 150 member organizations, including startups, scaleups, and thought leaders. Together, we’re shaping the future of learning by driving collaboration, knowledge sharing, and entrepreneurial growth across the Edtech ecosystem.</t>
        </is>
      </c>
      <c r="H1656" s="1" t="inlineStr">
        <is>
          <t>Dutch EdTech</t>
        </is>
      </c>
      <c r="I1656" s="1" t="n"/>
      <c r="J1656" s="1" t="inlineStr">
        <is>
          <t>Amsterdam</t>
        </is>
      </c>
      <c r="K1656" t="inlineStr">
        <is>
          <t>Amsterdam</t>
        </is>
      </c>
      <c r="L1656" t="inlineStr">
        <is>
          <t>Amsterdam, The Netherlands</t>
        </is>
      </c>
      <c r="M1656" t="n">
        <v>52.3701984</v>
      </c>
      <c r="N1656" t="n">
        <v>4.892168</v>
      </c>
      <c r="O1656" s="1" t="inlineStr">
        <is>
          <t>The Netherlands</t>
        </is>
      </c>
      <c r="P1656" s="1" t="n"/>
      <c r="Q1656" s="1" t="inlineStr">
        <is>
          <t>Micro (1-9 FTE employees)</t>
        </is>
      </c>
      <c r="R1656" t="inlineStr">
        <is>
          <t>Micro</t>
        </is>
      </c>
      <c r="S1656" s="1" t="inlineStr">
        <is>
          <t>Business to Business</t>
        </is>
      </c>
      <c r="T1656" s="1" t="inlineStr">
        <is>
          <t>Primary Education, Secondary Education, Higher Education, Lifelong learning/Adult education, Vocational Education and Training (VET), Early childhood development (0-5 years), Corporate Training</t>
        </is>
      </c>
      <c r="U1656" s="1" t="inlineStr">
        <is>
          <t>Other</t>
        </is>
      </c>
      <c r="V1656" s="1" t="inlineStr">
        <is>
          <t>Dutch Edtech Ecosystem Package</t>
        </is>
      </c>
      <c r="W1656" s="1" t="inlineStr">
        <is>
          <t>Access to events with discount or free. Access to more investors and VCs. Your logo featured on Dutch Edtech’s website, LinkedIn, and conference brochures. Visibility in annual ecosystem reports.
Chance to get featured in newsletters and promotional materials + many more!</t>
        </is>
      </c>
      <c r="X1656" s="10" t="inlineStr">
        <is>
          <t>https://drive.google.com/uc?export=view&amp;id=1rNeXmXLJRbfM1B_wu40EDoQLVmnYpKsO</t>
        </is>
      </c>
      <c r="Y1656" t="inlineStr">
        <is>
          <t>https://drive.google.com/uc?export=view&amp;id=1rNeXmXLJRbfM1B_wu40EDoQLVmnYpKsO</t>
        </is>
      </c>
      <c r="Z1656" s="1" t="inlineStr">
        <is>
          <t>https://drive.google.com/uc?export=view&amp;id=1rNeXmXLJRbfM1B_wu40EDoQLVmnYpKsO</t>
        </is>
      </c>
      <c r="AA1656" s="1" t="inlineStr">
        <is>
          <t>Verified</t>
        </is>
      </c>
      <c r="AB1656" s="1" t="inlineStr">
        <is>
          <t>Collaborations between EdTech organisations, Public-private partnerships, Industry-academia partnerships</t>
        </is>
      </c>
      <c r="AC1656" s="1" t="inlineStr">
        <is>
          <t>Non-profit organisation</t>
        </is>
      </c>
      <c r="AD1656" s="10" t="b">
        <v>1</v>
      </c>
      <c r="AE1656" s="1" t="n"/>
      <c r="AF1656" s="1" t="inlineStr">
        <is>
          <t>Yes</t>
        </is>
      </c>
      <c r="AG1656" s="1" t="inlineStr">
        <is>
          <t>https://www.linkedin.com/company/dutchedtech/</t>
        </is>
      </c>
      <c r="AH1656" s="1" t="inlineStr">
        <is>
          <t>https://www.linkedin.com/company/dutchedtech/</t>
        </is>
      </c>
      <c r="AI1656" s="1" t="inlineStr">
        <is>
          <t>https://www.linkedin.com/company/dutchedtech/</t>
        </is>
      </c>
      <c r="AJ1656" s="1" t="n"/>
    </row>
    <row r="1657" ht="12.5" customHeight="1">
      <c r="A1657" s="6" t="n">
        <v>45910</v>
      </c>
      <c r="B1657" s="1" t="inlineStr">
        <is>
          <t>ORG_1661</t>
        </is>
      </c>
      <c r="C1657" s="1" t="b">
        <v>1</v>
      </c>
      <c r="D1657" s="1" t="inlineStr">
        <is>
          <t>Haldor</t>
        </is>
      </c>
      <c r="E1657" s="10" t="inlineStr">
        <is>
          <t>https://haldoredu.com/</t>
        </is>
      </c>
      <c r="F1657" t="inlineStr">
        <is>
          <t>haldoredu.com</t>
        </is>
      </c>
      <c r="G1657" s="1" t="inlineStr">
        <is>
          <t>Boost learning - with Haldor’s educational tools inside Microsoft Teams.</t>
        </is>
      </c>
      <c r="H1657" s="1" t="inlineStr">
        <is>
          <t>Swedish EdTech Industry</t>
        </is>
      </c>
      <c r="I1657" s="1" t="inlineStr">
        <is>
          <t>English, Danish, Swedish, Norweigan</t>
        </is>
      </c>
      <c r="J1657" s="1" t="inlineStr">
        <is>
          <t>Sundsvall</t>
        </is>
      </c>
      <c r="K1657" t="inlineStr">
        <is>
          <t>Sundsvall</t>
        </is>
      </c>
      <c r="L1657" t="inlineStr">
        <is>
          <t>Sundsvall, Sweden</t>
        </is>
      </c>
      <c r="M1657" t="n">
        <v>62.3907552</v>
      </c>
      <c r="N1657" t="n">
        <v>17.3071024</v>
      </c>
      <c r="O1657" s="1" t="inlineStr">
        <is>
          <t>Sweden</t>
        </is>
      </c>
      <c r="P1657" s="1" t="inlineStr">
        <is>
          <t>Albania, Andorra, Austria, Bosnia and Herzegovina, Belarus, Belgium, Bulgaria, Croatia, Republic of Cyprus, Estonia, Denmark, Czechia, Finland, France, Germany, Greece, Ireland, Latvia, Luxembourg, Malta, Liechtenstein, Hungary, Italy, Iceland, Kosovo, Lithuania, Moldova, Netherlands, Montenegro, Monaco, North Macedonia, Portugal, Slovakia, Sweden, Ukraine, United Kingdom, Switzerland, Slovenia, Romania, Norway, Poland, San Marino, Spain, Turkey, World-wide</t>
        </is>
      </c>
      <c r="Q1657" s="1" t="inlineStr">
        <is>
          <t>Small (10-49 FTE employees)</t>
        </is>
      </c>
      <c r="R1657" t="inlineStr">
        <is>
          <t>Small</t>
        </is>
      </c>
      <c r="S1657" s="1" t="inlineStr">
        <is>
          <t>Business to Business, Business to Schools</t>
        </is>
      </c>
      <c r="T1657" s="1" t="inlineStr">
        <is>
          <t>Primary Education, Early childhood development (0-5 years), Secondary Education, Vocational Education and Training (VET), Higher Education, Special Education, Lifelong learning/Adult education, Other</t>
        </is>
      </c>
      <c r="U1657" s="1" t="inlineStr">
        <is>
          <t>Student interfacing, Teacher interfacing, System/Administrative</t>
        </is>
      </c>
      <c r="V1657" s="10" t="inlineStr">
        <is>
          <t>Haldor Homework</t>
        </is>
      </c>
      <c r="W1657" s="10" t="inlineStr">
        <is>
          <t>Haldor Homework gives parents access to their child’s Microsoft Teams Assignments, directly from their phone, tablet or computer. Parents can easily keep track of when Teams assignments are set and due, assignment status and any feedback given from teachers.</t>
        </is>
      </c>
      <c r="X1657" s="10" t="inlineStr">
        <is>
          <t>Haldor Parent-School Communication in Microsoft Teams</t>
        </is>
      </c>
      <c r="Y1657" t="inlineStr">
        <is>
          <t>Keep parents informed and involved. Teachers can chat, schedule Teams meetings, send announcements, and share assignments, grades and feedback—all directly to parents, from within Microsoft Teams.</t>
        </is>
      </c>
      <c r="Z1657" s="1" t="inlineStr">
        <is>
          <t>https://drive.google.com/uc?export=view&amp;id=1llqrht6eDgXQlStVT1Kui7MPeT0Q52Fd</t>
        </is>
      </c>
      <c r="AA1657" s="1" t="inlineStr">
        <is>
          <t>Verified</t>
        </is>
      </c>
      <c r="AB1657" s="1" t="inlineStr">
        <is>
          <t>Collaborations between EdTech organisations, Industry-academia partnerships</t>
        </is>
      </c>
      <c r="AC1657" s="1" t="inlineStr">
        <is>
          <t>For-profit company</t>
        </is>
      </c>
      <c r="AD1657" s="10" t="b">
        <v>1</v>
      </c>
      <c r="AE1657" s="1" t="b">
        <v>1</v>
      </c>
      <c r="AF1657" s="1" t="inlineStr">
        <is>
          <t>Yes</t>
        </is>
      </c>
      <c r="AG1657" s="1" t="inlineStr">
        <is>
          <t>https://www.instagram.com/haldoredu/</t>
        </is>
      </c>
      <c r="AH1657" s="1" t="inlineStr">
        <is>
          <t>https://x.com/HaldorEdu</t>
        </is>
      </c>
      <c r="AI1657" s="1" t="inlineStr">
        <is>
          <t>https://www.linkedin.com/company/17880084/</t>
        </is>
      </c>
      <c r="AJ1657" s="10" t="inlineStr">
        <is>
          <t>https://www.facebook.com/HaldorEducation/</t>
        </is>
      </c>
    </row>
    <row r="1658" ht="12.5" customHeight="1">
      <c r="A1658" s="6" t="n">
        <v>45911</v>
      </c>
      <c r="B1658" s="1" t="inlineStr">
        <is>
          <t>ORG_2694</t>
        </is>
      </c>
      <c r="C1658" s="1" t="b">
        <v>1</v>
      </c>
      <c r="D1658" s="1" t="inlineStr">
        <is>
          <t>Mysoly E-Learn BV</t>
        </is>
      </c>
      <c r="E1658" s="10" t="inlineStr">
        <is>
          <t>https://mysoly.nl/learning/</t>
        </is>
      </c>
      <c r="F1658" t="inlineStr">
        <is>
          <t>mysoly.nl/learning</t>
        </is>
      </c>
      <c r="G1658" s="1" t="inlineStr">
        <is>
          <t>We are building multilingual AI-based SaaS learning solutions to let education accessible for all.</t>
        </is>
      </c>
      <c r="H1658" s="1" t="inlineStr">
        <is>
          <t>Dutch EdTech</t>
        </is>
      </c>
      <c r="I1658" s="1" t="inlineStr">
        <is>
          <t>German, Dutch</t>
        </is>
      </c>
      <c r="J1658" s="1" t="inlineStr">
        <is>
          <t>Mierlo</t>
        </is>
      </c>
      <c r="K1658" t="inlineStr">
        <is>
          <t>Mierlo</t>
        </is>
      </c>
      <c r="L1658" t="inlineStr">
        <is>
          <t>Mierlo, The Netherlands</t>
        </is>
      </c>
      <c r="M1658" t="n">
        <v>51.4749905</v>
      </c>
      <c r="N1658" t="n">
        <v>5.6364803</v>
      </c>
      <c r="O1658" s="1" t="inlineStr">
        <is>
          <t>The Netherlands</t>
        </is>
      </c>
      <c r="P1658" s="1" t="inlineStr">
        <is>
          <t>Albania, Andorra, Austria, Bosnia and Herzegovina, Belgium, Belarus, Bulgaria, Croatia, Republic of Cyprus, Estonia, Denmark, Czechia, Finland, France, Germany, Iceland, Hungary, Greece, Ireland, Italy, Kosovo, Lithuania, Liechtenstein, Latvia, Luxembourg, Malta, Moldova, Netherlands, Montenegro, Monaco, North Macedonia, Norway, Romania, Portugal, San Marino, Poland, Spain, Slovenia, Slovakia, Sweden, Switzerland, Turkey, United Kingdom, Ukraine</t>
        </is>
      </c>
      <c r="Q1658" s="1" t="inlineStr">
        <is>
          <t>Small (10-49 FTE employees)</t>
        </is>
      </c>
      <c r="R1658" t="inlineStr">
        <is>
          <t>Small</t>
        </is>
      </c>
      <c r="S1658" s="1" t="inlineStr">
        <is>
          <t>Business to Business, Business to Government, Business to Consumer, Business to Schools</t>
        </is>
      </c>
      <c r="T1658" s="1" t="inlineStr">
        <is>
          <t>Corporate Training, Lifelong learning/Adult education</t>
        </is>
      </c>
      <c r="U1658" s="1" t="inlineStr">
        <is>
          <t>Student interfacing, Teacher interfacing, System/Administrative</t>
        </is>
      </c>
      <c r="V1658" s="10" t="inlineStr">
        <is>
          <t>nt2campus.nl</t>
        </is>
      </c>
      <c r="W1658" s="1" t="inlineStr">
        <is>
          <t>NT2 Campus is an AI-based Dutch language practice platform to prepare students for Dutch Language Exams in a multilingual way. The students can practice in different skills and get instant feedback. https://www.nt2campus.de/</t>
        </is>
      </c>
      <c r="X1658" s="10" t="inlineStr">
        <is>
          <t>testgerman.de</t>
        </is>
      </c>
      <c r="Y1658" t="inlineStr">
        <is>
          <t>Test German is an AI-based Dutch language practice platform to prepare students for German language exams in a multilingual way. The students can practice in different skills and get instant feedback. https://www.testgerman.de/</t>
        </is>
      </c>
      <c r="Z1658" s="10" t="inlineStr">
        <is>
          <t>https://drive.google.com/uc?export=view&amp;id=1AqQiAOb1-xQdvWNhiTk2zDSzKC4LZxGT</t>
        </is>
      </c>
      <c r="AA1658" s="1" t="inlineStr">
        <is>
          <t>Verified</t>
        </is>
      </c>
      <c r="AB1658" s="10" t="inlineStr">
        <is>
          <t>Project consortium building, Public-private partnerships, Collaborations between EdTech organisations</t>
        </is>
      </c>
      <c r="AC1658" s="1" t="inlineStr">
        <is>
          <t>For-profit company</t>
        </is>
      </c>
      <c r="AD1658" s="10" t="b">
        <v>1</v>
      </c>
      <c r="AE1658" s="1" t="b">
        <v>1</v>
      </c>
      <c r="AF1658" s="1" t="inlineStr">
        <is>
          <t>Yes</t>
        </is>
      </c>
      <c r="AG1658" s="1" t="inlineStr">
        <is>
          <t>https://www.instagram.com/mysoly_nl/?hl=en</t>
        </is>
      </c>
      <c r="AH1658" s="1" t="inlineStr">
        <is>
          <t>https://www.linkedin.com/company/82955558/</t>
        </is>
      </c>
      <c r="AI1658" s="1" t="inlineStr">
        <is>
          <t>https://www.linkedin.com/company/82955558/</t>
        </is>
      </c>
      <c r="AJ1658" s="10" t="inlineStr">
        <is>
          <t>https://www.facebook.com/mysoly.nl/</t>
        </is>
      </c>
    </row>
    <row r="1659" ht="12.5" customHeight="1">
      <c r="A1659" s="6" t="n">
        <v>45913</v>
      </c>
      <c r="B1659" s="1" t="inlineStr">
        <is>
          <t>ORG_2695</t>
        </is>
      </c>
      <c r="C1659" s="1" t="b">
        <v>1</v>
      </c>
      <c r="D1659" s="1" t="inlineStr">
        <is>
          <t>enablr</t>
        </is>
      </c>
      <c r="E1659" s="10" t="inlineStr">
        <is>
          <t>enablr-ai.com</t>
        </is>
      </c>
      <c r="F1659" t="inlineStr">
        <is>
          <t>enablr-ai.com</t>
        </is>
      </c>
      <c r="G1659" s="1" t="inlineStr">
        <is>
          <t>AI Adoption Platform for SMEs</t>
        </is>
      </c>
      <c r="H1659" s="1" t="inlineStr">
        <is>
          <t>I'm not part of any EdTech association</t>
        </is>
      </c>
      <c r="I1659" s="1" t="inlineStr">
        <is>
          <t>English, Spanish, German</t>
        </is>
      </c>
      <c r="J1659" s="1" t="inlineStr">
        <is>
          <t>Vienna</t>
        </is>
      </c>
      <c r="K1659" t="inlineStr">
        <is>
          <t>Vienna</t>
        </is>
      </c>
      <c r="L1659" t="inlineStr">
        <is>
          <t>Vienna, Austria</t>
        </is>
      </c>
      <c r="M1659" t="n">
        <v>48.2083537</v>
      </c>
      <c r="N1659" t="n">
        <v>16.3725042</v>
      </c>
      <c r="O1659" s="1" t="inlineStr">
        <is>
          <t>Austria</t>
        </is>
      </c>
      <c r="P1659" s="1" t="inlineStr">
        <is>
          <t>Austria, Germany, Netherlands, Spain, Switzerland</t>
        </is>
      </c>
      <c r="Q1659" s="1" t="inlineStr">
        <is>
          <t>Micro (1-9 FTE employees)</t>
        </is>
      </c>
      <c r="R1659" t="inlineStr">
        <is>
          <t>Micro</t>
        </is>
      </c>
      <c r="S1659" s="1" t="inlineStr">
        <is>
          <t>Business to Business</t>
        </is>
      </c>
      <c r="T1659" s="1" t="inlineStr">
        <is>
          <t>Corporate Training</t>
        </is>
      </c>
      <c r="U1659" s="1" t="inlineStr">
        <is>
          <t>System/Administrative</t>
        </is>
      </c>
      <c r="V1659" s="1" t="inlineStr">
        <is>
          <t>enablr AI</t>
        </is>
      </c>
      <c r="W1659" s="1" t="inlineStr">
        <is>
          <t>Use Case Based AI Learning personalized to role and industry</t>
        </is>
      </c>
      <c r="X1659" s="10" t="inlineStr">
        <is>
          <t>Prompt Enhancement ChatGPT Integration</t>
        </is>
      </c>
      <c r="Y1659" t="inlineStr">
        <is>
          <t>Chrome Integration to improve your prompts in ChatGPT while giving you learning nudges and minimize sensitive data leaks.</t>
        </is>
      </c>
      <c r="Z1659" s="1" t="inlineStr">
        <is>
          <t>https://drive.google.com/uc?export=view&amp;id=1st1LLgi8wCygQbFdxIhSKrewOTohE2V5</t>
        </is>
      </c>
      <c r="AA1659" s="1" t="inlineStr">
        <is>
          <t>Verified</t>
        </is>
      </c>
      <c r="AB1659" s="1" t="inlineStr">
        <is>
          <t>Public-private partnerships, Collaborations between EdTech organisations</t>
        </is>
      </c>
      <c r="AC1659" s="1" t="inlineStr">
        <is>
          <t>For-profit company</t>
        </is>
      </c>
      <c r="AD1659" s="10" t="b">
        <v>0</v>
      </c>
      <c r="AE1659" s="1" t="b">
        <v>1</v>
      </c>
      <c r="AF1659" s="1" t="inlineStr">
        <is>
          <t>Yes</t>
        </is>
      </c>
      <c r="AG1659" s="1" t="inlineStr">
        <is>
          <t>https://www.linkedin.com/company/enablrai/</t>
        </is>
      </c>
      <c r="AH1659" s="1" t="inlineStr">
        <is>
          <t>https://www.linkedin.com/company/enablrai/</t>
        </is>
      </c>
      <c r="AI1659" s="1" t="inlineStr">
        <is>
          <t>https://www.linkedin.com/company/enablrai/</t>
        </is>
      </c>
      <c r="AJ1659" s="1" t="n"/>
    </row>
    <row r="1660" ht="12.5" customHeight="1">
      <c r="A1660" s="6" t="n">
        <v>45914</v>
      </c>
      <c r="B1660" s="1" t="inlineStr">
        <is>
          <t>ORG_2696</t>
        </is>
      </c>
      <c r="C1660" s="1" t="b">
        <v>1</v>
      </c>
      <c r="D1660" s="1" t="inlineStr">
        <is>
          <t>Lalilo</t>
        </is>
      </c>
      <c r="E1660" s="10" t="inlineStr">
        <is>
          <t>www.lalilo.com</t>
        </is>
      </c>
      <c r="F1660" t="inlineStr">
        <is>
          <t>lalilo.com</t>
        </is>
      </c>
      <c r="G1660" s="1" t="inlineStr">
        <is>
          <t>K5 Literacy practice</t>
        </is>
      </c>
      <c r="H1660" s="1" t="inlineStr">
        <is>
          <t>EdTech France</t>
        </is>
      </c>
      <c r="I1660" s="1" t="inlineStr">
        <is>
          <t>English, French</t>
        </is>
      </c>
      <c r="J1660" s="1" t="inlineStr">
        <is>
          <t>Paris</t>
        </is>
      </c>
      <c r="K1660" t="inlineStr">
        <is>
          <t>Paris</t>
        </is>
      </c>
      <c r="L1660" t="inlineStr">
        <is>
          <t>Paris, France</t>
        </is>
      </c>
      <c r="M1660" t="n">
        <v>48.8534951</v>
      </c>
      <c r="N1660" t="n">
        <v>2.3483915</v>
      </c>
      <c r="O1660" s="1" t="inlineStr">
        <is>
          <t>France</t>
        </is>
      </c>
      <c r="P1660" s="1" t="inlineStr">
        <is>
          <t>Albania, Andorra, Belarus, Austria, Belgium, Bosnia and Herzegovina, Bulgaria, Croatia, Republic of Cyprus, Czechia, Denmark, Estonia, Finland, France, Germany, Greece, Hungary, Iceland, Ireland, Italy, Kosovo, Latvia, Liechtenstein, Lithuania, Luxembourg, Malta, Moldova, Monaco, Montenegro, Netherlands, North Macedonia, Norway, Poland, Portugal, Romania, San Marino, Slovakia, Slovenia, Spain, Sweden, Switzerland, Turkey, Ukraine, United Kingdom</t>
        </is>
      </c>
      <c r="Q1660" s="1" t="inlineStr">
        <is>
          <t>Small (10-49 FTE employees)</t>
        </is>
      </c>
      <c r="R1660" t="inlineStr">
        <is>
          <t>Small</t>
        </is>
      </c>
      <c r="S1660" s="1" t="inlineStr">
        <is>
          <t>Business to Government, Business to Schools</t>
        </is>
      </c>
      <c r="T1660" s="1" t="inlineStr">
        <is>
          <t>Special Education, Primary Education</t>
        </is>
      </c>
      <c r="U1660" s="1" t="inlineStr">
        <is>
          <t>Student interfacing, Teacher interfacing</t>
        </is>
      </c>
      <c r="V1660" s="1" t="inlineStr">
        <is>
          <t>Lalilo</t>
        </is>
      </c>
      <c r="W1660" s="1" t="inlineStr">
        <is>
          <t>Research-based phonics and comprehension program
For in-school and distance learning</t>
        </is>
      </c>
      <c r="X1660" s="1" t="inlineStr">
        <is>
          <t>https://drive.google.com/uc?export=view&amp;id=1FO6cnJ2yNeLsw9OY0ouPnXQq2S4Q9EU7</t>
        </is>
      </c>
      <c r="Y1660" t="inlineStr">
        <is>
          <t>https://drive.google.com/uc?export=view&amp;id=1FO6cnJ2yNeLsw9OY0ouPnXQq2S4Q9EU7</t>
        </is>
      </c>
      <c r="Z1660" s="1" t="inlineStr">
        <is>
          <t>https://drive.google.com/uc?export=view&amp;id=1FO6cnJ2yNeLsw9OY0ouPnXQq2S4Q9EU7</t>
        </is>
      </c>
      <c r="AA1660" s="1" t="inlineStr">
        <is>
          <t>Verified</t>
        </is>
      </c>
      <c r="AB1660" s="1" t="n"/>
      <c r="AC1660" s="1" t="inlineStr">
        <is>
          <t>For-profit company</t>
        </is>
      </c>
      <c r="AD1660" s="10" t="b">
        <v>1</v>
      </c>
      <c r="AE1660" s="1" t="b">
        <v>1</v>
      </c>
      <c r="AF1660" s="1" t="inlineStr">
        <is>
          <t>No</t>
        </is>
      </c>
      <c r="AG1660" s="1" t="n"/>
      <c r="AH1660" s="1" t="n"/>
      <c r="AI1660" s="1" t="n"/>
      <c r="AJ1660" s="1" t="n"/>
    </row>
    <row r="1661" ht="12.5" customHeight="1">
      <c r="A1661" s="6" t="n">
        <v>45914</v>
      </c>
      <c r="B1661" s="1" t="inlineStr">
        <is>
          <t>ORG_2697</t>
        </is>
      </c>
      <c r="C1661" s="1" t="b">
        <v>1</v>
      </c>
      <c r="D1661" s="1" t="inlineStr">
        <is>
          <t>FormuLearn B.V.</t>
        </is>
      </c>
      <c r="E1661" s="10" t="inlineStr">
        <is>
          <t>https://formulearn.org/</t>
        </is>
      </c>
      <c r="F1661" t="inlineStr">
        <is>
          <t>formulearn.org</t>
        </is>
      </c>
      <c r="G1661" s="1" t="inlineStr">
        <is>
          <t>FormuLearn develops educational software that empowers STEM students and pupils to learn and understand (applied) math by allowing them to quickly and efficiently fill in the gaps in their understanding.</t>
        </is>
      </c>
      <c r="H1661" s="1" t="inlineStr">
        <is>
          <t>Dutch EdTech</t>
        </is>
      </c>
      <c r="I1661" s="1" t="inlineStr">
        <is>
          <t>English, Dutch</t>
        </is>
      </c>
      <c r="J1661" s="1" t="inlineStr">
        <is>
          <t>Groningen</t>
        </is>
      </c>
      <c r="K1661" t="inlineStr">
        <is>
          <t>Groningen</t>
        </is>
      </c>
      <c r="L1661" t="inlineStr">
        <is>
          <t>Groningen, The Netherlands</t>
        </is>
      </c>
      <c r="M1661" t="n">
        <v>53.1974568</v>
      </c>
      <c r="N1661" t="n">
        <v>6.5225217</v>
      </c>
      <c r="O1661" s="1" t="inlineStr">
        <is>
          <t>The Netherlands</t>
        </is>
      </c>
      <c r="P1661" s="1" t="inlineStr">
        <is>
          <t>Netherlands</t>
        </is>
      </c>
      <c r="Q1661" s="1" t="inlineStr">
        <is>
          <t>Micro (1-9 FTE employees)</t>
        </is>
      </c>
      <c r="R1661" t="inlineStr">
        <is>
          <t>Micro</t>
        </is>
      </c>
      <c r="S1661" s="1" t="inlineStr">
        <is>
          <t>Business to Business, Business to Schools, Business to Consumer</t>
        </is>
      </c>
      <c r="T1661" s="1" t="inlineStr">
        <is>
          <t>Higher Education, Secondary Education, Primary Education</t>
        </is>
      </c>
      <c r="U1661" s="1" t="inlineStr">
        <is>
          <t>Student interfacing, Teacher interfacing, Other</t>
        </is>
      </c>
      <c r="V1661" s="1" t="inlineStr">
        <is>
          <t>O.R.A.N.G.E.</t>
        </is>
      </c>
      <c r="W1661" s="1" t="inlineStr">
        <is>
          <t>FormuLearn's O.R.A.N.G.E. presents educational content in a new and hyperinteractive way. By modelling the concepts, symbols and formula's from specific subjects in a graph-like structure it allows to quickly navigate between related concepts, especially useful for prerequisite knowledge.</t>
        </is>
      </c>
      <c r="X1661" s="10" t="inlineStr">
        <is>
          <t>M.A.N.G.O.</t>
        </is>
      </c>
      <c r="Y1661" t="inlineStr">
        <is>
          <t>FormuLearn's M.A.N.G.O. is an automated system that transforms existing educational content (books/lecture notes/slides) into the graph-like structure defined by O.R.A.N.G.E. Powered by AI but with an 'always a human in the loop' approach.</t>
        </is>
      </c>
      <c r="Z1661" s="1" t="inlineStr">
        <is>
          <t>https://drive.google.com/uc?export=view&amp;id=1iJIIceIO_n57DrpRgRR96i4yhbWcfj4a</t>
        </is>
      </c>
      <c r="AA1661" s="1" t="inlineStr">
        <is>
          <t>Verified</t>
        </is>
      </c>
      <c r="AB1661" s="1" t="inlineStr">
        <is>
          <t>Collaborations between EdTech organisations, Project consortium building, Public-private partnerships, Industry-academia partnerships, Other</t>
        </is>
      </c>
      <c r="AC1661" s="1" t="inlineStr">
        <is>
          <t>For-profit company</t>
        </is>
      </c>
      <c r="AD1661" s="10" t="b">
        <v>1</v>
      </c>
      <c r="AE1661" s="1" t="b">
        <v>1</v>
      </c>
      <c r="AF1661" s="1" t="inlineStr">
        <is>
          <t>Yes</t>
        </is>
      </c>
      <c r="AG1661" s="1" t="inlineStr">
        <is>
          <t>https://www.linkedin.com/company/formulearn</t>
        </is>
      </c>
      <c r="AH1661" s="1" t="inlineStr">
        <is>
          <t>https://www.linkedin.com/company/formulearn</t>
        </is>
      </c>
      <c r="AI1661" s="1" t="inlineStr">
        <is>
          <t>https://www.linkedin.com/company/formulearn</t>
        </is>
      </c>
      <c r="AJ1661" s="1" t="n"/>
    </row>
    <row r="1662" ht="12.5" customHeight="1">
      <c r="A1662" s="6" t="n">
        <v>45915</v>
      </c>
      <c r="B1662" s="1" t="inlineStr">
        <is>
          <t>ORG_2698</t>
        </is>
      </c>
      <c r="C1662" s="1" t="b">
        <v>1</v>
      </c>
      <c r="D1662" s="1" t="inlineStr">
        <is>
          <t>Lessons Learnt</t>
        </is>
      </c>
      <c r="E1662" s="10" t="inlineStr">
        <is>
          <t>www.lessonslearnt.eu</t>
        </is>
      </c>
      <c r="F1662" t="inlineStr">
        <is>
          <t>lessonslearnt.eu</t>
        </is>
      </c>
      <c r="G1662" s="1" t="inlineStr">
        <is>
          <t>LessonsLearnt.eu is an innovative educational feedback platform designed to empower schools and educational facilities with actionable insights derived from real-life experiences and collaborative learning. This tool enables educators to systematically capture, share, and apply valuable lessons learned from teaching practices, projects, and initiatives, fostering a culture of continuous improvement and knowledge exchange. By integrating LessonsLearnt.eu into their operations, schools can enhance decision-making, optimize instructional methods, and address challenges proactively, making it an indispensable resource for driving educational excellence. Its user-friendly interface and collaborative nature make it a great asset for facilitating transparent communication among teachers, administrators, and stakeholders, ultimately enriching the learning experience and supporting institutional growth and innovation. This platform transforms everyday classroom experiences into a dynamic repository of knowledge that fuels smarter, evidence-based educational strategies.</t>
        </is>
      </c>
      <c r="H1662" s="1" t="inlineStr">
        <is>
          <t>I'm not part of any EdTech association</t>
        </is>
      </c>
      <c r="I1662" s="1" t="inlineStr">
        <is>
          <t>English, German, Portuguese, Czech, Finnish, Irish, Maltese, Slovak, Ukrainian, Catalan, Slovenian, Polish, Latvian, Greek, Danish, Bulgarian, Italian, French, Spanish, Dutch, Croatian, Estonian, Hungarian, Lithuanian, Romanian, Swedish, Basque</t>
        </is>
      </c>
      <c r="J1662" s="1" t="inlineStr">
        <is>
          <t>Kaunas</t>
        </is>
      </c>
      <c r="K1662" t="inlineStr">
        <is>
          <t>Kaunas</t>
        </is>
      </c>
      <c r="L1662" t="inlineStr">
        <is>
          <t>Kaunas, Lithuania</t>
        </is>
      </c>
      <c r="M1662" t="n">
        <v>54.8982139</v>
      </c>
      <c r="N1662" t="n">
        <v>23.9044817</v>
      </c>
      <c r="O1662" s="1" t="inlineStr">
        <is>
          <t>Lithuania</t>
        </is>
      </c>
      <c r="P1662" s="1" t="inlineStr">
        <is>
          <t>Albania, Bulgaria, Czechia, Finland, Greece, Hungary, France, Denmark, Croatia, Belgium, Andorra, Austria, Bosnia and Herzegovina, Republic of Cyprus, Estonia, Germany, Iceland, Kosovo, Lithuania, Italy, Liechtenstein, Ireland, Latvia, Luxembourg, Malta, Moldova, Netherlands, Montenegro, Monaco, North Macedonia, Norway, Poland, San Marino, Romania, Portugal, Slovakia, Slovenia, Spain, Turkey, Switzerland, Sweden, Ukraine, United Kingdom</t>
        </is>
      </c>
      <c r="Q1662" s="1" t="inlineStr">
        <is>
          <t>Solo entrepreneur</t>
        </is>
      </c>
      <c r="R1662" t="inlineStr">
        <is>
          <t>Solo entrepreneur</t>
        </is>
      </c>
      <c r="S1662" s="1" t="inlineStr">
        <is>
          <t>Business to Business, Business to Consumer</t>
        </is>
      </c>
      <c r="T1662" s="1" t="inlineStr">
        <is>
          <t>Primary Education, Secondary Education, Vocational Education and Training (VET), Higher Education, Lifelong learning/Adult education, Special Education</t>
        </is>
      </c>
      <c r="U1662" s="1" t="inlineStr">
        <is>
          <t>Student interfacing, Teacher interfacing, System/Administrative</t>
        </is>
      </c>
      <c r="V1662" s="1" t="inlineStr">
        <is>
          <t>https://www.linkedin.com/company/lessonslearnt-eu/</t>
        </is>
      </c>
      <c r="W1662" s="1" t="inlineStr">
        <is>
          <t>https://drive.google.com/uc?export=view&amp;id=1Ec-EBrHrC7Tiql8taqzYIbynL7uPKQkT</t>
        </is>
      </c>
      <c r="X1662" s="10" t="inlineStr">
        <is>
          <t>https://drive.google.com/uc?export=view&amp;id=1Ec-EBrHrC7Tiql8taqzYIbynL7uPKQkT</t>
        </is>
      </c>
      <c r="Y1662" t="inlineStr">
        <is>
          <t>https://drive.google.com/uc?export=view&amp;id=1Ec-EBrHrC7Tiql8taqzYIbynL7uPKQkT</t>
        </is>
      </c>
      <c r="Z1662" s="1" t="inlineStr">
        <is>
          <t>https://drive.google.com/uc?export=view&amp;id=1Ec-EBrHrC7Tiql8taqzYIbynL7uPKQkT</t>
        </is>
      </c>
      <c r="AA1662" s="1" t="inlineStr">
        <is>
          <t>Verified</t>
        </is>
      </c>
      <c r="AB1662" s="1" t="inlineStr">
        <is>
          <t>Collaborations between EdTech organisations, Public-private partnerships, Industry-academia partnerships</t>
        </is>
      </c>
      <c r="AC1662" s="1" t="inlineStr">
        <is>
          <t>For-profit company</t>
        </is>
      </c>
      <c r="AD1662" s="10" t="b">
        <v>1</v>
      </c>
      <c r="AE1662" s="1" t="b">
        <v>0</v>
      </c>
      <c r="AF1662" s="1" t="inlineStr">
        <is>
          <t>Yes</t>
        </is>
      </c>
      <c r="AG1662" s="1" t="inlineStr">
        <is>
          <t>https://www.linkedin.com/company/lessonslearnt-eu/</t>
        </is>
      </c>
      <c r="AH1662" s="1" t="inlineStr">
        <is>
          <t>https://www.linkedin.com/company/lessonslearnt-eu/</t>
        </is>
      </c>
      <c r="AI1662" s="1" t="inlineStr">
        <is>
          <t>https://www.linkedin.com/company/lessonslearnt-eu/</t>
        </is>
      </c>
      <c r="AJ1662" s="1" t="n"/>
    </row>
    <row r="1663" ht="12.5" customHeight="1">
      <c r="A1663" s="6" t="n">
        <v>45915</v>
      </c>
      <c r="B1663" s="1" t="inlineStr">
        <is>
          <t>ORG_2280</t>
        </is>
      </c>
      <c r="C1663" s="1" t="b">
        <v>1</v>
      </c>
      <c r="D1663" s="1" t="inlineStr">
        <is>
          <t>Smarthink</t>
        </is>
      </c>
      <c r="E1663" s="10" t="inlineStr">
        <is>
          <t>www.edulai.com</t>
        </is>
      </c>
      <c r="F1663" t="inlineStr">
        <is>
          <t>edulai.com</t>
        </is>
      </c>
      <c r="G1663" s="1" t="inlineStr">
        <is>
          <t>Smarthink aims is to empower humans skills in the ear of AI</t>
        </is>
      </c>
      <c r="H1663" s="1" t="inlineStr">
        <is>
          <t>I'm not part of any EdTech association</t>
        </is>
      </c>
      <c r="I1663" s="1" t="inlineStr">
        <is>
          <t>English, Italian</t>
        </is>
      </c>
      <c r="J1663" s="1" t="inlineStr">
        <is>
          <t>Busto Arsizio</t>
        </is>
      </c>
      <c r="K1663" t="inlineStr">
        <is>
          <t>Busto Arsizio</t>
        </is>
      </c>
      <c r="L1663" t="inlineStr">
        <is>
          <t>Busto Arsizio, Italy</t>
        </is>
      </c>
      <c r="M1663" t="n">
        <v>45.611932</v>
      </c>
      <c r="N1663" t="n">
        <v>8.851826900000001</v>
      </c>
      <c r="O1663" s="1" t="inlineStr">
        <is>
          <t>Italy</t>
        </is>
      </c>
      <c r="P1663" s="1" t="inlineStr">
        <is>
          <t>Italy</t>
        </is>
      </c>
      <c r="Q1663" s="1" t="inlineStr">
        <is>
          <t>Micro (1-9 FTE employees)</t>
        </is>
      </c>
      <c r="R1663" t="inlineStr">
        <is>
          <t>Micro</t>
        </is>
      </c>
      <c r="S1663" s="1" t="inlineStr">
        <is>
          <t>Business to Business</t>
        </is>
      </c>
      <c r="T1663" s="1" t="inlineStr">
        <is>
          <t>Corporate Training, Lifelong learning/Adult education, Higher Education</t>
        </is>
      </c>
      <c r="U1663" s="1" t="inlineStr">
        <is>
          <t>Student interfacing</t>
        </is>
      </c>
      <c r="V1663" s="1" t="inlineStr">
        <is>
          <t>Edulai Skills Checker</t>
        </is>
      </c>
      <c r="W1663" s="1" t="inlineStr">
        <is>
          <t>Automatic assessment of soft and soft digital skills</t>
        </is>
      </c>
      <c r="X1663" s="10" t="inlineStr">
        <is>
          <t>Edulai   Skills AI</t>
        </is>
      </c>
      <c r="Y1663" t="inlineStr">
        <is>
          <t>Agent supporting the skills development</t>
        </is>
      </c>
      <c r="Z1663" s="1" t="inlineStr">
        <is>
          <t>https://drive.google.com/uc?export=view&amp;id=1lcsxF1OaNHii4HBLSErw-rW_SfY1441c</t>
        </is>
      </c>
      <c r="AA1663" s="1" t="inlineStr">
        <is>
          <t>Verified</t>
        </is>
      </c>
      <c r="AB1663" s="1" t="inlineStr">
        <is>
          <t>Public-private partnerships, Project consortium building</t>
        </is>
      </c>
      <c r="AC1663" s="1" t="inlineStr">
        <is>
          <t>For-profit company</t>
        </is>
      </c>
      <c r="AD1663" s="10" t="b">
        <v>1</v>
      </c>
      <c r="AE1663" s="1" t="b">
        <v>1</v>
      </c>
      <c r="AF1663" s="1" t="inlineStr">
        <is>
          <t>Yes</t>
        </is>
      </c>
      <c r="AG1663" s="1" t="inlineStr">
        <is>
          <t>https://www.linkedin.com/company/edulai/?viewAsMember=true</t>
        </is>
      </c>
      <c r="AH1663" s="1" t="inlineStr">
        <is>
          <t>https://www.linkedin.com/company/edulai/?viewAsMember=true</t>
        </is>
      </c>
      <c r="AI1663" s="1" t="inlineStr">
        <is>
          <t>https://www.linkedin.com/company/edulai/?viewAsMember=true</t>
        </is>
      </c>
      <c r="AJ1663" s="10" t="inlineStr">
        <is>
          <t>https://www.facebook.com/edulaismarthink</t>
        </is>
      </c>
    </row>
    <row r="1664" ht="12.5" customHeight="1">
      <c r="A1664" s="6" t="n">
        <v>45917</v>
      </c>
      <c r="B1664" s="1" t="inlineStr">
        <is>
          <t>ORG_2699</t>
        </is>
      </c>
      <c r="C1664" s="1" t="b">
        <v>1</v>
      </c>
      <c r="D1664" s="1" t="inlineStr">
        <is>
          <t>Scolnet</t>
        </is>
      </c>
      <c r="E1664" s="10" t="inlineStr">
        <is>
          <t>https://www.scolnet.com</t>
        </is>
      </c>
      <c r="F1664" t="inlineStr">
        <is>
          <t>scolnet.com</t>
        </is>
      </c>
      <c r="G1664" s="1" t="inlineStr">
        <is>
          <t>Scolnet is a digital platform designed to help teachers manage their classrooms and communicate with families.</t>
        </is>
      </c>
      <c r="H1664" s="1" t="inlineStr">
        <is>
          <t>EdTech France</t>
        </is>
      </c>
      <c r="I1664" s="1" t="inlineStr">
        <is>
          <t>English, French</t>
        </is>
      </c>
      <c r="J1664" s="1" t="inlineStr">
        <is>
          <t>Paris</t>
        </is>
      </c>
      <c r="K1664" t="inlineStr">
        <is>
          <t>Paris</t>
        </is>
      </c>
      <c r="L1664" t="inlineStr">
        <is>
          <t>Paris, France</t>
        </is>
      </c>
      <c r="M1664" t="n">
        <v>48.8534951</v>
      </c>
      <c r="N1664" t="n">
        <v>2.3483915</v>
      </c>
      <c r="O1664" s="1" t="inlineStr">
        <is>
          <t>France</t>
        </is>
      </c>
      <c r="P1664" s="1" t="inlineStr">
        <is>
          <t>France, Belgium, Switzerland</t>
        </is>
      </c>
      <c r="Q1664" s="1" t="inlineStr">
        <is>
          <t>Micro (1-9 FTE employees)</t>
        </is>
      </c>
      <c r="R1664" t="inlineStr">
        <is>
          <t>Micro</t>
        </is>
      </c>
      <c r="S1664" s="1" t="inlineStr">
        <is>
          <t>Business to Schools, Business to Consumer</t>
        </is>
      </c>
      <c r="T1664" s="1" t="inlineStr">
        <is>
          <t>Primary Education, Early childhood development (0-5 years)</t>
        </is>
      </c>
      <c r="U1664" s="1" t="inlineStr">
        <is>
          <t>Teacher interfacing, Student interfacing</t>
        </is>
      </c>
      <c r="V1664" s="10" t="inlineStr">
        <is>
          <t>Teacher workspace</t>
        </is>
      </c>
      <c r="W1664" s="10" t="inlineStr">
        <is>
          <t>A complete workspace to save time when preparing lessons: lesson plans, schedules, preparation sheets, student tracking... all aligned with the official national curriculum.</t>
        </is>
      </c>
      <c r="X1664" s="10" t="inlineStr">
        <is>
          <t>Digital spaces for communication</t>
        </is>
      </c>
      <c r="Y1664" t="inlineStr">
        <is>
          <t>Enables educational teams in schools, after-school programs, and early childhood settings to easily share news, messages, photos, videos, events, documents, or forms through collaborative digital spaces (ENTs).</t>
        </is>
      </c>
      <c r="Z1664" s="1" t="inlineStr">
        <is>
          <t>https://drive.google.com/uc?export=view&amp;id=1svyXQGScFnYMsdC-dV_T-NlvJmZ-AX5l</t>
        </is>
      </c>
      <c r="AA1664" s="1" t="inlineStr">
        <is>
          <t>Verified</t>
        </is>
      </c>
      <c r="AB1664" s="1" t="inlineStr">
        <is>
          <t>Collaborations between EdTech organisations, Project consortium building, Public-private partnerships, Industry-academia partnerships</t>
        </is>
      </c>
      <c r="AC1664" s="1" t="inlineStr">
        <is>
          <t>For-profit company</t>
        </is>
      </c>
      <c r="AD1664" s="10" t="b">
        <v>1</v>
      </c>
      <c r="AE1664" s="1" t="b">
        <v>1</v>
      </c>
      <c r="AF1664" s="1" t="inlineStr">
        <is>
          <t>Yes</t>
        </is>
      </c>
      <c r="AG1664" s="1" t="inlineStr">
        <is>
          <t>https://www.instagram.com/scolnetapp/</t>
        </is>
      </c>
      <c r="AH1664" s="1" t="inlineStr">
        <is>
          <t>https://x.com/scolnetapp</t>
        </is>
      </c>
      <c r="AI1664" s="1" t="inlineStr">
        <is>
          <t>https://linkedin.com/company/scolnet</t>
        </is>
      </c>
      <c r="AJ1664" s="10" t="inlineStr">
        <is>
          <t>https://www.facebook.com/ScolnetApp</t>
        </is>
      </c>
    </row>
    <row r="1665" ht="12.5" customHeight="1">
      <c r="A1665" s="6" t="n">
        <v>45918</v>
      </c>
      <c r="B1665" s="1" t="inlineStr">
        <is>
          <t>ORG_2700</t>
        </is>
      </c>
      <c r="C1665" s="1" t="b">
        <v>1</v>
      </c>
      <c r="D1665" s="1" t="inlineStr">
        <is>
          <t>SKILLENS</t>
        </is>
      </c>
      <c r="E1665" s="10" t="inlineStr">
        <is>
          <t>https://skillbeam.fr/</t>
        </is>
      </c>
      <c r="F1665" t="inlineStr">
        <is>
          <t>skillbeam.fr</t>
        </is>
      </c>
      <c r="G1665" s="1" t="inlineStr">
        <is>
          <t>SkillBeam AI-edu is an artificial intelligence ecosystem designed for education and AI-augmented learning. Its ambition is to provide a comprehensive and pragmatic response to the transformations of schools and learning methods. As a digital mentor for students and learners, an ally for teachers and trainers, and a partner for administrations and leadership teams, SkillBeam integrates at the very heart of institutions.  Deployed per instance, in the cloud, on-premise, or in hybrid mode. This French solution combines pedagogical innovation, ease of use, and data security. Selected under the 2025 AMI program of DINUM, it fully complies with the AI usage framework set by the French Ministry of National Education and aligns with the orientations of the European trust framework. With a strong conviction, humans remain at the center, AI supports.</t>
        </is>
      </c>
      <c r="H1665" s="1" t="inlineStr">
        <is>
          <t>EdTech France</t>
        </is>
      </c>
      <c r="I1665" s="1" t="inlineStr">
        <is>
          <t>English, French</t>
        </is>
      </c>
      <c r="J1665" s="1" t="inlineStr">
        <is>
          <t>Paris</t>
        </is>
      </c>
      <c r="K1665" t="inlineStr">
        <is>
          <t>Paris</t>
        </is>
      </c>
      <c r="L1665" t="inlineStr">
        <is>
          <t>Paris, France</t>
        </is>
      </c>
      <c r="M1665" t="n">
        <v>48.8534951</v>
      </c>
      <c r="N1665" t="n">
        <v>2.3483915</v>
      </c>
      <c r="O1665" s="1" t="inlineStr">
        <is>
          <t>France</t>
        </is>
      </c>
      <c r="P1665" s="1" t="inlineStr">
        <is>
          <t>France, Belgium, Luxembourg, Monaco, Switzerland</t>
        </is>
      </c>
      <c r="Q1665" s="1" t="inlineStr">
        <is>
          <t>Small (10-49 FTE employees)</t>
        </is>
      </c>
      <c r="R1665" t="inlineStr">
        <is>
          <t>Small</t>
        </is>
      </c>
      <c r="S1665" s="1" t="inlineStr">
        <is>
          <t>Business to Business</t>
        </is>
      </c>
      <c r="T1665" s="1" t="inlineStr">
        <is>
          <t>Secondary Education, Special Education, Vocational Education and Training (VET), Lifelong learning/Adult education, Higher Education</t>
        </is>
      </c>
      <c r="U1665" s="1" t="inlineStr">
        <is>
          <t>Student interfacing, Teacher interfacing, System/Administrative</t>
        </is>
      </c>
      <c r="V1665" s="1" t="inlineStr">
        <is>
          <t>SkillBeam</t>
        </is>
      </c>
      <c r="W1665" s="1" t="inlineStr">
        <is>
          <t>SkillBeam AI-edu is an artificial intelligence ecosystem designed for education and AI-augmented learning.</t>
        </is>
      </c>
      <c r="X1665" s="10" t="inlineStr">
        <is>
          <t>https://drive.google.com/uc?export=view&amp;id=18SmANAyEvXEcsVuY7azfW0WXzGT5MwBY</t>
        </is>
      </c>
      <c r="Y1665" t="inlineStr">
        <is>
          <t>https://drive.google.com/uc?export=view&amp;id=18SmANAyEvXEcsVuY7azfW0WXzGT5MwBY</t>
        </is>
      </c>
      <c r="Z1665" s="1" t="inlineStr">
        <is>
          <t>https://drive.google.com/uc?export=view&amp;id=18SmANAyEvXEcsVuY7azfW0WXzGT5MwBY</t>
        </is>
      </c>
      <c r="AA1665" s="1" t="inlineStr">
        <is>
          <t>Verified</t>
        </is>
      </c>
      <c r="AB1665" s="1" t="inlineStr">
        <is>
          <t>Public-private partnerships, Industry-academia partnerships</t>
        </is>
      </c>
      <c r="AC1665" s="1" t="inlineStr">
        <is>
          <t>For-profit company</t>
        </is>
      </c>
      <c r="AD1665" s="10" t="b">
        <v>1</v>
      </c>
      <c r="AE1665" s="1" t="b">
        <v>1</v>
      </c>
      <c r="AF1665" s="1" t="inlineStr">
        <is>
          <t>Yes</t>
        </is>
      </c>
      <c r="AG1665" s="1" t="inlineStr">
        <is>
          <t>https://www.linkedin.com/company/skilbeam/</t>
        </is>
      </c>
      <c r="AH1665" s="1" t="inlineStr">
        <is>
          <t>https://www.linkedin.com/company/skilbeam/</t>
        </is>
      </c>
      <c r="AI1665" s="1" t="inlineStr">
        <is>
          <t>https://www.linkedin.com/company/skilbeam/</t>
        </is>
      </c>
      <c r="AJ1665" s="1" t="n"/>
    </row>
    <row r="1666" ht="12.5" customHeight="1">
      <c r="A1666" s="6" t="n">
        <v>45918</v>
      </c>
      <c r="B1666" s="1" t="inlineStr">
        <is>
          <t>ORG_2601</t>
        </is>
      </c>
      <c r="C1666" s="1" t="b">
        <v>1</v>
      </c>
      <c r="D1666" s="1" t="inlineStr">
        <is>
          <t>STEAM Minds</t>
        </is>
      </c>
      <c r="E1666" s="10" t="inlineStr">
        <is>
          <t>www.steamminds.org</t>
        </is>
      </c>
      <c r="F1666" t="inlineStr">
        <is>
          <t>steamminds.org</t>
        </is>
      </c>
      <c r="G1666" s="1" t="inlineStr">
        <is>
          <t>We are developing a 3D simulation based learning platform with VR integration, aimed at delivering immersive and interactive stem education experiences.</t>
        </is>
      </c>
      <c r="H1666" s="1" t="inlineStr">
        <is>
          <t>I'm not part of any EdTech association</t>
        </is>
      </c>
      <c r="I1666" s="1" t="inlineStr">
        <is>
          <t>English</t>
        </is>
      </c>
      <c r="J1666" s="1" t="inlineStr">
        <is>
          <t>Tallinn</t>
        </is>
      </c>
      <c r="K1666" t="inlineStr">
        <is>
          <t>Tallinn</t>
        </is>
      </c>
      <c r="L1666" t="inlineStr">
        <is>
          <t>Tallinn, Estonia</t>
        </is>
      </c>
      <c r="M1666" t="n">
        <v>59.437242</v>
      </c>
      <c r="N1666" t="n">
        <v>24.7572693</v>
      </c>
      <c r="O1666" s="1" t="inlineStr">
        <is>
          <t>Estonia</t>
        </is>
      </c>
      <c r="P1666" s="1" t="inlineStr">
        <is>
          <t>Estonia</t>
        </is>
      </c>
      <c r="Q1666" s="1" t="inlineStr">
        <is>
          <t>Small (10-49 FTE employees)</t>
        </is>
      </c>
      <c r="R1666" t="inlineStr">
        <is>
          <t>Small</t>
        </is>
      </c>
      <c r="S1666" s="1" t="inlineStr">
        <is>
          <t>Business to Consumer, Business to Government</t>
        </is>
      </c>
      <c r="T1666" s="1" t="inlineStr">
        <is>
          <t>Secondary Education</t>
        </is>
      </c>
      <c r="U1666" s="1" t="inlineStr">
        <is>
          <t>Student interfacing</t>
        </is>
      </c>
      <c r="V1666" s="1" t="inlineStr">
        <is>
          <t>LMS</t>
        </is>
      </c>
      <c r="W1666" s="1" t="inlineStr">
        <is>
          <t>The core R&amp;D efforts of the STEAM Minds platform focus on building a comprehensive, AI-powered 3D Learning Management System (LMS) integrated with VR-enabled science labs for K–12 education.</t>
        </is>
      </c>
      <c r="X1666" s="1" t="inlineStr">
        <is>
          <t>3D Labs</t>
        </is>
      </c>
      <c r="Y1666" t="inlineStr">
        <is>
          <t>The STEAM Minds is building 3d labs for immersive experience for K-12 students.</t>
        </is>
      </c>
      <c r="Z1666" s="1" t="inlineStr">
        <is>
          <t>https://drive.google.com/uc?export=view&amp;id=15T_daYE9ONj31IbgNxuiVd1RQAxdph7e</t>
        </is>
      </c>
      <c r="AA1666" s="1" t="inlineStr">
        <is>
          <t>Verified</t>
        </is>
      </c>
      <c r="AB1666" s="1" t="inlineStr">
        <is>
          <t>Collaborations between EdTech organisations, Public-private partnerships, Industry-academia partnerships, Project consortium building</t>
        </is>
      </c>
      <c r="AC1666" s="1" t="inlineStr">
        <is>
          <t>For-profit company</t>
        </is>
      </c>
      <c r="AD1666" s="10" t="b">
        <v>1</v>
      </c>
      <c r="AE1666" s="1" t="b">
        <v>1</v>
      </c>
      <c r="AF1666" s="1" t="inlineStr">
        <is>
          <t>No</t>
        </is>
      </c>
      <c r="AG1666" s="1" t="n"/>
      <c r="AH1666" s="1" t="n"/>
      <c r="AI1666" s="1" t="n"/>
      <c r="AJ1666" s="1" t="n"/>
    </row>
    <row r="1667" ht="12.5" customHeight="1">
      <c r="A1667" s="6" t="n">
        <v>45918</v>
      </c>
      <c r="B1667" s="1" t="inlineStr">
        <is>
          <t>ORG_2701</t>
        </is>
      </c>
      <c r="C1667" s="1" t="b">
        <v>1</v>
      </c>
      <c r="D1667" s="1" t="inlineStr">
        <is>
          <t>ELG E-Learning-Group GmbH</t>
        </is>
      </c>
      <c r="E1667" s="10" t="inlineStr">
        <is>
          <t>https://fernstudium.study/</t>
        </is>
      </c>
      <c r="F1667" t="inlineStr">
        <is>
          <t>fernstudium.study</t>
        </is>
      </c>
      <c r="G1667" s="1" t="inlineStr">
        <is>
          <t>ELG consists of multiple businesses focussed on specific areas in academia and professional education. With the German University and the Brand University our group includes a diversified network of private, state-recognised universities.  ELG provides a wide range of online learning courses, including short microlearning courses, Bachelor, Master and MBA study programs.</t>
        </is>
      </c>
      <c r="H1667" s="1" t="inlineStr">
        <is>
          <t>EdTech Austria</t>
        </is>
      </c>
      <c r="I1667" s="1" t="inlineStr">
        <is>
          <t>English, German</t>
        </is>
      </c>
      <c r="J1667" s="1" t="inlineStr">
        <is>
          <t>Vienna</t>
        </is>
      </c>
      <c r="K1667" t="inlineStr">
        <is>
          <t>Vienna</t>
        </is>
      </c>
      <c r="L1667" t="inlineStr">
        <is>
          <t>Vienna, Austria</t>
        </is>
      </c>
      <c r="M1667" t="n">
        <v>48.2083537</v>
      </c>
      <c r="N1667" t="n">
        <v>16.3725042</v>
      </c>
      <c r="O1667" s="1" t="inlineStr">
        <is>
          <t>Austria</t>
        </is>
      </c>
      <c r="P1667" s="1" t="inlineStr">
        <is>
          <t>Germany, Switzerland, Austria</t>
        </is>
      </c>
      <c r="Q1667" s="1" t="inlineStr">
        <is>
          <t>Medium (50-250 FTE employees)</t>
        </is>
      </c>
      <c r="R1667" t="inlineStr">
        <is>
          <t>Medium</t>
        </is>
      </c>
      <c r="S1667" s="1" t="inlineStr">
        <is>
          <t>Business to Consumer, Business to Business</t>
        </is>
      </c>
      <c r="T1667" s="1" t="inlineStr">
        <is>
          <t>Higher Education, Lifelong learning/Adult education, Corporate Training</t>
        </is>
      </c>
      <c r="U1667" s="1" t="inlineStr">
        <is>
          <t>Student interfacing, System/Administrative</t>
        </is>
      </c>
      <c r="V1667" s="10" t="inlineStr">
        <is>
          <t>MBA</t>
        </is>
      </c>
      <c r="W1667" s="1" t="inlineStr">
        <is>
          <t>We offer a variety of online MBA programs. All MBA programs can be studied fully remote. Economies of scale and scope allow us to keep tuition fees well below 10,000 euros.</t>
        </is>
      </c>
      <c r="X1667" s="10" t="inlineStr">
        <is>
          <t>Business Professional certificates</t>
        </is>
      </c>
      <c r="Y1667" t="inlineStr">
        <is>
          <t>We offer a variety of short business certificates for working professionals. Topics include AI, project management, leadership and human resource management.</t>
        </is>
      </c>
      <c r="Z1667" s="1" t="inlineStr">
        <is>
          <t>https://drive.google.com/uc?export=view&amp;id=11TQRxIXZm-w1pj9UFkXenR12AIX_HPZH</t>
        </is>
      </c>
      <c r="AA1667" s="1" t="inlineStr">
        <is>
          <t>Verified</t>
        </is>
      </c>
      <c r="AB1667" s="1" t="inlineStr">
        <is>
          <t>Collaborations between EdTech organisations, Public-private partnerships, Industry-academia partnerships, Project consortium building</t>
        </is>
      </c>
      <c r="AC1667" s="1" t="inlineStr">
        <is>
          <t>For-profit company</t>
        </is>
      </c>
      <c r="AD1667" s="10" t="b">
        <v>1</v>
      </c>
      <c r="AE1667" s="1" t="b">
        <v>1</v>
      </c>
      <c r="AF1667" s="1" t="inlineStr">
        <is>
          <t>Yes</t>
        </is>
      </c>
      <c r="AG1667" s="1" t="inlineStr">
        <is>
          <t>https://www.instagram.com/e_learning_group/</t>
        </is>
      </c>
      <c r="AH1667" s="1" t="inlineStr">
        <is>
          <t>https://www.linkedin.com/school/elc-e-learning-consulting-gmbh/</t>
        </is>
      </c>
      <c r="AI1667" s="1" t="inlineStr">
        <is>
          <t>https://www.linkedin.com/school/elc-e-learning-consulting-gmbh/</t>
        </is>
      </c>
      <c r="AJ1667" s="1" t="n"/>
    </row>
    <row r="1668" ht="12.5" customHeight="1">
      <c r="A1668" s="6" t="n">
        <v>45922</v>
      </c>
      <c r="B1668" s="1" t="inlineStr">
        <is>
          <t>ORG_2702</t>
        </is>
      </c>
      <c r="C1668" s="1" t="b">
        <v>1</v>
      </c>
      <c r="D1668" s="1" t="inlineStr">
        <is>
          <t>Social Shuffle</t>
        </is>
      </c>
      <c r="E1668" s="10" t="inlineStr">
        <is>
          <t>socialshuffle.com</t>
        </is>
      </c>
      <c r="F1668" t="inlineStr">
        <is>
          <t>socialshuffle.com</t>
        </is>
      </c>
      <c r="G1668" s="1" t="inlineStr">
        <is>
          <t>Creating safe and inclusive classrooms through data-driven social dynamics. Social Shuffle develops Stoeltjesdans, a scientifically-validated web platform that helps teachers monitor and improve classroom social safety. The tool enables students to confidentially share how they feel in class through a 5-10 minute survey, while teachers receive comprehensive reports on social dynamics, bullying risks, and optimal seating arrangements. Used by 25% of schools in the Netherlands and Flanders, the platform reduces teacher workload by 8x and improves accuracy in identifying social issues by 33%. As a certified social enterprise and Radboud University spin-off, Social Shuffle serves 150,000+ students annually while meeting official education inspection requirements for social safety monitoring.</t>
        </is>
      </c>
      <c r="H1668" s="1" t="inlineStr">
        <is>
          <t>I'm not part of any EdTech association</t>
        </is>
      </c>
      <c r="I1668" s="1" t="inlineStr">
        <is>
          <t>Dutch</t>
        </is>
      </c>
      <c r="J1668" s="1" t="inlineStr">
        <is>
          <t>Nijmegen</t>
        </is>
      </c>
      <c r="K1668" t="inlineStr">
        <is>
          <t>Nijmegen</t>
        </is>
      </c>
      <c r="L1668" t="inlineStr">
        <is>
          <t>Nijmegen, The Netherlands</t>
        </is>
      </c>
      <c r="M1668" t="n">
        <v>51.8460684</v>
      </c>
      <c r="N1668" t="n">
        <v>5.8706981</v>
      </c>
      <c r="O1668" s="1" t="inlineStr">
        <is>
          <t>The Netherlands</t>
        </is>
      </c>
      <c r="P1668" s="1" t="inlineStr">
        <is>
          <t>Belgium, Netherlands</t>
        </is>
      </c>
      <c r="Q1668" s="1" t="inlineStr">
        <is>
          <t>Micro (1-9 FTE employees)</t>
        </is>
      </c>
      <c r="R1668" t="inlineStr">
        <is>
          <t>Micro</t>
        </is>
      </c>
      <c r="S1668" s="1" t="inlineStr">
        <is>
          <t>Business to Schools, Business to Business</t>
        </is>
      </c>
      <c r="T1668" s="1" t="inlineStr">
        <is>
          <t>Primary Education, Secondary Education, Special Education</t>
        </is>
      </c>
      <c r="U1668" s="1" t="inlineStr">
        <is>
          <t>Teacher interfacing, System/Administrative</t>
        </is>
      </c>
      <c r="V1668" s="10" t="inlineStr">
        <is>
          <t>Stoeltjesdans</t>
        </is>
      </c>
      <c r="W1668" s="1" t="inlineStr">
        <is>
          <t>Stoeltjesdans.nl - a scientifically-validated web platform that helps teachers monitor and improve classroom social safety</t>
        </is>
      </c>
      <c r="X1668" s="10" t="inlineStr">
        <is>
          <t>Training</t>
        </is>
      </c>
      <c r="Y1668" t="inlineStr">
        <is>
          <t>In-dept training on the different ways to interpret and use the outcomes of Stoeltjesdans</t>
        </is>
      </c>
      <c r="Z1668" s="1" t="inlineStr">
        <is>
          <t>https://drive.google.com/uc?export=view&amp;id=16ik9xvsSLuzkGrK95J5TRPkD-LLcWGZ_</t>
        </is>
      </c>
      <c r="AA1668" s="1" t="inlineStr">
        <is>
          <t>Verified</t>
        </is>
      </c>
      <c r="AB1668" s="1" t="inlineStr">
        <is>
          <t>Industry-academia partnerships, Public-private partnerships, Project consortium building, Collaborations between EdTech organisations</t>
        </is>
      </c>
      <c r="AC1668" s="1" t="inlineStr">
        <is>
          <t>For-profit company</t>
        </is>
      </c>
      <c r="AD1668" s="10" t="b">
        <v>1</v>
      </c>
      <c r="AE1668" s="1" t="b">
        <v>1</v>
      </c>
      <c r="AF1668" s="1" t="inlineStr">
        <is>
          <t>Yes</t>
        </is>
      </c>
      <c r="AG1668" s="1" t="inlineStr">
        <is>
          <t>https://www.instagram.com/_socialshuffle/</t>
        </is>
      </c>
      <c r="AH1668" s="1" t="inlineStr">
        <is>
          <t>https://www.linkedin.com/company/socialshuffle</t>
        </is>
      </c>
      <c r="AI1668" s="1" t="inlineStr">
        <is>
          <t>https://www.linkedin.com/company/socialshuffle</t>
        </is>
      </c>
      <c r="AJ1668" s="1" t="n"/>
    </row>
    <row r="1669" ht="12.5" customHeight="1">
      <c r="A1669" s="6" t="n">
        <v>45923</v>
      </c>
      <c r="B1669" s="1" t="inlineStr">
        <is>
          <t>ORG_2703</t>
        </is>
      </c>
      <c r="C1669" s="1" t="b">
        <v>1</v>
      </c>
      <c r="D1669" s="1" t="inlineStr">
        <is>
          <t>Data Masters</t>
        </is>
      </c>
      <c r="E1669" s="10" t="inlineStr">
        <is>
          <t>https://datamasters.it/</t>
        </is>
      </c>
      <c r="F1669" t="inlineStr">
        <is>
          <t>datamasters.it</t>
        </is>
      </c>
      <c r="G1669" s="1" t="inlineStr">
        <is>
          <t>AI academy for professionals and companies</t>
        </is>
      </c>
      <c r="H1669" s="1" t="inlineStr">
        <is>
          <t>EdTech Italia</t>
        </is>
      </c>
      <c r="I1669" s="1" t="inlineStr">
        <is>
          <t>Italian, English</t>
        </is>
      </c>
      <c r="J1669" s="1" t="inlineStr">
        <is>
          <t>Bari</t>
        </is>
      </c>
      <c r="K1669" t="inlineStr">
        <is>
          <t>Bari</t>
        </is>
      </c>
      <c r="L1669" t="inlineStr">
        <is>
          <t>Bari, Italy</t>
        </is>
      </c>
      <c r="M1669" t="n">
        <v>41.1257843</v>
      </c>
      <c r="N1669" t="n">
        <v>16.8620293</v>
      </c>
      <c r="O1669" s="1" t="inlineStr">
        <is>
          <t>Italy</t>
        </is>
      </c>
      <c r="P1669" s="1" t="inlineStr">
        <is>
          <t>Italy</t>
        </is>
      </c>
      <c r="Q1669" s="1" t="inlineStr">
        <is>
          <t>Small (10-49 FTE employees)</t>
        </is>
      </c>
      <c r="R1669" t="inlineStr">
        <is>
          <t>Small</t>
        </is>
      </c>
      <c r="S1669" s="1" t="inlineStr">
        <is>
          <t>Business to Consumer, Business to Business</t>
        </is>
      </c>
      <c r="T1669" s="1" t="inlineStr">
        <is>
          <t>Corporate Training, Lifelong learning/Adult education</t>
        </is>
      </c>
      <c r="U1669" s="1" t="inlineStr">
        <is>
          <t>Student interfacing, System/Administrative</t>
        </is>
      </c>
      <c r="V1669" s="10" t="inlineStr">
        <is>
          <t>AI Academy</t>
        </is>
      </c>
      <c r="W1669" s="1" t="inlineStr">
        <is>
          <t>AI on-demand upskilling and reskilling courses</t>
        </is>
      </c>
      <c r="X1669" s="10" t="inlineStr">
        <is>
          <t>AI Skiller</t>
        </is>
      </c>
      <c r="Y1669" t="inlineStr">
        <is>
          <t>Skill assessment tool</t>
        </is>
      </c>
      <c r="Z1669" s="1" t="inlineStr">
        <is>
          <t>https://drive.google.com/uc?export=view&amp;id=1BittYd8GqOk7O8QXOmKKxE9sVS-PD0Id</t>
        </is>
      </c>
      <c r="AA1669" s="1" t="inlineStr">
        <is>
          <t>Verified</t>
        </is>
      </c>
      <c r="AB1669" s="1" t="inlineStr">
        <is>
          <t>Project consortium building, Public-private partnerships, Industry-academia partnerships</t>
        </is>
      </c>
      <c r="AC1669" s="1" t="inlineStr">
        <is>
          <t>For-profit company</t>
        </is>
      </c>
      <c r="AD1669" s="10" t="b">
        <v>1</v>
      </c>
      <c r="AE1669" s="1" t="b">
        <v>1</v>
      </c>
      <c r="AF1669" s="1" t="inlineStr">
        <is>
          <t>Yes</t>
        </is>
      </c>
      <c r="AG1669" s="1" t="inlineStr">
        <is>
          <t>https://www.instagram.com/datamasters.it/</t>
        </is>
      </c>
      <c r="AH1669" s="1" t="inlineStr">
        <is>
          <t>https://www.linkedin.com/school/datamasters-it/</t>
        </is>
      </c>
      <c r="AI1669" s="1" t="inlineStr">
        <is>
          <t>https://www.linkedin.com/school/datamasters-it/</t>
        </is>
      </c>
      <c r="AJ1669" s="10" t="inlineStr">
        <is>
          <t>https://www.facebook.com/datamasters</t>
        </is>
      </c>
    </row>
    <row r="1670" ht="12.5" customHeight="1">
      <c r="A1670" s="6" t="n">
        <v>45923</v>
      </c>
      <c r="B1670" s="1" t="inlineStr">
        <is>
          <t>ORG_2704</t>
        </is>
      </c>
      <c r="C1670" s="1" t="b">
        <v>1</v>
      </c>
      <c r="D1670" s="1" t="inlineStr">
        <is>
          <t>StudyStash LTD</t>
        </is>
      </c>
      <c r="E1670" s="10" t="inlineStr">
        <is>
          <t>www.studystash.com</t>
        </is>
      </c>
      <c r="F1670" t="inlineStr">
        <is>
          <t>studystash.com</t>
        </is>
      </c>
      <c r="G1670" s="1" t="inlineStr">
        <is>
          <t>An AI-powered, cognitive neuroscience-backed platform which delivers measurable improvements in student attainment and retention, reduced faculty workload, and university outcomes that matter.</t>
        </is>
      </c>
      <c r="H1670" s="1" t="inlineStr">
        <is>
          <t>I'm not part of any EdTech association</t>
        </is>
      </c>
      <c r="I1670" s="1" t="inlineStr">
        <is>
          <t>English</t>
        </is>
      </c>
      <c r="J1670" s="1" t="inlineStr">
        <is>
          <t>Bristol</t>
        </is>
      </c>
      <c r="K1670" t="inlineStr">
        <is>
          <t>Bristol</t>
        </is>
      </c>
      <c r="L1670" t="inlineStr">
        <is>
          <t>Bristol, United Kingdom</t>
        </is>
      </c>
      <c r="M1670" t="n">
        <v>51.4538022</v>
      </c>
      <c r="N1670" t="n">
        <v>-2.5972985</v>
      </c>
      <c r="O1670" s="1" t="inlineStr">
        <is>
          <t>United Kingdom</t>
        </is>
      </c>
      <c r="P1670" s="1" t="inlineStr">
        <is>
          <t>United Kingdom, Albania, Andorra, Austria, Belgium, Bosnia and Herzegovina, Bulgaria, Croatia, Republic of Cyprus, Czechia, Denmark, Estonia, Finland, France, Germany, Greece, Hungary, Iceland, Ireland, Italy, Kosovo, Latvia, Liechtenstein, Lithuania, Luxembourg, Malta, Moldova, Monaco, Montenegro, Netherlands, North Macedonia, Norway, Poland, Portugal, Romania, San Marino, Slovakia, Slovenia, Spain, Sweden, Switzerland, Turkey, Ukraine</t>
        </is>
      </c>
      <c r="Q1670" s="1" t="inlineStr">
        <is>
          <t>Micro (1-9 FTE employees)</t>
        </is>
      </c>
      <c r="R1670" t="inlineStr">
        <is>
          <t>Micro</t>
        </is>
      </c>
      <c r="S1670" s="1" t="inlineStr">
        <is>
          <t>Business to Business, Business to Consumer, Business to Government, Business to Schools</t>
        </is>
      </c>
      <c r="T1670" s="1" t="inlineStr">
        <is>
          <t>Secondary Education, Vocational Education and Training (VET), Higher Education</t>
        </is>
      </c>
      <c r="U1670" s="1" t="inlineStr">
        <is>
          <t>System/Administrative, Teacher interfacing, Student interfacing</t>
        </is>
      </c>
      <c r="V1670" s="1" t="inlineStr">
        <is>
          <t>StudyStash</t>
        </is>
      </c>
      <c r="W1670" s="1" t="inlineStr">
        <is>
          <t>StudyStash offers an AI-powered revision platform designed to help students study more efficiently and effectively, seamlessly integrating with University systems to improve attainment and reputation, as well as student outcomes.</t>
        </is>
      </c>
      <c r="X1670" s="10" t="inlineStr">
        <is>
          <t>https://drive.google.com/uc?export=view&amp;id=1M_lk7hkqSITsyM-EMNGPYFY7EXbA0Ae9</t>
        </is>
      </c>
      <c r="Y1670" t="inlineStr">
        <is>
          <t>https://drive.google.com/uc?export=view&amp;id=1M_lk7hkqSITsyM-EMNGPYFY7EXbA0Ae9</t>
        </is>
      </c>
      <c r="Z1670" s="1" t="inlineStr">
        <is>
          <t>https://drive.google.com/uc?export=view&amp;id=1M_lk7hkqSITsyM-EMNGPYFY7EXbA0Ae9</t>
        </is>
      </c>
      <c r="AA1670" s="1" t="inlineStr">
        <is>
          <t>Verified</t>
        </is>
      </c>
      <c r="AB1670" s="1" t="inlineStr">
        <is>
          <t>Collaborations between EdTech organisations, Industry-academia partnerships, Project consortium building, Public-private partnerships</t>
        </is>
      </c>
      <c r="AC1670" s="1" t="inlineStr">
        <is>
          <t>For-profit company</t>
        </is>
      </c>
      <c r="AD1670" s="10" t="b">
        <v>1</v>
      </c>
      <c r="AE1670" s="1" t="b">
        <v>1</v>
      </c>
      <c r="AF1670" s="1" t="inlineStr">
        <is>
          <t>Yes</t>
        </is>
      </c>
      <c r="AG1670" s="1" t="inlineStr">
        <is>
          <t>https://www.linkedin.com/company/studystash</t>
        </is>
      </c>
      <c r="AH1670" s="1" t="inlineStr">
        <is>
          <t>https://www.linkedin.com/company/studystash</t>
        </is>
      </c>
      <c r="AI1670" s="1" t="inlineStr">
        <is>
          <t>https://www.linkedin.com/company/studystash</t>
        </is>
      </c>
      <c r="AJ1670" s="1" t="n"/>
    </row>
    <row r="1671" ht="12.5" customHeight="1">
      <c r="A1671" s="6" t="n">
        <v>45932</v>
      </c>
      <c r="B1671" s="1" t="inlineStr">
        <is>
          <t>ORG_2705</t>
        </is>
      </c>
      <c r="C1671" s="1" t="b">
        <v>1</v>
      </c>
      <c r="D1671" s="1" t="inlineStr">
        <is>
          <t>Macenta Publishing &amp; Digital Solutions</t>
        </is>
      </c>
      <c r="E1671" s="10" t="inlineStr">
        <is>
          <t>https://macenta.com.tr/</t>
        </is>
      </c>
      <c r="F1671" t="inlineStr">
        <is>
          <t>macenta.com.tr</t>
        </is>
      </c>
      <c r="G1671" s="1" t="inlineStr">
        <is>
          <t>Macenta Publishing &amp; Digital Solutions is an educational technology company that offers tailored learning materials and interactive digital platforms. Macenta's solutions support English language teaching and curriculum development.</t>
        </is>
      </c>
      <c r="H1671" s="1" t="inlineStr">
        <is>
          <t>I'm not part of any EdTech association</t>
        </is>
      </c>
      <c r="I1671" s="1" t="inlineStr">
        <is>
          <t>English</t>
        </is>
      </c>
      <c r="J1671" s="1" t="inlineStr">
        <is>
          <t>Istanbul</t>
        </is>
      </c>
      <c r="K1671" t="inlineStr">
        <is>
          <t>Istanbul</t>
        </is>
      </c>
      <c r="L1671" t="inlineStr">
        <is>
          <t>Istanbul, Turkiye</t>
        </is>
      </c>
      <c r="M1671" t="n">
        <v>41.006381</v>
      </c>
      <c r="N1671" t="n">
        <v>28.9758715</v>
      </c>
      <c r="O1671" s="1" t="inlineStr">
        <is>
          <t>Turkiye</t>
        </is>
      </c>
      <c r="P1671" s="1" t="inlineStr">
        <is>
          <t>Turkey</t>
        </is>
      </c>
      <c r="Q1671" s="1" t="inlineStr">
        <is>
          <t>Small (10-49 FTE employees)</t>
        </is>
      </c>
      <c r="R1671" t="inlineStr">
        <is>
          <t>Small</t>
        </is>
      </c>
      <c r="S1671" s="1" t="inlineStr">
        <is>
          <t>Business to Schools</t>
        </is>
      </c>
      <c r="T1671" s="1" t="inlineStr">
        <is>
          <t>Secondary Education, Primary Education, Early childhood development (0-5 years), Special Education</t>
        </is>
      </c>
      <c r="U1671" s="1" t="inlineStr">
        <is>
          <t>Student interfacing, Teacher interfacing</t>
        </is>
      </c>
      <c r="V1671" s="1" t="inlineStr">
        <is>
          <t>The Globals</t>
        </is>
      </c>
      <c r="W1671" s="1" t="inlineStr">
        <is>
          <t>The Globals is an English language practice programme that integrates language with the United Nations' Sustainable Development Goals (SDGs). It offers interactive tools for learners and teachers, promoting socio-emotional development through goal-setting, challenges and community projects.</t>
        </is>
      </c>
      <c r="X1671" s="10" t="inlineStr">
        <is>
          <t>Ridaboo</t>
        </is>
      </c>
      <c r="Y1671" t="inlineStr">
        <is>
          <t>Ridaboo is an inclusive digital reading platform designed to support diverse learners. It offers adaptive modes, AI-guided feedback and teacher insights to personalise reading experiences. Its AI-driven system analyses reading patterns and makes reading accessible for all.</t>
        </is>
      </c>
      <c r="Z1671" s="1" t="inlineStr">
        <is>
          <t>https://drive.google.com/uc?export=view&amp;id=1_LHqebcoy3RkEZKN41slkVw6jom7v06_</t>
        </is>
      </c>
      <c r="AA1671" s="1" t="inlineStr">
        <is>
          <t>Verified</t>
        </is>
      </c>
      <c r="AB1671" s="1" t="inlineStr">
        <is>
          <t>Collaborations between EdTech organisations, Project consortium building, Public-private partnerships</t>
        </is>
      </c>
      <c r="AC1671" s="1" t="inlineStr">
        <is>
          <t>For-profit company</t>
        </is>
      </c>
      <c r="AD1671" s="10" t="b">
        <v>1</v>
      </c>
      <c r="AE1671" s="1" t="b">
        <v>1</v>
      </c>
      <c r="AF1671" s="1" t="inlineStr">
        <is>
          <t>Yes</t>
        </is>
      </c>
      <c r="AG1671" s="1" t="inlineStr">
        <is>
          <t>https://www.linkedin.com/company/macenta-publishing-digital-solutions/posts/?feedView=all</t>
        </is>
      </c>
      <c r="AH1671" s="1" t="inlineStr">
        <is>
          <t>https://www.linkedin.com/company/macenta-publishing-digital-solutions/posts/?feedView=all</t>
        </is>
      </c>
      <c r="AI1671" s="1" t="inlineStr">
        <is>
          <t>https://www.linkedin.com/company/macenta-publishing-digital-solutions/posts/?feedView=all</t>
        </is>
      </c>
      <c r="AJ1671" s="1" t="n"/>
    </row>
    <row r="1672" ht="12.5" customHeight="1">
      <c r="A1672" s="6" t="n">
        <v>45936</v>
      </c>
      <c r="B1672" s="1" t="inlineStr">
        <is>
          <t>ORG_2706</t>
        </is>
      </c>
      <c r="C1672" s="1" t="b">
        <v>1</v>
      </c>
      <c r="D1672" s="1" t="inlineStr">
        <is>
          <t>Kings International</t>
        </is>
      </c>
      <c r="E1672" s="10" t="inlineStr">
        <is>
          <t>https://global.kingsolympiad.com/</t>
        </is>
      </c>
      <c r="F1672" t="inlineStr">
        <is>
          <t>global.kingsolympiad.com</t>
        </is>
      </c>
      <c r="G1672" s="1" t="inlineStr">
        <is>
          <t>We provide software, content, and brand for academic competition organizers, helping them 2–3x revenue in 12 months. Expanding one country per month, we’re building global infrastructure for teacher-driven edtech.</t>
        </is>
      </c>
      <c r="H1672" s="1" t="inlineStr">
        <is>
          <t>I'm not part of any EdTech association</t>
        </is>
      </c>
      <c r="I1672" s="1" t="inlineStr">
        <is>
          <t>English, Bulgarian, Lithuanian, Romanian, Azeri</t>
        </is>
      </c>
      <c r="J1672" s="1" t="inlineStr">
        <is>
          <t>Tallinn</t>
        </is>
      </c>
      <c r="K1672" t="inlineStr">
        <is>
          <t>Tallinn</t>
        </is>
      </c>
      <c r="L1672" t="inlineStr">
        <is>
          <t>Tallinn, Estonia</t>
        </is>
      </c>
      <c r="M1672" t="n">
        <v>59.437242</v>
      </c>
      <c r="N1672" t="n">
        <v>24.7572693</v>
      </c>
      <c r="O1672" s="1" t="inlineStr">
        <is>
          <t>Estonia</t>
        </is>
      </c>
      <c r="P1672" s="1" t="inlineStr">
        <is>
          <t>Bulgaria, Lithuania, Moldova, Romania</t>
        </is>
      </c>
      <c r="Q1672" s="1" t="inlineStr">
        <is>
          <t>Small (10-49 FTE employees)</t>
        </is>
      </c>
      <c r="R1672" t="inlineStr">
        <is>
          <t>Small</t>
        </is>
      </c>
      <c r="S1672" s="1" t="inlineStr">
        <is>
          <t>Business to Business, Business to Consumer</t>
        </is>
      </c>
      <c r="T1672" s="1" t="inlineStr">
        <is>
          <t>Primary Education, Secondary Education, Other</t>
        </is>
      </c>
      <c r="U1672" s="1" t="inlineStr">
        <is>
          <t>Student interfacing, Teacher interfacing, System/Administrative</t>
        </is>
      </c>
      <c r="V1672" s="1" t="inlineStr">
        <is>
          <t>https://www.linkedin.com/company/kingseducation/</t>
        </is>
      </c>
      <c r="W1672" s="1" t="inlineStr">
        <is>
          <t>https://drive.google.com/uc?export=view&amp;id=14WzQutFrXWr6fyLHmQB56BW6UYvfLn-7</t>
        </is>
      </c>
      <c r="X1672" s="10" t="inlineStr">
        <is>
          <t>https://drive.google.com/uc?export=view&amp;id=14WzQutFrXWr6fyLHmQB56BW6UYvfLn-7</t>
        </is>
      </c>
      <c r="Y1672" t="inlineStr">
        <is>
          <t>https://drive.google.com/uc?export=view&amp;id=14WzQutFrXWr6fyLHmQB56BW6UYvfLn-7</t>
        </is>
      </c>
      <c r="Z1672" s="1" t="inlineStr">
        <is>
          <t>https://drive.google.com/uc?export=view&amp;id=14WzQutFrXWr6fyLHmQB56BW6UYvfLn-7</t>
        </is>
      </c>
      <c r="AA1672" s="1" t="inlineStr">
        <is>
          <t>Verified</t>
        </is>
      </c>
      <c r="AB1672" s="1" t="inlineStr">
        <is>
          <t>Collaborations between EdTech organisations, Public-private partnerships, Industry-academia partnerships</t>
        </is>
      </c>
      <c r="AC1672" s="1" t="inlineStr">
        <is>
          <t>For-profit company</t>
        </is>
      </c>
      <c r="AD1672" s="10" t="b">
        <v>1</v>
      </c>
      <c r="AE1672" s="1" t="b">
        <v>1</v>
      </c>
      <c r="AF1672" s="1" t="inlineStr">
        <is>
          <t>Yes</t>
        </is>
      </c>
      <c r="AG1672" s="1" t="inlineStr">
        <is>
          <t>https://www.linkedin.com/company/kingseducation/</t>
        </is>
      </c>
      <c r="AH1672" s="1" t="inlineStr">
        <is>
          <t>https://www.linkedin.com/company/kingseducation/</t>
        </is>
      </c>
      <c r="AI1672" s="1" t="inlineStr">
        <is>
          <t>https://www.linkedin.com/company/kingseducation/</t>
        </is>
      </c>
      <c r="AJ1672" s="1" t="n"/>
    </row>
    <row r="1673" ht="12.5" customHeight="1">
      <c r="A1673" s="6" t="n">
        <v>45939</v>
      </c>
      <c r="B1673" s="1" t="inlineStr">
        <is>
          <t>ORG_2707</t>
        </is>
      </c>
      <c r="C1673" s="1" t="b">
        <v>1</v>
      </c>
      <c r="D1673" s="1" t="inlineStr">
        <is>
          <t>SAPERED GmbH</t>
        </is>
      </c>
      <c r="E1673" s="10" t="inlineStr">
        <is>
          <t>www.sapered.com</t>
        </is>
      </c>
      <c r="F1673" t="inlineStr">
        <is>
          <t>sapered.com</t>
        </is>
      </c>
      <c r="G1673" s="1" t="inlineStr">
        <is>
          <t>SAPERED is a Learning &amp; Development agency that helps organizations design and deliver modern corporate training experiences. We combine learning design expertise with innovative EdTech solutions – from Learning Experience Platforms and digital product onboarding for complex products (such as cars) to interactive training apps like Drivester, enabling learning experiences on the move.</t>
        </is>
      </c>
      <c r="H1673" s="1" t="inlineStr">
        <is>
          <t>I'm not part of any EdTech association</t>
        </is>
      </c>
      <c r="I1673" s="1" t="inlineStr">
        <is>
          <t>English, French, Spanish, German, Italian, Dutch, Portuguese, Bulgarian, Croatian, Czech, Danish, Estonian, Finnish, Greek, Hungarian, Irish, Latvian, Lithuanian, Maltese, Polish, Romanian, Slovak, Slovenian, Swedish, Ukrainian</t>
        </is>
      </c>
      <c r="J1673" s="1" t="inlineStr">
        <is>
          <t>Essen</t>
        </is>
      </c>
      <c r="K1673" t="inlineStr">
        <is>
          <t>Essen</t>
        </is>
      </c>
      <c r="L1673" t="inlineStr">
        <is>
          <t>Essen, Germany</t>
        </is>
      </c>
      <c r="M1673" t="n">
        <v>51.4582235</v>
      </c>
      <c r="N1673" t="n">
        <v>7.0158171</v>
      </c>
      <c r="O1673" s="1" t="inlineStr">
        <is>
          <t>Germany</t>
        </is>
      </c>
      <c r="P1673" s="1" t="inlineStr">
        <is>
          <t>Albania, Andorra, Austria, Belarus, Belgium, Bosnia and Herzegovina, Republic of Cyprus, Croatia, Bulgaria, Czechia, Denmark, Estonia, Germany, France, Finland, Greece, Ukraine, United Kingdom, Sweden, Switzerland, Turkey, Spain, San Marino, Romania, Slovenia, Slovakia, Portugal, North Macedonia, Monaco, Luxembourg, Malta, Montenegro, Norway, Poland, Netherlands, Moldova, Lithuania, Kosovo, Iceland, Hungary, Italy, Liechtenstein, Latvia, Ireland</t>
        </is>
      </c>
      <c r="Q1673" s="1" t="inlineStr">
        <is>
          <t>Small (10-49 FTE employees)</t>
        </is>
      </c>
      <c r="R1673" t="inlineStr">
        <is>
          <t>Small</t>
        </is>
      </c>
      <c r="S1673" s="1" t="inlineStr">
        <is>
          <t>Business to Business</t>
        </is>
      </c>
      <c r="T1673" s="1" t="inlineStr">
        <is>
          <t>Corporate Training</t>
        </is>
      </c>
      <c r="U1673" s="1" t="inlineStr">
        <is>
          <t>Other</t>
        </is>
      </c>
      <c r="V1673" s="10" t="inlineStr">
        <is>
          <t>SAPERED LXP</t>
        </is>
      </c>
      <c r="W1673" s="1" t="inlineStr">
        <is>
          <t>SAPERED LXP is a Learning Experience Platform for multinational brands. It enables centralized content management and a structured validation process for market-specific adaptation, built on a user-centered design approach.</t>
        </is>
      </c>
      <c r="X1673" s="10" t="inlineStr">
        <is>
          <t>SAPERED Digital Handover</t>
        </is>
      </c>
      <c r="Y1673" t="inlineStr">
        <is>
          <t>Digital Handover is a platform that enables step-by-step customer onboarding. It transforms complex product manuals into intuitive, branded digital experiences that enhance understanding and engagement.</t>
        </is>
      </c>
      <c r="Z1673" s="1" t="inlineStr">
        <is>
          <t>https://drive.google.com/uc?export=view&amp;id=1EDdkSefV1M5nedW6ZI_ZZAlxTQDaWx3a</t>
        </is>
      </c>
      <c r="AA1673" s="1" t="inlineStr">
        <is>
          <t>Verified</t>
        </is>
      </c>
      <c r="AB1673" s="1" t="inlineStr">
        <is>
          <t>Collaborations between EdTech organisations, Project consortium building, Public-private partnerships, Industry-academia partnerships, Other</t>
        </is>
      </c>
      <c r="AC1673" s="1" t="inlineStr">
        <is>
          <t>For-profit company</t>
        </is>
      </c>
      <c r="AD1673" s="10" t="b">
        <v>1</v>
      </c>
      <c r="AE1673" s="1" t="b">
        <v>1</v>
      </c>
      <c r="AF1673" s="1" t="inlineStr">
        <is>
          <t>Yes</t>
        </is>
      </c>
      <c r="AG1673" s="1" t="inlineStr">
        <is>
          <t>https://www.instagram.com/sapered_gmbh/?hl=de</t>
        </is>
      </c>
      <c r="AH1673" s="1" t="inlineStr">
        <is>
          <t>https://de.linkedin.com/company/sapered</t>
        </is>
      </c>
      <c r="AI1673" s="1" t="inlineStr">
        <is>
          <t>https://de.linkedin.com/company/sapered</t>
        </is>
      </c>
      <c r="AJ1673" s="1" t="n"/>
    </row>
    <row r="1674" ht="12.5" customHeight="1">
      <c r="A1674" s="6" t="n">
        <v>45943</v>
      </c>
      <c r="B1674" s="1" t="inlineStr">
        <is>
          <t>ORG_2708</t>
        </is>
      </c>
      <c r="C1674" s="1" t="b">
        <v>1</v>
      </c>
      <c r="D1674" s="1" t="inlineStr">
        <is>
          <t>Web2Learn</t>
        </is>
      </c>
      <c r="E1674" s="10" t="inlineStr">
        <is>
          <t>https://web2learn.eu/</t>
        </is>
      </c>
      <c r="F1674" t="inlineStr">
        <is>
          <t>web2learn.eu</t>
        </is>
      </c>
      <c r="G1674" s="1" t="inlineStr">
        <is>
          <t>Web2Learn is a Greek R&amp;D company at the forefront of digital education and social innovation since 2014. We design and implement impactful projects across professional training, citizen science, open science, and social innovation, connecting education with real-world change. With over 50 EU-funded projects completed, our expert team thrives on creative, cross-sector collaborations that empower people and communities. We also offer digital credentialing solutions and develop open educational resources that foster lifelong learning and inclusion. Let’s co-create the next wave of meaningful, socially driven innovation: get in touch with us at web2learn.eu</t>
        </is>
      </c>
      <c r="H1674" s="1" t="inlineStr">
        <is>
          <t>I'm not part of any EdTech association</t>
        </is>
      </c>
      <c r="I1674" s="1" t="inlineStr">
        <is>
          <t>English, French, Greek</t>
        </is>
      </c>
      <c r="J1674" s="1" t="inlineStr">
        <is>
          <t>Thessaloniki</t>
        </is>
      </c>
      <c r="K1674" t="inlineStr">
        <is>
          <t>Thessaloniki</t>
        </is>
      </c>
      <c r="L1674" t="inlineStr">
        <is>
          <t>Thessaloniki, Greece</t>
        </is>
      </c>
      <c r="M1674" t="n">
        <v>40.6403167</v>
      </c>
      <c r="N1674" t="n">
        <v>22.9352716</v>
      </c>
      <c r="O1674" s="1" t="inlineStr">
        <is>
          <t>Greece</t>
        </is>
      </c>
      <c r="P1674" s="1" t="inlineStr">
        <is>
          <t>Greece</t>
        </is>
      </c>
      <c r="Q1674" s="1" t="inlineStr">
        <is>
          <t>Small (10-49 FTE employees)</t>
        </is>
      </c>
      <c r="R1674" t="inlineStr">
        <is>
          <t>Small</t>
        </is>
      </c>
      <c r="S1674" s="1" t="inlineStr">
        <is>
          <t>Business to Business, Business to Schools, Business to Consumer, Business to Government</t>
        </is>
      </c>
      <c r="T1674" s="1" t="inlineStr">
        <is>
          <t>Higher Education, Vocational Education and Training (VET), Secondary Education, Primary Education, Lifelong learning/Adult education, Corporate Training</t>
        </is>
      </c>
      <c r="U1674" s="1" t="inlineStr">
        <is>
          <t>Student interfacing, Teacher interfacing</t>
        </is>
      </c>
      <c r="V1674" s="10" t="inlineStr">
        <is>
          <t>Digital credentials</t>
        </is>
      </c>
      <c r="W1674" s="1" t="inlineStr">
        <is>
          <t>Our digital credential service issues verifiable, standards-compliant micro-credentials and badges that encode learners’ skills and achievements in a tamper-proof digital format.</t>
        </is>
      </c>
      <c r="X1674" s="10" t="inlineStr">
        <is>
          <t>Professional training and educational activities on citizen science &amp; social innovation</t>
        </is>
      </c>
      <c r="Y1674" t="inlineStr">
        <is>
          <t>We offer dynamic training and learning initiatives that build capacity in citizen science and social innovation. Through interactive formats and real-world applications, participants gain the skills to design, implement, and lead inclusive, community-driven projects that bridge research &amp; education.</t>
        </is>
      </c>
      <c r="Z1674" s="1" t="inlineStr">
        <is>
          <t>https://drive.google.com/uc?export=view&amp;id=1KunglAI4FAjeBvJxINUt1NX4vmTih-d9</t>
        </is>
      </c>
      <c r="AA1674" s="1" t="inlineStr">
        <is>
          <t>Verified</t>
        </is>
      </c>
      <c r="AB1674" s="1" t="inlineStr">
        <is>
          <t>Collaborations between EdTech organisations, Project consortium building, Industry-academia partnerships, Public-private partnerships</t>
        </is>
      </c>
      <c r="AC1674" s="1" t="inlineStr">
        <is>
          <t>For-profit company</t>
        </is>
      </c>
      <c r="AD1674" s="10" t="b">
        <v>1</v>
      </c>
      <c r="AE1674" s="1" t="b">
        <v>1</v>
      </c>
      <c r="AF1674" s="1" t="inlineStr">
        <is>
          <t>Yes</t>
        </is>
      </c>
      <c r="AG1674" s="1" t="inlineStr">
        <is>
          <t>https://www.instagram.com/web2learn_eu/</t>
        </is>
      </c>
      <c r="AH1674" s="1" t="inlineStr">
        <is>
          <t>https://www.linkedin.com/company/web2learn/</t>
        </is>
      </c>
      <c r="AI1674" s="1" t="inlineStr">
        <is>
          <t>https://www.linkedin.com/company/web2learn/</t>
        </is>
      </c>
      <c r="AJ1674" s="1" t="n"/>
    </row>
    <row r="1675" ht="12.5" customHeight="1">
      <c r="A1675" s="6" t="n">
        <v>45945</v>
      </c>
      <c r="B1675" s="1" t="inlineStr">
        <is>
          <t>ORG_2709</t>
        </is>
      </c>
      <c r="C1675" s="1" t="b">
        <v>1</v>
      </c>
      <c r="D1675" s="1" t="inlineStr">
        <is>
          <t>BuzzGage</t>
        </is>
      </c>
      <c r="E1675" s="10" t="inlineStr">
        <is>
          <t>https://www.buzzgage.org/</t>
        </is>
      </c>
      <c r="F1675" t="inlineStr">
        <is>
          <t>buzzgage.org</t>
        </is>
      </c>
      <c r="G1675" s="1" t="inlineStr">
        <is>
          <t>BuzzGage helps schools measure and develop what matters beyond academics by benchmarking student wellbeing, engagement, and social-emotional development against international standards, then guiding school leaders with AI-powered insights and targeted strategies to improve.</t>
        </is>
      </c>
      <c r="H1675" s="1" t="inlineStr">
        <is>
          <t>DOHE</t>
        </is>
      </c>
      <c r="I1675" s="1" t="inlineStr">
        <is>
          <t>English, French</t>
        </is>
      </c>
      <c r="J1675" s="1" t="inlineStr">
        <is>
          <t>Istanbul</t>
        </is>
      </c>
      <c r="K1675" t="inlineStr">
        <is>
          <t>Istanbul</t>
        </is>
      </c>
      <c r="L1675" t="inlineStr">
        <is>
          <t>Istanbul, Turkiye</t>
        </is>
      </c>
      <c r="M1675" t="n">
        <v>41.006381</v>
      </c>
      <c r="N1675" t="n">
        <v>28.9758715</v>
      </c>
      <c r="O1675" s="1" t="inlineStr">
        <is>
          <t>Turkiye</t>
        </is>
      </c>
      <c r="P1675" s="1" t="inlineStr">
        <is>
          <t>France, United Kingdom, Turkey, Middle East</t>
        </is>
      </c>
      <c r="Q1675" s="1" t="inlineStr">
        <is>
          <t>Micro (1-9 FTE employees)</t>
        </is>
      </c>
      <c r="R1675" t="inlineStr">
        <is>
          <t>Micro</t>
        </is>
      </c>
      <c r="S1675" s="1" t="inlineStr">
        <is>
          <t>Business to Business</t>
        </is>
      </c>
      <c r="T1675" s="1" t="inlineStr">
        <is>
          <t>Primary Education, Secondary Education</t>
        </is>
      </c>
      <c r="U1675" s="1" t="inlineStr">
        <is>
          <t>System/Administrative</t>
        </is>
      </c>
      <c r="V1675" s="1" t="inlineStr">
        <is>
          <t>BuzzGage</t>
        </is>
      </c>
      <c r="W1675" s="1" t="inlineStr">
        <is>
          <t>BuzzGage helps schools measure and develop what matters beyond academics by benchmarking student wellbeing, engagement, and social-emotional development against international standards, then guiding school leaders with AI-powered insights and targeted strategies to improve.</t>
        </is>
      </c>
      <c r="X1675" s="10" t="inlineStr">
        <is>
          <t>https://drive.google.com/uc?export=view&amp;id=1o25hnd1mj80lZdigDLYPCG71gZ1lYOsW</t>
        </is>
      </c>
      <c r="Y1675" t="inlineStr">
        <is>
          <t>https://drive.google.com/uc?export=view&amp;id=1o25hnd1mj80lZdigDLYPCG71gZ1lYOsW</t>
        </is>
      </c>
      <c r="Z1675" s="1" t="inlineStr">
        <is>
          <t>https://drive.google.com/uc?export=view&amp;id=1o25hnd1mj80lZdigDLYPCG71gZ1lYOsW</t>
        </is>
      </c>
      <c r="AA1675" s="1" t="inlineStr">
        <is>
          <t>Verified</t>
        </is>
      </c>
      <c r="AB1675" s="1" t="inlineStr">
        <is>
          <t>Public-private partnerships, Collaborations between EdTech organisations, Industry-academia partnerships, Project consortium building</t>
        </is>
      </c>
      <c r="AC1675" s="1" t="inlineStr">
        <is>
          <t>For-profit company</t>
        </is>
      </c>
      <c r="AD1675" s="10" t="b">
        <v>1</v>
      </c>
      <c r="AE1675" s="1" t="b">
        <v>1</v>
      </c>
      <c r="AF1675" s="1" t="inlineStr">
        <is>
          <t>Yes</t>
        </is>
      </c>
      <c r="AG1675" s="1" t="inlineStr">
        <is>
          <t>https://www.linkedin.com/company/buzzgage</t>
        </is>
      </c>
      <c r="AH1675" s="1" t="inlineStr">
        <is>
          <t>https://www.linkedin.com/company/buzzgage</t>
        </is>
      </c>
      <c r="AI1675" s="1" t="inlineStr">
        <is>
          <t>https://www.linkedin.com/company/buzzgage</t>
        </is>
      </c>
      <c r="AJ1675" s="1" t="n"/>
    </row>
    <row r="1676" ht="12.5" customHeight="1">
      <c r="A1676" s="6" t="n">
        <v>45960</v>
      </c>
      <c r="B1676" s="1" t="inlineStr">
        <is>
          <t>ORG_2711</t>
        </is>
      </c>
      <c r="C1676" s="1" t="b">
        <v>1</v>
      </c>
      <c r="D1676" s="1" t="inlineStr">
        <is>
          <t>Nolej</t>
        </is>
      </c>
      <c r="E1676" s="10" t="inlineStr">
        <is>
          <t>nolej.io</t>
        </is>
      </c>
      <c r="F1676" t="inlineStr">
        <is>
          <t>nolej.io</t>
        </is>
      </c>
      <c r="G1676" s="1" t="inlineStr">
        <is>
          <t>Founded in 2022, Nolej is a French AI company revolutionizing education. Named TIME’s #1 French EdTech, crowned World’s Best Startup EdTech 2024 at the GESAwards, and ranked in the Top 20 of the ASU+GSV Cup, Nolej is already active in 25 countries across all continents.  Backed by the French Ministry of Education and the European Commission’s Seal of Excellence, Nolej is scaling fast with a mission to empower teachers. From any learning content—text, video, or audio—Nolej instantly generates customizable, inclusive, and interactive activities (chatbots, quizzes, flashcards, crosswords, drag-and-drop...). Teachers stay in control. Students stay engaged. Education stays human.</t>
        </is>
      </c>
      <c r="H1676" s="1" t="inlineStr">
        <is>
          <t>EdTech France</t>
        </is>
      </c>
      <c r="I1676" s="1" t="inlineStr">
        <is>
          <t>English, French, Spanish, Dutch, Italian, German, Portuguese, Bulgarian, Croatian, Estonian, Danish, Czech, Finnish, Greek, Hungarian, Lithuanian, Romanian, Swedish, Slovenian, Latvian, Polish, Slovak, Ukrainian</t>
        </is>
      </c>
      <c r="J1676" s="1" t="inlineStr">
        <is>
          <t>Paris</t>
        </is>
      </c>
      <c r="K1676" t="inlineStr">
        <is>
          <t>Paris</t>
        </is>
      </c>
      <c r="L1676" t="inlineStr">
        <is>
          <t>Paris, France</t>
        </is>
      </c>
      <c r="M1676" t="n">
        <v>48.8534951</v>
      </c>
      <c r="N1676" t="n">
        <v>2.3483915</v>
      </c>
      <c r="O1676" s="1" t="inlineStr">
        <is>
          <t>France</t>
        </is>
      </c>
      <c r="P1676" s="1" t="n"/>
      <c r="Q1676" s="1" t="inlineStr">
        <is>
          <t>Small (10-49 FTE employees)</t>
        </is>
      </c>
      <c r="R1676" t="inlineStr">
        <is>
          <t>Small</t>
        </is>
      </c>
      <c r="S1676" s="1" t="inlineStr">
        <is>
          <t>Business to Business, Business to Government, Business to Schools</t>
        </is>
      </c>
      <c r="T1676" s="1" t="inlineStr">
        <is>
          <t>Primary Education, Secondary Education, Vocational Education and Training (VET), Higher Education, Corporate Training, Lifelong learning/Adult education, Special Education</t>
        </is>
      </c>
      <c r="U1676" s="1" t="inlineStr">
        <is>
          <t>Teacher interfacing, Student interfacing</t>
        </is>
      </c>
      <c r="V1676" s="1" t="inlineStr">
        <is>
          <t>Nolej</t>
        </is>
      </c>
      <c r="W1676" s="1" t="inlineStr">
        <is>
          <t>From any learning content—text, video, or audio—Nolej instantly generates customizable, inclusive, and interactive activities (chatbots, quizzes, flashcards, crosswords, drag-and-drop...).</t>
        </is>
      </c>
      <c r="X1676" s="1" t="inlineStr">
        <is>
          <t>https://drive.google.com/uc?export=view&amp;id=1qMr7ygDY_E7SDE66NsKuGIo0Fovg9H4n</t>
        </is>
      </c>
      <c r="Y1676" t="inlineStr">
        <is>
          <t>https://drive.google.com/uc?export=view&amp;id=1qMr7ygDY_E7SDE66NsKuGIo0Fovg9H4n</t>
        </is>
      </c>
      <c r="Z1676" s="1" t="inlineStr">
        <is>
          <t>https://drive.google.com/uc?export=view&amp;id=1qMr7ygDY_E7SDE66NsKuGIo0Fovg9H4n</t>
        </is>
      </c>
      <c r="AA1676" s="1" t="inlineStr">
        <is>
          <t>Verified</t>
        </is>
      </c>
      <c r="AB1676" s="1" t="inlineStr">
        <is>
          <t>Collaborations between EdTech organisations, Project consortium building, Public-private partnerships, Industry-academia partnerships</t>
        </is>
      </c>
      <c r="AC1676" s="1" t="inlineStr">
        <is>
          <t>For-profit company</t>
        </is>
      </c>
      <c r="AD1676" s="10" t="b">
        <v>1</v>
      </c>
      <c r="AE1676" s="1" t="b">
        <v>1</v>
      </c>
      <c r="AF1676" s="1" t="inlineStr">
        <is>
          <t>No</t>
        </is>
      </c>
      <c r="AG1676" s="1" t="n"/>
      <c r="AH1676" s="1" t="n"/>
      <c r="AI1676" s="1" t="n"/>
      <c r="AJ1676" s="1" t="n"/>
    </row>
    <row r="1677" ht="12.5" customHeight="1">
      <c r="A1677" s="6" t="n">
        <v>45966</v>
      </c>
      <c r="B1677" s="1" t="inlineStr">
        <is>
          <t>ORG_2712</t>
        </is>
      </c>
      <c r="C1677" s="1" t="b">
        <v>1</v>
      </c>
      <c r="D1677" s="1" t="inlineStr">
        <is>
          <t>Incomedia Srl</t>
        </is>
      </c>
      <c r="E1677" s="10" t="inlineStr">
        <is>
          <t>www.websitex5.com</t>
        </is>
      </c>
      <c r="F1677" t="inlineStr">
        <is>
          <t>websitex5.com</t>
        </is>
      </c>
      <c r="G1677" s="1" t="inlineStr">
        <is>
          <t>Incomedia is an Italian software company founded in 1998, specializing in digital empowerment and education technology. Its flagship product, WebSite X5, is a no-code platform—now enhanced with AI—that enables schools, teachers, students, and SMEs to create professional websites and e-commerce projects easily, fostering digital skills and creativity. Incomedia collaborates with ministries, universities, and educational programs across Europe, Africa, and the GCC to support digital literacy, entrepreneurship, and online learning initiatives.</t>
        </is>
      </c>
      <c r="H1677" s="1" t="inlineStr">
        <is>
          <t>I'm not part of any EdTech association</t>
        </is>
      </c>
      <c r="I1677" s="1" t="inlineStr">
        <is>
          <t>English, German, Portuguese, Slovak, French, Italian, Danish, Greek, Polish, Slovenian, Spanish, Dutch, Hungarian</t>
        </is>
      </c>
      <c r="J1677" s="1" t="inlineStr">
        <is>
          <t>Ivrea</t>
        </is>
      </c>
      <c r="K1677" t="inlineStr">
        <is>
          <t>Ivrea</t>
        </is>
      </c>
      <c r="L1677" t="inlineStr">
        <is>
          <t>Ivrea, Italy</t>
        </is>
      </c>
      <c r="M1677" t="n">
        <v>45.451803</v>
      </c>
      <c r="N1677" t="n">
        <v>7.8932496</v>
      </c>
      <c r="O1677" s="1" t="inlineStr">
        <is>
          <t>Italy</t>
        </is>
      </c>
      <c r="P1677" s="1" t="inlineStr">
        <is>
          <t>Albania, Bulgaria, Czechia, Finland, Greece, Ireland, Latvia, North Macedonia, Portugal, Slovakia, Sweden, Ukraine, United Kingdom, Switzerland, Slovenia, Romania, Norway, Montenegro, Malta, Italy, Hungary, France, Denmark, Croatia, Austria, Bosnia and Herzegovina, Republic of Cyprus, Estonia, Germany, Iceland, Kosovo, Lithuania, Moldova, Netherlands, Poland, San Marino, Spain, Turkey</t>
        </is>
      </c>
      <c r="Q1677" s="1" t="inlineStr">
        <is>
          <t>Small (10-49 FTE employees)</t>
        </is>
      </c>
      <c r="R1677" t="inlineStr">
        <is>
          <t>Small</t>
        </is>
      </c>
      <c r="S1677" s="1" t="inlineStr">
        <is>
          <t>Business to Business, Business to Consumer, Business to Government, Business to Schools</t>
        </is>
      </c>
      <c r="T1677" s="1" t="inlineStr">
        <is>
          <t>Primary Education, Secondary Education, Vocational Education and Training (VET), Higher Education, Corporate Training, Lifelong learning/Adult education, Special Education, Other</t>
        </is>
      </c>
      <c r="U1677" s="1" t="inlineStr">
        <is>
          <t>Teacher interfacing, Student interfacing</t>
        </is>
      </c>
      <c r="V1677" s="1" t="inlineStr">
        <is>
          <t>WebSite X5</t>
        </is>
      </c>
      <c r="W1677" s="10" t="inlineStr">
        <is>
          <t>WebSite X5 is a no-code platform designed to help schools, teachers, and students develop digital skills by creating professional websites and online projects easily. Enhanced with AI, it enables users to build and customize complete websites without coding knowledge, supporting creativity, entrepre</t>
        </is>
      </c>
      <c r="X1677" s="10" t="inlineStr">
        <is>
          <t>https://drive.google.com/uc?export=view&amp;id=1mbKSMizlAEMemGand1s4Y6IWUEPcUvNG</t>
        </is>
      </c>
      <c r="Y1677" t="inlineStr">
        <is>
          <t>https://drive.google.com/uc?export=view&amp;id=1mbKSMizlAEMemGand1s4Y6IWUEPcUvNG</t>
        </is>
      </c>
      <c r="Z1677" s="1" t="inlineStr">
        <is>
          <t>https://drive.google.com/uc?export=view&amp;id=1mbKSMizlAEMemGand1s4Y6IWUEPcUvNG</t>
        </is>
      </c>
      <c r="AA1677" s="1" t="inlineStr">
        <is>
          <t>Verified</t>
        </is>
      </c>
      <c r="AB1677" s="1" t="inlineStr">
        <is>
          <t>Collaborations between EdTech organisations, Project consortium building, Public-private partnerships, Industry-academia partnerships</t>
        </is>
      </c>
      <c r="AC1677" s="1" t="inlineStr">
        <is>
          <t>For-profit company</t>
        </is>
      </c>
      <c r="AD1677" s="10" t="b">
        <v>1</v>
      </c>
      <c r="AE1677" s="1" t="b">
        <v>1</v>
      </c>
      <c r="AF1677" s="1" t="inlineStr">
        <is>
          <t>Yes</t>
        </is>
      </c>
      <c r="AG1677" s="1" t="inlineStr">
        <is>
          <t>https://x.com/Incomedia</t>
        </is>
      </c>
      <c r="AH1677" s="1" t="inlineStr">
        <is>
          <t>https://x.com/Incomedia</t>
        </is>
      </c>
      <c r="AI1677" s="1" t="inlineStr">
        <is>
          <t>https://it.linkedin.com/company/incomedia</t>
        </is>
      </c>
      <c r="AJ1677" s="10" t="inlineStr">
        <is>
          <t>https://www.facebook.com/Incomedia/</t>
        </is>
      </c>
    </row>
    <row r="1678" ht="12.5" customHeight="1">
      <c r="A1678" s="6" t="n">
        <v>45967</v>
      </c>
      <c r="B1678" s="1" t="inlineStr">
        <is>
          <t>ORG_2713</t>
        </is>
      </c>
      <c r="C1678" s="1" t="b">
        <v>1</v>
      </c>
      <c r="D1678" s="1" t="inlineStr">
        <is>
          <t>Brainlane</t>
        </is>
      </c>
      <c r="E1678" s="10" t="inlineStr">
        <is>
          <t>https://www.brainlane.nl/</t>
        </is>
      </c>
      <c r="F1678" t="inlineStr">
        <is>
          <t>brainlane.nl</t>
        </is>
      </c>
      <c r="G1678" s="1" t="inlineStr">
        <is>
          <t>Brainlane is a Dutch skills-first EdTech platform that connects professionals, educators and employers through personalised learning paths. By linking skills, roles and credentials, Brainlane enables data-driven career development and supports lifelong learning in the digital economy.</t>
        </is>
      </c>
      <c r="H1678" s="1" t="inlineStr">
        <is>
          <t>Dutch EdTech</t>
        </is>
      </c>
      <c r="I1678" s="1" t="inlineStr">
        <is>
          <t>Dutch, English</t>
        </is>
      </c>
      <c r="J1678" s="1" t="inlineStr">
        <is>
          <t>Amsterdam</t>
        </is>
      </c>
      <c r="K1678" t="inlineStr">
        <is>
          <t>Amsterdam</t>
        </is>
      </c>
      <c r="L1678" t="inlineStr">
        <is>
          <t>Amsterdam, The Netherlands</t>
        </is>
      </c>
      <c r="M1678" t="n">
        <v>52.3701984</v>
      </c>
      <c r="N1678" t="n">
        <v>4.892168</v>
      </c>
      <c r="O1678" s="1" t="inlineStr">
        <is>
          <t>The Netherlands</t>
        </is>
      </c>
      <c r="P1678" s="1" t="inlineStr">
        <is>
          <t>Netherlands</t>
        </is>
      </c>
      <c r="Q1678" s="1" t="inlineStr">
        <is>
          <t>Micro (1-9 FTE employees)</t>
        </is>
      </c>
      <c r="R1678" t="inlineStr">
        <is>
          <t>Micro</t>
        </is>
      </c>
      <c r="S1678" s="1" t="inlineStr">
        <is>
          <t>Business to Business, Business to Schools</t>
        </is>
      </c>
      <c r="T1678" s="1" t="inlineStr">
        <is>
          <t>Lifelong learning/Adult education</t>
        </is>
      </c>
      <c r="U1678" s="1" t="inlineStr">
        <is>
          <t>Student interfacing, Teacher interfacing, System/Administrative, Other</t>
        </is>
      </c>
      <c r="V1678" s="10" t="inlineStr">
        <is>
          <t>Brainlane Platform</t>
        </is>
      </c>
      <c r="W1678" s="1" t="inlineStr">
        <is>
          <t>A skills-first lifelong learning platform that connects professionals, educators and employers. The platform structures personalised learning paths based on skills, roles and assessments, integrating course data from multiple training providers to support career growth and talent development.</t>
        </is>
      </c>
      <c r="X1678" s="10" t="inlineStr">
        <is>
          <t>https://drive.google.com/uc?export=view&amp;id=1Hzz1yEpCOVVhwdnKN5a5MPd6MrRmYwG6</t>
        </is>
      </c>
      <c r="Y1678" t="inlineStr">
        <is>
          <t>https://drive.google.com/uc?export=view&amp;id=1Hzz1yEpCOVVhwdnKN5a5MPd6MrRmYwG6</t>
        </is>
      </c>
      <c r="Z1678" s="1" t="inlineStr">
        <is>
          <t>https://drive.google.com/uc?export=view&amp;id=1Hzz1yEpCOVVhwdnKN5a5MPd6MrRmYwG6</t>
        </is>
      </c>
      <c r="AA1678" s="1" t="inlineStr">
        <is>
          <t>Verified</t>
        </is>
      </c>
      <c r="AB1678" s="1" t="inlineStr">
        <is>
          <t>Collaborations between EdTech organisations, Project consortium building, Public-private partnerships, Industry-academia partnerships, Other</t>
        </is>
      </c>
      <c r="AC1678" s="1" t="inlineStr">
        <is>
          <t>For-profit company</t>
        </is>
      </c>
      <c r="AD1678" s="10" t="b">
        <v>1</v>
      </c>
      <c r="AE1678" s="1" t="b">
        <v>0</v>
      </c>
      <c r="AF1678" s="1" t="inlineStr">
        <is>
          <t>Yes</t>
        </is>
      </c>
      <c r="AG1678" s="1" t="inlineStr">
        <is>
          <t>https://www.instagram.com/brainlanehq/</t>
        </is>
      </c>
      <c r="AH1678" s="1" t="inlineStr">
        <is>
          <t>https://www.linkedin.com/company/brainlanehq/</t>
        </is>
      </c>
      <c r="AI1678" s="1" t="inlineStr">
        <is>
          <t>https://www.linkedin.com/company/brainlanehq/</t>
        </is>
      </c>
      <c r="AJ1678" s="10" t="inlineStr">
        <is>
          <t>https://www.facebook.com/BrainlaneHQ/</t>
        </is>
      </c>
    </row>
    <row r="1679" ht="12.5" customHeight="1">
      <c r="A1679" s="6" t="n">
        <v>45967</v>
      </c>
      <c r="B1679" s="1" t="inlineStr">
        <is>
          <t>ORG_2714</t>
        </is>
      </c>
      <c r="C1679" s="1" t="b">
        <v>1</v>
      </c>
      <c r="D1679" s="1" t="inlineStr">
        <is>
          <t>Gamindo</t>
        </is>
      </c>
      <c r="E1679" s="10" t="inlineStr">
        <is>
          <t>https://www.gamindo.com</t>
        </is>
      </c>
      <c r="F1679" t="inlineStr">
        <is>
          <t>gamindo.com</t>
        </is>
      </c>
      <c r="G1679" s="1" t="inlineStr">
        <is>
          <t>Generate memorable game-based learning content in few minutes.</t>
        </is>
      </c>
      <c r="H1679" s="1" t="inlineStr">
        <is>
          <t>I'm not part of any EdTech association</t>
        </is>
      </c>
      <c r="I1679" s="1" t="inlineStr">
        <is>
          <t>English, French, Spanish, Dutch, Italian, German, Portuguese</t>
        </is>
      </c>
      <c r="J1679" s="1" t="inlineStr">
        <is>
          <t>Treviso</t>
        </is>
      </c>
      <c r="K1679" t="inlineStr">
        <is>
          <t>Treviso</t>
        </is>
      </c>
      <c r="L1679" t="inlineStr">
        <is>
          <t>Treviso, Italy</t>
        </is>
      </c>
      <c r="M1679" t="n">
        <v>45.8066913</v>
      </c>
      <c r="N1679" t="n">
        <v>12.2063158</v>
      </c>
      <c r="O1679" s="1" t="inlineStr">
        <is>
          <t>Italy</t>
        </is>
      </c>
      <c r="P1679" s="1" t="inlineStr">
        <is>
          <t>Albania, Belarus, Belgium, Andorra, Austria, Bosnia and Herzegovina, Republic of Cyprus, Estonia, Croatia, Denmark, Bulgaria, Czechia, Finland, Greece, France, Hungary, Germany, Iceland, Kosovo, Lithuania, Moldova, Malta, Liechtenstein, Italy, Ireland, Latvia, Luxembourg, Monaco, North Macedonia, Portugal, Slovakia, Sweden, Switzerland, Slovenia, Romania, Norway, Montenegro, Netherlands, Poland, San Marino, Spain, Turkey, United Kingdom, Ukraine</t>
        </is>
      </c>
      <c r="Q1679" s="1" t="inlineStr">
        <is>
          <t>Small (10-49 FTE employees)</t>
        </is>
      </c>
      <c r="R1679" t="inlineStr">
        <is>
          <t>Small</t>
        </is>
      </c>
      <c r="S1679" s="1" t="inlineStr">
        <is>
          <t>Business to Business</t>
        </is>
      </c>
      <c r="T1679" s="1" t="inlineStr">
        <is>
          <t>Corporate Training</t>
        </is>
      </c>
      <c r="U1679" s="1" t="inlineStr">
        <is>
          <t>Teacher interfacing</t>
        </is>
      </c>
      <c r="V1679" s="1" t="inlineStr">
        <is>
          <t>Gamindo Builder</t>
        </is>
      </c>
      <c r="W1679" s="1" t="inlineStr">
        <is>
          <t>AI-powered platform to easily create game-based learning experiences — transforming corporate training from “click &amp; sleep” to truly memorable.</t>
        </is>
      </c>
      <c r="X1679" s="10" t="inlineStr">
        <is>
          <t>https://drive.google.com/uc?export=view&amp;id=19FEF2Yk180DCdJz-Ny-8kGTc9r69px-r</t>
        </is>
      </c>
      <c r="Y1679" t="inlineStr">
        <is>
          <t>https://drive.google.com/uc?export=view&amp;id=19FEF2Yk180DCdJz-Ny-8kGTc9r69px-r</t>
        </is>
      </c>
      <c r="Z1679" s="1" t="inlineStr">
        <is>
          <t>https://drive.google.com/uc?export=view&amp;id=19FEF2Yk180DCdJz-Ny-8kGTc9r69px-r</t>
        </is>
      </c>
      <c r="AA1679" s="1" t="inlineStr">
        <is>
          <t>Verified</t>
        </is>
      </c>
      <c r="AB1679" s="1" t="inlineStr">
        <is>
          <t>Industry-academia partnerships, Public-private partnerships</t>
        </is>
      </c>
      <c r="AC1679" s="1" t="inlineStr">
        <is>
          <t>For-profit company</t>
        </is>
      </c>
      <c r="AD1679" s="10" t="b">
        <v>1</v>
      </c>
      <c r="AE1679" s="1" t="b">
        <v>1</v>
      </c>
      <c r="AF1679" s="1" t="inlineStr">
        <is>
          <t>Yes</t>
        </is>
      </c>
      <c r="AG1679" s="1" t="inlineStr">
        <is>
          <t>https://www.linkedin.com/company/gamindo/</t>
        </is>
      </c>
      <c r="AH1679" s="1" t="inlineStr">
        <is>
          <t>https://www.linkedin.com/company/gamindo/</t>
        </is>
      </c>
      <c r="AI1679" s="1" t="inlineStr">
        <is>
          <t>https://www.linkedin.com/company/gamindo/</t>
        </is>
      </c>
      <c r="AJ1679" s="1" t="n"/>
    </row>
    <row r="1680" ht="12.5" customHeight="1">
      <c r="A1680" s="6" t="n">
        <v>45967</v>
      </c>
      <c r="B1680" s="1" t="inlineStr">
        <is>
          <t>ORG_2715</t>
        </is>
      </c>
      <c r="C1680" s="1" t="b">
        <v>1</v>
      </c>
      <c r="D1680" s="1" t="inlineStr">
        <is>
          <t>BeeApro Srl</t>
        </is>
      </c>
      <c r="E1680" s="10" t="inlineStr">
        <is>
          <t>https://www.beeapro.academy/</t>
        </is>
      </c>
      <c r="F1680" t="inlineStr">
        <is>
          <t>beeapro.academy</t>
        </is>
      </c>
      <c r="G1680" s="1" t="inlineStr">
        <is>
          <t>BeeAPro is an AI-native "Human &amp; GenAI Tech Academy" focused on high-level technical education and certification. Our platform, the "BeeAPro AI Studio," is an intelligent co-pilot for elite trainers and 'Expert-Creators'. It uses a RAG (Retrieval-Augmented Generation) architecture to transform an expert's existing knowledge base (PDFs, videos, URLs) into complete, interactive courses, including AI-generated lesson maps, quizzes, and gamified content. Our mission is to "Teach Different": we automate the heavy lifting of content production, enabling experts to scale their authority and focus on high-value human mentorship, providing a user experience similar to the Google Cloud Skills Boost portal.</t>
        </is>
      </c>
      <c r="H1680" s="1" t="inlineStr">
        <is>
          <t>I'm not part of any EdTech association</t>
        </is>
      </c>
      <c r="I1680" s="1" t="inlineStr">
        <is>
          <t>English, French, Italian, Spanish, German, Portuguese, Czech, Bulgarian, Dutch, Croatian, Estonian, Danish, Finnish, Greek, Hungarian, Lithuanian, Romanian, Swedish, Basque, Catalan, Slovenian, Polish, Latvian, Irish, Maltese, Slovak, Ukrainian</t>
        </is>
      </c>
      <c r="J1680" s="1" t="inlineStr">
        <is>
          <t>Bologna</t>
        </is>
      </c>
      <c r="K1680" t="inlineStr">
        <is>
          <t>Bologna</t>
        </is>
      </c>
      <c r="L1680" t="inlineStr">
        <is>
          <t>Bologna, Italy</t>
        </is>
      </c>
      <c r="M1680" t="n">
        <v>44.4938203</v>
      </c>
      <c r="N1680" t="n">
        <v>11.3426327</v>
      </c>
      <c r="O1680" s="1" t="inlineStr">
        <is>
          <t>Italy</t>
        </is>
      </c>
      <c r="P1680" s="1" t="inlineStr">
        <is>
          <t>Albania, Andorra, Austria, Bosnia and Herzegovina, Belgium, Belarus, Bulgaria, Croatia, Republic of Cyprus, Estonia, Denmark, Czechia, Finland, Greece, Ireland, Latvia, Luxembourg, Monaco, Montenegro, Malta, Liechtenstein, Italy, Hungary, France, Germany, Iceland, Kosovo, Lithuania, Moldova, Netherlands, Poland, San Marino, Spain, Turkey, Norway, Slovenia, Romania, United Kingdom, Ukraine, Sweden, Slovakia, Portugal, North Macedonia</t>
        </is>
      </c>
      <c r="Q1680" s="1" t="inlineStr">
        <is>
          <t>Micro (1-9 FTE employees)</t>
        </is>
      </c>
      <c r="R1680" t="inlineStr">
        <is>
          <t>Micro</t>
        </is>
      </c>
      <c r="S1680" s="1" t="inlineStr">
        <is>
          <t>Business to Business, Business to Government, Business to Consumer, Business to Schools</t>
        </is>
      </c>
      <c r="T1680" s="1" t="inlineStr">
        <is>
          <t>Corporate Training</t>
        </is>
      </c>
      <c r="U1680" s="1" t="inlineStr">
        <is>
          <t>Teacher interfacing</t>
        </is>
      </c>
      <c r="V1680" s="1" t="inlineStr">
        <is>
          <t>BeeAPro AI Studio</t>
        </is>
      </c>
      <c r="W1680" s="1" t="inlineStr">
        <is>
          <t>BeeAPro AI Studio, is an intelligent co-pilot for elite trainers and 'Expert-Creators'</t>
        </is>
      </c>
      <c r="X1680" s="10" t="inlineStr">
        <is>
          <t>https://drive.google.com/uc?export=view&amp;id=1hNAY0CtMriEQatjx1Aaf_xMnP-YSJhuK</t>
        </is>
      </c>
      <c r="Y1680" t="inlineStr">
        <is>
          <t>https://drive.google.com/uc?export=view&amp;id=1hNAY0CtMriEQatjx1Aaf_xMnP-YSJhuK</t>
        </is>
      </c>
      <c r="Z1680" s="1" t="inlineStr">
        <is>
          <t>https://drive.google.com/uc?export=view&amp;id=1hNAY0CtMriEQatjx1Aaf_xMnP-YSJhuK</t>
        </is>
      </c>
      <c r="AA1680" s="1" t="inlineStr">
        <is>
          <t>Verified</t>
        </is>
      </c>
      <c r="AB1680" s="1" t="inlineStr">
        <is>
          <t>Collaborations between EdTech organisations, Public-private partnerships, Industry-academia partnerships, Project consortium building</t>
        </is>
      </c>
      <c r="AC1680" s="1" t="inlineStr">
        <is>
          <t>For-profit company</t>
        </is>
      </c>
      <c r="AD1680" s="10" t="b">
        <v>1</v>
      </c>
      <c r="AE1680" s="1" t="b">
        <v>1</v>
      </c>
      <c r="AF1680" s="1" t="inlineStr">
        <is>
          <t>Yes</t>
        </is>
      </c>
      <c r="AG1680" s="1" t="inlineStr">
        <is>
          <t>https://www.linkedin.com/company/beeapro/</t>
        </is>
      </c>
      <c r="AH1680" s="1" t="inlineStr">
        <is>
          <t>https://www.linkedin.com/company/beeapro/</t>
        </is>
      </c>
      <c r="AI1680" s="1" t="inlineStr">
        <is>
          <t>https://www.linkedin.com/company/beeapro/</t>
        </is>
      </c>
      <c r="AJ1680" s="1" t="n"/>
    </row>
    <row r="1681" ht="12.5" customHeight="1">
      <c r="A1681" s="6" t="n">
        <v>45968</v>
      </c>
      <c r="B1681" s="1" t="inlineStr">
        <is>
          <t>ORG_2716</t>
        </is>
      </c>
      <c r="C1681" s="1" t="b">
        <v>1</v>
      </c>
      <c r="D1681" s="1" t="inlineStr">
        <is>
          <t>Univerbal</t>
        </is>
      </c>
      <c r="E1681" s="10" t="inlineStr">
        <is>
          <t>https://www.univerbal.app/</t>
        </is>
      </c>
      <c r="F1681" t="inlineStr">
        <is>
          <t>univerbal.app</t>
        </is>
      </c>
      <c r="G1681" s="1" t="inlineStr">
        <is>
          <t>We build the personalised AI language tutor. At Univerbal you learn a language by practicing real-life conversations with an AI. By combining your interests with learning methods, we empower you to learn languages in an engaging and progress-driven environment.</t>
        </is>
      </c>
      <c r="H1681" s="1" t="inlineStr">
        <is>
          <t>Swiss EdTech Collider</t>
        </is>
      </c>
      <c r="I1681" s="1" t="inlineStr">
        <is>
          <t>English, German, French, Italian, Spanish, Dutch, Czech, Portuguese, Greek, Danish, Romanian, Swedish, Ukrainian, Polish, Finnish, Norwegian, Chinese, Korean, Japanese, Indonesian, Russian, Turkish</t>
        </is>
      </c>
      <c r="J1681" s="1" t="inlineStr">
        <is>
          <t>Zürich</t>
        </is>
      </c>
      <c r="K1681" t="inlineStr">
        <is>
          <t>Zürich</t>
        </is>
      </c>
      <c r="L1681" t="inlineStr">
        <is>
          <t>Zürich, Switzerland</t>
        </is>
      </c>
      <c r="M1681" t="n">
        <v>47.3744489</v>
      </c>
      <c r="N1681" t="n">
        <v>8.5410422</v>
      </c>
      <c r="O1681" s="1" t="inlineStr">
        <is>
          <t>Switzerland</t>
        </is>
      </c>
      <c r="P1681" s="1" t="inlineStr">
        <is>
          <t>Albania, Andorra, Austria, Bosnia and Herzegovina, Belarus, Belgium, Bulgaria, Croatia, Republic of Cyprus, Estonia, Denmark, Czechia, Finland, France, Germany, Iceland, Hungary, Greece, Ireland, Italy, Kosovo, Liechtenstein, Lithuania, Moldova, Malta, Latvia, Luxembourg, Monaco, Montenegro, Netherlands, Poland, San Marino, Norway, Romania, North Macedonia, Portugal, Slovakia, Sweden, Ukraine, Slovenia, Switzerland, United Kingdom, Spain, Turkey</t>
        </is>
      </c>
      <c r="Q1681" s="1" t="inlineStr">
        <is>
          <t>Micro (1-9 FTE employees)</t>
        </is>
      </c>
      <c r="R1681" t="inlineStr">
        <is>
          <t>Micro</t>
        </is>
      </c>
      <c r="S1681" s="1" t="inlineStr">
        <is>
          <t>Business to Business, Business to Consumer, Business to Government, Business to Schools</t>
        </is>
      </c>
      <c r="T1681" s="1" t="inlineStr">
        <is>
          <t>Primary Education, Secondary Education, Vocational Education and Training (VET), Higher Education, Corporate Training, Lifelong learning/Adult education</t>
        </is>
      </c>
      <c r="U1681" s="1" t="inlineStr">
        <is>
          <t>Student interfacing</t>
        </is>
      </c>
      <c r="V1681" s="10" t="inlineStr">
        <is>
          <t>Univerbal Pass</t>
        </is>
      </c>
      <c r="W1681" s="1" t="inlineStr">
        <is>
          <t>The Univerbal Pass provides our users with unlimited access to real-life conversations, exercises and vocabulary that's evolving around the  skills your working on.</t>
        </is>
      </c>
      <c r="X1681" s="10" t="inlineStr">
        <is>
          <t>Univerbal Licences</t>
        </is>
      </c>
      <c r="Y1681" t="inlineStr">
        <is>
          <t>We created a platform that allows schools, businesses and administrations to get bulk subscriptions to register their language learners autonomously. Everything from the individual account setup, overview up to billing can be reviewed any time.</t>
        </is>
      </c>
      <c r="Z1681" s="1" t="inlineStr">
        <is>
          <t>https://drive.google.com/uc?export=view&amp;id=1CKOwL2hXw4kjLZqd3aWxUJW_NEsQoRi7</t>
        </is>
      </c>
      <c r="AA1681" s="1" t="inlineStr">
        <is>
          <t>Verified</t>
        </is>
      </c>
      <c r="AB1681" s="1" t="inlineStr">
        <is>
          <t>Public-private partnerships</t>
        </is>
      </c>
      <c r="AC1681" s="1" t="inlineStr">
        <is>
          <t>For-profit company</t>
        </is>
      </c>
      <c r="AD1681" s="10" t="b">
        <v>1</v>
      </c>
      <c r="AE1681" s="1" t="b">
        <v>1</v>
      </c>
      <c r="AF1681" s="1" t="inlineStr">
        <is>
          <t>Yes</t>
        </is>
      </c>
      <c r="AG1681" s="1" t="inlineStr">
        <is>
          <t>https://www.instagram.com/univerbalapp/</t>
        </is>
      </c>
      <c r="AH1681" s="1" t="inlineStr">
        <is>
          <t>https://www.linkedin.com/company/univerbalapp/</t>
        </is>
      </c>
      <c r="AI1681" s="1" t="inlineStr">
        <is>
          <t>https://www.linkedin.com/company/univerbalapp/</t>
        </is>
      </c>
      <c r="AJ1681" s="1" t="n"/>
    </row>
    <row r="1682" ht="12.5" customHeight="1">
      <c r="A1682" s="6" t="n">
        <v>45971</v>
      </c>
      <c r="B1682" s="1" t="inlineStr">
        <is>
          <t>ORG_2710</t>
        </is>
      </c>
      <c r="C1682" s="1" t="b">
        <v>1</v>
      </c>
      <c r="D1682" s="1" t="inlineStr">
        <is>
          <t>Techtitans Creative Technology Hub</t>
        </is>
      </c>
      <c r="E1682" s="10" t="inlineStr">
        <is>
          <t>https://techtitans.cloud</t>
        </is>
      </c>
      <c r="F1682" t="inlineStr">
        <is>
          <t>techtitans.cloud</t>
        </is>
      </c>
      <c r="G1682" s="1" t="inlineStr">
        <is>
          <t>TechTitans is an interactive, game-inspired online learning platform designed to teach technology-related skills (e.g., coding, design, animation) to students or aspiring creators by integrating game mechanics like levels, badges, leaderboards, challenges, and rewards.</t>
        </is>
      </c>
      <c r="H1682" s="1" t="inlineStr">
        <is>
          <t>I'm not part of any EdTech association</t>
        </is>
      </c>
      <c r="I1682" s="1" t="inlineStr">
        <is>
          <t>English, Greek</t>
        </is>
      </c>
      <c r="J1682" s="1" t="inlineStr">
        <is>
          <t>Larnaca</t>
        </is>
      </c>
      <c r="K1682" t="inlineStr">
        <is>
          <t>Larnaca</t>
        </is>
      </c>
      <c r="L1682" t="inlineStr">
        <is>
          <t>Larnaca, Greece</t>
        </is>
      </c>
      <c r="M1682" t="n">
        <v>36.8041945</v>
      </c>
      <c r="N1682" t="n">
        <v>22.8393399</v>
      </c>
      <c r="O1682" s="1" t="inlineStr">
        <is>
          <t>Greece</t>
        </is>
      </c>
      <c r="P1682" s="1" t="inlineStr">
        <is>
          <t>Greece, Romania, Albania, Bulgaria, Czechia, Ireland, North Macedonia, Croatia, Denmark, France, Hungary, Malta, Republic of Cyprus, Germany, Poland, United Kingdom, Slovenia, Spain, Turkey</t>
        </is>
      </c>
      <c r="Q1682" s="1" t="inlineStr">
        <is>
          <t>Micro (1-9 FTE employees)</t>
        </is>
      </c>
      <c r="R1682" t="inlineStr">
        <is>
          <t>Micro</t>
        </is>
      </c>
      <c r="S1682" s="1" t="inlineStr">
        <is>
          <t>Business to Business, Business to Consumer, Business to Government, Business to Schools</t>
        </is>
      </c>
      <c r="T1682" s="1" t="inlineStr">
        <is>
          <t>Secondary Education, Vocational Education and Training (VET), Higher Education, Corporate Training, Lifelong learning/Adult education</t>
        </is>
      </c>
      <c r="U1682" s="1" t="inlineStr">
        <is>
          <t>Student interfacing, Teacher interfacing</t>
        </is>
      </c>
      <c r="V1682" s="10" t="inlineStr">
        <is>
          <t>Gamified Courses</t>
        </is>
      </c>
      <c r="W1682" s="10" t="inlineStr">
        <is>
          <t>Learners progress through interactive tracks that include coding, Unity development, digital illustration, and sound engineering.</t>
        </is>
      </c>
      <c r="X1682" s="10" t="inlineStr">
        <is>
          <t>Career Development / Recruitment</t>
        </is>
      </c>
      <c r="Y1682" t="inlineStr">
        <is>
          <t>TechTitans’ job-board and talent-network functionality. It allows us to post openings, review verified learner profiles, and connect with candidates who have proven their abilities through real projects inside the TechTitans ecosystem.</t>
        </is>
      </c>
      <c r="Z1682" s="1" t="inlineStr">
        <is>
          <t>https://drive.google.com/uc?export=view&amp;id=1NeqWDoMCfouaLjLOj_fFYaUzsVfjprhC</t>
        </is>
      </c>
      <c r="AA1682" s="1" t="inlineStr">
        <is>
          <t>Verified</t>
        </is>
      </c>
      <c r="AB1682" s="1" t="inlineStr">
        <is>
          <t>Collaborations between EdTech organisations, Public-private partnerships, Industry-academia partnerships</t>
        </is>
      </c>
      <c r="AC1682" s="1" t="inlineStr">
        <is>
          <t>For-profit company</t>
        </is>
      </c>
      <c r="AD1682" s="10" t="b">
        <v>1</v>
      </c>
      <c r="AE1682" s="1" t="b">
        <v>1</v>
      </c>
      <c r="AF1682" s="1" t="inlineStr">
        <is>
          <t>Yes</t>
        </is>
      </c>
      <c r="AG1682" s="1" t="inlineStr">
        <is>
          <t>https://www.instagram.com/techtitans_creativetechnology</t>
        </is>
      </c>
      <c r="AH1682" s="1" t="inlineStr">
        <is>
          <t>https://x.com/TechTitanshub</t>
        </is>
      </c>
      <c r="AI1682" s="1" t="inlineStr">
        <is>
          <t>https://www.linkedin.com/company/techtitanscreativetechnologyhub</t>
        </is>
      </c>
      <c r="AJ1682" s="10" t="inlineStr">
        <is>
          <t>https://www.facebook.com/techtitans.creativetechnology</t>
        </is>
      </c>
    </row>
    <row r="1683" ht="12.5" customHeight="1">
      <c r="A1683" s="6" t="n">
        <v>45972</v>
      </c>
      <c r="B1683" s="1" t="inlineStr">
        <is>
          <t>ORG_2717</t>
        </is>
      </c>
      <c r="C1683" s="1" t="b">
        <v>1</v>
      </c>
      <c r="D1683" s="1" t="inlineStr">
        <is>
          <t>Ampullarium</t>
        </is>
      </c>
      <c r="E1683" s="10" t="inlineStr">
        <is>
          <t>https://www.ampullarium.app/</t>
        </is>
      </c>
      <c r="F1683" t="inlineStr">
        <is>
          <t>ampullarium.app</t>
        </is>
      </c>
      <c r="G1683" s="1" t="inlineStr">
        <is>
          <t>Ampullarium is a gamified, adaptive learning platform that uses generative AI to create dynamic patient simulations, providing medical students and trainees with a highly engaging and personalized education.</t>
        </is>
      </c>
      <c r="H1683" s="1" t="inlineStr">
        <is>
          <t>I'm not part of any EdTech association</t>
        </is>
      </c>
      <c r="I1683" s="1" t="inlineStr">
        <is>
          <t>German</t>
        </is>
      </c>
      <c r="J1683" s="1" t="inlineStr">
        <is>
          <t>Berlin</t>
        </is>
      </c>
      <c r="K1683" t="inlineStr">
        <is>
          <t>Berlin</t>
        </is>
      </c>
      <c r="L1683" t="inlineStr">
        <is>
          <t>Berlin, Germany</t>
        </is>
      </c>
      <c r="M1683" t="n">
        <v>52.5173885</v>
      </c>
      <c r="N1683" t="n">
        <v>13.3951309</v>
      </c>
      <c r="O1683" s="1" t="inlineStr">
        <is>
          <t>Germany</t>
        </is>
      </c>
      <c r="P1683" s="1" t="inlineStr">
        <is>
          <t>Germany, Austria, Switzerland</t>
        </is>
      </c>
      <c r="Q1683" s="1" t="inlineStr">
        <is>
          <t>Micro (1-9 FTE employees)</t>
        </is>
      </c>
      <c r="R1683" t="inlineStr">
        <is>
          <t>Micro</t>
        </is>
      </c>
      <c r="S1683" s="1" t="inlineStr">
        <is>
          <t>Business to Business, Business to Consumer, Business to Schools</t>
        </is>
      </c>
      <c r="T1683" s="1" t="inlineStr">
        <is>
          <t>Lifelong learning/Adult education, Higher Education, Vocational Education and Training (VET)</t>
        </is>
      </c>
      <c r="U1683" s="1" t="inlineStr">
        <is>
          <t>Student interfacing</t>
        </is>
      </c>
      <c r="V1683" s="10" t="inlineStr">
        <is>
          <t>Ampullarium</t>
        </is>
      </c>
      <c r="W1683" s="1" t="inlineStr">
        <is>
          <t>Ampullarium is a gamified, adaptive learning platform that uses generative AI to create dynamic patient simulations, providing medical students and trainees with a highly engaging and personalized education.</t>
        </is>
      </c>
      <c r="X1683" s="1" t="inlineStr">
        <is>
          <t>https://drive.google.com/uc?export=view&amp;id=1Mg44z7Gip-e32zguojj6cEyKdd9x87m0</t>
        </is>
      </c>
      <c r="Y1683" t="inlineStr">
        <is>
          <t>https://drive.google.com/uc?export=view&amp;id=1Mg44z7Gip-e32zguojj6cEyKdd9x87m0</t>
        </is>
      </c>
      <c r="Z1683" s="1" t="inlineStr">
        <is>
          <t>https://drive.google.com/uc?export=view&amp;id=1Mg44z7Gip-e32zguojj6cEyKdd9x87m0</t>
        </is>
      </c>
      <c r="AA1683" s="1" t="inlineStr">
        <is>
          <t>Verified</t>
        </is>
      </c>
      <c r="AB1683" s="1" t="inlineStr">
        <is>
          <t>Collaborations between EdTech organisations, Project consortium building, Public-private partnerships, Industry-academia partnerships, Other</t>
        </is>
      </c>
      <c r="AC1683" s="1" t="inlineStr">
        <is>
          <t>For-profit company</t>
        </is>
      </c>
      <c r="AD1683" s="10" t="b">
        <v>1</v>
      </c>
      <c r="AE1683" s="1" t="b">
        <v>1</v>
      </c>
      <c r="AF1683" s="1" t="inlineStr">
        <is>
          <t>Yes</t>
        </is>
      </c>
      <c r="AG1683" s="1" t="inlineStr">
        <is>
          <t>https://www.instagram.com/team_ampullarium/?hl=de</t>
        </is>
      </c>
      <c r="AH1683" s="1" t="n"/>
      <c r="AI1683" s="1" t="n"/>
      <c r="AJ1683" s="1" t="n"/>
    </row>
    <row r="1684" ht="12.5" customHeight="1">
      <c r="A1684" s="6" t="n">
        <v>45974</v>
      </c>
      <c r="B1684" s="1" t="inlineStr">
        <is>
          <t>ORG_2718</t>
        </is>
      </c>
      <c r="C1684" s="1" t="b">
        <v>1</v>
      </c>
      <c r="D1684" s="1" t="inlineStr">
        <is>
          <t>Blify</t>
        </is>
      </c>
      <c r="E1684" s="10" t="inlineStr">
        <is>
          <t>https://www.blify.co/</t>
        </is>
      </c>
      <c r="F1684" t="inlineStr">
        <is>
          <t>blify.co</t>
        </is>
      </c>
      <c r="G1684" s="1" t="inlineStr">
        <is>
          <t>Blify turns Slack, Teams, and WhatsApp into AI-powered learning spaces. Our multi-agent system personalizes training in the flow of work, starting with managers.</t>
        </is>
      </c>
      <c r="H1684" s="1" t="inlineStr">
        <is>
          <t>EdTech France</t>
        </is>
      </c>
      <c r="I1684" s="1" t="inlineStr">
        <is>
          <t>English, French, Spanish, German, Italian, Portuguese, Dutch</t>
        </is>
      </c>
      <c r="J1684" s="1" t="inlineStr">
        <is>
          <t>Paris (France)</t>
        </is>
      </c>
      <c r="K1684" t="inlineStr">
        <is>
          <t>Paris</t>
        </is>
      </c>
      <c r="L1684" t="inlineStr">
        <is>
          <t>Paris, France</t>
        </is>
      </c>
      <c r="M1684" t="n">
        <v>48.8534951</v>
      </c>
      <c r="N1684" t="n">
        <v>2.3483915</v>
      </c>
      <c r="O1684" s="1" t="inlineStr">
        <is>
          <t>France</t>
        </is>
      </c>
      <c r="P1684" s="1" t="inlineStr">
        <is>
          <t>Spain, France, Belgium, Germany</t>
        </is>
      </c>
      <c r="Q1684" s="1" t="inlineStr">
        <is>
          <t>Micro (1-9 FTE employees)</t>
        </is>
      </c>
      <c r="R1684" t="inlineStr">
        <is>
          <t>Micro</t>
        </is>
      </c>
      <c r="S1684" s="1" t="inlineStr">
        <is>
          <t>Business to Business</t>
        </is>
      </c>
      <c r="T1684" s="1" t="inlineStr">
        <is>
          <t>Corporate Training, Lifelong learning/Adult education</t>
        </is>
      </c>
      <c r="U1684" s="1" t="inlineStr">
        <is>
          <t>Student interfacing, System/Administrative, Teacher interfacing</t>
        </is>
      </c>
      <c r="V1684" s="1" t="inlineStr">
        <is>
          <t>Blify</t>
        </is>
      </c>
      <c r="W1684" s="10" t="inlineStr">
        <is>
          <t>Blify is an AI-powered learning platform that embeds personalized, contextual manager training directly into Slack, Microsoft Teams, and WhatsApp, helping companies upskill their teams continuously, in the flow of work.</t>
        </is>
      </c>
      <c r="X1684" s="10" t="inlineStr">
        <is>
          <t>https://drive.google.com/uc?export=view&amp;id=1_JH2F4Bw6DXFNcIkkd_7Vw_MW7vpzLw9</t>
        </is>
      </c>
      <c r="Y1684" t="inlineStr">
        <is>
          <t>https://drive.google.com/uc?export=view&amp;id=1_JH2F4Bw6DXFNcIkkd_7Vw_MW7vpzLw9</t>
        </is>
      </c>
      <c r="Z1684" s="1" t="inlineStr">
        <is>
          <t>https://drive.google.com/uc?export=view&amp;id=1_JH2F4Bw6DXFNcIkkd_7Vw_MW7vpzLw9</t>
        </is>
      </c>
      <c r="AA1684" s="1" t="inlineStr">
        <is>
          <t>Verified</t>
        </is>
      </c>
      <c r="AB1684" s="1" t="inlineStr">
        <is>
          <t>Collaborations between EdTech organisations, Project consortium building, Public-private partnerships, Industry-academia partnerships</t>
        </is>
      </c>
      <c r="AC1684" s="1" t="inlineStr">
        <is>
          <t>For-profit company</t>
        </is>
      </c>
      <c r="AD1684" s="10" t="b">
        <v>1</v>
      </c>
      <c r="AE1684" s="1" t="b">
        <v>1</v>
      </c>
      <c r="AF1684" s="1" t="inlineStr">
        <is>
          <t>Yes</t>
        </is>
      </c>
      <c r="AG1684" s="1" t="inlineStr">
        <is>
          <t>https://x.com/blifyapp</t>
        </is>
      </c>
      <c r="AH1684" s="1" t="inlineStr">
        <is>
          <t>https://x.com/blifyapp</t>
        </is>
      </c>
      <c r="AI1684" s="1" t="inlineStr">
        <is>
          <t>https://www.linkedin.com/company/blify/</t>
        </is>
      </c>
      <c r="AJ1684" s="1" t="n"/>
    </row>
    <row r="1685" ht="12.5" customHeight="1">
      <c r="A1685" s="6" t="n">
        <v>45974</v>
      </c>
      <c r="B1685" s="1" t="inlineStr">
        <is>
          <t>ORG_2719</t>
        </is>
      </c>
      <c r="C1685" s="1" t="b">
        <v>1</v>
      </c>
      <c r="D1685" s="1" t="inlineStr">
        <is>
          <t>Coachello</t>
        </is>
      </c>
      <c r="E1685" s="10" t="inlineStr">
        <is>
          <t>coachello.ai</t>
        </is>
      </c>
      <c r="F1685" t="inlineStr">
        <is>
          <t>coachello.ai</t>
        </is>
      </c>
      <c r="G1685" s="1" t="inlineStr">
        <is>
          <t>Coachello provides AI empowered coaching for soft skills development</t>
        </is>
      </c>
      <c r="H1685" s="1" t="inlineStr">
        <is>
          <t>EdTech France</t>
        </is>
      </c>
      <c r="I1685" s="1" t="inlineStr">
        <is>
          <t>English, French, Spanish, German, Italian, Dutch, Portuguese</t>
        </is>
      </c>
      <c r="J1685" s="1" t="inlineStr">
        <is>
          <t>Paris</t>
        </is>
      </c>
      <c r="K1685" t="inlineStr">
        <is>
          <t>Paris</t>
        </is>
      </c>
      <c r="L1685" t="inlineStr">
        <is>
          <t>Paris, France</t>
        </is>
      </c>
      <c r="M1685" t="n">
        <v>48.8534951</v>
      </c>
      <c r="N1685" t="n">
        <v>2.3483915</v>
      </c>
      <c r="O1685" s="1" t="inlineStr">
        <is>
          <t>France</t>
        </is>
      </c>
      <c r="P1685" s="1" t="inlineStr">
        <is>
          <t>France, Netherlands, United Kingdom, Germany, Belgium, Spain</t>
        </is>
      </c>
      <c r="Q1685" s="1" t="inlineStr">
        <is>
          <t>Small (10-49 FTE employees)</t>
        </is>
      </c>
      <c r="R1685" t="inlineStr">
        <is>
          <t>Small</t>
        </is>
      </c>
      <c r="S1685" s="1" t="inlineStr">
        <is>
          <t>Business to Business</t>
        </is>
      </c>
      <c r="T1685" s="1" t="inlineStr">
        <is>
          <t>Corporate Training</t>
        </is>
      </c>
      <c r="U1685" s="1" t="inlineStr">
        <is>
          <t>System/Administrative, Student interfacing</t>
        </is>
      </c>
      <c r="V1685" s="1" t="inlineStr">
        <is>
          <t>AI Avatar Roleplay Coaching</t>
        </is>
      </c>
      <c r="W1685" s="1" t="inlineStr">
        <is>
          <t>We provide AI avatar roleplays in MS Teams / Slack for soft skills development for global teams.</t>
        </is>
      </c>
      <c r="X1685" s="10" t="inlineStr">
        <is>
          <t>Live AI coaching</t>
        </is>
      </c>
      <c r="Y1685" t="inlineStr">
        <is>
          <t>Our AI coach joins managers' 1:1s and evaluates feedback capabilities relative to the organisation's feedback framework.</t>
        </is>
      </c>
      <c r="Z1685" s="1" t="inlineStr">
        <is>
          <t>https://drive.google.com/uc?export=view&amp;id=1O89FJBuxVxn8mkOo4QzBgoxcD1dR2fWY</t>
        </is>
      </c>
      <c r="AA1685" s="1" t="inlineStr">
        <is>
          <t>Verified</t>
        </is>
      </c>
      <c r="AB1685" s="1" t="inlineStr">
        <is>
          <t>Public-private partnerships, Industry-academia partnerships, Collaborations between EdTech organisations</t>
        </is>
      </c>
      <c r="AC1685" s="1" t="inlineStr">
        <is>
          <t>For-profit company</t>
        </is>
      </c>
      <c r="AD1685" s="10" t="b">
        <v>1</v>
      </c>
      <c r="AE1685" s="1" t="b">
        <v>1</v>
      </c>
      <c r="AF1685" s="1" t="inlineStr">
        <is>
          <t>Yes</t>
        </is>
      </c>
      <c r="AG1685" s="1" t="inlineStr">
        <is>
          <t>http://fr.linkedin.com/company/coachello-ai-coaching-platform</t>
        </is>
      </c>
      <c r="AH1685" s="1" t="inlineStr">
        <is>
          <t>http://fr.linkedin.com/company/coachello-ai-coaching-platform</t>
        </is>
      </c>
      <c r="AI1685" s="1" t="inlineStr">
        <is>
          <t>fr.linkedin.com/company/coachello-ai-coaching-platform</t>
        </is>
      </c>
      <c r="AJ1685" s="1" t="n"/>
    </row>
    <row r="1686" ht="12.5" customHeight="1">
      <c r="A1686" s="6" t="n">
        <v>45974</v>
      </c>
      <c r="B1686" s="1" t="inlineStr">
        <is>
          <t>ORG_2720</t>
        </is>
      </c>
      <c r="C1686" s="1" t="b">
        <v>1</v>
      </c>
      <c r="D1686" s="1" t="inlineStr">
        <is>
          <t>EdInnov</t>
        </is>
      </c>
      <c r="E1686" s="10" t="inlineStr">
        <is>
          <t>expliq.fr</t>
        </is>
      </c>
      <c r="F1686" t="inlineStr">
        <is>
          <t>expliq.fr</t>
        </is>
      </c>
      <c r="G1686" s="1" t="inlineStr">
        <is>
          <t>Learning by teaching in K12</t>
        </is>
      </c>
      <c r="H1686" s="1" t="inlineStr">
        <is>
          <t>AFINEF, EdTech France</t>
        </is>
      </c>
      <c r="I1686" s="1" t="inlineStr">
        <is>
          <t>French, English, German</t>
        </is>
      </c>
      <c r="J1686" s="1" t="inlineStr">
        <is>
          <t>Paris</t>
        </is>
      </c>
      <c r="K1686" t="inlineStr">
        <is>
          <t>Paris</t>
        </is>
      </c>
      <c r="L1686" t="inlineStr">
        <is>
          <t>Paris, France</t>
        </is>
      </c>
      <c r="M1686" t="n">
        <v>48.8534951</v>
      </c>
      <c r="N1686" t="n">
        <v>2.3483915</v>
      </c>
      <c r="O1686" s="1" t="inlineStr">
        <is>
          <t>France</t>
        </is>
      </c>
      <c r="P1686" s="1" t="inlineStr">
        <is>
          <t>France, Germany</t>
        </is>
      </c>
      <c r="Q1686" s="1" t="inlineStr">
        <is>
          <t>Small (10-49 FTE employees)</t>
        </is>
      </c>
      <c r="R1686" t="inlineStr">
        <is>
          <t>Small</t>
        </is>
      </c>
      <c r="S1686" s="1" t="inlineStr">
        <is>
          <t>Business to Government, Business to Schools</t>
        </is>
      </c>
      <c r="T1686" s="1" t="inlineStr">
        <is>
          <t>Primary Education, Secondary Education</t>
        </is>
      </c>
      <c r="U1686" s="1" t="inlineStr">
        <is>
          <t>Student interfacing, Teacher interfacing</t>
        </is>
      </c>
      <c r="V1686" s="10" t="inlineStr">
        <is>
          <t>Expliq</t>
        </is>
      </c>
      <c r="W1686" s="1" t="inlineStr">
        <is>
          <t>Expliq is a web application where elementary and secondary students progress in literacy by helping curious little avatars with language study and comprehension. Placed in the role of tutor, students strengthen their language skills while developing their ability to reason and express themselves</t>
        </is>
      </c>
      <c r="X1686" s="10" t="inlineStr">
        <is>
          <t>https://drive.google.com/uc?export=view&amp;id=10px5gYRAai8tk2xzzB1sPT2EFpif2v7e</t>
        </is>
      </c>
      <c r="Y1686" t="inlineStr">
        <is>
          <t>https://drive.google.com/uc?export=view&amp;id=10px5gYRAai8tk2xzzB1sPT2EFpif2v7e</t>
        </is>
      </c>
      <c r="Z1686" s="1" t="inlineStr">
        <is>
          <t>https://drive.google.com/uc?export=view&amp;id=10px5gYRAai8tk2xzzB1sPT2EFpif2v7e</t>
        </is>
      </c>
      <c r="AA1686" s="1" t="inlineStr">
        <is>
          <t>Verified</t>
        </is>
      </c>
      <c r="AB1686" s="1" t="inlineStr">
        <is>
          <t>Collaborations between EdTech organisations, Project consortium building, Public-private partnerships</t>
        </is>
      </c>
      <c r="AC1686" s="1" t="inlineStr">
        <is>
          <t>For-profit company</t>
        </is>
      </c>
      <c r="AD1686" s="10" t="b">
        <v>1</v>
      </c>
      <c r="AE1686" s="1" t="b">
        <v>1</v>
      </c>
      <c r="AF1686" s="1" t="inlineStr">
        <is>
          <t>Yes</t>
        </is>
      </c>
      <c r="AG1686" s="1" t="inlineStr">
        <is>
          <t>https://www.instagram.com/mathena_education/</t>
        </is>
      </c>
      <c r="AH1686" s="1" t="inlineStr">
        <is>
          <t>https://www.linkedin.com/company/108908457</t>
        </is>
      </c>
      <c r="AI1686" s="1" t="inlineStr">
        <is>
          <t>https://www.linkedin.com/company/108908457</t>
        </is>
      </c>
      <c r="AJ1686" s="1" t="n"/>
    </row>
    <row r="1687" ht="12.5" customHeight="1">
      <c r="A1687" s="6" t="n">
        <v>45974</v>
      </c>
      <c r="B1687" s="1" t="inlineStr">
        <is>
          <t>ORG_2721</t>
        </is>
      </c>
      <c r="C1687" s="1" t="b">
        <v>1</v>
      </c>
      <c r="D1687" s="1" t="inlineStr">
        <is>
          <t>Prime Profs</t>
        </is>
      </c>
      <c r="E1687" s="10" t="inlineStr">
        <is>
          <t>primeprofs.fr</t>
        </is>
      </c>
      <c r="F1687" t="inlineStr">
        <is>
          <t>primeprofs.fr</t>
        </is>
      </c>
      <c r="G1687" s="1" t="inlineStr">
        <is>
          <t>Prime Profs is an EdTech company making quality education accessible to everyone. Our platform connects students with certified teachers for personalized online lessons. A dedicated advisor and AI learning tools help each learner progress faster. The first lesson is free, and our prices are 2x more affordable than traditional tutoring.</t>
        </is>
      </c>
      <c r="H1687" s="1" t="inlineStr">
        <is>
          <t>EdTech France</t>
        </is>
      </c>
      <c r="I1687" s="1" t="inlineStr">
        <is>
          <t>French</t>
        </is>
      </c>
      <c r="J1687" s="1" t="inlineStr">
        <is>
          <t>Paris</t>
        </is>
      </c>
      <c r="K1687" t="inlineStr">
        <is>
          <t>Paris</t>
        </is>
      </c>
      <c r="L1687" t="inlineStr">
        <is>
          <t>Paris, France</t>
        </is>
      </c>
      <c r="M1687" t="n">
        <v>48.8534951</v>
      </c>
      <c r="N1687" t="n">
        <v>2.3483915</v>
      </c>
      <c r="O1687" s="1" t="inlineStr">
        <is>
          <t>France</t>
        </is>
      </c>
      <c r="P1687" s="1" t="inlineStr">
        <is>
          <t>France</t>
        </is>
      </c>
      <c r="Q1687" s="1" t="inlineStr">
        <is>
          <t>Micro (1-9 FTE employees)</t>
        </is>
      </c>
      <c r="R1687" t="inlineStr">
        <is>
          <t>Micro</t>
        </is>
      </c>
      <c r="S1687" s="1" t="inlineStr">
        <is>
          <t>Business to Consumer</t>
        </is>
      </c>
      <c r="T1687" s="1" t="inlineStr">
        <is>
          <t>Secondary Education, Higher Education</t>
        </is>
      </c>
      <c r="U1687" s="1" t="inlineStr">
        <is>
          <t>Student interfacing, Teacher interfacing</t>
        </is>
      </c>
      <c r="V1687" s="1" t="inlineStr">
        <is>
          <t>Online tutoring platform</t>
        </is>
      </c>
      <c r="W1687" s="1" t="inlineStr">
        <is>
          <t>Prime Profs connects students with certified teachers for personalized online lessons in academic subjects and languages. A dedicated advisor matches each student with the right tutor. The first lesson is free, schedules are flexible 7/7, and prices are 2× more affordable than traditional tutoring.</t>
        </is>
      </c>
      <c r="X1687" s="10" t="inlineStr">
        <is>
          <t>Prime Study - Smart Revision App</t>
        </is>
      </c>
      <c r="Y1687" t="inlineStr">
        <is>
          <t>Prime Study is a mobile app that helps students revise independently with interactive study sheets, quizzes, flashcards, and an AI tutor that adapts to their level. It complements Prime Profs lessons by reinforcing learning between sessions.</t>
        </is>
      </c>
      <c r="Z1687" s="1" t="inlineStr">
        <is>
          <t>https://drive.google.com/uc?export=view&amp;id=1S7-nZ4zFlFWDGpIcElqRMyNxm_H1uvk7</t>
        </is>
      </c>
      <c r="AA1687" s="1" t="inlineStr">
        <is>
          <t>Verified</t>
        </is>
      </c>
      <c r="AB1687" s="1" t="inlineStr">
        <is>
          <t>Collaborations between EdTech organisations, Public-private partnerships</t>
        </is>
      </c>
      <c r="AC1687" s="1" t="inlineStr">
        <is>
          <t>For-profit company</t>
        </is>
      </c>
      <c r="AD1687" s="10" t="b">
        <v>1</v>
      </c>
      <c r="AE1687" s="1" t="b">
        <v>1</v>
      </c>
      <c r="AF1687" s="1" t="inlineStr">
        <is>
          <t>Yes</t>
        </is>
      </c>
      <c r="AG1687" s="1" t="inlineStr">
        <is>
          <t>https://www.linkedin.com/company/prime-profs/?viewAsMember=true</t>
        </is>
      </c>
      <c r="AH1687" s="1" t="inlineStr">
        <is>
          <t>https://www.linkedin.com/company/prime-profs/?viewAsMember=true</t>
        </is>
      </c>
      <c r="AI1687" s="1" t="inlineStr">
        <is>
          <t>https://www.linkedin.com/company/prime-profs/?viewAsMember=true</t>
        </is>
      </c>
      <c r="AJ1687" s="1" t="n"/>
    </row>
    <row r="1688" ht="12.5" customHeight="1">
      <c r="A1688" s="6" t="n">
        <v>45974</v>
      </c>
      <c r="B1688" s="1" t="inlineStr">
        <is>
          <t>ORG_2722</t>
        </is>
      </c>
      <c r="C1688" s="1" t="b">
        <v>1</v>
      </c>
      <c r="D1688" s="1" t="inlineStr">
        <is>
          <t>Bookinou</t>
        </is>
      </c>
      <c r="E1688" s="10" t="inlineStr">
        <is>
          <t>https://www.mybookinou.com/</t>
        </is>
      </c>
      <c r="F1688" t="inlineStr">
        <is>
          <t>mybookinou.com</t>
        </is>
      </c>
      <c r="G1688" s="1" t="inlineStr">
        <is>
          <t>Bookinou is a book reader for children from 2 years old, screen-free and wireless, supported by the French Ministry of Education and Edu-Up. It fosters a love of reading from an early age through stories recorded in the voices of loved ones (dad, mom, grandpa, teacher…), while keeping the book in the child’s hands so they can read at their own pace.</t>
        </is>
      </c>
      <c r="H1688" s="1" t="inlineStr">
        <is>
          <t>EdTech France</t>
        </is>
      </c>
      <c r="I1688" s="1" t="inlineStr">
        <is>
          <t>French, English</t>
        </is>
      </c>
      <c r="J1688" s="1" t="inlineStr">
        <is>
          <t>Lyon</t>
        </is>
      </c>
      <c r="K1688" t="inlineStr">
        <is>
          <t>Lyon</t>
        </is>
      </c>
      <c r="L1688" t="inlineStr">
        <is>
          <t>Lyon, France</t>
        </is>
      </c>
      <c r="M1688" t="n">
        <v>45.7578137</v>
      </c>
      <c r="N1688" t="n">
        <v>4.8320114</v>
      </c>
      <c r="O1688" s="1" t="inlineStr">
        <is>
          <t>France</t>
        </is>
      </c>
      <c r="P1688" s="1" t="inlineStr">
        <is>
          <t>Belgium, France, Switzerland</t>
        </is>
      </c>
      <c r="Q1688" s="1" t="inlineStr">
        <is>
          <t>Small (10-49 FTE employees)</t>
        </is>
      </c>
      <c r="R1688" t="inlineStr">
        <is>
          <t>Small</t>
        </is>
      </c>
      <c r="S1688" s="1" t="inlineStr">
        <is>
          <t>Business to Schools, Business to Consumer</t>
        </is>
      </c>
      <c r="T1688" s="1" t="inlineStr">
        <is>
          <t>Early childhood development (0-5 years), Primary Education</t>
        </is>
      </c>
      <c r="U1688" s="1" t="inlineStr">
        <is>
          <t>Student interfacing</t>
        </is>
      </c>
      <c r="V1688" s="10" t="inlineStr">
        <is>
          <t>book reader Bookinou</t>
        </is>
      </c>
      <c r="W1688" s="10" t="inlineStr">
        <is>
          <t>Bookinou is a book reader, wireless book reader for children 2+, supported by the French Ministry of Education, letting kids enjoy stories in loved ones’ voices while holding the book.</t>
        </is>
      </c>
      <c r="X1688" s="10" t="inlineStr">
        <is>
          <t>https://drive.google.com/uc?export=view&amp;id=1or7a4dwWWjQ2Looq7WMMDyC06BmU4bpg</t>
        </is>
      </c>
      <c r="Y1688" t="inlineStr">
        <is>
          <t>https://drive.google.com/uc?export=view&amp;id=1or7a4dwWWjQ2Looq7WMMDyC06BmU4bpg</t>
        </is>
      </c>
      <c r="Z1688" s="1" t="inlineStr">
        <is>
          <t>https://drive.google.com/uc?export=view&amp;id=1or7a4dwWWjQ2Looq7WMMDyC06BmU4bpg</t>
        </is>
      </c>
      <c r="AA1688" s="1" t="inlineStr">
        <is>
          <t>Verified</t>
        </is>
      </c>
      <c r="AB1688" s="1" t="inlineStr">
        <is>
          <t>Collaborations between EdTech organisations</t>
        </is>
      </c>
      <c r="AC1688" s="1" t="inlineStr">
        <is>
          <t>For-profit company</t>
        </is>
      </c>
      <c r="AD1688" s="10" t="b">
        <v>1</v>
      </c>
      <c r="AE1688" s="1" t="b">
        <v>1</v>
      </c>
      <c r="AF1688" s="1" t="inlineStr">
        <is>
          <t>Yes</t>
        </is>
      </c>
      <c r="AG1688" s="1" t="inlineStr">
        <is>
          <t>https://www.instagram.com/bookinou/?hl=fr</t>
        </is>
      </c>
      <c r="AH1688" s="1" t="inlineStr">
        <is>
          <t>https://x.com/mybookinou</t>
        </is>
      </c>
      <c r="AI1688" s="1" t="inlineStr">
        <is>
          <t>https://www.linkedin.com/company/bookinou</t>
        </is>
      </c>
      <c r="AJ1688" s="1" t="n"/>
    </row>
    <row r="1689" ht="12.5" customHeight="1">
      <c r="A1689" s="6" t="n">
        <v>45974</v>
      </c>
      <c r="B1689" s="1" t="inlineStr">
        <is>
          <t>ORG_2723</t>
        </is>
      </c>
      <c r="C1689" s="1" t="b">
        <v>1</v>
      </c>
      <c r="D1689" s="1" t="inlineStr">
        <is>
          <t>Aptilink</t>
        </is>
      </c>
      <c r="E1689" s="10" t="inlineStr">
        <is>
          <t>https://www.aptilink.com/</t>
        </is>
      </c>
      <c r="F1689" t="inlineStr">
        <is>
          <t>aptilink.com</t>
        </is>
      </c>
      <c r="G1689" s="1" t="inlineStr">
        <is>
          <t>Aptilink is a digital learning agency specializing in L&amp;D strategy consulting, custom e-learning content creation, and innovative learning software solutions. The company helps organizations design, deploy, and optimize impactful training experiences through a blend of pedagogical expertise, digital innovation, and strategic support.</t>
        </is>
      </c>
      <c r="H1689" s="1" t="inlineStr">
        <is>
          <t>EdTech France</t>
        </is>
      </c>
      <c r="I1689" s="1" t="inlineStr">
        <is>
          <t>English, French, German, Italian, Spanish, Dutch, Croatian, Portuguese, Bulgarian, Danish, Estonian, Greek, Czech, Romanian, Hungarian, Polish, Swedish</t>
        </is>
      </c>
      <c r="J1689" s="1" t="inlineStr">
        <is>
          <t>Paris</t>
        </is>
      </c>
      <c r="K1689" t="inlineStr">
        <is>
          <t>Paris</t>
        </is>
      </c>
      <c r="L1689" t="inlineStr">
        <is>
          <t>Paris, France</t>
        </is>
      </c>
      <c r="M1689" t="n">
        <v>48.8534951</v>
      </c>
      <c r="N1689" t="n">
        <v>2.3483915</v>
      </c>
      <c r="O1689" s="1" t="inlineStr">
        <is>
          <t>France</t>
        </is>
      </c>
      <c r="P1689" s="1" t="inlineStr">
        <is>
          <t>Belgium, France, Germany, United Kingdom</t>
        </is>
      </c>
      <c r="Q1689" s="1" t="inlineStr">
        <is>
          <t>Small (10-49 FTE employees)</t>
        </is>
      </c>
      <c r="R1689" t="inlineStr">
        <is>
          <t>Small</t>
        </is>
      </c>
      <c r="S1689" s="1" t="inlineStr">
        <is>
          <t>Business to Business</t>
        </is>
      </c>
      <c r="T1689" s="1" t="inlineStr">
        <is>
          <t>Corporate Training, Higher Education, Vocational Education and Training (VET), Lifelong learning/Adult education</t>
        </is>
      </c>
      <c r="U1689" s="1" t="inlineStr">
        <is>
          <t>System/Administrative</t>
        </is>
      </c>
      <c r="V1689" s="1" t="inlineStr">
        <is>
          <t>L&amp;D Strategy Consulting</t>
        </is>
      </c>
      <c r="W1689" s="1" t="inlineStr">
        <is>
          <t>Aptilink supports organizations in designing and optimizing their learning and development strategy. This includes training audits, skills development plans, digital learning transformation, and guidance on building effective, scalable training ecosystems.</t>
        </is>
      </c>
      <c r="X1689" s="10" t="inlineStr">
        <is>
          <t>Custom E-Learning Module Creation</t>
        </is>
      </c>
      <c r="Y1689" t="inlineStr">
        <is>
          <t>Aptilink designs and produces tailor-made digital learning experiences, including interactive modules, serious games, motion-design videos, and blended learning paths.</t>
        </is>
      </c>
      <c r="Z1689" s="1" t="inlineStr">
        <is>
          <t>https://drive.google.com/uc?export=view&amp;id=1Z6h2ofQORfeT-rCL5_Jo1DxR1FuvAw9-</t>
        </is>
      </c>
      <c r="AA1689" s="1" t="inlineStr">
        <is>
          <t>Verified</t>
        </is>
      </c>
      <c r="AB1689" s="1" t="inlineStr">
        <is>
          <t>Collaborations between EdTech organisations, Project consortium building, Industry-academia partnerships, Other</t>
        </is>
      </c>
      <c r="AC1689" s="1" t="inlineStr">
        <is>
          <t>For-profit company</t>
        </is>
      </c>
      <c r="AD1689" s="10" t="b">
        <v>1</v>
      </c>
      <c r="AE1689" s="1" t="b">
        <v>1</v>
      </c>
      <c r="AF1689" s="1" t="inlineStr">
        <is>
          <t>Yes</t>
        </is>
      </c>
      <c r="AG1689" s="1" t="inlineStr">
        <is>
          <t>https://www.linkedin.com/company/aptilink/</t>
        </is>
      </c>
      <c r="AH1689" s="1" t="inlineStr">
        <is>
          <t>https://www.linkedin.com/company/aptilink/</t>
        </is>
      </c>
      <c r="AI1689" s="1" t="inlineStr">
        <is>
          <t>https://www.linkedin.com/company/aptilink/</t>
        </is>
      </c>
      <c r="AJ1689" s="1" t="n"/>
    </row>
    <row r="1690" ht="12.5" customHeight="1">
      <c r="A1690" s="6" t="n">
        <v>45974</v>
      </c>
      <c r="B1690" s="1" t="inlineStr">
        <is>
          <t>ORG_2724</t>
        </is>
      </c>
      <c r="C1690" s="1" t="b">
        <v>1</v>
      </c>
      <c r="D1690" s="1" t="inlineStr">
        <is>
          <t>Beedeez</t>
        </is>
      </c>
      <c r="E1690" s="10" t="inlineStr">
        <is>
          <t>https://www.beedeez.com/fr/</t>
        </is>
      </c>
      <c r="F1690" t="inlineStr">
        <is>
          <t>beedeez.com/fr</t>
        </is>
      </c>
      <c r="G1690" s="1" t="inlineStr">
        <is>
          <t>Beedeez is a Social Learning Platform to engage and retain your teams by transforming them into learning communities to help your company grow.  Thanks to a unique technology linked to a social pedagogy, Beedeez allows you to decentralise knowledge within your company so that everyone is both a learner and a trainer. By offering an innovative and social training platform, Beedeez allows you to overcome all the professional training challenges of today and tomorrow.</t>
        </is>
      </c>
      <c r="H1690" s="1" t="inlineStr">
        <is>
          <t>EdTech France</t>
        </is>
      </c>
      <c r="I1690" s="1" t="inlineStr">
        <is>
          <t>English, French, Spanish, German, Italian, Dutch, Portuguese, Bulgarian, Croatian, Czech, Danish, Estonian, Finnish, Greek, Hungarian, Irish, Latvian, Lithuanian, Maltese, Polish, Romanian, Slovak, Slovenian, Swedish, Ukrainian</t>
        </is>
      </c>
      <c r="J1690" s="1" t="inlineStr">
        <is>
          <t>Paris</t>
        </is>
      </c>
      <c r="K1690" t="inlineStr">
        <is>
          <t>Paris</t>
        </is>
      </c>
      <c r="L1690" t="inlineStr">
        <is>
          <t>Paris, France</t>
        </is>
      </c>
      <c r="M1690" t="n">
        <v>48.8534951</v>
      </c>
      <c r="N1690" t="n">
        <v>2.3483915</v>
      </c>
      <c r="O1690" s="1" t="inlineStr">
        <is>
          <t>France</t>
        </is>
      </c>
      <c r="P1690" s="1" t="inlineStr">
        <is>
          <t>Belgium, Austria, Denmark, France, Germany, Italy, Netherlands, Portugal, Spain, Turkey, United Kingdom, USA, Canada, China, Australia</t>
        </is>
      </c>
      <c r="Q1690" s="1" t="inlineStr">
        <is>
          <t>Medium (50-250 FTE employees)</t>
        </is>
      </c>
      <c r="R1690" t="inlineStr">
        <is>
          <t>Medium</t>
        </is>
      </c>
      <c r="S1690" s="1" t="inlineStr">
        <is>
          <t>Business to Business</t>
        </is>
      </c>
      <c r="T1690" s="1" t="inlineStr">
        <is>
          <t>Corporate Training</t>
        </is>
      </c>
      <c r="U1690" s="1" t="inlineStr">
        <is>
          <t>Other</t>
        </is>
      </c>
      <c r="V1690" s="1" t="inlineStr">
        <is>
          <t>Learning Management Solution (LMS)</t>
        </is>
      </c>
      <c r="W1690" s="1" t="inlineStr">
        <is>
          <t>Beedeez is a Social Learning Platform to engage and retain your teams by transforming them into learning communities to help your company grow.
Beedeez allows you to decentralise knowledge within your company so that everyone is both a learner and a trainer.</t>
        </is>
      </c>
      <c r="X1690" s="10" t="inlineStr">
        <is>
          <t>https://drive.google.com/uc?export=view&amp;id=15dYoEAn7Jf0GiVopuIHGhqCBBuobiA4H</t>
        </is>
      </c>
      <c r="Y1690" t="inlineStr">
        <is>
          <t>https://drive.google.com/uc?export=view&amp;id=15dYoEAn7Jf0GiVopuIHGhqCBBuobiA4H</t>
        </is>
      </c>
      <c r="Z1690" s="1" t="inlineStr">
        <is>
          <t>https://drive.google.com/uc?export=view&amp;id=15dYoEAn7Jf0GiVopuIHGhqCBBuobiA4H</t>
        </is>
      </c>
      <c r="AA1690" s="1" t="inlineStr">
        <is>
          <t>Verified</t>
        </is>
      </c>
      <c r="AB1690" s="1" t="inlineStr">
        <is>
          <t>Collaborations between EdTech organisations, Other</t>
        </is>
      </c>
      <c r="AC1690" s="1" t="inlineStr">
        <is>
          <t>For-profit company</t>
        </is>
      </c>
      <c r="AD1690" s="10" t="b">
        <v>1</v>
      </c>
      <c r="AE1690" s="1" t="b">
        <v>1</v>
      </c>
      <c r="AF1690" s="1" t="inlineStr">
        <is>
          <t>Yes</t>
        </is>
      </c>
      <c r="AG1690" s="1" t="inlineStr">
        <is>
          <t>https://www.linkedin.com/company/beedeez/posts/?feedView=all</t>
        </is>
      </c>
      <c r="AH1690" s="1" t="inlineStr">
        <is>
          <t>https://www.linkedin.com/company/beedeez/posts/?feedView=all</t>
        </is>
      </c>
      <c r="AI1690" s="1" t="inlineStr">
        <is>
          <t>https://www.linkedin.com/company/beedeez/posts/?feedView=all</t>
        </is>
      </c>
      <c r="AJ1690" s="1" t="n"/>
    </row>
    <row r="1691" ht="12.5" customHeight="1">
      <c r="A1691" s="6" t="n">
        <v>45974</v>
      </c>
      <c r="B1691" s="1" t="inlineStr">
        <is>
          <t>ORG_2725</t>
        </is>
      </c>
      <c r="C1691" s="1" t="b">
        <v>1</v>
      </c>
      <c r="D1691" s="1" t="inlineStr">
        <is>
          <t>Hopteo</t>
        </is>
      </c>
      <c r="E1691" s="10" t="inlineStr">
        <is>
          <t>www.hopteo.com</t>
        </is>
      </c>
      <c r="F1691" t="inlineStr">
        <is>
          <t>hopteo.com</t>
        </is>
      </c>
      <c r="G1691" s="1" t="inlineStr">
        <is>
          <t>Hopteo is a smart mobile app designed to help high school students in France to build their educational and professionnal path. By answering a series of preference-based “swipe” cards, users receive personalised suggestions of over 90 000 formations, each described with clear details on curriculum, admissions, costs and career outcomes. Hopteo stands out for its impartiality - no school can pay for positioning - and relies on official data from sources like Onisep and Parcoursup to ensure trustworthy guidance.</t>
        </is>
      </c>
      <c r="H1691" s="1" t="inlineStr">
        <is>
          <t>EdTech France</t>
        </is>
      </c>
      <c r="I1691" s="1" t="inlineStr">
        <is>
          <t>French</t>
        </is>
      </c>
      <c r="J1691" s="1" t="inlineStr">
        <is>
          <t>Albi</t>
        </is>
      </c>
      <c r="K1691" t="inlineStr">
        <is>
          <t>Albi</t>
        </is>
      </c>
      <c r="L1691" t="inlineStr">
        <is>
          <t>Albi, France</t>
        </is>
      </c>
      <c r="M1691" t="n">
        <v>43.9277552</v>
      </c>
      <c r="N1691" t="n">
        <v>2.147899</v>
      </c>
      <c r="O1691" s="1" t="inlineStr">
        <is>
          <t>France</t>
        </is>
      </c>
      <c r="P1691" s="1" t="inlineStr">
        <is>
          <t>France</t>
        </is>
      </c>
      <c r="Q1691" s="1" t="inlineStr">
        <is>
          <t>Micro (1-9 FTE employees)</t>
        </is>
      </c>
      <c r="R1691" t="inlineStr">
        <is>
          <t>Micro</t>
        </is>
      </c>
      <c r="S1691" s="1" t="inlineStr">
        <is>
          <t>Business to Consumer</t>
        </is>
      </c>
      <c r="T1691" s="1" t="inlineStr">
        <is>
          <t>Secondary Education, Higher Education, Lifelong learning/Adult education</t>
        </is>
      </c>
      <c r="U1691" s="1" t="inlineStr">
        <is>
          <t>Student interfacing</t>
        </is>
      </c>
      <c r="V1691" s="10" t="inlineStr">
        <is>
          <t>Hopteo+</t>
        </is>
      </c>
      <c r="W1691" s="1" t="inlineStr">
        <is>
          <t>Hopteo+ is a smart assistant who guide students to build their own scholar and professionnal path step by step. This assistant is build only around the student profile generate by our unique swipe card system.</t>
        </is>
      </c>
      <c r="X1691" s="10" t="inlineStr">
        <is>
          <t>https://drive.google.com/uc?export=view&amp;id=1PG0epXFvC-fNUDOafNtApPcJ2kcNQY97</t>
        </is>
      </c>
      <c r="Y1691" t="inlineStr">
        <is>
          <t>https://drive.google.com/uc?export=view&amp;id=1PG0epXFvC-fNUDOafNtApPcJ2kcNQY97</t>
        </is>
      </c>
      <c r="Z1691" s="1" t="inlineStr">
        <is>
          <t>https://drive.google.com/uc?export=view&amp;id=1PG0epXFvC-fNUDOafNtApPcJ2kcNQY97</t>
        </is>
      </c>
      <c r="AA1691" s="1" t="inlineStr">
        <is>
          <t>Verified</t>
        </is>
      </c>
      <c r="AB1691" s="1" t="inlineStr">
        <is>
          <t>Collaborations between EdTech organisations, Other</t>
        </is>
      </c>
      <c r="AC1691" s="1" t="inlineStr">
        <is>
          <t>For-profit company</t>
        </is>
      </c>
      <c r="AD1691" s="10" t="b">
        <v>0</v>
      </c>
      <c r="AE1691" s="1" t="b">
        <v>1</v>
      </c>
      <c r="AF1691" s="1" t="inlineStr">
        <is>
          <t>Yes</t>
        </is>
      </c>
      <c r="AG1691" s="1" t="inlineStr">
        <is>
          <t>https://www.instagram.com/hopteo_app/</t>
        </is>
      </c>
      <c r="AH1691" s="1" t="inlineStr">
        <is>
          <t>https://www.linkedin.com/company/hopteo</t>
        </is>
      </c>
      <c r="AI1691" s="1" t="inlineStr">
        <is>
          <t>https://www.linkedin.com/company/hopteo</t>
        </is>
      </c>
      <c r="AJ1691" s="10" t="inlineStr">
        <is>
          <t>https://www.facebook.com/p/Hopteo-100092716956707/</t>
        </is>
      </c>
    </row>
    <row r="1692" ht="12.5" customHeight="1">
      <c r="A1692" s="6" t="n">
        <v>45974</v>
      </c>
      <c r="B1692" s="1" t="inlineStr">
        <is>
          <t>ORG_2587</t>
        </is>
      </c>
      <c r="C1692" s="1" t="b">
        <v>1</v>
      </c>
      <c r="D1692" s="1" t="inlineStr">
        <is>
          <t>FACIL'iti</t>
        </is>
      </c>
      <c r="E1692" s="10" t="inlineStr">
        <is>
          <t>https://www.facil-iti.fr</t>
        </is>
      </c>
      <c r="F1692" t="inlineStr">
        <is>
          <t>facil-iti.fr</t>
        </is>
      </c>
      <c r="G1692" s="1" t="inlineStr">
        <is>
          <t>FACIL’iti makes everyday life and everyday moments easier through user-friendly, one-click innovative digital tools for those with cognitive, visual, and motor challenges.</t>
        </is>
      </c>
      <c r="H1692" s="1" t="inlineStr">
        <is>
          <t>EdTech France</t>
        </is>
      </c>
      <c r="I1692" s="1" t="inlineStr">
        <is>
          <t>English, French, Japanese</t>
        </is>
      </c>
      <c r="J1692" s="1" t="inlineStr">
        <is>
          <t>Limoges, France</t>
        </is>
      </c>
      <c r="K1692" t="inlineStr">
        <is>
          <t>Limoges</t>
        </is>
      </c>
      <c r="L1692" t="inlineStr">
        <is>
          <t>Limoges, France</t>
        </is>
      </c>
      <c r="M1692" t="n">
        <v>45.8354243</v>
      </c>
      <c r="N1692" t="n">
        <v>1.2644847</v>
      </c>
      <c r="O1692" s="1" t="inlineStr">
        <is>
          <t>France</t>
        </is>
      </c>
      <c r="P1692" s="1" t="inlineStr">
        <is>
          <t>Albania, Belarus, Andorra, Belgium, Austria, Bosnia and Herzegovina, Republic of Cyprus, Croatia, Bulgaria, Czechia, Denmark, Estonia, Germany, France, Finland, Greece, Hungary, Iceland, Kosovo, Italy, Ireland, Latvia, Liechtenstein, Lithuania, Moldova, Netherlands, Malta, Montenegro, Luxembourg, Monaco, North Macedonia, Portugal, Norway, Romania, Poland, San Marino, Spain, Turkey, Slovenia, Switzerland, Slovakia, Sweden, Ukraine, United Kingdom</t>
        </is>
      </c>
      <c r="Q1692" s="1" t="inlineStr">
        <is>
          <t>Small (10-49 FTE employees)</t>
        </is>
      </c>
      <c r="R1692" t="inlineStr">
        <is>
          <t>Small</t>
        </is>
      </c>
      <c r="S1692" s="1" t="inlineStr">
        <is>
          <t>Business to Business, Business to Consumer, Business to Government, Business to Schools</t>
        </is>
      </c>
      <c r="T1692" s="1" t="inlineStr">
        <is>
          <t>Primary Education, Secondary Education, Vocational Education and Training (VET), Higher Education, Corporate Training, Lifelong learning/Adult education, Special Education, Other</t>
        </is>
      </c>
      <c r="U1692" s="1" t="inlineStr">
        <is>
          <t>Student interfacing</t>
        </is>
      </c>
      <c r="V1692" s="10" t="inlineStr">
        <is>
          <t>MYdys</t>
        </is>
      </c>
      <c r="W1692" s="10" t="inlineStr">
        <is>
          <t>MYdys offers features that improve reading comfort and text comprehension for a wide audience: learners of all ages who are affected by cognitive disorders (dyslexia, ASD, etc.), visual impairments (partial sight, etc.), or who are non-native speakers or illiterate.</t>
        </is>
      </c>
      <c r="X1692" s="10" t="inlineStr">
        <is>
          <t>https://drive.google.com/uc?export=view&amp;id=1S7LL3RxuHou84CrNHPGMAtFAIdZLkbyD</t>
        </is>
      </c>
      <c r="Y1692" t="inlineStr">
        <is>
          <t>https://drive.google.com/uc?export=view&amp;id=1S7LL3RxuHou84CrNHPGMAtFAIdZLkbyD</t>
        </is>
      </c>
      <c r="Z1692" s="1" t="inlineStr">
        <is>
          <t>https://drive.google.com/uc?export=view&amp;id=1S7LL3RxuHou84CrNHPGMAtFAIdZLkbyD</t>
        </is>
      </c>
      <c r="AA1692" s="1" t="inlineStr">
        <is>
          <t>Verified</t>
        </is>
      </c>
      <c r="AB1692" s="1" t="inlineStr">
        <is>
          <t>Industry-academia partnerships</t>
        </is>
      </c>
      <c r="AC1692" s="1" t="inlineStr">
        <is>
          <t>For-profit company</t>
        </is>
      </c>
      <c r="AD1692" s="10" t="b">
        <v>1</v>
      </c>
      <c r="AE1692" s="1" t="b">
        <v>1</v>
      </c>
      <c r="AF1692" s="1" t="inlineStr">
        <is>
          <t>Yes</t>
        </is>
      </c>
      <c r="AG1692" s="1" t="inlineStr">
        <is>
          <t>https://www.instagram.com/facil_iti/</t>
        </is>
      </c>
      <c r="AH1692" s="1" t="inlineStr">
        <is>
          <t>https://twitter.com/facil_iti</t>
        </is>
      </c>
      <c r="AI1692" s="1" t="inlineStr">
        <is>
          <t>https://www.linkedin.com/company/facil-iti-france/</t>
        </is>
      </c>
      <c r="AJ1692" s="10" t="inlineStr">
        <is>
          <t>https://fr-fr.facebook.com/solutionfaciliti/</t>
        </is>
      </c>
    </row>
    <row r="1693" ht="12.5" customHeight="1">
      <c r="A1693" s="6" t="n">
        <v>45975</v>
      </c>
      <c r="B1693" s="1" t="inlineStr">
        <is>
          <t>ORG_2727</t>
        </is>
      </c>
      <c r="C1693" s="1" t="b">
        <v>1</v>
      </c>
      <c r="D1693" s="1" t="inlineStr">
        <is>
          <t>YouScribe</t>
        </is>
      </c>
      <c r="E1693" s="10" t="inlineStr">
        <is>
          <t>https://www.youscribe.com/</t>
        </is>
      </c>
      <c r="F1693" t="inlineStr">
        <is>
          <t>youscribe.com</t>
        </is>
      </c>
      <c r="G1693" s="1" t="inlineStr">
        <is>
          <t>YouScribe, the ‘Netflix of reading’, is the leading streaming library on the African continent. The company is growing mainly in Europe and Africa. The service is available in 13 countries in the MENA region, via a microcredit subscription model on a daily basis (B2C) or an annual subscription (B2B) for schools, universities and corporate foundations. YouScribe had more than 1.3 million subscribers in Africa at the end of 2023.  Novels, audiobooks, newspapers, comics, professional and personal development books, children's books... more than a million pieces of content in French, Arabic and English are available for streaming on all screens (smartphones, PCs and tablets).  Through its offering and its partners, YouScribe aims to contribute to a world of unlimited cultures through the power of reading.</t>
        </is>
      </c>
      <c r="H1693" s="1" t="inlineStr">
        <is>
          <t>AFINEF, EdTech France</t>
        </is>
      </c>
      <c r="I1693" s="1" t="inlineStr">
        <is>
          <t>English, French, Spanish</t>
        </is>
      </c>
      <c r="J1693" s="1" t="inlineStr">
        <is>
          <t>Paris</t>
        </is>
      </c>
      <c r="K1693" t="inlineStr">
        <is>
          <t>Paris</t>
        </is>
      </c>
      <c r="L1693" t="inlineStr">
        <is>
          <t>Paris, France</t>
        </is>
      </c>
      <c r="M1693" t="n">
        <v>48.8534951</v>
      </c>
      <c r="N1693" t="n">
        <v>2.3483915</v>
      </c>
      <c r="O1693" s="1" t="inlineStr">
        <is>
          <t>France</t>
        </is>
      </c>
      <c r="P1693" s="1" t="inlineStr">
        <is>
          <t>France, Belgium</t>
        </is>
      </c>
      <c r="Q1693" s="1" t="inlineStr">
        <is>
          <t>Small (10-49 FTE employees)</t>
        </is>
      </c>
      <c r="R1693" t="inlineStr">
        <is>
          <t>Small</t>
        </is>
      </c>
      <c r="S1693" s="1" t="inlineStr">
        <is>
          <t>Business to Business, Business to Consumer, Business to Government, Business to Schools</t>
        </is>
      </c>
      <c r="T1693" s="1" t="inlineStr">
        <is>
          <t>Primary Education, Secondary Education, Higher Education, Corporate Training, Lifelong learning/Adult education</t>
        </is>
      </c>
      <c r="U1693" s="1" t="inlineStr">
        <is>
          <t>Other</t>
        </is>
      </c>
      <c r="V1693" s="1" t="inlineStr">
        <is>
          <t>YouScribe subscription</t>
        </is>
      </c>
      <c r="W1693" s="1" t="inlineStr">
        <is>
          <t>Streaming subscription, by the day, week, month or year, providing unlimited access to the catalogue (e-books, audiobooks, press)</t>
        </is>
      </c>
      <c r="X1693" s="10" t="inlineStr">
        <is>
          <t>https://drive.google.com/uc?export=view&amp;id=1dB8TqyBB-DSd4IIF0GfMH9knkRXsBbJ4</t>
        </is>
      </c>
      <c r="Y1693" t="inlineStr">
        <is>
          <t>https://drive.google.com/uc?export=view&amp;id=1dB8TqyBB-DSd4IIF0GfMH9knkRXsBbJ4</t>
        </is>
      </c>
      <c r="Z1693" s="1" t="inlineStr">
        <is>
          <t>https://drive.google.com/uc?export=view&amp;id=1dB8TqyBB-DSd4IIF0GfMH9knkRXsBbJ4</t>
        </is>
      </c>
      <c r="AA1693" s="1" t="inlineStr">
        <is>
          <t>Verified</t>
        </is>
      </c>
      <c r="AB1693" s="1" t="inlineStr">
        <is>
          <t>Collaborations between EdTech organisations, Industry-academia partnerships, Public-private partnerships</t>
        </is>
      </c>
      <c r="AC1693" s="1" t="inlineStr">
        <is>
          <t>For-profit company</t>
        </is>
      </c>
      <c r="AD1693" s="10" t="b">
        <v>1</v>
      </c>
      <c r="AE1693" s="1" t="b">
        <v>1</v>
      </c>
      <c r="AF1693" s="1" t="inlineStr">
        <is>
          <t>Yes</t>
        </is>
      </c>
      <c r="AG1693" s="1" t="inlineStr">
        <is>
          <t>https://www.linkedin.com/company/youscribe/?originalSubdomain=fr</t>
        </is>
      </c>
      <c r="AH1693" s="1" t="inlineStr">
        <is>
          <t>https://www.linkedin.com/company/youscribe/?originalSubdomain=fr</t>
        </is>
      </c>
      <c r="AI1693" s="1" t="inlineStr">
        <is>
          <t>https://www.linkedin.com/company/youscribe/?originalSubdomain=fr</t>
        </is>
      </c>
      <c r="AJ1693" s="1" t="n"/>
    </row>
    <row r="1694" ht="12.5" customHeight="1">
      <c r="A1694" s="6" t="n">
        <v>45975</v>
      </c>
      <c r="B1694" s="1" t="inlineStr">
        <is>
          <t>ORG_2728</t>
        </is>
      </c>
      <c r="C1694" s="1" t="b">
        <v>1</v>
      </c>
      <c r="D1694" s="1" t="inlineStr">
        <is>
          <t>Baguette Lab</t>
        </is>
      </c>
      <c r="E1694" s="10" t="inlineStr">
        <is>
          <t>https://sankliche.org/</t>
        </is>
      </c>
      <c r="F1694" t="inlineStr">
        <is>
          <t>sankliche.org</t>
        </is>
      </c>
      <c r="G1694" s="1" t="inlineStr">
        <is>
          <t>SanKliché is a digital inclusion platform designed to facilitate the linguistic and social integration of non-French speakers. Through structured, real-life micro-learning challenges, it supports the acquisition of practical language skills and fosters autonomous participation in daily and civic life. Accessible on both mobile and desktop, SanKliché is used by individuals, civil-society organisations, educational institutions, and employers committed to promoting inclusion, equal opportunities, and effective communication within diverse communities.</t>
        </is>
      </c>
      <c r="H1694" s="1" t="inlineStr">
        <is>
          <t>EdTech France</t>
        </is>
      </c>
      <c r="I1694" s="1" t="inlineStr">
        <is>
          <t>French</t>
        </is>
      </c>
      <c r="J1694" s="1" t="inlineStr">
        <is>
          <t>Montpellier</t>
        </is>
      </c>
      <c r="K1694" t="inlineStr">
        <is>
          <t>Montpellier</t>
        </is>
      </c>
      <c r="L1694" t="inlineStr">
        <is>
          <t>Montpellier, France</t>
        </is>
      </c>
      <c r="M1694" t="n">
        <v>43.6112422</v>
      </c>
      <c r="N1694" t="n">
        <v>3.8767337</v>
      </c>
      <c r="O1694" s="1" t="inlineStr">
        <is>
          <t>France</t>
        </is>
      </c>
      <c r="P1694" s="1" t="inlineStr">
        <is>
          <t>France</t>
        </is>
      </c>
      <c r="Q1694" s="1" t="inlineStr">
        <is>
          <t>Solo entrepreneur</t>
        </is>
      </c>
      <c r="R1694" t="inlineStr">
        <is>
          <t>Solo entrepreneur</t>
        </is>
      </c>
      <c r="S1694" s="1" t="inlineStr">
        <is>
          <t>Business to Business, Business to Government, Business to Schools</t>
        </is>
      </c>
      <c r="T1694" s="1" t="inlineStr">
        <is>
          <t>Higher Education, Secondary Education, Other, Corporate Training, Vocational Education and Training (VET), Lifelong learning/Adult education</t>
        </is>
      </c>
      <c r="U1694" s="1" t="inlineStr">
        <is>
          <t>Student interfacing</t>
        </is>
      </c>
      <c r="V1694" s="1" t="inlineStr">
        <is>
          <t>SanKliché Digital Learning solution</t>
        </is>
      </c>
      <c r="W1694" s="1" t="inlineStr">
        <is>
          <t>A digital inclusion Edtech utilizing AI-driven gamified micro-learning challenges to accelerate linguistic and social integration. Tailored for non-French speakers, it adapts in real-time to learners’ needs through interactive, context-based scenarios.</t>
        </is>
      </c>
      <c r="X1694" s="1" t="inlineStr">
        <is>
          <t>SanKliché Training &amp; Integration Programmes</t>
        </is>
      </c>
      <c r="Y1694" t="inlineStr">
        <is>
          <t>Tailored training pathways for organisations, institutions, and employers supporting newcomers or non-French speaking audiences that combine digital tools, facilitation support, and contextualised learning activities to promote effective communication, employability, and social participation</t>
        </is>
      </c>
      <c r="Z1694" s="1" t="inlineStr">
        <is>
          <t>https://drive.google.com/uc?export=view&amp;id=1zH8AQ3ZNmeioci_BTBJkJVwi2d4UEnub</t>
        </is>
      </c>
      <c r="AA1694" s="1" t="inlineStr">
        <is>
          <t>Verified</t>
        </is>
      </c>
      <c r="AB1694" s="1" t="inlineStr">
        <is>
          <t>Collaborations between EdTech organisations, Project consortium building, Public-private partnerships, Industry-academia partnerships</t>
        </is>
      </c>
      <c r="AC1694" s="1" t="inlineStr">
        <is>
          <t>Non-profit organisation</t>
        </is>
      </c>
      <c r="AD1694" s="10" t="b">
        <v>1</v>
      </c>
      <c r="AE1694" s="1" t="b">
        <v>1</v>
      </c>
      <c r="AF1694" s="1" t="inlineStr">
        <is>
          <t>No</t>
        </is>
      </c>
      <c r="AG1694" s="1" t="n"/>
      <c r="AH1694" s="1" t="n"/>
      <c r="AI1694" s="1" t="n"/>
      <c r="AJ1694" s="1" t="n"/>
    </row>
    <row r="1695" ht="12.5" customHeight="1">
      <c r="A1695" s="6" t="n">
        <v>45978</v>
      </c>
      <c r="B1695" s="1" t="inlineStr">
        <is>
          <t>ORG_2729</t>
        </is>
      </c>
      <c r="C1695" s="1" t="b">
        <v>1</v>
      </c>
      <c r="D1695" s="1" t="inlineStr">
        <is>
          <t>Acadeclic</t>
        </is>
      </c>
      <c r="E1695" s="10" t="inlineStr">
        <is>
          <t>https://acadeclic.fr</t>
        </is>
      </c>
      <c r="F1695" t="inlineStr">
        <is>
          <t>acadeclic.fr</t>
        </is>
      </c>
      <c r="G1695" s="1" t="inlineStr">
        <is>
          <t>Acadeclic provides instant online tutoring, connecting learners with qualified teachers in just a few minutes. Our platform offers flexible, high-quality support to help students progress whenever they need it.</t>
        </is>
      </c>
      <c r="H1695" s="1" t="inlineStr">
        <is>
          <t>EdTech France</t>
        </is>
      </c>
      <c r="I1695" s="1" t="inlineStr">
        <is>
          <t>English, French</t>
        </is>
      </c>
      <c r="J1695" s="1" t="inlineStr">
        <is>
          <t>Paris</t>
        </is>
      </c>
      <c r="K1695" t="inlineStr">
        <is>
          <t>Paris</t>
        </is>
      </c>
      <c r="L1695" t="inlineStr">
        <is>
          <t>Paris, France</t>
        </is>
      </c>
      <c r="M1695" t="n">
        <v>48.8534951</v>
      </c>
      <c r="N1695" t="n">
        <v>2.3483915</v>
      </c>
      <c r="O1695" s="1" t="inlineStr">
        <is>
          <t>France</t>
        </is>
      </c>
      <c r="P1695" s="1" t="inlineStr">
        <is>
          <t>France</t>
        </is>
      </c>
      <c r="Q1695" s="1" t="inlineStr">
        <is>
          <t>Micro (1-9 FTE employees)</t>
        </is>
      </c>
      <c r="R1695" t="inlineStr">
        <is>
          <t>Micro</t>
        </is>
      </c>
      <c r="S1695" s="1" t="inlineStr">
        <is>
          <t>Business to Consumer</t>
        </is>
      </c>
      <c r="T1695" s="1" t="inlineStr">
        <is>
          <t>Secondary Education, Higher Education, Lifelong learning/Adult education</t>
        </is>
      </c>
      <c r="U1695" s="1" t="inlineStr">
        <is>
          <t>Student interfacing, Teacher interfacing</t>
        </is>
      </c>
      <c r="V1695" s="10" t="inlineStr">
        <is>
          <t>Instant Online Lessons</t>
        </is>
      </c>
      <c r="W1695" s="10" t="inlineStr">
        <is>
          <t>On-demand online tutoring that connects learners with a qualified teacher in just a few minutes. Flexible and high-quality support accessible anytime.</t>
        </is>
      </c>
      <c r="X1695" s="10" t="inlineStr">
        <is>
          <t>Acadeclic Learning Platform</t>
        </is>
      </c>
      <c r="Y1695" t="inlineStr">
        <is>
          <t>A streamlined platform offering real-time lessons, high-quality video, interactive whiteboard tools and real-time features</t>
        </is>
      </c>
      <c r="Z1695" s="1" t="inlineStr">
        <is>
          <t>https://drive.google.com/uc?export=view&amp;id=1CQJU4TNVQySNVaS_8qJdMDDci_5w99bq</t>
        </is>
      </c>
      <c r="AA1695" s="1" t="inlineStr">
        <is>
          <t>Verified</t>
        </is>
      </c>
      <c r="AB1695" s="1" t="inlineStr">
        <is>
          <t>Collaborations between EdTech organisations</t>
        </is>
      </c>
      <c r="AC1695" s="1" t="inlineStr">
        <is>
          <t>For-profit company</t>
        </is>
      </c>
      <c r="AD1695" s="10" t="b">
        <v>1</v>
      </c>
      <c r="AE1695" s="1" t="b">
        <v>1</v>
      </c>
      <c r="AF1695" s="1" t="inlineStr">
        <is>
          <t>Yes</t>
        </is>
      </c>
      <c r="AG1695" s="1" t="inlineStr">
        <is>
          <t>https://www.instagram.com/acadeclic_france/</t>
        </is>
      </c>
      <c r="AH1695" s="1" t="inlineStr">
        <is>
          <t>https://twitter.com/acadeclic</t>
        </is>
      </c>
      <c r="AI1695" s="1" t="inlineStr">
        <is>
          <t>https://www.linkedin.com/company/acadeclic</t>
        </is>
      </c>
      <c r="AJ1695" s="10" t="inlineStr">
        <is>
          <t>https://www.facebook.com/Acadeclic/</t>
        </is>
      </c>
    </row>
    <row r="1696" ht="12.5" customHeight="1">
      <c r="A1696" s="6" t="n">
        <v>45979</v>
      </c>
      <c r="B1696" s="1" t="inlineStr">
        <is>
          <t>ORG_1037</t>
        </is>
      </c>
      <c r="C1696" s="1" t="b">
        <v>1</v>
      </c>
      <c r="D1696" s="1" t="inlineStr">
        <is>
          <t>Adesoft</t>
        </is>
      </c>
      <c r="E1696" s="10" t="inlineStr">
        <is>
          <t>https://www.adesoft.com/</t>
        </is>
      </c>
      <c r="F1696" t="inlineStr">
        <is>
          <t>adesoft.com</t>
        </is>
      </c>
      <c r="G1696" s="1" t="inlineStr">
        <is>
          <t>For over 25 years, Adesoft has delivered advanced scheduling and timetabling solutions. Designed for the training needs of higher education, corporate and defence organisations, our unique technology turns large-scale, complex planning into a streamlined, intelligent process. Today, 1.6 million users rely on us daily, saving significant planning time, optimising resources, reducing errors, and delivering higher-quality timetables at scale.</t>
        </is>
      </c>
      <c r="H1696" s="1" t="inlineStr">
        <is>
          <t>EdTech France</t>
        </is>
      </c>
      <c r="I1696" s="1" t="inlineStr">
        <is>
          <t>French, English</t>
        </is>
      </c>
      <c r="J1696" s="1" t="inlineStr">
        <is>
          <t>Paris</t>
        </is>
      </c>
      <c r="K1696" t="inlineStr">
        <is>
          <t>Paris</t>
        </is>
      </c>
      <c r="L1696" t="inlineStr">
        <is>
          <t>Paris, France</t>
        </is>
      </c>
      <c r="M1696" t="n">
        <v>48.8534951</v>
      </c>
      <c r="N1696" t="n">
        <v>2.3483915</v>
      </c>
      <c r="O1696" s="1" t="inlineStr">
        <is>
          <t>France</t>
        </is>
      </c>
      <c r="P1696" s="1" t="inlineStr">
        <is>
          <t>Belgium, Portugal, Spain, United Kingdom, Switzerland, Sweden, Slovakia, North Macedonia, Monaco, Luxembourg, Latvia, Ireland, Greece, Bulgaria, Czechia, Finland, France, Denmark, Croatia, Hungary, Italy, Liechtenstein, Malta, Montenegro, Kosovo, Germany, Estonia, Republic of Cyprus, Bosnia and Herzegovina, Austria, Andorra, Albania, Belarus, Lithuania, Moldova, Netherlands, Poland, San Marino, Romania, Norway, Slovenia, Turkey, Ukraine, Iceland</t>
        </is>
      </c>
      <c r="Q1696" s="1" t="inlineStr">
        <is>
          <t>Small (10-49 FTE employees)</t>
        </is>
      </c>
      <c r="R1696" t="inlineStr">
        <is>
          <t>Small</t>
        </is>
      </c>
      <c r="S1696" s="1" t="inlineStr">
        <is>
          <t>Business to Business, Business to Schools, Business to Government</t>
        </is>
      </c>
      <c r="T1696" s="1" t="inlineStr">
        <is>
          <t>Corporate Training, Higher Education, Vocational Education and Training (VET), Lifelong learning/Adult education</t>
        </is>
      </c>
      <c r="U1696" s="1" t="inlineStr">
        <is>
          <t>System/Administrative, Student interfacing, Teacher interfacing</t>
        </is>
      </c>
      <c r="V1696" s="1" t="inlineStr">
        <is>
          <t>ADE Campus</t>
        </is>
      </c>
      <c r="W1696" s="1" t="inlineStr">
        <is>
          <t>ADE Campus is trusted by over 300 HE institutions worldwide. It streamlines scheduling and campus operations by enabling easy timetable creation, optimisation and sharing. Built for academic environments, it adapts seamlessly to each pedagogical model and constraints with its unique technology.</t>
        </is>
      </c>
      <c r="X1696" s="10" t="inlineStr">
        <is>
          <t>ADE Entreprise</t>
        </is>
      </c>
      <c r="Y1696" t="inlineStr">
        <is>
          <t>ADE Entreprise is a training scheduling solution for corporate and training organisations. It streamlines large-scale, complex training by automating session planning, managing constraints smartly, and optimising resources, delivering higher quality at lower cost.</t>
        </is>
      </c>
      <c r="Z1696" s="1" t="inlineStr">
        <is>
          <t>https://drive.google.com/uc?export=view&amp;id=1C4e1_s_bva05yGJP3Woah_jAdssB7FlU</t>
        </is>
      </c>
      <c r="AA1696" s="1" t="inlineStr">
        <is>
          <t>Verified</t>
        </is>
      </c>
      <c r="AB1696" s="1" t="inlineStr">
        <is>
          <t>Project consortium building, Collaborations between EdTech organisations, Industry-academia partnerships, Public-private partnerships</t>
        </is>
      </c>
      <c r="AC1696" s="1" t="inlineStr">
        <is>
          <t>For-profit company</t>
        </is>
      </c>
      <c r="AD1696" s="10" t="b">
        <v>1</v>
      </c>
      <c r="AE1696" s="1" t="b">
        <v>0</v>
      </c>
      <c r="AF1696" s="1" t="inlineStr">
        <is>
          <t>Yes</t>
        </is>
      </c>
      <c r="AG1696" s="1" t="inlineStr">
        <is>
          <t>https://www.linkedin.com/company/adesoft/</t>
        </is>
      </c>
      <c r="AH1696" s="1" t="inlineStr">
        <is>
          <t>https://www.linkedin.com/company/adesoft/</t>
        </is>
      </c>
      <c r="AI1696" s="1" t="inlineStr">
        <is>
          <t>https://www.linkedin.com/company/adesoft/</t>
        </is>
      </c>
      <c r="AJ1696" s="1" t="n"/>
    </row>
    <row r="1697" ht="12.5" customHeight="1">
      <c r="A1697" s="6" t="n">
        <v>45979</v>
      </c>
      <c r="B1697" s="1" t="inlineStr">
        <is>
          <t>ORG_2730</t>
        </is>
      </c>
      <c r="C1697" s="1" t="b">
        <v>1</v>
      </c>
      <c r="D1697" s="1" t="inlineStr">
        <is>
          <t>Edviatec</t>
        </is>
      </c>
      <c r="E1697" s="10" t="inlineStr">
        <is>
          <t>edviatec.com</t>
        </is>
      </c>
      <c r="F1697" t="inlineStr">
        <is>
          <t>edviatec.com</t>
        </is>
      </c>
      <c r="G1697" s="1" t="inlineStr">
        <is>
          <t>Edviatec bridges emerging-market talent and European industry through education: a B2C AI-powered tool for exact-fit program matching with end-to-end student support, and a B2B master-agent infrastructure for Higher Education Institutions.</t>
        </is>
      </c>
      <c r="H1697" s="1" t="inlineStr">
        <is>
          <t>EdTech France</t>
        </is>
      </c>
      <c r="I1697" s="1" t="inlineStr">
        <is>
          <t>English, French</t>
        </is>
      </c>
      <c r="J1697" s="1" t="inlineStr">
        <is>
          <t>Paris</t>
        </is>
      </c>
      <c r="K1697" t="inlineStr">
        <is>
          <t>Paris</t>
        </is>
      </c>
      <c r="L1697" t="inlineStr">
        <is>
          <t>Paris, France</t>
        </is>
      </c>
      <c r="M1697" t="n">
        <v>48.8534951</v>
      </c>
      <c r="N1697" t="n">
        <v>2.3483915</v>
      </c>
      <c r="O1697" s="1" t="inlineStr">
        <is>
          <t>France</t>
        </is>
      </c>
      <c r="P1697" s="1" t="inlineStr">
        <is>
          <t>France</t>
        </is>
      </c>
      <c r="Q1697" s="1" t="inlineStr">
        <is>
          <t>Micro (1-9 FTE employees)</t>
        </is>
      </c>
      <c r="R1697" t="inlineStr">
        <is>
          <t>Micro</t>
        </is>
      </c>
      <c r="S1697" s="1" t="inlineStr">
        <is>
          <t>Business to Consumer, Business to Business</t>
        </is>
      </c>
      <c r="T1697" s="1" t="inlineStr">
        <is>
          <t>Secondary Education, Higher Education, Lifelong learning/Adult education</t>
        </is>
      </c>
      <c r="U1697" s="1" t="inlineStr">
        <is>
          <t>Student interfacing, System/Administrative</t>
        </is>
      </c>
      <c r="V1697" s="1" t="inlineStr">
        <is>
          <t>Plateforme d’orientation automatisée</t>
        </is>
      </c>
      <c r="W1697" s="1" t="inlineStr">
        <is>
          <t>Plateforme d’IA qui analyse le dossier d’un lycéen et propose immédiatement une sélection personnalisée de programmes en Europe, avec conversion des notes et plan d’admission. Objectif : rendre le conseil éducatif précis, rapide et financièrement accessible.</t>
        </is>
      </c>
      <c r="X1697" s="10" t="inlineStr">
        <is>
          <t>Plateforme SaaS de recrutement international</t>
        </is>
      </c>
      <c r="Y1697" t="inlineStr">
        <is>
          <t>Plateforme SaaS de type « master agent » qui permet aux écoles européennes de développer et gérer leur recrutement international : réseau d’agents vérifiés, suivi automatisé des candidatures et optimisation des conversions.</t>
        </is>
      </c>
      <c r="Z1697" s="1" t="inlineStr">
        <is>
          <t>https://drive.google.com/uc?export=view&amp;id=1b35qc_viPcam870c1JqkVQDJuG9pNlQj</t>
        </is>
      </c>
      <c r="AA1697" s="1" t="inlineStr">
        <is>
          <t>Verified</t>
        </is>
      </c>
      <c r="AB1697" s="1" t="inlineStr">
        <is>
          <t>Public-private partnerships, Industry-academia partnerships, Collaborations between EdTech organisations, Project consortium building, Other</t>
        </is>
      </c>
      <c r="AC1697" s="1" t="inlineStr">
        <is>
          <t>For-profit company</t>
        </is>
      </c>
      <c r="AD1697" s="10" t="b">
        <v>1</v>
      </c>
      <c r="AE1697" s="1" t="b">
        <v>0</v>
      </c>
      <c r="AF1697" s="1" t="inlineStr">
        <is>
          <t>Yes</t>
        </is>
      </c>
      <c r="AG1697" s="1" t="inlineStr">
        <is>
          <t>https://www.linkedin.com/company/edviatec/</t>
        </is>
      </c>
      <c r="AH1697" s="1" t="inlineStr">
        <is>
          <t>https://www.linkedin.com/company/edviatec/</t>
        </is>
      </c>
      <c r="AI1697" s="1" t="inlineStr">
        <is>
          <t>https://www.linkedin.com/company/edviatec/</t>
        </is>
      </c>
      <c r="AJ1697" s="1" t="n"/>
    </row>
    <row r="1698" ht="12.5" customHeight="1">
      <c r="A1698" s="6" t="n">
        <v>45980</v>
      </c>
      <c r="B1698" s="1" t="inlineStr">
        <is>
          <t>ORG_2731</t>
        </is>
      </c>
      <c r="C1698" s="1" t="b">
        <v>1</v>
      </c>
      <c r="D1698" s="1" t="inlineStr">
        <is>
          <t>Snapplify</t>
        </is>
      </c>
      <c r="E1698" s="10" t="inlineStr">
        <is>
          <t>www.snapplify.com</t>
        </is>
      </c>
      <c r="F1698" t="inlineStr">
        <is>
          <t>snapplify.com</t>
        </is>
      </c>
      <c r="G1698" s="1" t="inlineStr">
        <is>
          <t>Snapplify is a global edtech company that provides digital learning solutions for schools, higher-education institutions, and governments. Founded in 2011, the company offers a comprehensive ecosystem that includes e-textbooks, digital libraries, identity and access management tools, classroom management technology, and integrations with hundreds of leading education platforms. Snapplify enables institutions to securely distribute digital content at scale, improve teaching and learning experiences, and expand access to quality educational resources—especially in emerging markets. Through partnerships with over a thousand publishers and the provision of more than fifty thousand free e-books, Snapplify drives measurable impact and supports millions of learners across more than sixty countries.</t>
        </is>
      </c>
      <c r="H1698" s="1" t="inlineStr">
        <is>
          <t>I'm not part of any EdTech association</t>
        </is>
      </c>
      <c r="I1698" s="1" t="inlineStr">
        <is>
          <t>English, French, Spanish, German, Italian, Dutch, Portuguese, Bulgarian, Croatian, Czech, Danish, Estonian, Finnish, Greek, Hungarian, Irish, Latvian, Lithuanian, Maltese, Polish, Romanian, Swedish, Basque, Catalan, Slovenian, Slovak, Ukrainian</t>
        </is>
      </c>
      <c r="J1698" s="1" t="inlineStr">
        <is>
          <t>Cape Town</t>
        </is>
      </c>
      <c r="K1698" t="inlineStr">
        <is>
          <t>Cape Town</t>
        </is>
      </c>
      <c r="L1698" t="inlineStr">
        <is>
          <t>Cape Town, South Africa</t>
        </is>
      </c>
      <c r="M1698" t="n">
        <v>-33.9288301</v>
      </c>
      <c r="N1698" t="n">
        <v>18.4172197</v>
      </c>
      <c r="O1698" s="1" t="inlineStr">
        <is>
          <t>South Africa</t>
        </is>
      </c>
      <c r="P1698" s="1" t="inlineStr">
        <is>
          <t>Albania, Andorra, Austria, Belarus, Belgium, Bosnia and Herzegovina, Bulgaria, Croatia, Republic of Cyprus, Estonia, Denmark, Czechia, Finland, Greece, Ireland, Latvia, Luxembourg, Monaco, North Macedonia, Portugal, Slovakia, Sweden, Ukraine, United Kingdom, Switzerland, Slovenia, Romania, Norway, Montenegro, Malta, Liechtenstein, Italy, Hungary, France, Germany, Iceland, Kosovo, Lithuania, Moldova, Netherlands, Poland, San Marino, Spain, Turkey</t>
        </is>
      </c>
      <c r="Q1698" s="1" t="inlineStr">
        <is>
          <t>Medium (50-250 FTE employees)</t>
        </is>
      </c>
      <c r="R1698" t="inlineStr">
        <is>
          <t>Medium</t>
        </is>
      </c>
      <c r="S1698" s="1" t="inlineStr">
        <is>
          <t>Business to Consumer, Business to Business, Business to Government, Business to Schools</t>
        </is>
      </c>
      <c r="T1698" s="1" t="inlineStr">
        <is>
          <t>Secondary Education, Higher Education, Vocational Education and Training (VET), Corporate Training, Primary Education</t>
        </is>
      </c>
      <c r="U1698" s="1" t="inlineStr">
        <is>
          <t>Student interfacing, Teacher interfacing, System/Administrative</t>
        </is>
      </c>
      <c r="V1698" s="1" t="inlineStr">
        <is>
          <t>Snapplify Engage</t>
        </is>
      </c>
      <c r="W1698" s="1" t="inlineStr">
        <is>
          <t>Digital learning made simple for academic institutions.
A powerful platform that gives institutions everything they need to teach digitally — from e-textbooks and teacher tools to safe sharing and offline learning.</t>
        </is>
      </c>
      <c r="X1698" s="10" t="inlineStr">
        <is>
          <t>Access</t>
        </is>
      </c>
      <c r="Y1698" t="inlineStr">
        <is>
          <t>Free learning resources that reach every student. Snapplify Access removes digital barriers by providing sponsored, zero-rated access to ebooks and materials that support learning equity.</t>
        </is>
      </c>
      <c r="Z1698" s="1" t="inlineStr">
        <is>
          <t>https://drive.google.com/uc?export=view&amp;id=13nxBF61BEdYrB-vAwStF95eyTlJ5QmdG</t>
        </is>
      </c>
      <c r="AA1698" s="1" t="inlineStr">
        <is>
          <t>Verified</t>
        </is>
      </c>
      <c r="AB1698" s="1" t="inlineStr">
        <is>
          <t>Collaborations between EdTech organisations, Project consortium building, Public-private partnerships, Industry-academia partnerships, Other</t>
        </is>
      </c>
      <c r="AC1698" s="1" t="inlineStr">
        <is>
          <t>For-profit company</t>
        </is>
      </c>
      <c r="AD1698" s="10" t="b">
        <v>1</v>
      </c>
      <c r="AE1698" s="1" t="b">
        <v>1</v>
      </c>
      <c r="AF1698" s="1" t="inlineStr">
        <is>
          <t>Yes</t>
        </is>
      </c>
      <c r="AG1698" s="1" t="inlineStr">
        <is>
          <t>https://www.linkedin.com/company/snapplify/about/?viewAsMember=true</t>
        </is>
      </c>
      <c r="AH1698" s="1" t="inlineStr">
        <is>
          <t>https://www.linkedin.com/company/snapplify/about/?viewAsMember=true</t>
        </is>
      </c>
      <c r="AI1698" s="1" t="inlineStr">
        <is>
          <t>https://www.linkedin.com/company/snapplify/about/?viewAsMember=true</t>
        </is>
      </c>
      <c r="AJ1698" s="1" t="n"/>
    </row>
    <row r="1699" ht="12.5" customHeight="1">
      <c r="A1699" s="6" t="n">
        <v>45981</v>
      </c>
      <c r="B1699" s="1" t="inlineStr">
        <is>
          <t>ORG_1074</t>
        </is>
      </c>
      <c r="C1699" s="1" t="b">
        <v>1</v>
      </c>
      <c r="D1699" s="1" t="inlineStr">
        <is>
          <t>Another Brick</t>
        </is>
      </c>
      <c r="E1699" s="10" t="inlineStr">
        <is>
          <t>https://anotherbrick.it/</t>
        </is>
      </c>
      <c r="F1699" t="inlineStr">
        <is>
          <t>anotherbrick.it</t>
        </is>
      </c>
      <c r="G1699" s="1" t="inlineStr">
        <is>
          <t>Another Brick is a company specialized in creating engaging learning experiences that develop soft skills, corporate knowledge and digital awareness. It designs innovative online training paths — including PCTO programs for schools and tailored learning journeys for companies — using methodologies such as chunked lessons, storytelling, interactive tasks and gamification to make learning accessible, effective and enjoyable. Another Brick also delivers onboarding experiences, awareness programs (including Cyber Security Awareness), and thematic academies hosted on its engagement platform EngageBricks.com, collaborating with major organizations to bring high-quality, interactive education to students, employees and partners.</t>
        </is>
      </c>
      <c r="H1699" s="1" t="inlineStr">
        <is>
          <t>EdTech Italia</t>
        </is>
      </c>
      <c r="I1699" s="1" t="inlineStr">
        <is>
          <t>Italian</t>
        </is>
      </c>
      <c r="J1699" s="1" t="inlineStr">
        <is>
          <t>Milano</t>
        </is>
      </c>
      <c r="K1699" t="inlineStr">
        <is>
          <t>Milano</t>
        </is>
      </c>
      <c r="L1699" t="inlineStr">
        <is>
          <t>Milano, Italy</t>
        </is>
      </c>
      <c r="M1699" t="n">
        <v>45.4641943</v>
      </c>
      <c r="N1699" t="n">
        <v>9.1896346</v>
      </c>
      <c r="O1699" s="1" t="inlineStr">
        <is>
          <t>Italy</t>
        </is>
      </c>
      <c r="P1699" s="1" t="inlineStr">
        <is>
          <t>Italy</t>
        </is>
      </c>
      <c r="Q1699" s="1" t="inlineStr">
        <is>
          <t>Small (10-49 FTE employees)</t>
        </is>
      </c>
      <c r="R1699" t="inlineStr">
        <is>
          <t>Small</t>
        </is>
      </c>
      <c r="S1699" s="1" t="inlineStr">
        <is>
          <t>Business to Business</t>
        </is>
      </c>
      <c r="T1699" s="1" t="inlineStr">
        <is>
          <t>Primary Education, Secondary Education, Corporate Training, Lifelong learning/Adult education, Vocational Education and Training (VET)</t>
        </is>
      </c>
      <c r="U1699" s="1" t="inlineStr">
        <is>
          <t>Student interfacing, Teacher interfacing, System/Administrative, Other</t>
        </is>
      </c>
      <c r="V1699" s="1" t="inlineStr">
        <is>
          <t>StartupYourLife</t>
        </is>
      </c>
      <c r="W1699" s="1" t="inlineStr">
        <is>
          <t>Startup Your Life is an interactive learning program that helps students discover their talents, develop key soft skills, and explore future career paths through storytelling, practical challenges, and gamified activitie It guides young people in understanding who they are, what they want to become</t>
        </is>
      </c>
      <c r="X1699" s="10" t="inlineStr">
        <is>
          <t>ScuolaEdison</t>
        </is>
      </c>
      <c r="Y1699" t="inlineStr">
        <is>
          <t>ScuolaEdison is a digital learning hub dedicated to schools, offering innovative educational paths on energy, sustainability, and future skills. Through interactive content, real-world case,s and engaging activities, it helps students understand key STEM and ESG topics while strengthening their</t>
        </is>
      </c>
      <c r="Z1699" s="1" t="inlineStr">
        <is>
          <t>https://drive.google.com/uc?export=view&amp;id=1n9DI21cdA4_DKaTNP85uLwd-Jp4QHV9S</t>
        </is>
      </c>
      <c r="AA1699" s="1" t="inlineStr">
        <is>
          <t>Verified</t>
        </is>
      </c>
      <c r="AB1699" s="1" t="inlineStr">
        <is>
          <t>Collaborations between EdTech organisations, Public-private partnerships, Project consortium building, Industry-academia partnerships</t>
        </is>
      </c>
      <c r="AC1699" s="1" t="inlineStr">
        <is>
          <t>For-profit company</t>
        </is>
      </c>
      <c r="AD1699" s="10" t="b">
        <v>1</v>
      </c>
      <c r="AE1699" s="1" t="b">
        <v>1</v>
      </c>
      <c r="AF1699" s="1" t="inlineStr">
        <is>
          <t>Yes</t>
        </is>
      </c>
      <c r="AG1699" s="1" t="inlineStr">
        <is>
          <t>https://www.linkedin.com/company/another-brick/</t>
        </is>
      </c>
      <c r="AH1699" s="1" t="inlineStr">
        <is>
          <t>https://www.linkedin.com/company/another-brick/</t>
        </is>
      </c>
      <c r="AI1699" s="1" t="inlineStr">
        <is>
          <t>https://www.linkedin.com/company/another-brick/</t>
        </is>
      </c>
      <c r="AJ1699" s="1" t="n"/>
    </row>
    <row r="1700" ht="12.5" customHeight="1">
      <c r="A1700" s="6" t="n">
        <v>45981</v>
      </c>
      <c r="B1700" s="1" t="inlineStr">
        <is>
          <t>ORG_2726</t>
        </is>
      </c>
      <c r="C1700" s="1" t="b">
        <v>1</v>
      </c>
      <c r="D1700" s="1" t="inlineStr">
        <is>
          <t>Leazy</t>
        </is>
      </c>
      <c r="E1700" s="10" t="inlineStr">
        <is>
          <t>leazy.net</t>
        </is>
      </c>
      <c r="F1700" t="inlineStr">
        <is>
          <t>leazy.net</t>
        </is>
      </c>
      <c r="G1700" s="1" t="inlineStr">
        <is>
          <t>Leazy is an all-in-one platform that helps teachers and schools organize their work. It allows you to manage school life, create and share lessons, exercises, and training courses, and collaborate easily with students and colleagues.</t>
        </is>
      </c>
      <c r="H1700" s="1" t="inlineStr">
        <is>
          <t>AFINEF, EdTech France</t>
        </is>
      </c>
      <c r="I1700" s="1" t="inlineStr">
        <is>
          <t>French, English</t>
        </is>
      </c>
      <c r="J1700" s="1" t="inlineStr">
        <is>
          <t>Paris</t>
        </is>
      </c>
      <c r="K1700" t="inlineStr">
        <is>
          <t>Paris</t>
        </is>
      </c>
      <c r="L1700" t="inlineStr">
        <is>
          <t>Paris, France</t>
        </is>
      </c>
      <c r="M1700" t="n">
        <v>48.8534951</v>
      </c>
      <c r="N1700" t="n">
        <v>2.3483915</v>
      </c>
      <c r="O1700" s="1" t="inlineStr">
        <is>
          <t>France</t>
        </is>
      </c>
      <c r="P1700" s="1" t="inlineStr">
        <is>
          <t>France</t>
        </is>
      </c>
      <c r="Q1700" s="1" t="inlineStr">
        <is>
          <t>Micro (1-9 FTE employees)</t>
        </is>
      </c>
      <c r="R1700" t="inlineStr">
        <is>
          <t>Micro</t>
        </is>
      </c>
      <c r="S1700" s="1" t="inlineStr">
        <is>
          <t>Business to Business, Business to Consumer</t>
        </is>
      </c>
      <c r="T1700" s="1" t="inlineStr">
        <is>
          <t>Higher Education, Secondary Education, Vocational Education and Training (VET)</t>
        </is>
      </c>
      <c r="U1700" s="1" t="inlineStr">
        <is>
          <t>Student interfacing, Teacher interfacing, System/Administrative</t>
        </is>
      </c>
      <c r="V1700" s="1" t="inlineStr">
        <is>
          <t>Templates</t>
        </is>
      </c>
      <c r="W1700" s="1" t="inlineStr">
        <is>
          <t>Access a library of educational resources shared by the community.</t>
        </is>
      </c>
      <c r="X1700" s="10" t="inlineStr">
        <is>
          <t>Training courses</t>
        </is>
      </c>
      <c r="Y1700" t="inlineStr">
        <is>
          <t>Create and share your training courses with your students and the community.</t>
        </is>
      </c>
      <c r="Z1700" s="1" t="inlineStr">
        <is>
          <t>https://drive.google.com/uc?export=view&amp;id=1lo1enbPy3wY58mXH9dh9YAEwRxNWzd4s</t>
        </is>
      </c>
      <c r="AA1700" s="1" t="inlineStr">
        <is>
          <t>Verified</t>
        </is>
      </c>
      <c r="AB1700" s="1" t="inlineStr">
        <is>
          <t>Collaborations between EdTech organisations, Public-private partnerships, Industry-academia partnerships</t>
        </is>
      </c>
      <c r="AC1700" s="1" t="inlineStr">
        <is>
          <t>For-profit company</t>
        </is>
      </c>
      <c r="AD1700" s="10" t="b">
        <v>1</v>
      </c>
      <c r="AE1700" s="1" t="b">
        <v>1</v>
      </c>
      <c r="AF1700" s="1" t="inlineStr">
        <is>
          <t>Yes</t>
        </is>
      </c>
      <c r="AG1700" s="1" t="inlineStr">
        <is>
          <t>https://www.linkedin.com/company/leazy-edu/</t>
        </is>
      </c>
      <c r="AH1700" s="1" t="inlineStr">
        <is>
          <t>https://www.linkedin.com/company/leazy-edu/</t>
        </is>
      </c>
      <c r="AI1700" s="1" t="inlineStr">
        <is>
          <t>https://www.linkedin.com/company/leazy-edu/</t>
        </is>
      </c>
      <c r="AJ1700" s="1" t="n"/>
    </row>
    <row r="1701" ht="12.5" customHeight="1">
      <c r="A1701" s="6" t="n">
        <v>45986</v>
      </c>
      <c r="B1701" s="1" t="inlineStr">
        <is>
          <t>ORG_2732</t>
        </is>
      </c>
      <c r="C1701" s="1" t="b">
        <v>1</v>
      </c>
      <c r="D1701" s="1" t="inlineStr">
        <is>
          <t>Mars Challenge</t>
        </is>
      </c>
      <c r="E1701" s="10" t="inlineStr">
        <is>
          <t>https://marschallenge.space/</t>
        </is>
      </c>
      <c r="F1701" t="inlineStr">
        <is>
          <t>marschallenge.space</t>
        </is>
      </c>
      <c r="G1701" s="1" t="inlineStr">
        <is>
          <t>Mars Challenge is the world’s first dual-planet innovation platform empowering young people to prototype humanity’s survival — on Mars and on Earth. We unite students, educators and institutions from more than 20 countries to learn, create and solve real planetary challenges through STEAM+, active methodologies and Next Human Learning. Our annual global hackathons use Mars as a mirror to re-imagine life-supporting systems on Earth, helping youth develop creativity, critical thinking and ethical awareness while designing solutions with real social, scientific and environmental impact.  No Planet B. Just a Better Plan. You’re made of star-stuff. So hack the future.</t>
        </is>
      </c>
      <c r="H1701" s="1" t="inlineStr">
        <is>
          <t>I'm not part of any EdTech association</t>
        </is>
      </c>
      <c r="I1701" s="1" t="inlineStr">
        <is>
          <t>English, French, Spanish, Portuguese</t>
        </is>
      </c>
      <c r="J1701" s="1" t="inlineStr">
        <is>
          <t>Valenca</t>
        </is>
      </c>
      <c r="K1701" t="inlineStr">
        <is>
          <t>Valenca</t>
        </is>
      </c>
      <c r="L1701" t="inlineStr">
        <is>
          <t>Valenca, Spain</t>
        </is>
      </c>
      <c r="M1701" t="n">
        <v>42.0368601</v>
      </c>
      <c r="N1701" t="n">
        <v>-8.6475241</v>
      </c>
      <c r="O1701" s="1" t="inlineStr">
        <is>
          <t>Spain</t>
        </is>
      </c>
      <c r="P1701" s="1" t="inlineStr">
        <is>
          <t>Albania, Andorra, Austria, Bosnia and Herzegovina, Belgium, Belarus, Bulgaria, Croatia, Republic of Cyprus, Estonia, Denmark, Czechia, Finland, France, Germany, Iceland, Hungary, Greece, Ireland, Italy, Kosovo, Lithuania, Liechtenstein, Latvia, Luxembourg, Malta, Moldova, Netherlands, Montenegro, Monaco, North Macedonia, Norway, Poland, San Marino, Romania, Portugal, Slovakia, Slovenia, Spain, Turkey, Switzerland, Sweden, United Kingdom, Ukraine</t>
        </is>
      </c>
      <c r="Q1701" s="1" t="inlineStr">
        <is>
          <t>Micro (1-9 FTE employees)</t>
        </is>
      </c>
      <c r="R1701" t="inlineStr">
        <is>
          <t>Micro</t>
        </is>
      </c>
      <c r="S1701" s="1" t="inlineStr">
        <is>
          <t>Business to Business, Business to Government, Business to Schools</t>
        </is>
      </c>
      <c r="T1701" s="1" t="inlineStr">
        <is>
          <t>Higher Education, Secondary Education, Vocational Education and Training (VET)</t>
        </is>
      </c>
      <c r="U1701" s="1" t="inlineStr">
        <is>
          <t>Student interfacing</t>
        </is>
      </c>
      <c r="V1701" s="1" t="inlineStr">
        <is>
          <t>Mars Challenge — Global Dual-Planet Hackathon Program</t>
        </is>
      </c>
      <c r="W1701" s="1" t="inlineStr">
        <is>
          <t>A global STEAM+ innovation program where young people from 15 to 29 years design solutions for humanity’s survival on Mars and Earth. Through a structured hackathon model, active methodologies, and the Next Human Learning framework, participants develop meta-skills, creativity andscientific thinking</t>
        </is>
      </c>
      <c r="X1701" s="10" t="inlineStr">
        <is>
          <t>https://drive.google.com/uc?export=view&amp;id=1Hp39nL5D9218k9J0Cgew9ho67v2OPCal</t>
        </is>
      </c>
      <c r="Y1701" t="inlineStr">
        <is>
          <t>https://drive.google.com/uc?export=view&amp;id=1Hp39nL5D9218k9J0Cgew9ho67v2OPCal</t>
        </is>
      </c>
      <c r="Z1701" s="1" t="inlineStr">
        <is>
          <t>https://drive.google.com/uc?export=view&amp;id=1Hp39nL5D9218k9J0Cgew9ho67v2OPCal</t>
        </is>
      </c>
      <c r="AA1701" s="1" t="inlineStr">
        <is>
          <t>Verified</t>
        </is>
      </c>
      <c r="AB1701" s="1" t="inlineStr">
        <is>
          <t>Collaborations between EdTech organisations, Project consortium building, Public-private partnerships, Industry-academia partnerships</t>
        </is>
      </c>
      <c r="AC1701" s="1" t="inlineStr">
        <is>
          <t>For-profit company</t>
        </is>
      </c>
      <c r="AD1701" s="10" t="b">
        <v>1</v>
      </c>
      <c r="AE1701" s="1" t="b">
        <v>0</v>
      </c>
      <c r="AF1701" s="1" t="inlineStr">
        <is>
          <t>Yes</t>
        </is>
      </c>
      <c r="AG1701" s="1" t="inlineStr">
        <is>
          <t>https://www.linkedin.com/company/marschallenge</t>
        </is>
      </c>
      <c r="AH1701" s="1" t="inlineStr">
        <is>
          <t>https://www.linkedin.com/company/marschallenge</t>
        </is>
      </c>
      <c r="AI1701" s="1" t="inlineStr">
        <is>
          <t>https://www.linkedin.com/company/marschallenge</t>
        </is>
      </c>
      <c r="AJ1701" s="1" t="n"/>
    </row>
    <row r="1702" ht="12.5" customHeight="1">
      <c r="A1702" s="6" t="n">
        <v>45992</v>
      </c>
      <c r="B1702" s="1" t="inlineStr">
        <is>
          <t>ORG_2733</t>
        </is>
      </c>
      <c r="C1702" s="1" t="b">
        <v>1</v>
      </c>
      <c r="D1702" s="1" t="inlineStr">
        <is>
          <t>CUBES.ART Chess Innovations e.U.</t>
        </is>
      </c>
      <c r="E1702" s="10" t="inlineStr">
        <is>
          <t>www.chess-junior.com</t>
        </is>
      </c>
      <c r="F1702" t="inlineStr">
        <is>
          <t>chess-junior.com</t>
        </is>
      </c>
      <c r="G1702" s="1" t="inlineStr">
        <is>
          <t>At CUBES.ART Chess Innovations, an Austrian company based in Graz, we specialize in educational chess products for children and their practical application, including innovative learning tools under the “Chess Junior” brand. Our goal is to challenge and support children with age-appropriate and engaging chess activities.  Our highlight, “Chess Junior,” is a learning game that introduces children to chess step by step. Our learning game has received multiple awards, including the Tillywig BRAIN CHILD Toy Award and the “spiel gut” seal of approval. We also offer online and in-person workshops to directly support children’s education.</t>
        </is>
      </c>
      <c r="H1702" s="1" t="inlineStr">
        <is>
          <t>I'm not part of any EdTech association</t>
        </is>
      </c>
      <c r="I1702" s="1" t="inlineStr">
        <is>
          <t>English, German, French, Italian, Spanish</t>
        </is>
      </c>
      <c r="J1702" s="1" t="inlineStr">
        <is>
          <t>Graz</t>
        </is>
      </c>
      <c r="K1702" t="inlineStr">
        <is>
          <t>Graz</t>
        </is>
      </c>
      <c r="L1702" t="inlineStr">
        <is>
          <t>Graz, Austria</t>
        </is>
      </c>
      <c r="M1702" t="n">
        <v>47.0708678</v>
      </c>
      <c r="N1702" t="n">
        <v>15.4382786</v>
      </c>
      <c r="O1702" s="1" t="inlineStr">
        <is>
          <t>Austria</t>
        </is>
      </c>
      <c r="P1702" s="1" t="inlineStr">
        <is>
          <t>Austria, Germany, France, Italy, United Kingdom</t>
        </is>
      </c>
      <c r="Q1702" s="1" t="inlineStr">
        <is>
          <t>Solo entrepreneur</t>
        </is>
      </c>
      <c r="R1702" t="inlineStr">
        <is>
          <t>Solo entrepreneur</t>
        </is>
      </c>
      <c r="S1702" s="1" t="inlineStr">
        <is>
          <t>Business to Schools, Business to Government, Business to Consumer, Business to Business</t>
        </is>
      </c>
      <c r="T1702" s="1" t="inlineStr">
        <is>
          <t>Primary Education, Early childhood development (0-5 years)</t>
        </is>
      </c>
      <c r="U1702" s="1" t="inlineStr">
        <is>
          <t>Teacher interfacing</t>
        </is>
      </c>
      <c r="V1702" s="1" t="inlineStr">
        <is>
          <t>Chess Junior EDU</t>
        </is>
      </c>
      <c r="W1702" s="1" t="inlineStr">
        <is>
          <t>The modular learning system for algorithmic thinking, concentration, and problem-solving.
With Chess Junior, children work through exciting chess challenges at the intersection of logic and mathematics.</t>
        </is>
      </c>
      <c r="X1702" s="10" t="inlineStr">
        <is>
          <t>https://drive.google.com/uc?export=view&amp;id=1mt9zvcekHbUvbwz88R42mbcAsR26aQGt</t>
        </is>
      </c>
      <c r="Y1702" t="inlineStr">
        <is>
          <t>https://drive.google.com/uc?export=view&amp;id=1mt9zvcekHbUvbwz88R42mbcAsR26aQGt</t>
        </is>
      </c>
      <c r="Z1702" s="1" t="inlineStr">
        <is>
          <t>https://drive.google.com/uc?export=view&amp;id=1mt9zvcekHbUvbwz88R42mbcAsR26aQGt</t>
        </is>
      </c>
      <c r="AA1702" s="1" t="inlineStr">
        <is>
          <t>Verified</t>
        </is>
      </c>
      <c r="AB1702" s="1" t="inlineStr">
        <is>
          <t>Project consortium building, Public-private partnerships, Industry-academia partnerships, Other, Collaborations between EdTech organisations</t>
        </is>
      </c>
      <c r="AC1702" s="1" t="inlineStr">
        <is>
          <t>For-profit company</t>
        </is>
      </c>
      <c r="AD1702" s="10" t="b">
        <v>1</v>
      </c>
      <c r="AE1702" s="1" t="b">
        <v>1</v>
      </c>
      <c r="AF1702" s="1" t="inlineStr">
        <is>
          <t>Yes</t>
        </is>
      </c>
      <c r="AG1702" s="1" t="inlineStr">
        <is>
          <t>https://www.linkedin.com/company/cubes-art-chess-innovations</t>
        </is>
      </c>
      <c r="AH1702" s="1" t="inlineStr">
        <is>
          <t>https://www.linkedin.com/company/cubes-art-chess-innovations</t>
        </is>
      </c>
      <c r="AI1702" s="1" t="inlineStr">
        <is>
          <t>https://www.linkedin.com/company/cubes-art-chess-innovations</t>
        </is>
      </c>
      <c r="AJ1702" s="1" t="n"/>
    </row>
    <row r="1703" ht="12.5" customHeight="1">
      <c r="A1703" s="6" t="n">
        <v>45995</v>
      </c>
      <c r="B1703" s="1" t="inlineStr">
        <is>
          <t>ORG_2734</t>
        </is>
      </c>
      <c r="C1703" s="1" t="b">
        <v>1</v>
      </c>
      <c r="D1703" s="1" t="inlineStr">
        <is>
          <t>egitimgpt</t>
        </is>
      </c>
      <c r="E1703" s="10" t="inlineStr">
        <is>
          <t>https://www.egitimgpt.com/</t>
        </is>
      </c>
      <c r="F1703" t="inlineStr">
        <is>
          <t>egitimgpt.com</t>
        </is>
      </c>
      <c r="G1703" s="1" t="inlineStr">
        <is>
          <t>“EğitimGPT is an AI-powered K-12 learning assistant built for the Turkish national curriculum. We help primary and secondary students with concept explanations, homework support and exam preparation through safe conversational AI. Teachers and parents get insight via simple dashboards, personalised practice sets and progress reports. All content is co-designed with teachers and aligned with MoNE standards. We are now preparing English and Arabic versions to serve schools and families across the MENA region.”</t>
        </is>
      </c>
      <c r="H1703" s="1" t="inlineStr">
        <is>
          <t>I'm not part of any EdTech association</t>
        </is>
      </c>
      <c r="I1703" s="1" t="n"/>
      <c r="J1703" s="1" t="inlineStr">
        <is>
          <t>Türkiye</t>
        </is>
      </c>
      <c r="K1703" t="inlineStr">
        <is>
          <t>Türkiye</t>
        </is>
      </c>
      <c r="L1703" t="inlineStr">
        <is>
          <t>Türkiye, Turkiye</t>
        </is>
      </c>
      <c r="M1703" t="n">
        <v>39.294076</v>
      </c>
      <c r="N1703" t="n">
        <v>35.2316631</v>
      </c>
      <c r="O1703" s="1" t="inlineStr">
        <is>
          <t>Turkiye</t>
        </is>
      </c>
      <c r="P1703" s="1" t="inlineStr">
        <is>
          <t>Turkey</t>
        </is>
      </c>
      <c r="Q1703" s="1" t="inlineStr">
        <is>
          <t>Micro (1-9 FTE employees)</t>
        </is>
      </c>
      <c r="R1703" t="inlineStr">
        <is>
          <t>Micro</t>
        </is>
      </c>
      <c r="S1703" s="1" t="inlineStr">
        <is>
          <t>Business to Business, Business to Consumer, Business to Schools</t>
        </is>
      </c>
      <c r="T1703" s="1" t="inlineStr">
        <is>
          <t>Primary Education, Secondary Education</t>
        </is>
      </c>
      <c r="U1703" s="1" t="inlineStr">
        <is>
          <t>Student interfacing, Teacher interfacing</t>
        </is>
      </c>
      <c r="V1703" s="1" t="inlineStr">
        <is>
          <t>EğitimGPT K-12 Tutor</t>
        </is>
      </c>
      <c r="W1703" s="1" t="inlineStr">
        <is>
          <t>EğitimGPT Insights Dashboard</t>
        </is>
      </c>
      <c r="X1703" s="1" t="inlineStr">
        <is>
          <t>EğitimGPT Insights Dashboard</t>
        </is>
      </c>
      <c r="Y1703" t="inlineStr">
        <is>
          <t>EğitimGPT Insights is a web dashboard for teachers and parents connected to the AI tutor. It aggregates student activity, highlights strengths and gaps by topic, and suggests targeted practice sets and simple progress reports.</t>
        </is>
      </c>
      <c r="Z1703" s="1" t="inlineStr">
        <is>
          <t>https://drive.google.com/uc?export=view&amp;id=1vDumgN3Lhn0yjYyc2kTqcn3_GlIlzZac</t>
        </is>
      </c>
      <c r="AA1703" s="1" t="inlineStr">
        <is>
          <t>Verified</t>
        </is>
      </c>
      <c r="AB1703" s="1" t="inlineStr">
        <is>
          <t>Collaborations between EdTech organisations, Project consortium building, Public-private partnerships, Industry-academia partnerships, Other</t>
        </is>
      </c>
      <c r="AC1703" s="1" t="inlineStr">
        <is>
          <t>For-profit company</t>
        </is>
      </c>
      <c r="AD1703" s="10" t="b">
        <v>1</v>
      </c>
      <c r="AE1703" s="1" t="b">
        <v>1</v>
      </c>
      <c r="AF1703" s="1" t="inlineStr">
        <is>
          <t>No</t>
        </is>
      </c>
      <c r="AG1703" s="1" t="n"/>
      <c r="AH1703" s="1" t="n"/>
      <c r="AI1703" s="1" t="n"/>
      <c r="AJ1703" s="1" t="n"/>
    </row>
    <row r="1704" ht="12.5" customHeight="1">
      <c r="A1704" s="6" t="n">
        <v>46009</v>
      </c>
      <c r="B1704" s="1" t="inlineStr">
        <is>
          <t>ORG_2735</t>
        </is>
      </c>
      <c r="C1704" s="1" t="b">
        <v>1</v>
      </c>
      <c r="D1704" s="1" t="inlineStr">
        <is>
          <t>AskOwlo</t>
        </is>
      </c>
      <c r="E1704" s="10" t="inlineStr">
        <is>
          <t>https://AskOwlo.com?ref=edtech-map</t>
        </is>
      </c>
      <c r="F1704" t="inlineStr">
        <is>
          <t>askowlo.com?ref=edtech-map</t>
        </is>
      </c>
      <c r="G1704" s="1" t="inlineStr">
        <is>
          <t>AskOwlo is building personalised engaging educational + entertaining experiences for K8 students to improve their engagement &amp; educational performance. We utilise AI where appropriate, with strict safety, monitoring, and privacy measures that comply with both, European, and American regulations.</t>
        </is>
      </c>
      <c r="H1704" s="1" t="inlineStr">
        <is>
          <t>I'm not part of any EdTech association</t>
        </is>
      </c>
      <c r="I1704" s="1" t="inlineStr">
        <is>
          <t>English, French, Spanish, Dutch, Italian, German, Portuguese, Arabic</t>
        </is>
      </c>
      <c r="J1704" s="1" t="inlineStr">
        <is>
          <t>Amsterdam</t>
        </is>
      </c>
      <c r="K1704" t="inlineStr">
        <is>
          <t>Amsterdam</t>
        </is>
      </c>
      <c r="L1704" t="inlineStr">
        <is>
          <t>Amsterdam, The Netherlands</t>
        </is>
      </c>
      <c r="M1704" t="n">
        <v>52.3701984</v>
      </c>
      <c r="N1704" t="n">
        <v>4.892168</v>
      </c>
      <c r="O1704" s="1" t="inlineStr">
        <is>
          <t>The Netherlands</t>
        </is>
      </c>
      <c r="P1704" s="1" t="inlineStr">
        <is>
          <t>United Kingdom, Albania, Andorra, Austria, Bosnia and Herzegovina, Belgium, Belarus, Bulgaria, Croatia, Republic of Cyprus, Estonia, Denmark, Czechia, Finland, France, Iceland, Germany, Hungary, Greece, Ireland, Italy, Kosovo, Lithuania, Liechtenstein, Latvia, Moldova, Malta, Luxembourg, Monaco, Montenegro, Netherlands, Poland, San Marino, Romania, Norway, North Macedonia, Portugal, Slovakia, Slovenia, Spain, Turkey, Switzerland, Sweden, Ukraine</t>
        </is>
      </c>
      <c r="Q1704" s="1" t="inlineStr">
        <is>
          <t>Micro (1-9 FTE employees)</t>
        </is>
      </c>
      <c r="R1704" t="inlineStr">
        <is>
          <t>Micro</t>
        </is>
      </c>
      <c r="S1704" s="1" t="inlineStr">
        <is>
          <t>Business to Consumer, Business to Government, Business to Schools</t>
        </is>
      </c>
      <c r="T1704" s="1" t="inlineStr">
        <is>
          <t>Early childhood development (0-5 years), Primary Education</t>
        </is>
      </c>
      <c r="U1704" s="1" t="inlineStr">
        <is>
          <t>Student interfacing, Teacher interfacing</t>
        </is>
      </c>
      <c r="V1704" s="10" t="inlineStr">
        <is>
          <t>AskOwlo Tutor</t>
        </is>
      </c>
      <c r="W1704" s="10" t="inlineStr">
        <is>
          <t>Owlo is a learning buddy for kids in the K8 learning phase. Owlo is an AI powered character that engages with kids in personalised educational discussions that helps them understand educational topics in fun way without giving them the answer right away. It follow the socratic method &amp; parent rules</t>
        </is>
      </c>
      <c r="X1704" s="10" t="inlineStr">
        <is>
          <t>AskOwlo Stories</t>
        </is>
      </c>
      <c r="Y1704" t="inlineStr">
        <is>
          <t>A safe educational Netflix for kids. Interactive Educational audio (and soon video) stories for kids aged 3 to 9. Designed to help them learn about various topics through engaging storytelling and cartoon characters.</t>
        </is>
      </c>
      <c r="Z1704" s="1" t="inlineStr">
        <is>
          <t>https://drive.google.com/uc?export=view&amp;id=1PRZm-cwATShgTOKyeaESlzJTlWFSBB6w</t>
        </is>
      </c>
      <c r="AA1704" s="1" t="inlineStr">
        <is>
          <t>Verified</t>
        </is>
      </c>
      <c r="AB1704" s="1" t="inlineStr">
        <is>
          <t>Collaborations between EdTech organisations, Public-private partnerships, Industry-academia partnerships</t>
        </is>
      </c>
      <c r="AC1704" s="1" t="inlineStr">
        <is>
          <t>For-profit company</t>
        </is>
      </c>
      <c r="AD1704" s="10" t="b">
        <v>0</v>
      </c>
      <c r="AE1704" s="1" t="b">
        <v>1</v>
      </c>
      <c r="AF1704" s="1" t="inlineStr">
        <is>
          <t>Yes</t>
        </is>
      </c>
      <c r="AG1704" s="1" t="inlineStr">
        <is>
          <t>https://www.instagram.com/ask.owlo</t>
        </is>
      </c>
      <c r="AH1704" s="1" t="inlineStr">
        <is>
          <t>https://x.com/askowlo</t>
        </is>
      </c>
      <c r="AI1704" s="1" t="inlineStr">
        <is>
          <t>https://www.linkedin.com/company/askowlo/</t>
        </is>
      </c>
      <c r="AJ1704" s="10" t="inlineStr">
        <is>
          <t>https://www.facebook.com/profile.php?id=61576192206238</t>
        </is>
      </c>
    </row>
    <row r="1705" ht="12.5" customHeight="1">
      <c r="A1705" s="6" t="n">
        <v>46010</v>
      </c>
      <c r="B1705" s="1" t="inlineStr">
        <is>
          <t>ORG_1774</t>
        </is>
      </c>
      <c r="C1705" s="1" t="b">
        <v>1</v>
      </c>
      <c r="D1705" s="1" t="inlineStr">
        <is>
          <t>Kindiedays</t>
        </is>
      </c>
      <c r="E1705" s="10" t="inlineStr">
        <is>
          <t>www.kindiedays.com</t>
        </is>
      </c>
      <c r="F1705" t="inlineStr">
        <is>
          <t>kindiedays.com</t>
        </is>
      </c>
      <c r="G1705" s="1" t="inlineStr">
        <is>
          <t>Kindiedays Preschool Solutions supports the whole learning process. Digital tools, lesson plans, and workshops for teachers' professional development. Based on best practices from Finland and flexibly adapted to the local needs.</t>
        </is>
      </c>
      <c r="H1705" s="1" t="inlineStr">
        <is>
          <t>EdTech Finland</t>
        </is>
      </c>
      <c r="I1705" s="1" t="inlineStr">
        <is>
          <t>English, Italian, Estonian, Greek, Finnish, Spanish</t>
        </is>
      </c>
      <c r="J1705" s="1" t="inlineStr">
        <is>
          <t>Finland</t>
        </is>
      </c>
      <c r="K1705" t="inlineStr">
        <is>
          <t>Finland</t>
        </is>
      </c>
      <c r="L1705" t="inlineStr">
        <is>
          <t>Finland, Finland</t>
        </is>
      </c>
      <c r="M1705" t="n">
        <v>63.2467777</v>
      </c>
      <c r="N1705" t="n">
        <v>25.9209164</v>
      </c>
      <c r="O1705" s="1" t="inlineStr">
        <is>
          <t>Finland</t>
        </is>
      </c>
      <c r="P1705" s="1" t="inlineStr">
        <is>
          <t>Estonia, Finland, Greece, Italy, Spain, Turkey, Switzerland</t>
        </is>
      </c>
      <c r="Q1705" s="1" t="inlineStr">
        <is>
          <t>Small (10-49 FTE employees)</t>
        </is>
      </c>
      <c r="R1705" t="inlineStr">
        <is>
          <t>Small</t>
        </is>
      </c>
      <c r="S1705" s="1" t="inlineStr">
        <is>
          <t>Business to Schools</t>
        </is>
      </c>
      <c r="T1705" s="1" t="inlineStr">
        <is>
          <t>Early childhood development (0-5 years)</t>
        </is>
      </c>
      <c r="U1705" s="1" t="inlineStr">
        <is>
          <t>Teacher interfacing, Other, System/Administrative</t>
        </is>
      </c>
      <c r="V1705" s="10" t="inlineStr">
        <is>
          <t>Kindiedays Academy</t>
        </is>
      </c>
      <c r="W1705" s="10" t="inlineStr">
        <is>
          <t>Enhance educators' skills to create a stimulating and playful learning environment for children. Learn practical skills to integrate a modern curriculum in your preschool.</t>
        </is>
      </c>
      <c r="X1705" s="10" t="inlineStr">
        <is>
          <t>Kindiedays Digi Tools and Lesson Plans</t>
        </is>
      </c>
      <c r="Y1705" t="inlineStr">
        <is>
          <t>Efficient learning tracking, seamless communication, data-driven insights for quality assurance, and daily routines, all in one platform.
Authentic Finnish curriculum-aligned experiential lesson plans. 
Optional coursebooks and workbooks.</t>
        </is>
      </c>
      <c r="Z1705" s="1" t="inlineStr">
        <is>
          <t>https://drive.google.com/uc?export=view&amp;id=1nXe9zRSj79SfUXbuaLZiDhM7AwG57ToT</t>
        </is>
      </c>
      <c r="AA1705" s="1" t="inlineStr">
        <is>
          <t>Verified</t>
        </is>
      </c>
      <c r="AB1705" s="1" t="inlineStr">
        <is>
          <t>Collaborations between EdTech organisations, Project consortium building</t>
        </is>
      </c>
      <c r="AC1705" s="1" t="inlineStr">
        <is>
          <t>For-profit company</t>
        </is>
      </c>
      <c r="AD1705" s="10" t="b">
        <v>1</v>
      </c>
      <c r="AE1705" s="1" t="b">
        <v>1</v>
      </c>
      <c r="AF1705" s="1" t="inlineStr">
        <is>
          <t>Yes</t>
        </is>
      </c>
      <c r="AG1705" s="1" t="inlineStr">
        <is>
          <t>https://www.instagram.com/kindiedays</t>
        </is>
      </c>
      <c r="AH1705" s="1" t="inlineStr">
        <is>
          <t>https://www.facebook.com/kindiedays</t>
        </is>
      </c>
      <c r="AI1705" s="1" t="inlineStr">
        <is>
          <t>https://www.linkedin.com/company/kindiedays</t>
        </is>
      </c>
      <c r="AJ1705" s="1" t="n"/>
    </row>
    <row r="1706" ht="12.5" customHeight="1">
      <c r="A1706" s="6" t="n">
        <v>46010</v>
      </c>
      <c r="B1706" s="1" t="inlineStr">
        <is>
          <t>ORG_2736</t>
        </is>
      </c>
      <c r="C1706" s="1" t="b">
        <v>1</v>
      </c>
      <c r="D1706" s="1" t="inlineStr">
        <is>
          <t>chemmedia AG</t>
        </is>
      </c>
      <c r="E1706" s="10" t="inlineStr">
        <is>
          <t>https://www.chemmedia.de/</t>
        </is>
      </c>
      <c r="F1706" t="inlineStr">
        <is>
          <t>chemmedia.de</t>
        </is>
      </c>
      <c r="G1706" s="1" t="inlineStr">
        <is>
          <t>chemmedia is the reliable partner for your digital learning and development strategy, streamlined eLearning processes, and complex learning infrastructures. We make your knowledge available where it’s needed most. Backed by more than 20 years of experience, future-ready software solutions, and expert consultants, we support your company-wide eLearning initiatives. Together, we create distinctive learning experiences.  As an owner-led full-service agency, we provide everything you need for your eLearning project end-to-end from a single source: software, consulting, content, and services. With our own software solution, Knowledgeworker, we deliver tailored solutions for enterprise-wide knowledge and competency management. We’re proud to support more than 18 million users across 520 customers in 41 countries.</t>
        </is>
      </c>
      <c r="H1706" s="1" t="inlineStr">
        <is>
          <t>I'm not part of any EdTech association</t>
        </is>
      </c>
      <c r="I1706" s="1" t="inlineStr">
        <is>
          <t>English, German</t>
        </is>
      </c>
      <c r="J1706" s="1" t="inlineStr">
        <is>
          <t>Chemnitz</t>
        </is>
      </c>
      <c r="K1706" t="inlineStr">
        <is>
          <t>Chemnitz</t>
        </is>
      </c>
      <c r="L1706" t="inlineStr">
        <is>
          <t>Chemnitz, Germany</t>
        </is>
      </c>
      <c r="M1706" t="n">
        <v>50.8323531</v>
      </c>
      <c r="N1706" t="n">
        <v>12.918914</v>
      </c>
      <c r="O1706" s="1" t="inlineStr">
        <is>
          <t>Germany</t>
        </is>
      </c>
      <c r="P1706" s="1" t="inlineStr">
        <is>
          <t>Austria, France, Germany, Switzerland, United Kingdom</t>
        </is>
      </c>
      <c r="Q1706" s="1" t="inlineStr">
        <is>
          <t>Medium (50-250 FTE employees)</t>
        </is>
      </c>
      <c r="R1706" t="inlineStr">
        <is>
          <t>Medium</t>
        </is>
      </c>
      <c r="S1706" s="1" t="inlineStr">
        <is>
          <t>Business to Business, Business to Schools</t>
        </is>
      </c>
      <c r="T1706" s="1" t="inlineStr">
        <is>
          <t>Corporate Training, Lifelong learning/Adult education, Vocational Education and Training (VET), Higher Education</t>
        </is>
      </c>
      <c r="U1706" s="1" t="inlineStr">
        <is>
          <t>Student interfacing, Teacher interfacing, System/Administrative</t>
        </is>
      </c>
      <c r="V1706" s="10" t="inlineStr">
        <is>
          <t>Full-service eLearning: technology, content, consulting, and services</t>
        </is>
      </c>
      <c r="W1706" s="1" t="inlineStr">
        <is>
          <t>Full-service eLearning: expert consulting, engaging on-brand content, and the right software stack for your needs. We also cover implementation, integration, and ongoing support—so your learning operations run smoothly and scale with your organization.</t>
        </is>
      </c>
      <c r="X1706" s="10" t="inlineStr">
        <is>
          <t>https://drive.google.com/uc?export=view&amp;id=1DvEkGqSUlMuVZotESevBbRUbgkog7fAU</t>
        </is>
      </c>
      <c r="Y1706" t="inlineStr">
        <is>
          <t>https://drive.google.com/uc?export=view&amp;id=1DvEkGqSUlMuVZotESevBbRUbgkog7fAU</t>
        </is>
      </c>
      <c r="Z1706" s="1" t="inlineStr">
        <is>
          <t>https://drive.google.com/uc?export=view&amp;id=1DvEkGqSUlMuVZotESevBbRUbgkog7fAU</t>
        </is>
      </c>
      <c r="AA1706" s="1" t="inlineStr">
        <is>
          <t>Verified</t>
        </is>
      </c>
      <c r="AB1706" s="1" t="inlineStr">
        <is>
          <t>Collaborations between EdTech organisations</t>
        </is>
      </c>
      <c r="AC1706" s="1" t="inlineStr">
        <is>
          <t>For-profit company</t>
        </is>
      </c>
      <c r="AD1706" s="10" t="b">
        <v>1</v>
      </c>
      <c r="AE1706" s="1" t="b">
        <v>1</v>
      </c>
      <c r="AF1706" s="1" t="inlineStr">
        <is>
          <t>Yes</t>
        </is>
      </c>
      <c r="AG1706" s="1" t="inlineStr">
        <is>
          <t>https://www.instagram.com/chemmedia_ag/</t>
        </is>
      </c>
      <c r="AH1706" s="1" t="inlineStr">
        <is>
          <t>https://www.linkedin.com/company/chemmedia-ag/</t>
        </is>
      </c>
      <c r="AI1706" s="1" t="inlineStr">
        <is>
          <t>https://www.linkedin.com/company/chemmedia-ag/</t>
        </is>
      </c>
      <c r="AJ1706" s="1" t="n"/>
    </row>
    <row r="1707" ht="12.5" customHeight="1">
      <c r="A1707" s="6" t="n">
        <v>46015</v>
      </c>
      <c r="B1707" s="1" t="inlineStr">
        <is>
          <t>ORG_2737</t>
        </is>
      </c>
      <c r="C1707" s="1" t="b">
        <v>1</v>
      </c>
      <c r="D1707" s="1" t="inlineStr">
        <is>
          <t>JoJoschool</t>
        </is>
      </c>
      <c r="E1707" s="10" t="inlineStr">
        <is>
          <t>https://jojoschool.nl/</t>
        </is>
      </c>
      <c r="F1707" t="inlineStr">
        <is>
          <t>jojoschool.nl</t>
        </is>
      </c>
      <c r="G1707" s="1" t="inlineStr">
        <is>
          <t>JoJoschool provides a complete digital learning environment for Dutch high school students and schools. Content is organized by common textbooks and learning goals. Students watch lesson videos, practice with auto-graded exercises, and prepare for exams. Ainstein, JoJoschool’s AI mentor, guides students through assignments and examquestions with structured hints and explanations. Schools can deploy JoJoschool for classes or as a full school license; individuals can subscribe directly.</t>
        </is>
      </c>
      <c r="H1707" s="1" t="inlineStr">
        <is>
          <t>Dutch EdTech</t>
        </is>
      </c>
      <c r="I1707" s="1" t="inlineStr">
        <is>
          <t>Dutch</t>
        </is>
      </c>
      <c r="J1707" s="1" t="inlineStr">
        <is>
          <t>Utrecht</t>
        </is>
      </c>
      <c r="K1707" t="inlineStr">
        <is>
          <t>Utrecht</t>
        </is>
      </c>
      <c r="L1707" t="inlineStr">
        <is>
          <t>Utrecht, The Netherlands</t>
        </is>
      </c>
      <c r="M1707" t="n">
        <v>52.0906195</v>
      </c>
      <c r="N1707" t="n">
        <v>5.1119709</v>
      </c>
      <c r="O1707" s="1" t="inlineStr">
        <is>
          <t>The Netherlands</t>
        </is>
      </c>
      <c r="P1707" s="1" t="inlineStr">
        <is>
          <t>Netherlands</t>
        </is>
      </c>
      <c r="Q1707" s="1" t="inlineStr">
        <is>
          <t>Small (10-49 FTE employees)</t>
        </is>
      </c>
      <c r="R1707" t="inlineStr">
        <is>
          <t>Small</t>
        </is>
      </c>
      <c r="S1707" s="1" t="inlineStr">
        <is>
          <t>Business to Business, Business to Schools, Business to Consumer</t>
        </is>
      </c>
      <c r="T1707" s="1" t="inlineStr">
        <is>
          <t>Secondary Education</t>
        </is>
      </c>
      <c r="U1707" s="1" t="inlineStr">
        <is>
          <t>Student interfacing</t>
        </is>
      </c>
      <c r="V1707" s="10" t="inlineStr">
        <is>
          <t>JoJoschool</t>
        </is>
      </c>
      <c r="W1707" s="1" t="inlineStr">
        <is>
          <t>JoJoschool is a complete digital learning platform for Dutch secondary education. Content is structured by commonly used textbooks and learning objectives, combining short lesson videos, auto-graded exercises, summaries, and exam preparation.</t>
        </is>
      </c>
      <c r="X1707" s="10" t="inlineStr">
        <is>
          <t>Ainstein</t>
        </is>
      </c>
      <c r="Y1707" t="inlineStr">
        <is>
          <t>Ainstein is JoJoschool’s AI-powered learning mentor that guides students step by step through homework, assignments, and exam questions. Instead of providing direct answers, Ainstein offers structured hints, explanations, and feedback tailored to the student’s level and learning goals.</t>
        </is>
      </c>
      <c r="Z1707" s="1" t="inlineStr">
        <is>
          <t>https://drive.google.com/uc?export=view&amp;id=1MMvR2KiX9FCqI16OwwTFSh_7rZuC_F3a</t>
        </is>
      </c>
      <c r="AA1707" s="1" t="inlineStr">
        <is>
          <t>Verified</t>
        </is>
      </c>
      <c r="AB1707" s="1" t="inlineStr">
        <is>
          <t>Public-private partnerships, Collaborations between EdTech organisations, Other</t>
        </is>
      </c>
      <c r="AC1707" s="1" t="inlineStr">
        <is>
          <t>For-profit company</t>
        </is>
      </c>
      <c r="AD1707" s="10" t="b">
        <v>1</v>
      </c>
      <c r="AE1707" s="1" t="b">
        <v>1</v>
      </c>
      <c r="AF1707" s="1" t="inlineStr">
        <is>
          <t>Yes</t>
        </is>
      </c>
      <c r="AG1707" s="1" t="inlineStr">
        <is>
          <t>https://www.instagram.com/jojoschoolnl/</t>
        </is>
      </c>
      <c r="AH1707" s="1" t="inlineStr">
        <is>
          <t>https://nl.linkedin.com/company/jojoschool</t>
        </is>
      </c>
      <c r="AI1707" s="1" t="inlineStr">
        <is>
          <t>https://nl.linkedin.com/company/jojoschool</t>
        </is>
      </c>
      <c r="AJ1707" s="1" t="n"/>
    </row>
    <row r="1708" ht="12.5" customHeight="1">
      <c r="A1708" s="6" t="n">
        <v>46021</v>
      </c>
      <c r="B1708" s="1" t="inlineStr">
        <is>
          <t>ORG_2738</t>
        </is>
      </c>
      <c r="C1708" s="1" t="b">
        <v>1</v>
      </c>
      <c r="D1708" s="1" t="inlineStr">
        <is>
          <t>Enström Education AB</t>
        </is>
      </c>
      <c r="E1708" s="10" t="inlineStr">
        <is>
          <t>https://arlicious.com/</t>
        </is>
      </c>
      <c r="F1708" t="inlineStr">
        <is>
          <t>arlicious.com</t>
        </is>
      </c>
      <c r="G1708" s="1" t="inlineStr">
        <is>
          <t>ARlicious – Where Learning Meets Augmented Reality &amp; AI</t>
        </is>
      </c>
      <c r="H1708" s="1" t="inlineStr">
        <is>
          <t>I'm not part of any EdTech association</t>
        </is>
      </c>
      <c r="I1708" s="1" t="inlineStr">
        <is>
          <t>English, Swedish, Arabic</t>
        </is>
      </c>
      <c r="J1708" s="1" t="inlineStr">
        <is>
          <t>Stockholm</t>
        </is>
      </c>
      <c r="K1708" t="inlineStr">
        <is>
          <t>Stockholm</t>
        </is>
      </c>
      <c r="L1708" t="inlineStr">
        <is>
          <t>Stockholm, Sweden</t>
        </is>
      </c>
      <c r="M1708" t="n">
        <v>59.3251172</v>
      </c>
      <c r="N1708" t="n">
        <v>18.0710935</v>
      </c>
      <c r="O1708" s="1" t="inlineStr">
        <is>
          <t>Sweden</t>
        </is>
      </c>
      <c r="P1708" s="1" t="n"/>
      <c r="Q1708" s="1" t="inlineStr">
        <is>
          <t>Micro (1-9 FTE employees)</t>
        </is>
      </c>
      <c r="R1708" t="inlineStr">
        <is>
          <t>Micro</t>
        </is>
      </c>
      <c r="S1708" s="1" t="inlineStr">
        <is>
          <t>Business to Schools, Business to Business, Business to Consumer</t>
        </is>
      </c>
      <c r="T1708" s="1" t="inlineStr">
        <is>
          <t>Early childhood development (0-5 years), Primary Education, Secondary Education, Special Education</t>
        </is>
      </c>
      <c r="U1708" s="1" t="inlineStr">
        <is>
          <t>Student interfacing, Teacher interfacing</t>
        </is>
      </c>
      <c r="V1708" s="1" t="n"/>
      <c r="W1708" s="1" t="inlineStr">
        <is>
          <t>https://drive.google.com/uc?export=view&amp;id=1oB4tdTA37tIggrE0Cks81kD5gWDw0WqY</t>
        </is>
      </c>
      <c r="X1708" s="1" t="inlineStr">
        <is>
          <t>https://drive.google.com/uc?export=view&amp;id=1oB4tdTA37tIggrE0Cks81kD5gWDw0WqY</t>
        </is>
      </c>
      <c r="Y1708" t="inlineStr">
        <is>
          <t>https://drive.google.com/uc?export=view&amp;id=1oB4tdTA37tIggrE0Cks81kD5gWDw0WqY</t>
        </is>
      </c>
      <c r="Z1708" s="1" t="inlineStr">
        <is>
          <t>https://drive.google.com/uc?export=view&amp;id=1oB4tdTA37tIggrE0Cks81kD5gWDw0WqY</t>
        </is>
      </c>
      <c r="AA1708" s="1" t="inlineStr">
        <is>
          <t>Verified</t>
        </is>
      </c>
      <c r="AB1708" s="1" t="inlineStr">
        <is>
          <t>Public-private partnerships, Other</t>
        </is>
      </c>
      <c r="AC1708" s="1" t="inlineStr">
        <is>
          <t>For-profit company</t>
        </is>
      </c>
      <c r="AD1708" s="10" t="b">
        <v>1</v>
      </c>
      <c r="AE1708" s="1" t="b">
        <v>1</v>
      </c>
      <c r="AF1708" s="1" t="inlineStr">
        <is>
          <t>No</t>
        </is>
      </c>
      <c r="AG1708" s="1" t="n"/>
      <c r="AH1708" s="1" t="n"/>
      <c r="AI1708" s="1" t="n"/>
      <c r="AJ1708" s="1" t="n"/>
    </row>
    <row r="1709" ht="12.5" customHeight="1">
      <c r="A1709" s="6" t="n">
        <v>46024</v>
      </c>
      <c r="B1709" s="1" t="inlineStr">
        <is>
          <t>ORG_2739</t>
        </is>
      </c>
      <c r="C1709" s="1" t="b">
        <v>1</v>
      </c>
      <c r="D1709" s="1" t="inlineStr">
        <is>
          <t>Checkademia GmbH</t>
        </is>
      </c>
      <c r="E1709" s="10" t="inlineStr">
        <is>
          <t>https://www.checkademia.de</t>
        </is>
      </c>
      <c r="F1709" t="inlineStr">
        <is>
          <t>checkademia.de</t>
        </is>
      </c>
      <c r="G1709" s="1" t="inlineStr">
        <is>
          <t>Checkademia helps prospective students discover their passion and choose the right degree. The product offering includes an AI-based study choice test, extensive video content on subjects, career fields, universities, and degree programs, as well as various study and career guidance services (a 4-week cohort-based online course, individual online guidance, and in-person guidance in Munich). Checkademia aims to contribute to the happiness and success of prospective students and to reduce the high dropout rate of almost 30%. For more information, visit https://www.checkademia.de.</t>
        </is>
      </c>
      <c r="H1709" s="1" t="inlineStr">
        <is>
          <t>I'm not part of any EdTech association</t>
        </is>
      </c>
      <c r="I1709" s="1" t="inlineStr">
        <is>
          <t>German</t>
        </is>
      </c>
      <c r="J1709" s="1" t="inlineStr">
        <is>
          <t>Munich</t>
        </is>
      </c>
      <c r="K1709" t="inlineStr">
        <is>
          <t>Munich</t>
        </is>
      </c>
      <c r="L1709" t="inlineStr">
        <is>
          <t>Munich, Germany</t>
        </is>
      </c>
      <c r="M1709" t="n">
        <v>48.1371079</v>
      </c>
      <c r="N1709" t="n">
        <v>11.5753822</v>
      </c>
      <c r="O1709" s="1" t="inlineStr">
        <is>
          <t>Germany</t>
        </is>
      </c>
      <c r="P1709" s="1" t="inlineStr">
        <is>
          <t>Austria, Germany, Switzerland, Italy</t>
        </is>
      </c>
      <c r="Q1709" s="1" t="inlineStr">
        <is>
          <t>Micro (1-9 FTE employees)</t>
        </is>
      </c>
      <c r="R1709" t="inlineStr">
        <is>
          <t>Micro</t>
        </is>
      </c>
      <c r="S1709" s="1" t="inlineStr">
        <is>
          <t>Business to Consumer, Business to Government, Business to Business, Business to Schools</t>
        </is>
      </c>
      <c r="T1709" s="1" t="inlineStr">
        <is>
          <t>Higher Education, Secondary Education</t>
        </is>
      </c>
      <c r="U1709" s="1" t="inlineStr">
        <is>
          <t>Student interfacing, Teacher interfacing, Other</t>
        </is>
      </c>
      <c r="V1709" s="10" t="inlineStr">
        <is>
          <t>https://www.linkedin.com/company/checkademia/</t>
        </is>
      </c>
      <c r="W1709" s="1" t="inlineStr">
        <is>
          <t>https://drive.google.com/uc?export=view&amp;id=1VUEQZUczy5DRHD3u-2hODdqrqKcpPp3B</t>
        </is>
      </c>
      <c r="X1709" s="10" t="inlineStr">
        <is>
          <t>https://drive.google.com/uc?export=view&amp;id=1VUEQZUczy5DRHD3u-2hODdqrqKcpPp3B</t>
        </is>
      </c>
      <c r="Y1709" t="inlineStr">
        <is>
          <t>https://drive.google.com/uc?export=view&amp;id=1VUEQZUczy5DRHD3u-2hODdqrqKcpPp3B</t>
        </is>
      </c>
      <c r="Z1709" s="1" t="inlineStr">
        <is>
          <t>https://drive.google.com/uc?export=view&amp;id=1VUEQZUczy5DRHD3u-2hODdqrqKcpPp3B</t>
        </is>
      </c>
      <c r="AA1709" s="1" t="inlineStr">
        <is>
          <t>Verified</t>
        </is>
      </c>
      <c r="AB1709" s="1" t="inlineStr">
        <is>
          <t>Public-private partnerships</t>
        </is>
      </c>
      <c r="AC1709" s="1" t="inlineStr">
        <is>
          <t>For-profit company</t>
        </is>
      </c>
      <c r="AD1709" s="10" t="b">
        <v>1</v>
      </c>
      <c r="AE1709" s="1" t="b">
        <v>1</v>
      </c>
      <c r="AF1709" s="1" t="inlineStr">
        <is>
          <t>Yes</t>
        </is>
      </c>
      <c r="AG1709" s="1" t="inlineStr">
        <is>
          <t>https://www.instagram.com/checkademia/</t>
        </is>
      </c>
      <c r="AH1709" s="1" t="inlineStr">
        <is>
          <t>https://www.linkedin.com/company/checkademia/</t>
        </is>
      </c>
      <c r="AI1709" s="1" t="inlineStr">
        <is>
          <t>https://www.linkedin.com/company/checkademia/</t>
        </is>
      </c>
      <c r="AJ1709" s="1" t="n"/>
    </row>
    <row r="1710" ht="12.5" customHeight="1">
      <c r="A1710" s="6" t="n">
        <v>46029</v>
      </c>
      <c r="B1710" s="1" t="inlineStr">
        <is>
          <t>ORG_2740</t>
        </is>
      </c>
      <c r="C1710" s="1" t="b">
        <v>1</v>
      </c>
      <c r="D1710" s="1" t="inlineStr">
        <is>
          <t>AI-Dev Solutions</t>
        </is>
      </c>
      <c r="E1710" s="10" t="inlineStr">
        <is>
          <t>https://www.aidevsolutions.dk/</t>
        </is>
      </c>
      <c r="F1710" t="inlineStr">
        <is>
          <t>aidevsolutions.dk</t>
        </is>
      </c>
      <c r="G1710" s="1" t="inlineStr">
        <is>
          <t>we harness the power of artificial intelligence to build smart, user-centered software solutions, helping businesses streamline operations, enhance productivity, and bring their digital ideas to life.</t>
        </is>
      </c>
      <c r="H1710" s="1" t="inlineStr">
        <is>
          <t>EdTech Denmark</t>
        </is>
      </c>
      <c r="I1710" s="1" t="inlineStr">
        <is>
          <t>English, Danish</t>
        </is>
      </c>
      <c r="J1710" s="1" t="inlineStr">
        <is>
          <t>Herlev</t>
        </is>
      </c>
      <c r="K1710" t="inlineStr">
        <is>
          <t>Herlev</t>
        </is>
      </c>
      <c r="L1710" t="inlineStr">
        <is>
          <t>Herlev, Denmark</t>
        </is>
      </c>
      <c r="M1710" t="n">
        <v>55.7248173</v>
      </c>
      <c r="N1710" t="n">
        <v>12.4377222</v>
      </c>
      <c r="O1710" s="1" t="inlineStr">
        <is>
          <t>Denmark</t>
        </is>
      </c>
      <c r="P1710" s="1" t="inlineStr">
        <is>
          <t>Denmark</t>
        </is>
      </c>
      <c r="Q1710" s="1" t="inlineStr">
        <is>
          <t>Micro (1-9 FTE employees)</t>
        </is>
      </c>
      <c r="R1710" t="inlineStr">
        <is>
          <t>Micro</t>
        </is>
      </c>
      <c r="S1710" s="1" t="inlineStr">
        <is>
          <t>Business to Business, Business to Schools</t>
        </is>
      </c>
      <c r="T1710" s="1" t="inlineStr">
        <is>
          <t>Secondary Education</t>
        </is>
      </c>
      <c r="U1710" s="1" t="inlineStr">
        <is>
          <t>Student interfacing</t>
        </is>
      </c>
      <c r="V1710" s="1" t="inlineStr">
        <is>
          <t>MathAI</t>
        </is>
      </c>
      <c r="W1710" s="1" t="inlineStr">
        <is>
          <t>Learn math in a fun and interactive way! Chat with your AI tutor, solve problems, and track your progress — all in one place.</t>
        </is>
      </c>
      <c r="X1710" s="1" t="inlineStr">
        <is>
          <t>https://drive.google.com/uc?export=view&amp;id=1vb2wKuf8UFE9C71lFC2-3rtCKrkwJH0Q</t>
        </is>
      </c>
      <c r="Y1710" t="inlineStr">
        <is>
          <t>https://drive.google.com/uc?export=view&amp;id=1vb2wKuf8UFE9C71lFC2-3rtCKrkwJH0Q</t>
        </is>
      </c>
      <c r="Z1710" s="1" t="inlineStr">
        <is>
          <t>https://drive.google.com/uc?export=view&amp;id=1vb2wKuf8UFE9C71lFC2-3rtCKrkwJH0Q</t>
        </is>
      </c>
      <c r="AA1710" s="1" t="inlineStr">
        <is>
          <t>Verified</t>
        </is>
      </c>
      <c r="AB1710" s="1" t="n"/>
      <c r="AC1710" s="1" t="inlineStr">
        <is>
          <t>For-profit company</t>
        </is>
      </c>
      <c r="AD1710" s="10" t="b">
        <v>1</v>
      </c>
      <c r="AE1710" s="1" t="b">
        <v>1</v>
      </c>
      <c r="AF1710" s="1" t="inlineStr">
        <is>
          <t>No</t>
        </is>
      </c>
      <c r="AG1710" s="1" t="n"/>
      <c r="AH1710" s="1" t="n"/>
      <c r="AI1710" s="1" t="n"/>
      <c r="AJ1710" s="1" t="n"/>
    </row>
    <row r="1711" ht="12.5" customHeight="1">
      <c r="A1711" s="6" t="n">
        <v>46031</v>
      </c>
      <c r="B1711" s="1" t="inlineStr">
        <is>
          <t>ORG_2692</t>
        </is>
      </c>
      <c r="C1711" s="1" t="b">
        <v>1</v>
      </c>
      <c r="D1711" s="1" t="inlineStr">
        <is>
          <t>TokiChat</t>
        </is>
      </c>
      <c r="E1711" s="10" t="inlineStr">
        <is>
          <t>www.tokichat.fr</t>
        </is>
      </c>
      <c r="F1711" t="inlineStr">
        <is>
          <t>tokichat.fr</t>
        </is>
      </c>
      <c r="G1711" s="1" t="inlineStr">
        <is>
          <t>TokiChat is a conversational platform designed for schools, universities, and training centers. It enables teachers and trainers to create personalized learning sequences based on dialogues with an AI, ensuring full transparency and security. Already tested in middle schools, the platform provides a structured experience where each learner progresses at their own pace, supported by individualized pedagogical feedback.  Rooted in an ethical approach to digital technologies and supported by regional public actors, TokiChat is committed to inclusive, responsible, and creative education that meets the challenges of contemporary pedagogical transformation.</t>
        </is>
      </c>
      <c r="H1711" s="1" t="inlineStr">
        <is>
          <t>AFINEF, EdTech France</t>
        </is>
      </c>
      <c r="I1711" s="1" t="inlineStr">
        <is>
          <t>French</t>
        </is>
      </c>
      <c r="J1711" s="1" t="inlineStr">
        <is>
          <t>Moutiers-Sur-Le-Lay</t>
        </is>
      </c>
      <c r="K1711" t="inlineStr">
        <is>
          <t>Moutiers-Sur-Le-Lay</t>
        </is>
      </c>
      <c r="L1711" t="inlineStr">
        <is>
          <t>Moutiers-Sur-Le-Lay, France</t>
        </is>
      </c>
      <c r="M1711" t="n">
        <v>46.5557134</v>
      </c>
      <c r="N1711" t="n">
        <v>-1.1575982</v>
      </c>
      <c r="O1711" s="1" t="inlineStr">
        <is>
          <t>France</t>
        </is>
      </c>
      <c r="P1711" s="1" t="inlineStr">
        <is>
          <t>Belgium, France</t>
        </is>
      </c>
      <c r="Q1711" s="1" t="inlineStr">
        <is>
          <t>Micro (1-9 FTE employees)</t>
        </is>
      </c>
      <c r="R1711" t="inlineStr">
        <is>
          <t>Micro</t>
        </is>
      </c>
      <c r="S1711" s="1" t="inlineStr">
        <is>
          <t>Business to Business, Business to Schools, Business to Government</t>
        </is>
      </c>
      <c r="T1711" s="1" t="inlineStr">
        <is>
          <t>Secondary Education, Higher Education, Vocational Education and Training (VET)</t>
        </is>
      </c>
      <c r="U1711" s="1" t="inlineStr">
        <is>
          <t>Student interfacing, Teacher interfacing</t>
        </is>
      </c>
      <c r="V1711" s="1" t="inlineStr">
        <is>
          <t>TokiChat</t>
        </is>
      </c>
      <c r="W1711" s="1" t="inlineStr">
        <is>
          <t>TokiChat is a conversational platform designed for schools, universities, and training centers. It enables teachers and trainers to create personalized learning sequences based on dialogues with an AI, ensuring full transparency and security.</t>
        </is>
      </c>
      <c r="X1711" s="10" t="inlineStr">
        <is>
          <t>https://drive.google.com/uc?export=view&amp;id=1-nJ1im3j1M_lknK-HXEGSJN_UqAYIAV5</t>
        </is>
      </c>
      <c r="Y1711" t="inlineStr">
        <is>
          <t>https://drive.google.com/uc?export=view&amp;id=1-nJ1im3j1M_lknK-HXEGSJN_UqAYIAV5</t>
        </is>
      </c>
      <c r="Z1711" s="1" t="inlineStr">
        <is>
          <t>https://drive.google.com/uc?export=view&amp;id=1-nJ1im3j1M_lknK-HXEGSJN_UqAYIAV5</t>
        </is>
      </c>
      <c r="AA1711" s="1" t="inlineStr">
        <is>
          <t>Verified</t>
        </is>
      </c>
      <c r="AB1711" s="1" t="inlineStr">
        <is>
          <t>Collaborations between EdTech organisations, Project consortium building, Public-private partnerships, Industry-academia partnerships</t>
        </is>
      </c>
      <c r="AC1711" s="1" t="inlineStr">
        <is>
          <t>For-profit company</t>
        </is>
      </c>
      <c r="AD1711" s="10" t="b">
        <v>1</v>
      </c>
      <c r="AE1711" s="1" t="b">
        <v>1</v>
      </c>
      <c r="AF1711" s="1" t="inlineStr">
        <is>
          <t>Yes</t>
        </is>
      </c>
      <c r="AG1711" s="1" t="inlineStr">
        <is>
          <t>https://www.linkedin.com/showcase/tokichat</t>
        </is>
      </c>
      <c r="AH1711" s="1" t="inlineStr">
        <is>
          <t>https://www.linkedin.com/showcase/tokichat</t>
        </is>
      </c>
      <c r="AI1711" s="1" t="inlineStr">
        <is>
          <t>https://www.linkedin.com/showcase/tokichat</t>
        </is>
      </c>
      <c r="AJ1711" s="1" t="n"/>
    </row>
    <row r="1712" ht="12.5" customHeight="1">
      <c r="A1712" s="6" t="n">
        <v>46034</v>
      </c>
      <c r="B1712" s="1" t="inlineStr">
        <is>
          <t>ORG_2741</t>
        </is>
      </c>
      <c r="C1712" s="1" t="b">
        <v>1</v>
      </c>
      <c r="D1712" s="1" t="inlineStr">
        <is>
          <t>All-Round Leadership Learning System (ARLLS)</t>
        </is>
      </c>
      <c r="E1712" s="10" t="inlineStr">
        <is>
          <t>www.arlls.com</t>
        </is>
      </c>
      <c r="F1712" t="inlineStr">
        <is>
          <t>arlls.com</t>
        </is>
      </c>
      <c r="G1712" s="1" t="inlineStr">
        <is>
          <t>The All-Round Leadership Learning System (ARLLS) is a youth leadership programme spun out of African scholarship charity Beacon Changemakers and run as a social enterprise, with profits reinvested into the Beacon scholarship fund.</t>
        </is>
      </c>
      <c r="H1712" s="1" t="inlineStr">
        <is>
          <t>DOHE</t>
        </is>
      </c>
      <c r="I1712" s="1" t="inlineStr">
        <is>
          <t>English</t>
        </is>
      </c>
      <c r="J1712" s="1" t="inlineStr">
        <is>
          <t>Guildford, Uk</t>
        </is>
      </c>
      <c r="K1712" t="inlineStr">
        <is>
          <t>Guildford</t>
        </is>
      </c>
      <c r="L1712" t="inlineStr">
        <is>
          <t>Guildford, United Kingdom</t>
        </is>
      </c>
      <c r="M1712" t="n">
        <v>51.2356068</v>
      </c>
      <c r="N1712" t="n">
        <v>-0.5732062999999999</v>
      </c>
      <c r="O1712" s="1" t="inlineStr">
        <is>
          <t>United Kingdom</t>
        </is>
      </c>
      <c r="P1712" s="1" t="inlineStr">
        <is>
          <t>Albania, Bosnia and Herzegovina, Andorra, Belarus, Belgium, Austria, Bulgaria, Croatia, Republic of Cyprus, Estonia, Denmark, Czechia, Finland, France, Germany, Greece, Hungary, Iceland, Ireland, Italy, Kosovo, Latvia, Liechtenstein, Lithuania, Luxembourg, Malta, Moldova, Monaco, Montenegro, Netherlands, North Macedonia, Norway, Poland, Portugal, Romania, San Marino, Slovakia, Sweden, Ukraine, United Kingdom, Switzerland, Slovenia, Spain, Turkey, All</t>
        </is>
      </c>
      <c r="Q1712" s="1" t="inlineStr">
        <is>
          <t>Micro (1-9 FTE employees)</t>
        </is>
      </c>
      <c r="R1712" t="inlineStr">
        <is>
          <t>Micro</t>
        </is>
      </c>
      <c r="S1712" s="1" t="inlineStr">
        <is>
          <t>Business to Business, Business to Consumer, Business to Schools, Business to Government</t>
        </is>
      </c>
      <c r="T1712" s="1" t="inlineStr">
        <is>
          <t>Secondary Education, Higher Education, Corporate Training</t>
        </is>
      </c>
      <c r="U1712" s="1" t="inlineStr">
        <is>
          <t>Student interfacing, Teacher interfacing, System/Administrative</t>
        </is>
      </c>
      <c r="V1712" s="10" t="inlineStr">
        <is>
          <t>All-Round Leadership Learning System (ARLLS)</t>
        </is>
      </c>
      <c r="W1712" s="1" t="inlineStr">
        <is>
          <t>Our high-quality leadership development programme is accessible through a research-informed learning platform designed specifically for young people. Our work supports those already showing leadership potential, helping them to build the knowledge, confidence and skills to influence organisations, s</t>
        </is>
      </c>
      <c r="X1712" s="10" t="inlineStr">
        <is>
          <t>https://drive.google.com/uc?export=view&amp;id=14H_JHeRiCc0KNc2GkwYkzSXAEip427lq</t>
        </is>
      </c>
      <c r="Y1712" t="inlineStr">
        <is>
          <t>https://drive.google.com/uc?export=view&amp;id=14H_JHeRiCc0KNc2GkwYkzSXAEip427lq</t>
        </is>
      </c>
      <c r="Z1712" s="1" t="inlineStr">
        <is>
          <t>https://drive.google.com/uc?export=view&amp;id=14H_JHeRiCc0KNc2GkwYkzSXAEip427lq</t>
        </is>
      </c>
      <c r="AA1712" s="1" t="inlineStr">
        <is>
          <t>Verified</t>
        </is>
      </c>
      <c r="AB1712" s="1" t="inlineStr">
        <is>
          <t>Project consortium building, Industry-academia partnerships, Collaborations between EdTech organisations, Public-private partnerships</t>
        </is>
      </c>
      <c r="AC1712" s="1" t="inlineStr">
        <is>
          <t>Non-profit organisation</t>
        </is>
      </c>
      <c r="AD1712" s="10" t="b">
        <v>1</v>
      </c>
      <c r="AE1712" s="1" t="b">
        <v>1</v>
      </c>
      <c r="AF1712" s="1" t="inlineStr">
        <is>
          <t>Yes</t>
        </is>
      </c>
      <c r="AG1712" s="1" t="inlineStr">
        <is>
          <t>https://www.instagram.com/arlls_official/</t>
        </is>
      </c>
      <c r="AH1712" s="1" t="inlineStr">
        <is>
          <t>https://www.linkedin.com/company/arlls</t>
        </is>
      </c>
      <c r="AI1712" s="1" t="inlineStr">
        <is>
          <t>https://www.linkedin.com/company/arlls</t>
        </is>
      </c>
      <c r="AJ1712" s="1" t="n"/>
    </row>
    <row r="1713" ht="12.5" customHeight="1">
      <c r="A1713" s="6" t="n">
        <v>46042</v>
      </c>
      <c r="B1713" s="1" t="inlineStr">
        <is>
          <t>ORG_1590</t>
        </is>
      </c>
      <c r="C1713" s="1" t="b">
        <v>1</v>
      </c>
      <c r="D1713" s="1" t="inlineStr">
        <is>
          <t>Full Fabric</t>
        </is>
      </c>
      <c r="E1713" s="10" t="inlineStr">
        <is>
          <t>www.fullfabric.com</t>
        </is>
      </c>
      <c r="F1713" t="inlineStr">
        <is>
          <t>fullfabric.com</t>
        </is>
      </c>
      <c r="G1713" s="1" t="inlineStr">
        <is>
          <t>Full Fabric is the commerce platform of higher education. We help institutions manage the student lifecycle from first enquiry to confirmed enrolment, with purpose-built software that works alongside existing systems rather than replacing them.  Leading European business schools trust Full Fabric, including ESCP, Warwick Business School, Politecnico di Milano, St. Gallen, IMD, EDHEC, Frankfurt School, ESMT Berlin, Stockholm School of Economics, Amsterdam Business School, and Vlerick Business School.</t>
        </is>
      </c>
      <c r="H1713" s="1" t="inlineStr">
        <is>
          <t>I'm not part of any EdTech association</t>
        </is>
      </c>
      <c r="I1713" s="1" t="inlineStr">
        <is>
          <t>English</t>
        </is>
      </c>
      <c r="J1713" s="1" t="inlineStr">
        <is>
          <t>London</t>
        </is>
      </c>
      <c r="K1713" t="inlineStr">
        <is>
          <t>London</t>
        </is>
      </c>
      <c r="L1713" t="inlineStr">
        <is>
          <t>London, United Kingdom</t>
        </is>
      </c>
      <c r="M1713" t="n">
        <v>51.5074456</v>
      </c>
      <c r="N1713" t="n">
        <v>-0.1277653</v>
      </c>
      <c r="O1713" s="1" t="inlineStr">
        <is>
          <t>United Kingdom</t>
        </is>
      </c>
      <c r="P1713" s="1" t="inlineStr">
        <is>
          <t>United Kingdom, Ireland, France, Germany, Netherlands, Belgium, Switzerland, Sweden, Denmark, Spain, Portugal, Italy, Austria, Finland, Norway</t>
        </is>
      </c>
      <c r="Q1713" s="1" t="inlineStr">
        <is>
          <t>Small (10-49 FTE employees)</t>
        </is>
      </c>
      <c r="R1713" t="inlineStr">
        <is>
          <t>Small</t>
        </is>
      </c>
      <c r="S1713" s="1" t="inlineStr">
        <is>
          <t>Business to Business</t>
        </is>
      </c>
      <c r="T1713" s="1" t="inlineStr">
        <is>
          <t>Higher Education, Lifelong learning/Adult education</t>
        </is>
      </c>
      <c r="U1713" s="1" t="inlineStr">
        <is>
          <t>Student interfacing, Teacher interfacing, System/Administrative</t>
        </is>
      </c>
      <c r="V1713" s="10" t="inlineStr">
        <is>
          <t>Full Fabric Commerce</t>
        </is>
      </c>
      <c r="W1713" s="1" t="inlineStr">
        <is>
          <t>Configure and publish any programme type through a seamless, consumer-grade experience. Digitised applications, self-service registrations, and integrated payments mean fewer drop-offs and faster conversions. https://www.fullfabric.com/products/student-application-management-system</t>
        </is>
      </c>
      <c r="X1713" s="10" t="inlineStr">
        <is>
          <t>Full Fabric Admissions</t>
        </is>
      </c>
      <c r="Y1713" t="inlineStr">
        <is>
          <t>Manage the full journey from application review to confirmed enrolment. Configurable workflows, automated scoring, and digital offer management accelerate decisions and improve yield, all 100% paperless. https://www.fullfabric.com/products/admissions-and-enrollments-software</t>
        </is>
      </c>
      <c r="Z1713" s="1" t="inlineStr">
        <is>
          <t>https://drive.google.com/uc?export=view&amp;id=1yQnfX_rCO-uKJR4DNku53U7-xKJAKxyI</t>
        </is>
      </c>
      <c r="AA1713" s="1" t="inlineStr">
        <is>
          <t>Verified</t>
        </is>
      </c>
      <c r="AB1713" s="1" t="inlineStr">
        <is>
          <t>Industry-academia partnerships, Public-private partnerships, Project consortium building, Collaborations between EdTech organisations</t>
        </is>
      </c>
      <c r="AC1713" s="1" t="inlineStr">
        <is>
          <t>For-profit company</t>
        </is>
      </c>
      <c r="AD1713" s="10" t="b">
        <v>1</v>
      </c>
      <c r="AE1713" s="1" t="b">
        <v>0</v>
      </c>
      <c r="AF1713" s="1" t="inlineStr">
        <is>
          <t>Yes</t>
        </is>
      </c>
      <c r="AG1713" s="1" t="inlineStr">
        <is>
          <t>https://www.instagram.com/full_fabric/</t>
        </is>
      </c>
      <c r="AH1713" s="1" t="inlineStr">
        <is>
          <t>https://www.linkedin.com/company/fullfabric/</t>
        </is>
      </c>
      <c r="AI1713" s="1" t="inlineStr">
        <is>
          <t>https://www.linkedin.com/company/fullfabric/</t>
        </is>
      </c>
      <c r="AJ1713" s="10" t="inlineStr">
        <is>
          <t>https://www.facebook.com/fullfabriccrm</t>
        </is>
      </c>
    </row>
    <row r="1714" ht="12.5" customHeight="1">
      <c r="A1714" s="6" t="n">
        <v>46048</v>
      </c>
      <c r="B1714" s="1" t="inlineStr">
        <is>
          <t>ORG_2742</t>
        </is>
      </c>
      <c r="C1714" s="1" t="b">
        <v>1</v>
      </c>
      <c r="D1714" s="1" t="inlineStr">
        <is>
          <t>Zmudri</t>
        </is>
      </c>
      <c r="E1714" s="10" t="inlineStr">
        <is>
          <t>www.zmudri.sk</t>
        </is>
      </c>
      <c r="F1714" t="inlineStr">
        <is>
          <t>zmudri.sk</t>
        </is>
      </c>
      <c r="G1714" s="1" t="inlineStr">
        <is>
          <t>Zmudri is a Slovak non-profit organization focused on equipping young people with practical skills for real life through engaging digital education. It operates an online learning platform and creates free video-based courses for schools, covering topics such as critical thinking, media and digital literacy, and civic education. Zmudri’s content is widely used by teachers across Slovakia and reaches tens of thousands of young people online.</t>
        </is>
      </c>
      <c r="H1714" s="1" t="inlineStr">
        <is>
          <t>I'm not part of any EdTech association</t>
        </is>
      </c>
      <c r="I1714" s="1" t="inlineStr">
        <is>
          <t>Slovak</t>
        </is>
      </c>
      <c r="J1714" s="1" t="inlineStr">
        <is>
          <t>Slovakia</t>
        </is>
      </c>
      <c r="K1714" t="inlineStr">
        <is>
          <t>Slovakia</t>
        </is>
      </c>
      <c r="L1714" t="inlineStr">
        <is>
          <t>Slovakia, Slovakia</t>
        </is>
      </c>
      <c r="M1714" t="n">
        <v>48.7411522</v>
      </c>
      <c r="N1714" t="n">
        <v>19.4528646</v>
      </c>
      <c r="O1714" s="1" t="inlineStr">
        <is>
          <t>Slovakia</t>
        </is>
      </c>
      <c r="P1714" s="1" t="inlineStr">
        <is>
          <t>Slovakia</t>
        </is>
      </c>
      <c r="Q1714" s="1" t="inlineStr">
        <is>
          <t>Micro (1-9 FTE employees)</t>
        </is>
      </c>
      <c r="R1714" t="inlineStr">
        <is>
          <t>Micro</t>
        </is>
      </c>
      <c r="S1714" s="1" t="inlineStr">
        <is>
          <t>Business to Schools, Business to Consumer</t>
        </is>
      </c>
      <c r="T1714" s="1" t="inlineStr">
        <is>
          <t>Secondary Education</t>
        </is>
      </c>
      <c r="U1714" s="1" t="inlineStr">
        <is>
          <t>Student interfacing, Teacher interfacing</t>
        </is>
      </c>
      <c r="V1714" s="10" t="inlineStr">
        <is>
          <t>Zmudri Online learning platform</t>
        </is>
      </c>
      <c r="W1714" s="1" t="inlineStr">
        <is>
          <t>A free digital learning platform offering short, video-based courses, methodological materials and quizzes focusing on critical thinking, media and digital literacy, civic education.</t>
        </is>
      </c>
      <c r="X1714" s="10" t="inlineStr">
        <is>
          <t>Zmudri G – Explanatory medium for young people</t>
        </is>
      </c>
      <c r="Y1714" t="inlineStr">
        <is>
          <t>An educational media project delivering accessible, explanatory content on current affairs, society, and digital topics through social media and online formats, designed to increase understanding and civic awareness among young audiences.</t>
        </is>
      </c>
      <c r="Z1714" s="1" t="inlineStr">
        <is>
          <t>https://drive.google.com/uc?export=view&amp;id=1QtRVNxaB-XiljYVBffV1CS5_gP1lISQo</t>
        </is>
      </c>
      <c r="AA1714" s="1" t="inlineStr">
        <is>
          <t>Verified</t>
        </is>
      </c>
      <c r="AB1714" s="1" t="inlineStr">
        <is>
          <t>Collaborations between EdTech organisations, Project consortium building, Public-private partnerships, Industry-academia partnerships</t>
        </is>
      </c>
      <c r="AC1714" s="1" t="inlineStr">
        <is>
          <t>Non-profit organisation</t>
        </is>
      </c>
      <c r="AD1714" s="10" t="b">
        <v>1</v>
      </c>
      <c r="AE1714" s="1" t="b">
        <v>1</v>
      </c>
      <c r="AF1714" s="1" t="inlineStr">
        <is>
          <t>Yes</t>
        </is>
      </c>
      <c r="AG1714" s="1" t="inlineStr">
        <is>
          <t>www.instagram.com/zmudri_g</t>
        </is>
      </c>
      <c r="AH1714" s="1" t="inlineStr">
        <is>
          <t>https://www.linkedin.com/company/zmudri/</t>
        </is>
      </c>
      <c r="AI1714" s="1" t="inlineStr">
        <is>
          <t>https://www.linkedin.com/company/zmudri/</t>
        </is>
      </c>
      <c r="AJ1714" s="10" t="inlineStr">
        <is>
          <t>https://www.facebook.com/zmudri.sk</t>
        </is>
      </c>
    </row>
    <row r="1715" ht="12.5" customHeight="1">
      <c r="A1715" s="6" t="n">
        <v>46051</v>
      </c>
      <c r="B1715" s="1" t="inlineStr">
        <is>
          <t>ORG_2743</t>
        </is>
      </c>
      <c r="C1715" s="1" t="b">
        <v>1</v>
      </c>
      <c r="D1715" s="1" t="inlineStr">
        <is>
          <t>Procraft</t>
        </is>
      </c>
      <c r="E1715" s="10" t="inlineStr">
        <is>
          <t>https://procraft.dk/</t>
        </is>
      </c>
      <c r="F1715" t="inlineStr">
        <is>
          <t>procraft.dk</t>
        </is>
      </c>
      <c r="G1715" s="1" t="inlineStr">
        <is>
          <t>Procraft is an interior design and fit-out company that primarily delivers design, consultancy, project management, and installation of interior solutions across schools, educational institutions, and the commercial sector. Among other things, we act as a full-service supplier of innovative learning environments, with functionality, quality, and cost-awareness as key priorities. At Procraft, we create flexible specialist classrooms tailored to each individual space and built on site by our own installers. Our role is to manage projects safely through to completion, ensuring that design, timelines, and budgets meet your expectations.</t>
        </is>
      </c>
      <c r="H1715" s="1" t="inlineStr">
        <is>
          <t>EdTech Denmark</t>
        </is>
      </c>
      <c r="I1715" s="1" t="inlineStr">
        <is>
          <t>Danish</t>
        </is>
      </c>
      <c r="J1715" s="1" t="inlineStr">
        <is>
          <t>Hedensted</t>
        </is>
      </c>
      <c r="K1715" t="inlineStr">
        <is>
          <t>Hedensted</t>
        </is>
      </c>
      <c r="L1715" t="inlineStr">
        <is>
          <t>Hedensted, Denmark</t>
        </is>
      </c>
      <c r="M1715" t="n">
        <v>55.7705233</v>
      </c>
      <c r="N1715" t="n">
        <v>9.6994255</v>
      </c>
      <c r="O1715" s="1" t="inlineStr">
        <is>
          <t>Denmark</t>
        </is>
      </c>
      <c r="P1715" s="1" t="inlineStr">
        <is>
          <t>Denmark</t>
        </is>
      </c>
      <c r="Q1715" s="1" t="inlineStr">
        <is>
          <t>Small (10-49 FTE employees)</t>
        </is>
      </c>
      <c r="R1715" t="inlineStr">
        <is>
          <t>Small</t>
        </is>
      </c>
      <c r="S1715" s="1" t="inlineStr">
        <is>
          <t>Business to Business, Business to Schools, Business to Government</t>
        </is>
      </c>
      <c r="T1715" s="1" t="inlineStr">
        <is>
          <t>Primary Education, Secondary Education, Vocational Education and Training (VET), Higher Education, Other, Lifelong learning/Adult education, Special Education</t>
        </is>
      </c>
      <c r="U1715" s="1" t="inlineStr">
        <is>
          <t>Student interfacing</t>
        </is>
      </c>
      <c r="V1715" s="10" t="inlineStr">
        <is>
          <t>School Interior Design</t>
        </is>
      </c>
      <c r="W1715" s="1" t="inlineStr">
        <is>
          <t>Design, consultancy, project management, and installation of functional and flexible interior solutions for schools and educational environments. We create innovative learning spaces tailored to each room, with a strong focus on functionality, quality, and cost efficiency.</t>
        </is>
      </c>
      <c r="X1715" s="10" t="inlineStr">
        <is>
          <t>Educational Technology for Primary Schools</t>
        </is>
      </c>
      <c r="Y1715" t="inlineStr">
        <is>
          <t>Technology solutions specifically tailored to primary schools and their teaching needs. We support and guide schools in selecting the right equipment, ensuring it fits both the educational objectives and the practical requirements of daily use, including setup, training, and ongoing service.</t>
        </is>
      </c>
      <c r="Z1715" s="1" t="inlineStr">
        <is>
          <t>https://drive.google.com/uc?export=view&amp;id=1mqqE8kLNgeOoi8sGAEnfG_cv3pCttH4k</t>
        </is>
      </c>
      <c r="AA1715" s="1" t="inlineStr">
        <is>
          <t>Verified</t>
        </is>
      </c>
      <c r="AB1715" s="1" t="n"/>
      <c r="AC1715" s="1" t="inlineStr">
        <is>
          <t>For-profit company</t>
        </is>
      </c>
      <c r="AD1715" s="10" t="b">
        <v>1</v>
      </c>
      <c r="AE1715" s="1" t="b">
        <v>1</v>
      </c>
      <c r="AF1715" s="1" t="inlineStr">
        <is>
          <t>Yes</t>
        </is>
      </c>
      <c r="AG1715" s="1" t="inlineStr">
        <is>
          <t>https://www.instagram.com/procraft.dk/</t>
        </is>
      </c>
      <c r="AH1715" s="1" t="inlineStr">
        <is>
          <t>https://www.linkedin.com/company/procraft/</t>
        </is>
      </c>
      <c r="AI1715" s="1" t="inlineStr">
        <is>
          <t>https://www.linkedin.com/company/procraft/</t>
        </is>
      </c>
      <c r="AJ1715" s="10" t="inlineStr">
        <is>
          <t>https://www.facebook.com/ProcraftAps</t>
        </is>
      </c>
    </row>
    <row r="1716" ht="12.5" customHeight="1">
      <c r="A1716" s="6" t="n">
        <v>46057</v>
      </c>
      <c r="B1716" s="1" t="inlineStr">
        <is>
          <t>ORG_2744</t>
        </is>
      </c>
      <c r="C1716" s="1" t="b">
        <v>1</v>
      </c>
      <c r="D1716" s="1" t="inlineStr">
        <is>
          <t>EU-Track Innovations s.a.s. &amp; Co.</t>
        </is>
      </c>
      <c r="E1716" s="10" t="inlineStr">
        <is>
          <t>https://eu-track.eu/</t>
        </is>
      </c>
      <c r="F1716" t="inlineStr">
        <is>
          <t>eu-track.eu</t>
        </is>
      </c>
      <c r="G1716" s="1" t="inlineStr">
        <is>
          <t>EU-Track Innovations S.A.S. is a cutting-edge Research Center dedicated to advancing innovation through a multidisciplinary approach. We integrate expertise in geotechnical engineering, nanotechnology, ICT, education, sociology, STE(A)M, educational robotics, and AI to bridge the gap between research and real-world applications. With a strong scientific foundation and entrepreneurial vision, we drive progress by leveraging the latest technologies and fostering collaboration.</t>
        </is>
      </c>
      <c r="H1716" s="1" t="inlineStr">
        <is>
          <t>I'm not part of any EdTech association</t>
        </is>
      </c>
      <c r="I1716" s="1" t="inlineStr">
        <is>
          <t>English, Italian</t>
        </is>
      </c>
      <c r="J1716" s="1" t="inlineStr">
        <is>
          <t>Terracina</t>
        </is>
      </c>
      <c r="K1716" t="inlineStr">
        <is>
          <t>Terracina</t>
        </is>
      </c>
      <c r="L1716" t="inlineStr">
        <is>
          <t>Terracina, Italy</t>
        </is>
      </c>
      <c r="M1716" t="n">
        <v>41.2871196</v>
      </c>
      <c r="N1716" t="n">
        <v>13.2492009</v>
      </c>
      <c r="O1716" s="1" t="inlineStr">
        <is>
          <t>Italy</t>
        </is>
      </c>
      <c r="P1716" s="1" t="inlineStr">
        <is>
          <t>Italy</t>
        </is>
      </c>
      <c r="Q1716" s="1" t="inlineStr">
        <is>
          <t>Micro (1-9 FTE employees)</t>
        </is>
      </c>
      <c r="R1716" t="inlineStr">
        <is>
          <t>Micro</t>
        </is>
      </c>
      <c r="S1716" s="1" t="inlineStr">
        <is>
          <t>Business to Consumer, Business to Schools, Business to Government</t>
        </is>
      </c>
      <c r="T1716" s="1" t="inlineStr">
        <is>
          <t>Primary Education, Secondary Education, Vocational Education and Training (VET), Lifelong learning/Adult education</t>
        </is>
      </c>
      <c r="U1716" s="1" t="inlineStr">
        <is>
          <t>Student interfacing, Teacher interfacing, System/Administrative</t>
        </is>
      </c>
      <c r="V1716" s="10" t="inlineStr">
        <is>
          <t>Digital Transformation and Technological Integration Services for Education</t>
        </is>
      </c>
      <c r="W1716" s="1" t="inlineStr">
        <is>
          <t>Digital Transformation for Schools Description: Technical support for implementing digital ecosystems in schools. We transform traditional classrooms into "Smart Environments" by integrating hardware, LMS platforms, and interactive content to enhance student engagement and teaching efficiency.</t>
        </is>
      </c>
      <c r="X1716" s="10" t="inlineStr">
        <is>
          <t>Professional Training Programs and STEAM Laboratories</t>
        </is>
      </c>
      <c r="Y1716" t="inlineStr">
        <is>
          <t>Integrated programs combining Science, Technology, Engineering, Arts, and Math. We design hands-on workshops that bridge theory and practice, fostering critical thinking and creativity through cross-curricular digital projects.</t>
        </is>
      </c>
      <c r="Z1716" s="1" t="inlineStr">
        <is>
          <t>https://drive.google.com/uc?export=view&amp;id=1ixEvsHRd8ZC-gb3PEyuG1DL_w0gEgsU_</t>
        </is>
      </c>
      <c r="AA1716" s="1" t="inlineStr">
        <is>
          <t>Verified</t>
        </is>
      </c>
      <c r="AB1716" s="1" t="inlineStr">
        <is>
          <t>Collaborations between EdTech organisations, Project consortium building, Public-private partnerships, Other</t>
        </is>
      </c>
      <c r="AC1716" s="1" t="inlineStr">
        <is>
          <t>For-profit company</t>
        </is>
      </c>
      <c r="AD1716" s="10" t="b">
        <v>1</v>
      </c>
      <c r="AE1716" s="1" t="b">
        <v>1</v>
      </c>
      <c r="AF1716" s="1" t="inlineStr">
        <is>
          <t>Yes</t>
        </is>
      </c>
      <c r="AG1716" s="1" t="inlineStr">
        <is>
          <t>https://www.instagram.com/eutrack/?hl=en</t>
        </is>
      </c>
      <c r="AH1716" s="1" t="inlineStr">
        <is>
          <t>https://it.linkedin.com/company/eu-track</t>
        </is>
      </c>
      <c r="AI1716" s="1" t="inlineStr">
        <is>
          <t>https://it.linkedin.com/company/eu-track</t>
        </is>
      </c>
      <c r="AJ1716" s="10" t="inlineStr">
        <is>
          <t>https://www.facebook.com/eu.track/</t>
        </is>
      </c>
    </row>
  </sheetData>
  <autoFilter ref="A1:AB1716"/>
  <hyperlinks>
    <hyperlink xmlns:r="http://schemas.openxmlformats.org/officeDocument/2006/relationships" ref="E2" r:id="rId1"/>
    <hyperlink xmlns:r="http://schemas.openxmlformats.org/officeDocument/2006/relationships" ref="R2" r:id="rId2"/>
    <hyperlink xmlns:r="http://schemas.openxmlformats.org/officeDocument/2006/relationships" ref="W2" r:id="rId3"/>
    <hyperlink xmlns:r="http://schemas.openxmlformats.org/officeDocument/2006/relationships" ref="E3" r:id="rId4"/>
    <hyperlink xmlns:r="http://schemas.openxmlformats.org/officeDocument/2006/relationships" ref="R3" r:id="rId5"/>
    <hyperlink xmlns:r="http://schemas.openxmlformats.org/officeDocument/2006/relationships" ref="W3" r:id="rId6"/>
    <hyperlink xmlns:r="http://schemas.openxmlformats.org/officeDocument/2006/relationships" ref="E4" r:id="rId7"/>
    <hyperlink xmlns:r="http://schemas.openxmlformats.org/officeDocument/2006/relationships" ref="R4" r:id="rId8"/>
    <hyperlink xmlns:r="http://schemas.openxmlformats.org/officeDocument/2006/relationships" ref="W4" r:id="rId9"/>
    <hyperlink xmlns:r="http://schemas.openxmlformats.org/officeDocument/2006/relationships" ref="E5" r:id="rId10"/>
    <hyperlink xmlns:r="http://schemas.openxmlformats.org/officeDocument/2006/relationships" ref="P5" r:id="rId11"/>
    <hyperlink xmlns:r="http://schemas.openxmlformats.org/officeDocument/2006/relationships" ref="R5" r:id="rId12"/>
    <hyperlink xmlns:r="http://schemas.openxmlformats.org/officeDocument/2006/relationships" ref="W5" r:id="rId13"/>
    <hyperlink xmlns:r="http://schemas.openxmlformats.org/officeDocument/2006/relationships" ref="AC5" r:id="rId14"/>
    <hyperlink xmlns:r="http://schemas.openxmlformats.org/officeDocument/2006/relationships" ref="E6" r:id="rId15"/>
    <hyperlink xmlns:r="http://schemas.openxmlformats.org/officeDocument/2006/relationships" ref="Q6" r:id="rId16"/>
    <hyperlink xmlns:r="http://schemas.openxmlformats.org/officeDocument/2006/relationships" ref="R6" r:id="rId17"/>
    <hyperlink xmlns:r="http://schemas.openxmlformats.org/officeDocument/2006/relationships" ref="W6" r:id="rId18"/>
    <hyperlink xmlns:r="http://schemas.openxmlformats.org/officeDocument/2006/relationships" ref="E7" r:id="rId19"/>
    <hyperlink xmlns:r="http://schemas.openxmlformats.org/officeDocument/2006/relationships" ref="R7" r:id="rId20"/>
    <hyperlink xmlns:r="http://schemas.openxmlformats.org/officeDocument/2006/relationships" ref="W7" r:id="rId21"/>
    <hyperlink xmlns:r="http://schemas.openxmlformats.org/officeDocument/2006/relationships" ref="E8" r:id="rId22"/>
    <hyperlink xmlns:r="http://schemas.openxmlformats.org/officeDocument/2006/relationships" ref="W8" r:id="rId23"/>
    <hyperlink xmlns:r="http://schemas.openxmlformats.org/officeDocument/2006/relationships" ref="E9" r:id="rId24"/>
    <hyperlink xmlns:r="http://schemas.openxmlformats.org/officeDocument/2006/relationships" ref="R9" r:id="rId25"/>
    <hyperlink xmlns:r="http://schemas.openxmlformats.org/officeDocument/2006/relationships" ref="S9" r:id="rId26"/>
    <hyperlink xmlns:r="http://schemas.openxmlformats.org/officeDocument/2006/relationships" ref="W9" r:id="rId27"/>
    <hyperlink xmlns:r="http://schemas.openxmlformats.org/officeDocument/2006/relationships" ref="E10" r:id="rId28"/>
    <hyperlink xmlns:r="http://schemas.openxmlformats.org/officeDocument/2006/relationships" ref="W10" r:id="rId29"/>
    <hyperlink xmlns:r="http://schemas.openxmlformats.org/officeDocument/2006/relationships" ref="E11" r:id="rId30"/>
    <hyperlink xmlns:r="http://schemas.openxmlformats.org/officeDocument/2006/relationships" ref="R11" r:id="rId31"/>
    <hyperlink xmlns:r="http://schemas.openxmlformats.org/officeDocument/2006/relationships" ref="W11" r:id="rId32"/>
    <hyperlink xmlns:r="http://schemas.openxmlformats.org/officeDocument/2006/relationships" ref="E12" r:id="rId33"/>
    <hyperlink xmlns:r="http://schemas.openxmlformats.org/officeDocument/2006/relationships" ref="P12" r:id="rId34"/>
    <hyperlink xmlns:r="http://schemas.openxmlformats.org/officeDocument/2006/relationships" ref="Q12" r:id="rId35"/>
    <hyperlink xmlns:r="http://schemas.openxmlformats.org/officeDocument/2006/relationships" ref="R12" r:id="rId36"/>
    <hyperlink xmlns:r="http://schemas.openxmlformats.org/officeDocument/2006/relationships" ref="W12" r:id="rId37"/>
    <hyperlink xmlns:r="http://schemas.openxmlformats.org/officeDocument/2006/relationships" ref="AC12" r:id="rId38"/>
    <hyperlink xmlns:r="http://schemas.openxmlformats.org/officeDocument/2006/relationships" ref="E13" r:id="rId39"/>
    <hyperlink xmlns:r="http://schemas.openxmlformats.org/officeDocument/2006/relationships" ref="R13" r:id="rId40"/>
    <hyperlink xmlns:r="http://schemas.openxmlformats.org/officeDocument/2006/relationships" ref="W13" r:id="rId41"/>
    <hyperlink xmlns:r="http://schemas.openxmlformats.org/officeDocument/2006/relationships" ref="E14" r:id="rId42"/>
    <hyperlink xmlns:r="http://schemas.openxmlformats.org/officeDocument/2006/relationships" ref="P14" r:id="rId43"/>
    <hyperlink xmlns:r="http://schemas.openxmlformats.org/officeDocument/2006/relationships" ref="Q14" r:id="rId44"/>
    <hyperlink xmlns:r="http://schemas.openxmlformats.org/officeDocument/2006/relationships" ref="R14" r:id="rId45"/>
    <hyperlink xmlns:r="http://schemas.openxmlformats.org/officeDocument/2006/relationships" ref="W14" r:id="rId46"/>
    <hyperlink xmlns:r="http://schemas.openxmlformats.org/officeDocument/2006/relationships" ref="E15" r:id="rId47"/>
    <hyperlink xmlns:r="http://schemas.openxmlformats.org/officeDocument/2006/relationships" ref="P15" r:id="rId48"/>
    <hyperlink xmlns:r="http://schemas.openxmlformats.org/officeDocument/2006/relationships" ref="R15" r:id="rId49"/>
    <hyperlink xmlns:r="http://schemas.openxmlformats.org/officeDocument/2006/relationships" ref="W15" r:id="rId50"/>
    <hyperlink xmlns:r="http://schemas.openxmlformats.org/officeDocument/2006/relationships" ref="E16" r:id="rId51"/>
    <hyperlink xmlns:r="http://schemas.openxmlformats.org/officeDocument/2006/relationships" ref="W16" r:id="rId52"/>
    <hyperlink xmlns:r="http://schemas.openxmlformats.org/officeDocument/2006/relationships" ref="E17" r:id="rId53"/>
    <hyperlink xmlns:r="http://schemas.openxmlformats.org/officeDocument/2006/relationships" ref="P17" r:id="rId54"/>
    <hyperlink xmlns:r="http://schemas.openxmlformats.org/officeDocument/2006/relationships" ref="Q17" r:id="rId55"/>
    <hyperlink xmlns:r="http://schemas.openxmlformats.org/officeDocument/2006/relationships" ref="R17" r:id="rId56"/>
    <hyperlink xmlns:r="http://schemas.openxmlformats.org/officeDocument/2006/relationships" ref="W17" r:id="rId57"/>
    <hyperlink xmlns:r="http://schemas.openxmlformats.org/officeDocument/2006/relationships" ref="AC17" r:id="rId58"/>
    <hyperlink xmlns:r="http://schemas.openxmlformats.org/officeDocument/2006/relationships" ref="E18" r:id="rId59"/>
    <hyperlink xmlns:r="http://schemas.openxmlformats.org/officeDocument/2006/relationships" ref="R18" r:id="rId60"/>
    <hyperlink xmlns:r="http://schemas.openxmlformats.org/officeDocument/2006/relationships" ref="W18" r:id="rId61"/>
    <hyperlink xmlns:r="http://schemas.openxmlformats.org/officeDocument/2006/relationships" ref="E19" r:id="rId62"/>
    <hyperlink xmlns:r="http://schemas.openxmlformats.org/officeDocument/2006/relationships" ref="P19" r:id="rId63"/>
    <hyperlink xmlns:r="http://schemas.openxmlformats.org/officeDocument/2006/relationships" ref="R19" r:id="rId64"/>
    <hyperlink xmlns:r="http://schemas.openxmlformats.org/officeDocument/2006/relationships" ref="W19" r:id="rId65"/>
    <hyperlink xmlns:r="http://schemas.openxmlformats.org/officeDocument/2006/relationships" ref="AC19" r:id="rId66"/>
    <hyperlink xmlns:r="http://schemas.openxmlformats.org/officeDocument/2006/relationships" ref="E20" r:id="rId67"/>
    <hyperlink xmlns:r="http://schemas.openxmlformats.org/officeDocument/2006/relationships" ref="P20" r:id="rId68"/>
    <hyperlink xmlns:r="http://schemas.openxmlformats.org/officeDocument/2006/relationships" ref="R20" r:id="rId69"/>
    <hyperlink xmlns:r="http://schemas.openxmlformats.org/officeDocument/2006/relationships" ref="W20" r:id="rId70"/>
    <hyperlink xmlns:r="http://schemas.openxmlformats.org/officeDocument/2006/relationships" ref="AC20" r:id="rId71"/>
    <hyperlink xmlns:r="http://schemas.openxmlformats.org/officeDocument/2006/relationships" ref="E21" r:id="rId72"/>
    <hyperlink xmlns:r="http://schemas.openxmlformats.org/officeDocument/2006/relationships" ref="P21" r:id="rId73"/>
    <hyperlink xmlns:r="http://schemas.openxmlformats.org/officeDocument/2006/relationships" ref="R21" r:id="rId74"/>
    <hyperlink xmlns:r="http://schemas.openxmlformats.org/officeDocument/2006/relationships" ref="W21" r:id="rId75"/>
    <hyperlink xmlns:r="http://schemas.openxmlformats.org/officeDocument/2006/relationships" ref="E22" r:id="rId76"/>
    <hyperlink xmlns:r="http://schemas.openxmlformats.org/officeDocument/2006/relationships" ref="R22" r:id="rId77"/>
    <hyperlink xmlns:r="http://schemas.openxmlformats.org/officeDocument/2006/relationships" ref="W22" r:id="rId78"/>
    <hyperlink xmlns:r="http://schemas.openxmlformats.org/officeDocument/2006/relationships" ref="E23" r:id="rId79"/>
    <hyperlink xmlns:r="http://schemas.openxmlformats.org/officeDocument/2006/relationships" ref="P23" r:id="rId80"/>
    <hyperlink xmlns:r="http://schemas.openxmlformats.org/officeDocument/2006/relationships" ref="R23" r:id="rId81"/>
    <hyperlink xmlns:r="http://schemas.openxmlformats.org/officeDocument/2006/relationships" ref="S23" r:id="rId82"/>
    <hyperlink xmlns:r="http://schemas.openxmlformats.org/officeDocument/2006/relationships" ref="W23" r:id="rId83"/>
    <hyperlink xmlns:r="http://schemas.openxmlformats.org/officeDocument/2006/relationships" ref="AC23" r:id="rId84"/>
    <hyperlink xmlns:r="http://schemas.openxmlformats.org/officeDocument/2006/relationships" ref="E24" r:id="rId85"/>
    <hyperlink xmlns:r="http://schemas.openxmlformats.org/officeDocument/2006/relationships" ref="W24" r:id="rId86"/>
    <hyperlink xmlns:r="http://schemas.openxmlformats.org/officeDocument/2006/relationships" ref="E25" r:id="rId87"/>
    <hyperlink xmlns:r="http://schemas.openxmlformats.org/officeDocument/2006/relationships" ref="R25" r:id="rId88"/>
    <hyperlink xmlns:r="http://schemas.openxmlformats.org/officeDocument/2006/relationships" ref="W25" r:id="rId89"/>
    <hyperlink xmlns:r="http://schemas.openxmlformats.org/officeDocument/2006/relationships" ref="E26" r:id="rId90"/>
    <hyperlink xmlns:r="http://schemas.openxmlformats.org/officeDocument/2006/relationships" ref="P26" r:id="rId91"/>
    <hyperlink xmlns:r="http://schemas.openxmlformats.org/officeDocument/2006/relationships" ref="R26" r:id="rId92"/>
    <hyperlink xmlns:r="http://schemas.openxmlformats.org/officeDocument/2006/relationships" ref="W26" r:id="rId93"/>
    <hyperlink xmlns:r="http://schemas.openxmlformats.org/officeDocument/2006/relationships" ref="AC26" r:id="rId94"/>
    <hyperlink xmlns:r="http://schemas.openxmlformats.org/officeDocument/2006/relationships" ref="E27" r:id="rId95"/>
    <hyperlink xmlns:r="http://schemas.openxmlformats.org/officeDocument/2006/relationships" ref="P27" r:id="rId96"/>
    <hyperlink xmlns:r="http://schemas.openxmlformats.org/officeDocument/2006/relationships" ref="R27" r:id="rId97"/>
    <hyperlink xmlns:r="http://schemas.openxmlformats.org/officeDocument/2006/relationships" ref="W27" r:id="rId98"/>
    <hyperlink xmlns:r="http://schemas.openxmlformats.org/officeDocument/2006/relationships" ref="AC27" r:id="rId99"/>
    <hyperlink xmlns:r="http://schemas.openxmlformats.org/officeDocument/2006/relationships" ref="E28" r:id="rId100"/>
    <hyperlink xmlns:r="http://schemas.openxmlformats.org/officeDocument/2006/relationships" ref="R28" r:id="rId101"/>
    <hyperlink xmlns:r="http://schemas.openxmlformats.org/officeDocument/2006/relationships" ref="W28" r:id="rId102"/>
    <hyperlink xmlns:r="http://schemas.openxmlformats.org/officeDocument/2006/relationships" ref="E29" r:id="rId103"/>
    <hyperlink xmlns:r="http://schemas.openxmlformats.org/officeDocument/2006/relationships" ref="P29" r:id="rId104"/>
    <hyperlink xmlns:r="http://schemas.openxmlformats.org/officeDocument/2006/relationships" ref="R29" r:id="rId105"/>
    <hyperlink xmlns:r="http://schemas.openxmlformats.org/officeDocument/2006/relationships" ref="W29" r:id="rId106"/>
    <hyperlink xmlns:r="http://schemas.openxmlformats.org/officeDocument/2006/relationships" ref="AC29" r:id="rId107"/>
    <hyperlink xmlns:r="http://schemas.openxmlformats.org/officeDocument/2006/relationships" ref="E30" r:id="rId108"/>
    <hyperlink xmlns:r="http://schemas.openxmlformats.org/officeDocument/2006/relationships" ref="R30" r:id="rId109"/>
    <hyperlink xmlns:r="http://schemas.openxmlformats.org/officeDocument/2006/relationships" ref="W30" r:id="rId110"/>
    <hyperlink xmlns:r="http://schemas.openxmlformats.org/officeDocument/2006/relationships" ref="E31" r:id="rId111"/>
    <hyperlink xmlns:r="http://schemas.openxmlformats.org/officeDocument/2006/relationships" ref="P31" r:id="rId112"/>
    <hyperlink xmlns:r="http://schemas.openxmlformats.org/officeDocument/2006/relationships" ref="R31" r:id="rId113"/>
    <hyperlink xmlns:r="http://schemas.openxmlformats.org/officeDocument/2006/relationships" ref="W31" r:id="rId114"/>
    <hyperlink xmlns:r="http://schemas.openxmlformats.org/officeDocument/2006/relationships" ref="AC31" r:id="rId115"/>
    <hyperlink xmlns:r="http://schemas.openxmlformats.org/officeDocument/2006/relationships" ref="E32" r:id="rId116"/>
    <hyperlink xmlns:r="http://schemas.openxmlformats.org/officeDocument/2006/relationships" ref="P32" r:id="rId117"/>
    <hyperlink xmlns:r="http://schemas.openxmlformats.org/officeDocument/2006/relationships" ref="Q32" r:id="rId118"/>
    <hyperlink xmlns:r="http://schemas.openxmlformats.org/officeDocument/2006/relationships" ref="R32" r:id="rId119"/>
    <hyperlink xmlns:r="http://schemas.openxmlformats.org/officeDocument/2006/relationships" ref="W32" r:id="rId120"/>
    <hyperlink xmlns:r="http://schemas.openxmlformats.org/officeDocument/2006/relationships" ref="AC32" r:id="rId121"/>
    <hyperlink xmlns:r="http://schemas.openxmlformats.org/officeDocument/2006/relationships" ref="E33" r:id="rId122"/>
    <hyperlink xmlns:r="http://schemas.openxmlformats.org/officeDocument/2006/relationships" ref="R33" r:id="rId123"/>
    <hyperlink xmlns:r="http://schemas.openxmlformats.org/officeDocument/2006/relationships" ref="W33" r:id="rId124"/>
    <hyperlink xmlns:r="http://schemas.openxmlformats.org/officeDocument/2006/relationships" ref="P34" r:id="rId125"/>
    <hyperlink xmlns:r="http://schemas.openxmlformats.org/officeDocument/2006/relationships" ref="R34" r:id="rId126"/>
    <hyperlink xmlns:r="http://schemas.openxmlformats.org/officeDocument/2006/relationships" ref="W34" r:id="rId127"/>
    <hyperlink xmlns:r="http://schemas.openxmlformats.org/officeDocument/2006/relationships" ref="E35" r:id="rId128"/>
    <hyperlink xmlns:r="http://schemas.openxmlformats.org/officeDocument/2006/relationships" ref="R35" r:id="rId129"/>
    <hyperlink xmlns:r="http://schemas.openxmlformats.org/officeDocument/2006/relationships" ref="W35" r:id="rId130"/>
    <hyperlink xmlns:r="http://schemas.openxmlformats.org/officeDocument/2006/relationships" ref="E36" r:id="rId131"/>
    <hyperlink xmlns:r="http://schemas.openxmlformats.org/officeDocument/2006/relationships" ref="P36" r:id="rId132"/>
    <hyperlink xmlns:r="http://schemas.openxmlformats.org/officeDocument/2006/relationships" ref="R36" r:id="rId133"/>
    <hyperlink xmlns:r="http://schemas.openxmlformats.org/officeDocument/2006/relationships" ref="W36" r:id="rId134"/>
    <hyperlink xmlns:r="http://schemas.openxmlformats.org/officeDocument/2006/relationships" ref="AC36" r:id="rId135"/>
    <hyperlink xmlns:r="http://schemas.openxmlformats.org/officeDocument/2006/relationships" ref="R37" r:id="rId136"/>
    <hyperlink xmlns:r="http://schemas.openxmlformats.org/officeDocument/2006/relationships" ref="W37" r:id="rId137"/>
    <hyperlink xmlns:r="http://schemas.openxmlformats.org/officeDocument/2006/relationships" ref="E38" r:id="rId138"/>
    <hyperlink xmlns:r="http://schemas.openxmlformats.org/officeDocument/2006/relationships" ref="P38" r:id="rId139"/>
    <hyperlink xmlns:r="http://schemas.openxmlformats.org/officeDocument/2006/relationships" ref="Q38" r:id="rId140"/>
    <hyperlink xmlns:r="http://schemas.openxmlformats.org/officeDocument/2006/relationships" ref="R38" r:id="rId141"/>
    <hyperlink xmlns:r="http://schemas.openxmlformats.org/officeDocument/2006/relationships" ref="W38" r:id="rId142"/>
    <hyperlink xmlns:r="http://schemas.openxmlformats.org/officeDocument/2006/relationships" ref="E39" r:id="rId143"/>
    <hyperlink xmlns:r="http://schemas.openxmlformats.org/officeDocument/2006/relationships" ref="R39" r:id="rId144"/>
    <hyperlink xmlns:r="http://schemas.openxmlformats.org/officeDocument/2006/relationships" ref="W39" r:id="rId145"/>
    <hyperlink xmlns:r="http://schemas.openxmlformats.org/officeDocument/2006/relationships" ref="E40" r:id="rId146"/>
    <hyperlink xmlns:r="http://schemas.openxmlformats.org/officeDocument/2006/relationships" ref="P40" r:id="rId147"/>
    <hyperlink xmlns:r="http://schemas.openxmlformats.org/officeDocument/2006/relationships" ref="R40" r:id="rId148"/>
    <hyperlink xmlns:r="http://schemas.openxmlformats.org/officeDocument/2006/relationships" ref="W40" r:id="rId149"/>
    <hyperlink xmlns:r="http://schemas.openxmlformats.org/officeDocument/2006/relationships" ref="AC40" r:id="rId150"/>
    <hyperlink xmlns:r="http://schemas.openxmlformats.org/officeDocument/2006/relationships" ref="R41" r:id="rId151"/>
    <hyperlink xmlns:r="http://schemas.openxmlformats.org/officeDocument/2006/relationships" ref="W41" r:id="rId152"/>
    <hyperlink xmlns:r="http://schemas.openxmlformats.org/officeDocument/2006/relationships" ref="AC41" r:id="rId153"/>
    <hyperlink xmlns:r="http://schemas.openxmlformats.org/officeDocument/2006/relationships" ref="E42" r:id="rId154"/>
    <hyperlink xmlns:r="http://schemas.openxmlformats.org/officeDocument/2006/relationships" ref="P42" r:id="rId155"/>
    <hyperlink xmlns:r="http://schemas.openxmlformats.org/officeDocument/2006/relationships" ref="R42" r:id="rId156"/>
    <hyperlink xmlns:r="http://schemas.openxmlformats.org/officeDocument/2006/relationships" ref="W42" r:id="rId157"/>
    <hyperlink xmlns:r="http://schemas.openxmlformats.org/officeDocument/2006/relationships" ref="AC42" r:id="rId158"/>
    <hyperlink xmlns:r="http://schemas.openxmlformats.org/officeDocument/2006/relationships" ref="E43" r:id="rId159"/>
    <hyperlink xmlns:r="http://schemas.openxmlformats.org/officeDocument/2006/relationships" ref="P43" r:id="rId160"/>
    <hyperlink xmlns:r="http://schemas.openxmlformats.org/officeDocument/2006/relationships" ref="R43" r:id="rId161"/>
    <hyperlink xmlns:r="http://schemas.openxmlformats.org/officeDocument/2006/relationships" ref="W43" r:id="rId162"/>
    <hyperlink xmlns:r="http://schemas.openxmlformats.org/officeDocument/2006/relationships" ref="AC43" r:id="rId163"/>
    <hyperlink xmlns:r="http://schemas.openxmlformats.org/officeDocument/2006/relationships" ref="E44" r:id="rId164"/>
    <hyperlink xmlns:r="http://schemas.openxmlformats.org/officeDocument/2006/relationships" ref="P44" r:id="rId165"/>
    <hyperlink xmlns:r="http://schemas.openxmlformats.org/officeDocument/2006/relationships" ref="Q44" r:id="rId166"/>
    <hyperlink xmlns:r="http://schemas.openxmlformats.org/officeDocument/2006/relationships" ref="R44" r:id="rId167"/>
    <hyperlink xmlns:r="http://schemas.openxmlformats.org/officeDocument/2006/relationships" ref="W44" r:id="rId168"/>
    <hyperlink xmlns:r="http://schemas.openxmlformats.org/officeDocument/2006/relationships" ref="AC44" r:id="rId169"/>
    <hyperlink xmlns:r="http://schemas.openxmlformats.org/officeDocument/2006/relationships" ref="E45" r:id="rId170"/>
    <hyperlink xmlns:r="http://schemas.openxmlformats.org/officeDocument/2006/relationships" ref="P45" r:id="rId171"/>
    <hyperlink xmlns:r="http://schemas.openxmlformats.org/officeDocument/2006/relationships" ref="R45" r:id="rId172"/>
    <hyperlink xmlns:r="http://schemas.openxmlformats.org/officeDocument/2006/relationships" ref="W45" r:id="rId173"/>
    <hyperlink xmlns:r="http://schemas.openxmlformats.org/officeDocument/2006/relationships" ref="AC45" r:id="rId174"/>
    <hyperlink xmlns:r="http://schemas.openxmlformats.org/officeDocument/2006/relationships" ref="E46" r:id="rId175"/>
    <hyperlink xmlns:r="http://schemas.openxmlformats.org/officeDocument/2006/relationships" ref="R46" r:id="rId176"/>
    <hyperlink xmlns:r="http://schemas.openxmlformats.org/officeDocument/2006/relationships" ref="W46" r:id="rId177"/>
    <hyperlink xmlns:r="http://schemas.openxmlformats.org/officeDocument/2006/relationships" ref="E47" r:id="rId178"/>
    <hyperlink xmlns:r="http://schemas.openxmlformats.org/officeDocument/2006/relationships" ref="W47" r:id="rId179"/>
    <hyperlink xmlns:r="http://schemas.openxmlformats.org/officeDocument/2006/relationships" ref="E48" r:id="rId180"/>
    <hyperlink xmlns:r="http://schemas.openxmlformats.org/officeDocument/2006/relationships" ref="P48" r:id="rId181"/>
    <hyperlink xmlns:r="http://schemas.openxmlformats.org/officeDocument/2006/relationships" ref="R48" r:id="rId182"/>
    <hyperlink xmlns:r="http://schemas.openxmlformats.org/officeDocument/2006/relationships" ref="W48" r:id="rId183"/>
    <hyperlink xmlns:r="http://schemas.openxmlformats.org/officeDocument/2006/relationships" ref="E49" r:id="rId184"/>
    <hyperlink xmlns:r="http://schemas.openxmlformats.org/officeDocument/2006/relationships" ref="R49" r:id="rId185"/>
    <hyperlink xmlns:r="http://schemas.openxmlformats.org/officeDocument/2006/relationships" ref="W49" r:id="rId186"/>
    <hyperlink xmlns:r="http://schemas.openxmlformats.org/officeDocument/2006/relationships" ref="E50" r:id="rId187"/>
    <hyperlink xmlns:r="http://schemas.openxmlformats.org/officeDocument/2006/relationships" ref="W50" r:id="rId188"/>
    <hyperlink xmlns:r="http://schemas.openxmlformats.org/officeDocument/2006/relationships" ref="E51" r:id="rId189"/>
    <hyperlink xmlns:r="http://schemas.openxmlformats.org/officeDocument/2006/relationships" ref="W51" r:id="rId190"/>
    <hyperlink xmlns:r="http://schemas.openxmlformats.org/officeDocument/2006/relationships" ref="E52" r:id="rId191"/>
    <hyperlink xmlns:r="http://schemas.openxmlformats.org/officeDocument/2006/relationships" ref="P52" r:id="rId192"/>
    <hyperlink xmlns:r="http://schemas.openxmlformats.org/officeDocument/2006/relationships" ref="R52" r:id="rId193"/>
    <hyperlink xmlns:r="http://schemas.openxmlformats.org/officeDocument/2006/relationships" ref="W52" r:id="rId194"/>
    <hyperlink xmlns:r="http://schemas.openxmlformats.org/officeDocument/2006/relationships" ref="E53" r:id="rId195"/>
    <hyperlink xmlns:r="http://schemas.openxmlformats.org/officeDocument/2006/relationships" ref="R53" r:id="rId196"/>
    <hyperlink xmlns:r="http://schemas.openxmlformats.org/officeDocument/2006/relationships" ref="W53" r:id="rId197"/>
    <hyperlink xmlns:r="http://schemas.openxmlformats.org/officeDocument/2006/relationships" ref="E54" r:id="rId198"/>
    <hyperlink xmlns:r="http://schemas.openxmlformats.org/officeDocument/2006/relationships" ref="P54" r:id="rId199"/>
    <hyperlink xmlns:r="http://schemas.openxmlformats.org/officeDocument/2006/relationships" ref="Q54" r:id="rId200"/>
    <hyperlink xmlns:r="http://schemas.openxmlformats.org/officeDocument/2006/relationships" ref="R54" r:id="rId201"/>
    <hyperlink xmlns:r="http://schemas.openxmlformats.org/officeDocument/2006/relationships" ref="W54" r:id="rId202"/>
    <hyperlink xmlns:r="http://schemas.openxmlformats.org/officeDocument/2006/relationships" ref="AC54" r:id="rId203"/>
    <hyperlink xmlns:r="http://schemas.openxmlformats.org/officeDocument/2006/relationships" ref="E55" r:id="rId204"/>
    <hyperlink xmlns:r="http://schemas.openxmlformats.org/officeDocument/2006/relationships" ref="Q55" r:id="rId205"/>
    <hyperlink xmlns:r="http://schemas.openxmlformats.org/officeDocument/2006/relationships" ref="R55" r:id="rId206"/>
    <hyperlink xmlns:r="http://schemas.openxmlformats.org/officeDocument/2006/relationships" ref="W55" r:id="rId207"/>
    <hyperlink xmlns:r="http://schemas.openxmlformats.org/officeDocument/2006/relationships" ref="E56" r:id="rId208"/>
    <hyperlink xmlns:r="http://schemas.openxmlformats.org/officeDocument/2006/relationships" ref="P56" r:id="rId209"/>
    <hyperlink xmlns:r="http://schemas.openxmlformats.org/officeDocument/2006/relationships" ref="Q56" r:id="rId210"/>
    <hyperlink xmlns:r="http://schemas.openxmlformats.org/officeDocument/2006/relationships" ref="R56" r:id="rId211"/>
    <hyperlink xmlns:r="http://schemas.openxmlformats.org/officeDocument/2006/relationships" ref="W56" r:id="rId212"/>
    <hyperlink xmlns:r="http://schemas.openxmlformats.org/officeDocument/2006/relationships" ref="AC56" r:id="rId213"/>
    <hyperlink xmlns:r="http://schemas.openxmlformats.org/officeDocument/2006/relationships" ref="E57" r:id="rId214"/>
    <hyperlink xmlns:r="http://schemas.openxmlformats.org/officeDocument/2006/relationships" ref="R57" r:id="rId215"/>
    <hyperlink xmlns:r="http://schemas.openxmlformats.org/officeDocument/2006/relationships" ref="W57" r:id="rId216"/>
    <hyperlink xmlns:r="http://schemas.openxmlformats.org/officeDocument/2006/relationships" ref="E58" r:id="rId217"/>
    <hyperlink xmlns:r="http://schemas.openxmlformats.org/officeDocument/2006/relationships" ref="R58" r:id="rId218"/>
    <hyperlink xmlns:r="http://schemas.openxmlformats.org/officeDocument/2006/relationships" ref="W58" r:id="rId219"/>
    <hyperlink xmlns:r="http://schemas.openxmlformats.org/officeDocument/2006/relationships" ref="E59" r:id="rId220"/>
    <hyperlink xmlns:r="http://schemas.openxmlformats.org/officeDocument/2006/relationships" ref="R59" r:id="rId221"/>
    <hyperlink xmlns:r="http://schemas.openxmlformats.org/officeDocument/2006/relationships" ref="W59" r:id="rId222"/>
    <hyperlink xmlns:r="http://schemas.openxmlformats.org/officeDocument/2006/relationships" ref="E60" r:id="rId223"/>
    <hyperlink xmlns:r="http://schemas.openxmlformats.org/officeDocument/2006/relationships" ref="R60" r:id="rId224"/>
    <hyperlink xmlns:r="http://schemas.openxmlformats.org/officeDocument/2006/relationships" ref="W60" r:id="rId225"/>
    <hyperlink xmlns:r="http://schemas.openxmlformats.org/officeDocument/2006/relationships" ref="E61" r:id="rId226"/>
    <hyperlink xmlns:r="http://schemas.openxmlformats.org/officeDocument/2006/relationships" ref="P61" r:id="rId227"/>
    <hyperlink xmlns:r="http://schemas.openxmlformats.org/officeDocument/2006/relationships" ref="R61" r:id="rId228"/>
    <hyperlink xmlns:r="http://schemas.openxmlformats.org/officeDocument/2006/relationships" ref="W61" r:id="rId229"/>
    <hyperlink xmlns:r="http://schemas.openxmlformats.org/officeDocument/2006/relationships" ref="E62" r:id="rId230"/>
    <hyperlink xmlns:r="http://schemas.openxmlformats.org/officeDocument/2006/relationships" ref="R62" r:id="rId231"/>
    <hyperlink xmlns:r="http://schemas.openxmlformats.org/officeDocument/2006/relationships" ref="W62" r:id="rId232"/>
    <hyperlink xmlns:r="http://schemas.openxmlformats.org/officeDocument/2006/relationships" ref="AC62" r:id="rId233"/>
    <hyperlink xmlns:r="http://schemas.openxmlformats.org/officeDocument/2006/relationships" ref="E63" r:id="rId234"/>
    <hyperlink xmlns:r="http://schemas.openxmlformats.org/officeDocument/2006/relationships" ref="R63" r:id="rId235"/>
    <hyperlink xmlns:r="http://schemas.openxmlformats.org/officeDocument/2006/relationships" ref="W63" r:id="rId236"/>
    <hyperlink xmlns:r="http://schemas.openxmlformats.org/officeDocument/2006/relationships" ref="E64" r:id="rId237"/>
    <hyperlink xmlns:r="http://schemas.openxmlformats.org/officeDocument/2006/relationships" ref="W64" r:id="rId238"/>
    <hyperlink xmlns:r="http://schemas.openxmlformats.org/officeDocument/2006/relationships" ref="E65" r:id="rId239"/>
    <hyperlink xmlns:r="http://schemas.openxmlformats.org/officeDocument/2006/relationships" ref="P65" r:id="rId240"/>
    <hyperlink xmlns:r="http://schemas.openxmlformats.org/officeDocument/2006/relationships" ref="R65" r:id="rId241"/>
    <hyperlink xmlns:r="http://schemas.openxmlformats.org/officeDocument/2006/relationships" ref="W65" r:id="rId242"/>
    <hyperlink xmlns:r="http://schemas.openxmlformats.org/officeDocument/2006/relationships" ref="AC65" r:id="rId243"/>
    <hyperlink xmlns:r="http://schemas.openxmlformats.org/officeDocument/2006/relationships" ref="E66" r:id="rId244"/>
    <hyperlink xmlns:r="http://schemas.openxmlformats.org/officeDocument/2006/relationships" ref="R66" r:id="rId245"/>
    <hyperlink xmlns:r="http://schemas.openxmlformats.org/officeDocument/2006/relationships" ref="W66" r:id="rId246"/>
    <hyperlink xmlns:r="http://schemas.openxmlformats.org/officeDocument/2006/relationships" ref="E67" r:id="rId247"/>
    <hyperlink xmlns:r="http://schemas.openxmlformats.org/officeDocument/2006/relationships" ref="R67" r:id="rId248"/>
    <hyperlink xmlns:r="http://schemas.openxmlformats.org/officeDocument/2006/relationships" ref="W67" r:id="rId249"/>
    <hyperlink xmlns:r="http://schemas.openxmlformats.org/officeDocument/2006/relationships" ref="E68" r:id="rId250"/>
    <hyperlink xmlns:r="http://schemas.openxmlformats.org/officeDocument/2006/relationships" ref="R68" r:id="rId251"/>
    <hyperlink xmlns:r="http://schemas.openxmlformats.org/officeDocument/2006/relationships" ref="W68" r:id="rId252"/>
    <hyperlink xmlns:r="http://schemas.openxmlformats.org/officeDocument/2006/relationships" ref="E69" r:id="rId253"/>
    <hyperlink xmlns:r="http://schemas.openxmlformats.org/officeDocument/2006/relationships" ref="W69" r:id="rId254"/>
    <hyperlink xmlns:r="http://schemas.openxmlformats.org/officeDocument/2006/relationships" ref="E70" r:id="rId255"/>
    <hyperlink xmlns:r="http://schemas.openxmlformats.org/officeDocument/2006/relationships" ref="P70" r:id="rId256"/>
    <hyperlink xmlns:r="http://schemas.openxmlformats.org/officeDocument/2006/relationships" ref="Q70" r:id="rId257"/>
    <hyperlink xmlns:r="http://schemas.openxmlformats.org/officeDocument/2006/relationships" ref="R70" r:id="rId258"/>
    <hyperlink xmlns:r="http://schemas.openxmlformats.org/officeDocument/2006/relationships" ref="W70" r:id="rId259"/>
    <hyperlink xmlns:r="http://schemas.openxmlformats.org/officeDocument/2006/relationships" ref="AC70" r:id="rId260"/>
    <hyperlink xmlns:r="http://schemas.openxmlformats.org/officeDocument/2006/relationships" ref="E71" r:id="rId261"/>
    <hyperlink xmlns:r="http://schemas.openxmlformats.org/officeDocument/2006/relationships" ref="P71" r:id="rId262"/>
    <hyperlink xmlns:r="http://schemas.openxmlformats.org/officeDocument/2006/relationships" ref="Q71" r:id="rId263"/>
    <hyperlink xmlns:r="http://schemas.openxmlformats.org/officeDocument/2006/relationships" ref="R71" r:id="rId264"/>
    <hyperlink xmlns:r="http://schemas.openxmlformats.org/officeDocument/2006/relationships" ref="W71" r:id="rId265"/>
    <hyperlink xmlns:r="http://schemas.openxmlformats.org/officeDocument/2006/relationships" ref="AC71" r:id="rId266"/>
    <hyperlink xmlns:r="http://schemas.openxmlformats.org/officeDocument/2006/relationships" ref="E72" r:id="rId267"/>
    <hyperlink xmlns:r="http://schemas.openxmlformats.org/officeDocument/2006/relationships" ref="P72" r:id="rId268"/>
    <hyperlink xmlns:r="http://schemas.openxmlformats.org/officeDocument/2006/relationships" ref="W72" r:id="rId269"/>
    <hyperlink xmlns:r="http://schemas.openxmlformats.org/officeDocument/2006/relationships" ref="AC72" r:id="rId270"/>
    <hyperlink xmlns:r="http://schemas.openxmlformats.org/officeDocument/2006/relationships" ref="E73" r:id="rId271"/>
    <hyperlink xmlns:r="http://schemas.openxmlformats.org/officeDocument/2006/relationships" ref="R73" r:id="rId272"/>
    <hyperlink xmlns:r="http://schemas.openxmlformats.org/officeDocument/2006/relationships" ref="W73" r:id="rId273"/>
    <hyperlink xmlns:r="http://schemas.openxmlformats.org/officeDocument/2006/relationships" ref="E74" r:id="rId274"/>
    <hyperlink xmlns:r="http://schemas.openxmlformats.org/officeDocument/2006/relationships" ref="R74" r:id="rId275"/>
    <hyperlink xmlns:r="http://schemas.openxmlformats.org/officeDocument/2006/relationships" ref="W74" r:id="rId276"/>
    <hyperlink xmlns:r="http://schemas.openxmlformats.org/officeDocument/2006/relationships" ref="E75" r:id="rId277"/>
    <hyperlink xmlns:r="http://schemas.openxmlformats.org/officeDocument/2006/relationships" ref="R75" r:id="rId278"/>
    <hyperlink xmlns:r="http://schemas.openxmlformats.org/officeDocument/2006/relationships" ref="W75" r:id="rId279"/>
    <hyperlink xmlns:r="http://schemas.openxmlformats.org/officeDocument/2006/relationships" ref="E76" r:id="rId280"/>
    <hyperlink xmlns:r="http://schemas.openxmlformats.org/officeDocument/2006/relationships" ref="W76" r:id="rId281"/>
    <hyperlink xmlns:r="http://schemas.openxmlformats.org/officeDocument/2006/relationships" ref="E77" r:id="rId282"/>
    <hyperlink xmlns:r="http://schemas.openxmlformats.org/officeDocument/2006/relationships" ref="P77" r:id="rId283"/>
    <hyperlink xmlns:r="http://schemas.openxmlformats.org/officeDocument/2006/relationships" ref="R77" r:id="rId284"/>
    <hyperlink xmlns:r="http://schemas.openxmlformats.org/officeDocument/2006/relationships" ref="W77" r:id="rId285"/>
    <hyperlink xmlns:r="http://schemas.openxmlformats.org/officeDocument/2006/relationships" ref="AC77" r:id="rId286"/>
    <hyperlink xmlns:r="http://schemas.openxmlformats.org/officeDocument/2006/relationships" ref="E78" r:id="rId287"/>
    <hyperlink xmlns:r="http://schemas.openxmlformats.org/officeDocument/2006/relationships" ref="P78" r:id="rId288"/>
    <hyperlink xmlns:r="http://schemas.openxmlformats.org/officeDocument/2006/relationships" ref="R78" r:id="rId289"/>
    <hyperlink xmlns:r="http://schemas.openxmlformats.org/officeDocument/2006/relationships" ref="W78" r:id="rId290"/>
    <hyperlink xmlns:r="http://schemas.openxmlformats.org/officeDocument/2006/relationships" ref="AC78" r:id="rId291"/>
    <hyperlink xmlns:r="http://schemas.openxmlformats.org/officeDocument/2006/relationships" ref="E79" r:id="rId292"/>
    <hyperlink xmlns:r="http://schemas.openxmlformats.org/officeDocument/2006/relationships" ref="R79" r:id="rId293"/>
    <hyperlink xmlns:r="http://schemas.openxmlformats.org/officeDocument/2006/relationships" ref="W79" r:id="rId294"/>
    <hyperlink xmlns:r="http://schemas.openxmlformats.org/officeDocument/2006/relationships" ref="E80" r:id="rId295"/>
    <hyperlink xmlns:r="http://schemas.openxmlformats.org/officeDocument/2006/relationships" ref="P80" r:id="rId296"/>
    <hyperlink xmlns:r="http://schemas.openxmlformats.org/officeDocument/2006/relationships" ref="R80" r:id="rId297"/>
    <hyperlink xmlns:r="http://schemas.openxmlformats.org/officeDocument/2006/relationships" ref="W80" r:id="rId298"/>
    <hyperlink xmlns:r="http://schemas.openxmlformats.org/officeDocument/2006/relationships" ref="E81" r:id="rId299"/>
    <hyperlink xmlns:r="http://schemas.openxmlformats.org/officeDocument/2006/relationships" ref="W81" r:id="rId300"/>
    <hyperlink xmlns:r="http://schemas.openxmlformats.org/officeDocument/2006/relationships" ref="E82" r:id="rId301"/>
    <hyperlink xmlns:r="http://schemas.openxmlformats.org/officeDocument/2006/relationships" ref="R82" r:id="rId302"/>
    <hyperlink xmlns:r="http://schemas.openxmlformats.org/officeDocument/2006/relationships" ref="W82" r:id="rId303"/>
    <hyperlink xmlns:r="http://schemas.openxmlformats.org/officeDocument/2006/relationships" ref="E83" r:id="rId304"/>
    <hyperlink xmlns:r="http://schemas.openxmlformats.org/officeDocument/2006/relationships" ref="W83" r:id="rId305"/>
    <hyperlink xmlns:r="http://schemas.openxmlformats.org/officeDocument/2006/relationships" ref="D84" r:id="rId306"/>
    <hyperlink xmlns:r="http://schemas.openxmlformats.org/officeDocument/2006/relationships" ref="E84" r:id="rId307"/>
    <hyperlink xmlns:r="http://schemas.openxmlformats.org/officeDocument/2006/relationships" ref="R84" r:id="rId308"/>
    <hyperlink xmlns:r="http://schemas.openxmlformats.org/officeDocument/2006/relationships" ref="S84" r:id="rId309"/>
    <hyperlink xmlns:r="http://schemas.openxmlformats.org/officeDocument/2006/relationships" ref="W84" r:id="rId310"/>
    <hyperlink xmlns:r="http://schemas.openxmlformats.org/officeDocument/2006/relationships" ref="E85" r:id="rId311"/>
    <hyperlink xmlns:r="http://schemas.openxmlformats.org/officeDocument/2006/relationships" ref="Q85" r:id="rId312"/>
    <hyperlink xmlns:r="http://schemas.openxmlformats.org/officeDocument/2006/relationships" ref="R85" r:id="rId313"/>
    <hyperlink xmlns:r="http://schemas.openxmlformats.org/officeDocument/2006/relationships" ref="W85" r:id="rId314"/>
    <hyperlink xmlns:r="http://schemas.openxmlformats.org/officeDocument/2006/relationships" ref="D86" r:id="rId315"/>
    <hyperlink xmlns:r="http://schemas.openxmlformats.org/officeDocument/2006/relationships" ref="E86" r:id="rId316"/>
    <hyperlink xmlns:r="http://schemas.openxmlformats.org/officeDocument/2006/relationships" ref="W86" r:id="rId317"/>
    <hyperlink xmlns:r="http://schemas.openxmlformats.org/officeDocument/2006/relationships" ref="E87" r:id="rId318"/>
    <hyperlink xmlns:r="http://schemas.openxmlformats.org/officeDocument/2006/relationships" ref="R87" r:id="rId319"/>
    <hyperlink xmlns:r="http://schemas.openxmlformats.org/officeDocument/2006/relationships" ref="W87" r:id="rId320"/>
    <hyperlink xmlns:r="http://schemas.openxmlformats.org/officeDocument/2006/relationships" ref="E88" r:id="rId321"/>
    <hyperlink xmlns:r="http://schemas.openxmlformats.org/officeDocument/2006/relationships" ref="P88" r:id="rId322"/>
    <hyperlink xmlns:r="http://schemas.openxmlformats.org/officeDocument/2006/relationships" ref="R88" r:id="rId323"/>
    <hyperlink xmlns:r="http://schemas.openxmlformats.org/officeDocument/2006/relationships" ref="W88" r:id="rId324"/>
    <hyperlink xmlns:r="http://schemas.openxmlformats.org/officeDocument/2006/relationships" ref="E89" r:id="rId325"/>
    <hyperlink xmlns:r="http://schemas.openxmlformats.org/officeDocument/2006/relationships" ref="P89" r:id="rId326"/>
    <hyperlink xmlns:r="http://schemas.openxmlformats.org/officeDocument/2006/relationships" ref="R89" r:id="rId327"/>
    <hyperlink xmlns:r="http://schemas.openxmlformats.org/officeDocument/2006/relationships" ref="W89" r:id="rId328"/>
    <hyperlink xmlns:r="http://schemas.openxmlformats.org/officeDocument/2006/relationships" ref="E90" r:id="rId329"/>
    <hyperlink xmlns:r="http://schemas.openxmlformats.org/officeDocument/2006/relationships" ref="R90" r:id="rId330"/>
    <hyperlink xmlns:r="http://schemas.openxmlformats.org/officeDocument/2006/relationships" ref="W90" r:id="rId331"/>
    <hyperlink xmlns:r="http://schemas.openxmlformats.org/officeDocument/2006/relationships" ref="AC90" r:id="rId332"/>
    <hyperlink xmlns:r="http://schemas.openxmlformats.org/officeDocument/2006/relationships" ref="E91" r:id="rId333"/>
    <hyperlink xmlns:r="http://schemas.openxmlformats.org/officeDocument/2006/relationships" ref="P91" r:id="rId334"/>
    <hyperlink xmlns:r="http://schemas.openxmlformats.org/officeDocument/2006/relationships" ref="R91" r:id="rId335"/>
    <hyperlink xmlns:r="http://schemas.openxmlformats.org/officeDocument/2006/relationships" ref="W91" r:id="rId336"/>
    <hyperlink xmlns:r="http://schemas.openxmlformats.org/officeDocument/2006/relationships" ref="AC91" r:id="rId337"/>
    <hyperlink xmlns:r="http://schemas.openxmlformats.org/officeDocument/2006/relationships" ref="E92" r:id="rId338"/>
    <hyperlink xmlns:r="http://schemas.openxmlformats.org/officeDocument/2006/relationships" ref="R92" r:id="rId339"/>
    <hyperlink xmlns:r="http://schemas.openxmlformats.org/officeDocument/2006/relationships" ref="W92" r:id="rId340"/>
    <hyperlink xmlns:r="http://schemas.openxmlformats.org/officeDocument/2006/relationships" ref="E93" r:id="rId341"/>
    <hyperlink xmlns:r="http://schemas.openxmlformats.org/officeDocument/2006/relationships" ref="W93" r:id="rId342"/>
    <hyperlink xmlns:r="http://schemas.openxmlformats.org/officeDocument/2006/relationships" ref="P94" r:id="rId343"/>
    <hyperlink xmlns:r="http://schemas.openxmlformats.org/officeDocument/2006/relationships" ref="R94" r:id="rId344"/>
    <hyperlink xmlns:r="http://schemas.openxmlformats.org/officeDocument/2006/relationships" ref="W94" r:id="rId345"/>
    <hyperlink xmlns:r="http://schemas.openxmlformats.org/officeDocument/2006/relationships" ref="AC94" r:id="rId346"/>
    <hyperlink xmlns:r="http://schemas.openxmlformats.org/officeDocument/2006/relationships" ref="E95" r:id="rId347"/>
    <hyperlink xmlns:r="http://schemas.openxmlformats.org/officeDocument/2006/relationships" ref="R95" r:id="rId348"/>
    <hyperlink xmlns:r="http://schemas.openxmlformats.org/officeDocument/2006/relationships" ref="W95" r:id="rId349"/>
    <hyperlink xmlns:r="http://schemas.openxmlformats.org/officeDocument/2006/relationships" ref="E96" r:id="rId350"/>
    <hyperlink xmlns:r="http://schemas.openxmlformats.org/officeDocument/2006/relationships" ref="P96" r:id="rId351"/>
    <hyperlink xmlns:r="http://schemas.openxmlformats.org/officeDocument/2006/relationships" ref="R96" r:id="rId352"/>
    <hyperlink xmlns:r="http://schemas.openxmlformats.org/officeDocument/2006/relationships" ref="W96" r:id="rId353"/>
    <hyperlink xmlns:r="http://schemas.openxmlformats.org/officeDocument/2006/relationships" ref="E97" r:id="rId354"/>
    <hyperlink xmlns:r="http://schemas.openxmlformats.org/officeDocument/2006/relationships" ref="P97" r:id="rId355"/>
    <hyperlink xmlns:r="http://schemas.openxmlformats.org/officeDocument/2006/relationships" ref="R97" r:id="rId356"/>
    <hyperlink xmlns:r="http://schemas.openxmlformats.org/officeDocument/2006/relationships" ref="W97" r:id="rId357"/>
    <hyperlink xmlns:r="http://schemas.openxmlformats.org/officeDocument/2006/relationships" ref="E98" r:id="rId358"/>
    <hyperlink xmlns:r="http://schemas.openxmlformats.org/officeDocument/2006/relationships" ref="R98" r:id="rId359"/>
    <hyperlink xmlns:r="http://schemas.openxmlformats.org/officeDocument/2006/relationships" ref="W98" r:id="rId360"/>
    <hyperlink xmlns:r="http://schemas.openxmlformats.org/officeDocument/2006/relationships" ref="E99" r:id="rId361"/>
    <hyperlink xmlns:r="http://schemas.openxmlformats.org/officeDocument/2006/relationships" ref="R99" r:id="rId362"/>
    <hyperlink xmlns:r="http://schemas.openxmlformats.org/officeDocument/2006/relationships" ref="W99" r:id="rId363"/>
    <hyperlink xmlns:r="http://schemas.openxmlformats.org/officeDocument/2006/relationships" ref="E100" r:id="rId364"/>
    <hyperlink xmlns:r="http://schemas.openxmlformats.org/officeDocument/2006/relationships" ref="R100" r:id="rId365"/>
    <hyperlink xmlns:r="http://schemas.openxmlformats.org/officeDocument/2006/relationships" ref="W100" r:id="rId366"/>
    <hyperlink xmlns:r="http://schemas.openxmlformats.org/officeDocument/2006/relationships" ref="AC100" r:id="rId367"/>
    <hyperlink xmlns:r="http://schemas.openxmlformats.org/officeDocument/2006/relationships" ref="E101" r:id="rId368"/>
    <hyperlink xmlns:r="http://schemas.openxmlformats.org/officeDocument/2006/relationships" ref="P101" r:id="rId369"/>
    <hyperlink xmlns:r="http://schemas.openxmlformats.org/officeDocument/2006/relationships" ref="R101" r:id="rId370"/>
    <hyperlink xmlns:r="http://schemas.openxmlformats.org/officeDocument/2006/relationships" ref="W101" r:id="rId371"/>
    <hyperlink xmlns:r="http://schemas.openxmlformats.org/officeDocument/2006/relationships" ref="E102" r:id="rId372"/>
    <hyperlink xmlns:r="http://schemas.openxmlformats.org/officeDocument/2006/relationships" ref="R102" r:id="rId373"/>
    <hyperlink xmlns:r="http://schemas.openxmlformats.org/officeDocument/2006/relationships" ref="W102" r:id="rId374"/>
    <hyperlink xmlns:r="http://schemas.openxmlformats.org/officeDocument/2006/relationships" ref="E103" r:id="rId375"/>
    <hyperlink xmlns:r="http://schemas.openxmlformats.org/officeDocument/2006/relationships" ref="P103" r:id="rId376"/>
    <hyperlink xmlns:r="http://schemas.openxmlformats.org/officeDocument/2006/relationships" ref="R103" r:id="rId377"/>
    <hyperlink xmlns:r="http://schemas.openxmlformats.org/officeDocument/2006/relationships" ref="W103" r:id="rId378"/>
    <hyperlink xmlns:r="http://schemas.openxmlformats.org/officeDocument/2006/relationships" ref="AC103" r:id="rId379"/>
    <hyperlink xmlns:r="http://schemas.openxmlformats.org/officeDocument/2006/relationships" ref="E104" r:id="rId380"/>
    <hyperlink xmlns:r="http://schemas.openxmlformats.org/officeDocument/2006/relationships" ref="W104" r:id="rId381"/>
    <hyperlink xmlns:r="http://schemas.openxmlformats.org/officeDocument/2006/relationships" ref="E105" r:id="rId382"/>
    <hyperlink xmlns:r="http://schemas.openxmlformats.org/officeDocument/2006/relationships" ref="R105" r:id="rId383"/>
    <hyperlink xmlns:r="http://schemas.openxmlformats.org/officeDocument/2006/relationships" ref="W105" r:id="rId384"/>
    <hyperlink xmlns:r="http://schemas.openxmlformats.org/officeDocument/2006/relationships" ref="E106" r:id="rId385"/>
    <hyperlink xmlns:r="http://schemas.openxmlformats.org/officeDocument/2006/relationships" ref="P106" r:id="rId386"/>
    <hyperlink xmlns:r="http://schemas.openxmlformats.org/officeDocument/2006/relationships" ref="R106" r:id="rId387"/>
    <hyperlink xmlns:r="http://schemas.openxmlformats.org/officeDocument/2006/relationships" ref="W106" r:id="rId388"/>
    <hyperlink xmlns:r="http://schemas.openxmlformats.org/officeDocument/2006/relationships" ref="E107" r:id="rId389"/>
    <hyperlink xmlns:r="http://schemas.openxmlformats.org/officeDocument/2006/relationships" ref="P107" r:id="rId390"/>
    <hyperlink xmlns:r="http://schemas.openxmlformats.org/officeDocument/2006/relationships" ref="R107" r:id="rId391"/>
    <hyperlink xmlns:r="http://schemas.openxmlformats.org/officeDocument/2006/relationships" ref="W107" r:id="rId392"/>
    <hyperlink xmlns:r="http://schemas.openxmlformats.org/officeDocument/2006/relationships" ref="AC107" r:id="rId393"/>
    <hyperlink xmlns:r="http://schemas.openxmlformats.org/officeDocument/2006/relationships" ref="E108" r:id="rId394"/>
    <hyperlink xmlns:r="http://schemas.openxmlformats.org/officeDocument/2006/relationships" ref="P108" r:id="rId395"/>
    <hyperlink xmlns:r="http://schemas.openxmlformats.org/officeDocument/2006/relationships" ref="R108" r:id="rId396"/>
    <hyperlink xmlns:r="http://schemas.openxmlformats.org/officeDocument/2006/relationships" ref="W108" r:id="rId397"/>
    <hyperlink xmlns:r="http://schemas.openxmlformats.org/officeDocument/2006/relationships" ref="AC108" r:id="rId398"/>
    <hyperlink xmlns:r="http://schemas.openxmlformats.org/officeDocument/2006/relationships" ref="E109" r:id="rId399"/>
    <hyperlink xmlns:r="http://schemas.openxmlformats.org/officeDocument/2006/relationships" ref="R109" r:id="rId400"/>
    <hyperlink xmlns:r="http://schemas.openxmlformats.org/officeDocument/2006/relationships" ref="W109" r:id="rId401"/>
    <hyperlink xmlns:r="http://schemas.openxmlformats.org/officeDocument/2006/relationships" ref="E110" r:id="rId402"/>
    <hyperlink xmlns:r="http://schemas.openxmlformats.org/officeDocument/2006/relationships" ref="W110" r:id="rId403"/>
    <hyperlink xmlns:r="http://schemas.openxmlformats.org/officeDocument/2006/relationships" ref="E111" r:id="rId404"/>
    <hyperlink xmlns:r="http://schemas.openxmlformats.org/officeDocument/2006/relationships" ref="W111" r:id="rId405"/>
    <hyperlink xmlns:r="http://schemas.openxmlformats.org/officeDocument/2006/relationships" ref="E112" r:id="rId406"/>
    <hyperlink xmlns:r="http://schemas.openxmlformats.org/officeDocument/2006/relationships" ref="R112" r:id="rId407"/>
    <hyperlink xmlns:r="http://schemas.openxmlformats.org/officeDocument/2006/relationships" ref="W112" r:id="rId408"/>
    <hyperlink xmlns:r="http://schemas.openxmlformats.org/officeDocument/2006/relationships" ref="E113" r:id="rId409"/>
    <hyperlink xmlns:r="http://schemas.openxmlformats.org/officeDocument/2006/relationships" ref="W113" r:id="rId410"/>
    <hyperlink xmlns:r="http://schemas.openxmlformats.org/officeDocument/2006/relationships" ref="E114" r:id="rId411"/>
    <hyperlink xmlns:r="http://schemas.openxmlformats.org/officeDocument/2006/relationships" ref="R114" r:id="rId412"/>
    <hyperlink xmlns:r="http://schemas.openxmlformats.org/officeDocument/2006/relationships" ref="W114" r:id="rId413"/>
    <hyperlink xmlns:r="http://schemas.openxmlformats.org/officeDocument/2006/relationships" ref="E115" r:id="rId414"/>
    <hyperlink xmlns:r="http://schemas.openxmlformats.org/officeDocument/2006/relationships" ref="W115" r:id="rId415"/>
    <hyperlink xmlns:r="http://schemas.openxmlformats.org/officeDocument/2006/relationships" ref="E116" r:id="rId416"/>
    <hyperlink xmlns:r="http://schemas.openxmlformats.org/officeDocument/2006/relationships" ref="P116" r:id="rId417"/>
    <hyperlink xmlns:r="http://schemas.openxmlformats.org/officeDocument/2006/relationships" ref="Q116" r:id="rId418"/>
    <hyperlink xmlns:r="http://schemas.openxmlformats.org/officeDocument/2006/relationships" ref="R116" r:id="rId419"/>
    <hyperlink xmlns:r="http://schemas.openxmlformats.org/officeDocument/2006/relationships" ref="W116" r:id="rId420"/>
    <hyperlink xmlns:r="http://schemas.openxmlformats.org/officeDocument/2006/relationships" ref="E117" r:id="rId421"/>
    <hyperlink xmlns:r="http://schemas.openxmlformats.org/officeDocument/2006/relationships" ref="W117" r:id="rId422"/>
    <hyperlink xmlns:r="http://schemas.openxmlformats.org/officeDocument/2006/relationships" ref="E118" r:id="rId423"/>
    <hyperlink xmlns:r="http://schemas.openxmlformats.org/officeDocument/2006/relationships" ref="W118" r:id="rId424"/>
    <hyperlink xmlns:r="http://schemas.openxmlformats.org/officeDocument/2006/relationships" ref="E119" r:id="rId425"/>
    <hyperlink xmlns:r="http://schemas.openxmlformats.org/officeDocument/2006/relationships" ref="P119" r:id="rId426"/>
    <hyperlink xmlns:r="http://schemas.openxmlformats.org/officeDocument/2006/relationships" ref="R119" r:id="rId427"/>
    <hyperlink xmlns:r="http://schemas.openxmlformats.org/officeDocument/2006/relationships" ref="W119" r:id="rId428"/>
    <hyperlink xmlns:r="http://schemas.openxmlformats.org/officeDocument/2006/relationships" ref="AC119" r:id="rId429"/>
    <hyperlink xmlns:r="http://schemas.openxmlformats.org/officeDocument/2006/relationships" ref="E120" r:id="rId430"/>
    <hyperlink xmlns:r="http://schemas.openxmlformats.org/officeDocument/2006/relationships" ref="R120" r:id="rId431"/>
    <hyperlink xmlns:r="http://schemas.openxmlformats.org/officeDocument/2006/relationships" ref="W120" r:id="rId432"/>
    <hyperlink xmlns:r="http://schemas.openxmlformats.org/officeDocument/2006/relationships" ref="E121" r:id="rId433"/>
    <hyperlink xmlns:r="http://schemas.openxmlformats.org/officeDocument/2006/relationships" ref="R121" r:id="rId434"/>
    <hyperlink xmlns:r="http://schemas.openxmlformats.org/officeDocument/2006/relationships" ref="W121" r:id="rId435"/>
    <hyperlink xmlns:r="http://schemas.openxmlformats.org/officeDocument/2006/relationships" ref="E122" r:id="rId436"/>
    <hyperlink xmlns:r="http://schemas.openxmlformats.org/officeDocument/2006/relationships" ref="P122" r:id="rId437"/>
    <hyperlink xmlns:r="http://schemas.openxmlformats.org/officeDocument/2006/relationships" ref="R122" r:id="rId438"/>
    <hyperlink xmlns:r="http://schemas.openxmlformats.org/officeDocument/2006/relationships" ref="W122" r:id="rId439"/>
    <hyperlink xmlns:r="http://schemas.openxmlformats.org/officeDocument/2006/relationships" ref="AC122" r:id="rId440"/>
    <hyperlink xmlns:r="http://schemas.openxmlformats.org/officeDocument/2006/relationships" ref="E123" r:id="rId441"/>
    <hyperlink xmlns:r="http://schemas.openxmlformats.org/officeDocument/2006/relationships" ref="W123" r:id="rId442"/>
    <hyperlink xmlns:r="http://schemas.openxmlformats.org/officeDocument/2006/relationships" ref="E124" r:id="rId443"/>
    <hyperlink xmlns:r="http://schemas.openxmlformats.org/officeDocument/2006/relationships" ref="W124" r:id="rId444"/>
    <hyperlink xmlns:r="http://schemas.openxmlformats.org/officeDocument/2006/relationships" ref="E125" r:id="rId445"/>
    <hyperlink xmlns:r="http://schemas.openxmlformats.org/officeDocument/2006/relationships" ref="Q125" r:id="rId446"/>
    <hyperlink xmlns:r="http://schemas.openxmlformats.org/officeDocument/2006/relationships" ref="R125" r:id="rId447"/>
    <hyperlink xmlns:r="http://schemas.openxmlformats.org/officeDocument/2006/relationships" ref="W125" r:id="rId448"/>
    <hyperlink xmlns:r="http://schemas.openxmlformats.org/officeDocument/2006/relationships" ref="AC125" r:id="rId449"/>
    <hyperlink xmlns:r="http://schemas.openxmlformats.org/officeDocument/2006/relationships" ref="E126" r:id="rId450"/>
    <hyperlink xmlns:r="http://schemas.openxmlformats.org/officeDocument/2006/relationships" ref="P126" r:id="rId451"/>
    <hyperlink xmlns:r="http://schemas.openxmlformats.org/officeDocument/2006/relationships" ref="Q126" r:id="rId452"/>
    <hyperlink xmlns:r="http://schemas.openxmlformats.org/officeDocument/2006/relationships" ref="R126" r:id="rId453"/>
    <hyperlink xmlns:r="http://schemas.openxmlformats.org/officeDocument/2006/relationships" ref="W126" r:id="rId454"/>
    <hyperlink xmlns:r="http://schemas.openxmlformats.org/officeDocument/2006/relationships" ref="AC126" r:id="rId455"/>
    <hyperlink xmlns:r="http://schemas.openxmlformats.org/officeDocument/2006/relationships" ref="E127" r:id="rId456"/>
    <hyperlink xmlns:r="http://schemas.openxmlformats.org/officeDocument/2006/relationships" ref="R127" r:id="rId457"/>
    <hyperlink xmlns:r="http://schemas.openxmlformats.org/officeDocument/2006/relationships" ref="W127" r:id="rId458"/>
    <hyperlink xmlns:r="http://schemas.openxmlformats.org/officeDocument/2006/relationships" ref="E128" r:id="rId459"/>
    <hyperlink xmlns:r="http://schemas.openxmlformats.org/officeDocument/2006/relationships" ref="R128" r:id="rId460"/>
    <hyperlink xmlns:r="http://schemas.openxmlformats.org/officeDocument/2006/relationships" ref="W128" r:id="rId461"/>
    <hyperlink xmlns:r="http://schemas.openxmlformats.org/officeDocument/2006/relationships" ref="E129" r:id="rId462"/>
    <hyperlink xmlns:r="http://schemas.openxmlformats.org/officeDocument/2006/relationships" ref="R129" r:id="rId463"/>
    <hyperlink xmlns:r="http://schemas.openxmlformats.org/officeDocument/2006/relationships" ref="W129" r:id="rId464"/>
    <hyperlink xmlns:r="http://schemas.openxmlformats.org/officeDocument/2006/relationships" ref="AC129" r:id="rId465"/>
    <hyperlink xmlns:r="http://schemas.openxmlformats.org/officeDocument/2006/relationships" ref="E130" r:id="rId466"/>
    <hyperlink xmlns:r="http://schemas.openxmlformats.org/officeDocument/2006/relationships" ref="P130" r:id="rId467"/>
    <hyperlink xmlns:r="http://schemas.openxmlformats.org/officeDocument/2006/relationships" ref="R130" r:id="rId468"/>
    <hyperlink xmlns:r="http://schemas.openxmlformats.org/officeDocument/2006/relationships" ref="W130" r:id="rId469"/>
    <hyperlink xmlns:r="http://schemas.openxmlformats.org/officeDocument/2006/relationships" ref="AC130" r:id="rId470"/>
    <hyperlink xmlns:r="http://schemas.openxmlformats.org/officeDocument/2006/relationships" ref="E131" r:id="rId471"/>
    <hyperlink xmlns:r="http://schemas.openxmlformats.org/officeDocument/2006/relationships" ref="P131" r:id="rId472"/>
    <hyperlink xmlns:r="http://schemas.openxmlformats.org/officeDocument/2006/relationships" ref="R131" r:id="rId473"/>
    <hyperlink xmlns:r="http://schemas.openxmlformats.org/officeDocument/2006/relationships" ref="W131" r:id="rId474"/>
    <hyperlink xmlns:r="http://schemas.openxmlformats.org/officeDocument/2006/relationships" ref="AC131" r:id="rId475"/>
    <hyperlink xmlns:r="http://schemas.openxmlformats.org/officeDocument/2006/relationships" ref="E132" r:id="rId476"/>
    <hyperlink xmlns:r="http://schemas.openxmlformats.org/officeDocument/2006/relationships" ref="Q132" r:id="rId477"/>
    <hyperlink xmlns:r="http://schemas.openxmlformats.org/officeDocument/2006/relationships" ref="R132" r:id="rId478"/>
    <hyperlink xmlns:r="http://schemas.openxmlformats.org/officeDocument/2006/relationships" ref="W132" r:id="rId479"/>
    <hyperlink xmlns:r="http://schemas.openxmlformats.org/officeDocument/2006/relationships" ref="AC132" r:id="rId480"/>
    <hyperlink xmlns:r="http://schemas.openxmlformats.org/officeDocument/2006/relationships" ref="E133" r:id="rId481"/>
    <hyperlink xmlns:r="http://schemas.openxmlformats.org/officeDocument/2006/relationships" ref="R133" r:id="rId482"/>
    <hyperlink xmlns:r="http://schemas.openxmlformats.org/officeDocument/2006/relationships" ref="W133" r:id="rId483"/>
    <hyperlink xmlns:r="http://schemas.openxmlformats.org/officeDocument/2006/relationships" ref="E134" r:id="rId484"/>
    <hyperlink xmlns:r="http://schemas.openxmlformats.org/officeDocument/2006/relationships" ref="W134" r:id="rId485"/>
    <hyperlink xmlns:r="http://schemas.openxmlformats.org/officeDocument/2006/relationships" ref="E135" r:id="rId486"/>
    <hyperlink xmlns:r="http://schemas.openxmlformats.org/officeDocument/2006/relationships" ref="R135" r:id="rId487"/>
    <hyperlink xmlns:r="http://schemas.openxmlformats.org/officeDocument/2006/relationships" ref="W135" r:id="rId488"/>
    <hyperlink xmlns:r="http://schemas.openxmlformats.org/officeDocument/2006/relationships" ref="E136" r:id="rId489"/>
    <hyperlink xmlns:r="http://schemas.openxmlformats.org/officeDocument/2006/relationships" ref="P136" r:id="rId490"/>
    <hyperlink xmlns:r="http://schemas.openxmlformats.org/officeDocument/2006/relationships" ref="R136" r:id="rId491"/>
    <hyperlink xmlns:r="http://schemas.openxmlformats.org/officeDocument/2006/relationships" ref="W136" r:id="rId492"/>
    <hyperlink xmlns:r="http://schemas.openxmlformats.org/officeDocument/2006/relationships" ref="AC136" r:id="rId493"/>
    <hyperlink xmlns:r="http://schemas.openxmlformats.org/officeDocument/2006/relationships" ref="E137" r:id="rId494"/>
    <hyperlink xmlns:r="http://schemas.openxmlformats.org/officeDocument/2006/relationships" ref="R137" r:id="rId495"/>
    <hyperlink xmlns:r="http://schemas.openxmlformats.org/officeDocument/2006/relationships" ref="W137" r:id="rId496"/>
    <hyperlink xmlns:r="http://schemas.openxmlformats.org/officeDocument/2006/relationships" ref="E138" r:id="rId497"/>
    <hyperlink xmlns:r="http://schemas.openxmlformats.org/officeDocument/2006/relationships" ref="R138" r:id="rId498"/>
    <hyperlink xmlns:r="http://schemas.openxmlformats.org/officeDocument/2006/relationships" ref="W138" r:id="rId499"/>
    <hyperlink xmlns:r="http://schemas.openxmlformats.org/officeDocument/2006/relationships" ref="E139" r:id="rId500"/>
    <hyperlink xmlns:r="http://schemas.openxmlformats.org/officeDocument/2006/relationships" ref="R139" r:id="rId501"/>
    <hyperlink xmlns:r="http://schemas.openxmlformats.org/officeDocument/2006/relationships" ref="W139" r:id="rId502"/>
    <hyperlink xmlns:r="http://schemas.openxmlformats.org/officeDocument/2006/relationships" ref="E140" r:id="rId503"/>
    <hyperlink xmlns:r="http://schemas.openxmlformats.org/officeDocument/2006/relationships" ref="R140" r:id="rId504"/>
    <hyperlink xmlns:r="http://schemas.openxmlformats.org/officeDocument/2006/relationships" ref="W140" r:id="rId505"/>
    <hyperlink xmlns:r="http://schemas.openxmlformats.org/officeDocument/2006/relationships" ref="E141" r:id="rId506"/>
    <hyperlink xmlns:r="http://schemas.openxmlformats.org/officeDocument/2006/relationships" ref="R141" r:id="rId507"/>
    <hyperlink xmlns:r="http://schemas.openxmlformats.org/officeDocument/2006/relationships" ref="W141" r:id="rId508"/>
    <hyperlink xmlns:r="http://schemas.openxmlformats.org/officeDocument/2006/relationships" ref="AC141" r:id="rId509"/>
    <hyperlink xmlns:r="http://schemas.openxmlformats.org/officeDocument/2006/relationships" ref="E142" r:id="rId510"/>
    <hyperlink xmlns:r="http://schemas.openxmlformats.org/officeDocument/2006/relationships" ref="W142" r:id="rId511"/>
    <hyperlink xmlns:r="http://schemas.openxmlformats.org/officeDocument/2006/relationships" ref="E143" r:id="rId512"/>
    <hyperlink xmlns:r="http://schemas.openxmlformats.org/officeDocument/2006/relationships" ref="R143" r:id="rId513"/>
    <hyperlink xmlns:r="http://schemas.openxmlformats.org/officeDocument/2006/relationships" ref="W143" r:id="rId514"/>
    <hyperlink xmlns:r="http://schemas.openxmlformats.org/officeDocument/2006/relationships" ref="E144" r:id="rId515"/>
    <hyperlink xmlns:r="http://schemas.openxmlformats.org/officeDocument/2006/relationships" ref="R144" r:id="rId516"/>
    <hyperlink xmlns:r="http://schemas.openxmlformats.org/officeDocument/2006/relationships" ref="W144" r:id="rId517"/>
    <hyperlink xmlns:r="http://schemas.openxmlformats.org/officeDocument/2006/relationships" ref="E145" r:id="rId518"/>
    <hyperlink xmlns:r="http://schemas.openxmlformats.org/officeDocument/2006/relationships" ref="P145" r:id="rId519"/>
    <hyperlink xmlns:r="http://schemas.openxmlformats.org/officeDocument/2006/relationships" ref="R145" r:id="rId520"/>
    <hyperlink xmlns:r="http://schemas.openxmlformats.org/officeDocument/2006/relationships" ref="W145" r:id="rId521"/>
    <hyperlink xmlns:r="http://schemas.openxmlformats.org/officeDocument/2006/relationships" ref="AC145" r:id="rId522"/>
    <hyperlink xmlns:r="http://schemas.openxmlformats.org/officeDocument/2006/relationships" ref="W146" r:id="rId523"/>
    <hyperlink xmlns:r="http://schemas.openxmlformats.org/officeDocument/2006/relationships" ref="E147" r:id="rId524"/>
    <hyperlink xmlns:r="http://schemas.openxmlformats.org/officeDocument/2006/relationships" ref="P147" r:id="rId525"/>
    <hyperlink xmlns:r="http://schemas.openxmlformats.org/officeDocument/2006/relationships" ref="Q147" r:id="rId526"/>
    <hyperlink xmlns:r="http://schemas.openxmlformats.org/officeDocument/2006/relationships" ref="R147" r:id="rId527"/>
    <hyperlink xmlns:r="http://schemas.openxmlformats.org/officeDocument/2006/relationships" ref="W147" r:id="rId528"/>
    <hyperlink xmlns:r="http://schemas.openxmlformats.org/officeDocument/2006/relationships" ref="AC147" r:id="rId529"/>
    <hyperlink xmlns:r="http://schemas.openxmlformats.org/officeDocument/2006/relationships" ref="E148" r:id="rId530"/>
    <hyperlink xmlns:r="http://schemas.openxmlformats.org/officeDocument/2006/relationships" ref="R148" r:id="rId531"/>
    <hyperlink xmlns:r="http://schemas.openxmlformats.org/officeDocument/2006/relationships" ref="W148" r:id="rId532"/>
    <hyperlink xmlns:r="http://schemas.openxmlformats.org/officeDocument/2006/relationships" ref="E149" r:id="rId533"/>
    <hyperlink xmlns:r="http://schemas.openxmlformats.org/officeDocument/2006/relationships" ref="R149" r:id="rId534"/>
    <hyperlink xmlns:r="http://schemas.openxmlformats.org/officeDocument/2006/relationships" ref="W149" r:id="rId535"/>
    <hyperlink xmlns:r="http://schemas.openxmlformats.org/officeDocument/2006/relationships" ref="E150" r:id="rId536"/>
    <hyperlink xmlns:r="http://schemas.openxmlformats.org/officeDocument/2006/relationships" ref="Q150" r:id="rId537"/>
    <hyperlink xmlns:r="http://schemas.openxmlformats.org/officeDocument/2006/relationships" ref="R150" r:id="rId538"/>
    <hyperlink xmlns:r="http://schemas.openxmlformats.org/officeDocument/2006/relationships" ref="W150" r:id="rId539"/>
    <hyperlink xmlns:r="http://schemas.openxmlformats.org/officeDocument/2006/relationships" ref="E151" r:id="rId540"/>
    <hyperlink xmlns:r="http://schemas.openxmlformats.org/officeDocument/2006/relationships" ref="R151" r:id="rId541"/>
    <hyperlink xmlns:r="http://schemas.openxmlformats.org/officeDocument/2006/relationships" ref="W151" r:id="rId542"/>
    <hyperlink xmlns:r="http://schemas.openxmlformats.org/officeDocument/2006/relationships" ref="D152" r:id="rId543"/>
    <hyperlink xmlns:r="http://schemas.openxmlformats.org/officeDocument/2006/relationships" ref="E152" r:id="rId544"/>
    <hyperlink xmlns:r="http://schemas.openxmlformats.org/officeDocument/2006/relationships" ref="W152" r:id="rId545"/>
    <hyperlink xmlns:r="http://schemas.openxmlformats.org/officeDocument/2006/relationships" ref="E153" r:id="rId546"/>
    <hyperlink xmlns:r="http://schemas.openxmlformats.org/officeDocument/2006/relationships" ref="R153" r:id="rId547"/>
    <hyperlink xmlns:r="http://schemas.openxmlformats.org/officeDocument/2006/relationships" ref="W153" r:id="rId548"/>
    <hyperlink xmlns:r="http://schemas.openxmlformats.org/officeDocument/2006/relationships" ref="E154" r:id="rId549"/>
    <hyperlink xmlns:r="http://schemas.openxmlformats.org/officeDocument/2006/relationships" ref="R154" r:id="rId550"/>
    <hyperlink xmlns:r="http://schemas.openxmlformats.org/officeDocument/2006/relationships" ref="W154" r:id="rId551"/>
    <hyperlink xmlns:r="http://schemas.openxmlformats.org/officeDocument/2006/relationships" ref="E155" r:id="rId552"/>
    <hyperlink xmlns:r="http://schemas.openxmlformats.org/officeDocument/2006/relationships" ref="W155" r:id="rId553"/>
    <hyperlink xmlns:r="http://schemas.openxmlformats.org/officeDocument/2006/relationships" ref="E156" r:id="rId554"/>
    <hyperlink xmlns:r="http://schemas.openxmlformats.org/officeDocument/2006/relationships" ref="W156" r:id="rId555"/>
    <hyperlink xmlns:r="http://schemas.openxmlformats.org/officeDocument/2006/relationships" ref="E157" r:id="rId556"/>
    <hyperlink xmlns:r="http://schemas.openxmlformats.org/officeDocument/2006/relationships" ref="R157" r:id="rId557"/>
    <hyperlink xmlns:r="http://schemas.openxmlformats.org/officeDocument/2006/relationships" ref="W157" r:id="rId558"/>
    <hyperlink xmlns:r="http://schemas.openxmlformats.org/officeDocument/2006/relationships" ref="E158" r:id="rId559"/>
    <hyperlink xmlns:r="http://schemas.openxmlformats.org/officeDocument/2006/relationships" ref="P158" r:id="rId560"/>
    <hyperlink xmlns:r="http://schemas.openxmlformats.org/officeDocument/2006/relationships" ref="W158" r:id="rId561"/>
    <hyperlink xmlns:r="http://schemas.openxmlformats.org/officeDocument/2006/relationships" ref="AC158" r:id="rId562"/>
    <hyperlink xmlns:r="http://schemas.openxmlformats.org/officeDocument/2006/relationships" ref="E159" r:id="rId563"/>
    <hyperlink xmlns:r="http://schemas.openxmlformats.org/officeDocument/2006/relationships" ref="W159" r:id="rId564"/>
    <hyperlink xmlns:r="http://schemas.openxmlformats.org/officeDocument/2006/relationships" ref="AC159" r:id="rId565"/>
    <hyperlink xmlns:r="http://schemas.openxmlformats.org/officeDocument/2006/relationships" ref="E160" r:id="rId566"/>
    <hyperlink xmlns:r="http://schemas.openxmlformats.org/officeDocument/2006/relationships" ref="R160" r:id="rId567"/>
    <hyperlink xmlns:r="http://schemas.openxmlformats.org/officeDocument/2006/relationships" ref="W160" r:id="rId568"/>
    <hyperlink xmlns:r="http://schemas.openxmlformats.org/officeDocument/2006/relationships" ref="E161" r:id="rId569"/>
    <hyperlink xmlns:r="http://schemas.openxmlformats.org/officeDocument/2006/relationships" ref="Q161" r:id="rId570"/>
    <hyperlink xmlns:r="http://schemas.openxmlformats.org/officeDocument/2006/relationships" ref="R161" r:id="rId571"/>
    <hyperlink xmlns:r="http://schemas.openxmlformats.org/officeDocument/2006/relationships" ref="W161" r:id="rId572"/>
    <hyperlink xmlns:r="http://schemas.openxmlformats.org/officeDocument/2006/relationships" ref="AC161" r:id="rId573"/>
    <hyperlink xmlns:r="http://schemas.openxmlformats.org/officeDocument/2006/relationships" ref="E162" r:id="rId574"/>
    <hyperlink xmlns:r="http://schemas.openxmlformats.org/officeDocument/2006/relationships" ref="R162" r:id="rId575"/>
    <hyperlink xmlns:r="http://schemas.openxmlformats.org/officeDocument/2006/relationships" ref="E163" r:id="rId576"/>
    <hyperlink xmlns:r="http://schemas.openxmlformats.org/officeDocument/2006/relationships" ref="R163" r:id="rId577"/>
    <hyperlink xmlns:r="http://schemas.openxmlformats.org/officeDocument/2006/relationships" ref="W163" r:id="rId578"/>
    <hyperlink xmlns:r="http://schemas.openxmlformats.org/officeDocument/2006/relationships" ref="E164" r:id="rId579"/>
    <hyperlink xmlns:r="http://schemas.openxmlformats.org/officeDocument/2006/relationships" ref="P164" r:id="rId580"/>
    <hyperlink xmlns:r="http://schemas.openxmlformats.org/officeDocument/2006/relationships" ref="R164" r:id="rId581"/>
    <hyperlink xmlns:r="http://schemas.openxmlformats.org/officeDocument/2006/relationships" ref="W164" r:id="rId582"/>
    <hyperlink xmlns:r="http://schemas.openxmlformats.org/officeDocument/2006/relationships" ref="R165" r:id="rId583"/>
    <hyperlink xmlns:r="http://schemas.openxmlformats.org/officeDocument/2006/relationships" ref="E166" r:id="rId584"/>
    <hyperlink xmlns:r="http://schemas.openxmlformats.org/officeDocument/2006/relationships" ref="R166" r:id="rId585"/>
    <hyperlink xmlns:r="http://schemas.openxmlformats.org/officeDocument/2006/relationships" ref="E167" r:id="rId586"/>
    <hyperlink xmlns:r="http://schemas.openxmlformats.org/officeDocument/2006/relationships" ref="R167" r:id="rId587"/>
    <hyperlink xmlns:r="http://schemas.openxmlformats.org/officeDocument/2006/relationships" ref="E168" r:id="rId588"/>
    <hyperlink xmlns:r="http://schemas.openxmlformats.org/officeDocument/2006/relationships" ref="R168" r:id="rId589"/>
    <hyperlink xmlns:r="http://schemas.openxmlformats.org/officeDocument/2006/relationships" ref="E169" r:id="rId590"/>
    <hyperlink xmlns:r="http://schemas.openxmlformats.org/officeDocument/2006/relationships" ref="R169" r:id="rId591"/>
    <hyperlink xmlns:r="http://schemas.openxmlformats.org/officeDocument/2006/relationships" ref="R170" r:id="rId592"/>
    <hyperlink xmlns:r="http://schemas.openxmlformats.org/officeDocument/2006/relationships" ref="AC170" r:id="rId593"/>
    <hyperlink xmlns:r="http://schemas.openxmlformats.org/officeDocument/2006/relationships" ref="E171" r:id="rId594"/>
    <hyperlink xmlns:r="http://schemas.openxmlformats.org/officeDocument/2006/relationships" ref="R171" r:id="rId595"/>
    <hyperlink xmlns:r="http://schemas.openxmlformats.org/officeDocument/2006/relationships" ref="E172" r:id="rId596"/>
    <hyperlink xmlns:r="http://schemas.openxmlformats.org/officeDocument/2006/relationships" ref="P172" r:id="rId597"/>
    <hyperlink xmlns:r="http://schemas.openxmlformats.org/officeDocument/2006/relationships" ref="R172" r:id="rId598"/>
    <hyperlink xmlns:r="http://schemas.openxmlformats.org/officeDocument/2006/relationships" ref="E173" r:id="rId599"/>
    <hyperlink xmlns:r="http://schemas.openxmlformats.org/officeDocument/2006/relationships" ref="R173" r:id="rId600"/>
    <hyperlink xmlns:r="http://schemas.openxmlformats.org/officeDocument/2006/relationships" ref="E174" r:id="rId601"/>
    <hyperlink xmlns:r="http://schemas.openxmlformats.org/officeDocument/2006/relationships" ref="R174" r:id="rId602"/>
    <hyperlink xmlns:r="http://schemas.openxmlformats.org/officeDocument/2006/relationships" ref="E175" r:id="rId603"/>
    <hyperlink xmlns:r="http://schemas.openxmlformats.org/officeDocument/2006/relationships" ref="E176" r:id="rId604"/>
    <hyperlink xmlns:r="http://schemas.openxmlformats.org/officeDocument/2006/relationships" ref="R176" r:id="rId605"/>
    <hyperlink xmlns:r="http://schemas.openxmlformats.org/officeDocument/2006/relationships" ref="E177" r:id="rId606"/>
    <hyperlink xmlns:r="http://schemas.openxmlformats.org/officeDocument/2006/relationships" ref="R177" r:id="rId607"/>
    <hyperlink xmlns:r="http://schemas.openxmlformats.org/officeDocument/2006/relationships" ref="E178" r:id="rId608"/>
    <hyperlink xmlns:r="http://schemas.openxmlformats.org/officeDocument/2006/relationships" ref="E179" r:id="rId609"/>
    <hyperlink xmlns:r="http://schemas.openxmlformats.org/officeDocument/2006/relationships" ref="R179" r:id="rId610"/>
    <hyperlink xmlns:r="http://schemas.openxmlformats.org/officeDocument/2006/relationships" ref="E180" r:id="rId611"/>
    <hyperlink xmlns:r="http://schemas.openxmlformats.org/officeDocument/2006/relationships" ref="P180" r:id="rId612"/>
    <hyperlink xmlns:r="http://schemas.openxmlformats.org/officeDocument/2006/relationships" ref="R180" r:id="rId613"/>
    <hyperlink xmlns:r="http://schemas.openxmlformats.org/officeDocument/2006/relationships" ref="E181" r:id="rId614"/>
    <hyperlink xmlns:r="http://schemas.openxmlformats.org/officeDocument/2006/relationships" ref="R181" r:id="rId615"/>
    <hyperlink xmlns:r="http://schemas.openxmlformats.org/officeDocument/2006/relationships" ref="E182" r:id="rId616"/>
    <hyperlink xmlns:r="http://schemas.openxmlformats.org/officeDocument/2006/relationships" ref="E183" r:id="rId617"/>
    <hyperlink xmlns:r="http://schemas.openxmlformats.org/officeDocument/2006/relationships" ref="R183" r:id="rId618"/>
    <hyperlink xmlns:r="http://schemas.openxmlformats.org/officeDocument/2006/relationships" ref="E184" r:id="rId619"/>
    <hyperlink xmlns:r="http://schemas.openxmlformats.org/officeDocument/2006/relationships" ref="R184" r:id="rId620"/>
    <hyperlink xmlns:r="http://schemas.openxmlformats.org/officeDocument/2006/relationships" ref="E185" r:id="rId621"/>
    <hyperlink xmlns:r="http://schemas.openxmlformats.org/officeDocument/2006/relationships" ref="R185" r:id="rId622"/>
    <hyperlink xmlns:r="http://schemas.openxmlformats.org/officeDocument/2006/relationships" ref="AC185" r:id="rId623"/>
    <hyperlink xmlns:r="http://schemas.openxmlformats.org/officeDocument/2006/relationships" ref="E186" r:id="rId624"/>
    <hyperlink xmlns:r="http://schemas.openxmlformats.org/officeDocument/2006/relationships" ref="E187" r:id="rId625"/>
    <hyperlink xmlns:r="http://schemas.openxmlformats.org/officeDocument/2006/relationships" ref="E188" r:id="rId626"/>
    <hyperlink xmlns:r="http://schemas.openxmlformats.org/officeDocument/2006/relationships" ref="R188" r:id="rId627"/>
    <hyperlink xmlns:r="http://schemas.openxmlformats.org/officeDocument/2006/relationships" ref="E189" r:id="rId628"/>
    <hyperlink xmlns:r="http://schemas.openxmlformats.org/officeDocument/2006/relationships" ref="P189" r:id="rId629"/>
    <hyperlink xmlns:r="http://schemas.openxmlformats.org/officeDocument/2006/relationships" ref="R189" r:id="rId630"/>
    <hyperlink xmlns:r="http://schemas.openxmlformats.org/officeDocument/2006/relationships" ref="AC189" r:id="rId631"/>
    <hyperlink xmlns:r="http://schemas.openxmlformats.org/officeDocument/2006/relationships" ref="E190" r:id="rId632"/>
    <hyperlink xmlns:r="http://schemas.openxmlformats.org/officeDocument/2006/relationships" ref="R190" r:id="rId633"/>
    <hyperlink xmlns:r="http://schemas.openxmlformats.org/officeDocument/2006/relationships" ref="E191" r:id="rId634"/>
    <hyperlink xmlns:r="http://schemas.openxmlformats.org/officeDocument/2006/relationships" ref="R191" r:id="rId635"/>
    <hyperlink xmlns:r="http://schemas.openxmlformats.org/officeDocument/2006/relationships" ref="E192" r:id="rId636"/>
    <hyperlink xmlns:r="http://schemas.openxmlformats.org/officeDocument/2006/relationships" ref="R192" r:id="rId637"/>
    <hyperlink xmlns:r="http://schemas.openxmlformats.org/officeDocument/2006/relationships" ref="E193" r:id="rId638"/>
    <hyperlink xmlns:r="http://schemas.openxmlformats.org/officeDocument/2006/relationships" ref="R193" r:id="rId639"/>
    <hyperlink xmlns:r="http://schemas.openxmlformats.org/officeDocument/2006/relationships" ref="AC194" r:id="rId640"/>
    <hyperlink xmlns:r="http://schemas.openxmlformats.org/officeDocument/2006/relationships" ref="E195" r:id="rId641"/>
    <hyperlink xmlns:r="http://schemas.openxmlformats.org/officeDocument/2006/relationships" ref="R195" r:id="rId642"/>
    <hyperlink xmlns:r="http://schemas.openxmlformats.org/officeDocument/2006/relationships" ref="AC195" r:id="rId643"/>
    <hyperlink xmlns:r="http://schemas.openxmlformats.org/officeDocument/2006/relationships" ref="E196" r:id="rId644"/>
    <hyperlink xmlns:r="http://schemas.openxmlformats.org/officeDocument/2006/relationships" ref="E197" r:id="rId645"/>
    <hyperlink xmlns:r="http://schemas.openxmlformats.org/officeDocument/2006/relationships" ref="E198" r:id="rId646"/>
    <hyperlink xmlns:r="http://schemas.openxmlformats.org/officeDocument/2006/relationships" ref="R198" r:id="rId647"/>
    <hyperlink xmlns:r="http://schemas.openxmlformats.org/officeDocument/2006/relationships" ref="AC198" r:id="rId648"/>
    <hyperlink xmlns:r="http://schemas.openxmlformats.org/officeDocument/2006/relationships" ref="E199" r:id="rId649"/>
    <hyperlink xmlns:r="http://schemas.openxmlformats.org/officeDocument/2006/relationships" ref="R199" r:id="rId650"/>
    <hyperlink xmlns:r="http://schemas.openxmlformats.org/officeDocument/2006/relationships" ref="E200" r:id="rId651"/>
    <hyperlink xmlns:r="http://schemas.openxmlformats.org/officeDocument/2006/relationships" ref="E201" r:id="rId652"/>
    <hyperlink xmlns:r="http://schemas.openxmlformats.org/officeDocument/2006/relationships" ref="R201" r:id="rId653"/>
    <hyperlink xmlns:r="http://schemas.openxmlformats.org/officeDocument/2006/relationships" ref="AC201" r:id="rId654"/>
    <hyperlink xmlns:r="http://schemas.openxmlformats.org/officeDocument/2006/relationships" ref="E202" r:id="rId655"/>
    <hyperlink xmlns:r="http://schemas.openxmlformats.org/officeDocument/2006/relationships" ref="E203" r:id="rId656"/>
    <hyperlink xmlns:r="http://schemas.openxmlformats.org/officeDocument/2006/relationships" ref="R203" r:id="rId657"/>
    <hyperlink xmlns:r="http://schemas.openxmlformats.org/officeDocument/2006/relationships" ref="E204" r:id="rId658"/>
    <hyperlink xmlns:r="http://schemas.openxmlformats.org/officeDocument/2006/relationships" ref="R204" r:id="rId659"/>
    <hyperlink xmlns:r="http://schemas.openxmlformats.org/officeDocument/2006/relationships" ref="E205" r:id="rId660"/>
    <hyperlink xmlns:r="http://schemas.openxmlformats.org/officeDocument/2006/relationships" ref="R205" r:id="rId661"/>
    <hyperlink xmlns:r="http://schemas.openxmlformats.org/officeDocument/2006/relationships" ref="E206" r:id="rId662"/>
    <hyperlink xmlns:r="http://schemas.openxmlformats.org/officeDocument/2006/relationships" ref="R206" r:id="rId663"/>
    <hyperlink xmlns:r="http://schemas.openxmlformats.org/officeDocument/2006/relationships" ref="E207" r:id="rId664"/>
    <hyperlink xmlns:r="http://schemas.openxmlformats.org/officeDocument/2006/relationships" ref="R207" r:id="rId665"/>
    <hyperlink xmlns:r="http://schemas.openxmlformats.org/officeDocument/2006/relationships" ref="E208" r:id="rId666"/>
    <hyperlink xmlns:r="http://schemas.openxmlformats.org/officeDocument/2006/relationships" ref="E209" r:id="rId667"/>
    <hyperlink xmlns:r="http://schemas.openxmlformats.org/officeDocument/2006/relationships" ref="E210" r:id="rId668"/>
    <hyperlink xmlns:r="http://schemas.openxmlformats.org/officeDocument/2006/relationships" ref="Q210" r:id="rId669"/>
    <hyperlink xmlns:r="http://schemas.openxmlformats.org/officeDocument/2006/relationships" ref="R210" r:id="rId670"/>
    <hyperlink xmlns:r="http://schemas.openxmlformats.org/officeDocument/2006/relationships" ref="E211" r:id="rId671"/>
    <hyperlink xmlns:r="http://schemas.openxmlformats.org/officeDocument/2006/relationships" ref="R211" r:id="rId672"/>
    <hyperlink xmlns:r="http://schemas.openxmlformats.org/officeDocument/2006/relationships" ref="E212" r:id="rId673"/>
    <hyperlink xmlns:r="http://schemas.openxmlformats.org/officeDocument/2006/relationships" ref="P212" r:id="rId674"/>
    <hyperlink xmlns:r="http://schemas.openxmlformats.org/officeDocument/2006/relationships" ref="R212" r:id="rId675"/>
    <hyperlink xmlns:r="http://schemas.openxmlformats.org/officeDocument/2006/relationships" ref="AC212" r:id="rId676"/>
    <hyperlink xmlns:r="http://schemas.openxmlformats.org/officeDocument/2006/relationships" ref="E213" r:id="rId677"/>
    <hyperlink xmlns:r="http://schemas.openxmlformats.org/officeDocument/2006/relationships" ref="R213" r:id="rId678"/>
    <hyperlink xmlns:r="http://schemas.openxmlformats.org/officeDocument/2006/relationships" ref="E214" r:id="rId679"/>
    <hyperlink xmlns:r="http://schemas.openxmlformats.org/officeDocument/2006/relationships" ref="E215" r:id="rId680"/>
    <hyperlink xmlns:r="http://schemas.openxmlformats.org/officeDocument/2006/relationships" ref="E216" r:id="rId681"/>
    <hyperlink xmlns:r="http://schemas.openxmlformats.org/officeDocument/2006/relationships" ref="R216" r:id="rId682"/>
    <hyperlink xmlns:r="http://schemas.openxmlformats.org/officeDocument/2006/relationships" ref="E217" r:id="rId683"/>
    <hyperlink xmlns:r="http://schemas.openxmlformats.org/officeDocument/2006/relationships" ref="R217" r:id="rId684"/>
    <hyperlink xmlns:r="http://schemas.openxmlformats.org/officeDocument/2006/relationships" ref="E218" r:id="rId685"/>
    <hyperlink xmlns:r="http://schemas.openxmlformats.org/officeDocument/2006/relationships" ref="R218" r:id="rId686"/>
    <hyperlink xmlns:r="http://schemas.openxmlformats.org/officeDocument/2006/relationships" ref="E219" r:id="rId687"/>
    <hyperlink xmlns:r="http://schemas.openxmlformats.org/officeDocument/2006/relationships" ref="R219" r:id="rId688"/>
    <hyperlink xmlns:r="http://schemas.openxmlformats.org/officeDocument/2006/relationships" ref="E220" r:id="rId689"/>
    <hyperlink xmlns:r="http://schemas.openxmlformats.org/officeDocument/2006/relationships" ref="R220" r:id="rId690"/>
    <hyperlink xmlns:r="http://schemas.openxmlformats.org/officeDocument/2006/relationships" ref="E221" r:id="rId691"/>
    <hyperlink xmlns:r="http://schemas.openxmlformats.org/officeDocument/2006/relationships" ref="E222" r:id="rId692"/>
    <hyperlink xmlns:r="http://schemas.openxmlformats.org/officeDocument/2006/relationships" ref="R222" r:id="rId693"/>
    <hyperlink xmlns:r="http://schemas.openxmlformats.org/officeDocument/2006/relationships" ref="E223" r:id="rId694"/>
    <hyperlink xmlns:r="http://schemas.openxmlformats.org/officeDocument/2006/relationships" ref="R223" r:id="rId695"/>
    <hyperlink xmlns:r="http://schemas.openxmlformats.org/officeDocument/2006/relationships" ref="E224" r:id="rId696"/>
    <hyperlink xmlns:r="http://schemas.openxmlformats.org/officeDocument/2006/relationships" ref="P224" r:id="rId697"/>
    <hyperlink xmlns:r="http://schemas.openxmlformats.org/officeDocument/2006/relationships" ref="R224" r:id="rId698"/>
    <hyperlink xmlns:r="http://schemas.openxmlformats.org/officeDocument/2006/relationships" ref="E225" r:id="rId699"/>
    <hyperlink xmlns:r="http://schemas.openxmlformats.org/officeDocument/2006/relationships" ref="R225" r:id="rId700"/>
    <hyperlink xmlns:r="http://schemas.openxmlformats.org/officeDocument/2006/relationships" ref="E226" r:id="rId701"/>
    <hyperlink xmlns:r="http://schemas.openxmlformats.org/officeDocument/2006/relationships" ref="R226" r:id="rId702"/>
    <hyperlink xmlns:r="http://schemas.openxmlformats.org/officeDocument/2006/relationships" ref="E227" r:id="rId703"/>
    <hyperlink xmlns:r="http://schemas.openxmlformats.org/officeDocument/2006/relationships" ref="R227" r:id="rId704"/>
    <hyperlink xmlns:r="http://schemas.openxmlformats.org/officeDocument/2006/relationships" ref="E228" r:id="rId705"/>
    <hyperlink xmlns:r="http://schemas.openxmlformats.org/officeDocument/2006/relationships" ref="R228" r:id="rId706"/>
    <hyperlink xmlns:r="http://schemas.openxmlformats.org/officeDocument/2006/relationships" ref="E229" r:id="rId707"/>
    <hyperlink xmlns:r="http://schemas.openxmlformats.org/officeDocument/2006/relationships" ref="R229" r:id="rId708"/>
    <hyperlink xmlns:r="http://schemas.openxmlformats.org/officeDocument/2006/relationships" ref="E230" r:id="rId709"/>
    <hyperlink xmlns:r="http://schemas.openxmlformats.org/officeDocument/2006/relationships" ref="AC230" r:id="rId710"/>
    <hyperlink xmlns:r="http://schemas.openxmlformats.org/officeDocument/2006/relationships" ref="E231" r:id="rId711"/>
    <hyperlink xmlns:r="http://schemas.openxmlformats.org/officeDocument/2006/relationships" ref="R231" r:id="rId712"/>
    <hyperlink xmlns:r="http://schemas.openxmlformats.org/officeDocument/2006/relationships" ref="E232" r:id="rId713"/>
    <hyperlink xmlns:r="http://schemas.openxmlformats.org/officeDocument/2006/relationships" ref="E233" r:id="rId714"/>
    <hyperlink xmlns:r="http://schemas.openxmlformats.org/officeDocument/2006/relationships" ref="R233" r:id="rId715"/>
    <hyperlink xmlns:r="http://schemas.openxmlformats.org/officeDocument/2006/relationships" ref="E234" r:id="rId716"/>
    <hyperlink xmlns:r="http://schemas.openxmlformats.org/officeDocument/2006/relationships" ref="R234" r:id="rId717"/>
    <hyperlink xmlns:r="http://schemas.openxmlformats.org/officeDocument/2006/relationships" ref="E235" r:id="rId718"/>
    <hyperlink xmlns:r="http://schemas.openxmlformats.org/officeDocument/2006/relationships" ref="R235" r:id="rId719"/>
    <hyperlink xmlns:r="http://schemas.openxmlformats.org/officeDocument/2006/relationships" ref="E236" r:id="rId720"/>
    <hyperlink xmlns:r="http://schemas.openxmlformats.org/officeDocument/2006/relationships" ref="R236" r:id="rId721"/>
    <hyperlink xmlns:r="http://schemas.openxmlformats.org/officeDocument/2006/relationships" ref="E237" r:id="rId722"/>
    <hyperlink xmlns:r="http://schemas.openxmlformats.org/officeDocument/2006/relationships" ref="R237" r:id="rId723"/>
    <hyperlink xmlns:r="http://schemas.openxmlformats.org/officeDocument/2006/relationships" ref="E238" r:id="rId724"/>
    <hyperlink xmlns:r="http://schemas.openxmlformats.org/officeDocument/2006/relationships" ref="R238" r:id="rId725"/>
    <hyperlink xmlns:r="http://schemas.openxmlformats.org/officeDocument/2006/relationships" ref="E239" r:id="rId726"/>
    <hyperlink xmlns:r="http://schemas.openxmlformats.org/officeDocument/2006/relationships" ref="E240" r:id="rId727"/>
    <hyperlink xmlns:r="http://schemas.openxmlformats.org/officeDocument/2006/relationships" ref="R240" r:id="rId728"/>
    <hyperlink xmlns:r="http://schemas.openxmlformats.org/officeDocument/2006/relationships" ref="E241" r:id="rId729"/>
    <hyperlink xmlns:r="http://schemas.openxmlformats.org/officeDocument/2006/relationships" ref="P241" r:id="rId730"/>
    <hyperlink xmlns:r="http://schemas.openxmlformats.org/officeDocument/2006/relationships" ref="R241" r:id="rId731"/>
    <hyperlink xmlns:r="http://schemas.openxmlformats.org/officeDocument/2006/relationships" ref="AC241" r:id="rId732"/>
    <hyperlink xmlns:r="http://schemas.openxmlformats.org/officeDocument/2006/relationships" ref="E242" r:id="rId733"/>
    <hyperlink xmlns:r="http://schemas.openxmlformats.org/officeDocument/2006/relationships" ref="R242" r:id="rId734"/>
    <hyperlink xmlns:r="http://schemas.openxmlformats.org/officeDocument/2006/relationships" ref="E243" r:id="rId735"/>
    <hyperlink xmlns:r="http://schemas.openxmlformats.org/officeDocument/2006/relationships" ref="R243" r:id="rId736"/>
    <hyperlink xmlns:r="http://schemas.openxmlformats.org/officeDocument/2006/relationships" ref="E244" r:id="rId737"/>
    <hyperlink xmlns:r="http://schemas.openxmlformats.org/officeDocument/2006/relationships" ref="R244" r:id="rId738"/>
    <hyperlink xmlns:r="http://schemas.openxmlformats.org/officeDocument/2006/relationships" ref="E245" r:id="rId739"/>
    <hyperlink xmlns:r="http://schemas.openxmlformats.org/officeDocument/2006/relationships" ref="R245" r:id="rId740"/>
    <hyperlink xmlns:r="http://schemas.openxmlformats.org/officeDocument/2006/relationships" ref="E246" r:id="rId741"/>
    <hyperlink xmlns:r="http://schemas.openxmlformats.org/officeDocument/2006/relationships" ref="Q246" r:id="rId742"/>
    <hyperlink xmlns:r="http://schemas.openxmlformats.org/officeDocument/2006/relationships" ref="E247" r:id="rId743"/>
    <hyperlink xmlns:r="http://schemas.openxmlformats.org/officeDocument/2006/relationships" ref="P247" r:id="rId744"/>
    <hyperlink xmlns:r="http://schemas.openxmlformats.org/officeDocument/2006/relationships" ref="R247" r:id="rId745"/>
    <hyperlink xmlns:r="http://schemas.openxmlformats.org/officeDocument/2006/relationships" ref="E248" r:id="rId746"/>
    <hyperlink xmlns:r="http://schemas.openxmlformats.org/officeDocument/2006/relationships" ref="R248" r:id="rId747"/>
    <hyperlink xmlns:r="http://schemas.openxmlformats.org/officeDocument/2006/relationships" ref="AC248" r:id="rId748"/>
    <hyperlink xmlns:r="http://schemas.openxmlformats.org/officeDocument/2006/relationships" ref="E249" r:id="rId749"/>
    <hyperlink xmlns:r="http://schemas.openxmlformats.org/officeDocument/2006/relationships" ref="E250" r:id="rId750"/>
    <hyperlink xmlns:r="http://schemas.openxmlformats.org/officeDocument/2006/relationships" ref="R250" r:id="rId751"/>
    <hyperlink xmlns:r="http://schemas.openxmlformats.org/officeDocument/2006/relationships" ref="E251" r:id="rId752"/>
    <hyperlink xmlns:r="http://schemas.openxmlformats.org/officeDocument/2006/relationships" ref="P251" r:id="rId753"/>
    <hyperlink xmlns:r="http://schemas.openxmlformats.org/officeDocument/2006/relationships" ref="R251" r:id="rId754"/>
    <hyperlink xmlns:r="http://schemas.openxmlformats.org/officeDocument/2006/relationships" ref="W251" r:id="rId755"/>
    <hyperlink xmlns:r="http://schemas.openxmlformats.org/officeDocument/2006/relationships" ref="E252" r:id="rId756"/>
    <hyperlink xmlns:r="http://schemas.openxmlformats.org/officeDocument/2006/relationships" ref="Q252" r:id="rId757"/>
    <hyperlink xmlns:r="http://schemas.openxmlformats.org/officeDocument/2006/relationships" ref="R252" r:id="rId758"/>
    <hyperlink xmlns:r="http://schemas.openxmlformats.org/officeDocument/2006/relationships" ref="W252" r:id="rId759"/>
    <hyperlink xmlns:r="http://schemas.openxmlformats.org/officeDocument/2006/relationships" ref="E253" r:id="rId760"/>
    <hyperlink xmlns:r="http://schemas.openxmlformats.org/officeDocument/2006/relationships" ref="W253" r:id="rId761"/>
    <hyperlink xmlns:r="http://schemas.openxmlformats.org/officeDocument/2006/relationships" ref="E254" r:id="rId762"/>
    <hyperlink xmlns:r="http://schemas.openxmlformats.org/officeDocument/2006/relationships" ref="P254" r:id="rId763"/>
    <hyperlink xmlns:r="http://schemas.openxmlformats.org/officeDocument/2006/relationships" ref="R254" r:id="rId764"/>
    <hyperlink xmlns:r="http://schemas.openxmlformats.org/officeDocument/2006/relationships" ref="W254" r:id="rId765"/>
    <hyperlink xmlns:r="http://schemas.openxmlformats.org/officeDocument/2006/relationships" ref="E255" r:id="rId766"/>
    <hyperlink xmlns:r="http://schemas.openxmlformats.org/officeDocument/2006/relationships" ref="R255" r:id="rId767"/>
    <hyperlink xmlns:r="http://schemas.openxmlformats.org/officeDocument/2006/relationships" ref="W255" r:id="rId768"/>
    <hyperlink xmlns:r="http://schemas.openxmlformats.org/officeDocument/2006/relationships" ref="E256" r:id="rId769"/>
    <hyperlink xmlns:r="http://schemas.openxmlformats.org/officeDocument/2006/relationships" ref="R256" r:id="rId770"/>
    <hyperlink xmlns:r="http://schemas.openxmlformats.org/officeDocument/2006/relationships" ref="W256" r:id="rId771"/>
    <hyperlink xmlns:r="http://schemas.openxmlformats.org/officeDocument/2006/relationships" ref="E257" r:id="rId772"/>
    <hyperlink xmlns:r="http://schemas.openxmlformats.org/officeDocument/2006/relationships" ref="P257" r:id="rId773"/>
    <hyperlink xmlns:r="http://schemas.openxmlformats.org/officeDocument/2006/relationships" ref="Q257" r:id="rId774"/>
    <hyperlink xmlns:r="http://schemas.openxmlformats.org/officeDocument/2006/relationships" ref="R257" r:id="rId775"/>
    <hyperlink xmlns:r="http://schemas.openxmlformats.org/officeDocument/2006/relationships" ref="W257" r:id="rId776"/>
    <hyperlink xmlns:r="http://schemas.openxmlformats.org/officeDocument/2006/relationships" ref="E258" r:id="rId777"/>
    <hyperlink xmlns:r="http://schemas.openxmlformats.org/officeDocument/2006/relationships" ref="R258" r:id="rId778"/>
    <hyperlink xmlns:r="http://schemas.openxmlformats.org/officeDocument/2006/relationships" ref="W258" r:id="rId779"/>
    <hyperlink xmlns:r="http://schemas.openxmlformats.org/officeDocument/2006/relationships" ref="E259" r:id="rId780"/>
    <hyperlink xmlns:r="http://schemas.openxmlformats.org/officeDocument/2006/relationships" ref="R259" r:id="rId781"/>
    <hyperlink xmlns:r="http://schemas.openxmlformats.org/officeDocument/2006/relationships" ref="W259" r:id="rId782"/>
    <hyperlink xmlns:r="http://schemas.openxmlformats.org/officeDocument/2006/relationships" ref="E260" r:id="rId783"/>
    <hyperlink xmlns:r="http://schemas.openxmlformats.org/officeDocument/2006/relationships" ref="W260" r:id="rId784"/>
    <hyperlink xmlns:r="http://schemas.openxmlformats.org/officeDocument/2006/relationships" ref="E261" r:id="rId785"/>
    <hyperlink xmlns:r="http://schemas.openxmlformats.org/officeDocument/2006/relationships" ref="R261" r:id="rId786"/>
    <hyperlink xmlns:r="http://schemas.openxmlformats.org/officeDocument/2006/relationships" ref="W261" r:id="rId787"/>
    <hyperlink xmlns:r="http://schemas.openxmlformats.org/officeDocument/2006/relationships" ref="E262" r:id="rId788"/>
    <hyperlink xmlns:r="http://schemas.openxmlformats.org/officeDocument/2006/relationships" ref="R262" r:id="rId789"/>
    <hyperlink xmlns:r="http://schemas.openxmlformats.org/officeDocument/2006/relationships" ref="W262" r:id="rId790"/>
    <hyperlink xmlns:r="http://schemas.openxmlformats.org/officeDocument/2006/relationships" ref="E263" r:id="rId791"/>
    <hyperlink xmlns:r="http://schemas.openxmlformats.org/officeDocument/2006/relationships" ref="P263" r:id="rId792"/>
    <hyperlink xmlns:r="http://schemas.openxmlformats.org/officeDocument/2006/relationships" ref="R263" r:id="rId793"/>
    <hyperlink xmlns:r="http://schemas.openxmlformats.org/officeDocument/2006/relationships" ref="W263" r:id="rId794"/>
    <hyperlink xmlns:r="http://schemas.openxmlformats.org/officeDocument/2006/relationships" ref="D264" r:id="rId795"/>
    <hyperlink xmlns:r="http://schemas.openxmlformats.org/officeDocument/2006/relationships" ref="E264" r:id="rId796"/>
    <hyperlink xmlns:r="http://schemas.openxmlformats.org/officeDocument/2006/relationships" ref="R264" r:id="rId797"/>
    <hyperlink xmlns:r="http://schemas.openxmlformats.org/officeDocument/2006/relationships" ref="S264" r:id="rId798"/>
    <hyperlink xmlns:r="http://schemas.openxmlformats.org/officeDocument/2006/relationships" ref="W264" r:id="rId799"/>
    <hyperlink xmlns:r="http://schemas.openxmlformats.org/officeDocument/2006/relationships" ref="E265" r:id="rId800"/>
    <hyperlink xmlns:r="http://schemas.openxmlformats.org/officeDocument/2006/relationships" ref="P265" r:id="rId801"/>
    <hyperlink xmlns:r="http://schemas.openxmlformats.org/officeDocument/2006/relationships" ref="Q265" r:id="rId802"/>
    <hyperlink xmlns:r="http://schemas.openxmlformats.org/officeDocument/2006/relationships" ref="R265" r:id="rId803"/>
    <hyperlink xmlns:r="http://schemas.openxmlformats.org/officeDocument/2006/relationships" ref="W265" r:id="rId804"/>
    <hyperlink xmlns:r="http://schemas.openxmlformats.org/officeDocument/2006/relationships" ref="E266" r:id="rId805"/>
    <hyperlink xmlns:r="http://schemas.openxmlformats.org/officeDocument/2006/relationships" ref="W266" r:id="rId806"/>
    <hyperlink xmlns:r="http://schemas.openxmlformats.org/officeDocument/2006/relationships" ref="E267" r:id="rId807"/>
    <hyperlink xmlns:r="http://schemas.openxmlformats.org/officeDocument/2006/relationships" ref="R267" r:id="rId808"/>
    <hyperlink xmlns:r="http://schemas.openxmlformats.org/officeDocument/2006/relationships" ref="W267" r:id="rId809"/>
    <hyperlink xmlns:r="http://schemas.openxmlformats.org/officeDocument/2006/relationships" ref="E268" r:id="rId810"/>
    <hyperlink xmlns:r="http://schemas.openxmlformats.org/officeDocument/2006/relationships" ref="R268" r:id="rId811"/>
    <hyperlink xmlns:r="http://schemas.openxmlformats.org/officeDocument/2006/relationships" ref="W268" r:id="rId812"/>
    <hyperlink xmlns:r="http://schemas.openxmlformats.org/officeDocument/2006/relationships" ref="E269" r:id="rId813"/>
    <hyperlink xmlns:r="http://schemas.openxmlformats.org/officeDocument/2006/relationships" ref="P269" r:id="rId814"/>
    <hyperlink xmlns:r="http://schemas.openxmlformats.org/officeDocument/2006/relationships" ref="Q269" r:id="rId815"/>
    <hyperlink xmlns:r="http://schemas.openxmlformats.org/officeDocument/2006/relationships" ref="R269" r:id="rId816"/>
    <hyperlink xmlns:r="http://schemas.openxmlformats.org/officeDocument/2006/relationships" ref="W269" r:id="rId817"/>
    <hyperlink xmlns:r="http://schemas.openxmlformats.org/officeDocument/2006/relationships" ref="E270" r:id="rId818"/>
    <hyperlink xmlns:r="http://schemas.openxmlformats.org/officeDocument/2006/relationships" ref="R270" r:id="rId819"/>
    <hyperlink xmlns:r="http://schemas.openxmlformats.org/officeDocument/2006/relationships" ref="W270" r:id="rId820"/>
    <hyperlink xmlns:r="http://schemas.openxmlformats.org/officeDocument/2006/relationships" ref="E271" r:id="rId821"/>
    <hyperlink xmlns:r="http://schemas.openxmlformats.org/officeDocument/2006/relationships" ref="W271" r:id="rId822"/>
    <hyperlink xmlns:r="http://schemas.openxmlformats.org/officeDocument/2006/relationships" ref="E272" r:id="rId823"/>
    <hyperlink xmlns:r="http://schemas.openxmlformats.org/officeDocument/2006/relationships" ref="Q272" r:id="rId824"/>
    <hyperlink xmlns:r="http://schemas.openxmlformats.org/officeDocument/2006/relationships" ref="R272" r:id="rId825"/>
    <hyperlink xmlns:r="http://schemas.openxmlformats.org/officeDocument/2006/relationships" ref="W272" r:id="rId826"/>
    <hyperlink xmlns:r="http://schemas.openxmlformats.org/officeDocument/2006/relationships" ref="E273" r:id="rId827"/>
    <hyperlink xmlns:r="http://schemas.openxmlformats.org/officeDocument/2006/relationships" ref="R273" r:id="rId828"/>
    <hyperlink xmlns:r="http://schemas.openxmlformats.org/officeDocument/2006/relationships" ref="W273" r:id="rId829"/>
    <hyperlink xmlns:r="http://schemas.openxmlformats.org/officeDocument/2006/relationships" ref="E274" r:id="rId830"/>
    <hyperlink xmlns:r="http://schemas.openxmlformats.org/officeDocument/2006/relationships" ref="R274" r:id="rId831"/>
    <hyperlink xmlns:r="http://schemas.openxmlformats.org/officeDocument/2006/relationships" ref="W274" r:id="rId832"/>
    <hyperlink xmlns:r="http://schemas.openxmlformats.org/officeDocument/2006/relationships" ref="E275" r:id="rId833"/>
    <hyperlink xmlns:r="http://schemas.openxmlformats.org/officeDocument/2006/relationships" ref="P275" r:id="rId834"/>
    <hyperlink xmlns:r="http://schemas.openxmlformats.org/officeDocument/2006/relationships" ref="Q275" r:id="rId835"/>
    <hyperlink xmlns:r="http://schemas.openxmlformats.org/officeDocument/2006/relationships" ref="R275" r:id="rId836"/>
    <hyperlink xmlns:r="http://schemas.openxmlformats.org/officeDocument/2006/relationships" ref="W275" r:id="rId837"/>
    <hyperlink xmlns:r="http://schemas.openxmlformats.org/officeDocument/2006/relationships" ref="E276" r:id="rId838"/>
    <hyperlink xmlns:r="http://schemas.openxmlformats.org/officeDocument/2006/relationships" ref="R276" r:id="rId839"/>
    <hyperlink xmlns:r="http://schemas.openxmlformats.org/officeDocument/2006/relationships" ref="W276" r:id="rId840"/>
    <hyperlink xmlns:r="http://schemas.openxmlformats.org/officeDocument/2006/relationships" ref="W277" r:id="rId841"/>
    <hyperlink xmlns:r="http://schemas.openxmlformats.org/officeDocument/2006/relationships" ref="E278" r:id="rId842"/>
    <hyperlink xmlns:r="http://schemas.openxmlformats.org/officeDocument/2006/relationships" ref="W278" r:id="rId843"/>
    <hyperlink xmlns:r="http://schemas.openxmlformats.org/officeDocument/2006/relationships" ref="E279" r:id="rId844"/>
    <hyperlink xmlns:r="http://schemas.openxmlformats.org/officeDocument/2006/relationships" ref="R279" r:id="rId845"/>
    <hyperlink xmlns:r="http://schemas.openxmlformats.org/officeDocument/2006/relationships" ref="W279" r:id="rId846"/>
    <hyperlink xmlns:r="http://schemas.openxmlformats.org/officeDocument/2006/relationships" ref="E280" r:id="rId847"/>
    <hyperlink xmlns:r="http://schemas.openxmlformats.org/officeDocument/2006/relationships" ref="Q280" r:id="rId848"/>
    <hyperlink xmlns:r="http://schemas.openxmlformats.org/officeDocument/2006/relationships" ref="R280" r:id="rId849"/>
    <hyperlink xmlns:r="http://schemas.openxmlformats.org/officeDocument/2006/relationships" ref="W280" r:id="rId850"/>
    <hyperlink xmlns:r="http://schemas.openxmlformats.org/officeDocument/2006/relationships" ref="E281" r:id="rId851"/>
    <hyperlink xmlns:r="http://schemas.openxmlformats.org/officeDocument/2006/relationships" ref="P281" r:id="rId852"/>
    <hyperlink xmlns:r="http://schemas.openxmlformats.org/officeDocument/2006/relationships" ref="Q281" r:id="rId853"/>
    <hyperlink xmlns:r="http://schemas.openxmlformats.org/officeDocument/2006/relationships" ref="W281" r:id="rId854"/>
    <hyperlink xmlns:r="http://schemas.openxmlformats.org/officeDocument/2006/relationships" ref="P282" r:id="rId855"/>
    <hyperlink xmlns:r="http://schemas.openxmlformats.org/officeDocument/2006/relationships" ref="R282" r:id="rId856"/>
    <hyperlink xmlns:r="http://schemas.openxmlformats.org/officeDocument/2006/relationships" ref="W282" r:id="rId857"/>
    <hyperlink xmlns:r="http://schemas.openxmlformats.org/officeDocument/2006/relationships" ref="E283" r:id="rId858"/>
    <hyperlink xmlns:r="http://schemas.openxmlformats.org/officeDocument/2006/relationships" ref="W283" r:id="rId859"/>
    <hyperlink xmlns:r="http://schemas.openxmlformats.org/officeDocument/2006/relationships" ref="E284" r:id="rId860"/>
    <hyperlink xmlns:r="http://schemas.openxmlformats.org/officeDocument/2006/relationships" ref="W284" r:id="rId861"/>
    <hyperlink xmlns:r="http://schemas.openxmlformats.org/officeDocument/2006/relationships" ref="D285" r:id="rId862"/>
    <hyperlink xmlns:r="http://schemas.openxmlformats.org/officeDocument/2006/relationships" ref="E285" r:id="rId863"/>
    <hyperlink xmlns:r="http://schemas.openxmlformats.org/officeDocument/2006/relationships" ref="P285" r:id="rId864"/>
    <hyperlink xmlns:r="http://schemas.openxmlformats.org/officeDocument/2006/relationships" ref="Q285" r:id="rId865"/>
    <hyperlink xmlns:r="http://schemas.openxmlformats.org/officeDocument/2006/relationships" ref="R285" r:id="rId866"/>
    <hyperlink xmlns:r="http://schemas.openxmlformats.org/officeDocument/2006/relationships" ref="S285" r:id="rId867"/>
    <hyperlink xmlns:r="http://schemas.openxmlformats.org/officeDocument/2006/relationships" ref="W285" r:id="rId868"/>
    <hyperlink xmlns:r="http://schemas.openxmlformats.org/officeDocument/2006/relationships" ref="E286" r:id="rId869"/>
    <hyperlink xmlns:r="http://schemas.openxmlformats.org/officeDocument/2006/relationships" ref="W286" r:id="rId870"/>
    <hyperlink xmlns:r="http://schemas.openxmlformats.org/officeDocument/2006/relationships" ref="E287" r:id="rId871"/>
    <hyperlink xmlns:r="http://schemas.openxmlformats.org/officeDocument/2006/relationships" ref="R287" r:id="rId872"/>
    <hyperlink xmlns:r="http://schemas.openxmlformats.org/officeDocument/2006/relationships" ref="W287" r:id="rId873"/>
    <hyperlink xmlns:r="http://schemas.openxmlformats.org/officeDocument/2006/relationships" ref="E288" r:id="rId874"/>
    <hyperlink xmlns:r="http://schemas.openxmlformats.org/officeDocument/2006/relationships" ref="Q288" r:id="rId875"/>
    <hyperlink xmlns:r="http://schemas.openxmlformats.org/officeDocument/2006/relationships" ref="R288" r:id="rId876"/>
    <hyperlink xmlns:r="http://schemas.openxmlformats.org/officeDocument/2006/relationships" ref="W288" r:id="rId877"/>
    <hyperlink xmlns:r="http://schemas.openxmlformats.org/officeDocument/2006/relationships" ref="E289" r:id="rId878"/>
    <hyperlink xmlns:r="http://schemas.openxmlformats.org/officeDocument/2006/relationships" ref="W289" r:id="rId879"/>
    <hyperlink xmlns:r="http://schemas.openxmlformats.org/officeDocument/2006/relationships" ref="E290" r:id="rId880"/>
    <hyperlink xmlns:r="http://schemas.openxmlformats.org/officeDocument/2006/relationships" ref="P290" r:id="rId881"/>
    <hyperlink xmlns:r="http://schemas.openxmlformats.org/officeDocument/2006/relationships" ref="R290" r:id="rId882"/>
    <hyperlink xmlns:r="http://schemas.openxmlformats.org/officeDocument/2006/relationships" ref="W290" r:id="rId883"/>
    <hyperlink xmlns:r="http://schemas.openxmlformats.org/officeDocument/2006/relationships" ref="E291" r:id="rId884"/>
    <hyperlink xmlns:r="http://schemas.openxmlformats.org/officeDocument/2006/relationships" ref="P291" r:id="rId885"/>
    <hyperlink xmlns:r="http://schemas.openxmlformats.org/officeDocument/2006/relationships" ref="Q291" r:id="rId886"/>
    <hyperlink xmlns:r="http://schemas.openxmlformats.org/officeDocument/2006/relationships" ref="R291" r:id="rId887"/>
    <hyperlink xmlns:r="http://schemas.openxmlformats.org/officeDocument/2006/relationships" ref="W291" r:id="rId888"/>
    <hyperlink xmlns:r="http://schemas.openxmlformats.org/officeDocument/2006/relationships" ref="E292" r:id="rId889"/>
    <hyperlink xmlns:r="http://schemas.openxmlformats.org/officeDocument/2006/relationships" ref="R292" r:id="rId890"/>
    <hyperlink xmlns:r="http://schemas.openxmlformats.org/officeDocument/2006/relationships" ref="W292" r:id="rId891"/>
    <hyperlink xmlns:r="http://schemas.openxmlformats.org/officeDocument/2006/relationships" ref="E293" r:id="rId892"/>
    <hyperlink xmlns:r="http://schemas.openxmlformats.org/officeDocument/2006/relationships" ref="Q293" r:id="rId893"/>
    <hyperlink xmlns:r="http://schemas.openxmlformats.org/officeDocument/2006/relationships" ref="R293" r:id="rId894"/>
    <hyperlink xmlns:r="http://schemas.openxmlformats.org/officeDocument/2006/relationships" ref="W293" r:id="rId895"/>
    <hyperlink xmlns:r="http://schemas.openxmlformats.org/officeDocument/2006/relationships" ref="E294" r:id="rId896"/>
    <hyperlink xmlns:r="http://schemas.openxmlformats.org/officeDocument/2006/relationships" ref="P294" r:id="rId897"/>
    <hyperlink xmlns:r="http://schemas.openxmlformats.org/officeDocument/2006/relationships" ref="R294" r:id="rId898"/>
    <hyperlink xmlns:r="http://schemas.openxmlformats.org/officeDocument/2006/relationships" ref="W294" r:id="rId899"/>
    <hyperlink xmlns:r="http://schemas.openxmlformats.org/officeDocument/2006/relationships" ref="E295" r:id="rId900"/>
    <hyperlink xmlns:r="http://schemas.openxmlformats.org/officeDocument/2006/relationships" ref="P295" r:id="rId901"/>
    <hyperlink xmlns:r="http://schemas.openxmlformats.org/officeDocument/2006/relationships" ref="Q295" r:id="rId902"/>
    <hyperlink xmlns:r="http://schemas.openxmlformats.org/officeDocument/2006/relationships" ref="R295" r:id="rId903"/>
    <hyperlink xmlns:r="http://schemas.openxmlformats.org/officeDocument/2006/relationships" ref="W295" r:id="rId904"/>
    <hyperlink xmlns:r="http://schemas.openxmlformats.org/officeDocument/2006/relationships" ref="E296" r:id="rId905"/>
    <hyperlink xmlns:r="http://schemas.openxmlformats.org/officeDocument/2006/relationships" ref="W296" r:id="rId906"/>
    <hyperlink xmlns:r="http://schemas.openxmlformats.org/officeDocument/2006/relationships" ref="E297" r:id="rId907"/>
    <hyperlink xmlns:r="http://schemas.openxmlformats.org/officeDocument/2006/relationships" ref="R297" r:id="rId908"/>
    <hyperlink xmlns:r="http://schemas.openxmlformats.org/officeDocument/2006/relationships" ref="W297" r:id="rId909"/>
    <hyperlink xmlns:r="http://schemas.openxmlformats.org/officeDocument/2006/relationships" ref="E298" r:id="rId910"/>
    <hyperlink xmlns:r="http://schemas.openxmlformats.org/officeDocument/2006/relationships" ref="Q298" r:id="rId911"/>
    <hyperlink xmlns:r="http://schemas.openxmlformats.org/officeDocument/2006/relationships" ref="R298" r:id="rId912"/>
    <hyperlink xmlns:r="http://schemas.openxmlformats.org/officeDocument/2006/relationships" ref="W298" r:id="rId913"/>
    <hyperlink xmlns:r="http://schemas.openxmlformats.org/officeDocument/2006/relationships" ref="E299" r:id="rId914"/>
    <hyperlink xmlns:r="http://schemas.openxmlformats.org/officeDocument/2006/relationships" ref="R299" r:id="rId915"/>
    <hyperlink xmlns:r="http://schemas.openxmlformats.org/officeDocument/2006/relationships" ref="W299" r:id="rId916"/>
    <hyperlink xmlns:r="http://schemas.openxmlformats.org/officeDocument/2006/relationships" ref="E300" r:id="rId917"/>
    <hyperlink xmlns:r="http://schemas.openxmlformats.org/officeDocument/2006/relationships" ref="W300" r:id="rId918"/>
    <hyperlink xmlns:r="http://schemas.openxmlformats.org/officeDocument/2006/relationships" ref="E301" r:id="rId919"/>
    <hyperlink xmlns:r="http://schemas.openxmlformats.org/officeDocument/2006/relationships" ref="P301" r:id="rId920"/>
    <hyperlink xmlns:r="http://schemas.openxmlformats.org/officeDocument/2006/relationships" ref="R301" r:id="rId921"/>
    <hyperlink xmlns:r="http://schemas.openxmlformats.org/officeDocument/2006/relationships" ref="W301" r:id="rId922"/>
    <hyperlink xmlns:r="http://schemas.openxmlformats.org/officeDocument/2006/relationships" ref="E302" r:id="rId923"/>
    <hyperlink xmlns:r="http://schemas.openxmlformats.org/officeDocument/2006/relationships" ref="P302" r:id="rId924"/>
    <hyperlink xmlns:r="http://schemas.openxmlformats.org/officeDocument/2006/relationships" ref="Q302" r:id="rId925"/>
    <hyperlink xmlns:r="http://schemas.openxmlformats.org/officeDocument/2006/relationships" ref="R302" r:id="rId926"/>
    <hyperlink xmlns:r="http://schemas.openxmlformats.org/officeDocument/2006/relationships" ref="W302" r:id="rId927"/>
    <hyperlink xmlns:r="http://schemas.openxmlformats.org/officeDocument/2006/relationships" ref="E303" r:id="rId928"/>
    <hyperlink xmlns:r="http://schemas.openxmlformats.org/officeDocument/2006/relationships" ref="W303" r:id="rId929"/>
    <hyperlink xmlns:r="http://schemas.openxmlformats.org/officeDocument/2006/relationships" ref="E304" r:id="rId930"/>
    <hyperlink xmlns:r="http://schemas.openxmlformats.org/officeDocument/2006/relationships" ref="W304" r:id="rId931"/>
    <hyperlink xmlns:r="http://schemas.openxmlformats.org/officeDocument/2006/relationships" ref="E305" r:id="rId932"/>
    <hyperlink xmlns:r="http://schemas.openxmlformats.org/officeDocument/2006/relationships" ref="W305" r:id="rId933"/>
    <hyperlink xmlns:r="http://schemas.openxmlformats.org/officeDocument/2006/relationships" ref="E306" r:id="rId934"/>
    <hyperlink xmlns:r="http://schemas.openxmlformats.org/officeDocument/2006/relationships" ref="W306" r:id="rId935"/>
    <hyperlink xmlns:r="http://schemas.openxmlformats.org/officeDocument/2006/relationships" ref="E307" r:id="rId936"/>
    <hyperlink xmlns:r="http://schemas.openxmlformats.org/officeDocument/2006/relationships" ref="P307" r:id="rId937"/>
    <hyperlink xmlns:r="http://schemas.openxmlformats.org/officeDocument/2006/relationships" ref="R307" r:id="rId938"/>
    <hyperlink xmlns:r="http://schemas.openxmlformats.org/officeDocument/2006/relationships" ref="W307" r:id="rId939"/>
    <hyperlink xmlns:r="http://schemas.openxmlformats.org/officeDocument/2006/relationships" ref="E308" r:id="rId940"/>
    <hyperlink xmlns:r="http://schemas.openxmlformats.org/officeDocument/2006/relationships" ref="P308" r:id="rId941"/>
    <hyperlink xmlns:r="http://schemas.openxmlformats.org/officeDocument/2006/relationships" ref="Q308" r:id="rId942"/>
    <hyperlink xmlns:r="http://schemas.openxmlformats.org/officeDocument/2006/relationships" ref="R308" r:id="rId943"/>
    <hyperlink xmlns:r="http://schemas.openxmlformats.org/officeDocument/2006/relationships" ref="W308" r:id="rId944"/>
    <hyperlink xmlns:r="http://schemas.openxmlformats.org/officeDocument/2006/relationships" ref="E309" r:id="rId945"/>
    <hyperlink xmlns:r="http://schemas.openxmlformats.org/officeDocument/2006/relationships" ref="P309" r:id="rId946"/>
    <hyperlink xmlns:r="http://schemas.openxmlformats.org/officeDocument/2006/relationships" ref="Q309" r:id="rId947"/>
    <hyperlink xmlns:r="http://schemas.openxmlformats.org/officeDocument/2006/relationships" ref="R309" r:id="rId948"/>
    <hyperlink xmlns:r="http://schemas.openxmlformats.org/officeDocument/2006/relationships" ref="W309" r:id="rId949"/>
    <hyperlink xmlns:r="http://schemas.openxmlformats.org/officeDocument/2006/relationships" ref="E310" r:id="rId950"/>
    <hyperlink xmlns:r="http://schemas.openxmlformats.org/officeDocument/2006/relationships" ref="P310" r:id="rId951"/>
    <hyperlink xmlns:r="http://schemas.openxmlformats.org/officeDocument/2006/relationships" ref="Q310" r:id="rId952"/>
    <hyperlink xmlns:r="http://schemas.openxmlformats.org/officeDocument/2006/relationships" ref="R310" r:id="rId953"/>
    <hyperlink xmlns:r="http://schemas.openxmlformats.org/officeDocument/2006/relationships" ref="W310" r:id="rId954"/>
    <hyperlink xmlns:r="http://schemas.openxmlformats.org/officeDocument/2006/relationships" ref="E311" r:id="rId955"/>
    <hyperlink xmlns:r="http://schemas.openxmlformats.org/officeDocument/2006/relationships" ref="P311" r:id="rId956"/>
    <hyperlink xmlns:r="http://schemas.openxmlformats.org/officeDocument/2006/relationships" ref="Q311" r:id="rId957"/>
    <hyperlink xmlns:r="http://schemas.openxmlformats.org/officeDocument/2006/relationships" ref="R311" r:id="rId958"/>
    <hyperlink xmlns:r="http://schemas.openxmlformats.org/officeDocument/2006/relationships" ref="W311" r:id="rId959"/>
    <hyperlink xmlns:r="http://schemas.openxmlformats.org/officeDocument/2006/relationships" ref="E312" r:id="rId960"/>
    <hyperlink xmlns:r="http://schemas.openxmlformats.org/officeDocument/2006/relationships" ref="W312" r:id="rId961"/>
    <hyperlink xmlns:r="http://schemas.openxmlformats.org/officeDocument/2006/relationships" ref="E313" r:id="rId962"/>
    <hyperlink xmlns:r="http://schemas.openxmlformats.org/officeDocument/2006/relationships" ref="P313" r:id="rId963"/>
    <hyperlink xmlns:r="http://schemas.openxmlformats.org/officeDocument/2006/relationships" ref="Q313" r:id="rId964"/>
    <hyperlink xmlns:r="http://schemas.openxmlformats.org/officeDocument/2006/relationships" ref="R313" r:id="rId965"/>
    <hyperlink xmlns:r="http://schemas.openxmlformats.org/officeDocument/2006/relationships" ref="W313" r:id="rId966"/>
    <hyperlink xmlns:r="http://schemas.openxmlformats.org/officeDocument/2006/relationships" ref="E314" r:id="rId967"/>
    <hyperlink xmlns:r="http://schemas.openxmlformats.org/officeDocument/2006/relationships" ref="W314" r:id="rId968"/>
    <hyperlink xmlns:r="http://schemas.openxmlformats.org/officeDocument/2006/relationships" ref="E315" r:id="rId969"/>
    <hyperlink xmlns:r="http://schemas.openxmlformats.org/officeDocument/2006/relationships" ref="P315" r:id="rId970"/>
    <hyperlink xmlns:r="http://schemas.openxmlformats.org/officeDocument/2006/relationships" ref="R315" r:id="rId971"/>
    <hyperlink xmlns:r="http://schemas.openxmlformats.org/officeDocument/2006/relationships" ref="W315" r:id="rId972"/>
    <hyperlink xmlns:r="http://schemas.openxmlformats.org/officeDocument/2006/relationships" ref="E316" r:id="rId973"/>
    <hyperlink xmlns:r="http://schemas.openxmlformats.org/officeDocument/2006/relationships" ref="W316" r:id="rId974"/>
    <hyperlink xmlns:r="http://schemas.openxmlformats.org/officeDocument/2006/relationships" ref="E317" r:id="rId975"/>
    <hyperlink xmlns:r="http://schemas.openxmlformats.org/officeDocument/2006/relationships" ref="W317" r:id="rId976"/>
    <hyperlink xmlns:r="http://schemas.openxmlformats.org/officeDocument/2006/relationships" ref="E318" r:id="rId977"/>
    <hyperlink xmlns:r="http://schemas.openxmlformats.org/officeDocument/2006/relationships" ref="W318" r:id="rId978"/>
    <hyperlink xmlns:r="http://schemas.openxmlformats.org/officeDocument/2006/relationships" ref="E319" r:id="rId979"/>
    <hyperlink xmlns:r="http://schemas.openxmlformats.org/officeDocument/2006/relationships" ref="P319" r:id="rId980"/>
    <hyperlink xmlns:r="http://schemas.openxmlformats.org/officeDocument/2006/relationships" ref="Q319" r:id="rId981"/>
    <hyperlink xmlns:r="http://schemas.openxmlformats.org/officeDocument/2006/relationships" ref="R319" r:id="rId982"/>
    <hyperlink xmlns:r="http://schemas.openxmlformats.org/officeDocument/2006/relationships" ref="W319" r:id="rId983"/>
    <hyperlink xmlns:r="http://schemas.openxmlformats.org/officeDocument/2006/relationships" ref="E320" r:id="rId984"/>
    <hyperlink xmlns:r="http://schemas.openxmlformats.org/officeDocument/2006/relationships" ref="P320" r:id="rId985"/>
    <hyperlink xmlns:r="http://schemas.openxmlformats.org/officeDocument/2006/relationships" ref="Q320" r:id="rId986"/>
    <hyperlink xmlns:r="http://schemas.openxmlformats.org/officeDocument/2006/relationships" ref="R320" r:id="rId987"/>
    <hyperlink xmlns:r="http://schemas.openxmlformats.org/officeDocument/2006/relationships" ref="W320" r:id="rId988"/>
    <hyperlink xmlns:r="http://schemas.openxmlformats.org/officeDocument/2006/relationships" ref="E321" r:id="rId989"/>
    <hyperlink xmlns:r="http://schemas.openxmlformats.org/officeDocument/2006/relationships" ref="P321" r:id="rId990"/>
    <hyperlink xmlns:r="http://schemas.openxmlformats.org/officeDocument/2006/relationships" ref="Q321" r:id="rId991"/>
    <hyperlink xmlns:r="http://schemas.openxmlformats.org/officeDocument/2006/relationships" ref="R321" r:id="rId992"/>
    <hyperlink xmlns:r="http://schemas.openxmlformats.org/officeDocument/2006/relationships" ref="W321" r:id="rId993"/>
    <hyperlink xmlns:r="http://schemas.openxmlformats.org/officeDocument/2006/relationships" ref="E322" r:id="rId994"/>
    <hyperlink xmlns:r="http://schemas.openxmlformats.org/officeDocument/2006/relationships" ref="W322" r:id="rId995"/>
    <hyperlink xmlns:r="http://schemas.openxmlformats.org/officeDocument/2006/relationships" ref="E323" r:id="rId996"/>
    <hyperlink xmlns:r="http://schemas.openxmlformats.org/officeDocument/2006/relationships" ref="Q323" r:id="rId997"/>
    <hyperlink xmlns:r="http://schemas.openxmlformats.org/officeDocument/2006/relationships" ref="R323" r:id="rId998"/>
    <hyperlink xmlns:r="http://schemas.openxmlformats.org/officeDocument/2006/relationships" ref="W323" r:id="rId999"/>
    <hyperlink xmlns:r="http://schemas.openxmlformats.org/officeDocument/2006/relationships" ref="E324" r:id="rId1000"/>
    <hyperlink xmlns:r="http://schemas.openxmlformats.org/officeDocument/2006/relationships" ref="W324" r:id="rId1001"/>
    <hyperlink xmlns:r="http://schemas.openxmlformats.org/officeDocument/2006/relationships" ref="E325" r:id="rId1002"/>
    <hyperlink xmlns:r="http://schemas.openxmlformats.org/officeDocument/2006/relationships" ref="P325" r:id="rId1003"/>
    <hyperlink xmlns:r="http://schemas.openxmlformats.org/officeDocument/2006/relationships" ref="R325" r:id="rId1004"/>
    <hyperlink xmlns:r="http://schemas.openxmlformats.org/officeDocument/2006/relationships" ref="W325" r:id="rId1005"/>
    <hyperlink xmlns:r="http://schemas.openxmlformats.org/officeDocument/2006/relationships" ref="E326" r:id="rId1006"/>
    <hyperlink xmlns:r="http://schemas.openxmlformats.org/officeDocument/2006/relationships" ref="Q326" r:id="rId1007"/>
    <hyperlink xmlns:r="http://schemas.openxmlformats.org/officeDocument/2006/relationships" ref="R326" r:id="rId1008"/>
    <hyperlink xmlns:r="http://schemas.openxmlformats.org/officeDocument/2006/relationships" ref="W326" r:id="rId1009"/>
    <hyperlink xmlns:r="http://schemas.openxmlformats.org/officeDocument/2006/relationships" ref="E327" r:id="rId1010"/>
    <hyperlink xmlns:r="http://schemas.openxmlformats.org/officeDocument/2006/relationships" ref="P327" r:id="rId1011"/>
    <hyperlink xmlns:r="http://schemas.openxmlformats.org/officeDocument/2006/relationships" ref="Q327" r:id="rId1012"/>
    <hyperlink xmlns:r="http://schemas.openxmlformats.org/officeDocument/2006/relationships" ref="R327" r:id="rId1013"/>
    <hyperlink xmlns:r="http://schemas.openxmlformats.org/officeDocument/2006/relationships" ref="W327" r:id="rId1014"/>
    <hyperlink xmlns:r="http://schemas.openxmlformats.org/officeDocument/2006/relationships" ref="E328" r:id="rId1015"/>
    <hyperlink xmlns:r="http://schemas.openxmlformats.org/officeDocument/2006/relationships" ref="Q328" r:id="rId1016"/>
    <hyperlink xmlns:r="http://schemas.openxmlformats.org/officeDocument/2006/relationships" ref="W328" r:id="rId1017"/>
    <hyperlink xmlns:r="http://schemas.openxmlformats.org/officeDocument/2006/relationships" ref="E329" r:id="rId1018"/>
    <hyperlink xmlns:r="http://schemas.openxmlformats.org/officeDocument/2006/relationships" ref="W329" r:id="rId1019"/>
    <hyperlink xmlns:r="http://schemas.openxmlformats.org/officeDocument/2006/relationships" ref="E330" r:id="rId1020"/>
    <hyperlink xmlns:r="http://schemas.openxmlformats.org/officeDocument/2006/relationships" ref="W330" r:id="rId1021"/>
    <hyperlink xmlns:r="http://schemas.openxmlformats.org/officeDocument/2006/relationships" ref="E331" r:id="rId1022"/>
    <hyperlink xmlns:r="http://schemas.openxmlformats.org/officeDocument/2006/relationships" ref="P331" r:id="rId1023"/>
    <hyperlink xmlns:r="http://schemas.openxmlformats.org/officeDocument/2006/relationships" ref="Q331" r:id="rId1024"/>
    <hyperlink xmlns:r="http://schemas.openxmlformats.org/officeDocument/2006/relationships" ref="R331" r:id="rId1025"/>
    <hyperlink xmlns:r="http://schemas.openxmlformats.org/officeDocument/2006/relationships" ref="W331" r:id="rId1026"/>
    <hyperlink xmlns:r="http://schemas.openxmlformats.org/officeDocument/2006/relationships" ref="E332" r:id="rId1027"/>
    <hyperlink xmlns:r="http://schemas.openxmlformats.org/officeDocument/2006/relationships" ref="P332" r:id="rId1028"/>
    <hyperlink xmlns:r="http://schemas.openxmlformats.org/officeDocument/2006/relationships" ref="Q332" r:id="rId1029"/>
    <hyperlink xmlns:r="http://schemas.openxmlformats.org/officeDocument/2006/relationships" ref="R332" r:id="rId1030"/>
    <hyperlink xmlns:r="http://schemas.openxmlformats.org/officeDocument/2006/relationships" ref="W332" r:id="rId1031"/>
    <hyperlink xmlns:r="http://schemas.openxmlformats.org/officeDocument/2006/relationships" ref="E333" r:id="rId1032"/>
    <hyperlink xmlns:r="http://schemas.openxmlformats.org/officeDocument/2006/relationships" ref="P333" r:id="rId1033"/>
    <hyperlink xmlns:r="http://schemas.openxmlformats.org/officeDocument/2006/relationships" ref="R333" r:id="rId1034"/>
    <hyperlink xmlns:r="http://schemas.openxmlformats.org/officeDocument/2006/relationships" ref="W333" r:id="rId1035"/>
    <hyperlink xmlns:r="http://schemas.openxmlformats.org/officeDocument/2006/relationships" ref="E334" r:id="rId1036"/>
    <hyperlink xmlns:r="http://schemas.openxmlformats.org/officeDocument/2006/relationships" ref="P334" r:id="rId1037"/>
    <hyperlink xmlns:r="http://schemas.openxmlformats.org/officeDocument/2006/relationships" ref="Q334" r:id="rId1038"/>
    <hyperlink xmlns:r="http://schemas.openxmlformats.org/officeDocument/2006/relationships" ref="R334" r:id="rId1039"/>
    <hyperlink xmlns:r="http://schemas.openxmlformats.org/officeDocument/2006/relationships" ref="W334" r:id="rId1040"/>
    <hyperlink xmlns:r="http://schemas.openxmlformats.org/officeDocument/2006/relationships" ref="E335" r:id="rId1041"/>
    <hyperlink xmlns:r="http://schemas.openxmlformats.org/officeDocument/2006/relationships" ref="P335" r:id="rId1042"/>
    <hyperlink xmlns:r="http://schemas.openxmlformats.org/officeDocument/2006/relationships" ref="Q335" r:id="rId1043"/>
    <hyperlink xmlns:r="http://schemas.openxmlformats.org/officeDocument/2006/relationships" ref="R335" r:id="rId1044"/>
    <hyperlink xmlns:r="http://schemas.openxmlformats.org/officeDocument/2006/relationships" ref="W335" r:id="rId1045"/>
    <hyperlink xmlns:r="http://schemas.openxmlformats.org/officeDocument/2006/relationships" ref="E336" r:id="rId1046"/>
    <hyperlink xmlns:r="http://schemas.openxmlformats.org/officeDocument/2006/relationships" ref="R336" r:id="rId1047"/>
    <hyperlink xmlns:r="http://schemas.openxmlformats.org/officeDocument/2006/relationships" ref="W336" r:id="rId1048"/>
    <hyperlink xmlns:r="http://schemas.openxmlformats.org/officeDocument/2006/relationships" ref="E337" r:id="rId1049"/>
    <hyperlink xmlns:r="http://schemas.openxmlformats.org/officeDocument/2006/relationships" ref="P337" r:id="rId1050"/>
    <hyperlink xmlns:r="http://schemas.openxmlformats.org/officeDocument/2006/relationships" ref="R337" r:id="rId1051"/>
    <hyperlink xmlns:r="http://schemas.openxmlformats.org/officeDocument/2006/relationships" ref="W337" r:id="rId1052"/>
    <hyperlink xmlns:r="http://schemas.openxmlformats.org/officeDocument/2006/relationships" ref="E338" r:id="rId1053"/>
    <hyperlink xmlns:r="http://schemas.openxmlformats.org/officeDocument/2006/relationships" ref="P338" r:id="rId1054"/>
    <hyperlink xmlns:r="http://schemas.openxmlformats.org/officeDocument/2006/relationships" ref="R338" r:id="rId1055"/>
    <hyperlink xmlns:r="http://schemas.openxmlformats.org/officeDocument/2006/relationships" ref="W338" r:id="rId1056"/>
    <hyperlink xmlns:r="http://schemas.openxmlformats.org/officeDocument/2006/relationships" ref="E339" r:id="rId1057"/>
    <hyperlink xmlns:r="http://schemas.openxmlformats.org/officeDocument/2006/relationships" ref="R339" r:id="rId1058"/>
    <hyperlink xmlns:r="http://schemas.openxmlformats.org/officeDocument/2006/relationships" ref="W339" r:id="rId1059"/>
    <hyperlink xmlns:r="http://schemas.openxmlformats.org/officeDocument/2006/relationships" ref="E340" r:id="rId1060"/>
    <hyperlink xmlns:r="http://schemas.openxmlformats.org/officeDocument/2006/relationships" ref="R340" r:id="rId1061"/>
    <hyperlink xmlns:r="http://schemas.openxmlformats.org/officeDocument/2006/relationships" ref="W340" r:id="rId1062"/>
    <hyperlink xmlns:r="http://schemas.openxmlformats.org/officeDocument/2006/relationships" ref="E341" r:id="rId1063"/>
    <hyperlink xmlns:r="http://schemas.openxmlformats.org/officeDocument/2006/relationships" ref="R341" r:id="rId1064"/>
    <hyperlink xmlns:r="http://schemas.openxmlformats.org/officeDocument/2006/relationships" ref="W341" r:id="rId1065"/>
    <hyperlink xmlns:r="http://schemas.openxmlformats.org/officeDocument/2006/relationships" ref="E342" r:id="rId1066"/>
    <hyperlink xmlns:r="http://schemas.openxmlformats.org/officeDocument/2006/relationships" ref="Q342" r:id="rId1067"/>
    <hyperlink xmlns:r="http://schemas.openxmlformats.org/officeDocument/2006/relationships" ref="R342" r:id="rId1068"/>
    <hyperlink xmlns:r="http://schemas.openxmlformats.org/officeDocument/2006/relationships" ref="W342" r:id="rId1069"/>
    <hyperlink xmlns:r="http://schemas.openxmlformats.org/officeDocument/2006/relationships" ref="E343" r:id="rId1070"/>
    <hyperlink xmlns:r="http://schemas.openxmlformats.org/officeDocument/2006/relationships" ref="R343" r:id="rId1071"/>
    <hyperlink xmlns:r="http://schemas.openxmlformats.org/officeDocument/2006/relationships" ref="S343" r:id="rId1072"/>
    <hyperlink xmlns:r="http://schemas.openxmlformats.org/officeDocument/2006/relationships" ref="W343" r:id="rId1073"/>
    <hyperlink xmlns:r="http://schemas.openxmlformats.org/officeDocument/2006/relationships" ref="E344" r:id="rId1074"/>
    <hyperlink xmlns:r="http://schemas.openxmlformats.org/officeDocument/2006/relationships" ref="Q344" r:id="rId1075"/>
    <hyperlink xmlns:r="http://schemas.openxmlformats.org/officeDocument/2006/relationships" ref="R344" r:id="rId1076"/>
    <hyperlink xmlns:r="http://schemas.openxmlformats.org/officeDocument/2006/relationships" ref="W344" r:id="rId1077"/>
    <hyperlink xmlns:r="http://schemas.openxmlformats.org/officeDocument/2006/relationships" ref="E345" r:id="rId1078"/>
    <hyperlink xmlns:r="http://schemas.openxmlformats.org/officeDocument/2006/relationships" ref="P345" r:id="rId1079"/>
    <hyperlink xmlns:r="http://schemas.openxmlformats.org/officeDocument/2006/relationships" ref="R345" r:id="rId1080"/>
    <hyperlink xmlns:r="http://schemas.openxmlformats.org/officeDocument/2006/relationships" ref="W345" r:id="rId1081"/>
    <hyperlink xmlns:r="http://schemas.openxmlformats.org/officeDocument/2006/relationships" ref="E346" r:id="rId1082"/>
    <hyperlink xmlns:r="http://schemas.openxmlformats.org/officeDocument/2006/relationships" ref="R346" r:id="rId1083"/>
    <hyperlink xmlns:r="http://schemas.openxmlformats.org/officeDocument/2006/relationships" ref="W346" r:id="rId1084"/>
    <hyperlink xmlns:r="http://schemas.openxmlformats.org/officeDocument/2006/relationships" ref="E347" r:id="rId1085"/>
    <hyperlink xmlns:r="http://schemas.openxmlformats.org/officeDocument/2006/relationships" ref="R347" r:id="rId1086"/>
    <hyperlink xmlns:r="http://schemas.openxmlformats.org/officeDocument/2006/relationships" ref="W347" r:id="rId1087"/>
    <hyperlink xmlns:r="http://schemas.openxmlformats.org/officeDocument/2006/relationships" ref="E348" r:id="rId1088"/>
    <hyperlink xmlns:r="http://schemas.openxmlformats.org/officeDocument/2006/relationships" ref="W348" r:id="rId1089"/>
    <hyperlink xmlns:r="http://schemas.openxmlformats.org/officeDocument/2006/relationships" ref="E349" r:id="rId1090"/>
    <hyperlink xmlns:r="http://schemas.openxmlformats.org/officeDocument/2006/relationships" ref="R349" r:id="rId1091"/>
    <hyperlink xmlns:r="http://schemas.openxmlformats.org/officeDocument/2006/relationships" ref="W349" r:id="rId1092"/>
    <hyperlink xmlns:r="http://schemas.openxmlformats.org/officeDocument/2006/relationships" ref="E350" r:id="rId1093"/>
    <hyperlink xmlns:r="http://schemas.openxmlformats.org/officeDocument/2006/relationships" ref="W350" r:id="rId1094"/>
    <hyperlink xmlns:r="http://schemas.openxmlformats.org/officeDocument/2006/relationships" ref="E351" r:id="rId1095"/>
    <hyperlink xmlns:r="http://schemas.openxmlformats.org/officeDocument/2006/relationships" ref="R351" r:id="rId1096"/>
    <hyperlink xmlns:r="http://schemas.openxmlformats.org/officeDocument/2006/relationships" ref="W351" r:id="rId1097"/>
    <hyperlink xmlns:r="http://schemas.openxmlformats.org/officeDocument/2006/relationships" ref="E352" r:id="rId1098"/>
    <hyperlink xmlns:r="http://schemas.openxmlformats.org/officeDocument/2006/relationships" ref="P352" r:id="rId1099"/>
    <hyperlink xmlns:r="http://schemas.openxmlformats.org/officeDocument/2006/relationships" ref="Q352" r:id="rId1100"/>
    <hyperlink xmlns:r="http://schemas.openxmlformats.org/officeDocument/2006/relationships" ref="R352" r:id="rId1101"/>
    <hyperlink xmlns:r="http://schemas.openxmlformats.org/officeDocument/2006/relationships" ref="W352" r:id="rId1102"/>
    <hyperlink xmlns:r="http://schemas.openxmlformats.org/officeDocument/2006/relationships" ref="E353" r:id="rId1103"/>
    <hyperlink xmlns:r="http://schemas.openxmlformats.org/officeDocument/2006/relationships" ref="P353" r:id="rId1104"/>
    <hyperlink xmlns:r="http://schemas.openxmlformats.org/officeDocument/2006/relationships" ref="Q353" r:id="rId1105"/>
    <hyperlink xmlns:r="http://schemas.openxmlformats.org/officeDocument/2006/relationships" ref="R353" r:id="rId1106"/>
    <hyperlink xmlns:r="http://schemas.openxmlformats.org/officeDocument/2006/relationships" ref="W353" r:id="rId1107"/>
    <hyperlink xmlns:r="http://schemas.openxmlformats.org/officeDocument/2006/relationships" ref="E354" r:id="rId1108"/>
    <hyperlink xmlns:r="http://schemas.openxmlformats.org/officeDocument/2006/relationships" ref="P354" r:id="rId1109"/>
    <hyperlink xmlns:r="http://schemas.openxmlformats.org/officeDocument/2006/relationships" ref="R354" r:id="rId1110"/>
    <hyperlink xmlns:r="http://schemas.openxmlformats.org/officeDocument/2006/relationships" ref="W354" r:id="rId1111"/>
    <hyperlink xmlns:r="http://schemas.openxmlformats.org/officeDocument/2006/relationships" ref="E355" r:id="rId1112"/>
    <hyperlink xmlns:r="http://schemas.openxmlformats.org/officeDocument/2006/relationships" ref="P355" r:id="rId1113"/>
    <hyperlink xmlns:r="http://schemas.openxmlformats.org/officeDocument/2006/relationships" ref="R355" r:id="rId1114"/>
    <hyperlink xmlns:r="http://schemas.openxmlformats.org/officeDocument/2006/relationships" ref="W355" r:id="rId1115"/>
    <hyperlink xmlns:r="http://schemas.openxmlformats.org/officeDocument/2006/relationships" ref="E356" r:id="rId1116"/>
    <hyperlink xmlns:r="http://schemas.openxmlformats.org/officeDocument/2006/relationships" ref="R356" r:id="rId1117"/>
    <hyperlink xmlns:r="http://schemas.openxmlformats.org/officeDocument/2006/relationships" ref="W356" r:id="rId1118"/>
    <hyperlink xmlns:r="http://schemas.openxmlformats.org/officeDocument/2006/relationships" ref="E357" r:id="rId1119"/>
    <hyperlink xmlns:r="http://schemas.openxmlformats.org/officeDocument/2006/relationships" ref="W357" r:id="rId1120"/>
    <hyperlink xmlns:r="http://schemas.openxmlformats.org/officeDocument/2006/relationships" ref="D358" r:id="rId1121"/>
    <hyperlink xmlns:r="http://schemas.openxmlformats.org/officeDocument/2006/relationships" ref="E358" r:id="rId1122"/>
    <hyperlink xmlns:r="http://schemas.openxmlformats.org/officeDocument/2006/relationships" ref="R358" r:id="rId1123"/>
    <hyperlink xmlns:r="http://schemas.openxmlformats.org/officeDocument/2006/relationships" ref="S358" r:id="rId1124"/>
    <hyperlink xmlns:r="http://schemas.openxmlformats.org/officeDocument/2006/relationships" ref="W358" r:id="rId1125"/>
    <hyperlink xmlns:r="http://schemas.openxmlformats.org/officeDocument/2006/relationships" ref="E359" r:id="rId1126"/>
    <hyperlink xmlns:r="http://schemas.openxmlformats.org/officeDocument/2006/relationships" ref="W359" r:id="rId1127"/>
    <hyperlink xmlns:r="http://schemas.openxmlformats.org/officeDocument/2006/relationships" ref="E360" r:id="rId1128"/>
    <hyperlink xmlns:r="http://schemas.openxmlformats.org/officeDocument/2006/relationships" ref="P360" r:id="rId1129"/>
    <hyperlink xmlns:r="http://schemas.openxmlformats.org/officeDocument/2006/relationships" ref="R360" r:id="rId1130"/>
    <hyperlink xmlns:r="http://schemas.openxmlformats.org/officeDocument/2006/relationships" ref="W360" r:id="rId1131"/>
    <hyperlink xmlns:r="http://schemas.openxmlformats.org/officeDocument/2006/relationships" ref="E361" r:id="rId1132"/>
    <hyperlink xmlns:r="http://schemas.openxmlformats.org/officeDocument/2006/relationships" ref="P361" r:id="rId1133"/>
    <hyperlink xmlns:r="http://schemas.openxmlformats.org/officeDocument/2006/relationships" ref="R361" r:id="rId1134"/>
    <hyperlink xmlns:r="http://schemas.openxmlformats.org/officeDocument/2006/relationships" ref="W361" r:id="rId1135"/>
    <hyperlink xmlns:r="http://schemas.openxmlformats.org/officeDocument/2006/relationships" ref="E362" r:id="rId1136"/>
    <hyperlink xmlns:r="http://schemas.openxmlformats.org/officeDocument/2006/relationships" ref="P362" r:id="rId1137"/>
    <hyperlink xmlns:r="http://schemas.openxmlformats.org/officeDocument/2006/relationships" ref="R362" r:id="rId1138"/>
    <hyperlink xmlns:r="http://schemas.openxmlformats.org/officeDocument/2006/relationships" ref="W362" r:id="rId1139"/>
    <hyperlink xmlns:r="http://schemas.openxmlformats.org/officeDocument/2006/relationships" ref="D363" r:id="rId1140"/>
    <hyperlink xmlns:r="http://schemas.openxmlformats.org/officeDocument/2006/relationships" ref="E363" r:id="rId1141"/>
    <hyperlink xmlns:r="http://schemas.openxmlformats.org/officeDocument/2006/relationships" ref="P363" r:id="rId1142"/>
    <hyperlink xmlns:r="http://schemas.openxmlformats.org/officeDocument/2006/relationships" ref="R363" r:id="rId1143"/>
    <hyperlink xmlns:r="http://schemas.openxmlformats.org/officeDocument/2006/relationships" ref="W363" r:id="rId1144"/>
    <hyperlink xmlns:r="http://schemas.openxmlformats.org/officeDocument/2006/relationships" ref="E364" r:id="rId1145"/>
    <hyperlink xmlns:r="http://schemas.openxmlformats.org/officeDocument/2006/relationships" ref="P364" r:id="rId1146"/>
    <hyperlink xmlns:r="http://schemas.openxmlformats.org/officeDocument/2006/relationships" ref="Q364" r:id="rId1147"/>
    <hyperlink xmlns:r="http://schemas.openxmlformats.org/officeDocument/2006/relationships" ref="R364" r:id="rId1148"/>
    <hyperlink xmlns:r="http://schemas.openxmlformats.org/officeDocument/2006/relationships" ref="W364" r:id="rId1149"/>
    <hyperlink xmlns:r="http://schemas.openxmlformats.org/officeDocument/2006/relationships" ref="E365" r:id="rId1150"/>
    <hyperlink xmlns:r="http://schemas.openxmlformats.org/officeDocument/2006/relationships" ref="R365" r:id="rId1151"/>
    <hyperlink xmlns:r="http://schemas.openxmlformats.org/officeDocument/2006/relationships" ref="W365" r:id="rId1152"/>
    <hyperlink xmlns:r="http://schemas.openxmlformats.org/officeDocument/2006/relationships" ref="E366" r:id="rId1153"/>
    <hyperlink xmlns:r="http://schemas.openxmlformats.org/officeDocument/2006/relationships" ref="R366" r:id="rId1154"/>
    <hyperlink xmlns:r="http://schemas.openxmlformats.org/officeDocument/2006/relationships" ref="W366" r:id="rId1155"/>
    <hyperlink xmlns:r="http://schemas.openxmlformats.org/officeDocument/2006/relationships" ref="E367" r:id="rId1156"/>
    <hyperlink xmlns:r="http://schemas.openxmlformats.org/officeDocument/2006/relationships" ref="Q367" r:id="rId1157"/>
    <hyperlink xmlns:r="http://schemas.openxmlformats.org/officeDocument/2006/relationships" ref="E368" r:id="rId1158"/>
    <hyperlink xmlns:r="http://schemas.openxmlformats.org/officeDocument/2006/relationships" ref="P368" r:id="rId1159"/>
    <hyperlink xmlns:r="http://schemas.openxmlformats.org/officeDocument/2006/relationships" ref="Q368" r:id="rId1160"/>
    <hyperlink xmlns:r="http://schemas.openxmlformats.org/officeDocument/2006/relationships" ref="R368" r:id="rId1161"/>
    <hyperlink xmlns:r="http://schemas.openxmlformats.org/officeDocument/2006/relationships" ref="W368" r:id="rId1162"/>
    <hyperlink xmlns:r="http://schemas.openxmlformats.org/officeDocument/2006/relationships" ref="E369" r:id="rId1163"/>
    <hyperlink xmlns:r="http://schemas.openxmlformats.org/officeDocument/2006/relationships" ref="P369" r:id="rId1164"/>
    <hyperlink xmlns:r="http://schemas.openxmlformats.org/officeDocument/2006/relationships" ref="Q369" r:id="rId1165"/>
    <hyperlink xmlns:r="http://schemas.openxmlformats.org/officeDocument/2006/relationships" ref="R369" r:id="rId1166"/>
    <hyperlink xmlns:r="http://schemas.openxmlformats.org/officeDocument/2006/relationships" ref="S369" r:id="rId1167"/>
    <hyperlink xmlns:r="http://schemas.openxmlformats.org/officeDocument/2006/relationships" ref="W369" r:id="rId1168"/>
    <hyperlink xmlns:r="http://schemas.openxmlformats.org/officeDocument/2006/relationships" ref="E370" r:id="rId1169"/>
    <hyperlink xmlns:r="http://schemas.openxmlformats.org/officeDocument/2006/relationships" ref="P370" r:id="rId1170"/>
    <hyperlink xmlns:r="http://schemas.openxmlformats.org/officeDocument/2006/relationships" ref="R370" r:id="rId1171"/>
    <hyperlink xmlns:r="http://schemas.openxmlformats.org/officeDocument/2006/relationships" ref="W370" r:id="rId1172"/>
    <hyperlink xmlns:r="http://schemas.openxmlformats.org/officeDocument/2006/relationships" ref="E371" r:id="rId1173"/>
    <hyperlink xmlns:r="http://schemas.openxmlformats.org/officeDocument/2006/relationships" ref="Q371" r:id="rId1174"/>
    <hyperlink xmlns:r="http://schemas.openxmlformats.org/officeDocument/2006/relationships" ref="R371" r:id="rId1175"/>
    <hyperlink xmlns:r="http://schemas.openxmlformats.org/officeDocument/2006/relationships" ref="W371" r:id="rId1176"/>
    <hyperlink xmlns:r="http://schemas.openxmlformats.org/officeDocument/2006/relationships" ref="E372" r:id="rId1177"/>
    <hyperlink xmlns:r="http://schemas.openxmlformats.org/officeDocument/2006/relationships" ref="W372" r:id="rId1178"/>
    <hyperlink xmlns:r="http://schemas.openxmlformats.org/officeDocument/2006/relationships" ref="E373" r:id="rId1179"/>
    <hyperlink xmlns:r="http://schemas.openxmlformats.org/officeDocument/2006/relationships" ref="P373" r:id="rId1180"/>
    <hyperlink xmlns:r="http://schemas.openxmlformats.org/officeDocument/2006/relationships" ref="R373" r:id="rId1181"/>
    <hyperlink xmlns:r="http://schemas.openxmlformats.org/officeDocument/2006/relationships" ref="W373" r:id="rId1182"/>
    <hyperlink xmlns:r="http://schemas.openxmlformats.org/officeDocument/2006/relationships" ref="E374" r:id="rId1183"/>
    <hyperlink xmlns:r="http://schemas.openxmlformats.org/officeDocument/2006/relationships" ref="P374" r:id="rId1184"/>
    <hyperlink xmlns:r="http://schemas.openxmlformats.org/officeDocument/2006/relationships" ref="R374" r:id="rId1185"/>
    <hyperlink xmlns:r="http://schemas.openxmlformats.org/officeDocument/2006/relationships" ref="W374" r:id="rId1186"/>
    <hyperlink xmlns:r="http://schemas.openxmlformats.org/officeDocument/2006/relationships" ref="E375" r:id="rId1187"/>
    <hyperlink xmlns:r="http://schemas.openxmlformats.org/officeDocument/2006/relationships" ref="W375" r:id="rId1188"/>
    <hyperlink xmlns:r="http://schemas.openxmlformats.org/officeDocument/2006/relationships" ref="E376" r:id="rId1189"/>
    <hyperlink xmlns:r="http://schemas.openxmlformats.org/officeDocument/2006/relationships" ref="P376" r:id="rId1190"/>
    <hyperlink xmlns:r="http://schemas.openxmlformats.org/officeDocument/2006/relationships" ref="R376" r:id="rId1191"/>
    <hyperlink xmlns:r="http://schemas.openxmlformats.org/officeDocument/2006/relationships" ref="W376" r:id="rId1192"/>
    <hyperlink xmlns:r="http://schemas.openxmlformats.org/officeDocument/2006/relationships" ref="E377" r:id="rId1193"/>
    <hyperlink xmlns:r="http://schemas.openxmlformats.org/officeDocument/2006/relationships" ref="R377" r:id="rId1194"/>
    <hyperlink xmlns:r="http://schemas.openxmlformats.org/officeDocument/2006/relationships" ref="W377" r:id="rId1195"/>
    <hyperlink xmlns:r="http://schemas.openxmlformats.org/officeDocument/2006/relationships" ref="E378" r:id="rId1196"/>
    <hyperlink xmlns:r="http://schemas.openxmlformats.org/officeDocument/2006/relationships" ref="R378" r:id="rId1197"/>
    <hyperlink xmlns:r="http://schemas.openxmlformats.org/officeDocument/2006/relationships" ref="W378" r:id="rId1198"/>
    <hyperlink xmlns:r="http://schemas.openxmlformats.org/officeDocument/2006/relationships" ref="E379" r:id="rId1199"/>
    <hyperlink xmlns:r="http://schemas.openxmlformats.org/officeDocument/2006/relationships" ref="P379" r:id="rId1200"/>
    <hyperlink xmlns:r="http://schemas.openxmlformats.org/officeDocument/2006/relationships" ref="Q379" r:id="rId1201"/>
    <hyperlink xmlns:r="http://schemas.openxmlformats.org/officeDocument/2006/relationships" ref="R379" r:id="rId1202"/>
    <hyperlink xmlns:r="http://schemas.openxmlformats.org/officeDocument/2006/relationships" ref="W379" r:id="rId1203"/>
    <hyperlink xmlns:r="http://schemas.openxmlformats.org/officeDocument/2006/relationships" ref="E380" r:id="rId1204"/>
    <hyperlink xmlns:r="http://schemas.openxmlformats.org/officeDocument/2006/relationships" ref="P380" r:id="rId1205"/>
    <hyperlink xmlns:r="http://schemas.openxmlformats.org/officeDocument/2006/relationships" ref="R380" r:id="rId1206"/>
    <hyperlink xmlns:r="http://schemas.openxmlformats.org/officeDocument/2006/relationships" ref="W380" r:id="rId1207"/>
    <hyperlink xmlns:r="http://schemas.openxmlformats.org/officeDocument/2006/relationships" ref="E381" r:id="rId1208"/>
    <hyperlink xmlns:r="http://schemas.openxmlformats.org/officeDocument/2006/relationships" ref="R381" r:id="rId1209"/>
    <hyperlink xmlns:r="http://schemas.openxmlformats.org/officeDocument/2006/relationships" ref="W381" r:id="rId1210"/>
    <hyperlink xmlns:r="http://schemas.openxmlformats.org/officeDocument/2006/relationships" ref="E382" r:id="rId1211"/>
    <hyperlink xmlns:r="http://schemas.openxmlformats.org/officeDocument/2006/relationships" ref="Q382" r:id="rId1212"/>
    <hyperlink xmlns:r="http://schemas.openxmlformats.org/officeDocument/2006/relationships" ref="R382" r:id="rId1213"/>
    <hyperlink xmlns:r="http://schemas.openxmlformats.org/officeDocument/2006/relationships" ref="W382" r:id="rId1214"/>
    <hyperlink xmlns:r="http://schemas.openxmlformats.org/officeDocument/2006/relationships" ref="E383" r:id="rId1215"/>
    <hyperlink xmlns:r="http://schemas.openxmlformats.org/officeDocument/2006/relationships" ref="P383" r:id="rId1216"/>
    <hyperlink xmlns:r="http://schemas.openxmlformats.org/officeDocument/2006/relationships" ref="R383" r:id="rId1217"/>
    <hyperlink xmlns:r="http://schemas.openxmlformats.org/officeDocument/2006/relationships" ref="W383" r:id="rId1218"/>
    <hyperlink xmlns:r="http://schemas.openxmlformats.org/officeDocument/2006/relationships" ref="E384" r:id="rId1219"/>
    <hyperlink xmlns:r="http://schemas.openxmlformats.org/officeDocument/2006/relationships" ref="W384" r:id="rId1220"/>
    <hyperlink xmlns:r="http://schemas.openxmlformats.org/officeDocument/2006/relationships" ref="E385" r:id="rId1221"/>
    <hyperlink xmlns:r="http://schemas.openxmlformats.org/officeDocument/2006/relationships" ref="R385" r:id="rId1222"/>
    <hyperlink xmlns:r="http://schemas.openxmlformats.org/officeDocument/2006/relationships" ref="W385" r:id="rId1223"/>
    <hyperlink xmlns:r="http://schemas.openxmlformats.org/officeDocument/2006/relationships" ref="E386" r:id="rId1224"/>
    <hyperlink xmlns:r="http://schemas.openxmlformats.org/officeDocument/2006/relationships" ref="P386" r:id="rId1225"/>
    <hyperlink xmlns:r="http://schemas.openxmlformats.org/officeDocument/2006/relationships" ref="Q386" r:id="rId1226"/>
    <hyperlink xmlns:r="http://schemas.openxmlformats.org/officeDocument/2006/relationships" ref="R386" r:id="rId1227"/>
    <hyperlink xmlns:r="http://schemas.openxmlformats.org/officeDocument/2006/relationships" ref="W386" r:id="rId1228"/>
    <hyperlink xmlns:r="http://schemas.openxmlformats.org/officeDocument/2006/relationships" ref="E387" r:id="rId1229"/>
    <hyperlink xmlns:r="http://schemas.openxmlformats.org/officeDocument/2006/relationships" ref="R387" r:id="rId1230"/>
    <hyperlink xmlns:r="http://schemas.openxmlformats.org/officeDocument/2006/relationships" ref="S387" r:id="rId1231"/>
    <hyperlink xmlns:r="http://schemas.openxmlformats.org/officeDocument/2006/relationships" ref="W387" r:id="rId1232"/>
    <hyperlink xmlns:r="http://schemas.openxmlformats.org/officeDocument/2006/relationships" ref="E388" r:id="rId1233"/>
    <hyperlink xmlns:r="http://schemas.openxmlformats.org/officeDocument/2006/relationships" ref="P388" r:id="rId1234"/>
    <hyperlink xmlns:r="http://schemas.openxmlformats.org/officeDocument/2006/relationships" ref="Q388" r:id="rId1235"/>
    <hyperlink xmlns:r="http://schemas.openxmlformats.org/officeDocument/2006/relationships" ref="R388" r:id="rId1236"/>
    <hyperlink xmlns:r="http://schemas.openxmlformats.org/officeDocument/2006/relationships" ref="W388" r:id="rId1237"/>
    <hyperlink xmlns:r="http://schemas.openxmlformats.org/officeDocument/2006/relationships" ref="E389" r:id="rId1238"/>
    <hyperlink xmlns:r="http://schemas.openxmlformats.org/officeDocument/2006/relationships" ref="R389" r:id="rId1239"/>
    <hyperlink xmlns:r="http://schemas.openxmlformats.org/officeDocument/2006/relationships" ref="W389" r:id="rId1240"/>
    <hyperlink xmlns:r="http://schemas.openxmlformats.org/officeDocument/2006/relationships" ref="E390" r:id="rId1241"/>
    <hyperlink xmlns:r="http://schemas.openxmlformats.org/officeDocument/2006/relationships" ref="Q390" r:id="rId1242"/>
    <hyperlink xmlns:r="http://schemas.openxmlformats.org/officeDocument/2006/relationships" ref="R390" r:id="rId1243"/>
    <hyperlink xmlns:r="http://schemas.openxmlformats.org/officeDocument/2006/relationships" ref="W390" r:id="rId1244"/>
    <hyperlink xmlns:r="http://schemas.openxmlformats.org/officeDocument/2006/relationships" ref="E391" r:id="rId1245"/>
    <hyperlink xmlns:r="http://schemas.openxmlformats.org/officeDocument/2006/relationships" ref="P391" r:id="rId1246"/>
    <hyperlink xmlns:r="http://schemas.openxmlformats.org/officeDocument/2006/relationships" ref="R391" r:id="rId1247"/>
    <hyperlink xmlns:r="http://schemas.openxmlformats.org/officeDocument/2006/relationships" ref="W391" r:id="rId1248"/>
    <hyperlink xmlns:r="http://schemas.openxmlformats.org/officeDocument/2006/relationships" ref="E392" r:id="rId1249"/>
    <hyperlink xmlns:r="http://schemas.openxmlformats.org/officeDocument/2006/relationships" ref="P392" r:id="rId1250"/>
    <hyperlink xmlns:r="http://schemas.openxmlformats.org/officeDocument/2006/relationships" ref="Q392" r:id="rId1251"/>
    <hyperlink xmlns:r="http://schemas.openxmlformats.org/officeDocument/2006/relationships" ref="R392" r:id="rId1252"/>
    <hyperlink xmlns:r="http://schemas.openxmlformats.org/officeDocument/2006/relationships" ref="W392" r:id="rId1253"/>
    <hyperlink xmlns:r="http://schemas.openxmlformats.org/officeDocument/2006/relationships" ref="E393" r:id="rId1254"/>
    <hyperlink xmlns:r="http://schemas.openxmlformats.org/officeDocument/2006/relationships" ref="R393" r:id="rId1255"/>
    <hyperlink xmlns:r="http://schemas.openxmlformats.org/officeDocument/2006/relationships" ref="W393" r:id="rId1256"/>
    <hyperlink xmlns:r="http://schemas.openxmlformats.org/officeDocument/2006/relationships" ref="E394" r:id="rId1257"/>
    <hyperlink xmlns:r="http://schemas.openxmlformats.org/officeDocument/2006/relationships" ref="P394" r:id="rId1258"/>
    <hyperlink xmlns:r="http://schemas.openxmlformats.org/officeDocument/2006/relationships" ref="Q394" r:id="rId1259"/>
    <hyperlink xmlns:r="http://schemas.openxmlformats.org/officeDocument/2006/relationships" ref="R394" r:id="rId1260"/>
    <hyperlink xmlns:r="http://schemas.openxmlformats.org/officeDocument/2006/relationships" ref="W394" r:id="rId1261"/>
    <hyperlink xmlns:r="http://schemas.openxmlformats.org/officeDocument/2006/relationships" ref="E395" r:id="rId1262"/>
    <hyperlink xmlns:r="http://schemas.openxmlformats.org/officeDocument/2006/relationships" ref="P395" r:id="rId1263"/>
    <hyperlink xmlns:r="http://schemas.openxmlformats.org/officeDocument/2006/relationships" ref="Q395" r:id="rId1264"/>
    <hyperlink xmlns:r="http://schemas.openxmlformats.org/officeDocument/2006/relationships" ref="R395" r:id="rId1265"/>
    <hyperlink xmlns:r="http://schemas.openxmlformats.org/officeDocument/2006/relationships" ref="W395" r:id="rId1266"/>
    <hyperlink xmlns:r="http://schemas.openxmlformats.org/officeDocument/2006/relationships" ref="E396" r:id="rId1267"/>
    <hyperlink xmlns:r="http://schemas.openxmlformats.org/officeDocument/2006/relationships" ref="E397" r:id="rId1268"/>
    <hyperlink xmlns:r="http://schemas.openxmlformats.org/officeDocument/2006/relationships" ref="E399" r:id="rId1269"/>
    <hyperlink xmlns:r="http://schemas.openxmlformats.org/officeDocument/2006/relationships" ref="E400" r:id="rId1270"/>
    <hyperlink xmlns:r="http://schemas.openxmlformats.org/officeDocument/2006/relationships" ref="E401" r:id="rId1271"/>
    <hyperlink xmlns:r="http://schemas.openxmlformats.org/officeDocument/2006/relationships" ref="E402" r:id="rId1272"/>
    <hyperlink xmlns:r="http://schemas.openxmlformats.org/officeDocument/2006/relationships" ref="E403" r:id="rId1273"/>
    <hyperlink xmlns:r="http://schemas.openxmlformats.org/officeDocument/2006/relationships" ref="E404" r:id="rId1274"/>
    <hyperlink xmlns:r="http://schemas.openxmlformats.org/officeDocument/2006/relationships" ref="E405" r:id="rId1275"/>
    <hyperlink xmlns:r="http://schemas.openxmlformats.org/officeDocument/2006/relationships" ref="E406" r:id="rId1276"/>
    <hyperlink xmlns:r="http://schemas.openxmlformats.org/officeDocument/2006/relationships" ref="E407" r:id="rId1277"/>
    <hyperlink xmlns:r="http://schemas.openxmlformats.org/officeDocument/2006/relationships" ref="E408" r:id="rId1278"/>
    <hyperlink xmlns:r="http://schemas.openxmlformats.org/officeDocument/2006/relationships" ref="E409" r:id="rId1279"/>
    <hyperlink xmlns:r="http://schemas.openxmlformats.org/officeDocument/2006/relationships" ref="E410" r:id="rId1280"/>
    <hyperlink xmlns:r="http://schemas.openxmlformats.org/officeDocument/2006/relationships" ref="P410" r:id="rId1281"/>
    <hyperlink xmlns:r="http://schemas.openxmlformats.org/officeDocument/2006/relationships" ref="R410" r:id="rId1282"/>
    <hyperlink xmlns:r="http://schemas.openxmlformats.org/officeDocument/2006/relationships" ref="W410" r:id="rId1283"/>
    <hyperlink xmlns:r="http://schemas.openxmlformats.org/officeDocument/2006/relationships" ref="E411" r:id="rId1284"/>
    <hyperlink xmlns:r="http://schemas.openxmlformats.org/officeDocument/2006/relationships" ref="Q411" r:id="rId1285"/>
    <hyperlink xmlns:r="http://schemas.openxmlformats.org/officeDocument/2006/relationships" ref="R411" r:id="rId1286"/>
    <hyperlink xmlns:r="http://schemas.openxmlformats.org/officeDocument/2006/relationships" ref="W411" r:id="rId1287"/>
    <hyperlink xmlns:r="http://schemas.openxmlformats.org/officeDocument/2006/relationships" ref="E412" r:id="rId1288"/>
    <hyperlink xmlns:r="http://schemas.openxmlformats.org/officeDocument/2006/relationships" ref="Q412" r:id="rId1289"/>
    <hyperlink xmlns:r="http://schemas.openxmlformats.org/officeDocument/2006/relationships" ref="R412" r:id="rId1290"/>
    <hyperlink xmlns:r="http://schemas.openxmlformats.org/officeDocument/2006/relationships" ref="W412" r:id="rId1291"/>
    <hyperlink xmlns:r="http://schemas.openxmlformats.org/officeDocument/2006/relationships" ref="E413" r:id="rId1292"/>
    <hyperlink xmlns:r="http://schemas.openxmlformats.org/officeDocument/2006/relationships" ref="R413" r:id="rId1293"/>
    <hyperlink xmlns:r="http://schemas.openxmlformats.org/officeDocument/2006/relationships" ref="W413" r:id="rId1294"/>
    <hyperlink xmlns:r="http://schemas.openxmlformats.org/officeDocument/2006/relationships" ref="E414" r:id="rId1295"/>
    <hyperlink xmlns:r="http://schemas.openxmlformats.org/officeDocument/2006/relationships" ref="R414" r:id="rId1296"/>
    <hyperlink xmlns:r="http://schemas.openxmlformats.org/officeDocument/2006/relationships" ref="W414" r:id="rId1297"/>
    <hyperlink xmlns:r="http://schemas.openxmlformats.org/officeDocument/2006/relationships" ref="E415" r:id="rId1298"/>
    <hyperlink xmlns:r="http://schemas.openxmlformats.org/officeDocument/2006/relationships" ref="W415" r:id="rId1299"/>
    <hyperlink xmlns:r="http://schemas.openxmlformats.org/officeDocument/2006/relationships" ref="E416" r:id="rId1300"/>
    <hyperlink xmlns:r="http://schemas.openxmlformats.org/officeDocument/2006/relationships" ref="R416" r:id="rId1301"/>
    <hyperlink xmlns:r="http://schemas.openxmlformats.org/officeDocument/2006/relationships" ref="W416" r:id="rId1302"/>
    <hyperlink xmlns:r="http://schemas.openxmlformats.org/officeDocument/2006/relationships" ref="E417" r:id="rId1303"/>
    <hyperlink xmlns:r="http://schemas.openxmlformats.org/officeDocument/2006/relationships" ref="P417" r:id="rId1304"/>
    <hyperlink xmlns:r="http://schemas.openxmlformats.org/officeDocument/2006/relationships" ref="R417" r:id="rId1305"/>
    <hyperlink xmlns:r="http://schemas.openxmlformats.org/officeDocument/2006/relationships" ref="W417" r:id="rId1306"/>
    <hyperlink xmlns:r="http://schemas.openxmlformats.org/officeDocument/2006/relationships" ref="E418" r:id="rId1307"/>
    <hyperlink xmlns:r="http://schemas.openxmlformats.org/officeDocument/2006/relationships" ref="P418" r:id="rId1308"/>
    <hyperlink xmlns:r="http://schemas.openxmlformats.org/officeDocument/2006/relationships" ref="R418" r:id="rId1309"/>
    <hyperlink xmlns:r="http://schemas.openxmlformats.org/officeDocument/2006/relationships" ref="W418" r:id="rId1310"/>
    <hyperlink xmlns:r="http://schemas.openxmlformats.org/officeDocument/2006/relationships" ref="E419" r:id="rId1311"/>
    <hyperlink xmlns:r="http://schemas.openxmlformats.org/officeDocument/2006/relationships" ref="R419" r:id="rId1312"/>
    <hyperlink xmlns:r="http://schemas.openxmlformats.org/officeDocument/2006/relationships" ref="W419" r:id="rId1313"/>
    <hyperlink xmlns:r="http://schemas.openxmlformats.org/officeDocument/2006/relationships" ref="E420" r:id="rId1314"/>
    <hyperlink xmlns:r="http://schemas.openxmlformats.org/officeDocument/2006/relationships" ref="R420" r:id="rId1315"/>
    <hyperlink xmlns:r="http://schemas.openxmlformats.org/officeDocument/2006/relationships" ref="W420" r:id="rId1316"/>
    <hyperlink xmlns:r="http://schemas.openxmlformats.org/officeDocument/2006/relationships" ref="E421" r:id="rId1317"/>
    <hyperlink xmlns:r="http://schemas.openxmlformats.org/officeDocument/2006/relationships" ref="W421" r:id="rId1318"/>
    <hyperlink xmlns:r="http://schemas.openxmlformats.org/officeDocument/2006/relationships" ref="E422" r:id="rId1319"/>
    <hyperlink xmlns:r="http://schemas.openxmlformats.org/officeDocument/2006/relationships" ref="R422" r:id="rId1320"/>
    <hyperlink xmlns:r="http://schemas.openxmlformats.org/officeDocument/2006/relationships" ref="W422" r:id="rId1321"/>
    <hyperlink xmlns:r="http://schemas.openxmlformats.org/officeDocument/2006/relationships" ref="D423" r:id="rId1322"/>
    <hyperlink xmlns:r="http://schemas.openxmlformats.org/officeDocument/2006/relationships" ref="E423" r:id="rId1323"/>
    <hyperlink xmlns:r="http://schemas.openxmlformats.org/officeDocument/2006/relationships" ref="P423" r:id="rId1324"/>
    <hyperlink xmlns:r="http://schemas.openxmlformats.org/officeDocument/2006/relationships" ref="R423" r:id="rId1325"/>
    <hyperlink xmlns:r="http://schemas.openxmlformats.org/officeDocument/2006/relationships" ref="S423" r:id="rId1326"/>
    <hyperlink xmlns:r="http://schemas.openxmlformats.org/officeDocument/2006/relationships" ref="W423" r:id="rId1327"/>
    <hyperlink xmlns:r="http://schemas.openxmlformats.org/officeDocument/2006/relationships" ref="E424" r:id="rId1328"/>
    <hyperlink xmlns:r="http://schemas.openxmlformats.org/officeDocument/2006/relationships" ref="P424" r:id="rId1329"/>
    <hyperlink xmlns:r="http://schemas.openxmlformats.org/officeDocument/2006/relationships" ref="R424" r:id="rId1330"/>
    <hyperlink xmlns:r="http://schemas.openxmlformats.org/officeDocument/2006/relationships" ref="W424" r:id="rId1331"/>
    <hyperlink xmlns:r="http://schemas.openxmlformats.org/officeDocument/2006/relationships" ref="E425" r:id="rId1332"/>
    <hyperlink xmlns:r="http://schemas.openxmlformats.org/officeDocument/2006/relationships" ref="R425" r:id="rId1333"/>
    <hyperlink xmlns:r="http://schemas.openxmlformats.org/officeDocument/2006/relationships" ref="W425" r:id="rId1334"/>
    <hyperlink xmlns:r="http://schemas.openxmlformats.org/officeDocument/2006/relationships" ref="E426" r:id="rId1335"/>
    <hyperlink xmlns:r="http://schemas.openxmlformats.org/officeDocument/2006/relationships" ref="Q426" r:id="rId1336"/>
    <hyperlink xmlns:r="http://schemas.openxmlformats.org/officeDocument/2006/relationships" ref="R426" r:id="rId1337"/>
    <hyperlink xmlns:r="http://schemas.openxmlformats.org/officeDocument/2006/relationships" ref="W426" r:id="rId1338"/>
    <hyperlink xmlns:r="http://schemas.openxmlformats.org/officeDocument/2006/relationships" ref="E427" r:id="rId1339"/>
    <hyperlink xmlns:r="http://schemas.openxmlformats.org/officeDocument/2006/relationships" ref="R427" r:id="rId1340"/>
    <hyperlink xmlns:r="http://schemas.openxmlformats.org/officeDocument/2006/relationships" ref="W427" r:id="rId1341"/>
    <hyperlink xmlns:r="http://schemas.openxmlformats.org/officeDocument/2006/relationships" ref="E428" r:id="rId1342"/>
    <hyperlink xmlns:r="http://schemas.openxmlformats.org/officeDocument/2006/relationships" ref="P428" r:id="rId1343"/>
    <hyperlink xmlns:r="http://schemas.openxmlformats.org/officeDocument/2006/relationships" ref="R428" r:id="rId1344"/>
    <hyperlink xmlns:r="http://schemas.openxmlformats.org/officeDocument/2006/relationships" ref="W428" r:id="rId1345"/>
    <hyperlink xmlns:r="http://schemas.openxmlformats.org/officeDocument/2006/relationships" ref="E429" r:id="rId1346"/>
    <hyperlink xmlns:r="http://schemas.openxmlformats.org/officeDocument/2006/relationships" ref="Q429" r:id="rId1347"/>
    <hyperlink xmlns:r="http://schemas.openxmlformats.org/officeDocument/2006/relationships" ref="R429" r:id="rId1348"/>
    <hyperlink xmlns:r="http://schemas.openxmlformats.org/officeDocument/2006/relationships" ref="W429" r:id="rId1349"/>
    <hyperlink xmlns:r="http://schemas.openxmlformats.org/officeDocument/2006/relationships" ref="E430" r:id="rId1350"/>
    <hyperlink xmlns:r="http://schemas.openxmlformats.org/officeDocument/2006/relationships" ref="Q430" r:id="rId1351"/>
    <hyperlink xmlns:r="http://schemas.openxmlformats.org/officeDocument/2006/relationships" ref="R430" r:id="rId1352"/>
    <hyperlink xmlns:r="http://schemas.openxmlformats.org/officeDocument/2006/relationships" ref="W430" r:id="rId1353"/>
    <hyperlink xmlns:r="http://schemas.openxmlformats.org/officeDocument/2006/relationships" ref="E431" r:id="rId1354"/>
    <hyperlink xmlns:r="http://schemas.openxmlformats.org/officeDocument/2006/relationships" ref="R431" r:id="rId1355"/>
    <hyperlink xmlns:r="http://schemas.openxmlformats.org/officeDocument/2006/relationships" ref="W431" r:id="rId1356"/>
    <hyperlink xmlns:r="http://schemas.openxmlformats.org/officeDocument/2006/relationships" ref="E432" r:id="rId1357"/>
    <hyperlink xmlns:r="http://schemas.openxmlformats.org/officeDocument/2006/relationships" ref="R432" r:id="rId1358"/>
    <hyperlink xmlns:r="http://schemas.openxmlformats.org/officeDocument/2006/relationships" ref="W432" r:id="rId1359"/>
    <hyperlink xmlns:r="http://schemas.openxmlformats.org/officeDocument/2006/relationships" ref="E433" r:id="rId1360"/>
    <hyperlink xmlns:r="http://schemas.openxmlformats.org/officeDocument/2006/relationships" ref="E434" r:id="rId1361"/>
    <hyperlink xmlns:r="http://schemas.openxmlformats.org/officeDocument/2006/relationships" ref="E435" r:id="rId1362"/>
    <hyperlink xmlns:r="http://schemas.openxmlformats.org/officeDocument/2006/relationships" ref="E436" r:id="rId1363"/>
    <hyperlink xmlns:r="http://schemas.openxmlformats.org/officeDocument/2006/relationships" ref="E437" r:id="rId1364"/>
    <hyperlink xmlns:r="http://schemas.openxmlformats.org/officeDocument/2006/relationships" ref="P437" r:id="rId1365"/>
    <hyperlink xmlns:r="http://schemas.openxmlformats.org/officeDocument/2006/relationships" ref="Q437" r:id="rId1366"/>
    <hyperlink xmlns:r="http://schemas.openxmlformats.org/officeDocument/2006/relationships" ref="R437" r:id="rId1367"/>
    <hyperlink xmlns:r="http://schemas.openxmlformats.org/officeDocument/2006/relationships" ref="W437" r:id="rId1368"/>
    <hyperlink xmlns:r="http://schemas.openxmlformats.org/officeDocument/2006/relationships" ref="E438" r:id="rId1369"/>
    <hyperlink xmlns:r="http://schemas.openxmlformats.org/officeDocument/2006/relationships" ref="P438" r:id="rId1370"/>
    <hyperlink xmlns:r="http://schemas.openxmlformats.org/officeDocument/2006/relationships" ref="Q438" r:id="rId1371"/>
    <hyperlink xmlns:r="http://schemas.openxmlformats.org/officeDocument/2006/relationships" ref="R438" r:id="rId1372"/>
    <hyperlink xmlns:r="http://schemas.openxmlformats.org/officeDocument/2006/relationships" ref="W438" r:id="rId1373"/>
    <hyperlink xmlns:r="http://schemas.openxmlformats.org/officeDocument/2006/relationships" ref="E439" r:id="rId1374"/>
    <hyperlink xmlns:r="http://schemas.openxmlformats.org/officeDocument/2006/relationships" ref="R439" r:id="rId1375"/>
    <hyperlink xmlns:r="http://schemas.openxmlformats.org/officeDocument/2006/relationships" ref="W439" r:id="rId1376"/>
    <hyperlink xmlns:r="http://schemas.openxmlformats.org/officeDocument/2006/relationships" ref="E440" r:id="rId1377"/>
    <hyperlink xmlns:r="http://schemas.openxmlformats.org/officeDocument/2006/relationships" ref="E441" r:id="rId1378"/>
    <hyperlink xmlns:r="http://schemas.openxmlformats.org/officeDocument/2006/relationships" ref="E442" r:id="rId1379"/>
    <hyperlink xmlns:r="http://schemas.openxmlformats.org/officeDocument/2006/relationships" ref="P442" r:id="rId1380"/>
    <hyperlink xmlns:r="http://schemas.openxmlformats.org/officeDocument/2006/relationships" ref="R442" r:id="rId1381"/>
    <hyperlink xmlns:r="http://schemas.openxmlformats.org/officeDocument/2006/relationships" ref="W442" r:id="rId1382"/>
    <hyperlink xmlns:r="http://schemas.openxmlformats.org/officeDocument/2006/relationships" ref="E443" r:id="rId1383"/>
    <hyperlink xmlns:r="http://schemas.openxmlformats.org/officeDocument/2006/relationships" ref="P443" r:id="rId1384"/>
    <hyperlink xmlns:r="http://schemas.openxmlformats.org/officeDocument/2006/relationships" ref="Q443" r:id="rId1385"/>
    <hyperlink xmlns:r="http://schemas.openxmlformats.org/officeDocument/2006/relationships" ref="R443" r:id="rId1386"/>
    <hyperlink xmlns:r="http://schemas.openxmlformats.org/officeDocument/2006/relationships" ref="W443" r:id="rId1387"/>
    <hyperlink xmlns:r="http://schemas.openxmlformats.org/officeDocument/2006/relationships" ref="E444" r:id="rId1388"/>
    <hyperlink xmlns:r="http://schemas.openxmlformats.org/officeDocument/2006/relationships" ref="R444" r:id="rId1389"/>
    <hyperlink xmlns:r="http://schemas.openxmlformats.org/officeDocument/2006/relationships" ref="W444" r:id="rId1390"/>
    <hyperlink xmlns:r="http://schemas.openxmlformats.org/officeDocument/2006/relationships" ref="E445" r:id="rId1391"/>
    <hyperlink xmlns:r="http://schemas.openxmlformats.org/officeDocument/2006/relationships" ref="E446" r:id="rId1392"/>
    <hyperlink xmlns:r="http://schemas.openxmlformats.org/officeDocument/2006/relationships" ref="P446" r:id="rId1393"/>
    <hyperlink xmlns:r="http://schemas.openxmlformats.org/officeDocument/2006/relationships" ref="W446" r:id="rId1394"/>
    <hyperlink xmlns:r="http://schemas.openxmlformats.org/officeDocument/2006/relationships" ref="E447" r:id="rId1395"/>
    <hyperlink xmlns:r="http://schemas.openxmlformats.org/officeDocument/2006/relationships" ref="E448" r:id="rId1396"/>
    <hyperlink xmlns:r="http://schemas.openxmlformats.org/officeDocument/2006/relationships" ref="R448" r:id="rId1397"/>
    <hyperlink xmlns:r="http://schemas.openxmlformats.org/officeDocument/2006/relationships" ref="W448" r:id="rId1398"/>
    <hyperlink xmlns:r="http://schemas.openxmlformats.org/officeDocument/2006/relationships" ref="E449" r:id="rId1399"/>
    <hyperlink xmlns:r="http://schemas.openxmlformats.org/officeDocument/2006/relationships" ref="P449" r:id="rId1400"/>
    <hyperlink xmlns:r="http://schemas.openxmlformats.org/officeDocument/2006/relationships" ref="R449" r:id="rId1401"/>
    <hyperlink xmlns:r="http://schemas.openxmlformats.org/officeDocument/2006/relationships" ref="W449" r:id="rId1402"/>
    <hyperlink xmlns:r="http://schemas.openxmlformats.org/officeDocument/2006/relationships" ref="E450" r:id="rId1403"/>
    <hyperlink xmlns:r="http://schemas.openxmlformats.org/officeDocument/2006/relationships" ref="W450" r:id="rId1404"/>
    <hyperlink xmlns:r="http://schemas.openxmlformats.org/officeDocument/2006/relationships" ref="E451" r:id="rId1405"/>
    <hyperlink xmlns:r="http://schemas.openxmlformats.org/officeDocument/2006/relationships" ref="Q451" r:id="rId1406"/>
    <hyperlink xmlns:r="http://schemas.openxmlformats.org/officeDocument/2006/relationships" ref="R451" r:id="rId1407"/>
    <hyperlink xmlns:r="http://schemas.openxmlformats.org/officeDocument/2006/relationships" ref="W451" r:id="rId1408"/>
    <hyperlink xmlns:r="http://schemas.openxmlformats.org/officeDocument/2006/relationships" ref="E452" r:id="rId1409"/>
    <hyperlink xmlns:r="http://schemas.openxmlformats.org/officeDocument/2006/relationships" ref="P452" r:id="rId1410"/>
    <hyperlink xmlns:r="http://schemas.openxmlformats.org/officeDocument/2006/relationships" ref="R452" r:id="rId1411"/>
    <hyperlink xmlns:r="http://schemas.openxmlformats.org/officeDocument/2006/relationships" ref="W452" r:id="rId1412"/>
    <hyperlink xmlns:r="http://schemas.openxmlformats.org/officeDocument/2006/relationships" ref="E453" r:id="rId1413"/>
    <hyperlink xmlns:r="http://schemas.openxmlformats.org/officeDocument/2006/relationships" ref="R453" r:id="rId1414"/>
    <hyperlink xmlns:r="http://schemas.openxmlformats.org/officeDocument/2006/relationships" ref="W453" r:id="rId1415"/>
    <hyperlink xmlns:r="http://schemas.openxmlformats.org/officeDocument/2006/relationships" ref="E454" r:id="rId1416"/>
    <hyperlink xmlns:r="http://schemas.openxmlformats.org/officeDocument/2006/relationships" ref="R454" r:id="rId1417"/>
    <hyperlink xmlns:r="http://schemas.openxmlformats.org/officeDocument/2006/relationships" ref="W454" r:id="rId1418"/>
    <hyperlink xmlns:r="http://schemas.openxmlformats.org/officeDocument/2006/relationships" ref="E455" r:id="rId1419"/>
    <hyperlink xmlns:r="http://schemas.openxmlformats.org/officeDocument/2006/relationships" ref="P455" r:id="rId1420"/>
    <hyperlink xmlns:r="http://schemas.openxmlformats.org/officeDocument/2006/relationships" ref="R455" r:id="rId1421"/>
    <hyperlink xmlns:r="http://schemas.openxmlformats.org/officeDocument/2006/relationships" ref="W455" r:id="rId1422"/>
    <hyperlink xmlns:r="http://schemas.openxmlformats.org/officeDocument/2006/relationships" ref="E456" r:id="rId1423"/>
    <hyperlink xmlns:r="http://schemas.openxmlformats.org/officeDocument/2006/relationships" ref="P456" r:id="rId1424"/>
    <hyperlink xmlns:r="http://schemas.openxmlformats.org/officeDocument/2006/relationships" ref="Q456" r:id="rId1425"/>
    <hyperlink xmlns:r="http://schemas.openxmlformats.org/officeDocument/2006/relationships" ref="R456" r:id="rId1426"/>
    <hyperlink xmlns:r="http://schemas.openxmlformats.org/officeDocument/2006/relationships" ref="W456" r:id="rId1427"/>
    <hyperlink xmlns:r="http://schemas.openxmlformats.org/officeDocument/2006/relationships" ref="E457" r:id="rId1428"/>
    <hyperlink xmlns:r="http://schemas.openxmlformats.org/officeDocument/2006/relationships" ref="P457" r:id="rId1429"/>
    <hyperlink xmlns:r="http://schemas.openxmlformats.org/officeDocument/2006/relationships" ref="Q457" r:id="rId1430"/>
    <hyperlink xmlns:r="http://schemas.openxmlformats.org/officeDocument/2006/relationships" ref="R457" r:id="rId1431"/>
    <hyperlink xmlns:r="http://schemas.openxmlformats.org/officeDocument/2006/relationships" ref="W457" r:id="rId1432"/>
    <hyperlink xmlns:r="http://schemas.openxmlformats.org/officeDocument/2006/relationships" ref="E458" r:id="rId1433"/>
    <hyperlink xmlns:r="http://schemas.openxmlformats.org/officeDocument/2006/relationships" ref="P458" r:id="rId1434"/>
    <hyperlink xmlns:r="http://schemas.openxmlformats.org/officeDocument/2006/relationships" ref="R458" r:id="rId1435"/>
    <hyperlink xmlns:r="http://schemas.openxmlformats.org/officeDocument/2006/relationships" ref="W458" r:id="rId1436"/>
    <hyperlink xmlns:r="http://schemas.openxmlformats.org/officeDocument/2006/relationships" ref="E459" r:id="rId1437"/>
    <hyperlink xmlns:r="http://schemas.openxmlformats.org/officeDocument/2006/relationships" ref="P459" r:id="rId1438"/>
    <hyperlink xmlns:r="http://schemas.openxmlformats.org/officeDocument/2006/relationships" ref="Q459" r:id="rId1439"/>
    <hyperlink xmlns:r="http://schemas.openxmlformats.org/officeDocument/2006/relationships" ref="R459" r:id="rId1440"/>
    <hyperlink xmlns:r="http://schemas.openxmlformats.org/officeDocument/2006/relationships" ref="W459" r:id="rId1441"/>
    <hyperlink xmlns:r="http://schemas.openxmlformats.org/officeDocument/2006/relationships" ref="E460" r:id="rId1442"/>
    <hyperlink xmlns:r="http://schemas.openxmlformats.org/officeDocument/2006/relationships" ref="P460" r:id="rId1443"/>
    <hyperlink xmlns:r="http://schemas.openxmlformats.org/officeDocument/2006/relationships" ref="Q460" r:id="rId1444"/>
    <hyperlink xmlns:r="http://schemas.openxmlformats.org/officeDocument/2006/relationships" ref="R460" r:id="rId1445"/>
    <hyperlink xmlns:r="http://schemas.openxmlformats.org/officeDocument/2006/relationships" ref="W460" r:id="rId1446"/>
    <hyperlink xmlns:r="http://schemas.openxmlformats.org/officeDocument/2006/relationships" ref="E461" r:id="rId1447"/>
    <hyperlink xmlns:r="http://schemas.openxmlformats.org/officeDocument/2006/relationships" ref="R461" r:id="rId1448"/>
    <hyperlink xmlns:r="http://schemas.openxmlformats.org/officeDocument/2006/relationships" ref="W461" r:id="rId1449"/>
    <hyperlink xmlns:r="http://schemas.openxmlformats.org/officeDocument/2006/relationships" ref="E462" r:id="rId1450"/>
    <hyperlink xmlns:r="http://schemas.openxmlformats.org/officeDocument/2006/relationships" ref="P462" r:id="rId1451"/>
    <hyperlink xmlns:r="http://schemas.openxmlformats.org/officeDocument/2006/relationships" ref="Q462" r:id="rId1452"/>
    <hyperlink xmlns:r="http://schemas.openxmlformats.org/officeDocument/2006/relationships" ref="R462" r:id="rId1453"/>
    <hyperlink xmlns:r="http://schemas.openxmlformats.org/officeDocument/2006/relationships" ref="W462" r:id="rId1454"/>
    <hyperlink xmlns:r="http://schemas.openxmlformats.org/officeDocument/2006/relationships" ref="E463" r:id="rId1455"/>
    <hyperlink xmlns:r="http://schemas.openxmlformats.org/officeDocument/2006/relationships" ref="P463" r:id="rId1456"/>
    <hyperlink xmlns:r="http://schemas.openxmlformats.org/officeDocument/2006/relationships" ref="Q463" r:id="rId1457"/>
    <hyperlink xmlns:r="http://schemas.openxmlformats.org/officeDocument/2006/relationships" ref="R463" r:id="rId1458"/>
    <hyperlink xmlns:r="http://schemas.openxmlformats.org/officeDocument/2006/relationships" ref="W463" r:id="rId1459"/>
    <hyperlink xmlns:r="http://schemas.openxmlformats.org/officeDocument/2006/relationships" ref="E464" r:id="rId1460"/>
    <hyperlink xmlns:r="http://schemas.openxmlformats.org/officeDocument/2006/relationships" ref="P464" r:id="rId1461"/>
    <hyperlink xmlns:r="http://schemas.openxmlformats.org/officeDocument/2006/relationships" ref="Q464" r:id="rId1462"/>
    <hyperlink xmlns:r="http://schemas.openxmlformats.org/officeDocument/2006/relationships" ref="R464" r:id="rId1463"/>
    <hyperlink xmlns:r="http://schemas.openxmlformats.org/officeDocument/2006/relationships" ref="W464" r:id="rId1464"/>
    <hyperlink xmlns:r="http://schemas.openxmlformats.org/officeDocument/2006/relationships" ref="E465" r:id="rId1465"/>
    <hyperlink xmlns:r="http://schemas.openxmlformats.org/officeDocument/2006/relationships" ref="P465" r:id="rId1466"/>
    <hyperlink xmlns:r="http://schemas.openxmlformats.org/officeDocument/2006/relationships" ref="Q465" r:id="rId1467"/>
    <hyperlink xmlns:r="http://schemas.openxmlformats.org/officeDocument/2006/relationships" ref="R465" r:id="rId1468"/>
    <hyperlink xmlns:r="http://schemas.openxmlformats.org/officeDocument/2006/relationships" ref="W465" r:id="rId1469"/>
    <hyperlink xmlns:r="http://schemas.openxmlformats.org/officeDocument/2006/relationships" ref="E466" r:id="rId1470"/>
    <hyperlink xmlns:r="http://schemas.openxmlformats.org/officeDocument/2006/relationships" ref="R466" r:id="rId1471"/>
    <hyperlink xmlns:r="http://schemas.openxmlformats.org/officeDocument/2006/relationships" ref="W466" r:id="rId1472"/>
    <hyperlink xmlns:r="http://schemas.openxmlformats.org/officeDocument/2006/relationships" ref="E467" r:id="rId1473"/>
    <hyperlink xmlns:r="http://schemas.openxmlformats.org/officeDocument/2006/relationships" ref="P467" r:id="rId1474"/>
    <hyperlink xmlns:r="http://schemas.openxmlformats.org/officeDocument/2006/relationships" ref="R467" r:id="rId1475"/>
    <hyperlink xmlns:r="http://schemas.openxmlformats.org/officeDocument/2006/relationships" ref="W467" r:id="rId1476"/>
    <hyperlink xmlns:r="http://schemas.openxmlformats.org/officeDocument/2006/relationships" ref="E468" r:id="rId1477"/>
    <hyperlink xmlns:r="http://schemas.openxmlformats.org/officeDocument/2006/relationships" ref="R468" r:id="rId1478"/>
    <hyperlink xmlns:r="http://schemas.openxmlformats.org/officeDocument/2006/relationships" ref="W468" r:id="rId1479"/>
    <hyperlink xmlns:r="http://schemas.openxmlformats.org/officeDocument/2006/relationships" ref="E469" r:id="rId1480"/>
    <hyperlink xmlns:r="http://schemas.openxmlformats.org/officeDocument/2006/relationships" ref="R469" r:id="rId1481"/>
    <hyperlink xmlns:r="http://schemas.openxmlformats.org/officeDocument/2006/relationships" ref="W469" r:id="rId1482"/>
    <hyperlink xmlns:r="http://schemas.openxmlformats.org/officeDocument/2006/relationships" ref="E470" r:id="rId1483"/>
    <hyperlink xmlns:r="http://schemas.openxmlformats.org/officeDocument/2006/relationships" ref="R470" r:id="rId1484"/>
    <hyperlink xmlns:r="http://schemas.openxmlformats.org/officeDocument/2006/relationships" ref="W470" r:id="rId1485"/>
    <hyperlink xmlns:r="http://schemas.openxmlformats.org/officeDocument/2006/relationships" ref="E471" r:id="rId1486"/>
    <hyperlink xmlns:r="http://schemas.openxmlformats.org/officeDocument/2006/relationships" ref="R471" r:id="rId1487"/>
    <hyperlink xmlns:r="http://schemas.openxmlformats.org/officeDocument/2006/relationships" ref="E472" r:id="rId1488"/>
    <hyperlink xmlns:r="http://schemas.openxmlformats.org/officeDocument/2006/relationships" ref="P472" r:id="rId1489"/>
    <hyperlink xmlns:r="http://schemas.openxmlformats.org/officeDocument/2006/relationships" ref="R472" r:id="rId1490"/>
    <hyperlink xmlns:r="http://schemas.openxmlformats.org/officeDocument/2006/relationships" ref="W472" r:id="rId1491"/>
    <hyperlink xmlns:r="http://schemas.openxmlformats.org/officeDocument/2006/relationships" ref="E473" r:id="rId1492"/>
    <hyperlink xmlns:r="http://schemas.openxmlformats.org/officeDocument/2006/relationships" ref="R473" r:id="rId1493"/>
    <hyperlink xmlns:r="http://schemas.openxmlformats.org/officeDocument/2006/relationships" ref="E474" r:id="rId1494"/>
    <hyperlink xmlns:r="http://schemas.openxmlformats.org/officeDocument/2006/relationships" ref="R474" r:id="rId1495"/>
    <hyperlink xmlns:r="http://schemas.openxmlformats.org/officeDocument/2006/relationships" ref="W474" r:id="rId1496"/>
    <hyperlink xmlns:r="http://schemas.openxmlformats.org/officeDocument/2006/relationships" ref="E475" r:id="rId1497"/>
    <hyperlink xmlns:r="http://schemas.openxmlformats.org/officeDocument/2006/relationships" ref="R475" r:id="rId1498"/>
    <hyperlink xmlns:r="http://schemas.openxmlformats.org/officeDocument/2006/relationships" ref="W475" r:id="rId1499"/>
    <hyperlink xmlns:r="http://schemas.openxmlformats.org/officeDocument/2006/relationships" ref="E476" r:id="rId1500"/>
    <hyperlink xmlns:r="http://schemas.openxmlformats.org/officeDocument/2006/relationships" ref="P476" r:id="rId1501"/>
    <hyperlink xmlns:r="http://schemas.openxmlformats.org/officeDocument/2006/relationships" ref="R476" r:id="rId1502"/>
    <hyperlink xmlns:r="http://schemas.openxmlformats.org/officeDocument/2006/relationships" ref="W476" r:id="rId1503"/>
    <hyperlink xmlns:r="http://schemas.openxmlformats.org/officeDocument/2006/relationships" ref="E477" location="/landing/home" r:id="rId1504"/>
    <hyperlink xmlns:r="http://schemas.openxmlformats.org/officeDocument/2006/relationships" ref="P477" r:id="rId1505"/>
    <hyperlink xmlns:r="http://schemas.openxmlformats.org/officeDocument/2006/relationships" ref="R477" r:id="rId1506"/>
    <hyperlink xmlns:r="http://schemas.openxmlformats.org/officeDocument/2006/relationships" ref="W477" r:id="rId1507"/>
    <hyperlink xmlns:r="http://schemas.openxmlformats.org/officeDocument/2006/relationships" ref="E478" r:id="rId1508"/>
    <hyperlink xmlns:r="http://schemas.openxmlformats.org/officeDocument/2006/relationships" ref="R478" r:id="rId1509"/>
    <hyperlink xmlns:r="http://schemas.openxmlformats.org/officeDocument/2006/relationships" ref="W478" r:id="rId1510"/>
    <hyperlink xmlns:r="http://schemas.openxmlformats.org/officeDocument/2006/relationships" ref="E479" r:id="rId1511"/>
    <hyperlink xmlns:r="http://schemas.openxmlformats.org/officeDocument/2006/relationships" ref="R479" r:id="rId1512"/>
    <hyperlink xmlns:r="http://schemas.openxmlformats.org/officeDocument/2006/relationships" ref="W479" r:id="rId1513"/>
    <hyperlink xmlns:r="http://schemas.openxmlformats.org/officeDocument/2006/relationships" ref="E480" r:id="rId1514"/>
    <hyperlink xmlns:r="http://schemas.openxmlformats.org/officeDocument/2006/relationships" ref="Q480" r:id="rId1515"/>
    <hyperlink xmlns:r="http://schemas.openxmlformats.org/officeDocument/2006/relationships" ref="R480" r:id="rId1516"/>
    <hyperlink xmlns:r="http://schemas.openxmlformats.org/officeDocument/2006/relationships" ref="W480" r:id="rId1517"/>
    <hyperlink xmlns:r="http://schemas.openxmlformats.org/officeDocument/2006/relationships" ref="E481" r:id="rId1518"/>
    <hyperlink xmlns:r="http://schemas.openxmlformats.org/officeDocument/2006/relationships" ref="P481" r:id="rId1519"/>
    <hyperlink xmlns:r="http://schemas.openxmlformats.org/officeDocument/2006/relationships" ref="R481" r:id="rId1520"/>
    <hyperlink xmlns:r="http://schemas.openxmlformats.org/officeDocument/2006/relationships" ref="W481" r:id="rId1521"/>
    <hyperlink xmlns:r="http://schemas.openxmlformats.org/officeDocument/2006/relationships" ref="E482" r:id="rId1522"/>
    <hyperlink xmlns:r="http://schemas.openxmlformats.org/officeDocument/2006/relationships" ref="R482" r:id="rId1523"/>
    <hyperlink xmlns:r="http://schemas.openxmlformats.org/officeDocument/2006/relationships" ref="W482" r:id="rId1524"/>
    <hyperlink xmlns:r="http://schemas.openxmlformats.org/officeDocument/2006/relationships" ref="E483" r:id="rId1525"/>
    <hyperlink xmlns:r="http://schemas.openxmlformats.org/officeDocument/2006/relationships" ref="P483" r:id="rId1526"/>
    <hyperlink xmlns:r="http://schemas.openxmlformats.org/officeDocument/2006/relationships" ref="R483" r:id="rId1527"/>
    <hyperlink xmlns:r="http://schemas.openxmlformats.org/officeDocument/2006/relationships" ref="W483" r:id="rId1528"/>
    <hyperlink xmlns:r="http://schemas.openxmlformats.org/officeDocument/2006/relationships" ref="E484" r:id="rId1529"/>
    <hyperlink xmlns:r="http://schemas.openxmlformats.org/officeDocument/2006/relationships" ref="P484" r:id="rId1530"/>
    <hyperlink xmlns:r="http://schemas.openxmlformats.org/officeDocument/2006/relationships" ref="Q484" r:id="rId1531"/>
    <hyperlink xmlns:r="http://schemas.openxmlformats.org/officeDocument/2006/relationships" ref="R484" r:id="rId1532"/>
    <hyperlink xmlns:r="http://schemas.openxmlformats.org/officeDocument/2006/relationships" ref="W484" r:id="rId1533"/>
    <hyperlink xmlns:r="http://schemas.openxmlformats.org/officeDocument/2006/relationships" ref="E485" r:id="rId1534"/>
    <hyperlink xmlns:r="http://schemas.openxmlformats.org/officeDocument/2006/relationships" ref="Q485" r:id="rId1535"/>
    <hyperlink xmlns:r="http://schemas.openxmlformats.org/officeDocument/2006/relationships" ref="R485" r:id="rId1536"/>
    <hyperlink xmlns:r="http://schemas.openxmlformats.org/officeDocument/2006/relationships" ref="W485" r:id="rId1537"/>
    <hyperlink xmlns:r="http://schemas.openxmlformats.org/officeDocument/2006/relationships" ref="D486" r:id="rId1538"/>
    <hyperlink xmlns:r="http://schemas.openxmlformats.org/officeDocument/2006/relationships" ref="E486" r:id="rId1539"/>
    <hyperlink xmlns:r="http://schemas.openxmlformats.org/officeDocument/2006/relationships" ref="W486" r:id="rId1540"/>
    <hyperlink xmlns:r="http://schemas.openxmlformats.org/officeDocument/2006/relationships" ref="E487" r:id="rId1541"/>
    <hyperlink xmlns:r="http://schemas.openxmlformats.org/officeDocument/2006/relationships" ref="R487" r:id="rId1542"/>
    <hyperlink xmlns:r="http://schemas.openxmlformats.org/officeDocument/2006/relationships" ref="W487" r:id="rId1543"/>
    <hyperlink xmlns:r="http://schemas.openxmlformats.org/officeDocument/2006/relationships" ref="E488" r:id="rId1544"/>
    <hyperlink xmlns:r="http://schemas.openxmlformats.org/officeDocument/2006/relationships" ref="W488" r:id="rId1545"/>
    <hyperlink xmlns:r="http://schemas.openxmlformats.org/officeDocument/2006/relationships" ref="E489" r:id="rId1546"/>
    <hyperlink xmlns:r="http://schemas.openxmlformats.org/officeDocument/2006/relationships" ref="Q489" r:id="rId1547"/>
    <hyperlink xmlns:r="http://schemas.openxmlformats.org/officeDocument/2006/relationships" ref="R489" r:id="rId1548"/>
    <hyperlink xmlns:r="http://schemas.openxmlformats.org/officeDocument/2006/relationships" ref="W489" r:id="rId1549"/>
    <hyperlink xmlns:r="http://schemas.openxmlformats.org/officeDocument/2006/relationships" ref="E490" r:id="rId1550"/>
    <hyperlink xmlns:r="http://schemas.openxmlformats.org/officeDocument/2006/relationships" ref="R490" r:id="rId1551"/>
    <hyperlink xmlns:r="http://schemas.openxmlformats.org/officeDocument/2006/relationships" ref="W490" r:id="rId1552"/>
    <hyperlink xmlns:r="http://schemas.openxmlformats.org/officeDocument/2006/relationships" ref="E491" r:id="rId1553"/>
    <hyperlink xmlns:r="http://schemas.openxmlformats.org/officeDocument/2006/relationships" ref="P491" r:id="rId1554"/>
    <hyperlink xmlns:r="http://schemas.openxmlformats.org/officeDocument/2006/relationships" ref="R491" r:id="rId1555"/>
    <hyperlink xmlns:r="http://schemas.openxmlformats.org/officeDocument/2006/relationships" ref="W491" r:id="rId1556"/>
    <hyperlink xmlns:r="http://schemas.openxmlformats.org/officeDocument/2006/relationships" ref="E492" r:id="rId1557"/>
    <hyperlink xmlns:r="http://schemas.openxmlformats.org/officeDocument/2006/relationships" ref="W492" r:id="rId1558"/>
    <hyperlink xmlns:r="http://schemas.openxmlformats.org/officeDocument/2006/relationships" ref="E493" r:id="rId1559"/>
    <hyperlink xmlns:r="http://schemas.openxmlformats.org/officeDocument/2006/relationships" ref="R493" r:id="rId1560"/>
    <hyperlink xmlns:r="http://schemas.openxmlformats.org/officeDocument/2006/relationships" ref="W493" r:id="rId1561"/>
    <hyperlink xmlns:r="http://schemas.openxmlformats.org/officeDocument/2006/relationships" ref="E494" r:id="rId1562"/>
    <hyperlink xmlns:r="http://schemas.openxmlformats.org/officeDocument/2006/relationships" ref="P494" r:id="rId1563"/>
    <hyperlink xmlns:r="http://schemas.openxmlformats.org/officeDocument/2006/relationships" ref="R494" r:id="rId1564"/>
    <hyperlink xmlns:r="http://schemas.openxmlformats.org/officeDocument/2006/relationships" ref="W494" r:id="rId1565"/>
    <hyperlink xmlns:r="http://schemas.openxmlformats.org/officeDocument/2006/relationships" ref="E495" r:id="rId1566"/>
    <hyperlink xmlns:r="http://schemas.openxmlformats.org/officeDocument/2006/relationships" ref="P495" r:id="rId1567"/>
    <hyperlink xmlns:r="http://schemas.openxmlformats.org/officeDocument/2006/relationships" ref="Q495" r:id="rId1568"/>
    <hyperlink xmlns:r="http://schemas.openxmlformats.org/officeDocument/2006/relationships" ref="R495" r:id="rId1569"/>
    <hyperlink xmlns:r="http://schemas.openxmlformats.org/officeDocument/2006/relationships" ref="W495" r:id="rId1570"/>
    <hyperlink xmlns:r="http://schemas.openxmlformats.org/officeDocument/2006/relationships" ref="E496" r:id="rId1571"/>
    <hyperlink xmlns:r="http://schemas.openxmlformats.org/officeDocument/2006/relationships" ref="R496" r:id="rId1572"/>
    <hyperlink xmlns:r="http://schemas.openxmlformats.org/officeDocument/2006/relationships" ref="W496" r:id="rId1573"/>
    <hyperlink xmlns:r="http://schemas.openxmlformats.org/officeDocument/2006/relationships" ref="E497" r:id="rId1574"/>
    <hyperlink xmlns:r="http://schemas.openxmlformats.org/officeDocument/2006/relationships" ref="R497" r:id="rId1575"/>
    <hyperlink xmlns:r="http://schemas.openxmlformats.org/officeDocument/2006/relationships" ref="W497" r:id="rId1576"/>
    <hyperlink xmlns:r="http://schemas.openxmlformats.org/officeDocument/2006/relationships" ref="E498" r:id="rId1577"/>
    <hyperlink xmlns:r="http://schemas.openxmlformats.org/officeDocument/2006/relationships" ref="E499" r:id="rId1578"/>
    <hyperlink xmlns:r="http://schemas.openxmlformats.org/officeDocument/2006/relationships" ref="W499" r:id="rId1579"/>
    <hyperlink xmlns:r="http://schemas.openxmlformats.org/officeDocument/2006/relationships" ref="E500" r:id="rId1580"/>
    <hyperlink xmlns:r="http://schemas.openxmlformats.org/officeDocument/2006/relationships" ref="W500" r:id="rId1581"/>
    <hyperlink xmlns:r="http://schemas.openxmlformats.org/officeDocument/2006/relationships" ref="E501" r:id="rId1582"/>
    <hyperlink xmlns:r="http://schemas.openxmlformats.org/officeDocument/2006/relationships" ref="W501" r:id="rId1583"/>
    <hyperlink xmlns:r="http://schemas.openxmlformats.org/officeDocument/2006/relationships" ref="E502" r:id="rId1584"/>
    <hyperlink xmlns:r="http://schemas.openxmlformats.org/officeDocument/2006/relationships" ref="W502" r:id="rId1585"/>
    <hyperlink xmlns:r="http://schemas.openxmlformats.org/officeDocument/2006/relationships" ref="E503" r:id="rId1586"/>
    <hyperlink xmlns:r="http://schemas.openxmlformats.org/officeDocument/2006/relationships" ref="W503" r:id="rId1587"/>
    <hyperlink xmlns:r="http://schemas.openxmlformats.org/officeDocument/2006/relationships" ref="E504" r:id="rId1588"/>
    <hyperlink xmlns:r="http://schemas.openxmlformats.org/officeDocument/2006/relationships" ref="Q504" r:id="rId1589"/>
    <hyperlink xmlns:r="http://schemas.openxmlformats.org/officeDocument/2006/relationships" ref="R504" r:id="rId1590"/>
    <hyperlink xmlns:r="http://schemas.openxmlformats.org/officeDocument/2006/relationships" ref="W504" r:id="rId1591"/>
    <hyperlink xmlns:r="http://schemas.openxmlformats.org/officeDocument/2006/relationships" ref="E505" r:id="rId1592"/>
    <hyperlink xmlns:r="http://schemas.openxmlformats.org/officeDocument/2006/relationships" ref="W505" r:id="rId1593"/>
    <hyperlink xmlns:r="http://schemas.openxmlformats.org/officeDocument/2006/relationships" ref="E506" r:id="rId1594"/>
    <hyperlink xmlns:r="http://schemas.openxmlformats.org/officeDocument/2006/relationships" ref="W506" r:id="rId1595"/>
    <hyperlink xmlns:r="http://schemas.openxmlformats.org/officeDocument/2006/relationships" ref="E507" r:id="rId1596"/>
    <hyperlink xmlns:r="http://schemas.openxmlformats.org/officeDocument/2006/relationships" ref="P507" r:id="rId1597"/>
    <hyperlink xmlns:r="http://schemas.openxmlformats.org/officeDocument/2006/relationships" ref="Q507" r:id="rId1598"/>
    <hyperlink xmlns:r="http://schemas.openxmlformats.org/officeDocument/2006/relationships" ref="R507" r:id="rId1599"/>
    <hyperlink xmlns:r="http://schemas.openxmlformats.org/officeDocument/2006/relationships" ref="W507" r:id="rId1600"/>
    <hyperlink xmlns:r="http://schemas.openxmlformats.org/officeDocument/2006/relationships" ref="E508" r:id="rId1601"/>
    <hyperlink xmlns:r="http://schemas.openxmlformats.org/officeDocument/2006/relationships" ref="P508" r:id="rId1602"/>
    <hyperlink xmlns:r="http://schemas.openxmlformats.org/officeDocument/2006/relationships" ref="R508" r:id="rId1603"/>
    <hyperlink xmlns:r="http://schemas.openxmlformats.org/officeDocument/2006/relationships" ref="W508" r:id="rId1604"/>
    <hyperlink xmlns:r="http://schemas.openxmlformats.org/officeDocument/2006/relationships" ref="E509" r:id="rId1605"/>
    <hyperlink xmlns:r="http://schemas.openxmlformats.org/officeDocument/2006/relationships" ref="P509" r:id="rId1606"/>
    <hyperlink xmlns:r="http://schemas.openxmlformats.org/officeDocument/2006/relationships" ref="R509" r:id="rId1607"/>
    <hyperlink xmlns:r="http://schemas.openxmlformats.org/officeDocument/2006/relationships" ref="W509" r:id="rId1608"/>
    <hyperlink xmlns:r="http://schemas.openxmlformats.org/officeDocument/2006/relationships" ref="E510" r:id="rId1609"/>
    <hyperlink xmlns:r="http://schemas.openxmlformats.org/officeDocument/2006/relationships" ref="W510" r:id="rId1610"/>
    <hyperlink xmlns:r="http://schemas.openxmlformats.org/officeDocument/2006/relationships" ref="E511" r:id="rId1611"/>
    <hyperlink xmlns:r="http://schemas.openxmlformats.org/officeDocument/2006/relationships" ref="W511" r:id="rId1612"/>
    <hyperlink xmlns:r="http://schemas.openxmlformats.org/officeDocument/2006/relationships" ref="E512" r:id="rId1613"/>
    <hyperlink xmlns:r="http://schemas.openxmlformats.org/officeDocument/2006/relationships" ref="R512" r:id="rId1614"/>
    <hyperlink xmlns:r="http://schemas.openxmlformats.org/officeDocument/2006/relationships" ref="W512" r:id="rId1615"/>
    <hyperlink xmlns:r="http://schemas.openxmlformats.org/officeDocument/2006/relationships" ref="E513" r:id="rId1616"/>
    <hyperlink xmlns:r="http://schemas.openxmlformats.org/officeDocument/2006/relationships" ref="T513" r:id="rId1617"/>
    <hyperlink xmlns:r="http://schemas.openxmlformats.org/officeDocument/2006/relationships" ref="V513" r:id="rId1618"/>
    <hyperlink xmlns:r="http://schemas.openxmlformats.org/officeDocument/2006/relationships" ref="W513" r:id="rId1619"/>
    <hyperlink xmlns:r="http://schemas.openxmlformats.org/officeDocument/2006/relationships" ref="E514" r:id="rId1620"/>
    <hyperlink xmlns:r="http://schemas.openxmlformats.org/officeDocument/2006/relationships" ref="P514" r:id="rId1621"/>
    <hyperlink xmlns:r="http://schemas.openxmlformats.org/officeDocument/2006/relationships" ref="R514" r:id="rId1622"/>
    <hyperlink xmlns:r="http://schemas.openxmlformats.org/officeDocument/2006/relationships" ref="W514" r:id="rId1623"/>
    <hyperlink xmlns:r="http://schemas.openxmlformats.org/officeDocument/2006/relationships" ref="E515" r:id="rId1624"/>
    <hyperlink xmlns:r="http://schemas.openxmlformats.org/officeDocument/2006/relationships" ref="S515" r:id="rId1625"/>
    <hyperlink xmlns:r="http://schemas.openxmlformats.org/officeDocument/2006/relationships" ref="W515" r:id="rId1626"/>
    <hyperlink xmlns:r="http://schemas.openxmlformats.org/officeDocument/2006/relationships" ref="E516" r:id="rId1627"/>
    <hyperlink xmlns:r="http://schemas.openxmlformats.org/officeDocument/2006/relationships" ref="P516" r:id="rId1628"/>
    <hyperlink xmlns:r="http://schemas.openxmlformats.org/officeDocument/2006/relationships" ref="R516" r:id="rId1629"/>
    <hyperlink xmlns:r="http://schemas.openxmlformats.org/officeDocument/2006/relationships" ref="W516" r:id="rId1630"/>
    <hyperlink xmlns:r="http://schemas.openxmlformats.org/officeDocument/2006/relationships" ref="E517" r:id="rId1631"/>
    <hyperlink xmlns:r="http://schemas.openxmlformats.org/officeDocument/2006/relationships" ref="P517" r:id="rId1632"/>
    <hyperlink xmlns:r="http://schemas.openxmlformats.org/officeDocument/2006/relationships" ref="Q517" r:id="rId1633"/>
    <hyperlink xmlns:r="http://schemas.openxmlformats.org/officeDocument/2006/relationships" ref="R517" r:id="rId1634"/>
    <hyperlink xmlns:r="http://schemas.openxmlformats.org/officeDocument/2006/relationships" ref="W517" r:id="rId1635"/>
    <hyperlink xmlns:r="http://schemas.openxmlformats.org/officeDocument/2006/relationships" ref="E518" r:id="rId1636"/>
    <hyperlink xmlns:r="http://schemas.openxmlformats.org/officeDocument/2006/relationships" ref="Q518" r:id="rId1637"/>
    <hyperlink xmlns:r="http://schemas.openxmlformats.org/officeDocument/2006/relationships" ref="R518" r:id="rId1638"/>
    <hyperlink xmlns:r="http://schemas.openxmlformats.org/officeDocument/2006/relationships" ref="W518" r:id="rId1639"/>
    <hyperlink xmlns:r="http://schemas.openxmlformats.org/officeDocument/2006/relationships" ref="E519" r:id="rId1640"/>
    <hyperlink xmlns:r="http://schemas.openxmlformats.org/officeDocument/2006/relationships" ref="R519" r:id="rId1641"/>
    <hyperlink xmlns:r="http://schemas.openxmlformats.org/officeDocument/2006/relationships" ref="W519" r:id="rId1642"/>
    <hyperlink xmlns:r="http://schemas.openxmlformats.org/officeDocument/2006/relationships" ref="E520" r:id="rId1643"/>
    <hyperlink xmlns:r="http://schemas.openxmlformats.org/officeDocument/2006/relationships" ref="R520" r:id="rId1644"/>
    <hyperlink xmlns:r="http://schemas.openxmlformats.org/officeDocument/2006/relationships" ref="W520" r:id="rId1645"/>
    <hyperlink xmlns:r="http://schemas.openxmlformats.org/officeDocument/2006/relationships" ref="E521" r:id="rId1646"/>
    <hyperlink xmlns:r="http://schemas.openxmlformats.org/officeDocument/2006/relationships" ref="P521" r:id="rId1647"/>
    <hyperlink xmlns:r="http://schemas.openxmlformats.org/officeDocument/2006/relationships" ref="R521" r:id="rId1648"/>
    <hyperlink xmlns:r="http://schemas.openxmlformats.org/officeDocument/2006/relationships" ref="W521" r:id="rId1649"/>
    <hyperlink xmlns:r="http://schemas.openxmlformats.org/officeDocument/2006/relationships" ref="E522" r:id="rId1650"/>
    <hyperlink xmlns:r="http://schemas.openxmlformats.org/officeDocument/2006/relationships" ref="P522" r:id="rId1651"/>
    <hyperlink xmlns:r="http://schemas.openxmlformats.org/officeDocument/2006/relationships" ref="W522" r:id="rId1652"/>
    <hyperlink xmlns:r="http://schemas.openxmlformats.org/officeDocument/2006/relationships" ref="E523" r:id="rId1653"/>
    <hyperlink xmlns:r="http://schemas.openxmlformats.org/officeDocument/2006/relationships" ref="P523" r:id="rId1654"/>
    <hyperlink xmlns:r="http://schemas.openxmlformats.org/officeDocument/2006/relationships" ref="Q523" r:id="rId1655"/>
    <hyperlink xmlns:r="http://schemas.openxmlformats.org/officeDocument/2006/relationships" ref="R523" r:id="rId1656"/>
    <hyperlink xmlns:r="http://schemas.openxmlformats.org/officeDocument/2006/relationships" ref="W523" r:id="rId1657"/>
    <hyperlink xmlns:r="http://schemas.openxmlformats.org/officeDocument/2006/relationships" ref="E524" r:id="rId1658"/>
    <hyperlink xmlns:r="http://schemas.openxmlformats.org/officeDocument/2006/relationships" ref="P524" r:id="rId1659"/>
    <hyperlink xmlns:r="http://schemas.openxmlformats.org/officeDocument/2006/relationships" ref="R524" r:id="rId1660"/>
    <hyperlink xmlns:r="http://schemas.openxmlformats.org/officeDocument/2006/relationships" ref="W524" r:id="rId1661"/>
    <hyperlink xmlns:r="http://schemas.openxmlformats.org/officeDocument/2006/relationships" ref="E525" r:id="rId1662"/>
    <hyperlink xmlns:r="http://schemas.openxmlformats.org/officeDocument/2006/relationships" ref="W525" r:id="rId1663"/>
    <hyperlink xmlns:r="http://schemas.openxmlformats.org/officeDocument/2006/relationships" ref="E526" r:id="rId1664"/>
    <hyperlink xmlns:r="http://schemas.openxmlformats.org/officeDocument/2006/relationships" ref="W526" r:id="rId1665"/>
    <hyperlink xmlns:r="http://schemas.openxmlformats.org/officeDocument/2006/relationships" ref="E527" r:id="rId1666"/>
    <hyperlink xmlns:r="http://schemas.openxmlformats.org/officeDocument/2006/relationships" ref="P527" r:id="rId1667"/>
    <hyperlink xmlns:r="http://schemas.openxmlformats.org/officeDocument/2006/relationships" ref="R527" r:id="rId1668"/>
    <hyperlink xmlns:r="http://schemas.openxmlformats.org/officeDocument/2006/relationships" ref="W527" r:id="rId1669"/>
    <hyperlink xmlns:r="http://schemas.openxmlformats.org/officeDocument/2006/relationships" ref="E528" r:id="rId1670"/>
    <hyperlink xmlns:r="http://schemas.openxmlformats.org/officeDocument/2006/relationships" ref="R528" r:id="rId1671"/>
    <hyperlink xmlns:r="http://schemas.openxmlformats.org/officeDocument/2006/relationships" ref="W528" r:id="rId1672"/>
    <hyperlink xmlns:r="http://schemas.openxmlformats.org/officeDocument/2006/relationships" ref="E529" r:id="rId1673"/>
    <hyperlink xmlns:r="http://schemas.openxmlformats.org/officeDocument/2006/relationships" ref="Q529" r:id="rId1674"/>
    <hyperlink xmlns:r="http://schemas.openxmlformats.org/officeDocument/2006/relationships" ref="R529" r:id="rId1675"/>
    <hyperlink xmlns:r="http://schemas.openxmlformats.org/officeDocument/2006/relationships" ref="W529" r:id="rId1676"/>
    <hyperlink xmlns:r="http://schemas.openxmlformats.org/officeDocument/2006/relationships" ref="E530" r:id="rId1677"/>
    <hyperlink xmlns:r="http://schemas.openxmlformats.org/officeDocument/2006/relationships" ref="W530" r:id="rId1678"/>
    <hyperlink xmlns:r="http://schemas.openxmlformats.org/officeDocument/2006/relationships" ref="E531" r:id="rId1679"/>
    <hyperlink xmlns:r="http://schemas.openxmlformats.org/officeDocument/2006/relationships" ref="P531" r:id="rId1680"/>
    <hyperlink xmlns:r="http://schemas.openxmlformats.org/officeDocument/2006/relationships" ref="Q531" r:id="rId1681"/>
    <hyperlink xmlns:r="http://schemas.openxmlformats.org/officeDocument/2006/relationships" ref="R531" r:id="rId1682"/>
    <hyperlink xmlns:r="http://schemas.openxmlformats.org/officeDocument/2006/relationships" ref="W531" r:id="rId1683"/>
    <hyperlink xmlns:r="http://schemas.openxmlformats.org/officeDocument/2006/relationships" ref="E532" r:id="rId1684"/>
    <hyperlink xmlns:r="http://schemas.openxmlformats.org/officeDocument/2006/relationships" ref="P532" r:id="rId1685"/>
    <hyperlink xmlns:r="http://schemas.openxmlformats.org/officeDocument/2006/relationships" ref="W532" r:id="rId1686"/>
    <hyperlink xmlns:r="http://schemas.openxmlformats.org/officeDocument/2006/relationships" ref="E533" r:id="rId1687"/>
    <hyperlink xmlns:r="http://schemas.openxmlformats.org/officeDocument/2006/relationships" ref="R533" r:id="rId1688"/>
    <hyperlink xmlns:r="http://schemas.openxmlformats.org/officeDocument/2006/relationships" ref="W533" r:id="rId1689"/>
    <hyperlink xmlns:r="http://schemas.openxmlformats.org/officeDocument/2006/relationships" ref="E534" r:id="rId1690"/>
    <hyperlink xmlns:r="http://schemas.openxmlformats.org/officeDocument/2006/relationships" ref="P534" r:id="rId1691"/>
    <hyperlink xmlns:r="http://schemas.openxmlformats.org/officeDocument/2006/relationships" ref="R534" r:id="rId1692"/>
    <hyperlink xmlns:r="http://schemas.openxmlformats.org/officeDocument/2006/relationships" ref="W534" r:id="rId1693"/>
    <hyperlink xmlns:r="http://schemas.openxmlformats.org/officeDocument/2006/relationships" ref="E535" r:id="rId1694"/>
    <hyperlink xmlns:r="http://schemas.openxmlformats.org/officeDocument/2006/relationships" ref="P535" r:id="rId1695"/>
    <hyperlink xmlns:r="http://schemas.openxmlformats.org/officeDocument/2006/relationships" ref="R535" r:id="rId1696"/>
    <hyperlink xmlns:r="http://schemas.openxmlformats.org/officeDocument/2006/relationships" ref="W535" r:id="rId1697"/>
    <hyperlink xmlns:r="http://schemas.openxmlformats.org/officeDocument/2006/relationships" ref="E536" r:id="rId1698"/>
    <hyperlink xmlns:r="http://schemas.openxmlformats.org/officeDocument/2006/relationships" ref="Q536" r:id="rId1699"/>
    <hyperlink xmlns:r="http://schemas.openxmlformats.org/officeDocument/2006/relationships" ref="R536" r:id="rId1700"/>
    <hyperlink xmlns:r="http://schemas.openxmlformats.org/officeDocument/2006/relationships" ref="S536" r:id="rId1701"/>
    <hyperlink xmlns:r="http://schemas.openxmlformats.org/officeDocument/2006/relationships" ref="W536" r:id="rId1702"/>
    <hyperlink xmlns:r="http://schemas.openxmlformats.org/officeDocument/2006/relationships" ref="E537" r:id="rId1703"/>
    <hyperlink xmlns:r="http://schemas.openxmlformats.org/officeDocument/2006/relationships" ref="P537" r:id="rId1704"/>
    <hyperlink xmlns:r="http://schemas.openxmlformats.org/officeDocument/2006/relationships" ref="Q537" r:id="rId1705"/>
    <hyperlink xmlns:r="http://schemas.openxmlformats.org/officeDocument/2006/relationships" ref="R537" r:id="rId1706"/>
    <hyperlink xmlns:r="http://schemas.openxmlformats.org/officeDocument/2006/relationships" ref="W537" r:id="rId1707"/>
    <hyperlink xmlns:r="http://schemas.openxmlformats.org/officeDocument/2006/relationships" ref="E538" r:id="rId1708"/>
    <hyperlink xmlns:r="http://schemas.openxmlformats.org/officeDocument/2006/relationships" ref="R538" r:id="rId1709"/>
    <hyperlink xmlns:r="http://schemas.openxmlformats.org/officeDocument/2006/relationships" ref="W538" r:id="rId1710"/>
    <hyperlink xmlns:r="http://schemas.openxmlformats.org/officeDocument/2006/relationships" ref="E539" r:id="rId1711"/>
    <hyperlink xmlns:r="http://schemas.openxmlformats.org/officeDocument/2006/relationships" ref="W539" r:id="rId1712"/>
    <hyperlink xmlns:r="http://schemas.openxmlformats.org/officeDocument/2006/relationships" ref="E540" r:id="rId1713"/>
    <hyperlink xmlns:r="http://schemas.openxmlformats.org/officeDocument/2006/relationships" ref="P540" r:id="rId1714"/>
    <hyperlink xmlns:r="http://schemas.openxmlformats.org/officeDocument/2006/relationships" ref="Q540" r:id="rId1715"/>
    <hyperlink xmlns:r="http://schemas.openxmlformats.org/officeDocument/2006/relationships" ref="R540" r:id="rId1716"/>
    <hyperlink xmlns:r="http://schemas.openxmlformats.org/officeDocument/2006/relationships" ref="W540" r:id="rId1717"/>
    <hyperlink xmlns:r="http://schemas.openxmlformats.org/officeDocument/2006/relationships" ref="E541" r:id="rId1718"/>
    <hyperlink xmlns:r="http://schemas.openxmlformats.org/officeDocument/2006/relationships" ref="R541" r:id="rId1719"/>
    <hyperlink xmlns:r="http://schemas.openxmlformats.org/officeDocument/2006/relationships" ref="W541" r:id="rId1720"/>
    <hyperlink xmlns:r="http://schemas.openxmlformats.org/officeDocument/2006/relationships" ref="E542" r:id="rId1721"/>
    <hyperlink xmlns:r="http://schemas.openxmlformats.org/officeDocument/2006/relationships" ref="P542" r:id="rId1722"/>
    <hyperlink xmlns:r="http://schemas.openxmlformats.org/officeDocument/2006/relationships" ref="Q542" r:id="rId1723"/>
    <hyperlink xmlns:r="http://schemas.openxmlformats.org/officeDocument/2006/relationships" ref="R542" r:id="rId1724"/>
    <hyperlink xmlns:r="http://schemas.openxmlformats.org/officeDocument/2006/relationships" ref="E543" r:id="rId1725"/>
    <hyperlink xmlns:r="http://schemas.openxmlformats.org/officeDocument/2006/relationships" ref="R543" r:id="rId1726"/>
    <hyperlink xmlns:r="http://schemas.openxmlformats.org/officeDocument/2006/relationships" ref="W543" r:id="rId1727"/>
    <hyperlink xmlns:r="http://schemas.openxmlformats.org/officeDocument/2006/relationships" ref="E544" r:id="rId1728"/>
    <hyperlink xmlns:r="http://schemas.openxmlformats.org/officeDocument/2006/relationships" ref="P544" r:id="rId1729"/>
    <hyperlink xmlns:r="http://schemas.openxmlformats.org/officeDocument/2006/relationships" ref="R544" r:id="rId1730"/>
    <hyperlink xmlns:r="http://schemas.openxmlformats.org/officeDocument/2006/relationships" ref="W544" r:id="rId1731"/>
    <hyperlink xmlns:r="http://schemas.openxmlformats.org/officeDocument/2006/relationships" ref="E545" r:id="rId1732"/>
    <hyperlink xmlns:r="http://schemas.openxmlformats.org/officeDocument/2006/relationships" ref="P545" r:id="rId1733"/>
    <hyperlink xmlns:r="http://schemas.openxmlformats.org/officeDocument/2006/relationships" ref="Q545" r:id="rId1734"/>
    <hyperlink xmlns:r="http://schemas.openxmlformats.org/officeDocument/2006/relationships" ref="R545" r:id="rId1735"/>
    <hyperlink xmlns:r="http://schemas.openxmlformats.org/officeDocument/2006/relationships" ref="W545" r:id="rId1736"/>
    <hyperlink xmlns:r="http://schemas.openxmlformats.org/officeDocument/2006/relationships" ref="E546" r:id="rId1737"/>
    <hyperlink xmlns:r="http://schemas.openxmlformats.org/officeDocument/2006/relationships" ref="P546" r:id="rId1738"/>
    <hyperlink xmlns:r="http://schemas.openxmlformats.org/officeDocument/2006/relationships" ref="R546" r:id="rId1739"/>
    <hyperlink xmlns:r="http://schemas.openxmlformats.org/officeDocument/2006/relationships" ref="W546" r:id="rId1740"/>
    <hyperlink xmlns:r="http://schemas.openxmlformats.org/officeDocument/2006/relationships" ref="E547" r:id="rId1741"/>
    <hyperlink xmlns:r="http://schemas.openxmlformats.org/officeDocument/2006/relationships" ref="P547" r:id="rId1742"/>
    <hyperlink xmlns:r="http://schemas.openxmlformats.org/officeDocument/2006/relationships" ref="R547" r:id="rId1743"/>
    <hyperlink xmlns:r="http://schemas.openxmlformats.org/officeDocument/2006/relationships" ref="W547" r:id="rId1744"/>
    <hyperlink xmlns:r="http://schemas.openxmlformats.org/officeDocument/2006/relationships" ref="E548" r:id="rId1745"/>
    <hyperlink xmlns:r="http://schemas.openxmlformats.org/officeDocument/2006/relationships" ref="Q548" r:id="rId1746"/>
    <hyperlink xmlns:r="http://schemas.openxmlformats.org/officeDocument/2006/relationships" ref="R548" r:id="rId1747"/>
    <hyperlink xmlns:r="http://schemas.openxmlformats.org/officeDocument/2006/relationships" ref="W548" r:id="rId1748"/>
    <hyperlink xmlns:r="http://schemas.openxmlformats.org/officeDocument/2006/relationships" ref="E549" r:id="rId1749"/>
    <hyperlink xmlns:r="http://schemas.openxmlformats.org/officeDocument/2006/relationships" ref="W549" r:id="rId1750"/>
    <hyperlink xmlns:r="http://schemas.openxmlformats.org/officeDocument/2006/relationships" ref="E550" r:id="rId1751"/>
    <hyperlink xmlns:r="http://schemas.openxmlformats.org/officeDocument/2006/relationships" ref="R550" r:id="rId1752"/>
    <hyperlink xmlns:r="http://schemas.openxmlformats.org/officeDocument/2006/relationships" ref="W550" r:id="rId1753"/>
    <hyperlink xmlns:r="http://schemas.openxmlformats.org/officeDocument/2006/relationships" ref="E551" r:id="rId1754"/>
    <hyperlink xmlns:r="http://schemas.openxmlformats.org/officeDocument/2006/relationships" ref="P551" r:id="rId1755"/>
    <hyperlink xmlns:r="http://schemas.openxmlformats.org/officeDocument/2006/relationships" ref="R551" r:id="rId1756"/>
    <hyperlink xmlns:r="http://schemas.openxmlformats.org/officeDocument/2006/relationships" ref="W551" r:id="rId1757"/>
    <hyperlink xmlns:r="http://schemas.openxmlformats.org/officeDocument/2006/relationships" ref="E552" r:id="rId1758"/>
    <hyperlink xmlns:r="http://schemas.openxmlformats.org/officeDocument/2006/relationships" ref="W552" r:id="rId1759"/>
    <hyperlink xmlns:r="http://schemas.openxmlformats.org/officeDocument/2006/relationships" ref="E553" r:id="rId1760"/>
    <hyperlink xmlns:r="http://schemas.openxmlformats.org/officeDocument/2006/relationships" ref="W553" r:id="rId1761"/>
    <hyperlink xmlns:r="http://schemas.openxmlformats.org/officeDocument/2006/relationships" ref="E554" r:id="rId1762"/>
    <hyperlink xmlns:r="http://schemas.openxmlformats.org/officeDocument/2006/relationships" ref="P554" r:id="rId1763"/>
    <hyperlink xmlns:r="http://schemas.openxmlformats.org/officeDocument/2006/relationships" ref="Q554" r:id="rId1764"/>
    <hyperlink xmlns:r="http://schemas.openxmlformats.org/officeDocument/2006/relationships" ref="R554" r:id="rId1765"/>
    <hyperlink xmlns:r="http://schemas.openxmlformats.org/officeDocument/2006/relationships" ref="W554" r:id="rId1766"/>
    <hyperlink xmlns:r="http://schemas.openxmlformats.org/officeDocument/2006/relationships" ref="E555" r:id="rId1767"/>
    <hyperlink xmlns:r="http://schemas.openxmlformats.org/officeDocument/2006/relationships" ref="R555" r:id="rId1768"/>
    <hyperlink xmlns:r="http://schemas.openxmlformats.org/officeDocument/2006/relationships" ref="W555" r:id="rId1769"/>
    <hyperlink xmlns:r="http://schemas.openxmlformats.org/officeDocument/2006/relationships" ref="E556" r:id="rId1770"/>
    <hyperlink xmlns:r="http://schemas.openxmlformats.org/officeDocument/2006/relationships" ref="R556" r:id="rId1771"/>
    <hyperlink xmlns:r="http://schemas.openxmlformats.org/officeDocument/2006/relationships" ref="W556" r:id="rId1772"/>
    <hyperlink xmlns:r="http://schemas.openxmlformats.org/officeDocument/2006/relationships" ref="E557" r:id="rId1773"/>
    <hyperlink xmlns:r="http://schemas.openxmlformats.org/officeDocument/2006/relationships" ref="P557" r:id="rId1774"/>
    <hyperlink xmlns:r="http://schemas.openxmlformats.org/officeDocument/2006/relationships" ref="Q557" r:id="rId1775"/>
    <hyperlink xmlns:r="http://schemas.openxmlformats.org/officeDocument/2006/relationships" ref="R557" r:id="rId1776"/>
    <hyperlink xmlns:r="http://schemas.openxmlformats.org/officeDocument/2006/relationships" ref="W557" r:id="rId1777"/>
    <hyperlink xmlns:r="http://schemas.openxmlformats.org/officeDocument/2006/relationships" ref="E558" r:id="rId1778"/>
    <hyperlink xmlns:r="http://schemas.openxmlformats.org/officeDocument/2006/relationships" ref="P558" r:id="rId1779"/>
    <hyperlink xmlns:r="http://schemas.openxmlformats.org/officeDocument/2006/relationships" ref="R558" r:id="rId1780"/>
    <hyperlink xmlns:r="http://schemas.openxmlformats.org/officeDocument/2006/relationships" ref="W558" r:id="rId1781"/>
    <hyperlink xmlns:r="http://schemas.openxmlformats.org/officeDocument/2006/relationships" ref="E559" r:id="rId1782"/>
    <hyperlink xmlns:r="http://schemas.openxmlformats.org/officeDocument/2006/relationships" ref="P559" r:id="rId1783"/>
    <hyperlink xmlns:r="http://schemas.openxmlformats.org/officeDocument/2006/relationships" ref="R559" r:id="rId1784"/>
    <hyperlink xmlns:r="http://schemas.openxmlformats.org/officeDocument/2006/relationships" ref="E560" r:id="rId1785"/>
    <hyperlink xmlns:r="http://schemas.openxmlformats.org/officeDocument/2006/relationships" ref="Q560" r:id="rId1786"/>
    <hyperlink xmlns:r="http://schemas.openxmlformats.org/officeDocument/2006/relationships" ref="R560" r:id="rId1787"/>
    <hyperlink xmlns:r="http://schemas.openxmlformats.org/officeDocument/2006/relationships" ref="W560" r:id="rId1788"/>
    <hyperlink xmlns:r="http://schemas.openxmlformats.org/officeDocument/2006/relationships" ref="E561" r:id="rId1789"/>
    <hyperlink xmlns:r="http://schemas.openxmlformats.org/officeDocument/2006/relationships" ref="Q561" r:id="rId1790"/>
    <hyperlink xmlns:r="http://schemas.openxmlformats.org/officeDocument/2006/relationships" ref="R561" r:id="rId1791"/>
    <hyperlink xmlns:r="http://schemas.openxmlformats.org/officeDocument/2006/relationships" ref="W561" r:id="rId1792"/>
    <hyperlink xmlns:r="http://schemas.openxmlformats.org/officeDocument/2006/relationships" ref="E562" r:id="rId1793"/>
    <hyperlink xmlns:r="http://schemas.openxmlformats.org/officeDocument/2006/relationships" ref="Q562" r:id="rId1794"/>
    <hyperlink xmlns:r="http://schemas.openxmlformats.org/officeDocument/2006/relationships" ref="R562" r:id="rId1795"/>
    <hyperlink xmlns:r="http://schemas.openxmlformats.org/officeDocument/2006/relationships" ref="W562" r:id="rId1796"/>
    <hyperlink xmlns:r="http://schemas.openxmlformats.org/officeDocument/2006/relationships" ref="E563" r:id="rId1797"/>
    <hyperlink xmlns:r="http://schemas.openxmlformats.org/officeDocument/2006/relationships" ref="R563" r:id="rId1798"/>
    <hyperlink xmlns:r="http://schemas.openxmlformats.org/officeDocument/2006/relationships" ref="W563" r:id="rId1799"/>
    <hyperlink xmlns:r="http://schemas.openxmlformats.org/officeDocument/2006/relationships" ref="E564" r:id="rId1800"/>
    <hyperlink xmlns:r="http://schemas.openxmlformats.org/officeDocument/2006/relationships" ref="R564" r:id="rId1801"/>
    <hyperlink xmlns:r="http://schemas.openxmlformats.org/officeDocument/2006/relationships" ref="W564" r:id="rId1802"/>
    <hyperlink xmlns:r="http://schemas.openxmlformats.org/officeDocument/2006/relationships" ref="E565" r:id="rId1803"/>
    <hyperlink xmlns:r="http://schemas.openxmlformats.org/officeDocument/2006/relationships" ref="W565" r:id="rId1804"/>
    <hyperlink xmlns:r="http://schemas.openxmlformats.org/officeDocument/2006/relationships" ref="E566" r:id="rId1805"/>
    <hyperlink xmlns:r="http://schemas.openxmlformats.org/officeDocument/2006/relationships" ref="Q566" r:id="rId1806"/>
    <hyperlink xmlns:r="http://schemas.openxmlformats.org/officeDocument/2006/relationships" ref="R566" r:id="rId1807"/>
    <hyperlink xmlns:r="http://schemas.openxmlformats.org/officeDocument/2006/relationships" ref="W566" r:id="rId1808"/>
    <hyperlink xmlns:r="http://schemas.openxmlformats.org/officeDocument/2006/relationships" ref="E567" r:id="rId1809"/>
    <hyperlink xmlns:r="http://schemas.openxmlformats.org/officeDocument/2006/relationships" ref="P567" r:id="rId1810"/>
    <hyperlink xmlns:r="http://schemas.openxmlformats.org/officeDocument/2006/relationships" ref="R567" r:id="rId1811"/>
    <hyperlink xmlns:r="http://schemas.openxmlformats.org/officeDocument/2006/relationships" ref="W567" r:id="rId1812"/>
    <hyperlink xmlns:r="http://schemas.openxmlformats.org/officeDocument/2006/relationships" ref="E568" r:id="rId1813"/>
    <hyperlink xmlns:r="http://schemas.openxmlformats.org/officeDocument/2006/relationships" ref="W568" r:id="rId1814"/>
    <hyperlink xmlns:r="http://schemas.openxmlformats.org/officeDocument/2006/relationships" ref="E569" r:id="rId1815"/>
    <hyperlink xmlns:r="http://schemas.openxmlformats.org/officeDocument/2006/relationships" ref="P569" r:id="rId1816"/>
    <hyperlink xmlns:r="http://schemas.openxmlformats.org/officeDocument/2006/relationships" ref="Q569" r:id="rId1817"/>
    <hyperlink xmlns:r="http://schemas.openxmlformats.org/officeDocument/2006/relationships" ref="R569" r:id="rId1818"/>
    <hyperlink xmlns:r="http://schemas.openxmlformats.org/officeDocument/2006/relationships" ref="W569" r:id="rId1819"/>
    <hyperlink xmlns:r="http://schemas.openxmlformats.org/officeDocument/2006/relationships" ref="E570" r:id="rId1820"/>
    <hyperlink xmlns:r="http://schemas.openxmlformats.org/officeDocument/2006/relationships" ref="P570" r:id="rId1821"/>
    <hyperlink xmlns:r="http://schemas.openxmlformats.org/officeDocument/2006/relationships" ref="R570" r:id="rId1822"/>
    <hyperlink xmlns:r="http://schemas.openxmlformats.org/officeDocument/2006/relationships" ref="W570" r:id="rId1823"/>
    <hyperlink xmlns:r="http://schemas.openxmlformats.org/officeDocument/2006/relationships" ref="E571" r:id="rId1824"/>
    <hyperlink xmlns:r="http://schemas.openxmlformats.org/officeDocument/2006/relationships" ref="R571" r:id="rId1825"/>
    <hyperlink xmlns:r="http://schemas.openxmlformats.org/officeDocument/2006/relationships" ref="W571" r:id="rId1826"/>
    <hyperlink xmlns:r="http://schemas.openxmlformats.org/officeDocument/2006/relationships" ref="E572" r:id="rId1827"/>
    <hyperlink xmlns:r="http://schemas.openxmlformats.org/officeDocument/2006/relationships" ref="R572" r:id="rId1828"/>
    <hyperlink xmlns:r="http://schemas.openxmlformats.org/officeDocument/2006/relationships" ref="W572" r:id="rId1829"/>
    <hyperlink xmlns:r="http://schemas.openxmlformats.org/officeDocument/2006/relationships" ref="E573" r:id="rId1830"/>
    <hyperlink xmlns:r="http://schemas.openxmlformats.org/officeDocument/2006/relationships" ref="W573" r:id="rId1831"/>
    <hyperlink xmlns:r="http://schemas.openxmlformats.org/officeDocument/2006/relationships" ref="E574" r:id="rId1832"/>
    <hyperlink xmlns:r="http://schemas.openxmlformats.org/officeDocument/2006/relationships" ref="W574" r:id="rId1833"/>
    <hyperlink xmlns:r="http://schemas.openxmlformats.org/officeDocument/2006/relationships" ref="E575" r:id="rId1834"/>
    <hyperlink xmlns:r="http://schemas.openxmlformats.org/officeDocument/2006/relationships" ref="R575" r:id="rId1835"/>
    <hyperlink xmlns:r="http://schemas.openxmlformats.org/officeDocument/2006/relationships" ref="W575" r:id="rId1836"/>
    <hyperlink xmlns:r="http://schemas.openxmlformats.org/officeDocument/2006/relationships" ref="E576" r:id="rId1837"/>
    <hyperlink xmlns:r="http://schemas.openxmlformats.org/officeDocument/2006/relationships" ref="P576" r:id="rId1838"/>
    <hyperlink xmlns:r="http://schemas.openxmlformats.org/officeDocument/2006/relationships" ref="Q576" r:id="rId1839"/>
    <hyperlink xmlns:r="http://schemas.openxmlformats.org/officeDocument/2006/relationships" ref="R576" r:id="rId1840"/>
    <hyperlink xmlns:r="http://schemas.openxmlformats.org/officeDocument/2006/relationships" ref="W576" r:id="rId1841"/>
    <hyperlink xmlns:r="http://schemas.openxmlformats.org/officeDocument/2006/relationships" ref="E577" r:id="rId1842"/>
    <hyperlink xmlns:r="http://schemas.openxmlformats.org/officeDocument/2006/relationships" ref="R577" r:id="rId1843"/>
    <hyperlink xmlns:r="http://schemas.openxmlformats.org/officeDocument/2006/relationships" ref="E578" r:id="rId1844"/>
    <hyperlink xmlns:r="http://schemas.openxmlformats.org/officeDocument/2006/relationships" ref="P578" r:id="rId1845"/>
    <hyperlink xmlns:r="http://schemas.openxmlformats.org/officeDocument/2006/relationships" ref="R578" r:id="rId1846"/>
    <hyperlink xmlns:r="http://schemas.openxmlformats.org/officeDocument/2006/relationships" ref="W578" r:id="rId1847"/>
    <hyperlink xmlns:r="http://schemas.openxmlformats.org/officeDocument/2006/relationships" ref="E579" r:id="rId1848"/>
    <hyperlink xmlns:r="http://schemas.openxmlformats.org/officeDocument/2006/relationships" ref="P579" r:id="rId1849"/>
    <hyperlink xmlns:r="http://schemas.openxmlformats.org/officeDocument/2006/relationships" ref="R579" r:id="rId1850"/>
    <hyperlink xmlns:r="http://schemas.openxmlformats.org/officeDocument/2006/relationships" ref="W579" r:id="rId1851"/>
    <hyperlink xmlns:r="http://schemas.openxmlformats.org/officeDocument/2006/relationships" ref="E580" r:id="rId1852"/>
    <hyperlink xmlns:r="http://schemas.openxmlformats.org/officeDocument/2006/relationships" ref="P580" r:id="rId1853"/>
    <hyperlink xmlns:r="http://schemas.openxmlformats.org/officeDocument/2006/relationships" ref="R580" r:id="rId1854"/>
    <hyperlink xmlns:r="http://schemas.openxmlformats.org/officeDocument/2006/relationships" ref="W580" r:id="rId1855"/>
    <hyperlink xmlns:r="http://schemas.openxmlformats.org/officeDocument/2006/relationships" ref="D581" r:id="rId1856"/>
    <hyperlink xmlns:r="http://schemas.openxmlformats.org/officeDocument/2006/relationships" ref="E581" r:id="rId1857"/>
    <hyperlink xmlns:r="http://schemas.openxmlformats.org/officeDocument/2006/relationships" ref="P581" r:id="rId1858"/>
    <hyperlink xmlns:r="http://schemas.openxmlformats.org/officeDocument/2006/relationships" ref="Q581" r:id="rId1859"/>
    <hyperlink xmlns:r="http://schemas.openxmlformats.org/officeDocument/2006/relationships" ref="R581" r:id="rId1860"/>
    <hyperlink xmlns:r="http://schemas.openxmlformats.org/officeDocument/2006/relationships" ref="S581" r:id="rId1861"/>
    <hyperlink xmlns:r="http://schemas.openxmlformats.org/officeDocument/2006/relationships" ref="W581" r:id="rId1862"/>
    <hyperlink xmlns:r="http://schemas.openxmlformats.org/officeDocument/2006/relationships" ref="E582" r:id="rId1863"/>
    <hyperlink xmlns:r="http://schemas.openxmlformats.org/officeDocument/2006/relationships" ref="P582" r:id="rId1864"/>
    <hyperlink xmlns:r="http://schemas.openxmlformats.org/officeDocument/2006/relationships" ref="Q582" r:id="rId1865"/>
    <hyperlink xmlns:r="http://schemas.openxmlformats.org/officeDocument/2006/relationships" ref="R582" r:id="rId1866"/>
    <hyperlink xmlns:r="http://schemas.openxmlformats.org/officeDocument/2006/relationships" ref="W582" r:id="rId1867"/>
    <hyperlink xmlns:r="http://schemas.openxmlformats.org/officeDocument/2006/relationships" ref="E583" r:id="rId1868"/>
    <hyperlink xmlns:r="http://schemas.openxmlformats.org/officeDocument/2006/relationships" ref="Q583" r:id="rId1869"/>
    <hyperlink xmlns:r="http://schemas.openxmlformats.org/officeDocument/2006/relationships" ref="R583" r:id="rId1870"/>
    <hyperlink xmlns:r="http://schemas.openxmlformats.org/officeDocument/2006/relationships" ref="W583" r:id="rId1871"/>
    <hyperlink xmlns:r="http://schemas.openxmlformats.org/officeDocument/2006/relationships" ref="E584" r:id="rId1872"/>
    <hyperlink xmlns:r="http://schemas.openxmlformats.org/officeDocument/2006/relationships" ref="R584" r:id="rId1873"/>
    <hyperlink xmlns:r="http://schemas.openxmlformats.org/officeDocument/2006/relationships" ref="W584" r:id="rId1874"/>
    <hyperlink xmlns:r="http://schemas.openxmlformats.org/officeDocument/2006/relationships" ref="E585" r:id="rId1875"/>
    <hyperlink xmlns:r="http://schemas.openxmlformats.org/officeDocument/2006/relationships" ref="P585" r:id="rId1876"/>
    <hyperlink xmlns:r="http://schemas.openxmlformats.org/officeDocument/2006/relationships" ref="Q585" r:id="rId1877"/>
    <hyperlink xmlns:r="http://schemas.openxmlformats.org/officeDocument/2006/relationships" ref="R585" r:id="rId1878"/>
    <hyperlink xmlns:r="http://schemas.openxmlformats.org/officeDocument/2006/relationships" ref="W585" r:id="rId1879"/>
    <hyperlink xmlns:r="http://schemas.openxmlformats.org/officeDocument/2006/relationships" ref="E586" r:id="rId1880"/>
    <hyperlink xmlns:r="http://schemas.openxmlformats.org/officeDocument/2006/relationships" ref="R586" r:id="rId1881"/>
    <hyperlink xmlns:r="http://schemas.openxmlformats.org/officeDocument/2006/relationships" ref="W586" r:id="rId1882"/>
    <hyperlink xmlns:r="http://schemas.openxmlformats.org/officeDocument/2006/relationships" ref="E587" r:id="rId1883"/>
    <hyperlink xmlns:r="http://schemas.openxmlformats.org/officeDocument/2006/relationships" ref="P587" r:id="rId1884"/>
    <hyperlink xmlns:r="http://schemas.openxmlformats.org/officeDocument/2006/relationships" ref="Q587" r:id="rId1885"/>
    <hyperlink xmlns:r="http://schemas.openxmlformats.org/officeDocument/2006/relationships" ref="R587" r:id="rId1886"/>
    <hyperlink xmlns:r="http://schemas.openxmlformats.org/officeDocument/2006/relationships" ref="W587" r:id="rId1887"/>
    <hyperlink xmlns:r="http://schemas.openxmlformats.org/officeDocument/2006/relationships" ref="E588" r:id="rId1888"/>
    <hyperlink xmlns:r="http://schemas.openxmlformats.org/officeDocument/2006/relationships" ref="R588" r:id="rId1889"/>
    <hyperlink xmlns:r="http://schemas.openxmlformats.org/officeDocument/2006/relationships" ref="W588" r:id="rId1890"/>
    <hyperlink xmlns:r="http://schemas.openxmlformats.org/officeDocument/2006/relationships" ref="E589" r:id="rId1891"/>
    <hyperlink xmlns:r="http://schemas.openxmlformats.org/officeDocument/2006/relationships" ref="R589" r:id="rId1892"/>
    <hyperlink xmlns:r="http://schemas.openxmlformats.org/officeDocument/2006/relationships" ref="W589" r:id="rId1893"/>
    <hyperlink xmlns:r="http://schemas.openxmlformats.org/officeDocument/2006/relationships" ref="E590" r:id="rId1894"/>
    <hyperlink xmlns:r="http://schemas.openxmlformats.org/officeDocument/2006/relationships" ref="P590" r:id="rId1895"/>
    <hyperlink xmlns:r="http://schemas.openxmlformats.org/officeDocument/2006/relationships" ref="Q590" r:id="rId1896"/>
    <hyperlink xmlns:r="http://schemas.openxmlformats.org/officeDocument/2006/relationships" ref="R590" r:id="rId1897"/>
    <hyperlink xmlns:r="http://schemas.openxmlformats.org/officeDocument/2006/relationships" ref="W590" r:id="rId1898"/>
    <hyperlink xmlns:r="http://schemas.openxmlformats.org/officeDocument/2006/relationships" ref="E591" r:id="rId1899"/>
    <hyperlink xmlns:r="http://schemas.openxmlformats.org/officeDocument/2006/relationships" ref="P591" r:id="rId1900"/>
    <hyperlink xmlns:r="http://schemas.openxmlformats.org/officeDocument/2006/relationships" ref="R591" r:id="rId1901"/>
    <hyperlink xmlns:r="http://schemas.openxmlformats.org/officeDocument/2006/relationships" ref="W591" r:id="rId1902"/>
    <hyperlink xmlns:r="http://schemas.openxmlformats.org/officeDocument/2006/relationships" ref="E592" r:id="rId1903"/>
    <hyperlink xmlns:r="http://schemas.openxmlformats.org/officeDocument/2006/relationships" ref="R592" r:id="rId1904"/>
    <hyperlink xmlns:r="http://schemas.openxmlformats.org/officeDocument/2006/relationships" ref="W592" r:id="rId1905"/>
    <hyperlink xmlns:r="http://schemas.openxmlformats.org/officeDocument/2006/relationships" ref="E593" r:id="rId1906"/>
    <hyperlink xmlns:r="http://schemas.openxmlformats.org/officeDocument/2006/relationships" ref="P593" r:id="rId1907"/>
    <hyperlink xmlns:r="http://schemas.openxmlformats.org/officeDocument/2006/relationships" ref="Q593" r:id="rId1908"/>
    <hyperlink xmlns:r="http://schemas.openxmlformats.org/officeDocument/2006/relationships" ref="R593" r:id="rId1909"/>
    <hyperlink xmlns:r="http://schemas.openxmlformats.org/officeDocument/2006/relationships" ref="W593" r:id="rId1910"/>
    <hyperlink xmlns:r="http://schemas.openxmlformats.org/officeDocument/2006/relationships" ref="E594" r:id="rId1911"/>
    <hyperlink xmlns:r="http://schemas.openxmlformats.org/officeDocument/2006/relationships" ref="P594" r:id="rId1912"/>
    <hyperlink xmlns:r="http://schemas.openxmlformats.org/officeDocument/2006/relationships" ref="Q594" r:id="rId1913"/>
    <hyperlink xmlns:r="http://schemas.openxmlformats.org/officeDocument/2006/relationships" ref="R594" r:id="rId1914"/>
    <hyperlink xmlns:r="http://schemas.openxmlformats.org/officeDocument/2006/relationships" ref="W594" r:id="rId1915"/>
    <hyperlink xmlns:r="http://schemas.openxmlformats.org/officeDocument/2006/relationships" ref="E595" r:id="rId1916"/>
    <hyperlink xmlns:r="http://schemas.openxmlformats.org/officeDocument/2006/relationships" ref="P595" r:id="rId1917"/>
    <hyperlink xmlns:r="http://schemas.openxmlformats.org/officeDocument/2006/relationships" ref="Q595" r:id="rId1918"/>
    <hyperlink xmlns:r="http://schemas.openxmlformats.org/officeDocument/2006/relationships" ref="R595" r:id="rId1919"/>
    <hyperlink xmlns:r="http://schemas.openxmlformats.org/officeDocument/2006/relationships" ref="W595" r:id="rId1920"/>
    <hyperlink xmlns:r="http://schemas.openxmlformats.org/officeDocument/2006/relationships" ref="E596" r:id="rId1921"/>
    <hyperlink xmlns:r="http://schemas.openxmlformats.org/officeDocument/2006/relationships" ref="P596" r:id="rId1922"/>
    <hyperlink xmlns:r="http://schemas.openxmlformats.org/officeDocument/2006/relationships" ref="R596" r:id="rId1923"/>
    <hyperlink xmlns:r="http://schemas.openxmlformats.org/officeDocument/2006/relationships" ref="W596" r:id="rId1924"/>
    <hyperlink xmlns:r="http://schemas.openxmlformats.org/officeDocument/2006/relationships" ref="E597" r:id="rId1925"/>
    <hyperlink xmlns:r="http://schemas.openxmlformats.org/officeDocument/2006/relationships" ref="P597" r:id="rId1926"/>
    <hyperlink xmlns:r="http://schemas.openxmlformats.org/officeDocument/2006/relationships" ref="R597" r:id="rId1927"/>
    <hyperlink xmlns:r="http://schemas.openxmlformats.org/officeDocument/2006/relationships" ref="W597" r:id="rId1928"/>
    <hyperlink xmlns:r="http://schemas.openxmlformats.org/officeDocument/2006/relationships" ref="D598" r:id="rId1929"/>
    <hyperlink xmlns:r="http://schemas.openxmlformats.org/officeDocument/2006/relationships" ref="E598" r:id="rId1930"/>
    <hyperlink xmlns:r="http://schemas.openxmlformats.org/officeDocument/2006/relationships" ref="P598" r:id="rId1931"/>
    <hyperlink xmlns:r="http://schemas.openxmlformats.org/officeDocument/2006/relationships" ref="Q598" r:id="rId1932"/>
    <hyperlink xmlns:r="http://schemas.openxmlformats.org/officeDocument/2006/relationships" ref="R598" r:id="rId1933"/>
    <hyperlink xmlns:r="http://schemas.openxmlformats.org/officeDocument/2006/relationships" ref="S598" r:id="rId1934"/>
    <hyperlink xmlns:r="http://schemas.openxmlformats.org/officeDocument/2006/relationships" ref="W598" r:id="rId1935"/>
    <hyperlink xmlns:r="http://schemas.openxmlformats.org/officeDocument/2006/relationships" ref="E599" r:id="rId1936"/>
    <hyperlink xmlns:r="http://schemas.openxmlformats.org/officeDocument/2006/relationships" ref="R599" r:id="rId1937"/>
    <hyperlink xmlns:r="http://schemas.openxmlformats.org/officeDocument/2006/relationships" ref="W599" r:id="rId1938"/>
    <hyperlink xmlns:r="http://schemas.openxmlformats.org/officeDocument/2006/relationships" ref="D600" r:id="rId1939"/>
    <hyperlink xmlns:r="http://schemas.openxmlformats.org/officeDocument/2006/relationships" ref="E600" r:id="rId1940"/>
    <hyperlink xmlns:r="http://schemas.openxmlformats.org/officeDocument/2006/relationships" ref="R600" r:id="rId1941"/>
    <hyperlink xmlns:r="http://schemas.openxmlformats.org/officeDocument/2006/relationships" ref="W600" r:id="rId1942"/>
    <hyperlink xmlns:r="http://schemas.openxmlformats.org/officeDocument/2006/relationships" ref="E601" r:id="rId1943"/>
    <hyperlink xmlns:r="http://schemas.openxmlformats.org/officeDocument/2006/relationships" ref="P601" r:id="rId1944"/>
    <hyperlink xmlns:r="http://schemas.openxmlformats.org/officeDocument/2006/relationships" ref="R601" r:id="rId1945"/>
    <hyperlink xmlns:r="http://schemas.openxmlformats.org/officeDocument/2006/relationships" ref="W601" r:id="rId1946"/>
    <hyperlink xmlns:r="http://schemas.openxmlformats.org/officeDocument/2006/relationships" ref="E602" r:id="rId1947"/>
    <hyperlink xmlns:r="http://schemas.openxmlformats.org/officeDocument/2006/relationships" ref="P602" r:id="rId1948"/>
    <hyperlink xmlns:r="http://schemas.openxmlformats.org/officeDocument/2006/relationships" ref="Q602" r:id="rId1949"/>
    <hyperlink xmlns:r="http://schemas.openxmlformats.org/officeDocument/2006/relationships" ref="R602" r:id="rId1950"/>
    <hyperlink xmlns:r="http://schemas.openxmlformats.org/officeDocument/2006/relationships" ref="W602" r:id="rId1951"/>
    <hyperlink xmlns:r="http://schemas.openxmlformats.org/officeDocument/2006/relationships" ref="D603" r:id="rId1952"/>
    <hyperlink xmlns:r="http://schemas.openxmlformats.org/officeDocument/2006/relationships" ref="E603" r:id="rId1953"/>
    <hyperlink xmlns:r="http://schemas.openxmlformats.org/officeDocument/2006/relationships" ref="P603" r:id="rId1954"/>
    <hyperlink xmlns:r="http://schemas.openxmlformats.org/officeDocument/2006/relationships" ref="R603" r:id="rId1955"/>
    <hyperlink xmlns:r="http://schemas.openxmlformats.org/officeDocument/2006/relationships" ref="W603" r:id="rId1956"/>
    <hyperlink xmlns:r="http://schemas.openxmlformats.org/officeDocument/2006/relationships" ref="E604" r:id="rId1957"/>
    <hyperlink xmlns:r="http://schemas.openxmlformats.org/officeDocument/2006/relationships" ref="R604" r:id="rId1958"/>
    <hyperlink xmlns:r="http://schemas.openxmlformats.org/officeDocument/2006/relationships" ref="W604" r:id="rId1959"/>
    <hyperlink xmlns:r="http://schemas.openxmlformats.org/officeDocument/2006/relationships" ref="E605" r:id="rId1960"/>
    <hyperlink xmlns:r="http://schemas.openxmlformats.org/officeDocument/2006/relationships" ref="P605" r:id="rId1961"/>
    <hyperlink xmlns:r="http://schemas.openxmlformats.org/officeDocument/2006/relationships" ref="Q605" r:id="rId1962"/>
    <hyperlink xmlns:r="http://schemas.openxmlformats.org/officeDocument/2006/relationships" ref="R605" r:id="rId1963"/>
    <hyperlink xmlns:r="http://schemas.openxmlformats.org/officeDocument/2006/relationships" ref="W605" r:id="rId1964"/>
    <hyperlink xmlns:r="http://schemas.openxmlformats.org/officeDocument/2006/relationships" ref="E606" r:id="rId1965"/>
    <hyperlink xmlns:r="http://schemas.openxmlformats.org/officeDocument/2006/relationships" ref="P606" r:id="rId1966"/>
    <hyperlink xmlns:r="http://schemas.openxmlformats.org/officeDocument/2006/relationships" ref="Q606" r:id="rId1967"/>
    <hyperlink xmlns:r="http://schemas.openxmlformats.org/officeDocument/2006/relationships" ref="R606" r:id="rId1968"/>
    <hyperlink xmlns:r="http://schemas.openxmlformats.org/officeDocument/2006/relationships" ref="W606" r:id="rId1969"/>
    <hyperlink xmlns:r="http://schemas.openxmlformats.org/officeDocument/2006/relationships" ref="E607" r:id="rId1970"/>
    <hyperlink xmlns:r="http://schemas.openxmlformats.org/officeDocument/2006/relationships" ref="P607" r:id="rId1971"/>
    <hyperlink xmlns:r="http://schemas.openxmlformats.org/officeDocument/2006/relationships" ref="R607" r:id="rId1972"/>
    <hyperlink xmlns:r="http://schemas.openxmlformats.org/officeDocument/2006/relationships" ref="W607" r:id="rId1973"/>
    <hyperlink xmlns:r="http://schemas.openxmlformats.org/officeDocument/2006/relationships" ref="E608" r:id="rId1974"/>
    <hyperlink xmlns:r="http://schemas.openxmlformats.org/officeDocument/2006/relationships" ref="P608" r:id="rId1975"/>
    <hyperlink xmlns:r="http://schemas.openxmlformats.org/officeDocument/2006/relationships" ref="Q608" r:id="rId1976"/>
    <hyperlink xmlns:r="http://schemas.openxmlformats.org/officeDocument/2006/relationships" ref="R608" r:id="rId1977"/>
    <hyperlink xmlns:r="http://schemas.openxmlformats.org/officeDocument/2006/relationships" ref="W608" r:id="rId1978"/>
    <hyperlink xmlns:r="http://schemas.openxmlformats.org/officeDocument/2006/relationships" ref="E609" r:id="rId1979"/>
    <hyperlink xmlns:r="http://schemas.openxmlformats.org/officeDocument/2006/relationships" ref="P609" r:id="rId1980"/>
    <hyperlink xmlns:r="http://schemas.openxmlformats.org/officeDocument/2006/relationships" ref="Q609" r:id="rId1981"/>
    <hyperlink xmlns:r="http://schemas.openxmlformats.org/officeDocument/2006/relationships" ref="R609" r:id="rId1982"/>
    <hyperlink xmlns:r="http://schemas.openxmlformats.org/officeDocument/2006/relationships" ref="W609" r:id="rId1983"/>
    <hyperlink xmlns:r="http://schemas.openxmlformats.org/officeDocument/2006/relationships" ref="E610" r:id="rId1984"/>
    <hyperlink xmlns:r="http://schemas.openxmlformats.org/officeDocument/2006/relationships" ref="R610" r:id="rId1985"/>
    <hyperlink xmlns:r="http://schemas.openxmlformats.org/officeDocument/2006/relationships" ref="W610" r:id="rId1986"/>
    <hyperlink xmlns:r="http://schemas.openxmlformats.org/officeDocument/2006/relationships" ref="E611" r:id="rId1987"/>
    <hyperlink xmlns:r="http://schemas.openxmlformats.org/officeDocument/2006/relationships" ref="P611" r:id="rId1988"/>
    <hyperlink xmlns:r="http://schemas.openxmlformats.org/officeDocument/2006/relationships" ref="R611" r:id="rId1989"/>
    <hyperlink xmlns:r="http://schemas.openxmlformats.org/officeDocument/2006/relationships" ref="W611" r:id="rId1990"/>
    <hyperlink xmlns:r="http://schemas.openxmlformats.org/officeDocument/2006/relationships" ref="D612" r:id="rId1991"/>
    <hyperlink xmlns:r="http://schemas.openxmlformats.org/officeDocument/2006/relationships" ref="E612" r:id="rId1992"/>
    <hyperlink xmlns:r="http://schemas.openxmlformats.org/officeDocument/2006/relationships" ref="Q612" r:id="rId1993"/>
    <hyperlink xmlns:r="http://schemas.openxmlformats.org/officeDocument/2006/relationships" ref="R612" r:id="rId1994"/>
    <hyperlink xmlns:r="http://schemas.openxmlformats.org/officeDocument/2006/relationships" ref="W612" r:id="rId1995"/>
    <hyperlink xmlns:r="http://schemas.openxmlformats.org/officeDocument/2006/relationships" ref="E613" r:id="rId1996"/>
    <hyperlink xmlns:r="http://schemas.openxmlformats.org/officeDocument/2006/relationships" ref="Q613" r:id="rId1997"/>
    <hyperlink xmlns:r="http://schemas.openxmlformats.org/officeDocument/2006/relationships" ref="R613" r:id="rId1998"/>
    <hyperlink xmlns:r="http://schemas.openxmlformats.org/officeDocument/2006/relationships" ref="W613" r:id="rId1999"/>
    <hyperlink xmlns:r="http://schemas.openxmlformats.org/officeDocument/2006/relationships" ref="E614" r:id="rId2000"/>
    <hyperlink xmlns:r="http://schemas.openxmlformats.org/officeDocument/2006/relationships" ref="W614" r:id="rId2001"/>
    <hyperlink xmlns:r="http://schemas.openxmlformats.org/officeDocument/2006/relationships" ref="E615" r:id="rId2002"/>
    <hyperlink xmlns:r="http://schemas.openxmlformats.org/officeDocument/2006/relationships" ref="R615" r:id="rId2003"/>
    <hyperlink xmlns:r="http://schemas.openxmlformats.org/officeDocument/2006/relationships" ref="W615" r:id="rId2004"/>
    <hyperlink xmlns:r="http://schemas.openxmlformats.org/officeDocument/2006/relationships" ref="E616" r:id="rId2005"/>
    <hyperlink xmlns:r="http://schemas.openxmlformats.org/officeDocument/2006/relationships" ref="P616" r:id="rId2006"/>
    <hyperlink xmlns:r="http://schemas.openxmlformats.org/officeDocument/2006/relationships" ref="R616" r:id="rId2007"/>
    <hyperlink xmlns:r="http://schemas.openxmlformats.org/officeDocument/2006/relationships" ref="W616" r:id="rId2008"/>
    <hyperlink xmlns:r="http://schemas.openxmlformats.org/officeDocument/2006/relationships" ref="E617" r:id="rId2009"/>
    <hyperlink xmlns:r="http://schemas.openxmlformats.org/officeDocument/2006/relationships" ref="R617" r:id="rId2010"/>
    <hyperlink xmlns:r="http://schemas.openxmlformats.org/officeDocument/2006/relationships" ref="E618" r:id="rId2011"/>
    <hyperlink xmlns:r="http://schemas.openxmlformats.org/officeDocument/2006/relationships" ref="R618" r:id="rId2012"/>
    <hyperlink xmlns:r="http://schemas.openxmlformats.org/officeDocument/2006/relationships" ref="W618" r:id="rId2013"/>
    <hyperlink xmlns:r="http://schemas.openxmlformats.org/officeDocument/2006/relationships" ref="E619" r:id="rId2014"/>
    <hyperlink xmlns:r="http://schemas.openxmlformats.org/officeDocument/2006/relationships" ref="P619" r:id="rId2015"/>
    <hyperlink xmlns:r="http://schemas.openxmlformats.org/officeDocument/2006/relationships" ref="R619" r:id="rId2016"/>
    <hyperlink xmlns:r="http://schemas.openxmlformats.org/officeDocument/2006/relationships" ref="W619" r:id="rId2017"/>
    <hyperlink xmlns:r="http://schemas.openxmlformats.org/officeDocument/2006/relationships" ref="E620" r:id="rId2018"/>
    <hyperlink xmlns:r="http://schemas.openxmlformats.org/officeDocument/2006/relationships" ref="Q620" r:id="rId2019"/>
    <hyperlink xmlns:r="http://schemas.openxmlformats.org/officeDocument/2006/relationships" ref="R620" r:id="rId2020"/>
    <hyperlink xmlns:r="http://schemas.openxmlformats.org/officeDocument/2006/relationships" ref="W620" r:id="rId2021"/>
    <hyperlink xmlns:r="http://schemas.openxmlformats.org/officeDocument/2006/relationships" ref="E621" r:id="rId2022"/>
    <hyperlink xmlns:r="http://schemas.openxmlformats.org/officeDocument/2006/relationships" ref="P621" r:id="rId2023"/>
    <hyperlink xmlns:r="http://schemas.openxmlformats.org/officeDocument/2006/relationships" ref="Q621" r:id="rId2024"/>
    <hyperlink xmlns:r="http://schemas.openxmlformats.org/officeDocument/2006/relationships" ref="R621" r:id="rId2025"/>
    <hyperlink xmlns:r="http://schemas.openxmlformats.org/officeDocument/2006/relationships" ref="E622" r:id="rId2026"/>
    <hyperlink xmlns:r="http://schemas.openxmlformats.org/officeDocument/2006/relationships" ref="P622" r:id="rId2027"/>
    <hyperlink xmlns:r="http://schemas.openxmlformats.org/officeDocument/2006/relationships" ref="Q622" r:id="rId2028"/>
    <hyperlink xmlns:r="http://schemas.openxmlformats.org/officeDocument/2006/relationships" ref="R622" r:id="rId2029"/>
    <hyperlink xmlns:r="http://schemas.openxmlformats.org/officeDocument/2006/relationships" ref="W622" r:id="rId2030"/>
    <hyperlink xmlns:r="http://schemas.openxmlformats.org/officeDocument/2006/relationships" ref="E623" r:id="rId2031"/>
    <hyperlink xmlns:r="http://schemas.openxmlformats.org/officeDocument/2006/relationships" ref="P623" r:id="rId2032"/>
    <hyperlink xmlns:r="http://schemas.openxmlformats.org/officeDocument/2006/relationships" ref="R623" r:id="rId2033"/>
    <hyperlink xmlns:r="http://schemas.openxmlformats.org/officeDocument/2006/relationships" ref="W623" r:id="rId2034"/>
    <hyperlink xmlns:r="http://schemas.openxmlformats.org/officeDocument/2006/relationships" ref="E624" r:id="rId2035"/>
    <hyperlink xmlns:r="http://schemas.openxmlformats.org/officeDocument/2006/relationships" ref="P624" r:id="rId2036"/>
    <hyperlink xmlns:r="http://schemas.openxmlformats.org/officeDocument/2006/relationships" ref="Q624" r:id="rId2037"/>
    <hyperlink xmlns:r="http://schemas.openxmlformats.org/officeDocument/2006/relationships" ref="R624" r:id="rId2038"/>
    <hyperlink xmlns:r="http://schemas.openxmlformats.org/officeDocument/2006/relationships" ref="W624" r:id="rId2039"/>
    <hyperlink xmlns:r="http://schemas.openxmlformats.org/officeDocument/2006/relationships" ref="E625" r:id="rId2040"/>
    <hyperlink xmlns:r="http://schemas.openxmlformats.org/officeDocument/2006/relationships" ref="P625" r:id="rId2041"/>
    <hyperlink xmlns:r="http://schemas.openxmlformats.org/officeDocument/2006/relationships" ref="Q625" r:id="rId2042"/>
    <hyperlink xmlns:r="http://schemas.openxmlformats.org/officeDocument/2006/relationships" ref="R625" r:id="rId2043"/>
    <hyperlink xmlns:r="http://schemas.openxmlformats.org/officeDocument/2006/relationships" ref="W625" r:id="rId2044"/>
    <hyperlink xmlns:r="http://schemas.openxmlformats.org/officeDocument/2006/relationships" ref="E626" r:id="rId2045"/>
    <hyperlink xmlns:r="http://schemas.openxmlformats.org/officeDocument/2006/relationships" ref="Q626" r:id="rId2046"/>
    <hyperlink xmlns:r="http://schemas.openxmlformats.org/officeDocument/2006/relationships" ref="R626" r:id="rId2047"/>
    <hyperlink xmlns:r="http://schemas.openxmlformats.org/officeDocument/2006/relationships" ref="W626" r:id="rId2048"/>
    <hyperlink xmlns:r="http://schemas.openxmlformats.org/officeDocument/2006/relationships" ref="E627" r:id="rId2049"/>
    <hyperlink xmlns:r="http://schemas.openxmlformats.org/officeDocument/2006/relationships" ref="R627" r:id="rId2050"/>
    <hyperlink xmlns:r="http://schemas.openxmlformats.org/officeDocument/2006/relationships" ref="W627" r:id="rId2051"/>
    <hyperlink xmlns:r="http://schemas.openxmlformats.org/officeDocument/2006/relationships" ref="E628" r:id="rId2052"/>
    <hyperlink xmlns:r="http://schemas.openxmlformats.org/officeDocument/2006/relationships" ref="Q628" r:id="rId2053"/>
    <hyperlink xmlns:r="http://schemas.openxmlformats.org/officeDocument/2006/relationships" ref="R628" r:id="rId2054"/>
    <hyperlink xmlns:r="http://schemas.openxmlformats.org/officeDocument/2006/relationships" ref="W628" r:id="rId2055"/>
    <hyperlink xmlns:r="http://schemas.openxmlformats.org/officeDocument/2006/relationships" ref="E629" r:id="rId2056"/>
    <hyperlink xmlns:r="http://schemas.openxmlformats.org/officeDocument/2006/relationships" ref="Q629" r:id="rId2057"/>
    <hyperlink xmlns:r="http://schemas.openxmlformats.org/officeDocument/2006/relationships" ref="R629" r:id="rId2058"/>
    <hyperlink xmlns:r="http://schemas.openxmlformats.org/officeDocument/2006/relationships" ref="W629" r:id="rId2059"/>
    <hyperlink xmlns:r="http://schemas.openxmlformats.org/officeDocument/2006/relationships" ref="E630" r:id="rId2060"/>
    <hyperlink xmlns:r="http://schemas.openxmlformats.org/officeDocument/2006/relationships" ref="W630" r:id="rId2061"/>
    <hyperlink xmlns:r="http://schemas.openxmlformats.org/officeDocument/2006/relationships" ref="E631" r:id="rId2062"/>
    <hyperlink xmlns:r="http://schemas.openxmlformats.org/officeDocument/2006/relationships" ref="P631" r:id="rId2063"/>
    <hyperlink xmlns:r="http://schemas.openxmlformats.org/officeDocument/2006/relationships" ref="Q631" r:id="rId2064"/>
    <hyperlink xmlns:r="http://schemas.openxmlformats.org/officeDocument/2006/relationships" ref="R631" r:id="rId2065"/>
    <hyperlink xmlns:r="http://schemas.openxmlformats.org/officeDocument/2006/relationships" ref="W631" r:id="rId2066"/>
    <hyperlink xmlns:r="http://schemas.openxmlformats.org/officeDocument/2006/relationships" ref="E632" r:id="rId2067"/>
    <hyperlink xmlns:r="http://schemas.openxmlformats.org/officeDocument/2006/relationships" ref="R632" r:id="rId2068"/>
    <hyperlink xmlns:r="http://schemas.openxmlformats.org/officeDocument/2006/relationships" ref="W632" r:id="rId2069"/>
    <hyperlink xmlns:r="http://schemas.openxmlformats.org/officeDocument/2006/relationships" ref="E633" r:id="rId2070"/>
    <hyperlink xmlns:r="http://schemas.openxmlformats.org/officeDocument/2006/relationships" ref="R633" r:id="rId2071"/>
    <hyperlink xmlns:r="http://schemas.openxmlformats.org/officeDocument/2006/relationships" ref="W633" r:id="rId2072"/>
    <hyperlink xmlns:r="http://schemas.openxmlformats.org/officeDocument/2006/relationships" ref="E634" r:id="rId2073"/>
    <hyperlink xmlns:r="http://schemas.openxmlformats.org/officeDocument/2006/relationships" ref="R634" r:id="rId2074"/>
    <hyperlink xmlns:r="http://schemas.openxmlformats.org/officeDocument/2006/relationships" ref="W634" r:id="rId2075"/>
    <hyperlink xmlns:r="http://schemas.openxmlformats.org/officeDocument/2006/relationships" ref="E635" r:id="rId2076"/>
    <hyperlink xmlns:r="http://schemas.openxmlformats.org/officeDocument/2006/relationships" ref="R635" r:id="rId2077"/>
    <hyperlink xmlns:r="http://schemas.openxmlformats.org/officeDocument/2006/relationships" ref="W635" r:id="rId2078"/>
    <hyperlink xmlns:r="http://schemas.openxmlformats.org/officeDocument/2006/relationships" ref="E636" r:id="rId2079"/>
    <hyperlink xmlns:r="http://schemas.openxmlformats.org/officeDocument/2006/relationships" ref="P636" r:id="rId2080"/>
    <hyperlink xmlns:r="http://schemas.openxmlformats.org/officeDocument/2006/relationships" ref="Q636" r:id="rId2081"/>
    <hyperlink xmlns:r="http://schemas.openxmlformats.org/officeDocument/2006/relationships" ref="R636" r:id="rId2082"/>
    <hyperlink xmlns:r="http://schemas.openxmlformats.org/officeDocument/2006/relationships" ref="W636" r:id="rId2083"/>
    <hyperlink xmlns:r="http://schemas.openxmlformats.org/officeDocument/2006/relationships" ref="E637" r:id="rId2084"/>
    <hyperlink xmlns:r="http://schemas.openxmlformats.org/officeDocument/2006/relationships" ref="P637" r:id="rId2085"/>
    <hyperlink xmlns:r="http://schemas.openxmlformats.org/officeDocument/2006/relationships" ref="Q637" r:id="rId2086"/>
    <hyperlink xmlns:r="http://schemas.openxmlformats.org/officeDocument/2006/relationships" ref="R637" r:id="rId2087"/>
    <hyperlink xmlns:r="http://schemas.openxmlformats.org/officeDocument/2006/relationships" ref="U637" r:id="rId2088"/>
    <hyperlink xmlns:r="http://schemas.openxmlformats.org/officeDocument/2006/relationships" ref="W637" r:id="rId2089"/>
    <hyperlink xmlns:r="http://schemas.openxmlformats.org/officeDocument/2006/relationships" ref="E638" r:id="rId2090"/>
    <hyperlink xmlns:r="http://schemas.openxmlformats.org/officeDocument/2006/relationships" ref="R638" r:id="rId2091"/>
    <hyperlink xmlns:r="http://schemas.openxmlformats.org/officeDocument/2006/relationships" ref="W638" r:id="rId2092"/>
    <hyperlink xmlns:r="http://schemas.openxmlformats.org/officeDocument/2006/relationships" ref="E639" r:id="rId2093"/>
    <hyperlink xmlns:r="http://schemas.openxmlformats.org/officeDocument/2006/relationships" ref="P639" r:id="rId2094"/>
    <hyperlink xmlns:r="http://schemas.openxmlformats.org/officeDocument/2006/relationships" ref="R639" r:id="rId2095"/>
    <hyperlink xmlns:r="http://schemas.openxmlformats.org/officeDocument/2006/relationships" ref="W639" r:id="rId2096"/>
    <hyperlink xmlns:r="http://schemas.openxmlformats.org/officeDocument/2006/relationships" ref="E640" r:id="rId2097"/>
    <hyperlink xmlns:r="http://schemas.openxmlformats.org/officeDocument/2006/relationships" ref="R640" r:id="rId2098"/>
    <hyperlink xmlns:r="http://schemas.openxmlformats.org/officeDocument/2006/relationships" ref="W640" r:id="rId2099"/>
    <hyperlink xmlns:r="http://schemas.openxmlformats.org/officeDocument/2006/relationships" ref="E641" r:id="rId2100"/>
    <hyperlink xmlns:r="http://schemas.openxmlformats.org/officeDocument/2006/relationships" ref="R641" r:id="rId2101"/>
    <hyperlink xmlns:r="http://schemas.openxmlformats.org/officeDocument/2006/relationships" ref="W641" r:id="rId2102"/>
    <hyperlink xmlns:r="http://schemas.openxmlformats.org/officeDocument/2006/relationships" ref="E642" r:id="rId2103"/>
    <hyperlink xmlns:r="http://schemas.openxmlformats.org/officeDocument/2006/relationships" ref="P642" r:id="rId2104"/>
    <hyperlink xmlns:r="http://schemas.openxmlformats.org/officeDocument/2006/relationships" ref="R642" r:id="rId2105"/>
    <hyperlink xmlns:r="http://schemas.openxmlformats.org/officeDocument/2006/relationships" ref="W642" r:id="rId2106"/>
    <hyperlink xmlns:r="http://schemas.openxmlformats.org/officeDocument/2006/relationships" ref="E643" r:id="rId2107"/>
    <hyperlink xmlns:r="http://schemas.openxmlformats.org/officeDocument/2006/relationships" ref="R643" r:id="rId2108"/>
    <hyperlink xmlns:r="http://schemas.openxmlformats.org/officeDocument/2006/relationships" ref="W643" r:id="rId2109"/>
    <hyperlink xmlns:r="http://schemas.openxmlformats.org/officeDocument/2006/relationships" ref="E644" r:id="rId2110"/>
    <hyperlink xmlns:r="http://schemas.openxmlformats.org/officeDocument/2006/relationships" ref="Q644" r:id="rId2111"/>
    <hyperlink xmlns:r="http://schemas.openxmlformats.org/officeDocument/2006/relationships" ref="R644" r:id="rId2112"/>
    <hyperlink xmlns:r="http://schemas.openxmlformats.org/officeDocument/2006/relationships" ref="W644" r:id="rId2113"/>
    <hyperlink xmlns:r="http://schemas.openxmlformats.org/officeDocument/2006/relationships" ref="E645" r:id="rId2114"/>
    <hyperlink xmlns:r="http://schemas.openxmlformats.org/officeDocument/2006/relationships" ref="P645" r:id="rId2115"/>
    <hyperlink xmlns:r="http://schemas.openxmlformats.org/officeDocument/2006/relationships" ref="R645" r:id="rId2116"/>
    <hyperlink xmlns:r="http://schemas.openxmlformats.org/officeDocument/2006/relationships" ref="W645" r:id="rId2117"/>
    <hyperlink xmlns:r="http://schemas.openxmlformats.org/officeDocument/2006/relationships" ref="E646" r:id="rId2118"/>
    <hyperlink xmlns:r="http://schemas.openxmlformats.org/officeDocument/2006/relationships" ref="P646" r:id="rId2119"/>
    <hyperlink xmlns:r="http://schemas.openxmlformats.org/officeDocument/2006/relationships" ref="R646" r:id="rId2120"/>
    <hyperlink xmlns:r="http://schemas.openxmlformats.org/officeDocument/2006/relationships" ref="W646" r:id="rId2121"/>
    <hyperlink xmlns:r="http://schemas.openxmlformats.org/officeDocument/2006/relationships" ref="E647" r:id="rId2122"/>
    <hyperlink xmlns:r="http://schemas.openxmlformats.org/officeDocument/2006/relationships" ref="W647" r:id="rId2123"/>
    <hyperlink xmlns:r="http://schemas.openxmlformats.org/officeDocument/2006/relationships" ref="E648" r:id="rId2124"/>
    <hyperlink xmlns:r="http://schemas.openxmlformats.org/officeDocument/2006/relationships" ref="P648" r:id="rId2125"/>
    <hyperlink xmlns:r="http://schemas.openxmlformats.org/officeDocument/2006/relationships" ref="R648" r:id="rId2126"/>
    <hyperlink xmlns:r="http://schemas.openxmlformats.org/officeDocument/2006/relationships" ref="W648" r:id="rId2127"/>
    <hyperlink xmlns:r="http://schemas.openxmlformats.org/officeDocument/2006/relationships" ref="E649" r:id="rId2128"/>
    <hyperlink xmlns:r="http://schemas.openxmlformats.org/officeDocument/2006/relationships" ref="W649" r:id="rId2129"/>
    <hyperlink xmlns:r="http://schemas.openxmlformats.org/officeDocument/2006/relationships" ref="E650" r:id="rId2130"/>
    <hyperlink xmlns:r="http://schemas.openxmlformats.org/officeDocument/2006/relationships" ref="P650" r:id="rId2131"/>
    <hyperlink xmlns:r="http://schemas.openxmlformats.org/officeDocument/2006/relationships" ref="R650" r:id="rId2132"/>
    <hyperlink xmlns:r="http://schemas.openxmlformats.org/officeDocument/2006/relationships" ref="W650" r:id="rId2133"/>
    <hyperlink xmlns:r="http://schemas.openxmlformats.org/officeDocument/2006/relationships" ref="E651" r:id="rId2134"/>
    <hyperlink xmlns:r="http://schemas.openxmlformats.org/officeDocument/2006/relationships" ref="R651" r:id="rId2135"/>
    <hyperlink xmlns:r="http://schemas.openxmlformats.org/officeDocument/2006/relationships" ref="W651" r:id="rId2136"/>
    <hyperlink xmlns:r="http://schemas.openxmlformats.org/officeDocument/2006/relationships" ref="E652" r:id="rId2137"/>
    <hyperlink xmlns:r="http://schemas.openxmlformats.org/officeDocument/2006/relationships" ref="R652" r:id="rId2138"/>
    <hyperlink xmlns:r="http://schemas.openxmlformats.org/officeDocument/2006/relationships" ref="W652" r:id="rId2139"/>
    <hyperlink xmlns:r="http://schemas.openxmlformats.org/officeDocument/2006/relationships" ref="E653" r:id="rId2140"/>
    <hyperlink xmlns:r="http://schemas.openxmlformats.org/officeDocument/2006/relationships" ref="P653" r:id="rId2141"/>
    <hyperlink xmlns:r="http://schemas.openxmlformats.org/officeDocument/2006/relationships" ref="R653" r:id="rId2142"/>
    <hyperlink xmlns:r="http://schemas.openxmlformats.org/officeDocument/2006/relationships" ref="W653" r:id="rId2143"/>
    <hyperlink xmlns:r="http://schemas.openxmlformats.org/officeDocument/2006/relationships" ref="E654" r:id="rId2144"/>
    <hyperlink xmlns:r="http://schemas.openxmlformats.org/officeDocument/2006/relationships" ref="R654" r:id="rId2145"/>
    <hyperlink xmlns:r="http://schemas.openxmlformats.org/officeDocument/2006/relationships" ref="W654" r:id="rId2146"/>
    <hyperlink xmlns:r="http://schemas.openxmlformats.org/officeDocument/2006/relationships" ref="E655" r:id="rId2147"/>
    <hyperlink xmlns:r="http://schemas.openxmlformats.org/officeDocument/2006/relationships" ref="P655" r:id="rId2148"/>
    <hyperlink xmlns:r="http://schemas.openxmlformats.org/officeDocument/2006/relationships" ref="R655" r:id="rId2149"/>
    <hyperlink xmlns:r="http://schemas.openxmlformats.org/officeDocument/2006/relationships" ref="W655" r:id="rId2150"/>
    <hyperlink xmlns:r="http://schemas.openxmlformats.org/officeDocument/2006/relationships" ref="E656" r:id="rId2151"/>
    <hyperlink xmlns:r="http://schemas.openxmlformats.org/officeDocument/2006/relationships" ref="R656" r:id="rId2152"/>
    <hyperlink xmlns:r="http://schemas.openxmlformats.org/officeDocument/2006/relationships" ref="W656" r:id="rId2153"/>
    <hyperlink xmlns:r="http://schemas.openxmlformats.org/officeDocument/2006/relationships" ref="E657" r:id="rId2154"/>
    <hyperlink xmlns:r="http://schemas.openxmlformats.org/officeDocument/2006/relationships" ref="P657" r:id="rId2155"/>
    <hyperlink xmlns:r="http://schemas.openxmlformats.org/officeDocument/2006/relationships" ref="Q657" r:id="rId2156"/>
    <hyperlink xmlns:r="http://schemas.openxmlformats.org/officeDocument/2006/relationships" ref="R657" r:id="rId2157"/>
    <hyperlink xmlns:r="http://schemas.openxmlformats.org/officeDocument/2006/relationships" ref="W657" r:id="rId2158"/>
    <hyperlink xmlns:r="http://schemas.openxmlformats.org/officeDocument/2006/relationships" ref="E658" r:id="rId2159"/>
    <hyperlink xmlns:r="http://schemas.openxmlformats.org/officeDocument/2006/relationships" ref="R658" r:id="rId2160"/>
    <hyperlink xmlns:r="http://schemas.openxmlformats.org/officeDocument/2006/relationships" ref="W658" r:id="rId2161"/>
    <hyperlink xmlns:r="http://schemas.openxmlformats.org/officeDocument/2006/relationships" ref="E659" r:id="rId2162"/>
    <hyperlink xmlns:r="http://schemas.openxmlformats.org/officeDocument/2006/relationships" ref="R659" r:id="rId2163"/>
    <hyperlink xmlns:r="http://schemas.openxmlformats.org/officeDocument/2006/relationships" ref="W659" r:id="rId2164"/>
    <hyperlink xmlns:r="http://schemas.openxmlformats.org/officeDocument/2006/relationships" ref="E660" r:id="rId2165"/>
    <hyperlink xmlns:r="http://schemas.openxmlformats.org/officeDocument/2006/relationships" ref="P660" r:id="rId2166"/>
    <hyperlink xmlns:r="http://schemas.openxmlformats.org/officeDocument/2006/relationships" ref="R660" r:id="rId2167"/>
    <hyperlink xmlns:r="http://schemas.openxmlformats.org/officeDocument/2006/relationships" ref="E661" r:id="rId2168"/>
    <hyperlink xmlns:r="http://schemas.openxmlformats.org/officeDocument/2006/relationships" ref="Q661" r:id="rId2169"/>
    <hyperlink xmlns:r="http://schemas.openxmlformats.org/officeDocument/2006/relationships" ref="R661" r:id="rId2170"/>
    <hyperlink xmlns:r="http://schemas.openxmlformats.org/officeDocument/2006/relationships" ref="W661" r:id="rId2171"/>
    <hyperlink xmlns:r="http://schemas.openxmlformats.org/officeDocument/2006/relationships" ref="E662" r:id="rId2172"/>
    <hyperlink xmlns:r="http://schemas.openxmlformats.org/officeDocument/2006/relationships" ref="P662" r:id="rId2173"/>
    <hyperlink xmlns:r="http://schemas.openxmlformats.org/officeDocument/2006/relationships" ref="R662" r:id="rId2174"/>
    <hyperlink xmlns:r="http://schemas.openxmlformats.org/officeDocument/2006/relationships" ref="W662" r:id="rId2175"/>
    <hyperlink xmlns:r="http://schemas.openxmlformats.org/officeDocument/2006/relationships" ref="E663" r:id="rId2176"/>
    <hyperlink xmlns:r="http://schemas.openxmlformats.org/officeDocument/2006/relationships" ref="W663" r:id="rId2177"/>
    <hyperlink xmlns:r="http://schemas.openxmlformats.org/officeDocument/2006/relationships" ref="E664" r:id="rId2178"/>
    <hyperlink xmlns:r="http://schemas.openxmlformats.org/officeDocument/2006/relationships" ref="R664" r:id="rId2179"/>
    <hyperlink xmlns:r="http://schemas.openxmlformats.org/officeDocument/2006/relationships" ref="W664" r:id="rId2180"/>
    <hyperlink xmlns:r="http://schemas.openxmlformats.org/officeDocument/2006/relationships" ref="E665" r:id="rId2181"/>
    <hyperlink xmlns:r="http://schemas.openxmlformats.org/officeDocument/2006/relationships" ref="Q665" r:id="rId2182"/>
    <hyperlink xmlns:r="http://schemas.openxmlformats.org/officeDocument/2006/relationships" ref="R665" r:id="rId2183"/>
    <hyperlink xmlns:r="http://schemas.openxmlformats.org/officeDocument/2006/relationships" ref="W665" r:id="rId2184"/>
    <hyperlink xmlns:r="http://schemas.openxmlformats.org/officeDocument/2006/relationships" ref="E666" r:id="rId2185"/>
    <hyperlink xmlns:r="http://schemas.openxmlformats.org/officeDocument/2006/relationships" ref="W666" r:id="rId2186"/>
    <hyperlink xmlns:r="http://schemas.openxmlformats.org/officeDocument/2006/relationships" ref="E667" r:id="rId2187"/>
    <hyperlink xmlns:r="http://schemas.openxmlformats.org/officeDocument/2006/relationships" ref="R667" r:id="rId2188"/>
    <hyperlink xmlns:r="http://schemas.openxmlformats.org/officeDocument/2006/relationships" ref="W667" r:id="rId2189"/>
    <hyperlink xmlns:r="http://schemas.openxmlformats.org/officeDocument/2006/relationships" ref="E668" r:id="rId2190"/>
    <hyperlink xmlns:r="http://schemas.openxmlformats.org/officeDocument/2006/relationships" ref="Q668" r:id="rId2191"/>
    <hyperlink xmlns:r="http://schemas.openxmlformats.org/officeDocument/2006/relationships" ref="R668" r:id="rId2192"/>
    <hyperlink xmlns:r="http://schemas.openxmlformats.org/officeDocument/2006/relationships" ref="W668" r:id="rId2193"/>
    <hyperlink xmlns:r="http://schemas.openxmlformats.org/officeDocument/2006/relationships" ref="E669" r:id="rId2194"/>
    <hyperlink xmlns:r="http://schemas.openxmlformats.org/officeDocument/2006/relationships" ref="R669" r:id="rId2195"/>
    <hyperlink xmlns:r="http://schemas.openxmlformats.org/officeDocument/2006/relationships" ref="W669" r:id="rId2196"/>
    <hyperlink xmlns:r="http://schemas.openxmlformats.org/officeDocument/2006/relationships" ref="E670" r:id="rId2197"/>
    <hyperlink xmlns:r="http://schemas.openxmlformats.org/officeDocument/2006/relationships" ref="R670" r:id="rId2198"/>
    <hyperlink xmlns:r="http://schemas.openxmlformats.org/officeDocument/2006/relationships" ref="W670" r:id="rId2199"/>
    <hyperlink xmlns:r="http://schemas.openxmlformats.org/officeDocument/2006/relationships" ref="E671" r:id="rId2200"/>
    <hyperlink xmlns:r="http://schemas.openxmlformats.org/officeDocument/2006/relationships" ref="R671" r:id="rId2201"/>
    <hyperlink xmlns:r="http://schemas.openxmlformats.org/officeDocument/2006/relationships" ref="W671" r:id="rId2202"/>
    <hyperlink xmlns:r="http://schemas.openxmlformats.org/officeDocument/2006/relationships" ref="E672" r:id="rId2203"/>
    <hyperlink xmlns:r="http://schemas.openxmlformats.org/officeDocument/2006/relationships" ref="P672" r:id="rId2204"/>
    <hyperlink xmlns:r="http://schemas.openxmlformats.org/officeDocument/2006/relationships" ref="R672" r:id="rId2205"/>
    <hyperlink xmlns:r="http://schemas.openxmlformats.org/officeDocument/2006/relationships" ref="W672" r:id="rId2206"/>
    <hyperlink xmlns:r="http://schemas.openxmlformats.org/officeDocument/2006/relationships" ref="E673" r:id="rId2207"/>
    <hyperlink xmlns:r="http://schemas.openxmlformats.org/officeDocument/2006/relationships" ref="Q673" r:id="rId2208"/>
    <hyperlink xmlns:r="http://schemas.openxmlformats.org/officeDocument/2006/relationships" ref="R673" r:id="rId2209"/>
    <hyperlink xmlns:r="http://schemas.openxmlformats.org/officeDocument/2006/relationships" ref="W673" r:id="rId2210"/>
    <hyperlink xmlns:r="http://schemas.openxmlformats.org/officeDocument/2006/relationships" ref="E674" r:id="rId2211"/>
    <hyperlink xmlns:r="http://schemas.openxmlformats.org/officeDocument/2006/relationships" ref="P674" r:id="rId2212"/>
    <hyperlink xmlns:r="http://schemas.openxmlformats.org/officeDocument/2006/relationships" ref="R674" r:id="rId2213"/>
    <hyperlink xmlns:r="http://schemas.openxmlformats.org/officeDocument/2006/relationships" ref="W674" r:id="rId2214"/>
    <hyperlink xmlns:r="http://schemas.openxmlformats.org/officeDocument/2006/relationships" ref="E675" r:id="rId2215"/>
    <hyperlink xmlns:r="http://schemas.openxmlformats.org/officeDocument/2006/relationships" ref="P675" r:id="rId2216"/>
    <hyperlink xmlns:r="http://schemas.openxmlformats.org/officeDocument/2006/relationships" ref="Q675" r:id="rId2217"/>
    <hyperlink xmlns:r="http://schemas.openxmlformats.org/officeDocument/2006/relationships" ref="R675" r:id="rId2218"/>
    <hyperlink xmlns:r="http://schemas.openxmlformats.org/officeDocument/2006/relationships" ref="W675" r:id="rId2219"/>
    <hyperlink xmlns:r="http://schemas.openxmlformats.org/officeDocument/2006/relationships" ref="E676" r:id="rId2220"/>
    <hyperlink xmlns:r="http://schemas.openxmlformats.org/officeDocument/2006/relationships" ref="P676" r:id="rId2221"/>
    <hyperlink xmlns:r="http://schemas.openxmlformats.org/officeDocument/2006/relationships" ref="Q676" r:id="rId2222"/>
    <hyperlink xmlns:r="http://schemas.openxmlformats.org/officeDocument/2006/relationships" ref="R676" r:id="rId2223"/>
    <hyperlink xmlns:r="http://schemas.openxmlformats.org/officeDocument/2006/relationships" ref="W676" r:id="rId2224"/>
    <hyperlink xmlns:r="http://schemas.openxmlformats.org/officeDocument/2006/relationships" ref="E677" r:id="rId2225"/>
    <hyperlink xmlns:r="http://schemas.openxmlformats.org/officeDocument/2006/relationships" ref="W677" r:id="rId2226"/>
    <hyperlink xmlns:r="http://schemas.openxmlformats.org/officeDocument/2006/relationships" ref="E678" r:id="rId2227"/>
    <hyperlink xmlns:r="http://schemas.openxmlformats.org/officeDocument/2006/relationships" ref="P678" r:id="rId2228"/>
    <hyperlink xmlns:r="http://schemas.openxmlformats.org/officeDocument/2006/relationships" ref="R678" r:id="rId2229"/>
    <hyperlink xmlns:r="http://schemas.openxmlformats.org/officeDocument/2006/relationships" ref="W678" r:id="rId2230"/>
    <hyperlink xmlns:r="http://schemas.openxmlformats.org/officeDocument/2006/relationships" ref="E679" r:id="rId2231"/>
    <hyperlink xmlns:r="http://schemas.openxmlformats.org/officeDocument/2006/relationships" ref="R679" r:id="rId2232"/>
    <hyperlink xmlns:r="http://schemas.openxmlformats.org/officeDocument/2006/relationships" ref="W679" r:id="rId2233"/>
    <hyperlink xmlns:r="http://schemas.openxmlformats.org/officeDocument/2006/relationships" ref="E680" r:id="rId2234"/>
    <hyperlink xmlns:r="http://schemas.openxmlformats.org/officeDocument/2006/relationships" ref="P680" r:id="rId2235"/>
    <hyperlink xmlns:r="http://schemas.openxmlformats.org/officeDocument/2006/relationships" ref="Q680" r:id="rId2236"/>
    <hyperlink xmlns:r="http://schemas.openxmlformats.org/officeDocument/2006/relationships" ref="R680" r:id="rId2237"/>
    <hyperlink xmlns:r="http://schemas.openxmlformats.org/officeDocument/2006/relationships" ref="W680" r:id="rId2238"/>
    <hyperlink xmlns:r="http://schemas.openxmlformats.org/officeDocument/2006/relationships" ref="D681" r:id="rId2239"/>
    <hyperlink xmlns:r="http://schemas.openxmlformats.org/officeDocument/2006/relationships" ref="E681" r:id="rId2240"/>
    <hyperlink xmlns:r="http://schemas.openxmlformats.org/officeDocument/2006/relationships" ref="R681" r:id="rId2241"/>
    <hyperlink xmlns:r="http://schemas.openxmlformats.org/officeDocument/2006/relationships" ref="W682" r:id="rId2242"/>
    <hyperlink xmlns:r="http://schemas.openxmlformats.org/officeDocument/2006/relationships" ref="E683" r:id="rId2243"/>
    <hyperlink xmlns:r="http://schemas.openxmlformats.org/officeDocument/2006/relationships" ref="Q683" r:id="rId2244"/>
    <hyperlink xmlns:r="http://schemas.openxmlformats.org/officeDocument/2006/relationships" ref="R683" r:id="rId2245"/>
    <hyperlink xmlns:r="http://schemas.openxmlformats.org/officeDocument/2006/relationships" ref="W683" r:id="rId2246"/>
    <hyperlink xmlns:r="http://schemas.openxmlformats.org/officeDocument/2006/relationships" ref="E684" r:id="rId2247"/>
    <hyperlink xmlns:r="http://schemas.openxmlformats.org/officeDocument/2006/relationships" ref="R684" r:id="rId2248"/>
    <hyperlink xmlns:r="http://schemas.openxmlformats.org/officeDocument/2006/relationships" ref="W684" r:id="rId2249"/>
    <hyperlink xmlns:r="http://schemas.openxmlformats.org/officeDocument/2006/relationships" ref="E685" r:id="rId2250"/>
    <hyperlink xmlns:r="http://schemas.openxmlformats.org/officeDocument/2006/relationships" ref="R685" r:id="rId2251"/>
    <hyperlink xmlns:r="http://schemas.openxmlformats.org/officeDocument/2006/relationships" ref="W685" r:id="rId2252"/>
    <hyperlink xmlns:r="http://schemas.openxmlformats.org/officeDocument/2006/relationships" ref="D686" r:id="rId2253"/>
    <hyperlink xmlns:r="http://schemas.openxmlformats.org/officeDocument/2006/relationships" ref="E686" r:id="rId2254"/>
    <hyperlink xmlns:r="http://schemas.openxmlformats.org/officeDocument/2006/relationships" ref="Q686" r:id="rId2255"/>
    <hyperlink xmlns:r="http://schemas.openxmlformats.org/officeDocument/2006/relationships" ref="R686" r:id="rId2256"/>
    <hyperlink xmlns:r="http://schemas.openxmlformats.org/officeDocument/2006/relationships" ref="W686" r:id="rId2257"/>
    <hyperlink xmlns:r="http://schemas.openxmlformats.org/officeDocument/2006/relationships" ref="E687" r:id="rId2258"/>
    <hyperlink xmlns:r="http://schemas.openxmlformats.org/officeDocument/2006/relationships" ref="P687" r:id="rId2259"/>
    <hyperlink xmlns:r="http://schemas.openxmlformats.org/officeDocument/2006/relationships" ref="Q687" r:id="rId2260"/>
    <hyperlink xmlns:r="http://schemas.openxmlformats.org/officeDocument/2006/relationships" ref="R687" r:id="rId2261"/>
    <hyperlink xmlns:r="http://schemas.openxmlformats.org/officeDocument/2006/relationships" ref="W687" r:id="rId2262"/>
    <hyperlink xmlns:r="http://schemas.openxmlformats.org/officeDocument/2006/relationships" ref="E688" r:id="rId2263"/>
    <hyperlink xmlns:r="http://schemas.openxmlformats.org/officeDocument/2006/relationships" ref="P688" r:id="rId2264"/>
    <hyperlink xmlns:r="http://schemas.openxmlformats.org/officeDocument/2006/relationships" ref="Q688" r:id="rId2265"/>
    <hyperlink xmlns:r="http://schemas.openxmlformats.org/officeDocument/2006/relationships" ref="R688" r:id="rId2266"/>
    <hyperlink xmlns:r="http://schemas.openxmlformats.org/officeDocument/2006/relationships" ref="W688" r:id="rId2267"/>
    <hyperlink xmlns:r="http://schemas.openxmlformats.org/officeDocument/2006/relationships" ref="E689" r:id="rId2268"/>
    <hyperlink xmlns:r="http://schemas.openxmlformats.org/officeDocument/2006/relationships" ref="Q689" r:id="rId2269"/>
    <hyperlink xmlns:r="http://schemas.openxmlformats.org/officeDocument/2006/relationships" ref="R689" r:id="rId2270"/>
    <hyperlink xmlns:r="http://schemas.openxmlformats.org/officeDocument/2006/relationships" ref="W689" r:id="rId2271"/>
    <hyperlink xmlns:r="http://schemas.openxmlformats.org/officeDocument/2006/relationships" ref="E690" r:id="rId2272"/>
    <hyperlink xmlns:r="http://schemas.openxmlformats.org/officeDocument/2006/relationships" ref="W690" r:id="rId2273"/>
    <hyperlink xmlns:r="http://schemas.openxmlformats.org/officeDocument/2006/relationships" ref="E691" r:id="rId2274"/>
    <hyperlink xmlns:r="http://schemas.openxmlformats.org/officeDocument/2006/relationships" ref="R691" r:id="rId2275"/>
    <hyperlink xmlns:r="http://schemas.openxmlformats.org/officeDocument/2006/relationships" ref="W691" r:id="rId2276"/>
    <hyperlink xmlns:r="http://schemas.openxmlformats.org/officeDocument/2006/relationships" ref="E692" r:id="rId2277"/>
    <hyperlink xmlns:r="http://schemas.openxmlformats.org/officeDocument/2006/relationships" ref="R692" r:id="rId2278"/>
    <hyperlink xmlns:r="http://schemas.openxmlformats.org/officeDocument/2006/relationships" ref="W692" r:id="rId2279"/>
    <hyperlink xmlns:r="http://schemas.openxmlformats.org/officeDocument/2006/relationships" ref="E693" r:id="rId2280"/>
    <hyperlink xmlns:r="http://schemas.openxmlformats.org/officeDocument/2006/relationships" ref="R693" r:id="rId2281"/>
    <hyperlink xmlns:r="http://schemas.openxmlformats.org/officeDocument/2006/relationships" ref="W693" r:id="rId2282"/>
    <hyperlink xmlns:r="http://schemas.openxmlformats.org/officeDocument/2006/relationships" ref="E694" r:id="rId2283"/>
    <hyperlink xmlns:r="http://schemas.openxmlformats.org/officeDocument/2006/relationships" ref="R694" r:id="rId2284"/>
    <hyperlink xmlns:r="http://schemas.openxmlformats.org/officeDocument/2006/relationships" ref="W694" r:id="rId2285"/>
    <hyperlink xmlns:r="http://schemas.openxmlformats.org/officeDocument/2006/relationships" ref="E695" r:id="rId2286"/>
    <hyperlink xmlns:r="http://schemas.openxmlformats.org/officeDocument/2006/relationships" ref="R695" r:id="rId2287"/>
    <hyperlink xmlns:r="http://schemas.openxmlformats.org/officeDocument/2006/relationships" ref="W695" r:id="rId2288"/>
    <hyperlink xmlns:r="http://schemas.openxmlformats.org/officeDocument/2006/relationships" ref="E696" r:id="rId2289"/>
    <hyperlink xmlns:r="http://schemas.openxmlformats.org/officeDocument/2006/relationships" ref="W696" r:id="rId2290"/>
    <hyperlink xmlns:r="http://schemas.openxmlformats.org/officeDocument/2006/relationships" ref="E697" r:id="rId2291"/>
    <hyperlink xmlns:r="http://schemas.openxmlformats.org/officeDocument/2006/relationships" ref="P697" r:id="rId2292"/>
    <hyperlink xmlns:r="http://schemas.openxmlformats.org/officeDocument/2006/relationships" ref="R697" r:id="rId2293"/>
    <hyperlink xmlns:r="http://schemas.openxmlformats.org/officeDocument/2006/relationships" ref="W697" r:id="rId2294"/>
    <hyperlink xmlns:r="http://schemas.openxmlformats.org/officeDocument/2006/relationships" ref="E698" r:id="rId2295"/>
    <hyperlink xmlns:r="http://schemas.openxmlformats.org/officeDocument/2006/relationships" ref="R698" r:id="rId2296"/>
    <hyperlink xmlns:r="http://schemas.openxmlformats.org/officeDocument/2006/relationships" ref="W698" r:id="rId2297"/>
    <hyperlink xmlns:r="http://schemas.openxmlformats.org/officeDocument/2006/relationships" ref="D699" r:id="rId2298"/>
    <hyperlink xmlns:r="http://schemas.openxmlformats.org/officeDocument/2006/relationships" ref="E699" r:id="rId2299"/>
    <hyperlink xmlns:r="http://schemas.openxmlformats.org/officeDocument/2006/relationships" ref="P699" r:id="rId2300"/>
    <hyperlink xmlns:r="http://schemas.openxmlformats.org/officeDocument/2006/relationships" ref="Q699" r:id="rId2301"/>
    <hyperlink xmlns:r="http://schemas.openxmlformats.org/officeDocument/2006/relationships" ref="R699" r:id="rId2302"/>
    <hyperlink xmlns:r="http://schemas.openxmlformats.org/officeDocument/2006/relationships" ref="S699" r:id="rId2303"/>
    <hyperlink xmlns:r="http://schemas.openxmlformats.org/officeDocument/2006/relationships" ref="W699" r:id="rId2304"/>
    <hyperlink xmlns:r="http://schemas.openxmlformats.org/officeDocument/2006/relationships" ref="E700" r:id="rId2305"/>
    <hyperlink xmlns:r="http://schemas.openxmlformats.org/officeDocument/2006/relationships" ref="W700" r:id="rId2306"/>
    <hyperlink xmlns:r="http://schemas.openxmlformats.org/officeDocument/2006/relationships" ref="E701" r:id="rId2307"/>
    <hyperlink xmlns:r="http://schemas.openxmlformats.org/officeDocument/2006/relationships" ref="R701" r:id="rId2308"/>
    <hyperlink xmlns:r="http://schemas.openxmlformats.org/officeDocument/2006/relationships" ref="W701" r:id="rId2309"/>
    <hyperlink xmlns:r="http://schemas.openxmlformats.org/officeDocument/2006/relationships" ref="E702" r:id="rId2310"/>
    <hyperlink xmlns:r="http://schemas.openxmlformats.org/officeDocument/2006/relationships" ref="W702" r:id="rId2311"/>
    <hyperlink xmlns:r="http://schemas.openxmlformats.org/officeDocument/2006/relationships" ref="E703" r:id="rId2312"/>
    <hyperlink xmlns:r="http://schemas.openxmlformats.org/officeDocument/2006/relationships" ref="W703" r:id="rId2313"/>
    <hyperlink xmlns:r="http://schemas.openxmlformats.org/officeDocument/2006/relationships" ref="E704" r:id="rId2314"/>
    <hyperlink xmlns:r="http://schemas.openxmlformats.org/officeDocument/2006/relationships" ref="P704" r:id="rId2315"/>
    <hyperlink xmlns:r="http://schemas.openxmlformats.org/officeDocument/2006/relationships" ref="Q704" r:id="rId2316"/>
    <hyperlink xmlns:r="http://schemas.openxmlformats.org/officeDocument/2006/relationships" ref="R704" r:id="rId2317"/>
    <hyperlink xmlns:r="http://schemas.openxmlformats.org/officeDocument/2006/relationships" ref="W704" r:id="rId2318"/>
    <hyperlink xmlns:r="http://schemas.openxmlformats.org/officeDocument/2006/relationships" ref="W705" r:id="rId2319"/>
    <hyperlink xmlns:r="http://schemas.openxmlformats.org/officeDocument/2006/relationships" ref="E706" r:id="rId2320"/>
    <hyperlink xmlns:r="http://schemas.openxmlformats.org/officeDocument/2006/relationships" ref="P706" r:id="rId2321"/>
    <hyperlink xmlns:r="http://schemas.openxmlformats.org/officeDocument/2006/relationships" ref="Q706" r:id="rId2322"/>
    <hyperlink xmlns:r="http://schemas.openxmlformats.org/officeDocument/2006/relationships" ref="R706" r:id="rId2323"/>
    <hyperlink xmlns:r="http://schemas.openxmlformats.org/officeDocument/2006/relationships" ref="W706" r:id="rId2324"/>
    <hyperlink xmlns:r="http://schemas.openxmlformats.org/officeDocument/2006/relationships" ref="E707" r:id="rId2325"/>
    <hyperlink xmlns:r="http://schemas.openxmlformats.org/officeDocument/2006/relationships" ref="P707" r:id="rId2326"/>
    <hyperlink xmlns:r="http://schemas.openxmlformats.org/officeDocument/2006/relationships" ref="Q707" r:id="rId2327"/>
    <hyperlink xmlns:r="http://schemas.openxmlformats.org/officeDocument/2006/relationships" ref="R707" r:id="rId2328"/>
    <hyperlink xmlns:r="http://schemas.openxmlformats.org/officeDocument/2006/relationships" ref="W707" r:id="rId2329"/>
    <hyperlink xmlns:r="http://schemas.openxmlformats.org/officeDocument/2006/relationships" ref="E708" r:id="rId2330"/>
    <hyperlink xmlns:r="http://schemas.openxmlformats.org/officeDocument/2006/relationships" ref="R708" r:id="rId2331"/>
    <hyperlink xmlns:r="http://schemas.openxmlformats.org/officeDocument/2006/relationships" ref="W708" r:id="rId2332"/>
    <hyperlink xmlns:r="http://schemas.openxmlformats.org/officeDocument/2006/relationships" ref="E709" r:id="rId2333"/>
    <hyperlink xmlns:r="http://schemas.openxmlformats.org/officeDocument/2006/relationships" ref="W709" r:id="rId2334"/>
    <hyperlink xmlns:r="http://schemas.openxmlformats.org/officeDocument/2006/relationships" ref="E710" r:id="rId2335"/>
    <hyperlink xmlns:r="http://schemas.openxmlformats.org/officeDocument/2006/relationships" ref="P710" r:id="rId2336"/>
    <hyperlink xmlns:r="http://schemas.openxmlformats.org/officeDocument/2006/relationships" ref="Q710" r:id="rId2337"/>
    <hyperlink xmlns:r="http://schemas.openxmlformats.org/officeDocument/2006/relationships" ref="R710" r:id="rId2338"/>
    <hyperlink xmlns:r="http://schemas.openxmlformats.org/officeDocument/2006/relationships" ref="W710" r:id="rId2339"/>
    <hyperlink xmlns:r="http://schemas.openxmlformats.org/officeDocument/2006/relationships" ref="E711" r:id="rId2340"/>
    <hyperlink xmlns:r="http://schemas.openxmlformats.org/officeDocument/2006/relationships" ref="P711" r:id="rId2341"/>
    <hyperlink xmlns:r="http://schemas.openxmlformats.org/officeDocument/2006/relationships" ref="Q711" r:id="rId2342"/>
    <hyperlink xmlns:r="http://schemas.openxmlformats.org/officeDocument/2006/relationships" ref="R711" r:id="rId2343"/>
    <hyperlink xmlns:r="http://schemas.openxmlformats.org/officeDocument/2006/relationships" ref="W711" r:id="rId2344"/>
    <hyperlink xmlns:r="http://schemas.openxmlformats.org/officeDocument/2006/relationships" ref="E712" r:id="rId2345"/>
    <hyperlink xmlns:r="http://schemas.openxmlformats.org/officeDocument/2006/relationships" ref="Q712" r:id="rId2346"/>
    <hyperlink xmlns:r="http://schemas.openxmlformats.org/officeDocument/2006/relationships" ref="R712" r:id="rId2347"/>
    <hyperlink xmlns:r="http://schemas.openxmlformats.org/officeDocument/2006/relationships" ref="W712" r:id="rId2348"/>
    <hyperlink xmlns:r="http://schemas.openxmlformats.org/officeDocument/2006/relationships" ref="E713" r:id="rId2349"/>
    <hyperlink xmlns:r="http://schemas.openxmlformats.org/officeDocument/2006/relationships" ref="W713" r:id="rId2350"/>
    <hyperlink xmlns:r="http://schemas.openxmlformats.org/officeDocument/2006/relationships" ref="E714" r:id="rId2351"/>
    <hyperlink xmlns:r="http://schemas.openxmlformats.org/officeDocument/2006/relationships" ref="W714" r:id="rId2352"/>
    <hyperlink xmlns:r="http://schemas.openxmlformats.org/officeDocument/2006/relationships" ref="E715" r:id="rId2353"/>
    <hyperlink xmlns:r="http://schemas.openxmlformats.org/officeDocument/2006/relationships" ref="W715" r:id="rId2354"/>
    <hyperlink xmlns:r="http://schemas.openxmlformats.org/officeDocument/2006/relationships" ref="E716" r:id="rId2355"/>
    <hyperlink xmlns:r="http://schemas.openxmlformats.org/officeDocument/2006/relationships" ref="P716" r:id="rId2356"/>
    <hyperlink xmlns:r="http://schemas.openxmlformats.org/officeDocument/2006/relationships" ref="R716" r:id="rId2357"/>
    <hyperlink xmlns:r="http://schemas.openxmlformats.org/officeDocument/2006/relationships" ref="W716" r:id="rId2358"/>
    <hyperlink xmlns:r="http://schemas.openxmlformats.org/officeDocument/2006/relationships" ref="E717" r:id="rId2359"/>
    <hyperlink xmlns:r="http://schemas.openxmlformats.org/officeDocument/2006/relationships" ref="W717" r:id="rId2360"/>
    <hyperlink xmlns:r="http://schemas.openxmlformats.org/officeDocument/2006/relationships" ref="E718" r:id="rId2361"/>
    <hyperlink xmlns:r="http://schemas.openxmlformats.org/officeDocument/2006/relationships" ref="W718" r:id="rId2362"/>
    <hyperlink xmlns:r="http://schemas.openxmlformats.org/officeDocument/2006/relationships" ref="E719" r:id="rId2363"/>
    <hyperlink xmlns:r="http://schemas.openxmlformats.org/officeDocument/2006/relationships" ref="W719" r:id="rId2364"/>
    <hyperlink xmlns:r="http://schemas.openxmlformats.org/officeDocument/2006/relationships" ref="E720" r:id="rId2365"/>
    <hyperlink xmlns:r="http://schemas.openxmlformats.org/officeDocument/2006/relationships" ref="W720" r:id="rId2366"/>
    <hyperlink xmlns:r="http://schemas.openxmlformats.org/officeDocument/2006/relationships" ref="E721" r:id="rId2367"/>
    <hyperlink xmlns:r="http://schemas.openxmlformats.org/officeDocument/2006/relationships" ref="P721" r:id="rId2368"/>
    <hyperlink xmlns:r="http://schemas.openxmlformats.org/officeDocument/2006/relationships" ref="R721" r:id="rId2369"/>
    <hyperlink xmlns:r="http://schemas.openxmlformats.org/officeDocument/2006/relationships" ref="W721" r:id="rId2370"/>
    <hyperlink xmlns:r="http://schemas.openxmlformats.org/officeDocument/2006/relationships" ref="E722" r:id="rId2371"/>
    <hyperlink xmlns:r="http://schemas.openxmlformats.org/officeDocument/2006/relationships" ref="W722" r:id="rId2372"/>
    <hyperlink xmlns:r="http://schemas.openxmlformats.org/officeDocument/2006/relationships" ref="E723" r:id="rId2373"/>
    <hyperlink xmlns:r="http://schemas.openxmlformats.org/officeDocument/2006/relationships" ref="Q723" r:id="rId2374"/>
    <hyperlink xmlns:r="http://schemas.openxmlformats.org/officeDocument/2006/relationships" ref="R723" r:id="rId2375"/>
    <hyperlink xmlns:r="http://schemas.openxmlformats.org/officeDocument/2006/relationships" ref="W723" r:id="rId2376"/>
    <hyperlink xmlns:r="http://schemas.openxmlformats.org/officeDocument/2006/relationships" ref="E724" r:id="rId2377"/>
    <hyperlink xmlns:r="http://schemas.openxmlformats.org/officeDocument/2006/relationships" ref="W724" r:id="rId2378"/>
    <hyperlink xmlns:r="http://schemas.openxmlformats.org/officeDocument/2006/relationships" ref="E725" r:id="rId2379"/>
    <hyperlink xmlns:r="http://schemas.openxmlformats.org/officeDocument/2006/relationships" ref="W725" r:id="rId2380"/>
    <hyperlink xmlns:r="http://schemas.openxmlformats.org/officeDocument/2006/relationships" ref="E726" r:id="rId2381"/>
    <hyperlink xmlns:r="http://schemas.openxmlformats.org/officeDocument/2006/relationships" ref="W726" r:id="rId2382"/>
    <hyperlink xmlns:r="http://schemas.openxmlformats.org/officeDocument/2006/relationships" ref="E727" r:id="rId2383"/>
    <hyperlink xmlns:r="http://schemas.openxmlformats.org/officeDocument/2006/relationships" ref="Q727" r:id="rId2384"/>
    <hyperlink xmlns:r="http://schemas.openxmlformats.org/officeDocument/2006/relationships" ref="R727" r:id="rId2385"/>
    <hyperlink xmlns:r="http://schemas.openxmlformats.org/officeDocument/2006/relationships" ref="W727" r:id="rId2386"/>
    <hyperlink xmlns:r="http://schemas.openxmlformats.org/officeDocument/2006/relationships" ref="E728" r:id="rId2387"/>
    <hyperlink xmlns:r="http://schemas.openxmlformats.org/officeDocument/2006/relationships" ref="W728" r:id="rId2388"/>
    <hyperlink xmlns:r="http://schemas.openxmlformats.org/officeDocument/2006/relationships" ref="D729" r:id="rId2389"/>
    <hyperlink xmlns:r="http://schemas.openxmlformats.org/officeDocument/2006/relationships" ref="E729" r:id="rId2390"/>
    <hyperlink xmlns:r="http://schemas.openxmlformats.org/officeDocument/2006/relationships" ref="W729" r:id="rId2391"/>
    <hyperlink xmlns:r="http://schemas.openxmlformats.org/officeDocument/2006/relationships" ref="E730" r:id="rId2392"/>
    <hyperlink xmlns:r="http://schemas.openxmlformats.org/officeDocument/2006/relationships" ref="W730" r:id="rId2393"/>
    <hyperlink xmlns:r="http://schemas.openxmlformats.org/officeDocument/2006/relationships" ref="E731" r:id="rId2394"/>
    <hyperlink xmlns:r="http://schemas.openxmlformats.org/officeDocument/2006/relationships" ref="P731" r:id="rId2395"/>
    <hyperlink xmlns:r="http://schemas.openxmlformats.org/officeDocument/2006/relationships" ref="R731" r:id="rId2396"/>
    <hyperlink xmlns:r="http://schemas.openxmlformats.org/officeDocument/2006/relationships" ref="S731" r:id="rId2397"/>
    <hyperlink xmlns:r="http://schemas.openxmlformats.org/officeDocument/2006/relationships" ref="W731" r:id="rId2398"/>
    <hyperlink xmlns:r="http://schemas.openxmlformats.org/officeDocument/2006/relationships" ref="E732" r:id="rId2399"/>
    <hyperlink xmlns:r="http://schemas.openxmlformats.org/officeDocument/2006/relationships" ref="Q732" r:id="rId2400"/>
    <hyperlink xmlns:r="http://schemas.openxmlformats.org/officeDocument/2006/relationships" ref="W732" r:id="rId2401"/>
    <hyperlink xmlns:r="http://schemas.openxmlformats.org/officeDocument/2006/relationships" ref="E733" r:id="rId2402"/>
    <hyperlink xmlns:r="http://schemas.openxmlformats.org/officeDocument/2006/relationships" ref="P733" r:id="rId2403"/>
    <hyperlink xmlns:r="http://schemas.openxmlformats.org/officeDocument/2006/relationships" ref="R733" r:id="rId2404"/>
    <hyperlink xmlns:r="http://schemas.openxmlformats.org/officeDocument/2006/relationships" ref="W733" r:id="rId2405"/>
    <hyperlink xmlns:r="http://schemas.openxmlformats.org/officeDocument/2006/relationships" ref="E734" r:id="rId2406"/>
    <hyperlink xmlns:r="http://schemas.openxmlformats.org/officeDocument/2006/relationships" ref="R734" r:id="rId2407"/>
    <hyperlink xmlns:r="http://schemas.openxmlformats.org/officeDocument/2006/relationships" ref="W734" r:id="rId2408"/>
    <hyperlink xmlns:r="http://schemas.openxmlformats.org/officeDocument/2006/relationships" ref="E735" r:id="rId2409"/>
    <hyperlink xmlns:r="http://schemas.openxmlformats.org/officeDocument/2006/relationships" ref="W735" r:id="rId2410"/>
    <hyperlink xmlns:r="http://schemas.openxmlformats.org/officeDocument/2006/relationships" ref="E736" r:id="rId2411"/>
    <hyperlink xmlns:r="http://schemas.openxmlformats.org/officeDocument/2006/relationships" ref="W736" r:id="rId2412"/>
    <hyperlink xmlns:r="http://schemas.openxmlformats.org/officeDocument/2006/relationships" ref="E737" r:id="rId2413"/>
    <hyperlink xmlns:r="http://schemas.openxmlformats.org/officeDocument/2006/relationships" ref="W737" r:id="rId2414"/>
    <hyperlink xmlns:r="http://schemas.openxmlformats.org/officeDocument/2006/relationships" ref="E738" r:id="rId2415"/>
    <hyperlink xmlns:r="http://schemas.openxmlformats.org/officeDocument/2006/relationships" ref="W738" r:id="rId2416"/>
    <hyperlink xmlns:r="http://schemas.openxmlformats.org/officeDocument/2006/relationships" ref="E739" r:id="rId2417"/>
    <hyperlink xmlns:r="http://schemas.openxmlformats.org/officeDocument/2006/relationships" ref="W739" r:id="rId2418"/>
    <hyperlink xmlns:r="http://schemas.openxmlformats.org/officeDocument/2006/relationships" ref="E740" r:id="rId2419"/>
    <hyperlink xmlns:r="http://schemas.openxmlformats.org/officeDocument/2006/relationships" ref="R740" r:id="rId2420"/>
    <hyperlink xmlns:r="http://schemas.openxmlformats.org/officeDocument/2006/relationships" ref="W740" r:id="rId2421"/>
    <hyperlink xmlns:r="http://schemas.openxmlformats.org/officeDocument/2006/relationships" ref="E741" r:id="rId2422"/>
    <hyperlink xmlns:r="http://schemas.openxmlformats.org/officeDocument/2006/relationships" ref="W741" r:id="rId2423"/>
    <hyperlink xmlns:r="http://schemas.openxmlformats.org/officeDocument/2006/relationships" ref="E742" r:id="rId2424"/>
    <hyperlink xmlns:r="http://schemas.openxmlformats.org/officeDocument/2006/relationships" ref="P742" r:id="rId2425"/>
    <hyperlink xmlns:r="http://schemas.openxmlformats.org/officeDocument/2006/relationships" ref="R742" r:id="rId2426"/>
    <hyperlink xmlns:r="http://schemas.openxmlformats.org/officeDocument/2006/relationships" ref="W742" r:id="rId2427"/>
    <hyperlink xmlns:r="http://schemas.openxmlformats.org/officeDocument/2006/relationships" ref="E743" r:id="rId2428"/>
    <hyperlink xmlns:r="http://schemas.openxmlformats.org/officeDocument/2006/relationships" ref="P743" r:id="rId2429"/>
    <hyperlink xmlns:r="http://schemas.openxmlformats.org/officeDocument/2006/relationships" ref="R743" r:id="rId2430"/>
    <hyperlink xmlns:r="http://schemas.openxmlformats.org/officeDocument/2006/relationships" ref="W743" r:id="rId2431"/>
    <hyperlink xmlns:r="http://schemas.openxmlformats.org/officeDocument/2006/relationships" ref="E744" r:id="rId2432"/>
    <hyperlink xmlns:r="http://schemas.openxmlformats.org/officeDocument/2006/relationships" ref="Q744" r:id="rId2433"/>
    <hyperlink xmlns:r="http://schemas.openxmlformats.org/officeDocument/2006/relationships" ref="R744" r:id="rId2434"/>
    <hyperlink xmlns:r="http://schemas.openxmlformats.org/officeDocument/2006/relationships" ref="W744" r:id="rId2435"/>
    <hyperlink xmlns:r="http://schemas.openxmlformats.org/officeDocument/2006/relationships" ref="E745" r:id="rId2436"/>
    <hyperlink xmlns:r="http://schemas.openxmlformats.org/officeDocument/2006/relationships" ref="R745" r:id="rId2437"/>
    <hyperlink xmlns:r="http://schemas.openxmlformats.org/officeDocument/2006/relationships" ref="W745" r:id="rId2438"/>
    <hyperlink xmlns:r="http://schemas.openxmlformats.org/officeDocument/2006/relationships" ref="E746" r:id="rId2439"/>
    <hyperlink xmlns:r="http://schemas.openxmlformats.org/officeDocument/2006/relationships" ref="W746" r:id="rId2440"/>
    <hyperlink xmlns:r="http://schemas.openxmlformats.org/officeDocument/2006/relationships" ref="E747" r:id="rId2441"/>
    <hyperlink xmlns:r="http://schemas.openxmlformats.org/officeDocument/2006/relationships" ref="R747" r:id="rId2442"/>
    <hyperlink xmlns:r="http://schemas.openxmlformats.org/officeDocument/2006/relationships" ref="W747" r:id="rId2443"/>
    <hyperlink xmlns:r="http://schemas.openxmlformats.org/officeDocument/2006/relationships" ref="E748" r:id="rId2444"/>
    <hyperlink xmlns:r="http://schemas.openxmlformats.org/officeDocument/2006/relationships" ref="P748" r:id="rId2445"/>
    <hyperlink xmlns:r="http://schemas.openxmlformats.org/officeDocument/2006/relationships" ref="R748" r:id="rId2446"/>
    <hyperlink xmlns:r="http://schemas.openxmlformats.org/officeDocument/2006/relationships" ref="W748" r:id="rId2447"/>
    <hyperlink xmlns:r="http://schemas.openxmlformats.org/officeDocument/2006/relationships" ref="E749" r:id="rId2448"/>
    <hyperlink xmlns:r="http://schemas.openxmlformats.org/officeDocument/2006/relationships" ref="P749" r:id="rId2449"/>
    <hyperlink xmlns:r="http://schemas.openxmlformats.org/officeDocument/2006/relationships" ref="Q749" r:id="rId2450"/>
    <hyperlink xmlns:r="http://schemas.openxmlformats.org/officeDocument/2006/relationships" ref="R749" r:id="rId2451"/>
    <hyperlink xmlns:r="http://schemas.openxmlformats.org/officeDocument/2006/relationships" ref="W749" r:id="rId2452"/>
    <hyperlink xmlns:r="http://schemas.openxmlformats.org/officeDocument/2006/relationships" ref="E750" r:id="rId2453"/>
    <hyperlink xmlns:r="http://schemas.openxmlformats.org/officeDocument/2006/relationships" ref="P750" r:id="rId2454"/>
    <hyperlink xmlns:r="http://schemas.openxmlformats.org/officeDocument/2006/relationships" ref="R750" r:id="rId2455"/>
    <hyperlink xmlns:r="http://schemas.openxmlformats.org/officeDocument/2006/relationships" ref="W750" r:id="rId2456"/>
    <hyperlink xmlns:r="http://schemas.openxmlformats.org/officeDocument/2006/relationships" ref="E751" r:id="rId2457"/>
    <hyperlink xmlns:r="http://schemas.openxmlformats.org/officeDocument/2006/relationships" ref="W751" r:id="rId2458"/>
    <hyperlink xmlns:r="http://schemas.openxmlformats.org/officeDocument/2006/relationships" ref="E752" r:id="rId2459"/>
    <hyperlink xmlns:r="http://schemas.openxmlformats.org/officeDocument/2006/relationships" ref="W752" r:id="rId2460"/>
    <hyperlink xmlns:r="http://schemas.openxmlformats.org/officeDocument/2006/relationships" ref="E753" r:id="rId2461"/>
    <hyperlink xmlns:r="http://schemas.openxmlformats.org/officeDocument/2006/relationships" ref="R753" r:id="rId2462"/>
    <hyperlink xmlns:r="http://schemas.openxmlformats.org/officeDocument/2006/relationships" ref="W753" r:id="rId2463"/>
    <hyperlink xmlns:r="http://schemas.openxmlformats.org/officeDocument/2006/relationships" ref="E754" r:id="rId2464"/>
    <hyperlink xmlns:r="http://schemas.openxmlformats.org/officeDocument/2006/relationships" ref="W754" r:id="rId2465"/>
    <hyperlink xmlns:r="http://schemas.openxmlformats.org/officeDocument/2006/relationships" ref="E755" r:id="rId2466"/>
    <hyperlink xmlns:r="http://schemas.openxmlformats.org/officeDocument/2006/relationships" ref="W755" r:id="rId2467"/>
    <hyperlink xmlns:r="http://schemas.openxmlformats.org/officeDocument/2006/relationships" ref="E756" r:id="rId2468"/>
    <hyperlink xmlns:r="http://schemas.openxmlformats.org/officeDocument/2006/relationships" ref="W756" r:id="rId2469"/>
    <hyperlink xmlns:r="http://schemas.openxmlformats.org/officeDocument/2006/relationships" ref="E757" r:id="rId2470"/>
    <hyperlink xmlns:r="http://schemas.openxmlformats.org/officeDocument/2006/relationships" ref="W757" r:id="rId2471"/>
    <hyperlink xmlns:r="http://schemas.openxmlformats.org/officeDocument/2006/relationships" ref="E758" r:id="rId2472"/>
    <hyperlink xmlns:r="http://schemas.openxmlformats.org/officeDocument/2006/relationships" ref="W758" r:id="rId2473"/>
    <hyperlink xmlns:r="http://schemas.openxmlformats.org/officeDocument/2006/relationships" ref="E759" r:id="rId2474"/>
    <hyperlink xmlns:r="http://schemas.openxmlformats.org/officeDocument/2006/relationships" ref="R759" r:id="rId2475"/>
    <hyperlink xmlns:r="http://schemas.openxmlformats.org/officeDocument/2006/relationships" ref="W759" r:id="rId2476"/>
    <hyperlink xmlns:r="http://schemas.openxmlformats.org/officeDocument/2006/relationships" ref="E760" r:id="rId2477"/>
    <hyperlink xmlns:r="http://schemas.openxmlformats.org/officeDocument/2006/relationships" ref="W760" r:id="rId2478"/>
    <hyperlink xmlns:r="http://schemas.openxmlformats.org/officeDocument/2006/relationships" ref="E761" r:id="rId2479"/>
    <hyperlink xmlns:r="http://schemas.openxmlformats.org/officeDocument/2006/relationships" ref="W761" r:id="rId2480"/>
    <hyperlink xmlns:r="http://schemas.openxmlformats.org/officeDocument/2006/relationships" ref="E762" r:id="rId2481"/>
    <hyperlink xmlns:r="http://schemas.openxmlformats.org/officeDocument/2006/relationships" ref="P762" r:id="rId2482"/>
    <hyperlink xmlns:r="http://schemas.openxmlformats.org/officeDocument/2006/relationships" ref="R762" r:id="rId2483"/>
    <hyperlink xmlns:r="http://schemas.openxmlformats.org/officeDocument/2006/relationships" ref="W762" r:id="rId2484"/>
    <hyperlink xmlns:r="http://schemas.openxmlformats.org/officeDocument/2006/relationships" ref="E763" r:id="rId2485"/>
    <hyperlink xmlns:r="http://schemas.openxmlformats.org/officeDocument/2006/relationships" ref="R763" r:id="rId2486"/>
    <hyperlink xmlns:r="http://schemas.openxmlformats.org/officeDocument/2006/relationships" ref="W763" r:id="rId2487"/>
    <hyperlink xmlns:r="http://schemas.openxmlformats.org/officeDocument/2006/relationships" ref="E764" r:id="rId2488"/>
    <hyperlink xmlns:r="http://schemas.openxmlformats.org/officeDocument/2006/relationships" ref="W764" r:id="rId2489"/>
    <hyperlink xmlns:r="http://schemas.openxmlformats.org/officeDocument/2006/relationships" ref="E765" r:id="rId2490"/>
    <hyperlink xmlns:r="http://schemas.openxmlformats.org/officeDocument/2006/relationships" ref="R765" r:id="rId2491"/>
    <hyperlink xmlns:r="http://schemas.openxmlformats.org/officeDocument/2006/relationships" ref="W765" r:id="rId2492"/>
    <hyperlink xmlns:r="http://schemas.openxmlformats.org/officeDocument/2006/relationships" ref="E766" r:id="rId2493"/>
    <hyperlink xmlns:r="http://schemas.openxmlformats.org/officeDocument/2006/relationships" ref="W766" r:id="rId2494"/>
    <hyperlink xmlns:r="http://schemas.openxmlformats.org/officeDocument/2006/relationships" ref="E767" r:id="rId2495"/>
    <hyperlink xmlns:r="http://schemas.openxmlformats.org/officeDocument/2006/relationships" ref="R767" r:id="rId2496"/>
    <hyperlink xmlns:r="http://schemas.openxmlformats.org/officeDocument/2006/relationships" ref="W767" r:id="rId2497"/>
    <hyperlink xmlns:r="http://schemas.openxmlformats.org/officeDocument/2006/relationships" ref="E768" r:id="rId2498"/>
    <hyperlink xmlns:r="http://schemas.openxmlformats.org/officeDocument/2006/relationships" ref="W768" r:id="rId2499"/>
    <hyperlink xmlns:r="http://schemas.openxmlformats.org/officeDocument/2006/relationships" ref="E769" r:id="rId2500"/>
    <hyperlink xmlns:r="http://schemas.openxmlformats.org/officeDocument/2006/relationships" ref="W769" r:id="rId2501"/>
    <hyperlink xmlns:r="http://schemas.openxmlformats.org/officeDocument/2006/relationships" ref="E770" r:id="rId2502"/>
    <hyperlink xmlns:r="http://schemas.openxmlformats.org/officeDocument/2006/relationships" ref="W770" r:id="rId2503"/>
    <hyperlink xmlns:r="http://schemas.openxmlformats.org/officeDocument/2006/relationships" ref="E771" r:id="rId2504"/>
    <hyperlink xmlns:r="http://schemas.openxmlformats.org/officeDocument/2006/relationships" ref="W771" r:id="rId2505"/>
    <hyperlink xmlns:r="http://schemas.openxmlformats.org/officeDocument/2006/relationships" ref="E772" r:id="rId2506"/>
    <hyperlink xmlns:r="http://schemas.openxmlformats.org/officeDocument/2006/relationships" ref="R772" r:id="rId2507"/>
    <hyperlink xmlns:r="http://schemas.openxmlformats.org/officeDocument/2006/relationships" ref="W772" r:id="rId2508"/>
    <hyperlink xmlns:r="http://schemas.openxmlformats.org/officeDocument/2006/relationships" ref="W773" r:id="rId2509"/>
    <hyperlink xmlns:r="http://schemas.openxmlformats.org/officeDocument/2006/relationships" ref="E774" r:id="rId2510"/>
    <hyperlink xmlns:r="http://schemas.openxmlformats.org/officeDocument/2006/relationships" ref="P774" r:id="rId2511"/>
    <hyperlink xmlns:r="http://schemas.openxmlformats.org/officeDocument/2006/relationships" ref="R774" r:id="rId2512"/>
    <hyperlink xmlns:r="http://schemas.openxmlformats.org/officeDocument/2006/relationships" ref="W774" r:id="rId2513"/>
    <hyperlink xmlns:r="http://schemas.openxmlformats.org/officeDocument/2006/relationships" ref="R775" r:id="rId2514"/>
    <hyperlink xmlns:r="http://schemas.openxmlformats.org/officeDocument/2006/relationships" ref="W775" r:id="rId2515"/>
    <hyperlink xmlns:r="http://schemas.openxmlformats.org/officeDocument/2006/relationships" ref="E776" r:id="rId2516"/>
    <hyperlink xmlns:r="http://schemas.openxmlformats.org/officeDocument/2006/relationships" ref="P776" r:id="rId2517"/>
    <hyperlink xmlns:r="http://schemas.openxmlformats.org/officeDocument/2006/relationships" ref="R776" r:id="rId2518"/>
    <hyperlink xmlns:r="http://schemas.openxmlformats.org/officeDocument/2006/relationships" ref="W776" r:id="rId2519"/>
    <hyperlink xmlns:r="http://schemas.openxmlformats.org/officeDocument/2006/relationships" ref="E777" r:id="rId2520"/>
    <hyperlink xmlns:r="http://schemas.openxmlformats.org/officeDocument/2006/relationships" ref="P777" r:id="rId2521"/>
    <hyperlink xmlns:r="http://schemas.openxmlformats.org/officeDocument/2006/relationships" ref="Q777" r:id="rId2522"/>
    <hyperlink xmlns:r="http://schemas.openxmlformats.org/officeDocument/2006/relationships" ref="R777" r:id="rId2523"/>
    <hyperlink xmlns:r="http://schemas.openxmlformats.org/officeDocument/2006/relationships" ref="W777" r:id="rId2524"/>
    <hyperlink xmlns:r="http://schemas.openxmlformats.org/officeDocument/2006/relationships" ref="E778" r:id="rId2525"/>
    <hyperlink xmlns:r="http://schemas.openxmlformats.org/officeDocument/2006/relationships" ref="W778" r:id="rId2526"/>
    <hyperlink xmlns:r="http://schemas.openxmlformats.org/officeDocument/2006/relationships" ref="E779" r:id="rId2527"/>
    <hyperlink xmlns:r="http://schemas.openxmlformats.org/officeDocument/2006/relationships" ref="W779" r:id="rId2528"/>
    <hyperlink xmlns:r="http://schemas.openxmlformats.org/officeDocument/2006/relationships" ref="E780" r:id="rId2529"/>
    <hyperlink xmlns:r="http://schemas.openxmlformats.org/officeDocument/2006/relationships" ref="P780" r:id="rId2530"/>
    <hyperlink xmlns:r="http://schemas.openxmlformats.org/officeDocument/2006/relationships" ref="R780" r:id="rId2531"/>
    <hyperlink xmlns:r="http://schemas.openxmlformats.org/officeDocument/2006/relationships" ref="W780" r:id="rId2532"/>
    <hyperlink xmlns:r="http://schemas.openxmlformats.org/officeDocument/2006/relationships" ref="E781" r:id="rId2533"/>
    <hyperlink xmlns:r="http://schemas.openxmlformats.org/officeDocument/2006/relationships" ref="E782" r:id="rId2534"/>
    <hyperlink xmlns:r="http://schemas.openxmlformats.org/officeDocument/2006/relationships" ref="W782" r:id="rId2535"/>
    <hyperlink xmlns:r="http://schemas.openxmlformats.org/officeDocument/2006/relationships" ref="E783" r:id="rId2536"/>
    <hyperlink xmlns:r="http://schemas.openxmlformats.org/officeDocument/2006/relationships" ref="P783" r:id="rId2537"/>
    <hyperlink xmlns:r="http://schemas.openxmlformats.org/officeDocument/2006/relationships" ref="Q783" r:id="rId2538"/>
    <hyperlink xmlns:r="http://schemas.openxmlformats.org/officeDocument/2006/relationships" ref="R783" r:id="rId2539"/>
    <hyperlink xmlns:r="http://schemas.openxmlformats.org/officeDocument/2006/relationships" ref="W783" r:id="rId2540"/>
    <hyperlink xmlns:r="http://schemas.openxmlformats.org/officeDocument/2006/relationships" ref="E784" r:id="rId2541"/>
    <hyperlink xmlns:r="http://schemas.openxmlformats.org/officeDocument/2006/relationships" ref="E785" r:id="rId2542"/>
    <hyperlink xmlns:r="http://schemas.openxmlformats.org/officeDocument/2006/relationships" ref="R785" r:id="rId2543"/>
    <hyperlink xmlns:r="http://schemas.openxmlformats.org/officeDocument/2006/relationships" ref="W785" r:id="rId2544"/>
    <hyperlink xmlns:r="http://schemas.openxmlformats.org/officeDocument/2006/relationships" ref="E786" r:id="rId2545"/>
    <hyperlink xmlns:r="http://schemas.openxmlformats.org/officeDocument/2006/relationships" ref="W786" r:id="rId2546"/>
    <hyperlink xmlns:r="http://schemas.openxmlformats.org/officeDocument/2006/relationships" ref="E787" r:id="rId2547"/>
    <hyperlink xmlns:r="http://schemas.openxmlformats.org/officeDocument/2006/relationships" ref="P787" r:id="rId2548"/>
    <hyperlink xmlns:r="http://schemas.openxmlformats.org/officeDocument/2006/relationships" ref="Q787" r:id="rId2549"/>
    <hyperlink xmlns:r="http://schemas.openxmlformats.org/officeDocument/2006/relationships" ref="R787" r:id="rId2550"/>
    <hyperlink xmlns:r="http://schemas.openxmlformats.org/officeDocument/2006/relationships" ref="W787" r:id="rId2551"/>
    <hyperlink xmlns:r="http://schemas.openxmlformats.org/officeDocument/2006/relationships" ref="E788" r:id="rId2552"/>
    <hyperlink xmlns:r="http://schemas.openxmlformats.org/officeDocument/2006/relationships" ref="R788" r:id="rId2553"/>
    <hyperlink xmlns:r="http://schemas.openxmlformats.org/officeDocument/2006/relationships" ref="W788" r:id="rId2554"/>
    <hyperlink xmlns:r="http://schemas.openxmlformats.org/officeDocument/2006/relationships" ref="E789" r:id="rId2555"/>
    <hyperlink xmlns:r="http://schemas.openxmlformats.org/officeDocument/2006/relationships" ref="W789" r:id="rId2556"/>
    <hyperlink xmlns:r="http://schemas.openxmlformats.org/officeDocument/2006/relationships" ref="E790" r:id="rId2557"/>
    <hyperlink xmlns:r="http://schemas.openxmlformats.org/officeDocument/2006/relationships" ref="R790" r:id="rId2558"/>
    <hyperlink xmlns:r="http://schemas.openxmlformats.org/officeDocument/2006/relationships" ref="E791" r:id="rId2559"/>
    <hyperlink xmlns:r="http://schemas.openxmlformats.org/officeDocument/2006/relationships" ref="W791" r:id="rId2560"/>
    <hyperlink xmlns:r="http://schemas.openxmlformats.org/officeDocument/2006/relationships" ref="E792" r:id="rId2561"/>
    <hyperlink xmlns:r="http://schemas.openxmlformats.org/officeDocument/2006/relationships" ref="W792" r:id="rId2562"/>
    <hyperlink xmlns:r="http://schemas.openxmlformats.org/officeDocument/2006/relationships" ref="E793" r:id="rId2563"/>
    <hyperlink xmlns:r="http://schemas.openxmlformats.org/officeDocument/2006/relationships" ref="R793" r:id="rId2564"/>
    <hyperlink xmlns:r="http://schemas.openxmlformats.org/officeDocument/2006/relationships" ref="W793" r:id="rId2565"/>
    <hyperlink xmlns:r="http://schemas.openxmlformats.org/officeDocument/2006/relationships" ref="E794" r:id="rId2566"/>
    <hyperlink xmlns:r="http://schemas.openxmlformats.org/officeDocument/2006/relationships" ref="W794" r:id="rId2567"/>
    <hyperlink xmlns:r="http://schemas.openxmlformats.org/officeDocument/2006/relationships" ref="E795" r:id="rId2568"/>
    <hyperlink xmlns:r="http://schemas.openxmlformats.org/officeDocument/2006/relationships" ref="P795" r:id="rId2569"/>
    <hyperlink xmlns:r="http://schemas.openxmlformats.org/officeDocument/2006/relationships" ref="R795" r:id="rId2570"/>
    <hyperlink xmlns:r="http://schemas.openxmlformats.org/officeDocument/2006/relationships" ref="W795" r:id="rId2571"/>
    <hyperlink xmlns:r="http://schemas.openxmlformats.org/officeDocument/2006/relationships" ref="E796" r:id="rId2572"/>
    <hyperlink xmlns:r="http://schemas.openxmlformats.org/officeDocument/2006/relationships" ref="W796" r:id="rId2573"/>
    <hyperlink xmlns:r="http://schemas.openxmlformats.org/officeDocument/2006/relationships" ref="E797" r:id="rId2574"/>
    <hyperlink xmlns:r="http://schemas.openxmlformats.org/officeDocument/2006/relationships" ref="W797" r:id="rId2575"/>
    <hyperlink xmlns:r="http://schemas.openxmlformats.org/officeDocument/2006/relationships" ref="E798" r:id="rId2576"/>
    <hyperlink xmlns:r="http://schemas.openxmlformats.org/officeDocument/2006/relationships" ref="P798" r:id="rId2577"/>
    <hyperlink xmlns:r="http://schemas.openxmlformats.org/officeDocument/2006/relationships" ref="Q798" r:id="rId2578"/>
    <hyperlink xmlns:r="http://schemas.openxmlformats.org/officeDocument/2006/relationships" ref="R798" r:id="rId2579"/>
    <hyperlink xmlns:r="http://schemas.openxmlformats.org/officeDocument/2006/relationships" ref="W798" r:id="rId2580"/>
    <hyperlink xmlns:r="http://schemas.openxmlformats.org/officeDocument/2006/relationships" ref="E799" r:id="rId2581"/>
    <hyperlink xmlns:r="http://schemas.openxmlformats.org/officeDocument/2006/relationships" ref="P799" r:id="rId2582"/>
    <hyperlink xmlns:r="http://schemas.openxmlformats.org/officeDocument/2006/relationships" ref="R799" r:id="rId2583"/>
    <hyperlink xmlns:r="http://schemas.openxmlformats.org/officeDocument/2006/relationships" ref="W799" r:id="rId2584"/>
    <hyperlink xmlns:r="http://schemas.openxmlformats.org/officeDocument/2006/relationships" ref="E800" r:id="rId2585"/>
    <hyperlink xmlns:r="http://schemas.openxmlformats.org/officeDocument/2006/relationships" ref="W800" r:id="rId2586"/>
    <hyperlink xmlns:r="http://schemas.openxmlformats.org/officeDocument/2006/relationships" ref="E801" r:id="rId2587"/>
    <hyperlink xmlns:r="http://schemas.openxmlformats.org/officeDocument/2006/relationships" ref="W801" r:id="rId2588"/>
    <hyperlink xmlns:r="http://schemas.openxmlformats.org/officeDocument/2006/relationships" ref="W802" r:id="rId2589"/>
    <hyperlink xmlns:r="http://schemas.openxmlformats.org/officeDocument/2006/relationships" ref="E803" r:id="rId2590"/>
    <hyperlink xmlns:r="http://schemas.openxmlformats.org/officeDocument/2006/relationships" ref="W803" r:id="rId2591"/>
    <hyperlink xmlns:r="http://schemas.openxmlformats.org/officeDocument/2006/relationships" ref="E804" r:id="rId2592"/>
    <hyperlink xmlns:r="http://schemas.openxmlformats.org/officeDocument/2006/relationships" ref="P804" r:id="rId2593"/>
    <hyperlink xmlns:r="http://schemas.openxmlformats.org/officeDocument/2006/relationships" ref="R804" r:id="rId2594"/>
    <hyperlink xmlns:r="http://schemas.openxmlformats.org/officeDocument/2006/relationships" ref="W804" r:id="rId2595"/>
    <hyperlink xmlns:r="http://schemas.openxmlformats.org/officeDocument/2006/relationships" ref="E805" r:id="rId2596"/>
    <hyperlink xmlns:r="http://schemas.openxmlformats.org/officeDocument/2006/relationships" ref="P805" r:id="rId2597"/>
    <hyperlink xmlns:r="http://schemas.openxmlformats.org/officeDocument/2006/relationships" ref="R805" r:id="rId2598"/>
    <hyperlink xmlns:r="http://schemas.openxmlformats.org/officeDocument/2006/relationships" ref="W805" r:id="rId2599"/>
    <hyperlink xmlns:r="http://schemas.openxmlformats.org/officeDocument/2006/relationships" ref="E806" r:id="rId2600"/>
    <hyperlink xmlns:r="http://schemas.openxmlformats.org/officeDocument/2006/relationships" ref="W806" r:id="rId2601"/>
    <hyperlink xmlns:r="http://schemas.openxmlformats.org/officeDocument/2006/relationships" ref="E807" r:id="rId2602"/>
    <hyperlink xmlns:r="http://schemas.openxmlformats.org/officeDocument/2006/relationships" ref="W807" r:id="rId2603"/>
    <hyperlink xmlns:r="http://schemas.openxmlformats.org/officeDocument/2006/relationships" ref="E808" r:id="rId2604"/>
    <hyperlink xmlns:r="http://schemas.openxmlformats.org/officeDocument/2006/relationships" ref="P808" r:id="rId2605"/>
    <hyperlink xmlns:r="http://schemas.openxmlformats.org/officeDocument/2006/relationships" ref="R808" r:id="rId2606"/>
    <hyperlink xmlns:r="http://schemas.openxmlformats.org/officeDocument/2006/relationships" ref="W808" r:id="rId2607"/>
    <hyperlink xmlns:r="http://schemas.openxmlformats.org/officeDocument/2006/relationships" ref="E809" r:id="rId2608"/>
    <hyperlink xmlns:r="http://schemas.openxmlformats.org/officeDocument/2006/relationships" ref="W809" r:id="rId2609"/>
    <hyperlink xmlns:r="http://schemas.openxmlformats.org/officeDocument/2006/relationships" ref="E810" r:id="rId2610"/>
    <hyperlink xmlns:r="http://schemas.openxmlformats.org/officeDocument/2006/relationships" ref="W810" r:id="rId2611"/>
    <hyperlink xmlns:r="http://schemas.openxmlformats.org/officeDocument/2006/relationships" ref="E811" r:id="rId2612"/>
    <hyperlink xmlns:r="http://schemas.openxmlformats.org/officeDocument/2006/relationships" ref="P811" r:id="rId2613"/>
    <hyperlink xmlns:r="http://schemas.openxmlformats.org/officeDocument/2006/relationships" ref="Q811" r:id="rId2614"/>
    <hyperlink xmlns:r="http://schemas.openxmlformats.org/officeDocument/2006/relationships" ref="R811" r:id="rId2615"/>
    <hyperlink xmlns:r="http://schemas.openxmlformats.org/officeDocument/2006/relationships" ref="W811" r:id="rId2616"/>
    <hyperlink xmlns:r="http://schemas.openxmlformats.org/officeDocument/2006/relationships" ref="E812" r:id="rId2617"/>
    <hyperlink xmlns:r="http://schemas.openxmlformats.org/officeDocument/2006/relationships" ref="W812" r:id="rId2618"/>
    <hyperlink xmlns:r="http://schemas.openxmlformats.org/officeDocument/2006/relationships" ref="E813" r:id="rId2619"/>
    <hyperlink xmlns:r="http://schemas.openxmlformats.org/officeDocument/2006/relationships" ref="W813" r:id="rId2620"/>
    <hyperlink xmlns:r="http://schemas.openxmlformats.org/officeDocument/2006/relationships" ref="E814" r:id="rId2621"/>
    <hyperlink xmlns:r="http://schemas.openxmlformats.org/officeDocument/2006/relationships" ref="W814" r:id="rId2622"/>
    <hyperlink xmlns:r="http://schemas.openxmlformats.org/officeDocument/2006/relationships" ref="E815" r:id="rId2623"/>
    <hyperlink xmlns:r="http://schemas.openxmlformats.org/officeDocument/2006/relationships" ref="W815" r:id="rId2624"/>
    <hyperlink xmlns:r="http://schemas.openxmlformats.org/officeDocument/2006/relationships" ref="E816" r:id="rId2625"/>
    <hyperlink xmlns:r="http://schemas.openxmlformats.org/officeDocument/2006/relationships" ref="P816" r:id="rId2626"/>
    <hyperlink xmlns:r="http://schemas.openxmlformats.org/officeDocument/2006/relationships" ref="Q816" r:id="rId2627"/>
    <hyperlink xmlns:r="http://schemas.openxmlformats.org/officeDocument/2006/relationships" ref="R816" r:id="rId2628"/>
    <hyperlink xmlns:r="http://schemas.openxmlformats.org/officeDocument/2006/relationships" ref="W816" r:id="rId2629"/>
    <hyperlink xmlns:r="http://schemas.openxmlformats.org/officeDocument/2006/relationships" ref="D817" r:id="rId2630"/>
    <hyperlink xmlns:r="http://schemas.openxmlformats.org/officeDocument/2006/relationships" ref="E817" r:id="rId2631"/>
    <hyperlink xmlns:r="http://schemas.openxmlformats.org/officeDocument/2006/relationships" ref="R817" r:id="rId2632"/>
    <hyperlink xmlns:r="http://schemas.openxmlformats.org/officeDocument/2006/relationships" ref="W817" r:id="rId2633"/>
    <hyperlink xmlns:r="http://schemas.openxmlformats.org/officeDocument/2006/relationships" ref="E818" r:id="rId2634"/>
    <hyperlink xmlns:r="http://schemas.openxmlformats.org/officeDocument/2006/relationships" ref="W818" r:id="rId2635"/>
    <hyperlink xmlns:r="http://schemas.openxmlformats.org/officeDocument/2006/relationships" ref="E819" r:id="rId2636"/>
    <hyperlink xmlns:r="http://schemas.openxmlformats.org/officeDocument/2006/relationships" ref="W819" r:id="rId2637"/>
    <hyperlink xmlns:r="http://schemas.openxmlformats.org/officeDocument/2006/relationships" ref="E820" r:id="rId2638"/>
    <hyperlink xmlns:r="http://schemas.openxmlformats.org/officeDocument/2006/relationships" ref="W820" r:id="rId2639"/>
    <hyperlink xmlns:r="http://schemas.openxmlformats.org/officeDocument/2006/relationships" ref="E821" r:id="rId2640"/>
    <hyperlink xmlns:r="http://schemas.openxmlformats.org/officeDocument/2006/relationships" ref="Q821" r:id="rId2641"/>
    <hyperlink xmlns:r="http://schemas.openxmlformats.org/officeDocument/2006/relationships" ref="R821" r:id="rId2642"/>
    <hyperlink xmlns:r="http://schemas.openxmlformats.org/officeDocument/2006/relationships" ref="W821" r:id="rId2643"/>
    <hyperlink xmlns:r="http://schemas.openxmlformats.org/officeDocument/2006/relationships" ref="E822" r:id="rId2644"/>
    <hyperlink xmlns:r="http://schemas.openxmlformats.org/officeDocument/2006/relationships" ref="R822" r:id="rId2645"/>
    <hyperlink xmlns:r="http://schemas.openxmlformats.org/officeDocument/2006/relationships" ref="W822" r:id="rId2646"/>
    <hyperlink xmlns:r="http://schemas.openxmlformats.org/officeDocument/2006/relationships" ref="E823" r:id="rId2647"/>
    <hyperlink xmlns:r="http://schemas.openxmlformats.org/officeDocument/2006/relationships" ref="P823" r:id="rId2648"/>
    <hyperlink xmlns:r="http://schemas.openxmlformats.org/officeDocument/2006/relationships" ref="R823" r:id="rId2649"/>
    <hyperlink xmlns:r="http://schemas.openxmlformats.org/officeDocument/2006/relationships" ref="W823" r:id="rId2650"/>
    <hyperlink xmlns:r="http://schemas.openxmlformats.org/officeDocument/2006/relationships" ref="E824" r:id="rId2651"/>
    <hyperlink xmlns:r="http://schemas.openxmlformats.org/officeDocument/2006/relationships" ref="W824" r:id="rId2652"/>
    <hyperlink xmlns:r="http://schemas.openxmlformats.org/officeDocument/2006/relationships" ref="E825" r:id="rId2653"/>
    <hyperlink xmlns:r="http://schemas.openxmlformats.org/officeDocument/2006/relationships" ref="W825" r:id="rId2654"/>
    <hyperlink xmlns:r="http://schemas.openxmlformats.org/officeDocument/2006/relationships" ref="E826" r:id="rId2655"/>
    <hyperlink xmlns:r="http://schemas.openxmlformats.org/officeDocument/2006/relationships" ref="W826" r:id="rId2656"/>
    <hyperlink xmlns:r="http://schemas.openxmlformats.org/officeDocument/2006/relationships" ref="E827" r:id="rId2657"/>
    <hyperlink xmlns:r="http://schemas.openxmlformats.org/officeDocument/2006/relationships" ref="W827" r:id="rId2658"/>
    <hyperlink xmlns:r="http://schemas.openxmlformats.org/officeDocument/2006/relationships" ref="E828" r:id="rId2659"/>
    <hyperlink xmlns:r="http://schemas.openxmlformats.org/officeDocument/2006/relationships" ref="W828" r:id="rId2660"/>
    <hyperlink xmlns:r="http://schemas.openxmlformats.org/officeDocument/2006/relationships" ref="E829" r:id="rId2661"/>
    <hyperlink xmlns:r="http://schemas.openxmlformats.org/officeDocument/2006/relationships" ref="P829" r:id="rId2662"/>
    <hyperlink xmlns:r="http://schemas.openxmlformats.org/officeDocument/2006/relationships" ref="Q829" r:id="rId2663"/>
    <hyperlink xmlns:r="http://schemas.openxmlformats.org/officeDocument/2006/relationships" ref="R829" r:id="rId2664"/>
    <hyperlink xmlns:r="http://schemas.openxmlformats.org/officeDocument/2006/relationships" ref="W829" r:id="rId2665"/>
    <hyperlink xmlns:r="http://schemas.openxmlformats.org/officeDocument/2006/relationships" ref="E830" r:id="rId2666"/>
    <hyperlink xmlns:r="http://schemas.openxmlformats.org/officeDocument/2006/relationships" ref="E831" r:id="rId2667"/>
    <hyperlink xmlns:r="http://schemas.openxmlformats.org/officeDocument/2006/relationships" ref="P831" r:id="rId2668"/>
    <hyperlink xmlns:r="http://schemas.openxmlformats.org/officeDocument/2006/relationships" ref="Q831" r:id="rId2669"/>
    <hyperlink xmlns:r="http://schemas.openxmlformats.org/officeDocument/2006/relationships" ref="R831" r:id="rId2670"/>
    <hyperlink xmlns:r="http://schemas.openxmlformats.org/officeDocument/2006/relationships" ref="W831" r:id="rId2671"/>
    <hyperlink xmlns:r="http://schemas.openxmlformats.org/officeDocument/2006/relationships" ref="E832" r:id="rId2672"/>
    <hyperlink xmlns:r="http://schemas.openxmlformats.org/officeDocument/2006/relationships" ref="P832" r:id="rId2673"/>
    <hyperlink xmlns:r="http://schemas.openxmlformats.org/officeDocument/2006/relationships" ref="Q832" r:id="rId2674"/>
    <hyperlink xmlns:r="http://schemas.openxmlformats.org/officeDocument/2006/relationships" ref="R832" r:id="rId2675"/>
    <hyperlink xmlns:r="http://schemas.openxmlformats.org/officeDocument/2006/relationships" ref="W832" r:id="rId2676"/>
    <hyperlink xmlns:r="http://schemas.openxmlformats.org/officeDocument/2006/relationships" ref="E833" r:id="rId2677"/>
    <hyperlink xmlns:r="http://schemas.openxmlformats.org/officeDocument/2006/relationships" ref="W833" r:id="rId2678"/>
    <hyperlink xmlns:r="http://schemas.openxmlformats.org/officeDocument/2006/relationships" ref="E834" r:id="rId2679"/>
    <hyperlink xmlns:r="http://schemas.openxmlformats.org/officeDocument/2006/relationships" ref="W834" r:id="rId2680"/>
    <hyperlink xmlns:r="http://schemas.openxmlformats.org/officeDocument/2006/relationships" ref="E835" r:id="rId2681"/>
    <hyperlink xmlns:r="http://schemas.openxmlformats.org/officeDocument/2006/relationships" ref="W835" r:id="rId2682"/>
    <hyperlink xmlns:r="http://schemas.openxmlformats.org/officeDocument/2006/relationships" ref="E836" r:id="rId2683"/>
    <hyperlink xmlns:r="http://schemas.openxmlformats.org/officeDocument/2006/relationships" ref="Q836" r:id="rId2684"/>
    <hyperlink xmlns:r="http://schemas.openxmlformats.org/officeDocument/2006/relationships" ref="R836" r:id="rId2685"/>
    <hyperlink xmlns:r="http://schemas.openxmlformats.org/officeDocument/2006/relationships" ref="W836" r:id="rId2686"/>
    <hyperlink xmlns:r="http://schemas.openxmlformats.org/officeDocument/2006/relationships" ref="E837" r:id="rId2687"/>
    <hyperlink xmlns:r="http://schemas.openxmlformats.org/officeDocument/2006/relationships" ref="Q837" r:id="rId2688"/>
    <hyperlink xmlns:r="http://schemas.openxmlformats.org/officeDocument/2006/relationships" ref="R837" r:id="rId2689"/>
    <hyperlink xmlns:r="http://schemas.openxmlformats.org/officeDocument/2006/relationships" ref="W837" r:id="rId2690"/>
    <hyperlink xmlns:r="http://schemas.openxmlformats.org/officeDocument/2006/relationships" ref="E838" r:id="rId2691"/>
    <hyperlink xmlns:r="http://schemas.openxmlformats.org/officeDocument/2006/relationships" ref="W838" r:id="rId2692"/>
    <hyperlink xmlns:r="http://schemas.openxmlformats.org/officeDocument/2006/relationships" ref="E839" r:id="rId2693"/>
    <hyperlink xmlns:r="http://schemas.openxmlformats.org/officeDocument/2006/relationships" ref="W839" r:id="rId2694"/>
    <hyperlink xmlns:r="http://schemas.openxmlformats.org/officeDocument/2006/relationships" ref="D840" r:id="rId2695"/>
    <hyperlink xmlns:r="http://schemas.openxmlformats.org/officeDocument/2006/relationships" ref="E840" r:id="rId2696"/>
    <hyperlink xmlns:r="http://schemas.openxmlformats.org/officeDocument/2006/relationships" ref="W840" r:id="rId2697"/>
    <hyperlink xmlns:r="http://schemas.openxmlformats.org/officeDocument/2006/relationships" ref="E841" r:id="rId2698"/>
    <hyperlink xmlns:r="http://schemas.openxmlformats.org/officeDocument/2006/relationships" ref="P841" r:id="rId2699"/>
    <hyperlink xmlns:r="http://schemas.openxmlformats.org/officeDocument/2006/relationships" ref="W841" r:id="rId2700"/>
    <hyperlink xmlns:r="http://schemas.openxmlformats.org/officeDocument/2006/relationships" ref="E842" r:id="rId2701"/>
    <hyperlink xmlns:r="http://schemas.openxmlformats.org/officeDocument/2006/relationships" ref="W842" r:id="rId2702"/>
    <hyperlink xmlns:r="http://schemas.openxmlformats.org/officeDocument/2006/relationships" ref="E843" r:id="rId2703"/>
    <hyperlink xmlns:r="http://schemas.openxmlformats.org/officeDocument/2006/relationships" ref="P843" r:id="rId2704"/>
    <hyperlink xmlns:r="http://schemas.openxmlformats.org/officeDocument/2006/relationships" ref="R843" r:id="rId2705"/>
    <hyperlink xmlns:r="http://schemas.openxmlformats.org/officeDocument/2006/relationships" ref="W843" r:id="rId2706"/>
    <hyperlink xmlns:r="http://schemas.openxmlformats.org/officeDocument/2006/relationships" ref="E844" r:id="rId2707"/>
    <hyperlink xmlns:r="http://schemas.openxmlformats.org/officeDocument/2006/relationships" ref="W844" r:id="rId2708"/>
    <hyperlink xmlns:r="http://schemas.openxmlformats.org/officeDocument/2006/relationships" ref="E845" r:id="rId2709"/>
    <hyperlink xmlns:r="http://schemas.openxmlformats.org/officeDocument/2006/relationships" ref="W845" r:id="rId2710"/>
    <hyperlink xmlns:r="http://schemas.openxmlformats.org/officeDocument/2006/relationships" ref="E846" r:id="rId2711"/>
    <hyperlink xmlns:r="http://schemas.openxmlformats.org/officeDocument/2006/relationships" ref="W846" r:id="rId2712"/>
    <hyperlink xmlns:r="http://schemas.openxmlformats.org/officeDocument/2006/relationships" ref="E847" r:id="rId2713"/>
    <hyperlink xmlns:r="http://schemas.openxmlformats.org/officeDocument/2006/relationships" ref="P847" r:id="rId2714"/>
    <hyperlink xmlns:r="http://schemas.openxmlformats.org/officeDocument/2006/relationships" ref="Q847" r:id="rId2715"/>
    <hyperlink xmlns:r="http://schemas.openxmlformats.org/officeDocument/2006/relationships" ref="R847" r:id="rId2716"/>
    <hyperlink xmlns:r="http://schemas.openxmlformats.org/officeDocument/2006/relationships" ref="W847" r:id="rId2717"/>
    <hyperlink xmlns:r="http://schemas.openxmlformats.org/officeDocument/2006/relationships" ref="E848" r:id="rId2718"/>
    <hyperlink xmlns:r="http://schemas.openxmlformats.org/officeDocument/2006/relationships" ref="P848" r:id="rId2719"/>
    <hyperlink xmlns:r="http://schemas.openxmlformats.org/officeDocument/2006/relationships" ref="R848" r:id="rId2720"/>
    <hyperlink xmlns:r="http://schemas.openxmlformats.org/officeDocument/2006/relationships" ref="W848" r:id="rId2721"/>
    <hyperlink xmlns:r="http://schemas.openxmlformats.org/officeDocument/2006/relationships" ref="E849" r:id="rId2722"/>
    <hyperlink xmlns:r="http://schemas.openxmlformats.org/officeDocument/2006/relationships" ref="R849" r:id="rId2723"/>
    <hyperlink xmlns:r="http://schemas.openxmlformats.org/officeDocument/2006/relationships" ref="W849" r:id="rId2724"/>
    <hyperlink xmlns:r="http://schemas.openxmlformats.org/officeDocument/2006/relationships" ref="E850" r:id="rId2725"/>
    <hyperlink xmlns:r="http://schemas.openxmlformats.org/officeDocument/2006/relationships" ref="W850" r:id="rId2726"/>
    <hyperlink xmlns:r="http://schemas.openxmlformats.org/officeDocument/2006/relationships" ref="E851" r:id="rId2727"/>
    <hyperlink xmlns:r="http://schemas.openxmlformats.org/officeDocument/2006/relationships" ref="P851" r:id="rId2728"/>
    <hyperlink xmlns:r="http://schemas.openxmlformats.org/officeDocument/2006/relationships" ref="Q851" r:id="rId2729"/>
    <hyperlink xmlns:r="http://schemas.openxmlformats.org/officeDocument/2006/relationships" ref="R851" r:id="rId2730"/>
    <hyperlink xmlns:r="http://schemas.openxmlformats.org/officeDocument/2006/relationships" ref="W851" r:id="rId2731"/>
    <hyperlink xmlns:r="http://schemas.openxmlformats.org/officeDocument/2006/relationships" ref="E852" r:id="rId2732"/>
    <hyperlink xmlns:r="http://schemas.openxmlformats.org/officeDocument/2006/relationships" ref="E853" r:id="rId2733"/>
    <hyperlink xmlns:r="http://schemas.openxmlformats.org/officeDocument/2006/relationships" ref="W853" r:id="rId2734"/>
    <hyperlink xmlns:r="http://schemas.openxmlformats.org/officeDocument/2006/relationships" ref="E854" r:id="rId2735"/>
    <hyperlink xmlns:r="http://schemas.openxmlformats.org/officeDocument/2006/relationships" ref="W854" r:id="rId2736"/>
    <hyperlink xmlns:r="http://schemas.openxmlformats.org/officeDocument/2006/relationships" ref="E855" r:id="rId2737"/>
    <hyperlink xmlns:r="http://schemas.openxmlformats.org/officeDocument/2006/relationships" ref="Q855" r:id="rId2738"/>
    <hyperlink xmlns:r="http://schemas.openxmlformats.org/officeDocument/2006/relationships" ref="R855" r:id="rId2739"/>
    <hyperlink xmlns:r="http://schemas.openxmlformats.org/officeDocument/2006/relationships" ref="W855" r:id="rId2740"/>
    <hyperlink xmlns:r="http://schemas.openxmlformats.org/officeDocument/2006/relationships" ref="E856" r:id="rId2741"/>
    <hyperlink xmlns:r="http://schemas.openxmlformats.org/officeDocument/2006/relationships" ref="W856" r:id="rId2742"/>
    <hyperlink xmlns:r="http://schemas.openxmlformats.org/officeDocument/2006/relationships" ref="E857" r:id="rId2743"/>
    <hyperlink xmlns:r="http://schemas.openxmlformats.org/officeDocument/2006/relationships" ref="R857" r:id="rId2744"/>
    <hyperlink xmlns:r="http://schemas.openxmlformats.org/officeDocument/2006/relationships" ref="W857" r:id="rId2745"/>
    <hyperlink xmlns:r="http://schemas.openxmlformats.org/officeDocument/2006/relationships" ref="E858" r:id="rId2746"/>
    <hyperlink xmlns:r="http://schemas.openxmlformats.org/officeDocument/2006/relationships" ref="W858" r:id="rId2747"/>
    <hyperlink xmlns:r="http://schemas.openxmlformats.org/officeDocument/2006/relationships" ref="E859" r:id="rId2748"/>
    <hyperlink xmlns:r="http://schemas.openxmlformats.org/officeDocument/2006/relationships" ref="P859" r:id="rId2749"/>
    <hyperlink xmlns:r="http://schemas.openxmlformats.org/officeDocument/2006/relationships" ref="Q859" r:id="rId2750"/>
    <hyperlink xmlns:r="http://schemas.openxmlformats.org/officeDocument/2006/relationships" ref="R859" r:id="rId2751"/>
    <hyperlink xmlns:r="http://schemas.openxmlformats.org/officeDocument/2006/relationships" ref="W859" r:id="rId2752"/>
    <hyperlink xmlns:r="http://schemas.openxmlformats.org/officeDocument/2006/relationships" ref="E860" r:id="rId2753"/>
    <hyperlink xmlns:r="http://schemas.openxmlformats.org/officeDocument/2006/relationships" ref="W860" r:id="rId2754"/>
    <hyperlink xmlns:r="http://schemas.openxmlformats.org/officeDocument/2006/relationships" ref="E861" r:id="rId2755"/>
    <hyperlink xmlns:r="http://schemas.openxmlformats.org/officeDocument/2006/relationships" ref="W861" r:id="rId2756"/>
    <hyperlink xmlns:r="http://schemas.openxmlformats.org/officeDocument/2006/relationships" ref="E862" r:id="rId2757"/>
    <hyperlink xmlns:r="http://schemas.openxmlformats.org/officeDocument/2006/relationships" ref="W862" r:id="rId2758"/>
    <hyperlink xmlns:r="http://schemas.openxmlformats.org/officeDocument/2006/relationships" ref="E863" r:id="rId2759"/>
    <hyperlink xmlns:r="http://schemas.openxmlformats.org/officeDocument/2006/relationships" ref="R863" r:id="rId2760"/>
    <hyperlink xmlns:r="http://schemas.openxmlformats.org/officeDocument/2006/relationships" ref="W863" r:id="rId2761"/>
    <hyperlink xmlns:r="http://schemas.openxmlformats.org/officeDocument/2006/relationships" ref="E864" r:id="rId2762"/>
    <hyperlink xmlns:r="http://schemas.openxmlformats.org/officeDocument/2006/relationships" ref="E865" r:id="rId2763"/>
    <hyperlink xmlns:r="http://schemas.openxmlformats.org/officeDocument/2006/relationships" ref="Q865" r:id="rId2764"/>
    <hyperlink xmlns:r="http://schemas.openxmlformats.org/officeDocument/2006/relationships" ref="R865" r:id="rId2765"/>
    <hyperlink xmlns:r="http://schemas.openxmlformats.org/officeDocument/2006/relationships" ref="W865" r:id="rId2766"/>
    <hyperlink xmlns:r="http://schemas.openxmlformats.org/officeDocument/2006/relationships" ref="E866" r:id="rId2767"/>
    <hyperlink xmlns:r="http://schemas.openxmlformats.org/officeDocument/2006/relationships" ref="W866" r:id="rId2768"/>
    <hyperlink xmlns:r="http://schemas.openxmlformats.org/officeDocument/2006/relationships" ref="E867" r:id="rId2769"/>
    <hyperlink xmlns:r="http://schemas.openxmlformats.org/officeDocument/2006/relationships" ref="W867" r:id="rId2770"/>
    <hyperlink xmlns:r="http://schemas.openxmlformats.org/officeDocument/2006/relationships" ref="E868" r:id="rId2771"/>
    <hyperlink xmlns:r="http://schemas.openxmlformats.org/officeDocument/2006/relationships" ref="W868" r:id="rId2772"/>
    <hyperlink xmlns:r="http://schemas.openxmlformats.org/officeDocument/2006/relationships" ref="E869" r:id="rId2773"/>
    <hyperlink xmlns:r="http://schemas.openxmlformats.org/officeDocument/2006/relationships" ref="R869" r:id="rId2774"/>
    <hyperlink xmlns:r="http://schemas.openxmlformats.org/officeDocument/2006/relationships" ref="W869" r:id="rId2775"/>
    <hyperlink xmlns:r="http://schemas.openxmlformats.org/officeDocument/2006/relationships" ref="E870" r:id="rId2776"/>
    <hyperlink xmlns:r="http://schemas.openxmlformats.org/officeDocument/2006/relationships" ref="P870" r:id="rId2777"/>
    <hyperlink xmlns:r="http://schemas.openxmlformats.org/officeDocument/2006/relationships" ref="R870" r:id="rId2778"/>
    <hyperlink xmlns:r="http://schemas.openxmlformats.org/officeDocument/2006/relationships" ref="W870" r:id="rId2779"/>
    <hyperlink xmlns:r="http://schemas.openxmlformats.org/officeDocument/2006/relationships" ref="E871" r:id="rId2780"/>
    <hyperlink xmlns:r="http://schemas.openxmlformats.org/officeDocument/2006/relationships" ref="W871" r:id="rId2781"/>
    <hyperlink xmlns:r="http://schemas.openxmlformats.org/officeDocument/2006/relationships" ref="E872" r:id="rId2782"/>
    <hyperlink xmlns:r="http://schemas.openxmlformats.org/officeDocument/2006/relationships" ref="W872" r:id="rId2783"/>
    <hyperlink xmlns:r="http://schemas.openxmlformats.org/officeDocument/2006/relationships" ref="E873" r:id="rId2784"/>
    <hyperlink xmlns:r="http://schemas.openxmlformats.org/officeDocument/2006/relationships" ref="P873" r:id="rId2785"/>
    <hyperlink xmlns:r="http://schemas.openxmlformats.org/officeDocument/2006/relationships" ref="R873" r:id="rId2786"/>
    <hyperlink xmlns:r="http://schemas.openxmlformats.org/officeDocument/2006/relationships" ref="W873" r:id="rId2787"/>
    <hyperlink xmlns:r="http://schemas.openxmlformats.org/officeDocument/2006/relationships" ref="E874" r:id="rId2788"/>
    <hyperlink xmlns:r="http://schemas.openxmlformats.org/officeDocument/2006/relationships" ref="W874" r:id="rId2789"/>
    <hyperlink xmlns:r="http://schemas.openxmlformats.org/officeDocument/2006/relationships" ref="E875" r:id="rId2790"/>
    <hyperlink xmlns:r="http://schemas.openxmlformats.org/officeDocument/2006/relationships" ref="P875" r:id="rId2791"/>
    <hyperlink xmlns:r="http://schemas.openxmlformats.org/officeDocument/2006/relationships" ref="Q875" r:id="rId2792"/>
    <hyperlink xmlns:r="http://schemas.openxmlformats.org/officeDocument/2006/relationships" ref="R875" r:id="rId2793"/>
    <hyperlink xmlns:r="http://schemas.openxmlformats.org/officeDocument/2006/relationships" ref="W875" r:id="rId2794"/>
    <hyperlink xmlns:r="http://schemas.openxmlformats.org/officeDocument/2006/relationships" ref="E876" r:id="rId2795"/>
    <hyperlink xmlns:r="http://schemas.openxmlformats.org/officeDocument/2006/relationships" ref="R876" r:id="rId2796"/>
    <hyperlink xmlns:r="http://schemas.openxmlformats.org/officeDocument/2006/relationships" ref="W876" r:id="rId2797"/>
    <hyperlink xmlns:r="http://schemas.openxmlformats.org/officeDocument/2006/relationships" ref="E877" r:id="rId2798"/>
    <hyperlink xmlns:r="http://schemas.openxmlformats.org/officeDocument/2006/relationships" ref="W877" r:id="rId2799"/>
    <hyperlink xmlns:r="http://schemas.openxmlformats.org/officeDocument/2006/relationships" ref="E878" r:id="rId2800"/>
    <hyperlink xmlns:r="http://schemas.openxmlformats.org/officeDocument/2006/relationships" ref="P878" r:id="rId2801"/>
    <hyperlink xmlns:r="http://schemas.openxmlformats.org/officeDocument/2006/relationships" ref="Q878" r:id="rId2802"/>
    <hyperlink xmlns:r="http://schemas.openxmlformats.org/officeDocument/2006/relationships" ref="R878" r:id="rId2803"/>
    <hyperlink xmlns:r="http://schemas.openxmlformats.org/officeDocument/2006/relationships" ref="W878" r:id="rId2804"/>
    <hyperlink xmlns:r="http://schemas.openxmlformats.org/officeDocument/2006/relationships" ref="E879" r:id="rId2805"/>
    <hyperlink xmlns:r="http://schemas.openxmlformats.org/officeDocument/2006/relationships" ref="W879" r:id="rId2806"/>
    <hyperlink xmlns:r="http://schemas.openxmlformats.org/officeDocument/2006/relationships" ref="E880" r:id="rId2807"/>
    <hyperlink xmlns:r="http://schemas.openxmlformats.org/officeDocument/2006/relationships" ref="W880" r:id="rId2808"/>
    <hyperlink xmlns:r="http://schemas.openxmlformats.org/officeDocument/2006/relationships" ref="E881" r:id="rId2809"/>
    <hyperlink xmlns:r="http://schemas.openxmlformats.org/officeDocument/2006/relationships" ref="W881" r:id="rId2810"/>
    <hyperlink xmlns:r="http://schemas.openxmlformats.org/officeDocument/2006/relationships" ref="E882" r:id="rId2811"/>
    <hyperlink xmlns:r="http://schemas.openxmlformats.org/officeDocument/2006/relationships" ref="P882" r:id="rId2812"/>
    <hyperlink xmlns:r="http://schemas.openxmlformats.org/officeDocument/2006/relationships" ref="R882" r:id="rId2813"/>
    <hyperlink xmlns:r="http://schemas.openxmlformats.org/officeDocument/2006/relationships" ref="W882" r:id="rId2814"/>
    <hyperlink xmlns:r="http://schemas.openxmlformats.org/officeDocument/2006/relationships" ref="E883" r:id="rId2815"/>
    <hyperlink xmlns:r="http://schemas.openxmlformats.org/officeDocument/2006/relationships" ref="W883" r:id="rId2816"/>
    <hyperlink xmlns:r="http://schemas.openxmlformats.org/officeDocument/2006/relationships" ref="E884" r:id="rId2817"/>
    <hyperlink xmlns:r="http://schemas.openxmlformats.org/officeDocument/2006/relationships" ref="W884" r:id="rId2818"/>
    <hyperlink xmlns:r="http://schemas.openxmlformats.org/officeDocument/2006/relationships" ref="E885" r:id="rId2819"/>
    <hyperlink xmlns:r="http://schemas.openxmlformats.org/officeDocument/2006/relationships" ref="W885" r:id="rId2820"/>
    <hyperlink xmlns:r="http://schemas.openxmlformats.org/officeDocument/2006/relationships" ref="E886" r:id="rId2821"/>
    <hyperlink xmlns:r="http://schemas.openxmlformats.org/officeDocument/2006/relationships" ref="W886" r:id="rId2822"/>
    <hyperlink xmlns:r="http://schemas.openxmlformats.org/officeDocument/2006/relationships" ref="E887" r:id="rId2823"/>
    <hyperlink xmlns:r="http://schemas.openxmlformats.org/officeDocument/2006/relationships" ref="W887" r:id="rId2824"/>
    <hyperlink xmlns:r="http://schemas.openxmlformats.org/officeDocument/2006/relationships" ref="E888" r:id="rId2825"/>
    <hyperlink xmlns:r="http://schemas.openxmlformats.org/officeDocument/2006/relationships" ref="W888" r:id="rId2826"/>
    <hyperlink xmlns:r="http://schemas.openxmlformats.org/officeDocument/2006/relationships" ref="E889" r:id="rId2827"/>
    <hyperlink xmlns:r="http://schemas.openxmlformats.org/officeDocument/2006/relationships" ref="P889" r:id="rId2828"/>
    <hyperlink xmlns:r="http://schemas.openxmlformats.org/officeDocument/2006/relationships" ref="Q889" r:id="rId2829"/>
    <hyperlink xmlns:r="http://schemas.openxmlformats.org/officeDocument/2006/relationships" ref="R889" r:id="rId2830"/>
    <hyperlink xmlns:r="http://schemas.openxmlformats.org/officeDocument/2006/relationships" ref="W889" r:id="rId2831"/>
    <hyperlink xmlns:r="http://schemas.openxmlformats.org/officeDocument/2006/relationships" ref="E890" r:id="rId2832"/>
    <hyperlink xmlns:r="http://schemas.openxmlformats.org/officeDocument/2006/relationships" ref="W890" r:id="rId2833"/>
    <hyperlink xmlns:r="http://schemas.openxmlformats.org/officeDocument/2006/relationships" ref="E891" r:id="rId2834"/>
    <hyperlink xmlns:r="http://schemas.openxmlformats.org/officeDocument/2006/relationships" ref="R891" r:id="rId2835"/>
    <hyperlink xmlns:r="http://schemas.openxmlformats.org/officeDocument/2006/relationships" ref="W891" r:id="rId2836"/>
    <hyperlink xmlns:r="http://schemas.openxmlformats.org/officeDocument/2006/relationships" ref="E892" r:id="rId2837"/>
    <hyperlink xmlns:r="http://schemas.openxmlformats.org/officeDocument/2006/relationships" ref="R892" r:id="rId2838"/>
    <hyperlink xmlns:r="http://schemas.openxmlformats.org/officeDocument/2006/relationships" ref="W892" r:id="rId2839"/>
    <hyperlink xmlns:r="http://schemas.openxmlformats.org/officeDocument/2006/relationships" ref="E893" r:id="rId2840"/>
    <hyperlink xmlns:r="http://schemas.openxmlformats.org/officeDocument/2006/relationships" ref="P893" r:id="rId2841"/>
    <hyperlink xmlns:r="http://schemas.openxmlformats.org/officeDocument/2006/relationships" ref="Q893" r:id="rId2842"/>
    <hyperlink xmlns:r="http://schemas.openxmlformats.org/officeDocument/2006/relationships" ref="R893" r:id="rId2843"/>
    <hyperlink xmlns:r="http://schemas.openxmlformats.org/officeDocument/2006/relationships" ref="W893" r:id="rId2844"/>
    <hyperlink xmlns:r="http://schemas.openxmlformats.org/officeDocument/2006/relationships" ref="E894" r:id="rId2845"/>
    <hyperlink xmlns:r="http://schemas.openxmlformats.org/officeDocument/2006/relationships" ref="R894" r:id="rId2846"/>
    <hyperlink xmlns:r="http://schemas.openxmlformats.org/officeDocument/2006/relationships" ref="W894" r:id="rId2847"/>
    <hyperlink xmlns:r="http://schemas.openxmlformats.org/officeDocument/2006/relationships" ref="E895" r:id="rId2848"/>
    <hyperlink xmlns:r="http://schemas.openxmlformats.org/officeDocument/2006/relationships" ref="W895" r:id="rId2849"/>
    <hyperlink xmlns:r="http://schemas.openxmlformats.org/officeDocument/2006/relationships" ref="E896" r:id="rId2850"/>
    <hyperlink xmlns:r="http://schemas.openxmlformats.org/officeDocument/2006/relationships" ref="W896" r:id="rId2851"/>
    <hyperlink xmlns:r="http://schemas.openxmlformats.org/officeDocument/2006/relationships" ref="E897" r:id="rId2852"/>
    <hyperlink xmlns:r="http://schemas.openxmlformats.org/officeDocument/2006/relationships" ref="W897" r:id="rId2853"/>
    <hyperlink xmlns:r="http://schemas.openxmlformats.org/officeDocument/2006/relationships" ref="E898" r:id="rId2854"/>
    <hyperlink xmlns:r="http://schemas.openxmlformats.org/officeDocument/2006/relationships" ref="W898" r:id="rId2855"/>
    <hyperlink xmlns:r="http://schemas.openxmlformats.org/officeDocument/2006/relationships" ref="E899" r:id="rId2856"/>
    <hyperlink xmlns:r="http://schemas.openxmlformats.org/officeDocument/2006/relationships" ref="W899" r:id="rId2857"/>
    <hyperlink xmlns:r="http://schemas.openxmlformats.org/officeDocument/2006/relationships" ref="E900" r:id="rId2858"/>
    <hyperlink xmlns:r="http://schemas.openxmlformats.org/officeDocument/2006/relationships" ref="W900" r:id="rId2859"/>
    <hyperlink xmlns:r="http://schemas.openxmlformats.org/officeDocument/2006/relationships" ref="E901" r:id="rId2860"/>
    <hyperlink xmlns:r="http://schemas.openxmlformats.org/officeDocument/2006/relationships" ref="W901" r:id="rId2861"/>
    <hyperlink xmlns:r="http://schemas.openxmlformats.org/officeDocument/2006/relationships" ref="E902" r:id="rId2862"/>
    <hyperlink xmlns:r="http://schemas.openxmlformats.org/officeDocument/2006/relationships" ref="W902" r:id="rId2863"/>
    <hyperlink xmlns:r="http://schemas.openxmlformats.org/officeDocument/2006/relationships" ref="E903" r:id="rId2864"/>
    <hyperlink xmlns:r="http://schemas.openxmlformats.org/officeDocument/2006/relationships" ref="W903" r:id="rId2865"/>
    <hyperlink xmlns:r="http://schemas.openxmlformats.org/officeDocument/2006/relationships" ref="E904" r:id="rId2866"/>
    <hyperlink xmlns:r="http://schemas.openxmlformats.org/officeDocument/2006/relationships" ref="R904" r:id="rId2867"/>
    <hyperlink xmlns:r="http://schemas.openxmlformats.org/officeDocument/2006/relationships" ref="W904" r:id="rId2868"/>
    <hyperlink xmlns:r="http://schemas.openxmlformats.org/officeDocument/2006/relationships" ref="E905" r:id="rId2869"/>
    <hyperlink xmlns:r="http://schemas.openxmlformats.org/officeDocument/2006/relationships" ref="W905" r:id="rId2870"/>
    <hyperlink xmlns:r="http://schemas.openxmlformats.org/officeDocument/2006/relationships" ref="E906" r:id="rId2871"/>
    <hyperlink xmlns:r="http://schemas.openxmlformats.org/officeDocument/2006/relationships" ref="P906" r:id="rId2872"/>
    <hyperlink xmlns:r="http://schemas.openxmlformats.org/officeDocument/2006/relationships" ref="Q906" r:id="rId2873"/>
    <hyperlink xmlns:r="http://schemas.openxmlformats.org/officeDocument/2006/relationships" ref="R906" r:id="rId2874"/>
    <hyperlink xmlns:r="http://schemas.openxmlformats.org/officeDocument/2006/relationships" ref="W906" r:id="rId2875"/>
    <hyperlink xmlns:r="http://schemas.openxmlformats.org/officeDocument/2006/relationships" ref="E907" r:id="rId2876"/>
    <hyperlink xmlns:r="http://schemas.openxmlformats.org/officeDocument/2006/relationships" ref="W907" r:id="rId2877"/>
    <hyperlink xmlns:r="http://schemas.openxmlformats.org/officeDocument/2006/relationships" ref="E908" r:id="rId2878"/>
    <hyperlink xmlns:r="http://schemas.openxmlformats.org/officeDocument/2006/relationships" ref="W908" r:id="rId2879"/>
    <hyperlink xmlns:r="http://schemas.openxmlformats.org/officeDocument/2006/relationships" ref="E909" r:id="rId2880"/>
    <hyperlink xmlns:r="http://schemas.openxmlformats.org/officeDocument/2006/relationships" ref="W909" r:id="rId2881"/>
    <hyperlink xmlns:r="http://schemas.openxmlformats.org/officeDocument/2006/relationships" ref="E910" r:id="rId2882"/>
    <hyperlink xmlns:r="http://schemas.openxmlformats.org/officeDocument/2006/relationships" ref="W910" r:id="rId2883"/>
    <hyperlink xmlns:r="http://schemas.openxmlformats.org/officeDocument/2006/relationships" ref="E911" r:id="rId2884"/>
    <hyperlink xmlns:r="http://schemas.openxmlformats.org/officeDocument/2006/relationships" ref="W911" r:id="rId2885"/>
    <hyperlink xmlns:r="http://schemas.openxmlformats.org/officeDocument/2006/relationships" ref="E912" r:id="rId2886"/>
    <hyperlink xmlns:r="http://schemas.openxmlformats.org/officeDocument/2006/relationships" ref="W912" r:id="rId2887"/>
    <hyperlink xmlns:r="http://schemas.openxmlformats.org/officeDocument/2006/relationships" ref="D913" r:id="rId2888"/>
    <hyperlink xmlns:r="http://schemas.openxmlformats.org/officeDocument/2006/relationships" ref="E913" r:id="rId2889"/>
    <hyperlink xmlns:r="http://schemas.openxmlformats.org/officeDocument/2006/relationships" ref="W913" r:id="rId2890"/>
    <hyperlink xmlns:r="http://schemas.openxmlformats.org/officeDocument/2006/relationships" ref="E914" r:id="rId2891"/>
    <hyperlink xmlns:r="http://schemas.openxmlformats.org/officeDocument/2006/relationships" ref="W914" r:id="rId2892"/>
    <hyperlink xmlns:r="http://schemas.openxmlformats.org/officeDocument/2006/relationships" ref="E915" r:id="rId2893"/>
    <hyperlink xmlns:r="http://schemas.openxmlformats.org/officeDocument/2006/relationships" ref="W915" r:id="rId2894"/>
    <hyperlink xmlns:r="http://schemas.openxmlformats.org/officeDocument/2006/relationships" ref="E916" r:id="rId2895"/>
    <hyperlink xmlns:r="http://schemas.openxmlformats.org/officeDocument/2006/relationships" ref="W916" r:id="rId2896"/>
    <hyperlink xmlns:r="http://schemas.openxmlformats.org/officeDocument/2006/relationships" ref="E917" r:id="rId2897"/>
    <hyperlink xmlns:r="http://schemas.openxmlformats.org/officeDocument/2006/relationships" ref="W917" r:id="rId2898"/>
    <hyperlink xmlns:r="http://schemas.openxmlformats.org/officeDocument/2006/relationships" ref="E918" r:id="rId2899"/>
    <hyperlink xmlns:r="http://schemas.openxmlformats.org/officeDocument/2006/relationships" ref="W918" r:id="rId2900"/>
    <hyperlink xmlns:r="http://schemas.openxmlformats.org/officeDocument/2006/relationships" ref="E919" r:id="rId2901"/>
    <hyperlink xmlns:r="http://schemas.openxmlformats.org/officeDocument/2006/relationships" ref="W919" r:id="rId2902"/>
    <hyperlink xmlns:r="http://schemas.openxmlformats.org/officeDocument/2006/relationships" ref="E920" r:id="rId2903"/>
    <hyperlink xmlns:r="http://schemas.openxmlformats.org/officeDocument/2006/relationships" ref="W920" r:id="rId2904"/>
    <hyperlink xmlns:r="http://schemas.openxmlformats.org/officeDocument/2006/relationships" ref="E921" r:id="rId2905"/>
    <hyperlink xmlns:r="http://schemas.openxmlformats.org/officeDocument/2006/relationships" ref="W921" r:id="rId2906"/>
    <hyperlink xmlns:r="http://schemas.openxmlformats.org/officeDocument/2006/relationships" ref="E922" r:id="rId2907"/>
    <hyperlink xmlns:r="http://schemas.openxmlformats.org/officeDocument/2006/relationships" ref="P922" r:id="rId2908"/>
    <hyperlink xmlns:r="http://schemas.openxmlformats.org/officeDocument/2006/relationships" ref="R922" r:id="rId2909"/>
    <hyperlink xmlns:r="http://schemas.openxmlformats.org/officeDocument/2006/relationships" ref="W922" r:id="rId2910"/>
    <hyperlink xmlns:r="http://schemas.openxmlformats.org/officeDocument/2006/relationships" ref="E923" r:id="rId2911"/>
    <hyperlink xmlns:r="http://schemas.openxmlformats.org/officeDocument/2006/relationships" ref="W923" r:id="rId2912"/>
    <hyperlink xmlns:r="http://schemas.openxmlformats.org/officeDocument/2006/relationships" ref="E924" r:id="rId2913"/>
    <hyperlink xmlns:r="http://schemas.openxmlformats.org/officeDocument/2006/relationships" ref="P924" r:id="rId2914"/>
    <hyperlink xmlns:r="http://schemas.openxmlformats.org/officeDocument/2006/relationships" ref="Q924" r:id="rId2915"/>
    <hyperlink xmlns:r="http://schemas.openxmlformats.org/officeDocument/2006/relationships" ref="R924" r:id="rId2916"/>
    <hyperlink xmlns:r="http://schemas.openxmlformats.org/officeDocument/2006/relationships" ref="S924" r:id="rId2917"/>
    <hyperlink xmlns:r="http://schemas.openxmlformats.org/officeDocument/2006/relationships" ref="W924" r:id="rId2918"/>
    <hyperlink xmlns:r="http://schemas.openxmlformats.org/officeDocument/2006/relationships" ref="E925" r:id="rId2919"/>
    <hyperlink xmlns:r="http://schemas.openxmlformats.org/officeDocument/2006/relationships" ref="W925" r:id="rId2920"/>
    <hyperlink xmlns:r="http://schemas.openxmlformats.org/officeDocument/2006/relationships" ref="E926" r:id="rId2921"/>
    <hyperlink xmlns:r="http://schemas.openxmlformats.org/officeDocument/2006/relationships" ref="W926" r:id="rId2922"/>
    <hyperlink xmlns:r="http://schemas.openxmlformats.org/officeDocument/2006/relationships" ref="E927" r:id="rId2923"/>
    <hyperlink xmlns:r="http://schemas.openxmlformats.org/officeDocument/2006/relationships" ref="R927" r:id="rId2924"/>
    <hyperlink xmlns:r="http://schemas.openxmlformats.org/officeDocument/2006/relationships" ref="W927" r:id="rId2925"/>
    <hyperlink xmlns:r="http://schemas.openxmlformats.org/officeDocument/2006/relationships" ref="E928" r:id="rId2926"/>
    <hyperlink xmlns:r="http://schemas.openxmlformats.org/officeDocument/2006/relationships" ref="P928" r:id="rId2927"/>
    <hyperlink xmlns:r="http://schemas.openxmlformats.org/officeDocument/2006/relationships" ref="Q928" r:id="rId2928"/>
    <hyperlink xmlns:r="http://schemas.openxmlformats.org/officeDocument/2006/relationships" ref="R928" r:id="rId2929"/>
    <hyperlink xmlns:r="http://schemas.openxmlformats.org/officeDocument/2006/relationships" ref="W928" r:id="rId2930"/>
    <hyperlink xmlns:r="http://schemas.openxmlformats.org/officeDocument/2006/relationships" ref="E929" r:id="rId2931"/>
    <hyperlink xmlns:r="http://schemas.openxmlformats.org/officeDocument/2006/relationships" ref="W929" r:id="rId2932"/>
    <hyperlink xmlns:r="http://schemas.openxmlformats.org/officeDocument/2006/relationships" ref="E930" r:id="rId2933"/>
    <hyperlink xmlns:r="http://schemas.openxmlformats.org/officeDocument/2006/relationships" ref="W930" r:id="rId2934"/>
    <hyperlink xmlns:r="http://schemas.openxmlformats.org/officeDocument/2006/relationships" ref="E931" r:id="rId2935"/>
    <hyperlink xmlns:r="http://schemas.openxmlformats.org/officeDocument/2006/relationships" ref="W931" r:id="rId2936"/>
    <hyperlink xmlns:r="http://schemas.openxmlformats.org/officeDocument/2006/relationships" ref="E932" r:id="rId2937"/>
    <hyperlink xmlns:r="http://schemas.openxmlformats.org/officeDocument/2006/relationships" ref="W932" r:id="rId2938"/>
    <hyperlink xmlns:r="http://schemas.openxmlformats.org/officeDocument/2006/relationships" ref="E933" r:id="rId2939"/>
    <hyperlink xmlns:r="http://schemas.openxmlformats.org/officeDocument/2006/relationships" ref="R933" r:id="rId2940"/>
    <hyperlink xmlns:r="http://schemas.openxmlformats.org/officeDocument/2006/relationships" ref="W933" r:id="rId2941"/>
    <hyperlink xmlns:r="http://schemas.openxmlformats.org/officeDocument/2006/relationships" ref="E934" r:id="rId2942"/>
    <hyperlink xmlns:r="http://schemas.openxmlformats.org/officeDocument/2006/relationships" ref="W934" r:id="rId2943"/>
    <hyperlink xmlns:r="http://schemas.openxmlformats.org/officeDocument/2006/relationships" ref="E935" r:id="rId2944"/>
    <hyperlink xmlns:r="http://schemas.openxmlformats.org/officeDocument/2006/relationships" ref="W935" r:id="rId2945"/>
    <hyperlink xmlns:r="http://schemas.openxmlformats.org/officeDocument/2006/relationships" ref="E936" r:id="rId2946"/>
    <hyperlink xmlns:r="http://schemas.openxmlformats.org/officeDocument/2006/relationships" ref="W936" r:id="rId2947"/>
    <hyperlink xmlns:r="http://schemas.openxmlformats.org/officeDocument/2006/relationships" ref="E937" r:id="rId2948"/>
    <hyperlink xmlns:r="http://schemas.openxmlformats.org/officeDocument/2006/relationships" ref="W937" r:id="rId2949"/>
    <hyperlink xmlns:r="http://schemas.openxmlformats.org/officeDocument/2006/relationships" ref="E938" r:id="rId2950"/>
    <hyperlink xmlns:r="http://schemas.openxmlformats.org/officeDocument/2006/relationships" ref="S938" r:id="rId2951"/>
    <hyperlink xmlns:r="http://schemas.openxmlformats.org/officeDocument/2006/relationships" ref="U938" r:id="rId2952"/>
    <hyperlink xmlns:r="http://schemas.openxmlformats.org/officeDocument/2006/relationships" ref="W938" r:id="rId2953"/>
    <hyperlink xmlns:r="http://schemas.openxmlformats.org/officeDocument/2006/relationships" ref="E939" r:id="rId2954"/>
    <hyperlink xmlns:r="http://schemas.openxmlformats.org/officeDocument/2006/relationships" ref="P939" r:id="rId2955"/>
    <hyperlink xmlns:r="http://schemas.openxmlformats.org/officeDocument/2006/relationships" ref="R939" r:id="rId2956"/>
    <hyperlink xmlns:r="http://schemas.openxmlformats.org/officeDocument/2006/relationships" ref="W939" r:id="rId2957"/>
    <hyperlink xmlns:r="http://schemas.openxmlformats.org/officeDocument/2006/relationships" ref="E940" r:id="rId2958"/>
    <hyperlink xmlns:r="http://schemas.openxmlformats.org/officeDocument/2006/relationships" ref="W940" r:id="rId2959"/>
    <hyperlink xmlns:r="http://schemas.openxmlformats.org/officeDocument/2006/relationships" ref="E941" r:id="rId2960"/>
    <hyperlink xmlns:r="http://schemas.openxmlformats.org/officeDocument/2006/relationships" ref="W941" r:id="rId2961"/>
    <hyperlink xmlns:r="http://schemas.openxmlformats.org/officeDocument/2006/relationships" ref="E942" r:id="rId2962"/>
    <hyperlink xmlns:r="http://schemas.openxmlformats.org/officeDocument/2006/relationships" ref="W942" r:id="rId2963"/>
    <hyperlink xmlns:r="http://schemas.openxmlformats.org/officeDocument/2006/relationships" ref="E943" r:id="rId2964"/>
    <hyperlink xmlns:r="http://schemas.openxmlformats.org/officeDocument/2006/relationships" ref="W943" r:id="rId2965"/>
    <hyperlink xmlns:r="http://schemas.openxmlformats.org/officeDocument/2006/relationships" ref="E944" r:id="rId2966"/>
    <hyperlink xmlns:r="http://schemas.openxmlformats.org/officeDocument/2006/relationships" ref="W944" r:id="rId2967"/>
    <hyperlink xmlns:r="http://schemas.openxmlformats.org/officeDocument/2006/relationships" ref="E945" r:id="rId2968"/>
    <hyperlink xmlns:r="http://schemas.openxmlformats.org/officeDocument/2006/relationships" ref="W945" r:id="rId2969"/>
    <hyperlink xmlns:r="http://schemas.openxmlformats.org/officeDocument/2006/relationships" ref="E946" r:id="rId2970"/>
    <hyperlink xmlns:r="http://schemas.openxmlformats.org/officeDocument/2006/relationships" ref="R946" r:id="rId2971"/>
    <hyperlink xmlns:r="http://schemas.openxmlformats.org/officeDocument/2006/relationships" ref="W946" r:id="rId2972"/>
    <hyperlink xmlns:r="http://schemas.openxmlformats.org/officeDocument/2006/relationships" ref="E947" r:id="rId2973"/>
    <hyperlink xmlns:r="http://schemas.openxmlformats.org/officeDocument/2006/relationships" ref="W947" r:id="rId2974"/>
    <hyperlink xmlns:r="http://schemas.openxmlformats.org/officeDocument/2006/relationships" ref="E948" r:id="rId2975"/>
    <hyperlink xmlns:r="http://schemas.openxmlformats.org/officeDocument/2006/relationships" ref="Q948" r:id="rId2976"/>
    <hyperlink xmlns:r="http://schemas.openxmlformats.org/officeDocument/2006/relationships" ref="R948" r:id="rId2977"/>
    <hyperlink xmlns:r="http://schemas.openxmlformats.org/officeDocument/2006/relationships" ref="W948" r:id="rId2978"/>
    <hyperlink xmlns:r="http://schemas.openxmlformats.org/officeDocument/2006/relationships" ref="E949" r:id="rId2979"/>
    <hyperlink xmlns:r="http://schemas.openxmlformats.org/officeDocument/2006/relationships" ref="W949" r:id="rId2980"/>
    <hyperlink xmlns:r="http://schemas.openxmlformats.org/officeDocument/2006/relationships" ref="E950" r:id="rId2981"/>
    <hyperlink xmlns:r="http://schemas.openxmlformats.org/officeDocument/2006/relationships" ref="W950" r:id="rId2982"/>
    <hyperlink xmlns:r="http://schemas.openxmlformats.org/officeDocument/2006/relationships" ref="E951" r:id="rId2983"/>
    <hyperlink xmlns:r="http://schemas.openxmlformats.org/officeDocument/2006/relationships" ref="W951" r:id="rId2984"/>
    <hyperlink xmlns:r="http://schemas.openxmlformats.org/officeDocument/2006/relationships" ref="E952" r:id="rId2985"/>
    <hyperlink xmlns:r="http://schemas.openxmlformats.org/officeDocument/2006/relationships" ref="W952" r:id="rId2986"/>
    <hyperlink xmlns:r="http://schemas.openxmlformats.org/officeDocument/2006/relationships" ref="E953" r:id="rId2987"/>
    <hyperlink xmlns:r="http://schemas.openxmlformats.org/officeDocument/2006/relationships" ref="W953" r:id="rId2988"/>
    <hyperlink xmlns:r="http://schemas.openxmlformats.org/officeDocument/2006/relationships" ref="E954" r:id="rId2989"/>
    <hyperlink xmlns:r="http://schemas.openxmlformats.org/officeDocument/2006/relationships" ref="W954" r:id="rId2990"/>
    <hyperlink xmlns:r="http://schemas.openxmlformats.org/officeDocument/2006/relationships" ref="E955" r:id="rId2991"/>
    <hyperlink xmlns:r="http://schemas.openxmlformats.org/officeDocument/2006/relationships" ref="W955" r:id="rId2992"/>
    <hyperlink xmlns:r="http://schemas.openxmlformats.org/officeDocument/2006/relationships" ref="E956" r:id="rId2993"/>
    <hyperlink xmlns:r="http://schemas.openxmlformats.org/officeDocument/2006/relationships" ref="W956" r:id="rId2994"/>
    <hyperlink xmlns:r="http://schemas.openxmlformats.org/officeDocument/2006/relationships" ref="E957" r:id="rId2995"/>
    <hyperlink xmlns:r="http://schemas.openxmlformats.org/officeDocument/2006/relationships" ref="W957" r:id="rId2996"/>
    <hyperlink xmlns:r="http://schemas.openxmlformats.org/officeDocument/2006/relationships" ref="E958" r:id="rId2997"/>
    <hyperlink xmlns:r="http://schemas.openxmlformats.org/officeDocument/2006/relationships" ref="W958" r:id="rId2998"/>
    <hyperlink xmlns:r="http://schemas.openxmlformats.org/officeDocument/2006/relationships" ref="E959" r:id="rId2999"/>
    <hyperlink xmlns:r="http://schemas.openxmlformats.org/officeDocument/2006/relationships" ref="Q959" r:id="rId3000"/>
    <hyperlink xmlns:r="http://schemas.openxmlformats.org/officeDocument/2006/relationships" ref="R959" r:id="rId3001"/>
    <hyperlink xmlns:r="http://schemas.openxmlformats.org/officeDocument/2006/relationships" ref="W959" r:id="rId3002"/>
    <hyperlink xmlns:r="http://schemas.openxmlformats.org/officeDocument/2006/relationships" ref="E960" r:id="rId3003"/>
    <hyperlink xmlns:r="http://schemas.openxmlformats.org/officeDocument/2006/relationships" ref="W960" r:id="rId3004"/>
    <hyperlink xmlns:r="http://schemas.openxmlformats.org/officeDocument/2006/relationships" ref="E961" r:id="rId3005"/>
    <hyperlink xmlns:r="http://schemas.openxmlformats.org/officeDocument/2006/relationships" ref="W961" r:id="rId3006"/>
    <hyperlink xmlns:r="http://schemas.openxmlformats.org/officeDocument/2006/relationships" ref="E962" r:id="rId3007"/>
    <hyperlink xmlns:r="http://schemas.openxmlformats.org/officeDocument/2006/relationships" ref="P962" r:id="rId3008"/>
    <hyperlink xmlns:r="http://schemas.openxmlformats.org/officeDocument/2006/relationships" ref="Q962" r:id="rId3009"/>
    <hyperlink xmlns:r="http://schemas.openxmlformats.org/officeDocument/2006/relationships" ref="R962" r:id="rId3010"/>
    <hyperlink xmlns:r="http://schemas.openxmlformats.org/officeDocument/2006/relationships" ref="W962" r:id="rId3011"/>
    <hyperlink xmlns:r="http://schemas.openxmlformats.org/officeDocument/2006/relationships" ref="E963" r:id="rId3012"/>
    <hyperlink xmlns:r="http://schemas.openxmlformats.org/officeDocument/2006/relationships" ref="W963" r:id="rId3013"/>
    <hyperlink xmlns:r="http://schemas.openxmlformats.org/officeDocument/2006/relationships" ref="E964" r:id="rId3014"/>
    <hyperlink xmlns:r="http://schemas.openxmlformats.org/officeDocument/2006/relationships" ref="W964" r:id="rId3015"/>
    <hyperlink xmlns:r="http://schemas.openxmlformats.org/officeDocument/2006/relationships" ref="D965" r:id="rId3016"/>
    <hyperlink xmlns:r="http://schemas.openxmlformats.org/officeDocument/2006/relationships" ref="E965" r:id="rId3017"/>
    <hyperlink xmlns:r="http://schemas.openxmlformats.org/officeDocument/2006/relationships" ref="W965" r:id="rId3018"/>
    <hyperlink xmlns:r="http://schemas.openxmlformats.org/officeDocument/2006/relationships" ref="E966" r:id="rId3019"/>
    <hyperlink xmlns:r="http://schemas.openxmlformats.org/officeDocument/2006/relationships" ref="W966" r:id="rId3020"/>
    <hyperlink xmlns:r="http://schemas.openxmlformats.org/officeDocument/2006/relationships" ref="E967" r:id="rId3021"/>
    <hyperlink xmlns:r="http://schemas.openxmlformats.org/officeDocument/2006/relationships" ref="W967" r:id="rId3022"/>
    <hyperlink xmlns:r="http://schemas.openxmlformats.org/officeDocument/2006/relationships" ref="E968" r:id="rId3023"/>
    <hyperlink xmlns:r="http://schemas.openxmlformats.org/officeDocument/2006/relationships" ref="W968" r:id="rId3024"/>
    <hyperlink xmlns:r="http://schemas.openxmlformats.org/officeDocument/2006/relationships" ref="E969" r:id="rId3025"/>
    <hyperlink xmlns:r="http://schemas.openxmlformats.org/officeDocument/2006/relationships" ref="W969" r:id="rId3026"/>
    <hyperlink xmlns:r="http://schemas.openxmlformats.org/officeDocument/2006/relationships" ref="W970" r:id="rId3027"/>
    <hyperlink xmlns:r="http://schemas.openxmlformats.org/officeDocument/2006/relationships" ref="E971" r:id="rId3028"/>
    <hyperlink xmlns:r="http://schemas.openxmlformats.org/officeDocument/2006/relationships" ref="R971" r:id="rId3029"/>
    <hyperlink xmlns:r="http://schemas.openxmlformats.org/officeDocument/2006/relationships" ref="W971" r:id="rId3030"/>
    <hyperlink xmlns:r="http://schemas.openxmlformats.org/officeDocument/2006/relationships" ref="E972" r:id="rId3031"/>
    <hyperlink xmlns:r="http://schemas.openxmlformats.org/officeDocument/2006/relationships" ref="Q972" r:id="rId3032"/>
    <hyperlink xmlns:r="http://schemas.openxmlformats.org/officeDocument/2006/relationships" ref="R972" r:id="rId3033"/>
    <hyperlink xmlns:r="http://schemas.openxmlformats.org/officeDocument/2006/relationships" ref="W972" r:id="rId3034"/>
    <hyperlink xmlns:r="http://schemas.openxmlformats.org/officeDocument/2006/relationships" ref="E973" r:id="rId3035"/>
    <hyperlink xmlns:r="http://schemas.openxmlformats.org/officeDocument/2006/relationships" ref="W973" r:id="rId3036"/>
    <hyperlink xmlns:r="http://schemas.openxmlformats.org/officeDocument/2006/relationships" ref="E974" r:id="rId3037"/>
    <hyperlink xmlns:r="http://schemas.openxmlformats.org/officeDocument/2006/relationships" ref="W974" r:id="rId3038"/>
    <hyperlink xmlns:r="http://schemas.openxmlformats.org/officeDocument/2006/relationships" ref="E975" r:id="rId3039"/>
    <hyperlink xmlns:r="http://schemas.openxmlformats.org/officeDocument/2006/relationships" ref="W975" r:id="rId3040"/>
    <hyperlink xmlns:r="http://schemas.openxmlformats.org/officeDocument/2006/relationships" ref="E976" r:id="rId3041"/>
    <hyperlink xmlns:r="http://schemas.openxmlformats.org/officeDocument/2006/relationships" ref="W976" r:id="rId3042"/>
    <hyperlink xmlns:r="http://schemas.openxmlformats.org/officeDocument/2006/relationships" ref="E977" r:id="rId3043"/>
    <hyperlink xmlns:r="http://schemas.openxmlformats.org/officeDocument/2006/relationships" ref="W977" r:id="rId3044"/>
    <hyperlink xmlns:r="http://schemas.openxmlformats.org/officeDocument/2006/relationships" ref="E978" r:id="rId3045"/>
    <hyperlink xmlns:r="http://schemas.openxmlformats.org/officeDocument/2006/relationships" ref="W978" r:id="rId3046"/>
    <hyperlink xmlns:r="http://schemas.openxmlformats.org/officeDocument/2006/relationships" ref="E979" r:id="rId3047"/>
    <hyperlink xmlns:r="http://schemas.openxmlformats.org/officeDocument/2006/relationships" ref="P979" r:id="rId3048"/>
    <hyperlink xmlns:r="http://schemas.openxmlformats.org/officeDocument/2006/relationships" ref="Q979" r:id="rId3049"/>
    <hyperlink xmlns:r="http://schemas.openxmlformats.org/officeDocument/2006/relationships" ref="R979" r:id="rId3050"/>
    <hyperlink xmlns:r="http://schemas.openxmlformats.org/officeDocument/2006/relationships" ref="W979" r:id="rId3051"/>
    <hyperlink xmlns:r="http://schemas.openxmlformats.org/officeDocument/2006/relationships" ref="E980" r:id="rId3052"/>
    <hyperlink xmlns:r="http://schemas.openxmlformats.org/officeDocument/2006/relationships" ref="W980" r:id="rId3053"/>
    <hyperlink xmlns:r="http://schemas.openxmlformats.org/officeDocument/2006/relationships" ref="E981" r:id="rId3054"/>
    <hyperlink xmlns:r="http://schemas.openxmlformats.org/officeDocument/2006/relationships" ref="P981" r:id="rId3055"/>
    <hyperlink xmlns:r="http://schemas.openxmlformats.org/officeDocument/2006/relationships" ref="R981" r:id="rId3056"/>
    <hyperlink xmlns:r="http://schemas.openxmlformats.org/officeDocument/2006/relationships" ref="W981" r:id="rId3057"/>
    <hyperlink xmlns:r="http://schemas.openxmlformats.org/officeDocument/2006/relationships" ref="E982" r:id="rId3058"/>
    <hyperlink xmlns:r="http://schemas.openxmlformats.org/officeDocument/2006/relationships" ref="W982" r:id="rId3059"/>
    <hyperlink xmlns:r="http://schemas.openxmlformats.org/officeDocument/2006/relationships" ref="E983" r:id="rId3060"/>
    <hyperlink xmlns:r="http://schemas.openxmlformats.org/officeDocument/2006/relationships" ref="P983" r:id="rId3061"/>
    <hyperlink xmlns:r="http://schemas.openxmlformats.org/officeDocument/2006/relationships" ref="Q983" r:id="rId3062"/>
    <hyperlink xmlns:r="http://schemas.openxmlformats.org/officeDocument/2006/relationships" ref="R983" r:id="rId3063"/>
    <hyperlink xmlns:r="http://schemas.openxmlformats.org/officeDocument/2006/relationships" ref="W983" r:id="rId3064"/>
    <hyperlink xmlns:r="http://schemas.openxmlformats.org/officeDocument/2006/relationships" ref="E984" r:id="rId3065"/>
    <hyperlink xmlns:r="http://schemas.openxmlformats.org/officeDocument/2006/relationships" ref="R984" r:id="rId3066"/>
    <hyperlink xmlns:r="http://schemas.openxmlformats.org/officeDocument/2006/relationships" ref="W984" r:id="rId3067"/>
    <hyperlink xmlns:r="http://schemas.openxmlformats.org/officeDocument/2006/relationships" ref="E985" r:id="rId3068"/>
    <hyperlink xmlns:r="http://schemas.openxmlformats.org/officeDocument/2006/relationships" ref="R985" r:id="rId3069"/>
    <hyperlink xmlns:r="http://schemas.openxmlformats.org/officeDocument/2006/relationships" ref="W985" r:id="rId3070"/>
    <hyperlink xmlns:r="http://schemas.openxmlformats.org/officeDocument/2006/relationships" ref="E986" r:id="rId3071"/>
    <hyperlink xmlns:r="http://schemas.openxmlformats.org/officeDocument/2006/relationships" ref="W986" r:id="rId3072"/>
    <hyperlink xmlns:r="http://schemas.openxmlformats.org/officeDocument/2006/relationships" ref="E987" r:id="rId3073"/>
    <hyperlink xmlns:r="http://schemas.openxmlformats.org/officeDocument/2006/relationships" ref="W987" r:id="rId3074"/>
    <hyperlink xmlns:r="http://schemas.openxmlformats.org/officeDocument/2006/relationships" ref="E988" r:id="rId3075"/>
    <hyperlink xmlns:r="http://schemas.openxmlformats.org/officeDocument/2006/relationships" ref="Q988" r:id="rId3076"/>
    <hyperlink xmlns:r="http://schemas.openxmlformats.org/officeDocument/2006/relationships" ref="R988" r:id="rId3077"/>
    <hyperlink xmlns:r="http://schemas.openxmlformats.org/officeDocument/2006/relationships" ref="W988" r:id="rId3078"/>
    <hyperlink xmlns:r="http://schemas.openxmlformats.org/officeDocument/2006/relationships" ref="E989" r:id="rId3079"/>
    <hyperlink xmlns:r="http://schemas.openxmlformats.org/officeDocument/2006/relationships" ref="P989" r:id="rId3080"/>
    <hyperlink xmlns:r="http://schemas.openxmlformats.org/officeDocument/2006/relationships" ref="Q989" r:id="rId3081"/>
    <hyperlink xmlns:r="http://schemas.openxmlformats.org/officeDocument/2006/relationships" ref="R989" r:id="rId3082"/>
    <hyperlink xmlns:r="http://schemas.openxmlformats.org/officeDocument/2006/relationships" ref="W989" r:id="rId3083"/>
    <hyperlink xmlns:r="http://schemas.openxmlformats.org/officeDocument/2006/relationships" ref="E990" r:id="rId3084"/>
    <hyperlink xmlns:r="http://schemas.openxmlformats.org/officeDocument/2006/relationships" ref="E991" r:id="rId3085"/>
    <hyperlink xmlns:r="http://schemas.openxmlformats.org/officeDocument/2006/relationships" ref="W991" r:id="rId3086"/>
    <hyperlink xmlns:r="http://schemas.openxmlformats.org/officeDocument/2006/relationships" ref="E992" r:id="rId3087"/>
    <hyperlink xmlns:r="http://schemas.openxmlformats.org/officeDocument/2006/relationships" ref="Q992" r:id="rId3088"/>
    <hyperlink xmlns:r="http://schemas.openxmlformats.org/officeDocument/2006/relationships" ref="R992" r:id="rId3089"/>
    <hyperlink xmlns:r="http://schemas.openxmlformats.org/officeDocument/2006/relationships" ref="W992" r:id="rId3090"/>
    <hyperlink xmlns:r="http://schemas.openxmlformats.org/officeDocument/2006/relationships" ref="E993" r:id="rId3091"/>
    <hyperlink xmlns:r="http://schemas.openxmlformats.org/officeDocument/2006/relationships" ref="P993" r:id="rId3092"/>
    <hyperlink xmlns:r="http://schemas.openxmlformats.org/officeDocument/2006/relationships" ref="Q993" r:id="rId3093"/>
    <hyperlink xmlns:r="http://schemas.openxmlformats.org/officeDocument/2006/relationships" ref="R993" r:id="rId3094"/>
    <hyperlink xmlns:r="http://schemas.openxmlformats.org/officeDocument/2006/relationships" ref="W993" r:id="rId3095"/>
    <hyperlink xmlns:r="http://schemas.openxmlformats.org/officeDocument/2006/relationships" ref="E994" r:id="rId3096"/>
    <hyperlink xmlns:r="http://schemas.openxmlformats.org/officeDocument/2006/relationships" ref="W994" r:id="rId3097"/>
    <hyperlink xmlns:r="http://schemas.openxmlformats.org/officeDocument/2006/relationships" ref="E995" r:id="rId3098"/>
    <hyperlink xmlns:r="http://schemas.openxmlformats.org/officeDocument/2006/relationships" ref="W995" r:id="rId3099"/>
    <hyperlink xmlns:r="http://schemas.openxmlformats.org/officeDocument/2006/relationships" ref="E996" r:id="rId3100"/>
    <hyperlink xmlns:r="http://schemas.openxmlformats.org/officeDocument/2006/relationships" ref="W996" r:id="rId3101"/>
    <hyperlink xmlns:r="http://schemas.openxmlformats.org/officeDocument/2006/relationships" ref="D997" r:id="rId3102"/>
    <hyperlink xmlns:r="http://schemas.openxmlformats.org/officeDocument/2006/relationships" ref="E997" r:id="rId3103"/>
    <hyperlink xmlns:r="http://schemas.openxmlformats.org/officeDocument/2006/relationships" ref="W997" r:id="rId3104"/>
    <hyperlink xmlns:r="http://schemas.openxmlformats.org/officeDocument/2006/relationships" ref="E998" r:id="rId3105"/>
    <hyperlink xmlns:r="http://schemas.openxmlformats.org/officeDocument/2006/relationships" ref="W998" r:id="rId3106"/>
    <hyperlink xmlns:r="http://schemas.openxmlformats.org/officeDocument/2006/relationships" ref="E999" r:id="rId3107"/>
    <hyperlink xmlns:r="http://schemas.openxmlformats.org/officeDocument/2006/relationships" ref="W999" r:id="rId3108"/>
    <hyperlink xmlns:r="http://schemas.openxmlformats.org/officeDocument/2006/relationships" ref="E1000" r:id="rId3109"/>
    <hyperlink xmlns:r="http://schemas.openxmlformats.org/officeDocument/2006/relationships" ref="W1000" r:id="rId3110"/>
    <hyperlink xmlns:r="http://schemas.openxmlformats.org/officeDocument/2006/relationships" ref="E1001" r:id="rId3111"/>
    <hyperlink xmlns:r="http://schemas.openxmlformats.org/officeDocument/2006/relationships" ref="W1001" r:id="rId3112"/>
    <hyperlink xmlns:r="http://schemas.openxmlformats.org/officeDocument/2006/relationships" ref="E1002" r:id="rId3113"/>
    <hyperlink xmlns:r="http://schemas.openxmlformats.org/officeDocument/2006/relationships" ref="W1002" r:id="rId3114"/>
    <hyperlink xmlns:r="http://schemas.openxmlformats.org/officeDocument/2006/relationships" ref="E1003" r:id="rId3115"/>
    <hyperlink xmlns:r="http://schemas.openxmlformats.org/officeDocument/2006/relationships" ref="R1003" r:id="rId3116"/>
    <hyperlink xmlns:r="http://schemas.openxmlformats.org/officeDocument/2006/relationships" ref="W1003" r:id="rId3117"/>
    <hyperlink xmlns:r="http://schemas.openxmlformats.org/officeDocument/2006/relationships" ref="E1004" r:id="rId3118"/>
    <hyperlink xmlns:r="http://schemas.openxmlformats.org/officeDocument/2006/relationships" ref="P1004" r:id="rId3119"/>
    <hyperlink xmlns:r="http://schemas.openxmlformats.org/officeDocument/2006/relationships" ref="Q1004" r:id="rId3120"/>
    <hyperlink xmlns:r="http://schemas.openxmlformats.org/officeDocument/2006/relationships" ref="R1004" r:id="rId3121"/>
    <hyperlink xmlns:r="http://schemas.openxmlformats.org/officeDocument/2006/relationships" ref="W1004" r:id="rId3122"/>
    <hyperlink xmlns:r="http://schemas.openxmlformats.org/officeDocument/2006/relationships" ref="E1005" r:id="rId3123"/>
    <hyperlink xmlns:r="http://schemas.openxmlformats.org/officeDocument/2006/relationships" ref="P1005" r:id="rId3124"/>
    <hyperlink xmlns:r="http://schemas.openxmlformats.org/officeDocument/2006/relationships" ref="R1005" r:id="rId3125"/>
    <hyperlink xmlns:r="http://schemas.openxmlformats.org/officeDocument/2006/relationships" ref="W1005" r:id="rId3126"/>
    <hyperlink xmlns:r="http://schemas.openxmlformats.org/officeDocument/2006/relationships" ref="E1006" r:id="rId3127"/>
    <hyperlink xmlns:r="http://schemas.openxmlformats.org/officeDocument/2006/relationships" ref="W1006" r:id="rId3128"/>
    <hyperlink xmlns:r="http://schemas.openxmlformats.org/officeDocument/2006/relationships" ref="E1007" r:id="rId3129"/>
    <hyperlink xmlns:r="http://schemas.openxmlformats.org/officeDocument/2006/relationships" ref="P1007" r:id="rId3130"/>
    <hyperlink xmlns:r="http://schemas.openxmlformats.org/officeDocument/2006/relationships" ref="Q1007" r:id="rId3131"/>
    <hyperlink xmlns:r="http://schemas.openxmlformats.org/officeDocument/2006/relationships" ref="R1007" r:id="rId3132"/>
    <hyperlink xmlns:r="http://schemas.openxmlformats.org/officeDocument/2006/relationships" ref="W1007" r:id="rId3133"/>
    <hyperlink xmlns:r="http://schemas.openxmlformats.org/officeDocument/2006/relationships" ref="E1008" r:id="rId3134"/>
    <hyperlink xmlns:r="http://schemas.openxmlformats.org/officeDocument/2006/relationships" ref="P1008" r:id="rId3135"/>
    <hyperlink xmlns:r="http://schemas.openxmlformats.org/officeDocument/2006/relationships" ref="Q1008" r:id="rId3136"/>
    <hyperlink xmlns:r="http://schemas.openxmlformats.org/officeDocument/2006/relationships" ref="R1008" r:id="rId3137"/>
    <hyperlink xmlns:r="http://schemas.openxmlformats.org/officeDocument/2006/relationships" ref="W1008" r:id="rId3138"/>
    <hyperlink xmlns:r="http://schemas.openxmlformats.org/officeDocument/2006/relationships" ref="E1009" r:id="rId3139"/>
    <hyperlink xmlns:r="http://schemas.openxmlformats.org/officeDocument/2006/relationships" ref="P1009" r:id="rId3140"/>
    <hyperlink xmlns:r="http://schemas.openxmlformats.org/officeDocument/2006/relationships" ref="Q1009" r:id="rId3141"/>
    <hyperlink xmlns:r="http://schemas.openxmlformats.org/officeDocument/2006/relationships" ref="R1009" r:id="rId3142"/>
    <hyperlink xmlns:r="http://schemas.openxmlformats.org/officeDocument/2006/relationships" ref="W1009" r:id="rId3143"/>
    <hyperlink xmlns:r="http://schemas.openxmlformats.org/officeDocument/2006/relationships" ref="E1010" r:id="rId3144"/>
    <hyperlink xmlns:r="http://schemas.openxmlformats.org/officeDocument/2006/relationships" ref="W1010" r:id="rId3145"/>
    <hyperlink xmlns:r="http://schemas.openxmlformats.org/officeDocument/2006/relationships" ref="E1011" r:id="rId3146"/>
    <hyperlink xmlns:r="http://schemas.openxmlformats.org/officeDocument/2006/relationships" ref="P1011" r:id="rId3147"/>
    <hyperlink xmlns:r="http://schemas.openxmlformats.org/officeDocument/2006/relationships" ref="R1011" r:id="rId3148"/>
    <hyperlink xmlns:r="http://schemas.openxmlformats.org/officeDocument/2006/relationships" ref="W1011" r:id="rId3149"/>
    <hyperlink xmlns:r="http://schemas.openxmlformats.org/officeDocument/2006/relationships" ref="E1012" r:id="rId3150"/>
    <hyperlink xmlns:r="http://schemas.openxmlformats.org/officeDocument/2006/relationships" ref="P1012" r:id="rId3151"/>
    <hyperlink xmlns:r="http://schemas.openxmlformats.org/officeDocument/2006/relationships" ref="Q1012" r:id="rId3152"/>
    <hyperlink xmlns:r="http://schemas.openxmlformats.org/officeDocument/2006/relationships" ref="R1012" r:id="rId3153"/>
    <hyperlink xmlns:r="http://schemas.openxmlformats.org/officeDocument/2006/relationships" ref="W1012" r:id="rId3154"/>
    <hyperlink xmlns:r="http://schemas.openxmlformats.org/officeDocument/2006/relationships" ref="E1013" r:id="rId3155"/>
    <hyperlink xmlns:r="http://schemas.openxmlformats.org/officeDocument/2006/relationships" ref="W1013" r:id="rId3156"/>
    <hyperlink xmlns:r="http://schemas.openxmlformats.org/officeDocument/2006/relationships" ref="E1014" r:id="rId3157"/>
    <hyperlink xmlns:r="http://schemas.openxmlformats.org/officeDocument/2006/relationships" ref="W1014" r:id="rId3158"/>
    <hyperlink xmlns:r="http://schemas.openxmlformats.org/officeDocument/2006/relationships" ref="E1015" r:id="rId3159"/>
    <hyperlink xmlns:r="http://schemas.openxmlformats.org/officeDocument/2006/relationships" ref="P1015" r:id="rId3160"/>
    <hyperlink xmlns:r="http://schemas.openxmlformats.org/officeDocument/2006/relationships" ref="Q1015" r:id="rId3161"/>
    <hyperlink xmlns:r="http://schemas.openxmlformats.org/officeDocument/2006/relationships" ref="R1015" r:id="rId3162"/>
    <hyperlink xmlns:r="http://schemas.openxmlformats.org/officeDocument/2006/relationships" ref="W1015" r:id="rId3163"/>
    <hyperlink xmlns:r="http://schemas.openxmlformats.org/officeDocument/2006/relationships" ref="E1016" r:id="rId3164"/>
    <hyperlink xmlns:r="http://schemas.openxmlformats.org/officeDocument/2006/relationships" ref="W1016" r:id="rId3165"/>
    <hyperlink xmlns:r="http://schemas.openxmlformats.org/officeDocument/2006/relationships" ref="E1017" r:id="rId3166"/>
    <hyperlink xmlns:r="http://schemas.openxmlformats.org/officeDocument/2006/relationships" ref="W1017" r:id="rId3167"/>
    <hyperlink xmlns:r="http://schemas.openxmlformats.org/officeDocument/2006/relationships" ref="E1018" r:id="rId3168"/>
    <hyperlink xmlns:r="http://schemas.openxmlformats.org/officeDocument/2006/relationships" ref="R1018" r:id="rId3169"/>
    <hyperlink xmlns:r="http://schemas.openxmlformats.org/officeDocument/2006/relationships" ref="W1018" r:id="rId3170"/>
    <hyperlink xmlns:r="http://schemas.openxmlformats.org/officeDocument/2006/relationships" ref="E1019" r:id="rId3171"/>
    <hyperlink xmlns:r="http://schemas.openxmlformats.org/officeDocument/2006/relationships" ref="W1019" r:id="rId3172"/>
    <hyperlink xmlns:r="http://schemas.openxmlformats.org/officeDocument/2006/relationships" ref="E1020" r:id="rId3173"/>
    <hyperlink xmlns:r="http://schemas.openxmlformats.org/officeDocument/2006/relationships" ref="Q1020" r:id="rId3174"/>
    <hyperlink xmlns:r="http://schemas.openxmlformats.org/officeDocument/2006/relationships" ref="R1020" r:id="rId3175"/>
    <hyperlink xmlns:r="http://schemas.openxmlformats.org/officeDocument/2006/relationships" ref="W1020" r:id="rId3176"/>
    <hyperlink xmlns:r="http://schemas.openxmlformats.org/officeDocument/2006/relationships" ref="E1021" r:id="rId3177"/>
    <hyperlink xmlns:r="http://schemas.openxmlformats.org/officeDocument/2006/relationships" ref="W1021" r:id="rId3178"/>
    <hyperlink xmlns:r="http://schemas.openxmlformats.org/officeDocument/2006/relationships" ref="E1022" r:id="rId3179"/>
    <hyperlink xmlns:r="http://schemas.openxmlformats.org/officeDocument/2006/relationships" ref="W1022" r:id="rId3180"/>
    <hyperlink xmlns:r="http://schemas.openxmlformats.org/officeDocument/2006/relationships" ref="E1023" r:id="rId3181"/>
    <hyperlink xmlns:r="http://schemas.openxmlformats.org/officeDocument/2006/relationships" ref="W1023" r:id="rId3182"/>
    <hyperlink xmlns:r="http://schemas.openxmlformats.org/officeDocument/2006/relationships" ref="E1024" r:id="rId3183"/>
    <hyperlink xmlns:r="http://schemas.openxmlformats.org/officeDocument/2006/relationships" ref="W1024" r:id="rId3184"/>
    <hyperlink xmlns:r="http://schemas.openxmlformats.org/officeDocument/2006/relationships" ref="E1025" r:id="rId3185"/>
    <hyperlink xmlns:r="http://schemas.openxmlformats.org/officeDocument/2006/relationships" ref="W1025" r:id="rId3186"/>
    <hyperlink xmlns:r="http://schemas.openxmlformats.org/officeDocument/2006/relationships" ref="E1026" r:id="rId3187"/>
    <hyperlink xmlns:r="http://schemas.openxmlformats.org/officeDocument/2006/relationships" ref="W1026" r:id="rId3188"/>
    <hyperlink xmlns:r="http://schemas.openxmlformats.org/officeDocument/2006/relationships" ref="E1027" r:id="rId3189"/>
    <hyperlink xmlns:r="http://schemas.openxmlformats.org/officeDocument/2006/relationships" ref="W1027" r:id="rId3190"/>
    <hyperlink xmlns:r="http://schemas.openxmlformats.org/officeDocument/2006/relationships" ref="E1028" r:id="rId3191"/>
    <hyperlink xmlns:r="http://schemas.openxmlformats.org/officeDocument/2006/relationships" ref="P1028" r:id="rId3192"/>
    <hyperlink xmlns:r="http://schemas.openxmlformats.org/officeDocument/2006/relationships" ref="Q1028" r:id="rId3193"/>
    <hyperlink xmlns:r="http://schemas.openxmlformats.org/officeDocument/2006/relationships" ref="R1028" r:id="rId3194"/>
    <hyperlink xmlns:r="http://schemas.openxmlformats.org/officeDocument/2006/relationships" ref="W1028" r:id="rId3195"/>
    <hyperlink xmlns:r="http://schemas.openxmlformats.org/officeDocument/2006/relationships" ref="E1029" r:id="rId3196"/>
    <hyperlink xmlns:r="http://schemas.openxmlformats.org/officeDocument/2006/relationships" ref="W1029" r:id="rId3197"/>
    <hyperlink xmlns:r="http://schemas.openxmlformats.org/officeDocument/2006/relationships" ref="E1030" r:id="rId3198"/>
    <hyperlink xmlns:r="http://schemas.openxmlformats.org/officeDocument/2006/relationships" ref="W1030" r:id="rId3199"/>
    <hyperlink xmlns:r="http://schemas.openxmlformats.org/officeDocument/2006/relationships" ref="E1031" r:id="rId3200"/>
    <hyperlink xmlns:r="http://schemas.openxmlformats.org/officeDocument/2006/relationships" ref="P1031" r:id="rId3201"/>
    <hyperlink xmlns:r="http://schemas.openxmlformats.org/officeDocument/2006/relationships" ref="R1031" r:id="rId3202"/>
    <hyperlink xmlns:r="http://schemas.openxmlformats.org/officeDocument/2006/relationships" ref="W1031" r:id="rId3203"/>
    <hyperlink xmlns:r="http://schemas.openxmlformats.org/officeDocument/2006/relationships" ref="E1032" r:id="rId3204"/>
    <hyperlink xmlns:r="http://schemas.openxmlformats.org/officeDocument/2006/relationships" ref="W1032" r:id="rId3205"/>
    <hyperlink xmlns:r="http://schemas.openxmlformats.org/officeDocument/2006/relationships" ref="E1033" r:id="rId3206"/>
    <hyperlink xmlns:r="http://schemas.openxmlformats.org/officeDocument/2006/relationships" ref="W1033" r:id="rId3207"/>
    <hyperlink xmlns:r="http://schemas.openxmlformats.org/officeDocument/2006/relationships" ref="E1034" r:id="rId3208"/>
    <hyperlink xmlns:r="http://schemas.openxmlformats.org/officeDocument/2006/relationships" ref="W1034" r:id="rId3209"/>
    <hyperlink xmlns:r="http://schemas.openxmlformats.org/officeDocument/2006/relationships" ref="E1035" r:id="rId3210"/>
    <hyperlink xmlns:r="http://schemas.openxmlformats.org/officeDocument/2006/relationships" ref="W1035" r:id="rId3211"/>
    <hyperlink xmlns:r="http://schemas.openxmlformats.org/officeDocument/2006/relationships" ref="E1036" r:id="rId3212"/>
    <hyperlink xmlns:r="http://schemas.openxmlformats.org/officeDocument/2006/relationships" ref="P1036" r:id="rId3213"/>
    <hyperlink xmlns:r="http://schemas.openxmlformats.org/officeDocument/2006/relationships" ref="Q1036" r:id="rId3214"/>
    <hyperlink xmlns:r="http://schemas.openxmlformats.org/officeDocument/2006/relationships" ref="R1036" r:id="rId3215"/>
    <hyperlink xmlns:r="http://schemas.openxmlformats.org/officeDocument/2006/relationships" ref="W1036" r:id="rId3216"/>
    <hyperlink xmlns:r="http://schemas.openxmlformats.org/officeDocument/2006/relationships" ref="E1037" r:id="rId3217"/>
    <hyperlink xmlns:r="http://schemas.openxmlformats.org/officeDocument/2006/relationships" ref="W1037" r:id="rId3218"/>
    <hyperlink xmlns:r="http://schemas.openxmlformats.org/officeDocument/2006/relationships" ref="E1038" r:id="rId3219"/>
    <hyperlink xmlns:r="http://schemas.openxmlformats.org/officeDocument/2006/relationships" ref="R1038" r:id="rId3220"/>
    <hyperlink xmlns:r="http://schemas.openxmlformats.org/officeDocument/2006/relationships" ref="W1038" r:id="rId3221"/>
    <hyperlink xmlns:r="http://schemas.openxmlformats.org/officeDocument/2006/relationships" ref="E1039" r:id="rId3222"/>
    <hyperlink xmlns:r="http://schemas.openxmlformats.org/officeDocument/2006/relationships" ref="E1040" r:id="rId3223"/>
    <hyperlink xmlns:r="http://schemas.openxmlformats.org/officeDocument/2006/relationships" ref="R1040" r:id="rId3224"/>
    <hyperlink xmlns:r="http://schemas.openxmlformats.org/officeDocument/2006/relationships" ref="W1040" r:id="rId3225"/>
    <hyperlink xmlns:r="http://schemas.openxmlformats.org/officeDocument/2006/relationships" ref="E1041" r:id="rId3226"/>
    <hyperlink xmlns:r="http://schemas.openxmlformats.org/officeDocument/2006/relationships" ref="P1041" r:id="rId3227"/>
    <hyperlink xmlns:r="http://schemas.openxmlformats.org/officeDocument/2006/relationships" ref="Q1041" r:id="rId3228"/>
    <hyperlink xmlns:r="http://schemas.openxmlformats.org/officeDocument/2006/relationships" ref="R1041" r:id="rId3229"/>
    <hyperlink xmlns:r="http://schemas.openxmlformats.org/officeDocument/2006/relationships" ref="W1041" r:id="rId3230"/>
    <hyperlink xmlns:r="http://schemas.openxmlformats.org/officeDocument/2006/relationships" ref="E1042" r:id="rId3231"/>
    <hyperlink xmlns:r="http://schemas.openxmlformats.org/officeDocument/2006/relationships" ref="Q1042" r:id="rId3232"/>
    <hyperlink xmlns:r="http://schemas.openxmlformats.org/officeDocument/2006/relationships" ref="R1042" r:id="rId3233"/>
    <hyperlink xmlns:r="http://schemas.openxmlformats.org/officeDocument/2006/relationships" ref="E1043" r:id="rId3234"/>
    <hyperlink xmlns:r="http://schemas.openxmlformats.org/officeDocument/2006/relationships" ref="W1043" r:id="rId3235"/>
    <hyperlink xmlns:r="http://schemas.openxmlformats.org/officeDocument/2006/relationships" ref="E1044" r:id="rId3236"/>
    <hyperlink xmlns:r="http://schemas.openxmlformats.org/officeDocument/2006/relationships" ref="W1044" r:id="rId3237"/>
    <hyperlink xmlns:r="http://schemas.openxmlformats.org/officeDocument/2006/relationships" ref="E1045" r:id="rId3238"/>
    <hyperlink xmlns:r="http://schemas.openxmlformats.org/officeDocument/2006/relationships" ref="R1045" r:id="rId3239"/>
    <hyperlink xmlns:r="http://schemas.openxmlformats.org/officeDocument/2006/relationships" ref="W1045" r:id="rId3240"/>
    <hyperlink xmlns:r="http://schemas.openxmlformats.org/officeDocument/2006/relationships" ref="E1046" r:id="rId3241"/>
    <hyperlink xmlns:r="http://schemas.openxmlformats.org/officeDocument/2006/relationships" ref="W1046" r:id="rId3242"/>
    <hyperlink xmlns:r="http://schemas.openxmlformats.org/officeDocument/2006/relationships" ref="E1047" r:id="rId3243"/>
    <hyperlink xmlns:r="http://schemas.openxmlformats.org/officeDocument/2006/relationships" ref="W1047" r:id="rId3244"/>
    <hyperlink xmlns:r="http://schemas.openxmlformats.org/officeDocument/2006/relationships" ref="E1048" r:id="rId3245"/>
    <hyperlink xmlns:r="http://schemas.openxmlformats.org/officeDocument/2006/relationships" ref="W1048" r:id="rId3246"/>
    <hyperlink xmlns:r="http://schemas.openxmlformats.org/officeDocument/2006/relationships" ref="E1049" r:id="rId3247"/>
    <hyperlink xmlns:r="http://schemas.openxmlformats.org/officeDocument/2006/relationships" ref="W1049" r:id="rId3248"/>
    <hyperlink xmlns:r="http://schemas.openxmlformats.org/officeDocument/2006/relationships" ref="E1050" r:id="rId3249"/>
    <hyperlink xmlns:r="http://schemas.openxmlformats.org/officeDocument/2006/relationships" ref="W1050" r:id="rId3250"/>
    <hyperlink xmlns:r="http://schemas.openxmlformats.org/officeDocument/2006/relationships" ref="E1051" r:id="rId3251"/>
    <hyperlink xmlns:r="http://schemas.openxmlformats.org/officeDocument/2006/relationships" ref="W1051" r:id="rId3252"/>
    <hyperlink xmlns:r="http://schemas.openxmlformats.org/officeDocument/2006/relationships" ref="E1052" r:id="rId3253"/>
    <hyperlink xmlns:r="http://schemas.openxmlformats.org/officeDocument/2006/relationships" ref="W1052" r:id="rId3254"/>
    <hyperlink xmlns:r="http://schemas.openxmlformats.org/officeDocument/2006/relationships" ref="E1053" r:id="rId3255"/>
    <hyperlink xmlns:r="http://schemas.openxmlformats.org/officeDocument/2006/relationships" ref="R1053" r:id="rId3256"/>
    <hyperlink xmlns:r="http://schemas.openxmlformats.org/officeDocument/2006/relationships" ref="W1053" r:id="rId3257"/>
    <hyperlink xmlns:r="http://schemas.openxmlformats.org/officeDocument/2006/relationships" ref="E1054" r:id="rId3258"/>
    <hyperlink xmlns:r="http://schemas.openxmlformats.org/officeDocument/2006/relationships" ref="W1054" r:id="rId3259"/>
    <hyperlink xmlns:r="http://schemas.openxmlformats.org/officeDocument/2006/relationships" ref="E1055" r:id="rId3260"/>
    <hyperlink xmlns:r="http://schemas.openxmlformats.org/officeDocument/2006/relationships" ref="R1055" r:id="rId3261"/>
    <hyperlink xmlns:r="http://schemas.openxmlformats.org/officeDocument/2006/relationships" ref="W1055" r:id="rId3262"/>
    <hyperlink xmlns:r="http://schemas.openxmlformats.org/officeDocument/2006/relationships" ref="E1056" r:id="rId3263"/>
    <hyperlink xmlns:r="http://schemas.openxmlformats.org/officeDocument/2006/relationships" ref="W1056" r:id="rId3264"/>
    <hyperlink xmlns:r="http://schemas.openxmlformats.org/officeDocument/2006/relationships" ref="E1057" r:id="rId3265"/>
    <hyperlink xmlns:r="http://schemas.openxmlformats.org/officeDocument/2006/relationships" ref="R1057" r:id="rId3266"/>
    <hyperlink xmlns:r="http://schemas.openxmlformats.org/officeDocument/2006/relationships" ref="W1057" r:id="rId3267"/>
    <hyperlink xmlns:r="http://schemas.openxmlformats.org/officeDocument/2006/relationships" ref="E1058" r:id="rId3268"/>
    <hyperlink xmlns:r="http://schemas.openxmlformats.org/officeDocument/2006/relationships" ref="R1058" r:id="rId3269"/>
    <hyperlink xmlns:r="http://schemas.openxmlformats.org/officeDocument/2006/relationships" ref="W1058" r:id="rId3270"/>
    <hyperlink xmlns:r="http://schemas.openxmlformats.org/officeDocument/2006/relationships" ref="E1059" r:id="rId3271"/>
    <hyperlink xmlns:r="http://schemas.openxmlformats.org/officeDocument/2006/relationships" ref="P1059" r:id="rId3272"/>
    <hyperlink xmlns:r="http://schemas.openxmlformats.org/officeDocument/2006/relationships" ref="Q1059" r:id="rId3273"/>
    <hyperlink xmlns:r="http://schemas.openxmlformats.org/officeDocument/2006/relationships" ref="R1059" r:id="rId3274"/>
    <hyperlink xmlns:r="http://schemas.openxmlformats.org/officeDocument/2006/relationships" ref="W1059" r:id="rId3275"/>
    <hyperlink xmlns:r="http://schemas.openxmlformats.org/officeDocument/2006/relationships" ref="E1060" r:id="rId3276"/>
    <hyperlink xmlns:r="http://schemas.openxmlformats.org/officeDocument/2006/relationships" ref="W1060" r:id="rId3277"/>
    <hyperlink xmlns:r="http://schemas.openxmlformats.org/officeDocument/2006/relationships" ref="E1061" r:id="rId3278"/>
    <hyperlink xmlns:r="http://schemas.openxmlformats.org/officeDocument/2006/relationships" ref="W1061" r:id="rId3279"/>
    <hyperlink xmlns:r="http://schemas.openxmlformats.org/officeDocument/2006/relationships" ref="E1062" r:id="rId3280"/>
    <hyperlink xmlns:r="http://schemas.openxmlformats.org/officeDocument/2006/relationships" ref="Q1062" r:id="rId3281"/>
    <hyperlink xmlns:r="http://schemas.openxmlformats.org/officeDocument/2006/relationships" ref="R1062" r:id="rId3282"/>
    <hyperlink xmlns:r="http://schemas.openxmlformats.org/officeDocument/2006/relationships" ref="W1062" r:id="rId3283"/>
    <hyperlink xmlns:r="http://schemas.openxmlformats.org/officeDocument/2006/relationships" ref="E1063" r:id="rId3284"/>
    <hyperlink xmlns:r="http://schemas.openxmlformats.org/officeDocument/2006/relationships" ref="P1063" r:id="rId3285"/>
    <hyperlink xmlns:r="http://schemas.openxmlformats.org/officeDocument/2006/relationships" ref="Q1063" r:id="rId3286"/>
    <hyperlink xmlns:r="http://schemas.openxmlformats.org/officeDocument/2006/relationships" ref="R1063" r:id="rId3287"/>
    <hyperlink xmlns:r="http://schemas.openxmlformats.org/officeDocument/2006/relationships" ref="W1063" r:id="rId3288"/>
    <hyperlink xmlns:r="http://schemas.openxmlformats.org/officeDocument/2006/relationships" ref="E1064" r:id="rId3289"/>
    <hyperlink xmlns:r="http://schemas.openxmlformats.org/officeDocument/2006/relationships" ref="Q1064" r:id="rId3290"/>
    <hyperlink xmlns:r="http://schemas.openxmlformats.org/officeDocument/2006/relationships" ref="R1064" r:id="rId3291"/>
    <hyperlink xmlns:r="http://schemas.openxmlformats.org/officeDocument/2006/relationships" ref="E1065" r:id="rId3292"/>
    <hyperlink xmlns:r="http://schemas.openxmlformats.org/officeDocument/2006/relationships" ref="W1065" r:id="rId3293"/>
    <hyperlink xmlns:r="http://schemas.openxmlformats.org/officeDocument/2006/relationships" ref="E1066" r:id="rId3294"/>
    <hyperlink xmlns:r="http://schemas.openxmlformats.org/officeDocument/2006/relationships" ref="W1066" r:id="rId3295"/>
    <hyperlink xmlns:r="http://schemas.openxmlformats.org/officeDocument/2006/relationships" ref="E1067" r:id="rId3296"/>
    <hyperlink xmlns:r="http://schemas.openxmlformats.org/officeDocument/2006/relationships" ref="W1067" r:id="rId3297"/>
    <hyperlink xmlns:r="http://schemas.openxmlformats.org/officeDocument/2006/relationships" ref="E1068" r:id="rId3298"/>
    <hyperlink xmlns:r="http://schemas.openxmlformats.org/officeDocument/2006/relationships" ref="P1068" r:id="rId3299"/>
    <hyperlink xmlns:r="http://schemas.openxmlformats.org/officeDocument/2006/relationships" ref="W1068" r:id="rId3300"/>
    <hyperlink xmlns:r="http://schemas.openxmlformats.org/officeDocument/2006/relationships" ref="E1069" r:id="rId3301"/>
    <hyperlink xmlns:r="http://schemas.openxmlformats.org/officeDocument/2006/relationships" ref="W1069" r:id="rId3302"/>
    <hyperlink xmlns:r="http://schemas.openxmlformats.org/officeDocument/2006/relationships" ref="E1070" r:id="rId3303"/>
    <hyperlink xmlns:r="http://schemas.openxmlformats.org/officeDocument/2006/relationships" ref="W1070" r:id="rId3304"/>
    <hyperlink xmlns:r="http://schemas.openxmlformats.org/officeDocument/2006/relationships" ref="E1071" r:id="rId3305"/>
    <hyperlink xmlns:r="http://schemas.openxmlformats.org/officeDocument/2006/relationships" ref="R1071" r:id="rId3306"/>
    <hyperlink xmlns:r="http://schemas.openxmlformats.org/officeDocument/2006/relationships" ref="W1071" r:id="rId3307"/>
    <hyperlink xmlns:r="http://schemas.openxmlformats.org/officeDocument/2006/relationships" ref="E1072" r:id="rId3308"/>
    <hyperlink xmlns:r="http://schemas.openxmlformats.org/officeDocument/2006/relationships" ref="W1072" r:id="rId3309"/>
    <hyperlink xmlns:r="http://schemas.openxmlformats.org/officeDocument/2006/relationships" ref="E1073" r:id="rId3310"/>
    <hyperlink xmlns:r="http://schemas.openxmlformats.org/officeDocument/2006/relationships" ref="W1073" r:id="rId3311"/>
    <hyperlink xmlns:r="http://schemas.openxmlformats.org/officeDocument/2006/relationships" ref="E1074" r:id="rId3312"/>
    <hyperlink xmlns:r="http://schemas.openxmlformats.org/officeDocument/2006/relationships" ref="W1074" r:id="rId3313"/>
    <hyperlink xmlns:r="http://schemas.openxmlformats.org/officeDocument/2006/relationships" ref="E1075" r:id="rId3314"/>
    <hyperlink xmlns:r="http://schemas.openxmlformats.org/officeDocument/2006/relationships" ref="W1075" r:id="rId3315"/>
    <hyperlink xmlns:r="http://schemas.openxmlformats.org/officeDocument/2006/relationships" ref="E1076" r:id="rId3316"/>
    <hyperlink xmlns:r="http://schemas.openxmlformats.org/officeDocument/2006/relationships" ref="Q1076" r:id="rId3317"/>
    <hyperlink xmlns:r="http://schemas.openxmlformats.org/officeDocument/2006/relationships" ref="R1076" r:id="rId3318"/>
    <hyperlink xmlns:r="http://schemas.openxmlformats.org/officeDocument/2006/relationships" ref="W1076" r:id="rId3319"/>
    <hyperlink xmlns:r="http://schemas.openxmlformats.org/officeDocument/2006/relationships" ref="E1077" r:id="rId3320"/>
    <hyperlink xmlns:r="http://schemas.openxmlformats.org/officeDocument/2006/relationships" ref="W1077" r:id="rId3321"/>
    <hyperlink xmlns:r="http://schemas.openxmlformats.org/officeDocument/2006/relationships" ref="E1078" r:id="rId3322"/>
    <hyperlink xmlns:r="http://schemas.openxmlformats.org/officeDocument/2006/relationships" ref="W1078" r:id="rId3323"/>
    <hyperlink xmlns:r="http://schemas.openxmlformats.org/officeDocument/2006/relationships" ref="E1079" r:id="rId3324"/>
    <hyperlink xmlns:r="http://schemas.openxmlformats.org/officeDocument/2006/relationships" ref="W1079" r:id="rId3325"/>
    <hyperlink xmlns:r="http://schemas.openxmlformats.org/officeDocument/2006/relationships" ref="E1080" r:id="rId3326"/>
    <hyperlink xmlns:r="http://schemas.openxmlformats.org/officeDocument/2006/relationships" ref="W1080" r:id="rId3327"/>
    <hyperlink xmlns:r="http://schemas.openxmlformats.org/officeDocument/2006/relationships" ref="E1081" r:id="rId3328"/>
    <hyperlink xmlns:r="http://schemas.openxmlformats.org/officeDocument/2006/relationships" ref="E1082" r:id="rId3329"/>
    <hyperlink xmlns:r="http://schemas.openxmlformats.org/officeDocument/2006/relationships" ref="W1082" r:id="rId3330"/>
    <hyperlink xmlns:r="http://schemas.openxmlformats.org/officeDocument/2006/relationships" ref="E1083" r:id="rId3331"/>
    <hyperlink xmlns:r="http://schemas.openxmlformats.org/officeDocument/2006/relationships" ref="W1083" r:id="rId3332"/>
    <hyperlink xmlns:r="http://schemas.openxmlformats.org/officeDocument/2006/relationships" ref="E1084" r:id="rId3333"/>
    <hyperlink xmlns:r="http://schemas.openxmlformats.org/officeDocument/2006/relationships" ref="W1084" r:id="rId3334"/>
    <hyperlink xmlns:r="http://schemas.openxmlformats.org/officeDocument/2006/relationships" ref="E1085" r:id="rId3335"/>
    <hyperlink xmlns:r="http://schemas.openxmlformats.org/officeDocument/2006/relationships" ref="Q1085" r:id="rId3336"/>
    <hyperlink xmlns:r="http://schemas.openxmlformats.org/officeDocument/2006/relationships" ref="R1085" r:id="rId3337"/>
    <hyperlink xmlns:r="http://schemas.openxmlformats.org/officeDocument/2006/relationships" ref="W1085" r:id="rId3338"/>
    <hyperlink xmlns:r="http://schemas.openxmlformats.org/officeDocument/2006/relationships" ref="E1086" r:id="rId3339"/>
    <hyperlink xmlns:r="http://schemas.openxmlformats.org/officeDocument/2006/relationships" ref="R1086" r:id="rId3340"/>
    <hyperlink xmlns:r="http://schemas.openxmlformats.org/officeDocument/2006/relationships" ref="W1086" r:id="rId3341"/>
    <hyperlink xmlns:r="http://schemas.openxmlformats.org/officeDocument/2006/relationships" ref="E1087" r:id="rId3342"/>
    <hyperlink xmlns:r="http://schemas.openxmlformats.org/officeDocument/2006/relationships" ref="W1087" r:id="rId3343"/>
    <hyperlink xmlns:r="http://schemas.openxmlformats.org/officeDocument/2006/relationships" ref="E1088" r:id="rId3344"/>
    <hyperlink xmlns:r="http://schemas.openxmlformats.org/officeDocument/2006/relationships" ref="R1088" r:id="rId3345"/>
    <hyperlink xmlns:r="http://schemas.openxmlformats.org/officeDocument/2006/relationships" ref="W1088" r:id="rId3346"/>
    <hyperlink xmlns:r="http://schemas.openxmlformats.org/officeDocument/2006/relationships" ref="E1089" r:id="rId3347"/>
    <hyperlink xmlns:r="http://schemas.openxmlformats.org/officeDocument/2006/relationships" ref="R1089" r:id="rId3348"/>
    <hyperlink xmlns:r="http://schemas.openxmlformats.org/officeDocument/2006/relationships" ref="W1089" r:id="rId3349"/>
    <hyperlink xmlns:r="http://schemas.openxmlformats.org/officeDocument/2006/relationships" ref="E1090" r:id="rId3350"/>
    <hyperlink xmlns:r="http://schemas.openxmlformats.org/officeDocument/2006/relationships" ref="W1090" r:id="rId3351"/>
    <hyperlink xmlns:r="http://schemas.openxmlformats.org/officeDocument/2006/relationships" ref="E1091" r:id="rId3352"/>
    <hyperlink xmlns:r="http://schemas.openxmlformats.org/officeDocument/2006/relationships" ref="P1091" r:id="rId3353"/>
    <hyperlink xmlns:r="http://schemas.openxmlformats.org/officeDocument/2006/relationships" ref="R1091" r:id="rId3354"/>
    <hyperlink xmlns:r="http://schemas.openxmlformats.org/officeDocument/2006/relationships" ref="W1091" r:id="rId3355"/>
    <hyperlink xmlns:r="http://schemas.openxmlformats.org/officeDocument/2006/relationships" ref="E1092" r:id="rId3356"/>
    <hyperlink xmlns:r="http://schemas.openxmlformats.org/officeDocument/2006/relationships" ref="W1092" r:id="rId3357"/>
    <hyperlink xmlns:r="http://schemas.openxmlformats.org/officeDocument/2006/relationships" ref="E1093" r:id="rId3358"/>
    <hyperlink xmlns:r="http://schemas.openxmlformats.org/officeDocument/2006/relationships" ref="R1093" r:id="rId3359"/>
    <hyperlink xmlns:r="http://schemas.openxmlformats.org/officeDocument/2006/relationships" ref="W1093" r:id="rId3360"/>
    <hyperlink xmlns:r="http://schemas.openxmlformats.org/officeDocument/2006/relationships" ref="E1094" r:id="rId3361"/>
    <hyperlink xmlns:r="http://schemas.openxmlformats.org/officeDocument/2006/relationships" ref="P1094" r:id="rId3362"/>
    <hyperlink xmlns:r="http://schemas.openxmlformats.org/officeDocument/2006/relationships" ref="Q1094" r:id="rId3363"/>
    <hyperlink xmlns:r="http://schemas.openxmlformats.org/officeDocument/2006/relationships" ref="R1094" r:id="rId3364"/>
    <hyperlink xmlns:r="http://schemas.openxmlformats.org/officeDocument/2006/relationships" ref="W1094" r:id="rId3365"/>
    <hyperlink xmlns:r="http://schemas.openxmlformats.org/officeDocument/2006/relationships" ref="E1095" r:id="rId3366"/>
    <hyperlink xmlns:r="http://schemas.openxmlformats.org/officeDocument/2006/relationships" ref="W1095" r:id="rId3367"/>
    <hyperlink xmlns:r="http://schemas.openxmlformats.org/officeDocument/2006/relationships" ref="E1096" r:id="rId3368"/>
    <hyperlink xmlns:r="http://schemas.openxmlformats.org/officeDocument/2006/relationships" ref="W1096" r:id="rId3369"/>
    <hyperlink xmlns:r="http://schemas.openxmlformats.org/officeDocument/2006/relationships" ref="E1098" r:id="rId3370"/>
    <hyperlink xmlns:r="http://schemas.openxmlformats.org/officeDocument/2006/relationships" ref="P1098" r:id="rId3371"/>
    <hyperlink xmlns:r="http://schemas.openxmlformats.org/officeDocument/2006/relationships" ref="R1098" r:id="rId3372"/>
    <hyperlink xmlns:r="http://schemas.openxmlformats.org/officeDocument/2006/relationships" ref="W1098" r:id="rId3373"/>
    <hyperlink xmlns:r="http://schemas.openxmlformats.org/officeDocument/2006/relationships" ref="E1099" r:id="rId3374"/>
    <hyperlink xmlns:r="http://schemas.openxmlformats.org/officeDocument/2006/relationships" ref="W1099" r:id="rId3375"/>
    <hyperlink xmlns:r="http://schemas.openxmlformats.org/officeDocument/2006/relationships" ref="E1100" r:id="rId3376"/>
    <hyperlink xmlns:r="http://schemas.openxmlformats.org/officeDocument/2006/relationships" ref="P1100" r:id="rId3377"/>
    <hyperlink xmlns:r="http://schemas.openxmlformats.org/officeDocument/2006/relationships" ref="R1100" r:id="rId3378"/>
    <hyperlink xmlns:r="http://schemas.openxmlformats.org/officeDocument/2006/relationships" ref="W1100" r:id="rId3379"/>
    <hyperlink xmlns:r="http://schemas.openxmlformats.org/officeDocument/2006/relationships" ref="E1101" r:id="rId3380"/>
    <hyperlink xmlns:r="http://schemas.openxmlformats.org/officeDocument/2006/relationships" ref="R1101" r:id="rId3381"/>
    <hyperlink xmlns:r="http://schemas.openxmlformats.org/officeDocument/2006/relationships" ref="W1101" r:id="rId3382"/>
    <hyperlink xmlns:r="http://schemas.openxmlformats.org/officeDocument/2006/relationships" ref="E1102" r:id="rId3383"/>
    <hyperlink xmlns:r="http://schemas.openxmlformats.org/officeDocument/2006/relationships" ref="Q1102" r:id="rId3384"/>
    <hyperlink xmlns:r="http://schemas.openxmlformats.org/officeDocument/2006/relationships" ref="R1102" r:id="rId3385"/>
    <hyperlink xmlns:r="http://schemas.openxmlformats.org/officeDocument/2006/relationships" ref="W1102" r:id="rId3386"/>
    <hyperlink xmlns:r="http://schemas.openxmlformats.org/officeDocument/2006/relationships" ref="E1103" r:id="rId3387"/>
    <hyperlink xmlns:r="http://schemas.openxmlformats.org/officeDocument/2006/relationships" ref="R1103" r:id="rId3388"/>
    <hyperlink xmlns:r="http://schemas.openxmlformats.org/officeDocument/2006/relationships" ref="W1103" r:id="rId3389"/>
    <hyperlink xmlns:r="http://schemas.openxmlformats.org/officeDocument/2006/relationships" ref="D1104" r:id="rId3390"/>
    <hyperlink xmlns:r="http://schemas.openxmlformats.org/officeDocument/2006/relationships" ref="E1104" r:id="rId3391"/>
    <hyperlink xmlns:r="http://schemas.openxmlformats.org/officeDocument/2006/relationships" ref="W1104" r:id="rId3392"/>
    <hyperlink xmlns:r="http://schemas.openxmlformats.org/officeDocument/2006/relationships" ref="E1105" r:id="rId3393"/>
    <hyperlink xmlns:r="http://schemas.openxmlformats.org/officeDocument/2006/relationships" ref="W1105" r:id="rId3394"/>
    <hyperlink xmlns:r="http://schemas.openxmlformats.org/officeDocument/2006/relationships" ref="E1106" r:id="rId3395"/>
    <hyperlink xmlns:r="http://schemas.openxmlformats.org/officeDocument/2006/relationships" ref="P1106" r:id="rId3396"/>
    <hyperlink xmlns:r="http://schemas.openxmlformats.org/officeDocument/2006/relationships" ref="Q1106" r:id="rId3397"/>
    <hyperlink xmlns:r="http://schemas.openxmlformats.org/officeDocument/2006/relationships" ref="R1106" r:id="rId3398"/>
    <hyperlink xmlns:r="http://schemas.openxmlformats.org/officeDocument/2006/relationships" ref="W1106" r:id="rId3399"/>
    <hyperlink xmlns:r="http://schemas.openxmlformats.org/officeDocument/2006/relationships" ref="E1107" r:id="rId3400"/>
    <hyperlink xmlns:r="http://schemas.openxmlformats.org/officeDocument/2006/relationships" ref="W1107" r:id="rId3401"/>
    <hyperlink xmlns:r="http://schemas.openxmlformats.org/officeDocument/2006/relationships" ref="E1108" r:id="rId3402"/>
    <hyperlink xmlns:r="http://schemas.openxmlformats.org/officeDocument/2006/relationships" ref="P1108" r:id="rId3403"/>
    <hyperlink xmlns:r="http://schemas.openxmlformats.org/officeDocument/2006/relationships" ref="R1108" r:id="rId3404"/>
    <hyperlink xmlns:r="http://schemas.openxmlformats.org/officeDocument/2006/relationships" ref="W1108" r:id="rId3405"/>
    <hyperlink xmlns:r="http://schemas.openxmlformats.org/officeDocument/2006/relationships" ref="E1109" r:id="rId3406"/>
    <hyperlink xmlns:r="http://schemas.openxmlformats.org/officeDocument/2006/relationships" ref="W1109" r:id="rId3407"/>
    <hyperlink xmlns:r="http://schemas.openxmlformats.org/officeDocument/2006/relationships" ref="E1110" r:id="rId3408"/>
    <hyperlink xmlns:r="http://schemas.openxmlformats.org/officeDocument/2006/relationships" ref="P1110" r:id="rId3409"/>
    <hyperlink xmlns:r="http://schemas.openxmlformats.org/officeDocument/2006/relationships" ref="R1110" r:id="rId3410"/>
    <hyperlink xmlns:r="http://schemas.openxmlformats.org/officeDocument/2006/relationships" ref="W1110" r:id="rId3411"/>
    <hyperlink xmlns:r="http://schemas.openxmlformats.org/officeDocument/2006/relationships" ref="E1111" r:id="rId3412"/>
    <hyperlink xmlns:r="http://schemas.openxmlformats.org/officeDocument/2006/relationships" ref="W1111" r:id="rId3413"/>
    <hyperlink xmlns:r="http://schemas.openxmlformats.org/officeDocument/2006/relationships" ref="E1112" r:id="rId3414"/>
    <hyperlink xmlns:r="http://schemas.openxmlformats.org/officeDocument/2006/relationships" ref="W1112" r:id="rId3415"/>
    <hyperlink xmlns:r="http://schemas.openxmlformats.org/officeDocument/2006/relationships" ref="E1113" r:id="rId3416"/>
    <hyperlink xmlns:r="http://schemas.openxmlformats.org/officeDocument/2006/relationships" ref="P1113" r:id="rId3417"/>
    <hyperlink xmlns:r="http://schemas.openxmlformats.org/officeDocument/2006/relationships" ref="Q1113" r:id="rId3418"/>
    <hyperlink xmlns:r="http://schemas.openxmlformats.org/officeDocument/2006/relationships" ref="R1113" r:id="rId3419"/>
    <hyperlink xmlns:r="http://schemas.openxmlformats.org/officeDocument/2006/relationships" ref="W1113" r:id="rId3420"/>
    <hyperlink xmlns:r="http://schemas.openxmlformats.org/officeDocument/2006/relationships" ref="E1114" r:id="rId3421"/>
    <hyperlink xmlns:r="http://schemas.openxmlformats.org/officeDocument/2006/relationships" ref="R1114" r:id="rId3422"/>
    <hyperlink xmlns:r="http://schemas.openxmlformats.org/officeDocument/2006/relationships" ref="W1114" r:id="rId3423"/>
    <hyperlink xmlns:r="http://schemas.openxmlformats.org/officeDocument/2006/relationships" ref="E1115" r:id="rId3424"/>
    <hyperlink xmlns:r="http://schemas.openxmlformats.org/officeDocument/2006/relationships" ref="W1115" r:id="rId3425"/>
    <hyperlink xmlns:r="http://schemas.openxmlformats.org/officeDocument/2006/relationships" ref="E1116" r:id="rId3426"/>
    <hyperlink xmlns:r="http://schemas.openxmlformats.org/officeDocument/2006/relationships" ref="Q1116" r:id="rId3427"/>
    <hyperlink xmlns:r="http://schemas.openxmlformats.org/officeDocument/2006/relationships" ref="R1116" r:id="rId3428"/>
    <hyperlink xmlns:r="http://schemas.openxmlformats.org/officeDocument/2006/relationships" ref="W1116" r:id="rId3429"/>
    <hyperlink xmlns:r="http://schemas.openxmlformats.org/officeDocument/2006/relationships" ref="E1117" r:id="rId3430"/>
    <hyperlink xmlns:r="http://schemas.openxmlformats.org/officeDocument/2006/relationships" ref="R1117" r:id="rId3431"/>
    <hyperlink xmlns:r="http://schemas.openxmlformats.org/officeDocument/2006/relationships" ref="W1117" r:id="rId3432"/>
    <hyperlink xmlns:r="http://schemas.openxmlformats.org/officeDocument/2006/relationships" ref="E1118" r:id="rId3433"/>
    <hyperlink xmlns:r="http://schemas.openxmlformats.org/officeDocument/2006/relationships" ref="W1118" r:id="rId3434"/>
    <hyperlink xmlns:r="http://schemas.openxmlformats.org/officeDocument/2006/relationships" ref="E1119" r:id="rId3435"/>
    <hyperlink xmlns:r="http://schemas.openxmlformats.org/officeDocument/2006/relationships" ref="Q1119" r:id="rId3436"/>
    <hyperlink xmlns:r="http://schemas.openxmlformats.org/officeDocument/2006/relationships" ref="R1119" r:id="rId3437"/>
    <hyperlink xmlns:r="http://schemas.openxmlformats.org/officeDocument/2006/relationships" ref="W1119" r:id="rId3438"/>
    <hyperlink xmlns:r="http://schemas.openxmlformats.org/officeDocument/2006/relationships" ref="E1120" r:id="rId3439"/>
    <hyperlink xmlns:r="http://schemas.openxmlformats.org/officeDocument/2006/relationships" ref="P1120" r:id="rId3440"/>
    <hyperlink xmlns:r="http://schemas.openxmlformats.org/officeDocument/2006/relationships" ref="R1120" r:id="rId3441"/>
    <hyperlink xmlns:r="http://schemas.openxmlformats.org/officeDocument/2006/relationships" ref="W1120" r:id="rId3442"/>
    <hyperlink xmlns:r="http://schemas.openxmlformats.org/officeDocument/2006/relationships" ref="E1121" r:id="rId3443"/>
    <hyperlink xmlns:r="http://schemas.openxmlformats.org/officeDocument/2006/relationships" ref="W1121" r:id="rId3444"/>
    <hyperlink xmlns:r="http://schemas.openxmlformats.org/officeDocument/2006/relationships" ref="E1122" r:id="rId3445"/>
    <hyperlink xmlns:r="http://schemas.openxmlformats.org/officeDocument/2006/relationships" ref="R1122" r:id="rId3446"/>
    <hyperlink xmlns:r="http://schemas.openxmlformats.org/officeDocument/2006/relationships" ref="W1122" r:id="rId3447"/>
    <hyperlink xmlns:r="http://schemas.openxmlformats.org/officeDocument/2006/relationships" ref="E1123" r:id="rId3448"/>
    <hyperlink xmlns:r="http://schemas.openxmlformats.org/officeDocument/2006/relationships" ref="Q1123" r:id="rId3449"/>
    <hyperlink xmlns:r="http://schemas.openxmlformats.org/officeDocument/2006/relationships" ref="R1123" r:id="rId3450"/>
    <hyperlink xmlns:r="http://schemas.openxmlformats.org/officeDocument/2006/relationships" ref="W1123" r:id="rId3451"/>
    <hyperlink xmlns:r="http://schemas.openxmlformats.org/officeDocument/2006/relationships" ref="E1124" r:id="rId3452"/>
    <hyperlink xmlns:r="http://schemas.openxmlformats.org/officeDocument/2006/relationships" ref="Q1124" r:id="rId3453"/>
    <hyperlink xmlns:r="http://schemas.openxmlformats.org/officeDocument/2006/relationships" ref="R1124" r:id="rId3454"/>
    <hyperlink xmlns:r="http://schemas.openxmlformats.org/officeDocument/2006/relationships" ref="S1124" r:id="rId3455"/>
    <hyperlink xmlns:r="http://schemas.openxmlformats.org/officeDocument/2006/relationships" ref="W1124" r:id="rId3456"/>
    <hyperlink xmlns:r="http://schemas.openxmlformats.org/officeDocument/2006/relationships" ref="E1125" r:id="rId3457"/>
    <hyperlink xmlns:r="http://schemas.openxmlformats.org/officeDocument/2006/relationships" ref="P1125" r:id="rId3458"/>
    <hyperlink xmlns:r="http://schemas.openxmlformats.org/officeDocument/2006/relationships" ref="R1125" r:id="rId3459"/>
    <hyperlink xmlns:r="http://schemas.openxmlformats.org/officeDocument/2006/relationships" ref="W1125" r:id="rId3460"/>
    <hyperlink xmlns:r="http://schemas.openxmlformats.org/officeDocument/2006/relationships" ref="E1126" r:id="rId3461"/>
    <hyperlink xmlns:r="http://schemas.openxmlformats.org/officeDocument/2006/relationships" ref="W1126" r:id="rId3462"/>
    <hyperlink xmlns:r="http://schemas.openxmlformats.org/officeDocument/2006/relationships" ref="E1127" r:id="rId3463"/>
    <hyperlink xmlns:r="http://schemas.openxmlformats.org/officeDocument/2006/relationships" ref="R1127" r:id="rId3464"/>
    <hyperlink xmlns:r="http://schemas.openxmlformats.org/officeDocument/2006/relationships" ref="W1127" r:id="rId3465"/>
    <hyperlink xmlns:r="http://schemas.openxmlformats.org/officeDocument/2006/relationships" ref="E1128" r:id="rId3466"/>
    <hyperlink xmlns:r="http://schemas.openxmlformats.org/officeDocument/2006/relationships" ref="W1128" r:id="rId3467"/>
    <hyperlink xmlns:r="http://schemas.openxmlformats.org/officeDocument/2006/relationships" ref="E1129" r:id="rId3468"/>
    <hyperlink xmlns:r="http://schemas.openxmlformats.org/officeDocument/2006/relationships" ref="W1129" r:id="rId3469"/>
    <hyperlink xmlns:r="http://schemas.openxmlformats.org/officeDocument/2006/relationships" ref="E1130" r:id="rId3470"/>
    <hyperlink xmlns:r="http://schemas.openxmlformats.org/officeDocument/2006/relationships" ref="W1130" r:id="rId3471"/>
    <hyperlink xmlns:r="http://schemas.openxmlformats.org/officeDocument/2006/relationships" ref="E1131" r:id="rId3472"/>
    <hyperlink xmlns:r="http://schemas.openxmlformats.org/officeDocument/2006/relationships" ref="Q1131" r:id="rId3473"/>
    <hyperlink xmlns:r="http://schemas.openxmlformats.org/officeDocument/2006/relationships" ref="R1131" r:id="rId3474"/>
    <hyperlink xmlns:r="http://schemas.openxmlformats.org/officeDocument/2006/relationships" ref="W1131" r:id="rId3475"/>
    <hyperlink xmlns:r="http://schemas.openxmlformats.org/officeDocument/2006/relationships" ref="E1132" r:id="rId3476"/>
    <hyperlink xmlns:r="http://schemas.openxmlformats.org/officeDocument/2006/relationships" ref="P1132" r:id="rId3477"/>
    <hyperlink xmlns:r="http://schemas.openxmlformats.org/officeDocument/2006/relationships" ref="Q1132" r:id="rId3478"/>
    <hyperlink xmlns:r="http://schemas.openxmlformats.org/officeDocument/2006/relationships" ref="R1132" r:id="rId3479"/>
    <hyperlink xmlns:r="http://schemas.openxmlformats.org/officeDocument/2006/relationships" ref="W1132" r:id="rId3480"/>
    <hyperlink xmlns:r="http://schemas.openxmlformats.org/officeDocument/2006/relationships" ref="E1133" r:id="rId3481"/>
    <hyperlink xmlns:r="http://schemas.openxmlformats.org/officeDocument/2006/relationships" ref="W1133" r:id="rId3482"/>
    <hyperlink xmlns:r="http://schemas.openxmlformats.org/officeDocument/2006/relationships" ref="E1134" r:id="rId3483"/>
    <hyperlink xmlns:r="http://schemas.openxmlformats.org/officeDocument/2006/relationships" ref="W1134" r:id="rId3484"/>
    <hyperlink xmlns:r="http://schemas.openxmlformats.org/officeDocument/2006/relationships" ref="E1135" r:id="rId3485"/>
    <hyperlink xmlns:r="http://schemas.openxmlformats.org/officeDocument/2006/relationships" ref="W1135" r:id="rId3486"/>
    <hyperlink xmlns:r="http://schemas.openxmlformats.org/officeDocument/2006/relationships" ref="E1136" r:id="rId3487"/>
    <hyperlink xmlns:r="http://schemas.openxmlformats.org/officeDocument/2006/relationships" ref="W1136" r:id="rId3488"/>
    <hyperlink xmlns:r="http://schemas.openxmlformats.org/officeDocument/2006/relationships" ref="E1137" r:id="rId3489"/>
    <hyperlink xmlns:r="http://schemas.openxmlformats.org/officeDocument/2006/relationships" ref="R1137" r:id="rId3490"/>
    <hyperlink xmlns:r="http://schemas.openxmlformats.org/officeDocument/2006/relationships" ref="E1138" r:id="rId3491"/>
    <hyperlink xmlns:r="http://schemas.openxmlformats.org/officeDocument/2006/relationships" ref="P1138" r:id="rId3492"/>
    <hyperlink xmlns:r="http://schemas.openxmlformats.org/officeDocument/2006/relationships" ref="Q1138" r:id="rId3493"/>
    <hyperlink xmlns:r="http://schemas.openxmlformats.org/officeDocument/2006/relationships" ref="R1138" r:id="rId3494"/>
    <hyperlink xmlns:r="http://schemas.openxmlformats.org/officeDocument/2006/relationships" ref="W1138" r:id="rId3495"/>
    <hyperlink xmlns:r="http://schemas.openxmlformats.org/officeDocument/2006/relationships" ref="E1139" r:id="rId3496"/>
    <hyperlink xmlns:r="http://schemas.openxmlformats.org/officeDocument/2006/relationships" ref="R1139" r:id="rId3497"/>
    <hyperlink xmlns:r="http://schemas.openxmlformats.org/officeDocument/2006/relationships" ref="W1139" r:id="rId3498"/>
    <hyperlink xmlns:r="http://schemas.openxmlformats.org/officeDocument/2006/relationships" ref="E1140" r:id="rId3499"/>
    <hyperlink xmlns:r="http://schemas.openxmlformats.org/officeDocument/2006/relationships" ref="W1140" r:id="rId3500"/>
    <hyperlink xmlns:r="http://schemas.openxmlformats.org/officeDocument/2006/relationships" ref="E1141" r:id="rId3501"/>
    <hyperlink xmlns:r="http://schemas.openxmlformats.org/officeDocument/2006/relationships" ref="W1141" r:id="rId3502"/>
    <hyperlink xmlns:r="http://schemas.openxmlformats.org/officeDocument/2006/relationships" ref="E1142" r:id="rId3503"/>
    <hyperlink xmlns:r="http://schemas.openxmlformats.org/officeDocument/2006/relationships" ref="P1142" r:id="rId3504"/>
    <hyperlink xmlns:r="http://schemas.openxmlformats.org/officeDocument/2006/relationships" ref="Q1142" r:id="rId3505"/>
    <hyperlink xmlns:r="http://schemas.openxmlformats.org/officeDocument/2006/relationships" ref="R1142" r:id="rId3506"/>
    <hyperlink xmlns:r="http://schemas.openxmlformats.org/officeDocument/2006/relationships" ref="W1142" r:id="rId3507"/>
    <hyperlink xmlns:r="http://schemas.openxmlformats.org/officeDocument/2006/relationships" ref="E1143" r:id="rId3508"/>
    <hyperlink xmlns:r="http://schemas.openxmlformats.org/officeDocument/2006/relationships" ref="P1143" r:id="rId3509"/>
    <hyperlink xmlns:r="http://schemas.openxmlformats.org/officeDocument/2006/relationships" ref="Q1143" r:id="rId3510"/>
    <hyperlink xmlns:r="http://schemas.openxmlformats.org/officeDocument/2006/relationships" ref="R1143" r:id="rId3511"/>
    <hyperlink xmlns:r="http://schemas.openxmlformats.org/officeDocument/2006/relationships" ref="W1143" r:id="rId3512"/>
    <hyperlink xmlns:r="http://schemas.openxmlformats.org/officeDocument/2006/relationships" ref="E1144" r:id="rId3513"/>
    <hyperlink xmlns:r="http://schemas.openxmlformats.org/officeDocument/2006/relationships" ref="Q1144" r:id="rId3514"/>
    <hyperlink xmlns:r="http://schemas.openxmlformats.org/officeDocument/2006/relationships" ref="R1144" r:id="rId3515"/>
    <hyperlink xmlns:r="http://schemas.openxmlformats.org/officeDocument/2006/relationships" ref="W1144" r:id="rId3516"/>
    <hyperlink xmlns:r="http://schemas.openxmlformats.org/officeDocument/2006/relationships" ref="E1145" r:id="rId3517"/>
    <hyperlink xmlns:r="http://schemas.openxmlformats.org/officeDocument/2006/relationships" ref="R1145" r:id="rId3518"/>
    <hyperlink xmlns:r="http://schemas.openxmlformats.org/officeDocument/2006/relationships" ref="W1145" r:id="rId3519"/>
    <hyperlink xmlns:r="http://schemas.openxmlformats.org/officeDocument/2006/relationships" ref="E1146" r:id="rId3520"/>
    <hyperlink xmlns:r="http://schemas.openxmlformats.org/officeDocument/2006/relationships" ref="W1146" r:id="rId3521"/>
    <hyperlink xmlns:r="http://schemas.openxmlformats.org/officeDocument/2006/relationships" ref="E1147" r:id="rId3522"/>
    <hyperlink xmlns:r="http://schemas.openxmlformats.org/officeDocument/2006/relationships" ref="P1147" r:id="rId3523"/>
    <hyperlink xmlns:r="http://schemas.openxmlformats.org/officeDocument/2006/relationships" ref="Q1147" r:id="rId3524"/>
    <hyperlink xmlns:r="http://schemas.openxmlformats.org/officeDocument/2006/relationships" ref="R1147" r:id="rId3525"/>
    <hyperlink xmlns:r="http://schemas.openxmlformats.org/officeDocument/2006/relationships" ref="W1147" r:id="rId3526"/>
    <hyperlink xmlns:r="http://schemas.openxmlformats.org/officeDocument/2006/relationships" ref="E1148" r:id="rId3527"/>
    <hyperlink xmlns:r="http://schemas.openxmlformats.org/officeDocument/2006/relationships" ref="W1148" r:id="rId3528"/>
    <hyperlink xmlns:r="http://schemas.openxmlformats.org/officeDocument/2006/relationships" ref="E1149" r:id="rId3529"/>
    <hyperlink xmlns:r="http://schemas.openxmlformats.org/officeDocument/2006/relationships" ref="P1149" r:id="rId3530"/>
    <hyperlink xmlns:r="http://schemas.openxmlformats.org/officeDocument/2006/relationships" ref="Q1149" r:id="rId3531"/>
    <hyperlink xmlns:r="http://schemas.openxmlformats.org/officeDocument/2006/relationships" ref="R1149" r:id="rId3532"/>
    <hyperlink xmlns:r="http://schemas.openxmlformats.org/officeDocument/2006/relationships" ref="W1149" r:id="rId3533"/>
    <hyperlink xmlns:r="http://schemas.openxmlformats.org/officeDocument/2006/relationships" ref="E1150" r:id="rId3534"/>
    <hyperlink xmlns:r="http://schemas.openxmlformats.org/officeDocument/2006/relationships" ref="Q1150" r:id="rId3535"/>
    <hyperlink xmlns:r="http://schemas.openxmlformats.org/officeDocument/2006/relationships" ref="R1150" r:id="rId3536"/>
    <hyperlink xmlns:r="http://schemas.openxmlformats.org/officeDocument/2006/relationships" ref="W1150" r:id="rId3537"/>
    <hyperlink xmlns:r="http://schemas.openxmlformats.org/officeDocument/2006/relationships" ref="E1151" r:id="rId3538"/>
    <hyperlink xmlns:r="http://schemas.openxmlformats.org/officeDocument/2006/relationships" ref="P1151" r:id="rId3539"/>
    <hyperlink xmlns:r="http://schemas.openxmlformats.org/officeDocument/2006/relationships" ref="Q1151" r:id="rId3540"/>
    <hyperlink xmlns:r="http://schemas.openxmlformats.org/officeDocument/2006/relationships" ref="R1151" r:id="rId3541"/>
    <hyperlink xmlns:r="http://schemas.openxmlformats.org/officeDocument/2006/relationships" ref="W1151" r:id="rId3542"/>
    <hyperlink xmlns:r="http://schemas.openxmlformats.org/officeDocument/2006/relationships" ref="E1152" r:id="rId3543"/>
    <hyperlink xmlns:r="http://schemas.openxmlformats.org/officeDocument/2006/relationships" ref="W1152" r:id="rId3544"/>
    <hyperlink xmlns:r="http://schemas.openxmlformats.org/officeDocument/2006/relationships" ref="E1153" r:id="rId3545"/>
    <hyperlink xmlns:r="http://schemas.openxmlformats.org/officeDocument/2006/relationships" ref="W1153" r:id="rId3546"/>
    <hyperlink xmlns:r="http://schemas.openxmlformats.org/officeDocument/2006/relationships" ref="E1154" r:id="rId3547"/>
    <hyperlink xmlns:r="http://schemas.openxmlformats.org/officeDocument/2006/relationships" ref="P1154" r:id="rId3548"/>
    <hyperlink xmlns:r="http://schemas.openxmlformats.org/officeDocument/2006/relationships" ref="Q1154" r:id="rId3549"/>
    <hyperlink xmlns:r="http://schemas.openxmlformats.org/officeDocument/2006/relationships" ref="R1154" r:id="rId3550"/>
    <hyperlink xmlns:r="http://schemas.openxmlformats.org/officeDocument/2006/relationships" ref="W1154" r:id="rId3551"/>
    <hyperlink xmlns:r="http://schemas.openxmlformats.org/officeDocument/2006/relationships" ref="R1155" r:id="rId3552"/>
    <hyperlink xmlns:r="http://schemas.openxmlformats.org/officeDocument/2006/relationships" ref="W1155" r:id="rId3553"/>
    <hyperlink xmlns:r="http://schemas.openxmlformats.org/officeDocument/2006/relationships" ref="E1156" r:id="rId3554"/>
    <hyperlink xmlns:r="http://schemas.openxmlformats.org/officeDocument/2006/relationships" ref="P1156" r:id="rId3555"/>
    <hyperlink xmlns:r="http://schemas.openxmlformats.org/officeDocument/2006/relationships" ref="R1156" r:id="rId3556"/>
    <hyperlink xmlns:r="http://schemas.openxmlformats.org/officeDocument/2006/relationships" ref="W1156" r:id="rId3557"/>
    <hyperlink xmlns:r="http://schemas.openxmlformats.org/officeDocument/2006/relationships" ref="E1157" r:id="rId3558"/>
    <hyperlink xmlns:r="http://schemas.openxmlformats.org/officeDocument/2006/relationships" ref="W1157" r:id="rId3559"/>
    <hyperlink xmlns:r="http://schemas.openxmlformats.org/officeDocument/2006/relationships" ref="E1158" r:id="rId3560"/>
    <hyperlink xmlns:r="http://schemas.openxmlformats.org/officeDocument/2006/relationships" ref="W1158" r:id="rId3561"/>
    <hyperlink xmlns:r="http://schemas.openxmlformats.org/officeDocument/2006/relationships" ref="E1159" r:id="rId3562"/>
    <hyperlink xmlns:r="http://schemas.openxmlformats.org/officeDocument/2006/relationships" ref="Q1159" r:id="rId3563"/>
    <hyperlink xmlns:r="http://schemas.openxmlformats.org/officeDocument/2006/relationships" ref="W1159" r:id="rId3564"/>
    <hyperlink xmlns:r="http://schemas.openxmlformats.org/officeDocument/2006/relationships" ref="E1160" r:id="rId3565"/>
    <hyperlink xmlns:r="http://schemas.openxmlformats.org/officeDocument/2006/relationships" ref="P1160" r:id="rId3566"/>
    <hyperlink xmlns:r="http://schemas.openxmlformats.org/officeDocument/2006/relationships" ref="R1160" r:id="rId3567"/>
    <hyperlink xmlns:r="http://schemas.openxmlformats.org/officeDocument/2006/relationships" ref="W1160" r:id="rId3568"/>
    <hyperlink xmlns:r="http://schemas.openxmlformats.org/officeDocument/2006/relationships" ref="E1161" r:id="rId3569"/>
    <hyperlink xmlns:r="http://schemas.openxmlformats.org/officeDocument/2006/relationships" ref="W1161" r:id="rId3570"/>
    <hyperlink xmlns:r="http://schemas.openxmlformats.org/officeDocument/2006/relationships" ref="E1162" r:id="rId3571"/>
    <hyperlink xmlns:r="http://schemas.openxmlformats.org/officeDocument/2006/relationships" ref="W1162" r:id="rId3572"/>
    <hyperlink xmlns:r="http://schemas.openxmlformats.org/officeDocument/2006/relationships" ref="E1163" r:id="rId3573"/>
    <hyperlink xmlns:r="http://schemas.openxmlformats.org/officeDocument/2006/relationships" ref="W1163" r:id="rId3574"/>
    <hyperlink xmlns:r="http://schemas.openxmlformats.org/officeDocument/2006/relationships" ref="E1164" r:id="rId3575"/>
    <hyperlink xmlns:r="http://schemas.openxmlformats.org/officeDocument/2006/relationships" ref="W1164" r:id="rId3576"/>
    <hyperlink xmlns:r="http://schemas.openxmlformats.org/officeDocument/2006/relationships" ref="E1165" r:id="rId3577"/>
    <hyperlink xmlns:r="http://schemas.openxmlformats.org/officeDocument/2006/relationships" ref="W1165" r:id="rId3578"/>
    <hyperlink xmlns:r="http://schemas.openxmlformats.org/officeDocument/2006/relationships" ref="E1166" r:id="rId3579"/>
    <hyperlink xmlns:r="http://schemas.openxmlformats.org/officeDocument/2006/relationships" ref="P1166" r:id="rId3580"/>
    <hyperlink xmlns:r="http://schemas.openxmlformats.org/officeDocument/2006/relationships" ref="Q1166" r:id="rId3581"/>
    <hyperlink xmlns:r="http://schemas.openxmlformats.org/officeDocument/2006/relationships" ref="R1166" r:id="rId3582"/>
    <hyperlink xmlns:r="http://schemas.openxmlformats.org/officeDocument/2006/relationships" ref="W1166" r:id="rId3583"/>
    <hyperlink xmlns:r="http://schemas.openxmlformats.org/officeDocument/2006/relationships" ref="E1167" r:id="rId3584"/>
    <hyperlink xmlns:r="http://schemas.openxmlformats.org/officeDocument/2006/relationships" ref="E1168" r:id="rId3585"/>
    <hyperlink xmlns:r="http://schemas.openxmlformats.org/officeDocument/2006/relationships" ref="Q1168" r:id="rId3586"/>
    <hyperlink xmlns:r="http://schemas.openxmlformats.org/officeDocument/2006/relationships" ref="R1168" r:id="rId3587"/>
    <hyperlink xmlns:r="http://schemas.openxmlformats.org/officeDocument/2006/relationships" ref="W1168" r:id="rId3588"/>
    <hyperlink xmlns:r="http://schemas.openxmlformats.org/officeDocument/2006/relationships" ref="E1169" r:id="rId3589"/>
    <hyperlink xmlns:r="http://schemas.openxmlformats.org/officeDocument/2006/relationships" ref="R1169" r:id="rId3590"/>
    <hyperlink xmlns:r="http://schemas.openxmlformats.org/officeDocument/2006/relationships" ref="W1169" r:id="rId3591"/>
    <hyperlink xmlns:r="http://schemas.openxmlformats.org/officeDocument/2006/relationships" ref="E1170" r:id="rId3592"/>
    <hyperlink xmlns:r="http://schemas.openxmlformats.org/officeDocument/2006/relationships" ref="P1170" r:id="rId3593"/>
    <hyperlink xmlns:r="http://schemas.openxmlformats.org/officeDocument/2006/relationships" ref="Q1170" r:id="rId3594"/>
    <hyperlink xmlns:r="http://schemas.openxmlformats.org/officeDocument/2006/relationships" ref="R1170" r:id="rId3595"/>
    <hyperlink xmlns:r="http://schemas.openxmlformats.org/officeDocument/2006/relationships" ref="W1170" r:id="rId3596"/>
    <hyperlink xmlns:r="http://schemas.openxmlformats.org/officeDocument/2006/relationships" ref="E1171" r:id="rId3597"/>
    <hyperlink xmlns:r="http://schemas.openxmlformats.org/officeDocument/2006/relationships" ref="P1171" r:id="rId3598"/>
    <hyperlink xmlns:r="http://schemas.openxmlformats.org/officeDocument/2006/relationships" ref="R1171" r:id="rId3599"/>
    <hyperlink xmlns:r="http://schemas.openxmlformats.org/officeDocument/2006/relationships" ref="W1171" r:id="rId3600"/>
    <hyperlink xmlns:r="http://schemas.openxmlformats.org/officeDocument/2006/relationships" ref="E1172" r:id="rId3601"/>
    <hyperlink xmlns:r="http://schemas.openxmlformats.org/officeDocument/2006/relationships" ref="W1172" r:id="rId3602"/>
    <hyperlink xmlns:r="http://schemas.openxmlformats.org/officeDocument/2006/relationships" ref="E1173" r:id="rId3603"/>
    <hyperlink xmlns:r="http://schemas.openxmlformats.org/officeDocument/2006/relationships" ref="W1173" r:id="rId3604"/>
    <hyperlink xmlns:r="http://schemas.openxmlformats.org/officeDocument/2006/relationships" ref="E1174" r:id="rId3605"/>
    <hyperlink xmlns:r="http://schemas.openxmlformats.org/officeDocument/2006/relationships" ref="W1174" r:id="rId3606"/>
    <hyperlink xmlns:r="http://schemas.openxmlformats.org/officeDocument/2006/relationships" ref="E1175" r:id="rId3607"/>
    <hyperlink xmlns:r="http://schemas.openxmlformats.org/officeDocument/2006/relationships" ref="W1175" r:id="rId3608"/>
    <hyperlink xmlns:r="http://schemas.openxmlformats.org/officeDocument/2006/relationships" ref="E1176" r:id="rId3609"/>
    <hyperlink xmlns:r="http://schemas.openxmlformats.org/officeDocument/2006/relationships" ref="W1176" r:id="rId3610"/>
    <hyperlink xmlns:r="http://schemas.openxmlformats.org/officeDocument/2006/relationships" ref="E1177" r:id="rId3611"/>
    <hyperlink xmlns:r="http://schemas.openxmlformats.org/officeDocument/2006/relationships" ref="R1177" r:id="rId3612"/>
    <hyperlink xmlns:r="http://schemas.openxmlformats.org/officeDocument/2006/relationships" ref="W1177" r:id="rId3613"/>
    <hyperlink xmlns:r="http://schemas.openxmlformats.org/officeDocument/2006/relationships" ref="E1178" r:id="rId3614"/>
    <hyperlink xmlns:r="http://schemas.openxmlformats.org/officeDocument/2006/relationships" ref="R1178" r:id="rId3615"/>
    <hyperlink xmlns:r="http://schemas.openxmlformats.org/officeDocument/2006/relationships" ref="W1178" r:id="rId3616"/>
    <hyperlink xmlns:r="http://schemas.openxmlformats.org/officeDocument/2006/relationships" ref="E1179" r:id="rId3617"/>
    <hyperlink xmlns:r="http://schemas.openxmlformats.org/officeDocument/2006/relationships" ref="Q1179" r:id="rId3618"/>
    <hyperlink xmlns:r="http://schemas.openxmlformats.org/officeDocument/2006/relationships" ref="R1179" r:id="rId3619"/>
    <hyperlink xmlns:r="http://schemas.openxmlformats.org/officeDocument/2006/relationships" ref="W1179" r:id="rId3620"/>
    <hyperlink xmlns:r="http://schemas.openxmlformats.org/officeDocument/2006/relationships" ref="E1180" r:id="rId3621"/>
    <hyperlink xmlns:r="http://schemas.openxmlformats.org/officeDocument/2006/relationships" ref="W1180" r:id="rId3622"/>
    <hyperlink xmlns:r="http://schemas.openxmlformats.org/officeDocument/2006/relationships" ref="E1181" r:id="rId3623"/>
    <hyperlink xmlns:r="http://schemas.openxmlformats.org/officeDocument/2006/relationships" ref="P1181" r:id="rId3624"/>
    <hyperlink xmlns:r="http://schemas.openxmlformats.org/officeDocument/2006/relationships" ref="R1181" r:id="rId3625"/>
    <hyperlink xmlns:r="http://schemas.openxmlformats.org/officeDocument/2006/relationships" ref="W1181" r:id="rId3626"/>
    <hyperlink xmlns:r="http://schemas.openxmlformats.org/officeDocument/2006/relationships" ref="E1182" r:id="rId3627"/>
    <hyperlink xmlns:r="http://schemas.openxmlformats.org/officeDocument/2006/relationships" ref="W1182" r:id="rId3628"/>
    <hyperlink xmlns:r="http://schemas.openxmlformats.org/officeDocument/2006/relationships" ref="E1183" r:id="rId3629"/>
    <hyperlink xmlns:r="http://schemas.openxmlformats.org/officeDocument/2006/relationships" ref="P1183" r:id="rId3630"/>
    <hyperlink xmlns:r="http://schemas.openxmlformats.org/officeDocument/2006/relationships" ref="Q1183" r:id="rId3631"/>
    <hyperlink xmlns:r="http://schemas.openxmlformats.org/officeDocument/2006/relationships" ref="R1183" r:id="rId3632"/>
    <hyperlink xmlns:r="http://schemas.openxmlformats.org/officeDocument/2006/relationships" ref="W1183" r:id="rId3633"/>
    <hyperlink xmlns:r="http://schemas.openxmlformats.org/officeDocument/2006/relationships" ref="E1184" r:id="rId3634"/>
    <hyperlink xmlns:r="http://schemas.openxmlformats.org/officeDocument/2006/relationships" ref="W1184" r:id="rId3635"/>
    <hyperlink xmlns:r="http://schemas.openxmlformats.org/officeDocument/2006/relationships" ref="E1185" r:id="rId3636"/>
    <hyperlink xmlns:r="http://schemas.openxmlformats.org/officeDocument/2006/relationships" ref="P1185" r:id="rId3637"/>
    <hyperlink xmlns:r="http://schemas.openxmlformats.org/officeDocument/2006/relationships" ref="Q1185" r:id="rId3638"/>
    <hyperlink xmlns:r="http://schemas.openxmlformats.org/officeDocument/2006/relationships" ref="R1185" r:id="rId3639"/>
    <hyperlink xmlns:r="http://schemas.openxmlformats.org/officeDocument/2006/relationships" ref="E1186" r:id="rId3640"/>
    <hyperlink xmlns:r="http://schemas.openxmlformats.org/officeDocument/2006/relationships" ref="W1186" r:id="rId3641"/>
    <hyperlink xmlns:r="http://schemas.openxmlformats.org/officeDocument/2006/relationships" ref="E1187" r:id="rId3642"/>
    <hyperlink xmlns:r="http://schemas.openxmlformats.org/officeDocument/2006/relationships" ref="W1187" r:id="rId3643"/>
    <hyperlink xmlns:r="http://schemas.openxmlformats.org/officeDocument/2006/relationships" ref="E1188" r:id="rId3644"/>
    <hyperlink xmlns:r="http://schemas.openxmlformats.org/officeDocument/2006/relationships" ref="P1188" r:id="rId3645"/>
    <hyperlink xmlns:r="http://schemas.openxmlformats.org/officeDocument/2006/relationships" ref="R1188" r:id="rId3646"/>
    <hyperlink xmlns:r="http://schemas.openxmlformats.org/officeDocument/2006/relationships" ref="W1188" r:id="rId3647"/>
    <hyperlink xmlns:r="http://schemas.openxmlformats.org/officeDocument/2006/relationships" ref="E1189" r:id="rId3648"/>
    <hyperlink xmlns:r="http://schemas.openxmlformats.org/officeDocument/2006/relationships" ref="W1189" r:id="rId3649"/>
    <hyperlink xmlns:r="http://schemas.openxmlformats.org/officeDocument/2006/relationships" ref="E1190" r:id="rId3650"/>
    <hyperlink xmlns:r="http://schemas.openxmlformats.org/officeDocument/2006/relationships" ref="W1190" r:id="rId3651"/>
    <hyperlink xmlns:r="http://schemas.openxmlformats.org/officeDocument/2006/relationships" ref="E1191" r:id="rId3652"/>
    <hyperlink xmlns:r="http://schemas.openxmlformats.org/officeDocument/2006/relationships" ref="W1191" r:id="rId3653"/>
    <hyperlink xmlns:r="http://schemas.openxmlformats.org/officeDocument/2006/relationships" ref="E1192" r:id="rId3654"/>
    <hyperlink xmlns:r="http://schemas.openxmlformats.org/officeDocument/2006/relationships" ref="W1192" r:id="rId3655"/>
    <hyperlink xmlns:r="http://schemas.openxmlformats.org/officeDocument/2006/relationships" ref="E1193" r:id="rId3656"/>
    <hyperlink xmlns:r="http://schemas.openxmlformats.org/officeDocument/2006/relationships" ref="W1193" r:id="rId3657"/>
    <hyperlink xmlns:r="http://schemas.openxmlformats.org/officeDocument/2006/relationships" ref="E1194" r:id="rId3658"/>
    <hyperlink xmlns:r="http://schemas.openxmlformats.org/officeDocument/2006/relationships" ref="P1194" r:id="rId3659"/>
    <hyperlink xmlns:r="http://schemas.openxmlformats.org/officeDocument/2006/relationships" ref="Q1194" r:id="rId3660"/>
    <hyperlink xmlns:r="http://schemas.openxmlformats.org/officeDocument/2006/relationships" ref="R1194" r:id="rId3661"/>
    <hyperlink xmlns:r="http://schemas.openxmlformats.org/officeDocument/2006/relationships" ref="W1194" r:id="rId3662"/>
    <hyperlink xmlns:r="http://schemas.openxmlformats.org/officeDocument/2006/relationships" ref="E1195" r:id="rId3663"/>
    <hyperlink xmlns:r="http://schemas.openxmlformats.org/officeDocument/2006/relationships" ref="W1195" r:id="rId3664"/>
    <hyperlink xmlns:r="http://schemas.openxmlformats.org/officeDocument/2006/relationships" ref="E1196" r:id="rId3665"/>
    <hyperlink xmlns:r="http://schemas.openxmlformats.org/officeDocument/2006/relationships" ref="P1196" r:id="rId3666"/>
    <hyperlink xmlns:r="http://schemas.openxmlformats.org/officeDocument/2006/relationships" ref="R1196" r:id="rId3667"/>
    <hyperlink xmlns:r="http://schemas.openxmlformats.org/officeDocument/2006/relationships" ref="W1196" r:id="rId3668"/>
    <hyperlink xmlns:r="http://schemas.openxmlformats.org/officeDocument/2006/relationships" ref="D1197" r:id="rId3669"/>
    <hyperlink xmlns:r="http://schemas.openxmlformats.org/officeDocument/2006/relationships" ref="E1197" r:id="rId3670"/>
    <hyperlink xmlns:r="http://schemas.openxmlformats.org/officeDocument/2006/relationships" ref="W1197" r:id="rId3671"/>
    <hyperlink xmlns:r="http://schemas.openxmlformats.org/officeDocument/2006/relationships" ref="E1198" r:id="rId3672"/>
    <hyperlink xmlns:r="http://schemas.openxmlformats.org/officeDocument/2006/relationships" ref="W1198" r:id="rId3673"/>
    <hyperlink xmlns:r="http://schemas.openxmlformats.org/officeDocument/2006/relationships" ref="E1199" r:id="rId3674"/>
    <hyperlink xmlns:r="http://schemas.openxmlformats.org/officeDocument/2006/relationships" ref="W1199" r:id="rId3675"/>
    <hyperlink xmlns:r="http://schemas.openxmlformats.org/officeDocument/2006/relationships" ref="E1200" r:id="rId3676"/>
    <hyperlink xmlns:r="http://schemas.openxmlformats.org/officeDocument/2006/relationships" ref="E1201" r:id="rId3677"/>
    <hyperlink xmlns:r="http://schemas.openxmlformats.org/officeDocument/2006/relationships" ref="W1201" r:id="rId3678"/>
    <hyperlink xmlns:r="http://schemas.openxmlformats.org/officeDocument/2006/relationships" ref="E1202" r:id="rId3679"/>
    <hyperlink xmlns:r="http://schemas.openxmlformats.org/officeDocument/2006/relationships" ref="W1202" r:id="rId3680"/>
    <hyperlink xmlns:r="http://schemas.openxmlformats.org/officeDocument/2006/relationships" ref="E1203" r:id="rId3681"/>
    <hyperlink xmlns:r="http://schemas.openxmlformats.org/officeDocument/2006/relationships" ref="W1203" r:id="rId3682"/>
    <hyperlink xmlns:r="http://schemas.openxmlformats.org/officeDocument/2006/relationships" ref="E1204" r:id="rId3683"/>
    <hyperlink xmlns:r="http://schemas.openxmlformats.org/officeDocument/2006/relationships" ref="R1204" r:id="rId3684"/>
    <hyperlink xmlns:r="http://schemas.openxmlformats.org/officeDocument/2006/relationships" ref="W1204" r:id="rId3685"/>
    <hyperlink xmlns:r="http://schemas.openxmlformats.org/officeDocument/2006/relationships" ref="E1205" r:id="rId3686"/>
    <hyperlink xmlns:r="http://schemas.openxmlformats.org/officeDocument/2006/relationships" ref="W1205" r:id="rId3687"/>
    <hyperlink xmlns:r="http://schemas.openxmlformats.org/officeDocument/2006/relationships" ref="E1206" r:id="rId3688"/>
    <hyperlink xmlns:r="http://schemas.openxmlformats.org/officeDocument/2006/relationships" ref="R1206" r:id="rId3689"/>
    <hyperlink xmlns:r="http://schemas.openxmlformats.org/officeDocument/2006/relationships" ref="W1206" r:id="rId3690"/>
    <hyperlink xmlns:r="http://schemas.openxmlformats.org/officeDocument/2006/relationships" ref="E1207" r:id="rId3691"/>
    <hyperlink xmlns:r="http://schemas.openxmlformats.org/officeDocument/2006/relationships" ref="Q1207" r:id="rId3692"/>
    <hyperlink xmlns:r="http://schemas.openxmlformats.org/officeDocument/2006/relationships" ref="R1207" r:id="rId3693"/>
    <hyperlink xmlns:r="http://schemas.openxmlformats.org/officeDocument/2006/relationships" ref="W1207" r:id="rId3694"/>
    <hyperlink xmlns:r="http://schemas.openxmlformats.org/officeDocument/2006/relationships" ref="E1208" r:id="rId3695"/>
    <hyperlink xmlns:r="http://schemas.openxmlformats.org/officeDocument/2006/relationships" ref="W1208" r:id="rId3696"/>
    <hyperlink xmlns:r="http://schemas.openxmlformats.org/officeDocument/2006/relationships" ref="E1209" r:id="rId3697"/>
    <hyperlink xmlns:r="http://schemas.openxmlformats.org/officeDocument/2006/relationships" ref="W1209" r:id="rId3698"/>
    <hyperlink xmlns:r="http://schemas.openxmlformats.org/officeDocument/2006/relationships" ref="E1210" r:id="rId3699"/>
    <hyperlink xmlns:r="http://schemas.openxmlformats.org/officeDocument/2006/relationships" ref="R1210" r:id="rId3700"/>
    <hyperlink xmlns:r="http://schemas.openxmlformats.org/officeDocument/2006/relationships" ref="W1210" r:id="rId3701"/>
    <hyperlink xmlns:r="http://schemas.openxmlformats.org/officeDocument/2006/relationships" ref="E1211" r:id="rId3702"/>
    <hyperlink xmlns:r="http://schemas.openxmlformats.org/officeDocument/2006/relationships" ref="W1211" r:id="rId3703"/>
    <hyperlink xmlns:r="http://schemas.openxmlformats.org/officeDocument/2006/relationships" ref="W1212" r:id="rId3704"/>
    <hyperlink xmlns:r="http://schemas.openxmlformats.org/officeDocument/2006/relationships" ref="E1213" r:id="rId3705"/>
    <hyperlink xmlns:r="http://schemas.openxmlformats.org/officeDocument/2006/relationships" ref="R1213" r:id="rId3706"/>
    <hyperlink xmlns:r="http://schemas.openxmlformats.org/officeDocument/2006/relationships" ref="W1213" r:id="rId3707"/>
    <hyperlink xmlns:r="http://schemas.openxmlformats.org/officeDocument/2006/relationships" ref="E1214" r:id="rId3708"/>
    <hyperlink xmlns:r="http://schemas.openxmlformats.org/officeDocument/2006/relationships" ref="W1214" r:id="rId3709"/>
    <hyperlink xmlns:r="http://schemas.openxmlformats.org/officeDocument/2006/relationships" ref="E1215" r:id="rId3710"/>
    <hyperlink xmlns:r="http://schemas.openxmlformats.org/officeDocument/2006/relationships" ref="P1215" r:id="rId3711"/>
    <hyperlink xmlns:r="http://schemas.openxmlformats.org/officeDocument/2006/relationships" ref="R1215" r:id="rId3712"/>
    <hyperlink xmlns:r="http://schemas.openxmlformats.org/officeDocument/2006/relationships" ref="W1215" r:id="rId3713"/>
    <hyperlink xmlns:r="http://schemas.openxmlformats.org/officeDocument/2006/relationships" ref="E1216" r:id="rId3714"/>
    <hyperlink xmlns:r="http://schemas.openxmlformats.org/officeDocument/2006/relationships" ref="W1216" r:id="rId3715"/>
    <hyperlink xmlns:r="http://schemas.openxmlformats.org/officeDocument/2006/relationships" ref="E1217" r:id="rId3716"/>
    <hyperlink xmlns:r="http://schemas.openxmlformats.org/officeDocument/2006/relationships" ref="R1217" r:id="rId3717"/>
    <hyperlink xmlns:r="http://schemas.openxmlformats.org/officeDocument/2006/relationships" ref="W1217" r:id="rId3718"/>
    <hyperlink xmlns:r="http://schemas.openxmlformats.org/officeDocument/2006/relationships" ref="E1218" r:id="rId3719"/>
    <hyperlink xmlns:r="http://schemas.openxmlformats.org/officeDocument/2006/relationships" ref="P1218" r:id="rId3720"/>
    <hyperlink xmlns:r="http://schemas.openxmlformats.org/officeDocument/2006/relationships" ref="R1218" r:id="rId3721"/>
    <hyperlink xmlns:r="http://schemas.openxmlformats.org/officeDocument/2006/relationships" ref="W1218" r:id="rId3722"/>
    <hyperlink xmlns:r="http://schemas.openxmlformats.org/officeDocument/2006/relationships" ref="E1219" r:id="rId3723"/>
    <hyperlink xmlns:r="http://schemas.openxmlformats.org/officeDocument/2006/relationships" ref="W1219" r:id="rId3724"/>
    <hyperlink xmlns:r="http://schemas.openxmlformats.org/officeDocument/2006/relationships" ref="E1220" r:id="rId3725"/>
    <hyperlink xmlns:r="http://schemas.openxmlformats.org/officeDocument/2006/relationships" ref="W1220" r:id="rId3726"/>
    <hyperlink xmlns:r="http://schemas.openxmlformats.org/officeDocument/2006/relationships" ref="E1221" r:id="rId3727"/>
    <hyperlink xmlns:r="http://schemas.openxmlformats.org/officeDocument/2006/relationships" ref="W1221" r:id="rId3728"/>
    <hyperlink xmlns:r="http://schemas.openxmlformats.org/officeDocument/2006/relationships" ref="E1222" r:id="rId3729"/>
    <hyperlink xmlns:r="http://schemas.openxmlformats.org/officeDocument/2006/relationships" ref="W1222" r:id="rId3730"/>
    <hyperlink xmlns:r="http://schemas.openxmlformats.org/officeDocument/2006/relationships" ref="E1223" r:id="rId3731"/>
    <hyperlink xmlns:r="http://schemas.openxmlformats.org/officeDocument/2006/relationships" ref="W1223" r:id="rId3732"/>
    <hyperlink xmlns:r="http://schemas.openxmlformats.org/officeDocument/2006/relationships" ref="E1224" r:id="rId3733"/>
    <hyperlink xmlns:r="http://schemas.openxmlformats.org/officeDocument/2006/relationships" ref="W1224" r:id="rId3734"/>
    <hyperlink xmlns:r="http://schemas.openxmlformats.org/officeDocument/2006/relationships" ref="E1225" r:id="rId3735"/>
    <hyperlink xmlns:r="http://schemas.openxmlformats.org/officeDocument/2006/relationships" ref="R1225" r:id="rId3736"/>
    <hyperlink xmlns:r="http://schemas.openxmlformats.org/officeDocument/2006/relationships" ref="W1225" r:id="rId3737"/>
    <hyperlink xmlns:r="http://schemas.openxmlformats.org/officeDocument/2006/relationships" ref="E1226" r:id="rId3738"/>
    <hyperlink xmlns:r="http://schemas.openxmlformats.org/officeDocument/2006/relationships" ref="W1226" r:id="rId3739"/>
    <hyperlink xmlns:r="http://schemas.openxmlformats.org/officeDocument/2006/relationships" ref="E1227" r:id="rId3740"/>
    <hyperlink xmlns:r="http://schemas.openxmlformats.org/officeDocument/2006/relationships" ref="W1227" r:id="rId3741"/>
    <hyperlink xmlns:r="http://schemas.openxmlformats.org/officeDocument/2006/relationships" ref="E1228" r:id="rId3742"/>
    <hyperlink xmlns:r="http://schemas.openxmlformats.org/officeDocument/2006/relationships" ref="W1228" r:id="rId3743"/>
    <hyperlink xmlns:r="http://schemas.openxmlformats.org/officeDocument/2006/relationships" ref="E1229" r:id="rId3744"/>
    <hyperlink xmlns:r="http://schemas.openxmlformats.org/officeDocument/2006/relationships" ref="P1229" r:id="rId3745"/>
    <hyperlink xmlns:r="http://schemas.openxmlformats.org/officeDocument/2006/relationships" ref="Q1229" r:id="rId3746"/>
    <hyperlink xmlns:r="http://schemas.openxmlformats.org/officeDocument/2006/relationships" ref="R1229" r:id="rId3747"/>
    <hyperlink xmlns:r="http://schemas.openxmlformats.org/officeDocument/2006/relationships" ref="W1229" r:id="rId3748"/>
    <hyperlink xmlns:r="http://schemas.openxmlformats.org/officeDocument/2006/relationships" ref="E1230" r:id="rId3749"/>
    <hyperlink xmlns:r="http://schemas.openxmlformats.org/officeDocument/2006/relationships" ref="Q1230" r:id="rId3750"/>
    <hyperlink xmlns:r="http://schemas.openxmlformats.org/officeDocument/2006/relationships" ref="R1230" r:id="rId3751"/>
    <hyperlink xmlns:r="http://schemas.openxmlformats.org/officeDocument/2006/relationships" ref="W1230" r:id="rId3752"/>
    <hyperlink xmlns:r="http://schemas.openxmlformats.org/officeDocument/2006/relationships" ref="E1231" r:id="rId3753"/>
    <hyperlink xmlns:r="http://schemas.openxmlformats.org/officeDocument/2006/relationships" ref="P1231" r:id="rId3754"/>
    <hyperlink xmlns:r="http://schemas.openxmlformats.org/officeDocument/2006/relationships" ref="R1231" r:id="rId3755"/>
    <hyperlink xmlns:r="http://schemas.openxmlformats.org/officeDocument/2006/relationships" ref="W1231" r:id="rId3756"/>
    <hyperlink xmlns:r="http://schemas.openxmlformats.org/officeDocument/2006/relationships" ref="E1232" r:id="rId3757"/>
    <hyperlink xmlns:r="http://schemas.openxmlformats.org/officeDocument/2006/relationships" ref="P1232" r:id="rId3758"/>
    <hyperlink xmlns:r="http://schemas.openxmlformats.org/officeDocument/2006/relationships" ref="R1232" r:id="rId3759"/>
    <hyperlink xmlns:r="http://schemas.openxmlformats.org/officeDocument/2006/relationships" ref="W1232" r:id="rId3760"/>
    <hyperlink xmlns:r="http://schemas.openxmlformats.org/officeDocument/2006/relationships" ref="E1233" r:id="rId3761"/>
    <hyperlink xmlns:r="http://schemas.openxmlformats.org/officeDocument/2006/relationships" ref="W1233" r:id="rId3762"/>
    <hyperlink xmlns:r="http://schemas.openxmlformats.org/officeDocument/2006/relationships" ref="E1234" r:id="rId3763"/>
    <hyperlink xmlns:r="http://schemas.openxmlformats.org/officeDocument/2006/relationships" ref="W1234" r:id="rId3764"/>
    <hyperlink xmlns:r="http://schemas.openxmlformats.org/officeDocument/2006/relationships" ref="E1235" r:id="rId3765"/>
    <hyperlink xmlns:r="http://schemas.openxmlformats.org/officeDocument/2006/relationships" ref="Q1235" r:id="rId3766"/>
    <hyperlink xmlns:r="http://schemas.openxmlformats.org/officeDocument/2006/relationships" ref="R1235" r:id="rId3767"/>
    <hyperlink xmlns:r="http://schemas.openxmlformats.org/officeDocument/2006/relationships" ref="W1235" r:id="rId3768"/>
    <hyperlink xmlns:r="http://schemas.openxmlformats.org/officeDocument/2006/relationships" ref="E1236" r:id="rId3769"/>
    <hyperlink xmlns:r="http://schemas.openxmlformats.org/officeDocument/2006/relationships" ref="R1236" r:id="rId3770"/>
    <hyperlink xmlns:r="http://schemas.openxmlformats.org/officeDocument/2006/relationships" ref="W1236" r:id="rId3771"/>
    <hyperlink xmlns:r="http://schemas.openxmlformats.org/officeDocument/2006/relationships" ref="E1237" r:id="rId3772"/>
    <hyperlink xmlns:r="http://schemas.openxmlformats.org/officeDocument/2006/relationships" ref="P1237" r:id="rId3773"/>
    <hyperlink xmlns:r="http://schemas.openxmlformats.org/officeDocument/2006/relationships" ref="Q1237" r:id="rId3774"/>
    <hyperlink xmlns:r="http://schemas.openxmlformats.org/officeDocument/2006/relationships" ref="R1237" r:id="rId3775"/>
    <hyperlink xmlns:r="http://schemas.openxmlformats.org/officeDocument/2006/relationships" ref="W1237" r:id="rId3776"/>
    <hyperlink xmlns:r="http://schemas.openxmlformats.org/officeDocument/2006/relationships" ref="E1238" r:id="rId3777"/>
    <hyperlink xmlns:r="http://schemas.openxmlformats.org/officeDocument/2006/relationships" ref="W1238" r:id="rId3778"/>
    <hyperlink xmlns:r="http://schemas.openxmlformats.org/officeDocument/2006/relationships" ref="E1239" r:id="rId3779"/>
    <hyperlink xmlns:r="http://schemas.openxmlformats.org/officeDocument/2006/relationships" ref="P1239" r:id="rId3780"/>
    <hyperlink xmlns:r="http://schemas.openxmlformats.org/officeDocument/2006/relationships" ref="Q1239" r:id="rId3781"/>
    <hyperlink xmlns:r="http://schemas.openxmlformats.org/officeDocument/2006/relationships" ref="R1239" r:id="rId3782"/>
    <hyperlink xmlns:r="http://schemas.openxmlformats.org/officeDocument/2006/relationships" ref="W1239" r:id="rId3783"/>
    <hyperlink xmlns:r="http://schemas.openxmlformats.org/officeDocument/2006/relationships" ref="E1240" r:id="rId3784"/>
    <hyperlink xmlns:r="http://schemas.openxmlformats.org/officeDocument/2006/relationships" ref="Q1240" r:id="rId3785"/>
    <hyperlink xmlns:r="http://schemas.openxmlformats.org/officeDocument/2006/relationships" ref="R1240" r:id="rId3786"/>
    <hyperlink xmlns:r="http://schemas.openxmlformats.org/officeDocument/2006/relationships" ref="W1240" r:id="rId3787"/>
    <hyperlink xmlns:r="http://schemas.openxmlformats.org/officeDocument/2006/relationships" ref="E1241" r:id="rId3788"/>
    <hyperlink xmlns:r="http://schemas.openxmlformats.org/officeDocument/2006/relationships" ref="W1241" r:id="rId3789"/>
    <hyperlink xmlns:r="http://schemas.openxmlformats.org/officeDocument/2006/relationships" ref="E1242" r:id="rId3790"/>
    <hyperlink xmlns:r="http://schemas.openxmlformats.org/officeDocument/2006/relationships" ref="W1242" r:id="rId3791"/>
    <hyperlink xmlns:r="http://schemas.openxmlformats.org/officeDocument/2006/relationships" ref="E1243" r:id="rId3792"/>
    <hyperlink xmlns:r="http://schemas.openxmlformats.org/officeDocument/2006/relationships" ref="W1243" r:id="rId3793"/>
    <hyperlink xmlns:r="http://schemas.openxmlformats.org/officeDocument/2006/relationships" ref="E1244" r:id="rId3794"/>
    <hyperlink xmlns:r="http://schemas.openxmlformats.org/officeDocument/2006/relationships" ref="P1244" r:id="rId3795"/>
    <hyperlink xmlns:r="http://schemas.openxmlformats.org/officeDocument/2006/relationships" ref="Q1244" r:id="rId3796"/>
    <hyperlink xmlns:r="http://schemas.openxmlformats.org/officeDocument/2006/relationships" ref="R1244" r:id="rId3797"/>
    <hyperlink xmlns:r="http://schemas.openxmlformats.org/officeDocument/2006/relationships" ref="W1244" r:id="rId3798"/>
    <hyperlink xmlns:r="http://schemas.openxmlformats.org/officeDocument/2006/relationships" ref="E1245" r:id="rId3799"/>
    <hyperlink xmlns:r="http://schemas.openxmlformats.org/officeDocument/2006/relationships" ref="W1245" r:id="rId3800"/>
    <hyperlink xmlns:r="http://schemas.openxmlformats.org/officeDocument/2006/relationships" ref="D1246" r:id="rId3801"/>
    <hyperlink xmlns:r="http://schemas.openxmlformats.org/officeDocument/2006/relationships" ref="E1246" r:id="rId3802"/>
    <hyperlink xmlns:r="http://schemas.openxmlformats.org/officeDocument/2006/relationships" ref="W1246" r:id="rId3803"/>
    <hyperlink xmlns:r="http://schemas.openxmlformats.org/officeDocument/2006/relationships" ref="E1247" r:id="rId3804"/>
    <hyperlink xmlns:r="http://schemas.openxmlformats.org/officeDocument/2006/relationships" ref="W1247" r:id="rId3805"/>
    <hyperlink xmlns:r="http://schemas.openxmlformats.org/officeDocument/2006/relationships" ref="E1248" r:id="rId3806"/>
    <hyperlink xmlns:r="http://schemas.openxmlformats.org/officeDocument/2006/relationships" ref="Q1248" r:id="rId3807"/>
    <hyperlink xmlns:r="http://schemas.openxmlformats.org/officeDocument/2006/relationships" ref="R1248" r:id="rId3808"/>
    <hyperlink xmlns:r="http://schemas.openxmlformats.org/officeDocument/2006/relationships" ref="E1249" r:id="rId3809"/>
    <hyperlink xmlns:r="http://schemas.openxmlformats.org/officeDocument/2006/relationships" ref="P1249" r:id="rId3810"/>
    <hyperlink xmlns:r="http://schemas.openxmlformats.org/officeDocument/2006/relationships" ref="R1249" r:id="rId3811"/>
    <hyperlink xmlns:r="http://schemas.openxmlformats.org/officeDocument/2006/relationships" ref="W1249" r:id="rId3812"/>
    <hyperlink xmlns:r="http://schemas.openxmlformats.org/officeDocument/2006/relationships" ref="E1250" r:id="rId3813"/>
    <hyperlink xmlns:r="http://schemas.openxmlformats.org/officeDocument/2006/relationships" ref="W1250" r:id="rId3814"/>
    <hyperlink xmlns:r="http://schemas.openxmlformats.org/officeDocument/2006/relationships" ref="E1251" r:id="rId3815"/>
    <hyperlink xmlns:r="http://schemas.openxmlformats.org/officeDocument/2006/relationships" ref="W1251" r:id="rId3816"/>
    <hyperlink xmlns:r="http://schemas.openxmlformats.org/officeDocument/2006/relationships" ref="E1252" r:id="rId3817"/>
    <hyperlink xmlns:r="http://schemas.openxmlformats.org/officeDocument/2006/relationships" ref="R1252" r:id="rId3818"/>
    <hyperlink xmlns:r="http://schemas.openxmlformats.org/officeDocument/2006/relationships" ref="W1252" r:id="rId3819"/>
    <hyperlink xmlns:r="http://schemas.openxmlformats.org/officeDocument/2006/relationships" ref="E1253" location="Accueil" r:id="rId3820"/>
    <hyperlink xmlns:r="http://schemas.openxmlformats.org/officeDocument/2006/relationships" ref="R1253" r:id="rId3821"/>
    <hyperlink xmlns:r="http://schemas.openxmlformats.org/officeDocument/2006/relationships" ref="W1253" r:id="rId3822"/>
    <hyperlink xmlns:r="http://schemas.openxmlformats.org/officeDocument/2006/relationships" ref="E1254" r:id="rId3823"/>
    <hyperlink xmlns:r="http://schemas.openxmlformats.org/officeDocument/2006/relationships" ref="P1254" r:id="rId3824"/>
    <hyperlink xmlns:r="http://schemas.openxmlformats.org/officeDocument/2006/relationships" ref="Q1254" r:id="rId3825"/>
    <hyperlink xmlns:r="http://schemas.openxmlformats.org/officeDocument/2006/relationships" ref="R1254" r:id="rId3826"/>
    <hyperlink xmlns:r="http://schemas.openxmlformats.org/officeDocument/2006/relationships" ref="W1254" r:id="rId3827"/>
    <hyperlink xmlns:r="http://schemas.openxmlformats.org/officeDocument/2006/relationships" ref="E1255" r:id="rId3828"/>
    <hyperlink xmlns:r="http://schemas.openxmlformats.org/officeDocument/2006/relationships" ref="P1255" r:id="rId3829"/>
    <hyperlink xmlns:r="http://schemas.openxmlformats.org/officeDocument/2006/relationships" ref="Q1255" r:id="rId3830"/>
    <hyperlink xmlns:r="http://schemas.openxmlformats.org/officeDocument/2006/relationships" ref="R1255" r:id="rId3831"/>
    <hyperlink xmlns:r="http://schemas.openxmlformats.org/officeDocument/2006/relationships" ref="W1255" r:id="rId3832"/>
    <hyperlink xmlns:r="http://schemas.openxmlformats.org/officeDocument/2006/relationships" ref="E1256" r:id="rId3833"/>
    <hyperlink xmlns:r="http://schemas.openxmlformats.org/officeDocument/2006/relationships" ref="P1256" r:id="rId3834"/>
    <hyperlink xmlns:r="http://schemas.openxmlformats.org/officeDocument/2006/relationships" ref="R1256" r:id="rId3835"/>
    <hyperlink xmlns:r="http://schemas.openxmlformats.org/officeDocument/2006/relationships" ref="E1257" r:id="rId3836"/>
    <hyperlink xmlns:r="http://schemas.openxmlformats.org/officeDocument/2006/relationships" ref="W1257" r:id="rId3837"/>
    <hyperlink xmlns:r="http://schemas.openxmlformats.org/officeDocument/2006/relationships" ref="E1258" r:id="rId3838"/>
    <hyperlink xmlns:r="http://schemas.openxmlformats.org/officeDocument/2006/relationships" ref="R1258" r:id="rId3839"/>
    <hyperlink xmlns:r="http://schemas.openxmlformats.org/officeDocument/2006/relationships" ref="W1258" r:id="rId3840"/>
    <hyperlink xmlns:r="http://schemas.openxmlformats.org/officeDocument/2006/relationships" ref="E1259" r:id="rId3841"/>
    <hyperlink xmlns:r="http://schemas.openxmlformats.org/officeDocument/2006/relationships" ref="P1259" r:id="rId3842"/>
    <hyperlink xmlns:r="http://schemas.openxmlformats.org/officeDocument/2006/relationships" ref="Q1259" r:id="rId3843"/>
    <hyperlink xmlns:r="http://schemas.openxmlformats.org/officeDocument/2006/relationships" ref="R1259" r:id="rId3844"/>
    <hyperlink xmlns:r="http://schemas.openxmlformats.org/officeDocument/2006/relationships" ref="S1259" r:id="rId3845"/>
    <hyperlink xmlns:r="http://schemas.openxmlformats.org/officeDocument/2006/relationships" ref="W1259" r:id="rId3846"/>
    <hyperlink xmlns:r="http://schemas.openxmlformats.org/officeDocument/2006/relationships" ref="E1260" r:id="rId3847"/>
    <hyperlink xmlns:r="http://schemas.openxmlformats.org/officeDocument/2006/relationships" ref="W1260" r:id="rId3848"/>
    <hyperlink xmlns:r="http://schemas.openxmlformats.org/officeDocument/2006/relationships" ref="E1261" r:id="rId3849"/>
    <hyperlink xmlns:r="http://schemas.openxmlformats.org/officeDocument/2006/relationships" ref="W1261" r:id="rId3850"/>
    <hyperlink xmlns:r="http://schemas.openxmlformats.org/officeDocument/2006/relationships" ref="E1262" r:id="rId3851"/>
    <hyperlink xmlns:r="http://schemas.openxmlformats.org/officeDocument/2006/relationships" ref="W1262" r:id="rId3852"/>
    <hyperlink xmlns:r="http://schemas.openxmlformats.org/officeDocument/2006/relationships" ref="E1263" r:id="rId3853"/>
    <hyperlink xmlns:r="http://schemas.openxmlformats.org/officeDocument/2006/relationships" ref="W1263" r:id="rId3854"/>
    <hyperlink xmlns:r="http://schemas.openxmlformats.org/officeDocument/2006/relationships" ref="E1264" r:id="rId3855"/>
    <hyperlink xmlns:r="http://schemas.openxmlformats.org/officeDocument/2006/relationships" ref="Q1264" r:id="rId3856"/>
    <hyperlink xmlns:r="http://schemas.openxmlformats.org/officeDocument/2006/relationships" ref="R1264" r:id="rId3857"/>
    <hyperlink xmlns:r="http://schemas.openxmlformats.org/officeDocument/2006/relationships" ref="W1264" r:id="rId3858"/>
    <hyperlink xmlns:r="http://schemas.openxmlformats.org/officeDocument/2006/relationships" ref="E1265" r:id="rId3859"/>
    <hyperlink xmlns:r="http://schemas.openxmlformats.org/officeDocument/2006/relationships" ref="E1266" r:id="rId3860"/>
    <hyperlink xmlns:r="http://schemas.openxmlformats.org/officeDocument/2006/relationships" ref="Q1266" r:id="rId3861"/>
    <hyperlink xmlns:r="http://schemas.openxmlformats.org/officeDocument/2006/relationships" ref="R1266" r:id="rId3862"/>
    <hyperlink xmlns:r="http://schemas.openxmlformats.org/officeDocument/2006/relationships" ref="W1266" r:id="rId3863"/>
    <hyperlink xmlns:r="http://schemas.openxmlformats.org/officeDocument/2006/relationships" ref="E1267" r:id="rId3864"/>
    <hyperlink xmlns:r="http://schemas.openxmlformats.org/officeDocument/2006/relationships" ref="W1267" r:id="rId3865"/>
    <hyperlink xmlns:r="http://schemas.openxmlformats.org/officeDocument/2006/relationships" ref="E1268" r:id="rId3866"/>
    <hyperlink xmlns:r="http://schemas.openxmlformats.org/officeDocument/2006/relationships" ref="P1268" r:id="rId3867"/>
    <hyperlink xmlns:r="http://schemas.openxmlformats.org/officeDocument/2006/relationships" ref="Q1268" r:id="rId3868"/>
    <hyperlink xmlns:r="http://schemas.openxmlformats.org/officeDocument/2006/relationships" ref="R1268" r:id="rId3869"/>
    <hyperlink xmlns:r="http://schemas.openxmlformats.org/officeDocument/2006/relationships" ref="W1268" r:id="rId3870"/>
    <hyperlink xmlns:r="http://schemas.openxmlformats.org/officeDocument/2006/relationships" ref="E1269" r:id="rId3871"/>
    <hyperlink xmlns:r="http://schemas.openxmlformats.org/officeDocument/2006/relationships" ref="R1269" r:id="rId3872"/>
    <hyperlink xmlns:r="http://schemas.openxmlformats.org/officeDocument/2006/relationships" ref="W1269" r:id="rId3873"/>
    <hyperlink xmlns:r="http://schemas.openxmlformats.org/officeDocument/2006/relationships" ref="E1270" r:id="rId3874"/>
    <hyperlink xmlns:r="http://schemas.openxmlformats.org/officeDocument/2006/relationships" ref="Q1270" r:id="rId3875"/>
    <hyperlink xmlns:r="http://schemas.openxmlformats.org/officeDocument/2006/relationships" ref="R1270" r:id="rId3876"/>
    <hyperlink xmlns:r="http://schemas.openxmlformats.org/officeDocument/2006/relationships" ref="W1270" r:id="rId3877"/>
    <hyperlink xmlns:r="http://schemas.openxmlformats.org/officeDocument/2006/relationships" ref="E1271" r:id="rId3878"/>
    <hyperlink xmlns:r="http://schemas.openxmlformats.org/officeDocument/2006/relationships" ref="P1271" r:id="rId3879"/>
    <hyperlink xmlns:r="http://schemas.openxmlformats.org/officeDocument/2006/relationships" ref="Q1271" r:id="rId3880"/>
    <hyperlink xmlns:r="http://schemas.openxmlformats.org/officeDocument/2006/relationships" ref="R1271" r:id="rId3881"/>
    <hyperlink xmlns:r="http://schemas.openxmlformats.org/officeDocument/2006/relationships" ref="W1271" r:id="rId3882"/>
    <hyperlink xmlns:r="http://schemas.openxmlformats.org/officeDocument/2006/relationships" ref="E1272" r:id="rId3883"/>
    <hyperlink xmlns:r="http://schemas.openxmlformats.org/officeDocument/2006/relationships" ref="W1272" r:id="rId3884"/>
    <hyperlink xmlns:r="http://schemas.openxmlformats.org/officeDocument/2006/relationships" ref="E1273" r:id="rId3885"/>
    <hyperlink xmlns:r="http://schemas.openxmlformats.org/officeDocument/2006/relationships" ref="W1273" r:id="rId3886"/>
    <hyperlink xmlns:r="http://schemas.openxmlformats.org/officeDocument/2006/relationships" ref="E1274" r:id="rId3887"/>
    <hyperlink xmlns:r="http://schemas.openxmlformats.org/officeDocument/2006/relationships" ref="R1274" r:id="rId3888"/>
    <hyperlink xmlns:r="http://schemas.openxmlformats.org/officeDocument/2006/relationships" ref="W1274" r:id="rId3889"/>
    <hyperlink xmlns:r="http://schemas.openxmlformats.org/officeDocument/2006/relationships" ref="E1275" r:id="rId3890"/>
    <hyperlink xmlns:r="http://schemas.openxmlformats.org/officeDocument/2006/relationships" ref="W1275" r:id="rId3891"/>
    <hyperlink xmlns:r="http://schemas.openxmlformats.org/officeDocument/2006/relationships" ref="E1276" r:id="rId3892"/>
    <hyperlink xmlns:r="http://schemas.openxmlformats.org/officeDocument/2006/relationships" ref="P1276" r:id="rId3893"/>
    <hyperlink xmlns:r="http://schemas.openxmlformats.org/officeDocument/2006/relationships" ref="R1276" r:id="rId3894"/>
    <hyperlink xmlns:r="http://schemas.openxmlformats.org/officeDocument/2006/relationships" ref="W1276" r:id="rId3895"/>
    <hyperlink xmlns:r="http://schemas.openxmlformats.org/officeDocument/2006/relationships" ref="D1277" r:id="rId3896"/>
    <hyperlink xmlns:r="http://schemas.openxmlformats.org/officeDocument/2006/relationships" ref="E1277" r:id="rId3897"/>
    <hyperlink xmlns:r="http://schemas.openxmlformats.org/officeDocument/2006/relationships" ref="W1277" r:id="rId3898"/>
    <hyperlink xmlns:r="http://schemas.openxmlformats.org/officeDocument/2006/relationships" ref="E1278" r:id="rId3899"/>
    <hyperlink xmlns:r="http://schemas.openxmlformats.org/officeDocument/2006/relationships" ref="Q1278" r:id="rId3900"/>
    <hyperlink xmlns:r="http://schemas.openxmlformats.org/officeDocument/2006/relationships" ref="R1278" r:id="rId3901"/>
    <hyperlink xmlns:r="http://schemas.openxmlformats.org/officeDocument/2006/relationships" ref="W1278" r:id="rId3902"/>
    <hyperlink xmlns:r="http://schemas.openxmlformats.org/officeDocument/2006/relationships" ref="E1279" r:id="rId3903"/>
    <hyperlink xmlns:r="http://schemas.openxmlformats.org/officeDocument/2006/relationships" ref="R1279" r:id="rId3904"/>
    <hyperlink xmlns:r="http://schemas.openxmlformats.org/officeDocument/2006/relationships" ref="W1279" r:id="rId3905"/>
    <hyperlink xmlns:r="http://schemas.openxmlformats.org/officeDocument/2006/relationships" ref="E1280" r:id="rId3906"/>
    <hyperlink xmlns:r="http://schemas.openxmlformats.org/officeDocument/2006/relationships" ref="W1280" r:id="rId3907"/>
    <hyperlink xmlns:r="http://schemas.openxmlformats.org/officeDocument/2006/relationships" ref="E1281" r:id="rId3908"/>
    <hyperlink xmlns:r="http://schemas.openxmlformats.org/officeDocument/2006/relationships" ref="W1281" r:id="rId3909"/>
    <hyperlink xmlns:r="http://schemas.openxmlformats.org/officeDocument/2006/relationships" ref="E1282" r:id="rId3910"/>
    <hyperlink xmlns:r="http://schemas.openxmlformats.org/officeDocument/2006/relationships" ref="P1282" r:id="rId3911"/>
    <hyperlink xmlns:r="http://schemas.openxmlformats.org/officeDocument/2006/relationships" ref="R1282" r:id="rId3912"/>
    <hyperlink xmlns:r="http://schemas.openxmlformats.org/officeDocument/2006/relationships" ref="W1282" r:id="rId3913"/>
    <hyperlink xmlns:r="http://schemas.openxmlformats.org/officeDocument/2006/relationships" ref="E1283" r:id="rId3914"/>
    <hyperlink xmlns:r="http://schemas.openxmlformats.org/officeDocument/2006/relationships" ref="W1283" r:id="rId3915"/>
    <hyperlink xmlns:r="http://schemas.openxmlformats.org/officeDocument/2006/relationships" ref="E1284" r:id="rId3916"/>
    <hyperlink xmlns:r="http://schemas.openxmlformats.org/officeDocument/2006/relationships" ref="W1284" r:id="rId3917"/>
    <hyperlink xmlns:r="http://schemas.openxmlformats.org/officeDocument/2006/relationships" ref="E1285" r:id="rId3918"/>
    <hyperlink xmlns:r="http://schemas.openxmlformats.org/officeDocument/2006/relationships" ref="R1285" r:id="rId3919"/>
    <hyperlink xmlns:r="http://schemas.openxmlformats.org/officeDocument/2006/relationships" ref="W1285" r:id="rId3920"/>
    <hyperlink xmlns:r="http://schemas.openxmlformats.org/officeDocument/2006/relationships" ref="E1286" r:id="rId3921"/>
    <hyperlink xmlns:r="http://schemas.openxmlformats.org/officeDocument/2006/relationships" ref="W1286" r:id="rId3922"/>
    <hyperlink xmlns:r="http://schemas.openxmlformats.org/officeDocument/2006/relationships" ref="E1287" r:id="rId3923"/>
    <hyperlink xmlns:r="http://schemas.openxmlformats.org/officeDocument/2006/relationships" ref="W1287" r:id="rId3924"/>
    <hyperlink xmlns:r="http://schemas.openxmlformats.org/officeDocument/2006/relationships" ref="E1288" r:id="rId3925"/>
    <hyperlink xmlns:r="http://schemas.openxmlformats.org/officeDocument/2006/relationships" ref="W1288" r:id="rId3926"/>
    <hyperlink xmlns:r="http://schemas.openxmlformats.org/officeDocument/2006/relationships" ref="E1289" r:id="rId3927"/>
    <hyperlink xmlns:r="http://schemas.openxmlformats.org/officeDocument/2006/relationships" ref="Q1289" r:id="rId3928"/>
    <hyperlink xmlns:r="http://schemas.openxmlformats.org/officeDocument/2006/relationships" ref="R1289" r:id="rId3929"/>
    <hyperlink xmlns:r="http://schemas.openxmlformats.org/officeDocument/2006/relationships" ref="W1289" r:id="rId3930"/>
    <hyperlink xmlns:r="http://schemas.openxmlformats.org/officeDocument/2006/relationships" ref="E1290" r:id="rId3931"/>
    <hyperlink xmlns:r="http://schemas.openxmlformats.org/officeDocument/2006/relationships" ref="P1290" r:id="rId3932"/>
    <hyperlink xmlns:r="http://schemas.openxmlformats.org/officeDocument/2006/relationships" ref="Q1290" r:id="rId3933"/>
    <hyperlink xmlns:r="http://schemas.openxmlformats.org/officeDocument/2006/relationships" ref="R1290" r:id="rId3934"/>
    <hyperlink xmlns:r="http://schemas.openxmlformats.org/officeDocument/2006/relationships" ref="W1290" r:id="rId3935"/>
    <hyperlink xmlns:r="http://schemas.openxmlformats.org/officeDocument/2006/relationships" ref="E1291" r:id="rId3936"/>
    <hyperlink xmlns:r="http://schemas.openxmlformats.org/officeDocument/2006/relationships" ref="R1291" r:id="rId3937"/>
    <hyperlink xmlns:r="http://schemas.openxmlformats.org/officeDocument/2006/relationships" ref="W1291" r:id="rId3938"/>
    <hyperlink xmlns:r="http://schemas.openxmlformats.org/officeDocument/2006/relationships" ref="E1292" r:id="rId3939"/>
    <hyperlink xmlns:r="http://schemas.openxmlformats.org/officeDocument/2006/relationships" ref="P1292" r:id="rId3940"/>
    <hyperlink xmlns:r="http://schemas.openxmlformats.org/officeDocument/2006/relationships" ref="Q1292" r:id="rId3941"/>
    <hyperlink xmlns:r="http://schemas.openxmlformats.org/officeDocument/2006/relationships" ref="R1292" r:id="rId3942"/>
    <hyperlink xmlns:r="http://schemas.openxmlformats.org/officeDocument/2006/relationships" ref="W1292" r:id="rId3943"/>
    <hyperlink xmlns:r="http://schemas.openxmlformats.org/officeDocument/2006/relationships" ref="E1293" r:id="rId3944"/>
    <hyperlink xmlns:r="http://schemas.openxmlformats.org/officeDocument/2006/relationships" ref="P1293" r:id="rId3945"/>
    <hyperlink xmlns:r="http://schemas.openxmlformats.org/officeDocument/2006/relationships" ref="Q1293" r:id="rId3946"/>
    <hyperlink xmlns:r="http://schemas.openxmlformats.org/officeDocument/2006/relationships" ref="R1293" r:id="rId3947"/>
    <hyperlink xmlns:r="http://schemas.openxmlformats.org/officeDocument/2006/relationships" ref="W1293" r:id="rId3948"/>
    <hyperlink xmlns:r="http://schemas.openxmlformats.org/officeDocument/2006/relationships" ref="E1294" r:id="rId3949"/>
    <hyperlink xmlns:r="http://schemas.openxmlformats.org/officeDocument/2006/relationships" ref="P1294" r:id="rId3950"/>
    <hyperlink xmlns:r="http://schemas.openxmlformats.org/officeDocument/2006/relationships" ref="R1294" r:id="rId3951"/>
    <hyperlink xmlns:r="http://schemas.openxmlformats.org/officeDocument/2006/relationships" ref="W1294" r:id="rId3952"/>
    <hyperlink xmlns:r="http://schemas.openxmlformats.org/officeDocument/2006/relationships" ref="E1295" r:id="rId3953"/>
    <hyperlink xmlns:r="http://schemas.openxmlformats.org/officeDocument/2006/relationships" ref="P1295" r:id="rId3954"/>
    <hyperlink xmlns:r="http://schemas.openxmlformats.org/officeDocument/2006/relationships" ref="Q1295" r:id="rId3955"/>
    <hyperlink xmlns:r="http://schemas.openxmlformats.org/officeDocument/2006/relationships" ref="R1295" r:id="rId3956"/>
    <hyperlink xmlns:r="http://schemas.openxmlformats.org/officeDocument/2006/relationships" ref="W1295" r:id="rId3957"/>
    <hyperlink xmlns:r="http://schemas.openxmlformats.org/officeDocument/2006/relationships" ref="E1296" r:id="rId3958"/>
    <hyperlink xmlns:r="http://schemas.openxmlformats.org/officeDocument/2006/relationships" ref="Q1296" r:id="rId3959"/>
    <hyperlink xmlns:r="http://schemas.openxmlformats.org/officeDocument/2006/relationships" ref="R1296" r:id="rId3960"/>
    <hyperlink xmlns:r="http://schemas.openxmlformats.org/officeDocument/2006/relationships" ref="W1296" r:id="rId3961"/>
    <hyperlink xmlns:r="http://schemas.openxmlformats.org/officeDocument/2006/relationships" ref="E1297" r:id="rId3962"/>
    <hyperlink xmlns:r="http://schemas.openxmlformats.org/officeDocument/2006/relationships" ref="W1297" r:id="rId3963"/>
    <hyperlink xmlns:r="http://schemas.openxmlformats.org/officeDocument/2006/relationships" ref="E1298" r:id="rId3964"/>
    <hyperlink xmlns:r="http://schemas.openxmlformats.org/officeDocument/2006/relationships" ref="P1298" r:id="rId3965"/>
    <hyperlink xmlns:r="http://schemas.openxmlformats.org/officeDocument/2006/relationships" ref="R1298" r:id="rId3966"/>
    <hyperlink xmlns:r="http://schemas.openxmlformats.org/officeDocument/2006/relationships" ref="W1298" r:id="rId3967"/>
    <hyperlink xmlns:r="http://schemas.openxmlformats.org/officeDocument/2006/relationships" ref="E1299" r:id="rId3968"/>
    <hyperlink xmlns:r="http://schemas.openxmlformats.org/officeDocument/2006/relationships" ref="R1299" r:id="rId3969"/>
    <hyperlink xmlns:r="http://schemas.openxmlformats.org/officeDocument/2006/relationships" ref="W1299" r:id="rId3970"/>
    <hyperlink xmlns:r="http://schemas.openxmlformats.org/officeDocument/2006/relationships" ref="E1300" r:id="rId3971"/>
    <hyperlink xmlns:r="http://schemas.openxmlformats.org/officeDocument/2006/relationships" ref="W1300" r:id="rId3972"/>
    <hyperlink xmlns:r="http://schemas.openxmlformats.org/officeDocument/2006/relationships" ref="E1301" r:id="rId3973"/>
    <hyperlink xmlns:r="http://schemas.openxmlformats.org/officeDocument/2006/relationships" ref="P1301" r:id="rId3974"/>
    <hyperlink xmlns:r="http://schemas.openxmlformats.org/officeDocument/2006/relationships" ref="R1301" r:id="rId3975"/>
    <hyperlink xmlns:r="http://schemas.openxmlformats.org/officeDocument/2006/relationships" ref="W1301" r:id="rId3976"/>
    <hyperlink xmlns:r="http://schemas.openxmlformats.org/officeDocument/2006/relationships" ref="E1302" r:id="rId3977"/>
    <hyperlink xmlns:r="http://schemas.openxmlformats.org/officeDocument/2006/relationships" ref="P1302" r:id="rId3978"/>
    <hyperlink xmlns:r="http://schemas.openxmlformats.org/officeDocument/2006/relationships" ref="R1302" r:id="rId3979"/>
    <hyperlink xmlns:r="http://schemas.openxmlformats.org/officeDocument/2006/relationships" ref="W1302" r:id="rId3980"/>
    <hyperlink xmlns:r="http://schemas.openxmlformats.org/officeDocument/2006/relationships" ref="E1303" r:id="rId3981"/>
    <hyperlink xmlns:r="http://schemas.openxmlformats.org/officeDocument/2006/relationships" ref="W1303" r:id="rId3982"/>
    <hyperlink xmlns:r="http://schemas.openxmlformats.org/officeDocument/2006/relationships" ref="E1304" r:id="rId3983"/>
    <hyperlink xmlns:r="http://schemas.openxmlformats.org/officeDocument/2006/relationships" ref="W1304" r:id="rId3984"/>
    <hyperlink xmlns:r="http://schemas.openxmlformats.org/officeDocument/2006/relationships" ref="E1305" r:id="rId3985"/>
    <hyperlink xmlns:r="http://schemas.openxmlformats.org/officeDocument/2006/relationships" ref="P1305" r:id="rId3986"/>
    <hyperlink xmlns:r="http://schemas.openxmlformats.org/officeDocument/2006/relationships" ref="R1305" r:id="rId3987"/>
    <hyperlink xmlns:r="http://schemas.openxmlformats.org/officeDocument/2006/relationships" ref="W1305" r:id="rId3988"/>
    <hyperlink xmlns:r="http://schemas.openxmlformats.org/officeDocument/2006/relationships" ref="E1306" r:id="rId3989"/>
    <hyperlink xmlns:r="http://schemas.openxmlformats.org/officeDocument/2006/relationships" ref="W1306" r:id="rId3990"/>
    <hyperlink xmlns:r="http://schemas.openxmlformats.org/officeDocument/2006/relationships" ref="E1307" r:id="rId3991"/>
    <hyperlink xmlns:r="http://schemas.openxmlformats.org/officeDocument/2006/relationships" ref="P1307" r:id="rId3992"/>
    <hyperlink xmlns:r="http://schemas.openxmlformats.org/officeDocument/2006/relationships" ref="W1307" r:id="rId3993"/>
    <hyperlink xmlns:r="http://schemas.openxmlformats.org/officeDocument/2006/relationships" ref="E1308" r:id="rId3994"/>
    <hyperlink xmlns:r="http://schemas.openxmlformats.org/officeDocument/2006/relationships" ref="P1308" r:id="rId3995"/>
    <hyperlink xmlns:r="http://schemas.openxmlformats.org/officeDocument/2006/relationships" ref="Q1308" r:id="rId3996"/>
    <hyperlink xmlns:r="http://schemas.openxmlformats.org/officeDocument/2006/relationships" ref="R1308" r:id="rId3997"/>
    <hyperlink xmlns:r="http://schemas.openxmlformats.org/officeDocument/2006/relationships" ref="W1308" r:id="rId3998"/>
    <hyperlink xmlns:r="http://schemas.openxmlformats.org/officeDocument/2006/relationships" ref="D1309" r:id="rId3999"/>
    <hyperlink xmlns:r="http://schemas.openxmlformats.org/officeDocument/2006/relationships" ref="E1309" r:id="rId4000"/>
    <hyperlink xmlns:r="http://schemas.openxmlformats.org/officeDocument/2006/relationships" ref="P1309" r:id="rId4001"/>
    <hyperlink xmlns:r="http://schemas.openxmlformats.org/officeDocument/2006/relationships" ref="Q1309" r:id="rId4002"/>
    <hyperlink xmlns:r="http://schemas.openxmlformats.org/officeDocument/2006/relationships" ref="R1309" r:id="rId4003"/>
    <hyperlink xmlns:r="http://schemas.openxmlformats.org/officeDocument/2006/relationships" ref="W1309" r:id="rId4004"/>
    <hyperlink xmlns:r="http://schemas.openxmlformats.org/officeDocument/2006/relationships" ref="E1310" r:id="rId4005"/>
    <hyperlink xmlns:r="http://schemas.openxmlformats.org/officeDocument/2006/relationships" ref="R1310" r:id="rId4006"/>
    <hyperlink xmlns:r="http://schemas.openxmlformats.org/officeDocument/2006/relationships" ref="E1311" r:id="rId4007"/>
    <hyperlink xmlns:r="http://schemas.openxmlformats.org/officeDocument/2006/relationships" ref="P1311" r:id="rId4008"/>
    <hyperlink xmlns:r="http://schemas.openxmlformats.org/officeDocument/2006/relationships" ref="Q1311" r:id="rId4009"/>
    <hyperlink xmlns:r="http://schemas.openxmlformats.org/officeDocument/2006/relationships" ref="R1311" r:id="rId4010"/>
    <hyperlink xmlns:r="http://schemas.openxmlformats.org/officeDocument/2006/relationships" ref="W1311" r:id="rId4011"/>
    <hyperlink xmlns:r="http://schemas.openxmlformats.org/officeDocument/2006/relationships" ref="E1312" r:id="rId4012"/>
    <hyperlink xmlns:r="http://schemas.openxmlformats.org/officeDocument/2006/relationships" ref="W1312" r:id="rId4013"/>
    <hyperlink xmlns:r="http://schemas.openxmlformats.org/officeDocument/2006/relationships" ref="E1313" r:id="rId4014"/>
    <hyperlink xmlns:r="http://schemas.openxmlformats.org/officeDocument/2006/relationships" ref="E1314" r:id="rId4015"/>
    <hyperlink xmlns:r="http://schemas.openxmlformats.org/officeDocument/2006/relationships" ref="R1314" r:id="rId4016"/>
    <hyperlink xmlns:r="http://schemas.openxmlformats.org/officeDocument/2006/relationships" ref="W1314" r:id="rId4017"/>
    <hyperlink xmlns:r="http://schemas.openxmlformats.org/officeDocument/2006/relationships" ref="E1315" r:id="rId4018"/>
    <hyperlink xmlns:r="http://schemas.openxmlformats.org/officeDocument/2006/relationships" ref="P1315" r:id="rId4019"/>
    <hyperlink xmlns:r="http://schemas.openxmlformats.org/officeDocument/2006/relationships" ref="W1315" r:id="rId4020"/>
    <hyperlink xmlns:r="http://schemas.openxmlformats.org/officeDocument/2006/relationships" ref="E1316" r:id="rId4021"/>
    <hyperlink xmlns:r="http://schemas.openxmlformats.org/officeDocument/2006/relationships" ref="R1316" r:id="rId4022"/>
    <hyperlink xmlns:r="http://schemas.openxmlformats.org/officeDocument/2006/relationships" ref="W1316" r:id="rId4023"/>
    <hyperlink xmlns:r="http://schemas.openxmlformats.org/officeDocument/2006/relationships" ref="E1317" r:id="rId4024"/>
    <hyperlink xmlns:r="http://schemas.openxmlformats.org/officeDocument/2006/relationships" ref="W1317" r:id="rId4025"/>
    <hyperlink xmlns:r="http://schemas.openxmlformats.org/officeDocument/2006/relationships" ref="E1318" r:id="rId4026"/>
    <hyperlink xmlns:r="http://schemas.openxmlformats.org/officeDocument/2006/relationships" ref="R1318" r:id="rId4027"/>
    <hyperlink xmlns:r="http://schemas.openxmlformats.org/officeDocument/2006/relationships" ref="W1318" r:id="rId4028"/>
    <hyperlink xmlns:r="http://schemas.openxmlformats.org/officeDocument/2006/relationships" ref="E1319" r:id="rId4029"/>
    <hyperlink xmlns:r="http://schemas.openxmlformats.org/officeDocument/2006/relationships" ref="P1319" r:id="rId4030"/>
    <hyperlink xmlns:r="http://schemas.openxmlformats.org/officeDocument/2006/relationships" ref="Q1319" r:id="rId4031"/>
    <hyperlink xmlns:r="http://schemas.openxmlformats.org/officeDocument/2006/relationships" ref="R1319" r:id="rId4032"/>
    <hyperlink xmlns:r="http://schemas.openxmlformats.org/officeDocument/2006/relationships" ref="W1319" r:id="rId4033"/>
    <hyperlink xmlns:r="http://schemas.openxmlformats.org/officeDocument/2006/relationships" ref="E1320" r:id="rId4034"/>
    <hyperlink xmlns:r="http://schemas.openxmlformats.org/officeDocument/2006/relationships" ref="R1320" r:id="rId4035"/>
    <hyperlink xmlns:r="http://schemas.openxmlformats.org/officeDocument/2006/relationships" ref="W1320" r:id="rId4036"/>
    <hyperlink xmlns:r="http://schemas.openxmlformats.org/officeDocument/2006/relationships" ref="E1321" r:id="rId4037"/>
    <hyperlink xmlns:r="http://schemas.openxmlformats.org/officeDocument/2006/relationships" ref="E1322" r:id="rId4038"/>
    <hyperlink xmlns:r="http://schemas.openxmlformats.org/officeDocument/2006/relationships" ref="R1322" r:id="rId4039"/>
    <hyperlink xmlns:r="http://schemas.openxmlformats.org/officeDocument/2006/relationships" ref="W1322" r:id="rId4040"/>
    <hyperlink xmlns:r="http://schemas.openxmlformats.org/officeDocument/2006/relationships" ref="E1323" r:id="rId4041"/>
    <hyperlink xmlns:r="http://schemas.openxmlformats.org/officeDocument/2006/relationships" ref="W1323" r:id="rId4042"/>
    <hyperlink xmlns:r="http://schemas.openxmlformats.org/officeDocument/2006/relationships" ref="E1324" r:id="rId4043"/>
    <hyperlink xmlns:r="http://schemas.openxmlformats.org/officeDocument/2006/relationships" ref="P1324" r:id="rId4044"/>
    <hyperlink xmlns:r="http://schemas.openxmlformats.org/officeDocument/2006/relationships" ref="Q1324" r:id="rId4045"/>
    <hyperlink xmlns:r="http://schemas.openxmlformats.org/officeDocument/2006/relationships" ref="R1324" r:id="rId4046"/>
    <hyperlink xmlns:r="http://schemas.openxmlformats.org/officeDocument/2006/relationships" ref="W1324" r:id="rId4047"/>
    <hyperlink xmlns:r="http://schemas.openxmlformats.org/officeDocument/2006/relationships" ref="E1325" r:id="rId4048"/>
    <hyperlink xmlns:r="http://schemas.openxmlformats.org/officeDocument/2006/relationships" ref="P1325" r:id="rId4049"/>
    <hyperlink xmlns:r="http://schemas.openxmlformats.org/officeDocument/2006/relationships" ref="Q1325" r:id="rId4050"/>
    <hyperlink xmlns:r="http://schemas.openxmlformats.org/officeDocument/2006/relationships" ref="R1325" r:id="rId4051"/>
    <hyperlink xmlns:r="http://schemas.openxmlformats.org/officeDocument/2006/relationships" ref="W1325" r:id="rId4052"/>
    <hyperlink xmlns:r="http://schemas.openxmlformats.org/officeDocument/2006/relationships" ref="E1326" r:id="rId4053"/>
    <hyperlink xmlns:r="http://schemas.openxmlformats.org/officeDocument/2006/relationships" ref="W1326" r:id="rId4054"/>
    <hyperlink xmlns:r="http://schemas.openxmlformats.org/officeDocument/2006/relationships" ref="E1327" r:id="rId4055"/>
    <hyperlink xmlns:r="http://schemas.openxmlformats.org/officeDocument/2006/relationships" ref="W1327" r:id="rId4056"/>
    <hyperlink xmlns:r="http://schemas.openxmlformats.org/officeDocument/2006/relationships" ref="E1328" r:id="rId4057"/>
    <hyperlink xmlns:r="http://schemas.openxmlformats.org/officeDocument/2006/relationships" ref="P1328" r:id="rId4058"/>
    <hyperlink xmlns:r="http://schemas.openxmlformats.org/officeDocument/2006/relationships" ref="Q1328" r:id="rId4059"/>
    <hyperlink xmlns:r="http://schemas.openxmlformats.org/officeDocument/2006/relationships" ref="R1328" r:id="rId4060"/>
    <hyperlink xmlns:r="http://schemas.openxmlformats.org/officeDocument/2006/relationships" ref="W1328" r:id="rId4061"/>
    <hyperlink xmlns:r="http://schemas.openxmlformats.org/officeDocument/2006/relationships" ref="E1329" r:id="rId4062"/>
    <hyperlink xmlns:r="http://schemas.openxmlformats.org/officeDocument/2006/relationships" ref="P1329" r:id="rId4063"/>
    <hyperlink xmlns:r="http://schemas.openxmlformats.org/officeDocument/2006/relationships" ref="Q1329" r:id="rId4064"/>
    <hyperlink xmlns:r="http://schemas.openxmlformats.org/officeDocument/2006/relationships" ref="R1329" r:id="rId4065"/>
    <hyperlink xmlns:r="http://schemas.openxmlformats.org/officeDocument/2006/relationships" ref="W1329" r:id="rId4066"/>
    <hyperlink xmlns:r="http://schemas.openxmlformats.org/officeDocument/2006/relationships" ref="E1330" r:id="rId4067"/>
    <hyperlink xmlns:r="http://schemas.openxmlformats.org/officeDocument/2006/relationships" ref="W1330" r:id="rId4068"/>
    <hyperlink xmlns:r="http://schemas.openxmlformats.org/officeDocument/2006/relationships" ref="D1331" r:id="rId4069"/>
    <hyperlink xmlns:r="http://schemas.openxmlformats.org/officeDocument/2006/relationships" ref="E1331" r:id="rId4070"/>
    <hyperlink xmlns:r="http://schemas.openxmlformats.org/officeDocument/2006/relationships" ref="E1332" r:id="rId4071"/>
    <hyperlink xmlns:r="http://schemas.openxmlformats.org/officeDocument/2006/relationships" ref="R1332" r:id="rId4072"/>
    <hyperlink xmlns:r="http://schemas.openxmlformats.org/officeDocument/2006/relationships" ref="W1332" r:id="rId4073"/>
    <hyperlink xmlns:r="http://schemas.openxmlformats.org/officeDocument/2006/relationships" ref="E1333" r:id="rId4074"/>
    <hyperlink xmlns:r="http://schemas.openxmlformats.org/officeDocument/2006/relationships" ref="P1333" r:id="rId4075"/>
    <hyperlink xmlns:r="http://schemas.openxmlformats.org/officeDocument/2006/relationships" ref="Q1333" r:id="rId4076"/>
    <hyperlink xmlns:r="http://schemas.openxmlformats.org/officeDocument/2006/relationships" ref="R1333" r:id="rId4077"/>
    <hyperlink xmlns:r="http://schemas.openxmlformats.org/officeDocument/2006/relationships" ref="W1333" r:id="rId4078"/>
    <hyperlink xmlns:r="http://schemas.openxmlformats.org/officeDocument/2006/relationships" ref="E1334" r:id="rId4079"/>
    <hyperlink xmlns:r="http://schemas.openxmlformats.org/officeDocument/2006/relationships" ref="R1334" r:id="rId4080"/>
    <hyperlink xmlns:r="http://schemas.openxmlformats.org/officeDocument/2006/relationships" ref="W1334" r:id="rId4081"/>
    <hyperlink xmlns:r="http://schemas.openxmlformats.org/officeDocument/2006/relationships" ref="E1335" r:id="rId4082"/>
    <hyperlink xmlns:r="http://schemas.openxmlformats.org/officeDocument/2006/relationships" ref="W1335" r:id="rId4083"/>
    <hyperlink xmlns:r="http://schemas.openxmlformats.org/officeDocument/2006/relationships" ref="E1336" r:id="rId4084"/>
    <hyperlink xmlns:r="http://schemas.openxmlformats.org/officeDocument/2006/relationships" ref="W1336" r:id="rId4085"/>
    <hyperlink xmlns:r="http://schemas.openxmlformats.org/officeDocument/2006/relationships" ref="E1337" r:id="rId4086"/>
    <hyperlink xmlns:r="http://schemas.openxmlformats.org/officeDocument/2006/relationships" ref="W1337" r:id="rId4087"/>
    <hyperlink xmlns:r="http://schemas.openxmlformats.org/officeDocument/2006/relationships" ref="E1338" r:id="rId4088"/>
    <hyperlink xmlns:r="http://schemas.openxmlformats.org/officeDocument/2006/relationships" ref="P1338" r:id="rId4089"/>
    <hyperlink xmlns:r="http://schemas.openxmlformats.org/officeDocument/2006/relationships" ref="Q1338" r:id="rId4090"/>
    <hyperlink xmlns:r="http://schemas.openxmlformats.org/officeDocument/2006/relationships" ref="R1338" r:id="rId4091"/>
    <hyperlink xmlns:r="http://schemas.openxmlformats.org/officeDocument/2006/relationships" ref="E1339" r:id="rId4092"/>
    <hyperlink xmlns:r="http://schemas.openxmlformats.org/officeDocument/2006/relationships" ref="Q1339" r:id="rId4093"/>
    <hyperlink xmlns:r="http://schemas.openxmlformats.org/officeDocument/2006/relationships" ref="R1339" r:id="rId4094"/>
    <hyperlink xmlns:r="http://schemas.openxmlformats.org/officeDocument/2006/relationships" ref="W1339" r:id="rId4095"/>
    <hyperlink xmlns:r="http://schemas.openxmlformats.org/officeDocument/2006/relationships" ref="E1340" r:id="rId4096"/>
    <hyperlink xmlns:r="http://schemas.openxmlformats.org/officeDocument/2006/relationships" ref="W1340" r:id="rId4097"/>
    <hyperlink xmlns:r="http://schemas.openxmlformats.org/officeDocument/2006/relationships" ref="E1341" r:id="rId4098"/>
    <hyperlink xmlns:r="http://schemas.openxmlformats.org/officeDocument/2006/relationships" ref="R1341" r:id="rId4099"/>
    <hyperlink xmlns:r="http://schemas.openxmlformats.org/officeDocument/2006/relationships" ref="W1341" r:id="rId4100"/>
    <hyperlink xmlns:r="http://schemas.openxmlformats.org/officeDocument/2006/relationships" ref="E1342" r:id="rId4101"/>
    <hyperlink xmlns:r="http://schemas.openxmlformats.org/officeDocument/2006/relationships" ref="Q1342" r:id="rId4102"/>
    <hyperlink xmlns:r="http://schemas.openxmlformats.org/officeDocument/2006/relationships" ref="R1342" r:id="rId4103"/>
    <hyperlink xmlns:r="http://schemas.openxmlformats.org/officeDocument/2006/relationships" ref="W1342" r:id="rId4104"/>
    <hyperlink xmlns:r="http://schemas.openxmlformats.org/officeDocument/2006/relationships" ref="E1343" r:id="rId4105"/>
    <hyperlink xmlns:r="http://schemas.openxmlformats.org/officeDocument/2006/relationships" ref="Q1343" r:id="rId4106"/>
    <hyperlink xmlns:r="http://schemas.openxmlformats.org/officeDocument/2006/relationships" ref="R1343" r:id="rId4107"/>
    <hyperlink xmlns:r="http://schemas.openxmlformats.org/officeDocument/2006/relationships" ref="W1343" r:id="rId4108"/>
    <hyperlink xmlns:r="http://schemas.openxmlformats.org/officeDocument/2006/relationships" ref="E1344" r:id="rId4109"/>
    <hyperlink xmlns:r="http://schemas.openxmlformats.org/officeDocument/2006/relationships" ref="W1344" r:id="rId4110"/>
    <hyperlink xmlns:r="http://schemas.openxmlformats.org/officeDocument/2006/relationships" ref="E1345" r:id="rId4111"/>
    <hyperlink xmlns:r="http://schemas.openxmlformats.org/officeDocument/2006/relationships" ref="E1346" r:id="rId4112"/>
    <hyperlink xmlns:r="http://schemas.openxmlformats.org/officeDocument/2006/relationships" ref="W1346" r:id="rId4113"/>
    <hyperlink xmlns:r="http://schemas.openxmlformats.org/officeDocument/2006/relationships" ref="E1347" r:id="rId4114"/>
    <hyperlink xmlns:r="http://schemas.openxmlformats.org/officeDocument/2006/relationships" ref="W1347" r:id="rId4115"/>
    <hyperlink xmlns:r="http://schemas.openxmlformats.org/officeDocument/2006/relationships" ref="E1348" r:id="rId4116"/>
    <hyperlink xmlns:r="http://schemas.openxmlformats.org/officeDocument/2006/relationships" ref="R1348" r:id="rId4117"/>
    <hyperlink xmlns:r="http://schemas.openxmlformats.org/officeDocument/2006/relationships" ref="W1348" r:id="rId4118"/>
    <hyperlink xmlns:r="http://schemas.openxmlformats.org/officeDocument/2006/relationships" ref="E1349" r:id="rId4119"/>
    <hyperlink xmlns:r="http://schemas.openxmlformats.org/officeDocument/2006/relationships" ref="W1349" r:id="rId4120"/>
    <hyperlink xmlns:r="http://schemas.openxmlformats.org/officeDocument/2006/relationships" ref="E1350" r:id="rId4121"/>
    <hyperlink xmlns:r="http://schemas.openxmlformats.org/officeDocument/2006/relationships" ref="W1350" r:id="rId4122"/>
    <hyperlink xmlns:r="http://schemas.openxmlformats.org/officeDocument/2006/relationships" ref="E1351" r:id="rId4123"/>
    <hyperlink xmlns:r="http://schemas.openxmlformats.org/officeDocument/2006/relationships" ref="R1351" r:id="rId4124"/>
    <hyperlink xmlns:r="http://schemas.openxmlformats.org/officeDocument/2006/relationships" ref="W1351" r:id="rId4125"/>
    <hyperlink xmlns:r="http://schemas.openxmlformats.org/officeDocument/2006/relationships" ref="E1352" r:id="rId4126"/>
    <hyperlink xmlns:r="http://schemas.openxmlformats.org/officeDocument/2006/relationships" ref="R1352" r:id="rId4127"/>
    <hyperlink xmlns:r="http://schemas.openxmlformats.org/officeDocument/2006/relationships" ref="W1352" r:id="rId4128"/>
    <hyperlink xmlns:r="http://schemas.openxmlformats.org/officeDocument/2006/relationships" ref="E1353" r:id="rId4129"/>
    <hyperlink xmlns:r="http://schemas.openxmlformats.org/officeDocument/2006/relationships" ref="P1353" r:id="rId4130"/>
    <hyperlink xmlns:r="http://schemas.openxmlformats.org/officeDocument/2006/relationships" ref="Q1353" r:id="rId4131"/>
    <hyperlink xmlns:r="http://schemas.openxmlformats.org/officeDocument/2006/relationships" ref="R1353" r:id="rId4132"/>
    <hyperlink xmlns:r="http://schemas.openxmlformats.org/officeDocument/2006/relationships" ref="W1353" r:id="rId4133"/>
    <hyperlink xmlns:r="http://schemas.openxmlformats.org/officeDocument/2006/relationships" ref="E1354" r:id="rId4134"/>
    <hyperlink xmlns:r="http://schemas.openxmlformats.org/officeDocument/2006/relationships" ref="W1354" r:id="rId4135"/>
    <hyperlink xmlns:r="http://schemas.openxmlformats.org/officeDocument/2006/relationships" ref="E1355" r:id="rId4136"/>
    <hyperlink xmlns:r="http://schemas.openxmlformats.org/officeDocument/2006/relationships" ref="W1355" r:id="rId4137"/>
    <hyperlink xmlns:r="http://schemas.openxmlformats.org/officeDocument/2006/relationships" ref="E1356" r:id="rId4138"/>
    <hyperlink xmlns:r="http://schemas.openxmlformats.org/officeDocument/2006/relationships" ref="P1356" r:id="rId4139"/>
    <hyperlink xmlns:r="http://schemas.openxmlformats.org/officeDocument/2006/relationships" ref="Q1356" r:id="rId4140"/>
    <hyperlink xmlns:r="http://schemas.openxmlformats.org/officeDocument/2006/relationships" ref="R1356" r:id="rId4141"/>
    <hyperlink xmlns:r="http://schemas.openxmlformats.org/officeDocument/2006/relationships" ref="W1356" r:id="rId4142"/>
    <hyperlink xmlns:r="http://schemas.openxmlformats.org/officeDocument/2006/relationships" ref="E1357" r:id="rId4143"/>
    <hyperlink xmlns:r="http://schemas.openxmlformats.org/officeDocument/2006/relationships" ref="W1357" r:id="rId4144"/>
    <hyperlink xmlns:r="http://schemas.openxmlformats.org/officeDocument/2006/relationships" ref="E1358" r:id="rId4145"/>
    <hyperlink xmlns:r="http://schemas.openxmlformats.org/officeDocument/2006/relationships" ref="Q1358" r:id="rId4146"/>
    <hyperlink xmlns:r="http://schemas.openxmlformats.org/officeDocument/2006/relationships" ref="R1358" r:id="rId4147"/>
    <hyperlink xmlns:r="http://schemas.openxmlformats.org/officeDocument/2006/relationships" ref="E1359" r:id="rId4148"/>
    <hyperlink xmlns:r="http://schemas.openxmlformats.org/officeDocument/2006/relationships" ref="W1359" r:id="rId4149"/>
    <hyperlink xmlns:r="http://schemas.openxmlformats.org/officeDocument/2006/relationships" ref="E1360" r:id="rId4150"/>
    <hyperlink xmlns:r="http://schemas.openxmlformats.org/officeDocument/2006/relationships" ref="P1360" r:id="rId4151"/>
    <hyperlink xmlns:r="http://schemas.openxmlformats.org/officeDocument/2006/relationships" ref="Q1360" r:id="rId4152"/>
    <hyperlink xmlns:r="http://schemas.openxmlformats.org/officeDocument/2006/relationships" ref="R1360" r:id="rId4153"/>
    <hyperlink xmlns:r="http://schemas.openxmlformats.org/officeDocument/2006/relationships" ref="W1360" r:id="rId4154"/>
    <hyperlink xmlns:r="http://schemas.openxmlformats.org/officeDocument/2006/relationships" ref="E1361" r:id="rId4155"/>
    <hyperlink xmlns:r="http://schemas.openxmlformats.org/officeDocument/2006/relationships" ref="W1361" r:id="rId4156"/>
    <hyperlink xmlns:r="http://schemas.openxmlformats.org/officeDocument/2006/relationships" ref="E1362" r:id="rId4157"/>
    <hyperlink xmlns:r="http://schemas.openxmlformats.org/officeDocument/2006/relationships" ref="W1362" r:id="rId4158"/>
    <hyperlink xmlns:r="http://schemas.openxmlformats.org/officeDocument/2006/relationships" ref="E1363" r:id="rId4159"/>
    <hyperlink xmlns:r="http://schemas.openxmlformats.org/officeDocument/2006/relationships" ref="W1363" r:id="rId4160"/>
    <hyperlink xmlns:r="http://schemas.openxmlformats.org/officeDocument/2006/relationships" ref="E1364" r:id="rId4161"/>
    <hyperlink xmlns:r="http://schemas.openxmlformats.org/officeDocument/2006/relationships" ref="R1364" r:id="rId4162"/>
    <hyperlink xmlns:r="http://schemas.openxmlformats.org/officeDocument/2006/relationships" ref="W1364" r:id="rId4163"/>
    <hyperlink xmlns:r="http://schemas.openxmlformats.org/officeDocument/2006/relationships" ref="E1365" r:id="rId4164"/>
    <hyperlink xmlns:r="http://schemas.openxmlformats.org/officeDocument/2006/relationships" ref="W1365" r:id="rId4165"/>
    <hyperlink xmlns:r="http://schemas.openxmlformats.org/officeDocument/2006/relationships" ref="E1366" r:id="rId4166"/>
    <hyperlink xmlns:r="http://schemas.openxmlformats.org/officeDocument/2006/relationships" ref="W1366" r:id="rId4167"/>
    <hyperlink xmlns:r="http://schemas.openxmlformats.org/officeDocument/2006/relationships" ref="E1367" r:id="rId4168"/>
    <hyperlink xmlns:r="http://schemas.openxmlformats.org/officeDocument/2006/relationships" ref="W1367" r:id="rId4169"/>
    <hyperlink xmlns:r="http://schemas.openxmlformats.org/officeDocument/2006/relationships" ref="E1368" r:id="rId4170"/>
    <hyperlink xmlns:r="http://schemas.openxmlformats.org/officeDocument/2006/relationships" ref="R1368" r:id="rId4171"/>
    <hyperlink xmlns:r="http://schemas.openxmlformats.org/officeDocument/2006/relationships" ref="W1368" r:id="rId4172"/>
    <hyperlink xmlns:r="http://schemas.openxmlformats.org/officeDocument/2006/relationships" ref="E1369" r:id="rId4173"/>
    <hyperlink xmlns:r="http://schemas.openxmlformats.org/officeDocument/2006/relationships" ref="W1369" r:id="rId4174"/>
    <hyperlink xmlns:r="http://schemas.openxmlformats.org/officeDocument/2006/relationships" ref="E1370" r:id="rId4175"/>
    <hyperlink xmlns:r="http://schemas.openxmlformats.org/officeDocument/2006/relationships" ref="W1370" r:id="rId4176"/>
    <hyperlink xmlns:r="http://schemas.openxmlformats.org/officeDocument/2006/relationships" ref="D1371" r:id="rId4177"/>
    <hyperlink xmlns:r="http://schemas.openxmlformats.org/officeDocument/2006/relationships" ref="E1371" r:id="rId4178"/>
    <hyperlink xmlns:r="http://schemas.openxmlformats.org/officeDocument/2006/relationships" ref="S1371" r:id="rId4179"/>
    <hyperlink xmlns:r="http://schemas.openxmlformats.org/officeDocument/2006/relationships" ref="U1371" r:id="rId4180"/>
    <hyperlink xmlns:r="http://schemas.openxmlformats.org/officeDocument/2006/relationships" ref="E1372" r:id="rId4181"/>
    <hyperlink xmlns:r="http://schemas.openxmlformats.org/officeDocument/2006/relationships" ref="W1372" r:id="rId4182"/>
    <hyperlink xmlns:r="http://schemas.openxmlformats.org/officeDocument/2006/relationships" ref="E1373" r:id="rId4183"/>
    <hyperlink xmlns:r="http://schemas.openxmlformats.org/officeDocument/2006/relationships" ref="E1374" r:id="rId4184"/>
    <hyperlink xmlns:r="http://schemas.openxmlformats.org/officeDocument/2006/relationships" ref="R1374" r:id="rId4185"/>
    <hyperlink xmlns:r="http://schemas.openxmlformats.org/officeDocument/2006/relationships" ref="W1374" r:id="rId4186"/>
    <hyperlink xmlns:r="http://schemas.openxmlformats.org/officeDocument/2006/relationships" ref="E1375" r:id="rId4187"/>
    <hyperlink xmlns:r="http://schemas.openxmlformats.org/officeDocument/2006/relationships" ref="E1376" r:id="rId4188"/>
    <hyperlink xmlns:r="http://schemas.openxmlformats.org/officeDocument/2006/relationships" ref="R1376" r:id="rId4189"/>
    <hyperlink xmlns:r="http://schemas.openxmlformats.org/officeDocument/2006/relationships" ref="W1376" r:id="rId4190"/>
    <hyperlink xmlns:r="http://schemas.openxmlformats.org/officeDocument/2006/relationships" ref="D1377" r:id="rId4191"/>
    <hyperlink xmlns:r="http://schemas.openxmlformats.org/officeDocument/2006/relationships" ref="E1377" r:id="rId4192"/>
    <hyperlink xmlns:r="http://schemas.openxmlformats.org/officeDocument/2006/relationships" ref="W1377" r:id="rId4193"/>
    <hyperlink xmlns:r="http://schemas.openxmlformats.org/officeDocument/2006/relationships" ref="E1378" r:id="rId4194"/>
    <hyperlink xmlns:r="http://schemas.openxmlformats.org/officeDocument/2006/relationships" ref="R1378" r:id="rId4195"/>
    <hyperlink xmlns:r="http://schemas.openxmlformats.org/officeDocument/2006/relationships" ref="W1378" r:id="rId4196"/>
    <hyperlink xmlns:r="http://schemas.openxmlformats.org/officeDocument/2006/relationships" ref="E1379" r:id="rId4197"/>
    <hyperlink xmlns:r="http://schemas.openxmlformats.org/officeDocument/2006/relationships" ref="E1380" r:id="rId4198"/>
    <hyperlink xmlns:r="http://schemas.openxmlformats.org/officeDocument/2006/relationships" ref="W1380" r:id="rId4199"/>
    <hyperlink xmlns:r="http://schemas.openxmlformats.org/officeDocument/2006/relationships" ref="E1381" r:id="rId4200"/>
    <hyperlink xmlns:r="http://schemas.openxmlformats.org/officeDocument/2006/relationships" ref="W1381" r:id="rId4201"/>
    <hyperlink xmlns:r="http://schemas.openxmlformats.org/officeDocument/2006/relationships" ref="E1382" r:id="rId4202"/>
    <hyperlink xmlns:r="http://schemas.openxmlformats.org/officeDocument/2006/relationships" ref="R1382" r:id="rId4203"/>
    <hyperlink xmlns:r="http://schemas.openxmlformats.org/officeDocument/2006/relationships" ref="W1382" r:id="rId4204"/>
    <hyperlink xmlns:r="http://schemas.openxmlformats.org/officeDocument/2006/relationships" ref="E1383" r:id="rId4205"/>
    <hyperlink xmlns:r="http://schemas.openxmlformats.org/officeDocument/2006/relationships" ref="W1383" r:id="rId4206"/>
    <hyperlink xmlns:r="http://schemas.openxmlformats.org/officeDocument/2006/relationships" ref="E1384" r:id="rId4207"/>
    <hyperlink xmlns:r="http://schemas.openxmlformats.org/officeDocument/2006/relationships" ref="R1384" r:id="rId4208"/>
    <hyperlink xmlns:r="http://schemas.openxmlformats.org/officeDocument/2006/relationships" ref="W1384" r:id="rId4209"/>
    <hyperlink xmlns:r="http://schemas.openxmlformats.org/officeDocument/2006/relationships" ref="E1385" r:id="rId4210"/>
    <hyperlink xmlns:r="http://schemas.openxmlformats.org/officeDocument/2006/relationships" ref="R1385" r:id="rId4211"/>
    <hyperlink xmlns:r="http://schemas.openxmlformats.org/officeDocument/2006/relationships" ref="W1385" r:id="rId4212"/>
    <hyperlink xmlns:r="http://schemas.openxmlformats.org/officeDocument/2006/relationships" ref="E1386" r:id="rId4213"/>
    <hyperlink xmlns:r="http://schemas.openxmlformats.org/officeDocument/2006/relationships" ref="W1386" r:id="rId4214"/>
    <hyperlink xmlns:r="http://schemas.openxmlformats.org/officeDocument/2006/relationships" ref="E1387" r:id="rId4215"/>
    <hyperlink xmlns:r="http://schemas.openxmlformats.org/officeDocument/2006/relationships" ref="R1387" r:id="rId4216"/>
    <hyperlink xmlns:r="http://schemas.openxmlformats.org/officeDocument/2006/relationships" ref="W1387" r:id="rId4217"/>
    <hyperlink xmlns:r="http://schemas.openxmlformats.org/officeDocument/2006/relationships" ref="E1388" r:id="rId4218"/>
    <hyperlink xmlns:r="http://schemas.openxmlformats.org/officeDocument/2006/relationships" ref="W1388" r:id="rId4219"/>
    <hyperlink xmlns:r="http://schemas.openxmlformats.org/officeDocument/2006/relationships" ref="E1389" r:id="rId4220"/>
    <hyperlink xmlns:r="http://schemas.openxmlformats.org/officeDocument/2006/relationships" ref="W1389" r:id="rId4221"/>
    <hyperlink xmlns:r="http://schemas.openxmlformats.org/officeDocument/2006/relationships" ref="E1390" r:id="rId4222"/>
    <hyperlink xmlns:r="http://schemas.openxmlformats.org/officeDocument/2006/relationships" ref="W1390" r:id="rId4223"/>
    <hyperlink xmlns:r="http://schemas.openxmlformats.org/officeDocument/2006/relationships" ref="E1391" r:id="rId4224"/>
    <hyperlink xmlns:r="http://schemas.openxmlformats.org/officeDocument/2006/relationships" ref="W1391" r:id="rId4225"/>
    <hyperlink xmlns:r="http://schemas.openxmlformats.org/officeDocument/2006/relationships" ref="E1392" r:id="rId4226"/>
    <hyperlink xmlns:r="http://schemas.openxmlformats.org/officeDocument/2006/relationships" ref="W1392" r:id="rId4227"/>
    <hyperlink xmlns:r="http://schemas.openxmlformats.org/officeDocument/2006/relationships" ref="E1393" r:id="rId4228"/>
    <hyperlink xmlns:r="http://schemas.openxmlformats.org/officeDocument/2006/relationships" ref="W1393" r:id="rId4229"/>
    <hyperlink xmlns:r="http://schemas.openxmlformats.org/officeDocument/2006/relationships" ref="E1394" r:id="rId4230"/>
    <hyperlink xmlns:r="http://schemas.openxmlformats.org/officeDocument/2006/relationships" ref="W1394" r:id="rId4231"/>
    <hyperlink xmlns:r="http://schemas.openxmlformats.org/officeDocument/2006/relationships" ref="E1395" r:id="rId4232"/>
    <hyperlink xmlns:r="http://schemas.openxmlformats.org/officeDocument/2006/relationships" ref="P1395" r:id="rId4233"/>
    <hyperlink xmlns:r="http://schemas.openxmlformats.org/officeDocument/2006/relationships" ref="Q1395" r:id="rId4234"/>
    <hyperlink xmlns:r="http://schemas.openxmlformats.org/officeDocument/2006/relationships" ref="R1395" r:id="rId4235"/>
    <hyperlink xmlns:r="http://schemas.openxmlformats.org/officeDocument/2006/relationships" ref="W1395" r:id="rId4236"/>
    <hyperlink xmlns:r="http://schemas.openxmlformats.org/officeDocument/2006/relationships" ref="E1396" r:id="rId4237"/>
    <hyperlink xmlns:r="http://schemas.openxmlformats.org/officeDocument/2006/relationships" ref="Q1396" r:id="rId4238"/>
    <hyperlink xmlns:r="http://schemas.openxmlformats.org/officeDocument/2006/relationships" ref="R1396" r:id="rId4239"/>
    <hyperlink xmlns:r="http://schemas.openxmlformats.org/officeDocument/2006/relationships" ref="W1396" r:id="rId4240"/>
    <hyperlink xmlns:r="http://schemas.openxmlformats.org/officeDocument/2006/relationships" ref="E1397" r:id="rId4241"/>
    <hyperlink xmlns:r="http://schemas.openxmlformats.org/officeDocument/2006/relationships" ref="W1397" r:id="rId4242"/>
    <hyperlink xmlns:r="http://schemas.openxmlformats.org/officeDocument/2006/relationships" ref="E1398" r:id="rId4243"/>
    <hyperlink xmlns:r="http://schemas.openxmlformats.org/officeDocument/2006/relationships" ref="W1398" r:id="rId4244"/>
    <hyperlink xmlns:r="http://schemas.openxmlformats.org/officeDocument/2006/relationships" ref="E1399" r:id="rId4245"/>
    <hyperlink xmlns:r="http://schemas.openxmlformats.org/officeDocument/2006/relationships" ref="W1399" r:id="rId4246"/>
    <hyperlink xmlns:r="http://schemas.openxmlformats.org/officeDocument/2006/relationships" ref="E1400" r:id="rId4247"/>
    <hyperlink xmlns:r="http://schemas.openxmlformats.org/officeDocument/2006/relationships" ref="R1400" r:id="rId4248"/>
    <hyperlink xmlns:r="http://schemas.openxmlformats.org/officeDocument/2006/relationships" ref="W1400" r:id="rId4249"/>
    <hyperlink xmlns:r="http://schemas.openxmlformats.org/officeDocument/2006/relationships" ref="E1401" r:id="rId4250"/>
    <hyperlink xmlns:r="http://schemas.openxmlformats.org/officeDocument/2006/relationships" ref="W1401" r:id="rId4251"/>
    <hyperlink xmlns:r="http://schemas.openxmlformats.org/officeDocument/2006/relationships" ref="E1402" r:id="rId4252"/>
    <hyperlink xmlns:r="http://schemas.openxmlformats.org/officeDocument/2006/relationships" ref="E1403" r:id="rId4253"/>
    <hyperlink xmlns:r="http://schemas.openxmlformats.org/officeDocument/2006/relationships" ref="D1404" r:id="rId4254"/>
    <hyperlink xmlns:r="http://schemas.openxmlformats.org/officeDocument/2006/relationships" ref="E1404" r:id="rId4255"/>
    <hyperlink xmlns:r="http://schemas.openxmlformats.org/officeDocument/2006/relationships" ref="W1404" r:id="rId4256"/>
    <hyperlink xmlns:r="http://schemas.openxmlformats.org/officeDocument/2006/relationships" ref="E1405" r:id="rId4257"/>
    <hyperlink xmlns:r="http://schemas.openxmlformats.org/officeDocument/2006/relationships" ref="W1405" r:id="rId4258"/>
    <hyperlink xmlns:r="http://schemas.openxmlformats.org/officeDocument/2006/relationships" ref="E1406" r:id="rId4259"/>
    <hyperlink xmlns:r="http://schemas.openxmlformats.org/officeDocument/2006/relationships" ref="W1406" r:id="rId4260"/>
    <hyperlink xmlns:r="http://schemas.openxmlformats.org/officeDocument/2006/relationships" ref="E1407" r:id="rId4261"/>
    <hyperlink xmlns:r="http://schemas.openxmlformats.org/officeDocument/2006/relationships" ref="W1407" r:id="rId4262"/>
    <hyperlink xmlns:r="http://schemas.openxmlformats.org/officeDocument/2006/relationships" ref="D1408" r:id="rId4263"/>
    <hyperlink xmlns:r="http://schemas.openxmlformats.org/officeDocument/2006/relationships" ref="E1408" r:id="rId4264"/>
    <hyperlink xmlns:r="http://schemas.openxmlformats.org/officeDocument/2006/relationships" ref="W1408" r:id="rId4265"/>
    <hyperlink xmlns:r="http://schemas.openxmlformats.org/officeDocument/2006/relationships" ref="E1409" r:id="rId4266"/>
    <hyperlink xmlns:r="http://schemas.openxmlformats.org/officeDocument/2006/relationships" ref="R1409" r:id="rId4267"/>
    <hyperlink xmlns:r="http://schemas.openxmlformats.org/officeDocument/2006/relationships" ref="W1409" r:id="rId4268"/>
    <hyperlink xmlns:r="http://schemas.openxmlformats.org/officeDocument/2006/relationships" ref="E1410" r:id="rId4269"/>
    <hyperlink xmlns:r="http://schemas.openxmlformats.org/officeDocument/2006/relationships" ref="R1410" r:id="rId4270"/>
    <hyperlink xmlns:r="http://schemas.openxmlformats.org/officeDocument/2006/relationships" ref="W1410" r:id="rId4271"/>
    <hyperlink xmlns:r="http://schemas.openxmlformats.org/officeDocument/2006/relationships" ref="E1411" r:id="rId4272"/>
    <hyperlink xmlns:r="http://schemas.openxmlformats.org/officeDocument/2006/relationships" ref="W1411" r:id="rId4273"/>
    <hyperlink xmlns:r="http://schemas.openxmlformats.org/officeDocument/2006/relationships" ref="E1412" r:id="rId4274"/>
    <hyperlink xmlns:r="http://schemas.openxmlformats.org/officeDocument/2006/relationships" ref="W1412" r:id="rId4275"/>
    <hyperlink xmlns:r="http://schemas.openxmlformats.org/officeDocument/2006/relationships" ref="E1413" r:id="rId4276"/>
    <hyperlink xmlns:r="http://schemas.openxmlformats.org/officeDocument/2006/relationships" ref="R1413" r:id="rId4277"/>
    <hyperlink xmlns:r="http://schemas.openxmlformats.org/officeDocument/2006/relationships" ref="W1413" r:id="rId4278"/>
    <hyperlink xmlns:r="http://schemas.openxmlformats.org/officeDocument/2006/relationships" ref="E1414" r:id="rId4279"/>
    <hyperlink xmlns:r="http://schemas.openxmlformats.org/officeDocument/2006/relationships" ref="P1414" r:id="rId4280"/>
    <hyperlink xmlns:r="http://schemas.openxmlformats.org/officeDocument/2006/relationships" ref="Q1414" r:id="rId4281"/>
    <hyperlink xmlns:r="http://schemas.openxmlformats.org/officeDocument/2006/relationships" ref="R1414" r:id="rId4282"/>
    <hyperlink xmlns:r="http://schemas.openxmlformats.org/officeDocument/2006/relationships" ref="W1414" r:id="rId4283"/>
    <hyperlink xmlns:r="http://schemas.openxmlformats.org/officeDocument/2006/relationships" ref="E1415" r:id="rId4284"/>
    <hyperlink xmlns:r="http://schemas.openxmlformats.org/officeDocument/2006/relationships" ref="R1415" r:id="rId4285"/>
    <hyperlink xmlns:r="http://schemas.openxmlformats.org/officeDocument/2006/relationships" ref="W1415" r:id="rId4286"/>
    <hyperlink xmlns:r="http://schemas.openxmlformats.org/officeDocument/2006/relationships" ref="E1416" r:id="rId4287"/>
    <hyperlink xmlns:r="http://schemas.openxmlformats.org/officeDocument/2006/relationships" ref="W1416" r:id="rId4288"/>
    <hyperlink xmlns:r="http://schemas.openxmlformats.org/officeDocument/2006/relationships" ref="E1417" r:id="rId4289"/>
    <hyperlink xmlns:r="http://schemas.openxmlformats.org/officeDocument/2006/relationships" ref="P1417" r:id="rId4290"/>
    <hyperlink xmlns:r="http://schemas.openxmlformats.org/officeDocument/2006/relationships" ref="Q1417" r:id="rId4291"/>
    <hyperlink xmlns:r="http://schemas.openxmlformats.org/officeDocument/2006/relationships" ref="R1417" r:id="rId4292"/>
    <hyperlink xmlns:r="http://schemas.openxmlformats.org/officeDocument/2006/relationships" ref="W1417" r:id="rId4293"/>
    <hyperlink xmlns:r="http://schemas.openxmlformats.org/officeDocument/2006/relationships" ref="E1418" r:id="rId4294"/>
    <hyperlink xmlns:r="http://schemas.openxmlformats.org/officeDocument/2006/relationships" ref="W1418" r:id="rId4295"/>
    <hyperlink xmlns:r="http://schemas.openxmlformats.org/officeDocument/2006/relationships" ref="E1419" r:id="rId4296"/>
    <hyperlink xmlns:r="http://schemas.openxmlformats.org/officeDocument/2006/relationships" ref="W1419" r:id="rId4297"/>
    <hyperlink xmlns:r="http://schemas.openxmlformats.org/officeDocument/2006/relationships" ref="E1420" r:id="rId4298"/>
    <hyperlink xmlns:r="http://schemas.openxmlformats.org/officeDocument/2006/relationships" ref="Q1420" r:id="rId4299"/>
    <hyperlink xmlns:r="http://schemas.openxmlformats.org/officeDocument/2006/relationships" ref="R1420" r:id="rId4300"/>
    <hyperlink xmlns:r="http://schemas.openxmlformats.org/officeDocument/2006/relationships" ref="W1420" r:id="rId4301"/>
    <hyperlink xmlns:r="http://schemas.openxmlformats.org/officeDocument/2006/relationships" ref="E1421" r:id="rId4302"/>
    <hyperlink xmlns:r="http://schemas.openxmlformats.org/officeDocument/2006/relationships" ref="P1421" r:id="rId4303"/>
    <hyperlink xmlns:r="http://schemas.openxmlformats.org/officeDocument/2006/relationships" ref="Q1421" r:id="rId4304"/>
    <hyperlink xmlns:r="http://schemas.openxmlformats.org/officeDocument/2006/relationships" ref="R1421" r:id="rId4305"/>
    <hyperlink xmlns:r="http://schemas.openxmlformats.org/officeDocument/2006/relationships" ref="W1421" r:id="rId4306"/>
    <hyperlink xmlns:r="http://schemas.openxmlformats.org/officeDocument/2006/relationships" ref="E1422" r:id="rId4307"/>
    <hyperlink xmlns:r="http://schemas.openxmlformats.org/officeDocument/2006/relationships" ref="R1422" r:id="rId4308"/>
    <hyperlink xmlns:r="http://schemas.openxmlformats.org/officeDocument/2006/relationships" ref="W1422" r:id="rId4309"/>
    <hyperlink xmlns:r="http://schemas.openxmlformats.org/officeDocument/2006/relationships" ref="E1423" r:id="rId4310"/>
    <hyperlink xmlns:r="http://schemas.openxmlformats.org/officeDocument/2006/relationships" ref="W1423" r:id="rId4311"/>
    <hyperlink xmlns:r="http://schemas.openxmlformats.org/officeDocument/2006/relationships" ref="E1424" r:id="rId4312"/>
    <hyperlink xmlns:r="http://schemas.openxmlformats.org/officeDocument/2006/relationships" ref="W1424" r:id="rId4313"/>
    <hyperlink xmlns:r="http://schemas.openxmlformats.org/officeDocument/2006/relationships" ref="E1425" r:id="rId4314"/>
    <hyperlink xmlns:r="http://schemas.openxmlformats.org/officeDocument/2006/relationships" ref="W1425" r:id="rId4315"/>
    <hyperlink xmlns:r="http://schemas.openxmlformats.org/officeDocument/2006/relationships" ref="E1426" r:id="rId4316"/>
    <hyperlink xmlns:r="http://schemas.openxmlformats.org/officeDocument/2006/relationships" ref="R1426" r:id="rId4317"/>
    <hyperlink xmlns:r="http://schemas.openxmlformats.org/officeDocument/2006/relationships" ref="W1426" r:id="rId4318"/>
    <hyperlink xmlns:r="http://schemas.openxmlformats.org/officeDocument/2006/relationships" ref="E1427" r:id="rId4319"/>
    <hyperlink xmlns:r="http://schemas.openxmlformats.org/officeDocument/2006/relationships" ref="W1427" r:id="rId4320"/>
    <hyperlink xmlns:r="http://schemas.openxmlformats.org/officeDocument/2006/relationships" ref="E1428" r:id="rId4321"/>
    <hyperlink xmlns:r="http://schemas.openxmlformats.org/officeDocument/2006/relationships" ref="P1428" r:id="rId4322"/>
    <hyperlink xmlns:r="http://schemas.openxmlformats.org/officeDocument/2006/relationships" ref="R1428" r:id="rId4323"/>
    <hyperlink xmlns:r="http://schemas.openxmlformats.org/officeDocument/2006/relationships" ref="W1428" r:id="rId4324"/>
    <hyperlink xmlns:r="http://schemas.openxmlformats.org/officeDocument/2006/relationships" ref="E1429" r:id="rId4325"/>
    <hyperlink xmlns:r="http://schemas.openxmlformats.org/officeDocument/2006/relationships" ref="W1429" r:id="rId4326"/>
    <hyperlink xmlns:r="http://schemas.openxmlformats.org/officeDocument/2006/relationships" ref="E1430" r:id="rId4327"/>
    <hyperlink xmlns:r="http://schemas.openxmlformats.org/officeDocument/2006/relationships" ref="W1430" r:id="rId4328"/>
    <hyperlink xmlns:r="http://schemas.openxmlformats.org/officeDocument/2006/relationships" ref="E1431" r:id="rId4329"/>
    <hyperlink xmlns:r="http://schemas.openxmlformats.org/officeDocument/2006/relationships" ref="P1431" r:id="rId4330"/>
    <hyperlink xmlns:r="http://schemas.openxmlformats.org/officeDocument/2006/relationships" ref="Q1431" r:id="rId4331"/>
    <hyperlink xmlns:r="http://schemas.openxmlformats.org/officeDocument/2006/relationships" ref="R1431" r:id="rId4332"/>
    <hyperlink xmlns:r="http://schemas.openxmlformats.org/officeDocument/2006/relationships" ref="W1431" r:id="rId4333"/>
    <hyperlink xmlns:r="http://schemas.openxmlformats.org/officeDocument/2006/relationships" ref="E1432" r:id="rId4334"/>
    <hyperlink xmlns:r="http://schemas.openxmlformats.org/officeDocument/2006/relationships" ref="P1432" r:id="rId4335"/>
    <hyperlink xmlns:r="http://schemas.openxmlformats.org/officeDocument/2006/relationships" ref="Q1432" r:id="rId4336"/>
    <hyperlink xmlns:r="http://schemas.openxmlformats.org/officeDocument/2006/relationships" ref="R1432" r:id="rId4337"/>
    <hyperlink xmlns:r="http://schemas.openxmlformats.org/officeDocument/2006/relationships" ref="W1432" r:id="rId4338"/>
    <hyperlink xmlns:r="http://schemas.openxmlformats.org/officeDocument/2006/relationships" ref="E1433" r:id="rId4339"/>
    <hyperlink xmlns:r="http://schemas.openxmlformats.org/officeDocument/2006/relationships" ref="W1433" r:id="rId4340"/>
    <hyperlink xmlns:r="http://schemas.openxmlformats.org/officeDocument/2006/relationships" ref="E1434" r:id="rId4341"/>
    <hyperlink xmlns:r="http://schemas.openxmlformats.org/officeDocument/2006/relationships" ref="W1434" r:id="rId4342"/>
    <hyperlink xmlns:r="http://schemas.openxmlformats.org/officeDocument/2006/relationships" ref="D1435" r:id="rId4343"/>
    <hyperlink xmlns:r="http://schemas.openxmlformats.org/officeDocument/2006/relationships" ref="E1435" r:id="rId4344"/>
    <hyperlink xmlns:r="http://schemas.openxmlformats.org/officeDocument/2006/relationships" ref="W1435" r:id="rId4345"/>
    <hyperlink xmlns:r="http://schemas.openxmlformats.org/officeDocument/2006/relationships" ref="D1436" r:id="rId4346"/>
    <hyperlink xmlns:r="http://schemas.openxmlformats.org/officeDocument/2006/relationships" ref="P1436" r:id="rId4347"/>
    <hyperlink xmlns:r="http://schemas.openxmlformats.org/officeDocument/2006/relationships" ref="R1436" r:id="rId4348"/>
    <hyperlink xmlns:r="http://schemas.openxmlformats.org/officeDocument/2006/relationships" ref="S1436" r:id="rId4349"/>
    <hyperlink xmlns:r="http://schemas.openxmlformats.org/officeDocument/2006/relationships" ref="E1437" r:id="rId4350"/>
    <hyperlink xmlns:r="http://schemas.openxmlformats.org/officeDocument/2006/relationships" ref="P1437" r:id="rId4351"/>
    <hyperlink xmlns:r="http://schemas.openxmlformats.org/officeDocument/2006/relationships" ref="Q1437" r:id="rId4352"/>
    <hyperlink xmlns:r="http://schemas.openxmlformats.org/officeDocument/2006/relationships" ref="R1437" r:id="rId4353"/>
    <hyperlink xmlns:r="http://schemas.openxmlformats.org/officeDocument/2006/relationships" ref="W1437" r:id="rId4354"/>
    <hyperlink xmlns:r="http://schemas.openxmlformats.org/officeDocument/2006/relationships" ref="E1438" r:id="rId4355"/>
    <hyperlink xmlns:r="http://schemas.openxmlformats.org/officeDocument/2006/relationships" ref="P1438" r:id="rId4356"/>
    <hyperlink xmlns:r="http://schemas.openxmlformats.org/officeDocument/2006/relationships" ref="R1438" r:id="rId4357"/>
    <hyperlink xmlns:r="http://schemas.openxmlformats.org/officeDocument/2006/relationships" ref="W1438" r:id="rId4358"/>
    <hyperlink xmlns:r="http://schemas.openxmlformats.org/officeDocument/2006/relationships" ref="E1439" r:id="rId4359"/>
    <hyperlink xmlns:r="http://schemas.openxmlformats.org/officeDocument/2006/relationships" ref="P1439" r:id="rId4360"/>
    <hyperlink xmlns:r="http://schemas.openxmlformats.org/officeDocument/2006/relationships" ref="Q1439" r:id="rId4361"/>
    <hyperlink xmlns:r="http://schemas.openxmlformats.org/officeDocument/2006/relationships" ref="R1439" r:id="rId4362"/>
    <hyperlink xmlns:r="http://schemas.openxmlformats.org/officeDocument/2006/relationships" ref="W1439" r:id="rId4363"/>
    <hyperlink xmlns:r="http://schemas.openxmlformats.org/officeDocument/2006/relationships" ref="E1440" r:id="rId4364"/>
    <hyperlink xmlns:r="http://schemas.openxmlformats.org/officeDocument/2006/relationships" ref="W1440" r:id="rId4365"/>
    <hyperlink xmlns:r="http://schemas.openxmlformats.org/officeDocument/2006/relationships" ref="E1441" r:id="rId4366"/>
    <hyperlink xmlns:r="http://schemas.openxmlformats.org/officeDocument/2006/relationships" ref="W1441" r:id="rId4367"/>
    <hyperlink xmlns:r="http://schemas.openxmlformats.org/officeDocument/2006/relationships" ref="E1442" r:id="rId4368"/>
    <hyperlink xmlns:r="http://schemas.openxmlformats.org/officeDocument/2006/relationships" ref="W1442" r:id="rId4369"/>
    <hyperlink xmlns:r="http://schemas.openxmlformats.org/officeDocument/2006/relationships" ref="E1443" r:id="rId4370"/>
    <hyperlink xmlns:r="http://schemas.openxmlformats.org/officeDocument/2006/relationships" ref="W1443" r:id="rId4371"/>
    <hyperlink xmlns:r="http://schemas.openxmlformats.org/officeDocument/2006/relationships" ref="E1444" r:id="rId4372"/>
    <hyperlink xmlns:r="http://schemas.openxmlformats.org/officeDocument/2006/relationships" ref="R1444" r:id="rId4373"/>
    <hyperlink xmlns:r="http://schemas.openxmlformats.org/officeDocument/2006/relationships" ref="W1444" r:id="rId4374"/>
    <hyperlink xmlns:r="http://schemas.openxmlformats.org/officeDocument/2006/relationships" ref="E1445" r:id="rId4375"/>
    <hyperlink xmlns:r="http://schemas.openxmlformats.org/officeDocument/2006/relationships" ref="W1445" r:id="rId4376"/>
    <hyperlink xmlns:r="http://schemas.openxmlformats.org/officeDocument/2006/relationships" ref="E1446" r:id="rId4377"/>
    <hyperlink xmlns:r="http://schemas.openxmlformats.org/officeDocument/2006/relationships" ref="Q1446" r:id="rId4378"/>
    <hyperlink xmlns:r="http://schemas.openxmlformats.org/officeDocument/2006/relationships" ref="R1446" r:id="rId4379"/>
    <hyperlink xmlns:r="http://schemas.openxmlformats.org/officeDocument/2006/relationships" ref="W1446" r:id="rId4380"/>
    <hyperlink xmlns:r="http://schemas.openxmlformats.org/officeDocument/2006/relationships" ref="E1447" r:id="rId4381"/>
    <hyperlink xmlns:r="http://schemas.openxmlformats.org/officeDocument/2006/relationships" ref="W1447" r:id="rId4382"/>
    <hyperlink xmlns:r="http://schemas.openxmlformats.org/officeDocument/2006/relationships" ref="E1448" r:id="rId4383"/>
    <hyperlink xmlns:r="http://schemas.openxmlformats.org/officeDocument/2006/relationships" ref="W1448" r:id="rId4384"/>
    <hyperlink xmlns:r="http://schemas.openxmlformats.org/officeDocument/2006/relationships" ref="E1449" r:id="rId4385"/>
    <hyperlink xmlns:r="http://schemas.openxmlformats.org/officeDocument/2006/relationships" ref="R1449" r:id="rId4386"/>
    <hyperlink xmlns:r="http://schemas.openxmlformats.org/officeDocument/2006/relationships" ref="W1449" r:id="rId4387"/>
    <hyperlink xmlns:r="http://schemas.openxmlformats.org/officeDocument/2006/relationships" ref="E1450" r:id="rId4388"/>
    <hyperlink xmlns:r="http://schemas.openxmlformats.org/officeDocument/2006/relationships" ref="R1450" r:id="rId4389"/>
    <hyperlink xmlns:r="http://schemas.openxmlformats.org/officeDocument/2006/relationships" ref="W1450" r:id="rId4390"/>
    <hyperlink xmlns:r="http://schemas.openxmlformats.org/officeDocument/2006/relationships" ref="E1451" r:id="rId4391"/>
    <hyperlink xmlns:r="http://schemas.openxmlformats.org/officeDocument/2006/relationships" ref="W1451" r:id="rId4392"/>
    <hyperlink xmlns:r="http://schemas.openxmlformats.org/officeDocument/2006/relationships" ref="E1452" r:id="rId4393"/>
    <hyperlink xmlns:r="http://schemas.openxmlformats.org/officeDocument/2006/relationships" ref="W1452" r:id="rId4394"/>
    <hyperlink xmlns:r="http://schemas.openxmlformats.org/officeDocument/2006/relationships" ref="E1453" r:id="rId4395"/>
    <hyperlink xmlns:r="http://schemas.openxmlformats.org/officeDocument/2006/relationships" ref="W1453" r:id="rId4396"/>
    <hyperlink xmlns:r="http://schemas.openxmlformats.org/officeDocument/2006/relationships" ref="E1454" r:id="rId4397"/>
    <hyperlink xmlns:r="http://schemas.openxmlformats.org/officeDocument/2006/relationships" ref="P1454" r:id="rId4398"/>
    <hyperlink xmlns:r="http://schemas.openxmlformats.org/officeDocument/2006/relationships" ref="Q1454" r:id="rId4399"/>
    <hyperlink xmlns:r="http://schemas.openxmlformats.org/officeDocument/2006/relationships" ref="R1454" r:id="rId4400"/>
    <hyperlink xmlns:r="http://schemas.openxmlformats.org/officeDocument/2006/relationships" ref="W1454" r:id="rId4401"/>
    <hyperlink xmlns:r="http://schemas.openxmlformats.org/officeDocument/2006/relationships" ref="E1455" r:id="rId4402"/>
    <hyperlink xmlns:r="http://schemas.openxmlformats.org/officeDocument/2006/relationships" ref="R1455" r:id="rId4403"/>
    <hyperlink xmlns:r="http://schemas.openxmlformats.org/officeDocument/2006/relationships" ref="W1455" r:id="rId4404"/>
    <hyperlink xmlns:r="http://schemas.openxmlformats.org/officeDocument/2006/relationships" ref="E1456" r:id="rId4405"/>
    <hyperlink xmlns:r="http://schemas.openxmlformats.org/officeDocument/2006/relationships" ref="W1456" r:id="rId4406"/>
    <hyperlink xmlns:r="http://schemas.openxmlformats.org/officeDocument/2006/relationships" ref="E1457" r:id="rId4407"/>
    <hyperlink xmlns:r="http://schemas.openxmlformats.org/officeDocument/2006/relationships" ref="W1457" r:id="rId4408"/>
    <hyperlink xmlns:r="http://schemas.openxmlformats.org/officeDocument/2006/relationships" ref="E1458" r:id="rId4409"/>
    <hyperlink xmlns:r="http://schemas.openxmlformats.org/officeDocument/2006/relationships" ref="R1458" r:id="rId4410"/>
    <hyperlink xmlns:r="http://schemas.openxmlformats.org/officeDocument/2006/relationships" ref="W1458" r:id="rId4411"/>
    <hyperlink xmlns:r="http://schemas.openxmlformats.org/officeDocument/2006/relationships" ref="E1459" r:id="rId4412"/>
    <hyperlink xmlns:r="http://schemas.openxmlformats.org/officeDocument/2006/relationships" ref="W1459" r:id="rId4413"/>
    <hyperlink xmlns:r="http://schemas.openxmlformats.org/officeDocument/2006/relationships" ref="E1460" r:id="rId4414"/>
    <hyperlink xmlns:r="http://schemas.openxmlformats.org/officeDocument/2006/relationships" ref="W1460" r:id="rId4415"/>
    <hyperlink xmlns:r="http://schemas.openxmlformats.org/officeDocument/2006/relationships" ref="E1461" r:id="rId4416"/>
    <hyperlink xmlns:r="http://schemas.openxmlformats.org/officeDocument/2006/relationships" ref="P1461" r:id="rId4417"/>
    <hyperlink xmlns:r="http://schemas.openxmlformats.org/officeDocument/2006/relationships" ref="Q1461" r:id="rId4418"/>
    <hyperlink xmlns:r="http://schemas.openxmlformats.org/officeDocument/2006/relationships" ref="R1461" r:id="rId4419"/>
    <hyperlink xmlns:r="http://schemas.openxmlformats.org/officeDocument/2006/relationships" ref="W1461" r:id="rId4420"/>
    <hyperlink xmlns:r="http://schemas.openxmlformats.org/officeDocument/2006/relationships" ref="E1462" r:id="rId4421"/>
    <hyperlink xmlns:r="http://schemas.openxmlformats.org/officeDocument/2006/relationships" ref="W1462" r:id="rId4422"/>
    <hyperlink xmlns:r="http://schemas.openxmlformats.org/officeDocument/2006/relationships" ref="E1463" r:id="rId4423"/>
    <hyperlink xmlns:r="http://schemas.openxmlformats.org/officeDocument/2006/relationships" ref="P1463" r:id="rId4424"/>
    <hyperlink xmlns:r="http://schemas.openxmlformats.org/officeDocument/2006/relationships" ref="Q1463" r:id="rId4425"/>
    <hyperlink xmlns:r="http://schemas.openxmlformats.org/officeDocument/2006/relationships" ref="R1463" r:id="rId4426"/>
    <hyperlink xmlns:r="http://schemas.openxmlformats.org/officeDocument/2006/relationships" ref="W1463" r:id="rId4427"/>
    <hyperlink xmlns:r="http://schemas.openxmlformats.org/officeDocument/2006/relationships" ref="E1464" r:id="rId4428"/>
    <hyperlink xmlns:r="http://schemas.openxmlformats.org/officeDocument/2006/relationships" ref="Q1464" r:id="rId4429"/>
    <hyperlink xmlns:r="http://schemas.openxmlformats.org/officeDocument/2006/relationships" ref="R1464" r:id="rId4430"/>
    <hyperlink xmlns:r="http://schemas.openxmlformats.org/officeDocument/2006/relationships" ref="W1464" r:id="rId4431"/>
    <hyperlink xmlns:r="http://schemas.openxmlformats.org/officeDocument/2006/relationships" ref="E1465" r:id="rId4432"/>
    <hyperlink xmlns:r="http://schemas.openxmlformats.org/officeDocument/2006/relationships" ref="W1465" r:id="rId4433"/>
    <hyperlink xmlns:r="http://schemas.openxmlformats.org/officeDocument/2006/relationships" ref="E1466" r:id="rId4434"/>
    <hyperlink xmlns:r="http://schemas.openxmlformats.org/officeDocument/2006/relationships" ref="P1466" r:id="rId4435"/>
    <hyperlink xmlns:r="http://schemas.openxmlformats.org/officeDocument/2006/relationships" ref="R1466" r:id="rId4436"/>
    <hyperlink xmlns:r="http://schemas.openxmlformats.org/officeDocument/2006/relationships" ref="E1467" r:id="rId4437"/>
    <hyperlink xmlns:r="http://schemas.openxmlformats.org/officeDocument/2006/relationships" ref="W1467" r:id="rId4438"/>
    <hyperlink xmlns:r="http://schemas.openxmlformats.org/officeDocument/2006/relationships" ref="E1468" r:id="rId4439"/>
    <hyperlink xmlns:r="http://schemas.openxmlformats.org/officeDocument/2006/relationships" ref="R1468" r:id="rId4440"/>
    <hyperlink xmlns:r="http://schemas.openxmlformats.org/officeDocument/2006/relationships" ref="W1468" r:id="rId4441"/>
    <hyperlink xmlns:r="http://schemas.openxmlformats.org/officeDocument/2006/relationships" ref="E1469" r:id="rId4442"/>
    <hyperlink xmlns:r="http://schemas.openxmlformats.org/officeDocument/2006/relationships" ref="Q1469" r:id="rId4443"/>
    <hyperlink xmlns:r="http://schemas.openxmlformats.org/officeDocument/2006/relationships" ref="R1469" r:id="rId4444"/>
    <hyperlink xmlns:r="http://schemas.openxmlformats.org/officeDocument/2006/relationships" ref="W1469" r:id="rId4445"/>
    <hyperlink xmlns:r="http://schemas.openxmlformats.org/officeDocument/2006/relationships" ref="E1470" r:id="rId4446"/>
    <hyperlink xmlns:r="http://schemas.openxmlformats.org/officeDocument/2006/relationships" ref="R1470" r:id="rId4447"/>
    <hyperlink xmlns:r="http://schemas.openxmlformats.org/officeDocument/2006/relationships" ref="W1470" r:id="rId4448"/>
    <hyperlink xmlns:r="http://schemas.openxmlformats.org/officeDocument/2006/relationships" ref="E1471" r:id="rId4449"/>
    <hyperlink xmlns:r="http://schemas.openxmlformats.org/officeDocument/2006/relationships" ref="W1471" r:id="rId4450"/>
    <hyperlink xmlns:r="http://schemas.openxmlformats.org/officeDocument/2006/relationships" ref="E1472" r:id="rId4451"/>
    <hyperlink xmlns:r="http://schemas.openxmlformats.org/officeDocument/2006/relationships" ref="P1472" r:id="rId4452"/>
    <hyperlink xmlns:r="http://schemas.openxmlformats.org/officeDocument/2006/relationships" ref="Q1472" r:id="rId4453"/>
    <hyperlink xmlns:r="http://schemas.openxmlformats.org/officeDocument/2006/relationships" ref="R1472" r:id="rId4454"/>
    <hyperlink xmlns:r="http://schemas.openxmlformats.org/officeDocument/2006/relationships" ref="W1472" r:id="rId4455"/>
    <hyperlink xmlns:r="http://schemas.openxmlformats.org/officeDocument/2006/relationships" ref="E1473" r:id="rId4456"/>
    <hyperlink xmlns:r="http://schemas.openxmlformats.org/officeDocument/2006/relationships" ref="P1473" r:id="rId4457"/>
    <hyperlink xmlns:r="http://schemas.openxmlformats.org/officeDocument/2006/relationships" ref="R1473" r:id="rId4458"/>
    <hyperlink xmlns:r="http://schemas.openxmlformats.org/officeDocument/2006/relationships" ref="W1473" r:id="rId4459"/>
    <hyperlink xmlns:r="http://schemas.openxmlformats.org/officeDocument/2006/relationships" ref="E1474" r:id="rId4460"/>
    <hyperlink xmlns:r="http://schemas.openxmlformats.org/officeDocument/2006/relationships" ref="W1474" r:id="rId4461"/>
    <hyperlink xmlns:r="http://schemas.openxmlformats.org/officeDocument/2006/relationships" ref="E1475" r:id="rId4462"/>
    <hyperlink xmlns:r="http://schemas.openxmlformats.org/officeDocument/2006/relationships" ref="R1475" r:id="rId4463"/>
    <hyperlink xmlns:r="http://schemas.openxmlformats.org/officeDocument/2006/relationships" ref="W1475" r:id="rId4464"/>
    <hyperlink xmlns:r="http://schemas.openxmlformats.org/officeDocument/2006/relationships" ref="E1476" r:id="rId4465"/>
    <hyperlink xmlns:r="http://schemas.openxmlformats.org/officeDocument/2006/relationships" ref="R1476" r:id="rId4466"/>
    <hyperlink xmlns:r="http://schemas.openxmlformats.org/officeDocument/2006/relationships" ref="W1476" r:id="rId4467"/>
    <hyperlink xmlns:r="http://schemas.openxmlformats.org/officeDocument/2006/relationships" ref="E1477" r:id="rId4468"/>
    <hyperlink xmlns:r="http://schemas.openxmlformats.org/officeDocument/2006/relationships" ref="P1477" r:id="rId4469"/>
    <hyperlink xmlns:r="http://schemas.openxmlformats.org/officeDocument/2006/relationships" ref="Q1477" r:id="rId4470"/>
    <hyperlink xmlns:r="http://schemas.openxmlformats.org/officeDocument/2006/relationships" ref="R1477" r:id="rId4471"/>
    <hyperlink xmlns:r="http://schemas.openxmlformats.org/officeDocument/2006/relationships" ref="W1477" r:id="rId4472"/>
    <hyperlink xmlns:r="http://schemas.openxmlformats.org/officeDocument/2006/relationships" ref="E1478" r:id="rId4473"/>
    <hyperlink xmlns:r="http://schemas.openxmlformats.org/officeDocument/2006/relationships" ref="W1478" r:id="rId4474"/>
    <hyperlink xmlns:r="http://schemas.openxmlformats.org/officeDocument/2006/relationships" ref="E1479" r:id="rId4475"/>
    <hyperlink xmlns:r="http://schemas.openxmlformats.org/officeDocument/2006/relationships" ref="P1479" r:id="rId4476"/>
    <hyperlink xmlns:r="http://schemas.openxmlformats.org/officeDocument/2006/relationships" ref="R1479" r:id="rId4477"/>
    <hyperlink xmlns:r="http://schemas.openxmlformats.org/officeDocument/2006/relationships" ref="W1479" r:id="rId4478"/>
    <hyperlink xmlns:r="http://schemas.openxmlformats.org/officeDocument/2006/relationships" ref="E1480" r:id="rId4479"/>
    <hyperlink xmlns:r="http://schemas.openxmlformats.org/officeDocument/2006/relationships" ref="Q1480" r:id="rId4480"/>
    <hyperlink xmlns:r="http://schemas.openxmlformats.org/officeDocument/2006/relationships" ref="R1480" r:id="rId4481"/>
    <hyperlink xmlns:r="http://schemas.openxmlformats.org/officeDocument/2006/relationships" ref="W1480" r:id="rId4482"/>
    <hyperlink xmlns:r="http://schemas.openxmlformats.org/officeDocument/2006/relationships" ref="E1481" r:id="rId4483"/>
    <hyperlink xmlns:r="http://schemas.openxmlformats.org/officeDocument/2006/relationships" ref="P1481" r:id="rId4484"/>
    <hyperlink xmlns:r="http://schemas.openxmlformats.org/officeDocument/2006/relationships" ref="R1481" r:id="rId4485"/>
    <hyperlink xmlns:r="http://schemas.openxmlformats.org/officeDocument/2006/relationships" ref="W1481" r:id="rId4486"/>
    <hyperlink xmlns:r="http://schemas.openxmlformats.org/officeDocument/2006/relationships" ref="E1482" r:id="rId4487"/>
    <hyperlink xmlns:r="http://schemas.openxmlformats.org/officeDocument/2006/relationships" ref="W1482" r:id="rId4488"/>
    <hyperlink xmlns:r="http://schemas.openxmlformats.org/officeDocument/2006/relationships" ref="E1483" r:id="rId4489"/>
    <hyperlink xmlns:r="http://schemas.openxmlformats.org/officeDocument/2006/relationships" ref="W1483" r:id="rId4490"/>
    <hyperlink xmlns:r="http://schemas.openxmlformats.org/officeDocument/2006/relationships" ref="E1484" r:id="rId4491"/>
    <hyperlink xmlns:r="http://schemas.openxmlformats.org/officeDocument/2006/relationships" ref="R1484" r:id="rId4492"/>
    <hyperlink xmlns:r="http://schemas.openxmlformats.org/officeDocument/2006/relationships" ref="W1484" r:id="rId4493"/>
    <hyperlink xmlns:r="http://schemas.openxmlformats.org/officeDocument/2006/relationships" ref="E1485" r:id="rId4494"/>
    <hyperlink xmlns:r="http://schemas.openxmlformats.org/officeDocument/2006/relationships" ref="W1485" r:id="rId4495"/>
    <hyperlink xmlns:r="http://schemas.openxmlformats.org/officeDocument/2006/relationships" ref="E1486" r:id="rId4496"/>
    <hyperlink xmlns:r="http://schemas.openxmlformats.org/officeDocument/2006/relationships" ref="W1486" r:id="rId4497"/>
    <hyperlink xmlns:r="http://schemas.openxmlformats.org/officeDocument/2006/relationships" ref="E1487" r:id="rId4498"/>
    <hyperlink xmlns:r="http://schemas.openxmlformats.org/officeDocument/2006/relationships" ref="W1487" r:id="rId4499"/>
    <hyperlink xmlns:r="http://schemas.openxmlformats.org/officeDocument/2006/relationships" ref="E1488" r:id="rId4500"/>
    <hyperlink xmlns:r="http://schemas.openxmlformats.org/officeDocument/2006/relationships" ref="W1488" r:id="rId4501"/>
    <hyperlink xmlns:r="http://schemas.openxmlformats.org/officeDocument/2006/relationships" ref="E1489" r:id="rId4502"/>
    <hyperlink xmlns:r="http://schemas.openxmlformats.org/officeDocument/2006/relationships" ref="W1489" r:id="rId4503"/>
    <hyperlink xmlns:r="http://schemas.openxmlformats.org/officeDocument/2006/relationships" ref="E1490" r:id="rId4504"/>
    <hyperlink xmlns:r="http://schemas.openxmlformats.org/officeDocument/2006/relationships" ref="R1490" r:id="rId4505"/>
    <hyperlink xmlns:r="http://schemas.openxmlformats.org/officeDocument/2006/relationships" ref="W1490" r:id="rId4506"/>
    <hyperlink xmlns:r="http://schemas.openxmlformats.org/officeDocument/2006/relationships" ref="E1491" r:id="rId4507"/>
    <hyperlink xmlns:r="http://schemas.openxmlformats.org/officeDocument/2006/relationships" ref="Q1491" r:id="rId4508"/>
    <hyperlink xmlns:r="http://schemas.openxmlformats.org/officeDocument/2006/relationships" ref="R1491" r:id="rId4509"/>
    <hyperlink xmlns:r="http://schemas.openxmlformats.org/officeDocument/2006/relationships" ref="W1491" r:id="rId4510"/>
    <hyperlink xmlns:r="http://schemas.openxmlformats.org/officeDocument/2006/relationships" ref="E1492" r:id="rId4511"/>
    <hyperlink xmlns:r="http://schemas.openxmlformats.org/officeDocument/2006/relationships" ref="W1492" r:id="rId4512"/>
    <hyperlink xmlns:r="http://schemas.openxmlformats.org/officeDocument/2006/relationships" ref="E1493" r:id="rId4513"/>
    <hyperlink xmlns:r="http://schemas.openxmlformats.org/officeDocument/2006/relationships" ref="W1493" r:id="rId4514"/>
    <hyperlink xmlns:r="http://schemas.openxmlformats.org/officeDocument/2006/relationships" ref="E1494" r:id="rId4515"/>
    <hyperlink xmlns:r="http://schemas.openxmlformats.org/officeDocument/2006/relationships" ref="P1494" r:id="rId4516"/>
    <hyperlink xmlns:r="http://schemas.openxmlformats.org/officeDocument/2006/relationships" ref="R1494" r:id="rId4517"/>
    <hyperlink xmlns:r="http://schemas.openxmlformats.org/officeDocument/2006/relationships" ref="W1494" r:id="rId4518"/>
    <hyperlink xmlns:r="http://schemas.openxmlformats.org/officeDocument/2006/relationships" ref="E1495" r:id="rId4519"/>
    <hyperlink xmlns:r="http://schemas.openxmlformats.org/officeDocument/2006/relationships" ref="W1495" r:id="rId4520"/>
    <hyperlink xmlns:r="http://schemas.openxmlformats.org/officeDocument/2006/relationships" ref="E1496" r:id="rId4521"/>
    <hyperlink xmlns:r="http://schemas.openxmlformats.org/officeDocument/2006/relationships" ref="W1496" r:id="rId4522"/>
    <hyperlink xmlns:r="http://schemas.openxmlformats.org/officeDocument/2006/relationships" ref="E1497" r:id="rId4523"/>
    <hyperlink xmlns:r="http://schemas.openxmlformats.org/officeDocument/2006/relationships" ref="R1497" r:id="rId4524"/>
    <hyperlink xmlns:r="http://schemas.openxmlformats.org/officeDocument/2006/relationships" ref="W1497" r:id="rId4525"/>
    <hyperlink xmlns:r="http://schemas.openxmlformats.org/officeDocument/2006/relationships" ref="R1498" r:id="rId4526"/>
    <hyperlink xmlns:r="http://schemas.openxmlformats.org/officeDocument/2006/relationships" ref="W1498" r:id="rId4527"/>
    <hyperlink xmlns:r="http://schemas.openxmlformats.org/officeDocument/2006/relationships" ref="E1499" r:id="rId4528"/>
    <hyperlink xmlns:r="http://schemas.openxmlformats.org/officeDocument/2006/relationships" ref="Q1499" r:id="rId4529"/>
    <hyperlink xmlns:r="http://schemas.openxmlformats.org/officeDocument/2006/relationships" ref="R1499" r:id="rId4530"/>
    <hyperlink xmlns:r="http://schemas.openxmlformats.org/officeDocument/2006/relationships" ref="W1499" r:id="rId4531"/>
    <hyperlink xmlns:r="http://schemas.openxmlformats.org/officeDocument/2006/relationships" ref="E1500" r:id="rId4532"/>
    <hyperlink xmlns:r="http://schemas.openxmlformats.org/officeDocument/2006/relationships" ref="W1500" r:id="rId4533"/>
    <hyperlink xmlns:r="http://schemas.openxmlformats.org/officeDocument/2006/relationships" ref="E1501" r:id="rId4534"/>
    <hyperlink xmlns:r="http://schemas.openxmlformats.org/officeDocument/2006/relationships" ref="E1502" r:id="rId4535"/>
    <hyperlink xmlns:r="http://schemas.openxmlformats.org/officeDocument/2006/relationships" ref="R1502" r:id="rId4536"/>
    <hyperlink xmlns:r="http://schemas.openxmlformats.org/officeDocument/2006/relationships" ref="W1502" r:id="rId4537"/>
    <hyperlink xmlns:r="http://schemas.openxmlformats.org/officeDocument/2006/relationships" ref="E1503" r:id="rId4538"/>
    <hyperlink xmlns:r="http://schemas.openxmlformats.org/officeDocument/2006/relationships" ref="R1503" r:id="rId4539"/>
    <hyperlink xmlns:r="http://schemas.openxmlformats.org/officeDocument/2006/relationships" ref="W1503" r:id="rId4540"/>
    <hyperlink xmlns:r="http://schemas.openxmlformats.org/officeDocument/2006/relationships" ref="E1504" r:id="rId4541"/>
    <hyperlink xmlns:r="http://schemas.openxmlformats.org/officeDocument/2006/relationships" ref="W1504" r:id="rId4542"/>
    <hyperlink xmlns:r="http://schemas.openxmlformats.org/officeDocument/2006/relationships" ref="E1505" r:id="rId4543"/>
    <hyperlink xmlns:r="http://schemas.openxmlformats.org/officeDocument/2006/relationships" ref="R1505" r:id="rId4544"/>
    <hyperlink xmlns:r="http://schemas.openxmlformats.org/officeDocument/2006/relationships" ref="W1505" r:id="rId4545"/>
    <hyperlink xmlns:r="http://schemas.openxmlformats.org/officeDocument/2006/relationships" ref="E1506" r:id="rId4546"/>
    <hyperlink xmlns:r="http://schemas.openxmlformats.org/officeDocument/2006/relationships" ref="W1506" r:id="rId4547"/>
    <hyperlink xmlns:r="http://schemas.openxmlformats.org/officeDocument/2006/relationships" ref="E1507" r:id="rId4548"/>
    <hyperlink xmlns:r="http://schemas.openxmlformats.org/officeDocument/2006/relationships" ref="R1507" r:id="rId4549"/>
    <hyperlink xmlns:r="http://schemas.openxmlformats.org/officeDocument/2006/relationships" ref="W1507" r:id="rId4550"/>
    <hyperlink xmlns:r="http://schemas.openxmlformats.org/officeDocument/2006/relationships" ref="E1508" r:id="rId4551"/>
    <hyperlink xmlns:r="http://schemas.openxmlformats.org/officeDocument/2006/relationships" ref="W1508" r:id="rId4552"/>
    <hyperlink xmlns:r="http://schemas.openxmlformats.org/officeDocument/2006/relationships" ref="E1509" r:id="rId4553"/>
    <hyperlink xmlns:r="http://schemas.openxmlformats.org/officeDocument/2006/relationships" ref="W1509" r:id="rId4554"/>
    <hyperlink xmlns:r="http://schemas.openxmlformats.org/officeDocument/2006/relationships" ref="E1510" r:id="rId4555"/>
    <hyperlink xmlns:r="http://schemas.openxmlformats.org/officeDocument/2006/relationships" ref="Q1510" r:id="rId4556"/>
    <hyperlink xmlns:r="http://schemas.openxmlformats.org/officeDocument/2006/relationships" ref="R1510" r:id="rId4557"/>
    <hyperlink xmlns:r="http://schemas.openxmlformats.org/officeDocument/2006/relationships" ref="W1510" r:id="rId4558"/>
    <hyperlink xmlns:r="http://schemas.openxmlformats.org/officeDocument/2006/relationships" ref="E1511" r:id="rId4559"/>
    <hyperlink xmlns:r="http://schemas.openxmlformats.org/officeDocument/2006/relationships" ref="R1511" r:id="rId4560"/>
    <hyperlink xmlns:r="http://schemas.openxmlformats.org/officeDocument/2006/relationships" ref="W1511" r:id="rId4561"/>
    <hyperlink xmlns:r="http://schemas.openxmlformats.org/officeDocument/2006/relationships" ref="E1512" r:id="rId4562"/>
    <hyperlink xmlns:r="http://schemas.openxmlformats.org/officeDocument/2006/relationships" ref="P1512" r:id="rId4563"/>
    <hyperlink xmlns:r="http://schemas.openxmlformats.org/officeDocument/2006/relationships" ref="R1512" r:id="rId4564"/>
    <hyperlink xmlns:r="http://schemas.openxmlformats.org/officeDocument/2006/relationships" ref="W1512" r:id="rId4565"/>
    <hyperlink xmlns:r="http://schemas.openxmlformats.org/officeDocument/2006/relationships" ref="E1513" r:id="rId4566"/>
    <hyperlink xmlns:r="http://schemas.openxmlformats.org/officeDocument/2006/relationships" ref="W1513" r:id="rId4567"/>
    <hyperlink xmlns:r="http://schemas.openxmlformats.org/officeDocument/2006/relationships" ref="E1514" r:id="rId4568"/>
    <hyperlink xmlns:r="http://schemas.openxmlformats.org/officeDocument/2006/relationships" ref="W1514" r:id="rId4569"/>
    <hyperlink xmlns:r="http://schemas.openxmlformats.org/officeDocument/2006/relationships" ref="E1515" r:id="rId4570"/>
    <hyperlink xmlns:r="http://schemas.openxmlformats.org/officeDocument/2006/relationships" ref="R1515" r:id="rId4571"/>
    <hyperlink xmlns:r="http://schemas.openxmlformats.org/officeDocument/2006/relationships" ref="W1515" r:id="rId4572"/>
    <hyperlink xmlns:r="http://schemas.openxmlformats.org/officeDocument/2006/relationships" ref="E1516" r:id="rId4573"/>
    <hyperlink xmlns:r="http://schemas.openxmlformats.org/officeDocument/2006/relationships" ref="W1516" r:id="rId4574"/>
    <hyperlink xmlns:r="http://schemas.openxmlformats.org/officeDocument/2006/relationships" ref="E1517" r:id="rId4575"/>
    <hyperlink xmlns:r="http://schemas.openxmlformats.org/officeDocument/2006/relationships" ref="W1517" r:id="rId4576"/>
    <hyperlink xmlns:r="http://schemas.openxmlformats.org/officeDocument/2006/relationships" ref="E1518" r:id="rId4577"/>
    <hyperlink xmlns:r="http://schemas.openxmlformats.org/officeDocument/2006/relationships" ref="W1518" r:id="rId4578"/>
    <hyperlink xmlns:r="http://schemas.openxmlformats.org/officeDocument/2006/relationships" ref="E1519" r:id="rId4579"/>
    <hyperlink xmlns:r="http://schemas.openxmlformats.org/officeDocument/2006/relationships" ref="R1519" r:id="rId4580"/>
    <hyperlink xmlns:r="http://schemas.openxmlformats.org/officeDocument/2006/relationships" ref="W1519" r:id="rId4581"/>
    <hyperlink xmlns:r="http://schemas.openxmlformats.org/officeDocument/2006/relationships" ref="E1520" r:id="rId4582"/>
    <hyperlink xmlns:r="http://schemas.openxmlformats.org/officeDocument/2006/relationships" ref="W1520" r:id="rId4583"/>
    <hyperlink xmlns:r="http://schemas.openxmlformats.org/officeDocument/2006/relationships" ref="E1521" r:id="rId4584"/>
    <hyperlink xmlns:r="http://schemas.openxmlformats.org/officeDocument/2006/relationships" ref="P1521" r:id="rId4585"/>
    <hyperlink xmlns:r="http://schemas.openxmlformats.org/officeDocument/2006/relationships" ref="Q1521" r:id="rId4586"/>
    <hyperlink xmlns:r="http://schemas.openxmlformats.org/officeDocument/2006/relationships" ref="R1521" r:id="rId4587"/>
    <hyperlink xmlns:r="http://schemas.openxmlformats.org/officeDocument/2006/relationships" ref="W1521" r:id="rId4588"/>
    <hyperlink xmlns:r="http://schemas.openxmlformats.org/officeDocument/2006/relationships" ref="E1522" r:id="rId4589"/>
    <hyperlink xmlns:r="http://schemas.openxmlformats.org/officeDocument/2006/relationships" ref="W1522" r:id="rId4590"/>
    <hyperlink xmlns:r="http://schemas.openxmlformats.org/officeDocument/2006/relationships" ref="E1523" r:id="rId4591"/>
    <hyperlink xmlns:r="http://schemas.openxmlformats.org/officeDocument/2006/relationships" ref="R1523" r:id="rId4592"/>
    <hyperlink xmlns:r="http://schemas.openxmlformats.org/officeDocument/2006/relationships" ref="W1523" r:id="rId4593"/>
    <hyperlink xmlns:r="http://schemas.openxmlformats.org/officeDocument/2006/relationships" ref="E1524" r:id="rId4594"/>
    <hyperlink xmlns:r="http://schemas.openxmlformats.org/officeDocument/2006/relationships" ref="R1524" r:id="rId4595"/>
    <hyperlink xmlns:r="http://schemas.openxmlformats.org/officeDocument/2006/relationships" ref="W1524" r:id="rId4596"/>
    <hyperlink xmlns:r="http://schemas.openxmlformats.org/officeDocument/2006/relationships" ref="E1525" r:id="rId4597"/>
    <hyperlink xmlns:r="http://schemas.openxmlformats.org/officeDocument/2006/relationships" ref="W1525" r:id="rId4598"/>
    <hyperlink xmlns:r="http://schemas.openxmlformats.org/officeDocument/2006/relationships" ref="E1526" r:id="rId4599"/>
    <hyperlink xmlns:r="http://schemas.openxmlformats.org/officeDocument/2006/relationships" ref="R1526" r:id="rId4600"/>
    <hyperlink xmlns:r="http://schemas.openxmlformats.org/officeDocument/2006/relationships" ref="W1526" r:id="rId4601"/>
    <hyperlink xmlns:r="http://schemas.openxmlformats.org/officeDocument/2006/relationships" ref="E1527" r:id="rId4602"/>
    <hyperlink xmlns:r="http://schemas.openxmlformats.org/officeDocument/2006/relationships" ref="W1527" r:id="rId4603"/>
    <hyperlink xmlns:r="http://schemas.openxmlformats.org/officeDocument/2006/relationships" ref="E1528" r:id="rId4604"/>
    <hyperlink xmlns:r="http://schemas.openxmlformats.org/officeDocument/2006/relationships" ref="E1529" r:id="rId4605"/>
    <hyperlink xmlns:r="http://schemas.openxmlformats.org/officeDocument/2006/relationships" ref="W1529" r:id="rId4606"/>
    <hyperlink xmlns:r="http://schemas.openxmlformats.org/officeDocument/2006/relationships" ref="E1530" r:id="rId4607"/>
    <hyperlink xmlns:r="http://schemas.openxmlformats.org/officeDocument/2006/relationships" ref="W1530" r:id="rId4608"/>
    <hyperlink xmlns:r="http://schemas.openxmlformats.org/officeDocument/2006/relationships" ref="E1531" r:id="rId4609"/>
    <hyperlink xmlns:r="http://schemas.openxmlformats.org/officeDocument/2006/relationships" ref="W1531" r:id="rId4610"/>
    <hyperlink xmlns:r="http://schemas.openxmlformats.org/officeDocument/2006/relationships" ref="E1532" r:id="rId4611"/>
    <hyperlink xmlns:r="http://schemas.openxmlformats.org/officeDocument/2006/relationships" ref="P1532" r:id="rId4612"/>
    <hyperlink xmlns:r="http://schemas.openxmlformats.org/officeDocument/2006/relationships" ref="Q1532" r:id="rId4613"/>
    <hyperlink xmlns:r="http://schemas.openxmlformats.org/officeDocument/2006/relationships" ref="R1532" r:id="rId4614"/>
    <hyperlink xmlns:r="http://schemas.openxmlformats.org/officeDocument/2006/relationships" ref="W1532" r:id="rId4615"/>
    <hyperlink xmlns:r="http://schemas.openxmlformats.org/officeDocument/2006/relationships" ref="E1533" r:id="rId4616"/>
    <hyperlink xmlns:r="http://schemas.openxmlformats.org/officeDocument/2006/relationships" ref="Q1533" r:id="rId4617"/>
    <hyperlink xmlns:r="http://schemas.openxmlformats.org/officeDocument/2006/relationships" ref="R1533" r:id="rId4618"/>
    <hyperlink xmlns:r="http://schemas.openxmlformats.org/officeDocument/2006/relationships" ref="W1533" r:id="rId4619"/>
    <hyperlink xmlns:r="http://schemas.openxmlformats.org/officeDocument/2006/relationships" ref="E1534" r:id="rId4620"/>
    <hyperlink xmlns:r="http://schemas.openxmlformats.org/officeDocument/2006/relationships" ref="Q1534" r:id="rId4621"/>
    <hyperlink xmlns:r="http://schemas.openxmlformats.org/officeDocument/2006/relationships" ref="R1534" r:id="rId4622"/>
    <hyperlink xmlns:r="http://schemas.openxmlformats.org/officeDocument/2006/relationships" ref="W1534" r:id="rId4623"/>
    <hyperlink xmlns:r="http://schemas.openxmlformats.org/officeDocument/2006/relationships" ref="E1535" r:id="rId4624"/>
    <hyperlink xmlns:r="http://schemas.openxmlformats.org/officeDocument/2006/relationships" ref="P1535" r:id="rId4625"/>
    <hyperlink xmlns:r="http://schemas.openxmlformats.org/officeDocument/2006/relationships" ref="Q1535" r:id="rId4626"/>
    <hyperlink xmlns:r="http://schemas.openxmlformats.org/officeDocument/2006/relationships" ref="R1535" r:id="rId4627"/>
    <hyperlink xmlns:r="http://schemas.openxmlformats.org/officeDocument/2006/relationships" ref="W1535" r:id="rId4628"/>
    <hyperlink xmlns:r="http://schemas.openxmlformats.org/officeDocument/2006/relationships" ref="E1536" r:id="rId4629"/>
    <hyperlink xmlns:r="http://schemas.openxmlformats.org/officeDocument/2006/relationships" ref="P1536" r:id="rId4630"/>
    <hyperlink xmlns:r="http://schemas.openxmlformats.org/officeDocument/2006/relationships" ref="Q1536" r:id="rId4631"/>
    <hyperlink xmlns:r="http://schemas.openxmlformats.org/officeDocument/2006/relationships" ref="R1536" r:id="rId4632"/>
    <hyperlink xmlns:r="http://schemas.openxmlformats.org/officeDocument/2006/relationships" ref="W1536" r:id="rId4633"/>
    <hyperlink xmlns:r="http://schemas.openxmlformats.org/officeDocument/2006/relationships" ref="D1537" r:id="rId4634"/>
    <hyperlink xmlns:r="http://schemas.openxmlformats.org/officeDocument/2006/relationships" ref="E1537" r:id="rId4635"/>
    <hyperlink xmlns:r="http://schemas.openxmlformats.org/officeDocument/2006/relationships" ref="W1537" r:id="rId4636"/>
    <hyperlink xmlns:r="http://schemas.openxmlformats.org/officeDocument/2006/relationships" ref="E1538" r:id="rId4637"/>
    <hyperlink xmlns:r="http://schemas.openxmlformats.org/officeDocument/2006/relationships" ref="W1538" r:id="rId4638"/>
    <hyperlink xmlns:r="http://schemas.openxmlformats.org/officeDocument/2006/relationships" ref="E1539" r:id="rId4639"/>
    <hyperlink xmlns:r="http://schemas.openxmlformats.org/officeDocument/2006/relationships" ref="R1539" r:id="rId4640"/>
    <hyperlink xmlns:r="http://schemas.openxmlformats.org/officeDocument/2006/relationships" ref="W1539" r:id="rId4641"/>
    <hyperlink xmlns:r="http://schemas.openxmlformats.org/officeDocument/2006/relationships" ref="E1540" r:id="rId4642"/>
    <hyperlink xmlns:r="http://schemas.openxmlformats.org/officeDocument/2006/relationships" ref="Q1540" r:id="rId4643"/>
    <hyperlink xmlns:r="http://schemas.openxmlformats.org/officeDocument/2006/relationships" ref="R1540" r:id="rId4644"/>
    <hyperlink xmlns:r="http://schemas.openxmlformats.org/officeDocument/2006/relationships" ref="W1540" r:id="rId4645"/>
    <hyperlink xmlns:r="http://schemas.openxmlformats.org/officeDocument/2006/relationships" ref="E1541" r:id="rId4646"/>
    <hyperlink xmlns:r="http://schemas.openxmlformats.org/officeDocument/2006/relationships" ref="Q1541" r:id="rId4647"/>
    <hyperlink xmlns:r="http://schemas.openxmlformats.org/officeDocument/2006/relationships" ref="R1541" r:id="rId4648"/>
    <hyperlink xmlns:r="http://schemas.openxmlformats.org/officeDocument/2006/relationships" ref="W1541" r:id="rId4649"/>
    <hyperlink xmlns:r="http://schemas.openxmlformats.org/officeDocument/2006/relationships" ref="E1542" r:id="rId4650"/>
    <hyperlink xmlns:r="http://schemas.openxmlformats.org/officeDocument/2006/relationships" ref="Q1542" r:id="rId4651"/>
    <hyperlink xmlns:r="http://schemas.openxmlformats.org/officeDocument/2006/relationships" ref="R1542" r:id="rId4652"/>
    <hyperlink xmlns:r="http://schemas.openxmlformats.org/officeDocument/2006/relationships" ref="W1542" r:id="rId4653"/>
    <hyperlink xmlns:r="http://schemas.openxmlformats.org/officeDocument/2006/relationships" ref="E1543" r:id="rId4654"/>
    <hyperlink xmlns:r="http://schemas.openxmlformats.org/officeDocument/2006/relationships" ref="W1543" r:id="rId4655"/>
    <hyperlink xmlns:r="http://schemas.openxmlformats.org/officeDocument/2006/relationships" ref="E1544" r:id="rId4656"/>
    <hyperlink xmlns:r="http://schemas.openxmlformats.org/officeDocument/2006/relationships" ref="W1544" r:id="rId4657"/>
    <hyperlink xmlns:r="http://schemas.openxmlformats.org/officeDocument/2006/relationships" ref="E1545" r:id="rId4658"/>
    <hyperlink xmlns:r="http://schemas.openxmlformats.org/officeDocument/2006/relationships" ref="Q1545" r:id="rId4659"/>
    <hyperlink xmlns:r="http://schemas.openxmlformats.org/officeDocument/2006/relationships" ref="R1545" r:id="rId4660"/>
    <hyperlink xmlns:r="http://schemas.openxmlformats.org/officeDocument/2006/relationships" ref="W1545" r:id="rId4661"/>
    <hyperlink xmlns:r="http://schemas.openxmlformats.org/officeDocument/2006/relationships" ref="E1546" r:id="rId4662"/>
    <hyperlink xmlns:r="http://schemas.openxmlformats.org/officeDocument/2006/relationships" ref="P1546" r:id="rId4663"/>
    <hyperlink xmlns:r="http://schemas.openxmlformats.org/officeDocument/2006/relationships" ref="Q1546" r:id="rId4664"/>
    <hyperlink xmlns:r="http://schemas.openxmlformats.org/officeDocument/2006/relationships" ref="R1546" r:id="rId4665"/>
    <hyperlink xmlns:r="http://schemas.openxmlformats.org/officeDocument/2006/relationships" ref="W1546" r:id="rId4666"/>
    <hyperlink xmlns:r="http://schemas.openxmlformats.org/officeDocument/2006/relationships" ref="E1547" r:id="rId4667"/>
    <hyperlink xmlns:r="http://schemas.openxmlformats.org/officeDocument/2006/relationships" ref="Q1547" r:id="rId4668"/>
    <hyperlink xmlns:r="http://schemas.openxmlformats.org/officeDocument/2006/relationships" ref="R1547" r:id="rId4669"/>
    <hyperlink xmlns:r="http://schemas.openxmlformats.org/officeDocument/2006/relationships" ref="W1547" r:id="rId4670"/>
    <hyperlink xmlns:r="http://schemas.openxmlformats.org/officeDocument/2006/relationships" ref="E1548" r:id="rId4671"/>
    <hyperlink xmlns:r="http://schemas.openxmlformats.org/officeDocument/2006/relationships" ref="W1548" r:id="rId4672"/>
    <hyperlink xmlns:r="http://schemas.openxmlformats.org/officeDocument/2006/relationships" ref="E1549" r:id="rId4673"/>
    <hyperlink xmlns:r="http://schemas.openxmlformats.org/officeDocument/2006/relationships" ref="Q1549" r:id="rId4674"/>
    <hyperlink xmlns:r="http://schemas.openxmlformats.org/officeDocument/2006/relationships" ref="R1549" r:id="rId4675"/>
    <hyperlink xmlns:r="http://schemas.openxmlformats.org/officeDocument/2006/relationships" ref="W1549" r:id="rId4676"/>
    <hyperlink xmlns:r="http://schemas.openxmlformats.org/officeDocument/2006/relationships" ref="E1550" r:id="rId4677"/>
    <hyperlink xmlns:r="http://schemas.openxmlformats.org/officeDocument/2006/relationships" ref="P1550" r:id="rId4678"/>
    <hyperlink xmlns:r="http://schemas.openxmlformats.org/officeDocument/2006/relationships" ref="Q1550" r:id="rId4679"/>
    <hyperlink xmlns:r="http://schemas.openxmlformats.org/officeDocument/2006/relationships" ref="R1550" r:id="rId4680"/>
    <hyperlink xmlns:r="http://schemas.openxmlformats.org/officeDocument/2006/relationships" ref="W1550" r:id="rId4681"/>
    <hyperlink xmlns:r="http://schemas.openxmlformats.org/officeDocument/2006/relationships" ref="E1551" r:id="rId4682"/>
    <hyperlink xmlns:r="http://schemas.openxmlformats.org/officeDocument/2006/relationships" ref="R1551" r:id="rId4683"/>
    <hyperlink xmlns:r="http://schemas.openxmlformats.org/officeDocument/2006/relationships" ref="W1551" r:id="rId4684"/>
    <hyperlink xmlns:r="http://schemas.openxmlformats.org/officeDocument/2006/relationships" ref="E1552" r:id="rId4685"/>
    <hyperlink xmlns:r="http://schemas.openxmlformats.org/officeDocument/2006/relationships" ref="R1552" r:id="rId4686"/>
    <hyperlink xmlns:r="http://schemas.openxmlformats.org/officeDocument/2006/relationships" ref="W1552" r:id="rId4687"/>
    <hyperlink xmlns:r="http://schemas.openxmlformats.org/officeDocument/2006/relationships" ref="E1553" r:id="rId4688"/>
    <hyperlink xmlns:r="http://schemas.openxmlformats.org/officeDocument/2006/relationships" ref="Q1553" r:id="rId4689"/>
    <hyperlink xmlns:r="http://schemas.openxmlformats.org/officeDocument/2006/relationships" ref="R1553" r:id="rId4690"/>
    <hyperlink xmlns:r="http://schemas.openxmlformats.org/officeDocument/2006/relationships" ref="W1553" r:id="rId4691"/>
    <hyperlink xmlns:r="http://schemas.openxmlformats.org/officeDocument/2006/relationships" ref="E1554" r:id="rId4692"/>
    <hyperlink xmlns:r="http://schemas.openxmlformats.org/officeDocument/2006/relationships" ref="Q1554" r:id="rId4693"/>
    <hyperlink xmlns:r="http://schemas.openxmlformats.org/officeDocument/2006/relationships" ref="R1554" r:id="rId4694"/>
    <hyperlink xmlns:r="http://schemas.openxmlformats.org/officeDocument/2006/relationships" ref="W1554" r:id="rId4695"/>
    <hyperlink xmlns:r="http://schemas.openxmlformats.org/officeDocument/2006/relationships" ref="E1555" r:id="rId4696"/>
    <hyperlink xmlns:r="http://schemas.openxmlformats.org/officeDocument/2006/relationships" ref="Q1555" r:id="rId4697"/>
    <hyperlink xmlns:r="http://schemas.openxmlformats.org/officeDocument/2006/relationships" ref="R1555" r:id="rId4698"/>
    <hyperlink xmlns:r="http://schemas.openxmlformats.org/officeDocument/2006/relationships" ref="W1555" r:id="rId4699"/>
    <hyperlink xmlns:r="http://schemas.openxmlformats.org/officeDocument/2006/relationships" ref="E1556" r:id="rId4700"/>
    <hyperlink xmlns:r="http://schemas.openxmlformats.org/officeDocument/2006/relationships" ref="P1556" r:id="rId4701"/>
    <hyperlink xmlns:r="http://schemas.openxmlformats.org/officeDocument/2006/relationships" ref="Q1556" r:id="rId4702"/>
    <hyperlink xmlns:r="http://schemas.openxmlformats.org/officeDocument/2006/relationships" ref="R1556" r:id="rId4703"/>
    <hyperlink xmlns:r="http://schemas.openxmlformats.org/officeDocument/2006/relationships" ref="W1556" r:id="rId4704"/>
    <hyperlink xmlns:r="http://schemas.openxmlformats.org/officeDocument/2006/relationships" ref="D1557" r:id="rId4705"/>
    <hyperlink xmlns:r="http://schemas.openxmlformats.org/officeDocument/2006/relationships" ref="E1557" r:id="rId4706"/>
    <hyperlink xmlns:r="http://schemas.openxmlformats.org/officeDocument/2006/relationships" ref="P1557" r:id="rId4707"/>
    <hyperlink xmlns:r="http://schemas.openxmlformats.org/officeDocument/2006/relationships" ref="R1557" r:id="rId4708"/>
    <hyperlink xmlns:r="http://schemas.openxmlformats.org/officeDocument/2006/relationships" ref="S1557" r:id="rId4709"/>
    <hyperlink xmlns:r="http://schemas.openxmlformats.org/officeDocument/2006/relationships" ref="W1557" r:id="rId4710"/>
    <hyperlink xmlns:r="http://schemas.openxmlformats.org/officeDocument/2006/relationships" ref="E1558" r:id="rId4711"/>
    <hyperlink xmlns:r="http://schemas.openxmlformats.org/officeDocument/2006/relationships" ref="W1558" r:id="rId4712"/>
    <hyperlink xmlns:r="http://schemas.openxmlformats.org/officeDocument/2006/relationships" ref="E1559" r:id="rId4713"/>
    <hyperlink xmlns:r="http://schemas.openxmlformats.org/officeDocument/2006/relationships" ref="Q1559" r:id="rId4714"/>
    <hyperlink xmlns:r="http://schemas.openxmlformats.org/officeDocument/2006/relationships" ref="R1559" r:id="rId4715"/>
    <hyperlink xmlns:r="http://schemas.openxmlformats.org/officeDocument/2006/relationships" ref="W1559" r:id="rId4716"/>
    <hyperlink xmlns:r="http://schemas.openxmlformats.org/officeDocument/2006/relationships" ref="E1560" r:id="rId4717"/>
    <hyperlink xmlns:r="http://schemas.openxmlformats.org/officeDocument/2006/relationships" ref="R1560" r:id="rId4718"/>
    <hyperlink xmlns:r="http://schemas.openxmlformats.org/officeDocument/2006/relationships" ref="W1560" r:id="rId4719"/>
    <hyperlink xmlns:r="http://schemas.openxmlformats.org/officeDocument/2006/relationships" ref="E1561" r:id="rId4720"/>
    <hyperlink xmlns:r="http://schemas.openxmlformats.org/officeDocument/2006/relationships" ref="P1561" r:id="rId4721"/>
    <hyperlink xmlns:r="http://schemas.openxmlformats.org/officeDocument/2006/relationships" ref="Q1561" r:id="rId4722"/>
    <hyperlink xmlns:r="http://schemas.openxmlformats.org/officeDocument/2006/relationships" ref="R1561" r:id="rId4723"/>
    <hyperlink xmlns:r="http://schemas.openxmlformats.org/officeDocument/2006/relationships" ref="W1561" r:id="rId4724"/>
    <hyperlink xmlns:r="http://schemas.openxmlformats.org/officeDocument/2006/relationships" ref="E1562" r:id="rId4725"/>
    <hyperlink xmlns:r="http://schemas.openxmlformats.org/officeDocument/2006/relationships" ref="P1562" r:id="rId4726"/>
    <hyperlink xmlns:r="http://schemas.openxmlformats.org/officeDocument/2006/relationships" ref="Q1562" r:id="rId4727"/>
    <hyperlink xmlns:r="http://schemas.openxmlformats.org/officeDocument/2006/relationships" ref="R1562" r:id="rId4728"/>
    <hyperlink xmlns:r="http://schemas.openxmlformats.org/officeDocument/2006/relationships" ref="W1562" r:id="rId4729"/>
    <hyperlink xmlns:r="http://schemas.openxmlformats.org/officeDocument/2006/relationships" ref="E1563" r:id="rId4730"/>
    <hyperlink xmlns:r="http://schemas.openxmlformats.org/officeDocument/2006/relationships" ref="P1563" r:id="rId4731"/>
    <hyperlink xmlns:r="http://schemas.openxmlformats.org/officeDocument/2006/relationships" ref="R1563" r:id="rId4732"/>
    <hyperlink xmlns:r="http://schemas.openxmlformats.org/officeDocument/2006/relationships" ref="W1563" r:id="rId4733"/>
    <hyperlink xmlns:r="http://schemas.openxmlformats.org/officeDocument/2006/relationships" ref="E1564" r:id="rId4734"/>
    <hyperlink xmlns:r="http://schemas.openxmlformats.org/officeDocument/2006/relationships" ref="R1564" r:id="rId4735"/>
    <hyperlink xmlns:r="http://schemas.openxmlformats.org/officeDocument/2006/relationships" ref="W1564" r:id="rId4736"/>
    <hyperlink xmlns:r="http://schemas.openxmlformats.org/officeDocument/2006/relationships" ref="E1565" r:id="rId4737"/>
    <hyperlink xmlns:r="http://schemas.openxmlformats.org/officeDocument/2006/relationships" ref="W1565" r:id="rId4738"/>
    <hyperlink xmlns:r="http://schemas.openxmlformats.org/officeDocument/2006/relationships" ref="E1566" r:id="rId4739"/>
    <hyperlink xmlns:r="http://schemas.openxmlformats.org/officeDocument/2006/relationships" ref="Q1566" r:id="rId4740"/>
    <hyperlink xmlns:r="http://schemas.openxmlformats.org/officeDocument/2006/relationships" ref="R1566" r:id="rId4741"/>
    <hyperlink xmlns:r="http://schemas.openxmlformats.org/officeDocument/2006/relationships" ref="W1566" r:id="rId4742"/>
    <hyperlink xmlns:r="http://schemas.openxmlformats.org/officeDocument/2006/relationships" ref="E1567" r:id="rId4743"/>
    <hyperlink xmlns:r="http://schemas.openxmlformats.org/officeDocument/2006/relationships" ref="R1567" r:id="rId4744"/>
    <hyperlink xmlns:r="http://schemas.openxmlformats.org/officeDocument/2006/relationships" ref="W1567" r:id="rId4745"/>
    <hyperlink xmlns:r="http://schemas.openxmlformats.org/officeDocument/2006/relationships" ref="E1568" r:id="rId4746"/>
    <hyperlink xmlns:r="http://schemas.openxmlformats.org/officeDocument/2006/relationships" ref="Q1568" r:id="rId4747"/>
    <hyperlink xmlns:r="http://schemas.openxmlformats.org/officeDocument/2006/relationships" ref="R1568" r:id="rId4748"/>
    <hyperlink xmlns:r="http://schemas.openxmlformats.org/officeDocument/2006/relationships" ref="W1568" r:id="rId4749"/>
    <hyperlink xmlns:r="http://schemas.openxmlformats.org/officeDocument/2006/relationships" ref="E1569" r:id="rId4750"/>
    <hyperlink xmlns:r="http://schemas.openxmlformats.org/officeDocument/2006/relationships" ref="W1569" r:id="rId4751"/>
    <hyperlink xmlns:r="http://schemas.openxmlformats.org/officeDocument/2006/relationships" ref="E1570" r:id="rId4752"/>
    <hyperlink xmlns:r="http://schemas.openxmlformats.org/officeDocument/2006/relationships" ref="W1570" r:id="rId4753"/>
    <hyperlink xmlns:r="http://schemas.openxmlformats.org/officeDocument/2006/relationships" ref="E1571" r:id="rId4754"/>
    <hyperlink xmlns:r="http://schemas.openxmlformats.org/officeDocument/2006/relationships" ref="R1571" r:id="rId4755"/>
    <hyperlink xmlns:r="http://schemas.openxmlformats.org/officeDocument/2006/relationships" ref="W1571" r:id="rId4756"/>
    <hyperlink xmlns:r="http://schemas.openxmlformats.org/officeDocument/2006/relationships" ref="E1572" r:id="rId4757"/>
    <hyperlink xmlns:r="http://schemas.openxmlformats.org/officeDocument/2006/relationships" ref="W1572" r:id="rId4758"/>
    <hyperlink xmlns:r="http://schemas.openxmlformats.org/officeDocument/2006/relationships" ref="E1573" r:id="rId4759"/>
    <hyperlink xmlns:r="http://schemas.openxmlformats.org/officeDocument/2006/relationships" ref="P1573" r:id="rId4760"/>
    <hyperlink xmlns:r="http://schemas.openxmlformats.org/officeDocument/2006/relationships" ref="Q1573" r:id="rId4761"/>
    <hyperlink xmlns:r="http://schemas.openxmlformats.org/officeDocument/2006/relationships" ref="R1573" r:id="rId4762"/>
    <hyperlink xmlns:r="http://schemas.openxmlformats.org/officeDocument/2006/relationships" ref="W1573" r:id="rId4763"/>
    <hyperlink xmlns:r="http://schemas.openxmlformats.org/officeDocument/2006/relationships" ref="E1574" r:id="rId4764"/>
    <hyperlink xmlns:r="http://schemas.openxmlformats.org/officeDocument/2006/relationships" ref="Q1574" r:id="rId4765"/>
    <hyperlink xmlns:r="http://schemas.openxmlformats.org/officeDocument/2006/relationships" ref="R1574" r:id="rId4766"/>
    <hyperlink xmlns:r="http://schemas.openxmlformats.org/officeDocument/2006/relationships" ref="W1574" r:id="rId4767"/>
    <hyperlink xmlns:r="http://schemas.openxmlformats.org/officeDocument/2006/relationships" ref="E1575" r:id="rId4768"/>
    <hyperlink xmlns:r="http://schemas.openxmlformats.org/officeDocument/2006/relationships" ref="R1575" r:id="rId4769"/>
    <hyperlink xmlns:r="http://schemas.openxmlformats.org/officeDocument/2006/relationships" ref="W1575" r:id="rId4770"/>
    <hyperlink xmlns:r="http://schemas.openxmlformats.org/officeDocument/2006/relationships" ref="E1576" r:id="rId4771"/>
    <hyperlink xmlns:r="http://schemas.openxmlformats.org/officeDocument/2006/relationships" ref="W1576" r:id="rId4772"/>
    <hyperlink xmlns:r="http://schemas.openxmlformats.org/officeDocument/2006/relationships" ref="E1577" r:id="rId4773"/>
    <hyperlink xmlns:r="http://schemas.openxmlformats.org/officeDocument/2006/relationships" ref="R1577" r:id="rId4774"/>
    <hyperlink xmlns:r="http://schemas.openxmlformats.org/officeDocument/2006/relationships" ref="W1577" r:id="rId4775"/>
    <hyperlink xmlns:r="http://schemas.openxmlformats.org/officeDocument/2006/relationships" ref="E1578" r:id="rId4776"/>
    <hyperlink xmlns:r="http://schemas.openxmlformats.org/officeDocument/2006/relationships" ref="W1578" r:id="rId4777"/>
    <hyperlink xmlns:r="http://schemas.openxmlformats.org/officeDocument/2006/relationships" ref="E1579" r:id="rId4778"/>
    <hyperlink xmlns:r="http://schemas.openxmlformats.org/officeDocument/2006/relationships" ref="W1579" r:id="rId4779"/>
    <hyperlink xmlns:r="http://schemas.openxmlformats.org/officeDocument/2006/relationships" ref="E1580" r:id="rId4780"/>
    <hyperlink xmlns:r="http://schemas.openxmlformats.org/officeDocument/2006/relationships" ref="P1580" r:id="rId4781"/>
    <hyperlink xmlns:r="http://schemas.openxmlformats.org/officeDocument/2006/relationships" ref="R1580" r:id="rId4782"/>
    <hyperlink xmlns:r="http://schemas.openxmlformats.org/officeDocument/2006/relationships" ref="W1580" r:id="rId4783"/>
    <hyperlink xmlns:r="http://schemas.openxmlformats.org/officeDocument/2006/relationships" ref="E1581" r:id="rId4784"/>
    <hyperlink xmlns:r="http://schemas.openxmlformats.org/officeDocument/2006/relationships" ref="P1581" r:id="rId4785"/>
    <hyperlink xmlns:r="http://schemas.openxmlformats.org/officeDocument/2006/relationships" ref="Q1581" r:id="rId4786"/>
    <hyperlink xmlns:r="http://schemas.openxmlformats.org/officeDocument/2006/relationships" ref="R1581" r:id="rId4787"/>
    <hyperlink xmlns:r="http://schemas.openxmlformats.org/officeDocument/2006/relationships" ref="W1581" r:id="rId4788"/>
    <hyperlink xmlns:r="http://schemas.openxmlformats.org/officeDocument/2006/relationships" ref="E1582" r:id="rId4789"/>
    <hyperlink xmlns:r="http://schemas.openxmlformats.org/officeDocument/2006/relationships" ref="W1582" r:id="rId4790"/>
    <hyperlink xmlns:r="http://schemas.openxmlformats.org/officeDocument/2006/relationships" ref="E1583" r:id="rId4791"/>
    <hyperlink xmlns:r="http://schemas.openxmlformats.org/officeDocument/2006/relationships" ref="P1583" r:id="rId4792"/>
    <hyperlink xmlns:r="http://schemas.openxmlformats.org/officeDocument/2006/relationships" ref="Q1583" r:id="rId4793"/>
    <hyperlink xmlns:r="http://schemas.openxmlformats.org/officeDocument/2006/relationships" ref="R1583" r:id="rId4794"/>
    <hyperlink xmlns:r="http://schemas.openxmlformats.org/officeDocument/2006/relationships" ref="W1583" r:id="rId4795"/>
    <hyperlink xmlns:r="http://schemas.openxmlformats.org/officeDocument/2006/relationships" ref="E1584" r:id="rId4796"/>
    <hyperlink xmlns:r="http://schemas.openxmlformats.org/officeDocument/2006/relationships" ref="P1584" r:id="rId4797"/>
    <hyperlink xmlns:r="http://schemas.openxmlformats.org/officeDocument/2006/relationships" ref="R1584" r:id="rId4798"/>
    <hyperlink xmlns:r="http://schemas.openxmlformats.org/officeDocument/2006/relationships" ref="W1584" r:id="rId4799"/>
    <hyperlink xmlns:r="http://schemas.openxmlformats.org/officeDocument/2006/relationships" ref="E1585" r:id="rId4800"/>
    <hyperlink xmlns:r="http://schemas.openxmlformats.org/officeDocument/2006/relationships" ref="P1585" r:id="rId4801"/>
    <hyperlink xmlns:r="http://schemas.openxmlformats.org/officeDocument/2006/relationships" ref="R1585" r:id="rId4802"/>
    <hyperlink xmlns:r="http://schemas.openxmlformats.org/officeDocument/2006/relationships" ref="W1585" r:id="rId4803"/>
    <hyperlink xmlns:r="http://schemas.openxmlformats.org/officeDocument/2006/relationships" ref="E1586" r:id="rId4804"/>
    <hyperlink xmlns:r="http://schemas.openxmlformats.org/officeDocument/2006/relationships" ref="P1586" r:id="rId4805"/>
    <hyperlink xmlns:r="http://schemas.openxmlformats.org/officeDocument/2006/relationships" ref="Q1586" r:id="rId4806"/>
    <hyperlink xmlns:r="http://schemas.openxmlformats.org/officeDocument/2006/relationships" ref="R1586" r:id="rId4807"/>
    <hyperlink xmlns:r="http://schemas.openxmlformats.org/officeDocument/2006/relationships" ref="W1586" r:id="rId4808"/>
    <hyperlink xmlns:r="http://schemas.openxmlformats.org/officeDocument/2006/relationships" ref="E1587" r:id="rId4809"/>
    <hyperlink xmlns:r="http://schemas.openxmlformats.org/officeDocument/2006/relationships" ref="W1587" r:id="rId4810"/>
    <hyperlink xmlns:r="http://schemas.openxmlformats.org/officeDocument/2006/relationships" ref="E1588" r:id="rId4811"/>
    <hyperlink xmlns:r="http://schemas.openxmlformats.org/officeDocument/2006/relationships" ref="R1588" r:id="rId4812"/>
    <hyperlink xmlns:r="http://schemas.openxmlformats.org/officeDocument/2006/relationships" ref="W1588" r:id="rId4813"/>
    <hyperlink xmlns:r="http://schemas.openxmlformats.org/officeDocument/2006/relationships" ref="E1589" r:id="rId4814"/>
    <hyperlink xmlns:r="http://schemas.openxmlformats.org/officeDocument/2006/relationships" ref="W1589" r:id="rId4815"/>
    <hyperlink xmlns:r="http://schemas.openxmlformats.org/officeDocument/2006/relationships" ref="E1590" r:id="rId4816"/>
    <hyperlink xmlns:r="http://schemas.openxmlformats.org/officeDocument/2006/relationships" ref="R1590" r:id="rId4817"/>
    <hyperlink xmlns:r="http://schemas.openxmlformats.org/officeDocument/2006/relationships" ref="W1590" r:id="rId4818"/>
    <hyperlink xmlns:r="http://schemas.openxmlformats.org/officeDocument/2006/relationships" ref="E1591" r:id="rId4819"/>
    <hyperlink xmlns:r="http://schemas.openxmlformats.org/officeDocument/2006/relationships" ref="P1591" r:id="rId4820"/>
    <hyperlink xmlns:r="http://schemas.openxmlformats.org/officeDocument/2006/relationships" ref="Q1591" r:id="rId4821"/>
    <hyperlink xmlns:r="http://schemas.openxmlformats.org/officeDocument/2006/relationships" ref="R1591" r:id="rId4822"/>
    <hyperlink xmlns:r="http://schemas.openxmlformats.org/officeDocument/2006/relationships" ref="W1591" r:id="rId4823"/>
    <hyperlink xmlns:r="http://schemas.openxmlformats.org/officeDocument/2006/relationships" ref="E1592" r:id="rId4824"/>
    <hyperlink xmlns:r="http://schemas.openxmlformats.org/officeDocument/2006/relationships" ref="W1592" r:id="rId4825"/>
    <hyperlink xmlns:r="http://schemas.openxmlformats.org/officeDocument/2006/relationships" ref="E1593" r:id="rId4826"/>
    <hyperlink xmlns:r="http://schemas.openxmlformats.org/officeDocument/2006/relationships" ref="Q1593" r:id="rId4827"/>
    <hyperlink xmlns:r="http://schemas.openxmlformats.org/officeDocument/2006/relationships" ref="R1593" r:id="rId4828"/>
    <hyperlink xmlns:r="http://schemas.openxmlformats.org/officeDocument/2006/relationships" ref="W1593" r:id="rId4829"/>
    <hyperlink xmlns:r="http://schemas.openxmlformats.org/officeDocument/2006/relationships" ref="E1594" r:id="rId4830"/>
    <hyperlink xmlns:r="http://schemas.openxmlformats.org/officeDocument/2006/relationships" ref="R1594" r:id="rId4831"/>
    <hyperlink xmlns:r="http://schemas.openxmlformats.org/officeDocument/2006/relationships" ref="W1594" r:id="rId4832"/>
    <hyperlink xmlns:r="http://schemas.openxmlformats.org/officeDocument/2006/relationships" ref="E1595" r:id="rId4833"/>
    <hyperlink xmlns:r="http://schemas.openxmlformats.org/officeDocument/2006/relationships" ref="P1595" r:id="rId4834"/>
    <hyperlink xmlns:r="http://schemas.openxmlformats.org/officeDocument/2006/relationships" ref="Q1595" r:id="rId4835"/>
    <hyperlink xmlns:r="http://schemas.openxmlformats.org/officeDocument/2006/relationships" ref="R1595" r:id="rId4836"/>
    <hyperlink xmlns:r="http://schemas.openxmlformats.org/officeDocument/2006/relationships" ref="W1595" r:id="rId4837"/>
    <hyperlink xmlns:r="http://schemas.openxmlformats.org/officeDocument/2006/relationships" ref="E1596" r:id="rId4838"/>
    <hyperlink xmlns:r="http://schemas.openxmlformats.org/officeDocument/2006/relationships" ref="W1596" r:id="rId4839"/>
    <hyperlink xmlns:r="http://schemas.openxmlformats.org/officeDocument/2006/relationships" ref="E1597" r:id="rId4840"/>
    <hyperlink xmlns:r="http://schemas.openxmlformats.org/officeDocument/2006/relationships" ref="Q1597" r:id="rId4841"/>
    <hyperlink xmlns:r="http://schemas.openxmlformats.org/officeDocument/2006/relationships" ref="R1597" r:id="rId4842"/>
    <hyperlink xmlns:r="http://schemas.openxmlformats.org/officeDocument/2006/relationships" ref="W1597" r:id="rId4843"/>
    <hyperlink xmlns:r="http://schemas.openxmlformats.org/officeDocument/2006/relationships" ref="E1598" r:id="rId4844"/>
    <hyperlink xmlns:r="http://schemas.openxmlformats.org/officeDocument/2006/relationships" ref="W1598" r:id="rId4845"/>
    <hyperlink xmlns:r="http://schemas.openxmlformats.org/officeDocument/2006/relationships" ref="E1599" r:id="rId4846"/>
    <hyperlink xmlns:r="http://schemas.openxmlformats.org/officeDocument/2006/relationships" ref="P1599" r:id="rId4847"/>
    <hyperlink xmlns:r="http://schemas.openxmlformats.org/officeDocument/2006/relationships" ref="R1599" r:id="rId4848"/>
    <hyperlink xmlns:r="http://schemas.openxmlformats.org/officeDocument/2006/relationships" ref="W1599" r:id="rId4849"/>
    <hyperlink xmlns:r="http://schemas.openxmlformats.org/officeDocument/2006/relationships" ref="D1600" r:id="rId4850"/>
    <hyperlink xmlns:r="http://schemas.openxmlformats.org/officeDocument/2006/relationships" ref="E1600" r:id="rId4851"/>
    <hyperlink xmlns:r="http://schemas.openxmlformats.org/officeDocument/2006/relationships" ref="P1600" r:id="rId4852"/>
    <hyperlink xmlns:r="http://schemas.openxmlformats.org/officeDocument/2006/relationships" ref="R1600" r:id="rId4853"/>
    <hyperlink xmlns:r="http://schemas.openxmlformats.org/officeDocument/2006/relationships" ref="S1600" r:id="rId4854"/>
    <hyperlink xmlns:r="http://schemas.openxmlformats.org/officeDocument/2006/relationships" ref="U1600" r:id="rId4855"/>
    <hyperlink xmlns:r="http://schemas.openxmlformats.org/officeDocument/2006/relationships" ref="W1600" r:id="rId4856"/>
    <hyperlink xmlns:r="http://schemas.openxmlformats.org/officeDocument/2006/relationships" ref="E1601" r:id="rId4857"/>
    <hyperlink xmlns:r="http://schemas.openxmlformats.org/officeDocument/2006/relationships" ref="Q1601" r:id="rId4858"/>
    <hyperlink xmlns:r="http://schemas.openxmlformats.org/officeDocument/2006/relationships" ref="R1601" r:id="rId4859"/>
    <hyperlink xmlns:r="http://schemas.openxmlformats.org/officeDocument/2006/relationships" ref="W1601" r:id="rId4860"/>
    <hyperlink xmlns:r="http://schemas.openxmlformats.org/officeDocument/2006/relationships" ref="E1602" r:id="rId4861"/>
    <hyperlink xmlns:r="http://schemas.openxmlformats.org/officeDocument/2006/relationships" ref="Q1602" r:id="rId4862"/>
    <hyperlink xmlns:r="http://schemas.openxmlformats.org/officeDocument/2006/relationships" ref="R1602" r:id="rId4863"/>
    <hyperlink xmlns:r="http://schemas.openxmlformats.org/officeDocument/2006/relationships" ref="W1602" r:id="rId4864"/>
    <hyperlink xmlns:r="http://schemas.openxmlformats.org/officeDocument/2006/relationships" ref="E1603" r:id="rId4865"/>
    <hyperlink xmlns:r="http://schemas.openxmlformats.org/officeDocument/2006/relationships" ref="Q1603" r:id="rId4866"/>
    <hyperlink xmlns:r="http://schemas.openxmlformats.org/officeDocument/2006/relationships" ref="R1603" r:id="rId4867"/>
    <hyperlink xmlns:r="http://schemas.openxmlformats.org/officeDocument/2006/relationships" ref="W1603" r:id="rId4868"/>
    <hyperlink xmlns:r="http://schemas.openxmlformats.org/officeDocument/2006/relationships" ref="E1604" r:id="rId4869"/>
    <hyperlink xmlns:r="http://schemas.openxmlformats.org/officeDocument/2006/relationships" ref="P1604" r:id="rId4870"/>
    <hyperlink xmlns:r="http://schemas.openxmlformats.org/officeDocument/2006/relationships" ref="R1604" r:id="rId4871"/>
    <hyperlink xmlns:r="http://schemas.openxmlformats.org/officeDocument/2006/relationships" ref="W1604" r:id="rId4872"/>
    <hyperlink xmlns:r="http://schemas.openxmlformats.org/officeDocument/2006/relationships" ref="E1605" r:id="rId4873"/>
    <hyperlink xmlns:r="http://schemas.openxmlformats.org/officeDocument/2006/relationships" ref="P1605" r:id="rId4874"/>
    <hyperlink xmlns:r="http://schemas.openxmlformats.org/officeDocument/2006/relationships" ref="Q1605" r:id="rId4875"/>
    <hyperlink xmlns:r="http://schemas.openxmlformats.org/officeDocument/2006/relationships" ref="R1605" r:id="rId4876"/>
    <hyperlink xmlns:r="http://schemas.openxmlformats.org/officeDocument/2006/relationships" ref="W1605" r:id="rId4877"/>
    <hyperlink xmlns:r="http://schemas.openxmlformats.org/officeDocument/2006/relationships" ref="E1606" r:id="rId4878"/>
    <hyperlink xmlns:r="http://schemas.openxmlformats.org/officeDocument/2006/relationships" ref="P1606" r:id="rId4879"/>
    <hyperlink xmlns:r="http://schemas.openxmlformats.org/officeDocument/2006/relationships" ref="Q1606" r:id="rId4880"/>
    <hyperlink xmlns:r="http://schemas.openxmlformats.org/officeDocument/2006/relationships" ref="R1606" r:id="rId4881"/>
    <hyperlink xmlns:r="http://schemas.openxmlformats.org/officeDocument/2006/relationships" ref="W1606" r:id="rId4882"/>
    <hyperlink xmlns:r="http://schemas.openxmlformats.org/officeDocument/2006/relationships" ref="E1607" r:id="rId4883"/>
    <hyperlink xmlns:r="http://schemas.openxmlformats.org/officeDocument/2006/relationships" ref="R1607" r:id="rId4884"/>
    <hyperlink xmlns:r="http://schemas.openxmlformats.org/officeDocument/2006/relationships" ref="E1608" r:id="rId4885"/>
    <hyperlink xmlns:r="http://schemas.openxmlformats.org/officeDocument/2006/relationships" ref="R1608" r:id="rId4886"/>
    <hyperlink xmlns:r="http://schemas.openxmlformats.org/officeDocument/2006/relationships" ref="W1608" r:id="rId4887"/>
    <hyperlink xmlns:r="http://schemas.openxmlformats.org/officeDocument/2006/relationships" ref="E1609" r:id="rId4888"/>
    <hyperlink xmlns:r="http://schemas.openxmlformats.org/officeDocument/2006/relationships" ref="P1609" r:id="rId4889"/>
    <hyperlink xmlns:r="http://schemas.openxmlformats.org/officeDocument/2006/relationships" ref="Q1609" r:id="rId4890"/>
    <hyperlink xmlns:r="http://schemas.openxmlformats.org/officeDocument/2006/relationships" ref="R1609" r:id="rId4891"/>
    <hyperlink xmlns:r="http://schemas.openxmlformats.org/officeDocument/2006/relationships" ref="W1609" r:id="rId4892"/>
    <hyperlink xmlns:r="http://schemas.openxmlformats.org/officeDocument/2006/relationships" ref="E1610" r:id="rId4893"/>
    <hyperlink xmlns:r="http://schemas.openxmlformats.org/officeDocument/2006/relationships" ref="P1610" r:id="rId4894"/>
    <hyperlink xmlns:r="http://schemas.openxmlformats.org/officeDocument/2006/relationships" ref="Q1610" r:id="rId4895"/>
    <hyperlink xmlns:r="http://schemas.openxmlformats.org/officeDocument/2006/relationships" ref="R1610" r:id="rId4896"/>
    <hyperlink xmlns:r="http://schemas.openxmlformats.org/officeDocument/2006/relationships" ref="E1611" r:id="rId4897"/>
    <hyperlink xmlns:r="http://schemas.openxmlformats.org/officeDocument/2006/relationships" ref="P1611" r:id="rId4898"/>
    <hyperlink xmlns:r="http://schemas.openxmlformats.org/officeDocument/2006/relationships" ref="Q1611" r:id="rId4899"/>
    <hyperlink xmlns:r="http://schemas.openxmlformats.org/officeDocument/2006/relationships" ref="R1611" r:id="rId4900"/>
    <hyperlink xmlns:r="http://schemas.openxmlformats.org/officeDocument/2006/relationships" ref="W1611" r:id="rId4901"/>
    <hyperlink xmlns:r="http://schemas.openxmlformats.org/officeDocument/2006/relationships" ref="E1612" r:id="rId4902"/>
    <hyperlink xmlns:r="http://schemas.openxmlformats.org/officeDocument/2006/relationships" ref="W1612" r:id="rId4903"/>
    <hyperlink xmlns:r="http://schemas.openxmlformats.org/officeDocument/2006/relationships" ref="E1613" r:id="rId4904"/>
    <hyperlink xmlns:r="http://schemas.openxmlformats.org/officeDocument/2006/relationships" ref="W1613" r:id="rId4905"/>
    <hyperlink xmlns:r="http://schemas.openxmlformats.org/officeDocument/2006/relationships" ref="E1614" r:id="rId4906"/>
    <hyperlink xmlns:r="http://schemas.openxmlformats.org/officeDocument/2006/relationships" ref="P1614" r:id="rId4907"/>
    <hyperlink xmlns:r="http://schemas.openxmlformats.org/officeDocument/2006/relationships" ref="Q1614" r:id="rId4908"/>
    <hyperlink xmlns:r="http://schemas.openxmlformats.org/officeDocument/2006/relationships" ref="R1614" r:id="rId4909"/>
    <hyperlink xmlns:r="http://schemas.openxmlformats.org/officeDocument/2006/relationships" ref="W1614" r:id="rId4910"/>
    <hyperlink xmlns:r="http://schemas.openxmlformats.org/officeDocument/2006/relationships" ref="E1615" r:id="rId4911"/>
    <hyperlink xmlns:r="http://schemas.openxmlformats.org/officeDocument/2006/relationships" ref="W1615" r:id="rId4912"/>
    <hyperlink xmlns:r="http://schemas.openxmlformats.org/officeDocument/2006/relationships" ref="E1616" r:id="rId4913"/>
    <hyperlink xmlns:r="http://schemas.openxmlformats.org/officeDocument/2006/relationships" ref="R1616" r:id="rId4914"/>
    <hyperlink xmlns:r="http://schemas.openxmlformats.org/officeDocument/2006/relationships" ref="W1616" r:id="rId4915"/>
    <hyperlink xmlns:r="http://schemas.openxmlformats.org/officeDocument/2006/relationships" ref="E1617" r:id="rId4916"/>
    <hyperlink xmlns:r="http://schemas.openxmlformats.org/officeDocument/2006/relationships" ref="Q1617" r:id="rId4917"/>
    <hyperlink xmlns:r="http://schemas.openxmlformats.org/officeDocument/2006/relationships" ref="R1617" r:id="rId4918"/>
    <hyperlink xmlns:r="http://schemas.openxmlformats.org/officeDocument/2006/relationships" ref="W1617" r:id="rId4919"/>
    <hyperlink xmlns:r="http://schemas.openxmlformats.org/officeDocument/2006/relationships" ref="E1618" r:id="rId4920"/>
    <hyperlink xmlns:r="http://schemas.openxmlformats.org/officeDocument/2006/relationships" ref="P1618" r:id="rId4921"/>
    <hyperlink xmlns:r="http://schemas.openxmlformats.org/officeDocument/2006/relationships" ref="R1618" r:id="rId4922"/>
    <hyperlink xmlns:r="http://schemas.openxmlformats.org/officeDocument/2006/relationships" ref="W1618" r:id="rId4923"/>
    <hyperlink xmlns:r="http://schemas.openxmlformats.org/officeDocument/2006/relationships" ref="E1619" r:id="rId4924"/>
    <hyperlink xmlns:r="http://schemas.openxmlformats.org/officeDocument/2006/relationships" ref="P1619" r:id="rId4925"/>
    <hyperlink xmlns:r="http://schemas.openxmlformats.org/officeDocument/2006/relationships" ref="Q1619" r:id="rId4926"/>
    <hyperlink xmlns:r="http://schemas.openxmlformats.org/officeDocument/2006/relationships" ref="R1619" r:id="rId4927"/>
    <hyperlink xmlns:r="http://schemas.openxmlformats.org/officeDocument/2006/relationships" ref="W1619" r:id="rId4928"/>
    <hyperlink xmlns:r="http://schemas.openxmlformats.org/officeDocument/2006/relationships" ref="E1620" r:id="rId4929"/>
    <hyperlink xmlns:r="http://schemas.openxmlformats.org/officeDocument/2006/relationships" ref="P1620" r:id="rId4930"/>
    <hyperlink xmlns:r="http://schemas.openxmlformats.org/officeDocument/2006/relationships" ref="Q1620" r:id="rId4931"/>
    <hyperlink xmlns:r="http://schemas.openxmlformats.org/officeDocument/2006/relationships" ref="R1620" r:id="rId4932"/>
    <hyperlink xmlns:r="http://schemas.openxmlformats.org/officeDocument/2006/relationships" ref="W1620" r:id="rId4933"/>
    <hyperlink xmlns:r="http://schemas.openxmlformats.org/officeDocument/2006/relationships" ref="E1621" r:id="rId4934"/>
    <hyperlink xmlns:r="http://schemas.openxmlformats.org/officeDocument/2006/relationships" ref="P1621" r:id="rId4935"/>
    <hyperlink xmlns:r="http://schemas.openxmlformats.org/officeDocument/2006/relationships" ref="Q1621" r:id="rId4936"/>
    <hyperlink xmlns:r="http://schemas.openxmlformats.org/officeDocument/2006/relationships" ref="R1621" r:id="rId4937"/>
    <hyperlink xmlns:r="http://schemas.openxmlformats.org/officeDocument/2006/relationships" ref="W1621" r:id="rId4938"/>
    <hyperlink xmlns:r="http://schemas.openxmlformats.org/officeDocument/2006/relationships" ref="E1622" r:id="rId4939"/>
    <hyperlink xmlns:r="http://schemas.openxmlformats.org/officeDocument/2006/relationships" ref="W1622" r:id="rId4940"/>
    <hyperlink xmlns:r="http://schemas.openxmlformats.org/officeDocument/2006/relationships" ref="E1623" r:id="rId4941"/>
    <hyperlink xmlns:r="http://schemas.openxmlformats.org/officeDocument/2006/relationships" ref="P1623" r:id="rId4942"/>
    <hyperlink xmlns:r="http://schemas.openxmlformats.org/officeDocument/2006/relationships" ref="R1623" r:id="rId4943"/>
    <hyperlink xmlns:r="http://schemas.openxmlformats.org/officeDocument/2006/relationships" ref="W1623" r:id="rId4944"/>
    <hyperlink xmlns:r="http://schemas.openxmlformats.org/officeDocument/2006/relationships" ref="E1624" r:id="rId4945"/>
    <hyperlink xmlns:r="http://schemas.openxmlformats.org/officeDocument/2006/relationships" ref="W1624" r:id="rId4946"/>
    <hyperlink xmlns:r="http://schemas.openxmlformats.org/officeDocument/2006/relationships" ref="E1625" r:id="rId4947"/>
    <hyperlink xmlns:r="http://schemas.openxmlformats.org/officeDocument/2006/relationships" ref="P1625" r:id="rId4948"/>
    <hyperlink xmlns:r="http://schemas.openxmlformats.org/officeDocument/2006/relationships" ref="R1625" r:id="rId4949"/>
    <hyperlink xmlns:r="http://schemas.openxmlformats.org/officeDocument/2006/relationships" ref="W1625" r:id="rId4950"/>
    <hyperlink xmlns:r="http://schemas.openxmlformats.org/officeDocument/2006/relationships" ref="D1626" r:id="rId4951"/>
    <hyperlink xmlns:r="http://schemas.openxmlformats.org/officeDocument/2006/relationships" ref="E1626" r:id="rId4952"/>
    <hyperlink xmlns:r="http://schemas.openxmlformats.org/officeDocument/2006/relationships" ref="R1626" r:id="rId4953"/>
    <hyperlink xmlns:r="http://schemas.openxmlformats.org/officeDocument/2006/relationships" ref="S1626" r:id="rId4954"/>
    <hyperlink xmlns:r="http://schemas.openxmlformats.org/officeDocument/2006/relationships" ref="W1626" r:id="rId4955"/>
    <hyperlink xmlns:r="http://schemas.openxmlformats.org/officeDocument/2006/relationships" ref="E1627" r:id="rId4956"/>
    <hyperlink xmlns:r="http://schemas.openxmlformats.org/officeDocument/2006/relationships" ref="W1627" r:id="rId4957"/>
    <hyperlink xmlns:r="http://schemas.openxmlformats.org/officeDocument/2006/relationships" ref="E1628" r:id="rId4958"/>
    <hyperlink xmlns:r="http://schemas.openxmlformats.org/officeDocument/2006/relationships" ref="R1628" r:id="rId4959"/>
    <hyperlink xmlns:r="http://schemas.openxmlformats.org/officeDocument/2006/relationships" ref="W1628" r:id="rId4960"/>
    <hyperlink xmlns:r="http://schemas.openxmlformats.org/officeDocument/2006/relationships" ref="E1629" r:id="rId4961"/>
    <hyperlink xmlns:r="http://schemas.openxmlformats.org/officeDocument/2006/relationships" ref="P1629" r:id="rId4962"/>
    <hyperlink xmlns:r="http://schemas.openxmlformats.org/officeDocument/2006/relationships" ref="Q1629" r:id="rId4963"/>
    <hyperlink xmlns:r="http://schemas.openxmlformats.org/officeDocument/2006/relationships" ref="R1629" r:id="rId4964"/>
    <hyperlink xmlns:r="http://schemas.openxmlformats.org/officeDocument/2006/relationships" ref="W1629" r:id="rId4965"/>
    <hyperlink xmlns:r="http://schemas.openxmlformats.org/officeDocument/2006/relationships" ref="AC1629" r:id="rId4966"/>
    <hyperlink xmlns:r="http://schemas.openxmlformats.org/officeDocument/2006/relationships" ref="E1630" r:id="rId4967"/>
    <hyperlink xmlns:r="http://schemas.openxmlformats.org/officeDocument/2006/relationships" ref="P1630" r:id="rId4968"/>
    <hyperlink xmlns:r="http://schemas.openxmlformats.org/officeDocument/2006/relationships" ref="R1630" r:id="rId4969"/>
    <hyperlink xmlns:r="http://schemas.openxmlformats.org/officeDocument/2006/relationships" ref="W1630" r:id="rId4970"/>
    <hyperlink xmlns:r="http://schemas.openxmlformats.org/officeDocument/2006/relationships" ref="AC1630" r:id="rId4971"/>
    <hyperlink xmlns:r="http://schemas.openxmlformats.org/officeDocument/2006/relationships" ref="E1631" r:id="rId4972"/>
    <hyperlink xmlns:r="http://schemas.openxmlformats.org/officeDocument/2006/relationships" ref="P1631" r:id="rId4973"/>
    <hyperlink xmlns:r="http://schemas.openxmlformats.org/officeDocument/2006/relationships" ref="Q1631" r:id="rId4974"/>
    <hyperlink xmlns:r="http://schemas.openxmlformats.org/officeDocument/2006/relationships" ref="R1631" r:id="rId4975"/>
    <hyperlink xmlns:r="http://schemas.openxmlformats.org/officeDocument/2006/relationships" ref="W1631" r:id="rId4976"/>
    <hyperlink xmlns:r="http://schemas.openxmlformats.org/officeDocument/2006/relationships" ref="AC1631" r:id="rId4977"/>
    <hyperlink xmlns:r="http://schemas.openxmlformats.org/officeDocument/2006/relationships" ref="E1632" r:id="rId4978"/>
    <hyperlink xmlns:r="http://schemas.openxmlformats.org/officeDocument/2006/relationships" ref="P1632" r:id="rId4979"/>
    <hyperlink xmlns:r="http://schemas.openxmlformats.org/officeDocument/2006/relationships" ref="R1632" r:id="rId4980"/>
    <hyperlink xmlns:r="http://schemas.openxmlformats.org/officeDocument/2006/relationships" ref="W1632" r:id="rId4981"/>
    <hyperlink xmlns:r="http://schemas.openxmlformats.org/officeDocument/2006/relationships" ref="E1633" r:id="rId4982"/>
    <hyperlink xmlns:r="http://schemas.openxmlformats.org/officeDocument/2006/relationships" ref="R1633" r:id="rId4983"/>
    <hyperlink xmlns:r="http://schemas.openxmlformats.org/officeDocument/2006/relationships" ref="W1633" r:id="rId4984"/>
    <hyperlink xmlns:r="http://schemas.openxmlformats.org/officeDocument/2006/relationships" ref="E1634" r:id="rId4985"/>
    <hyperlink xmlns:r="http://schemas.openxmlformats.org/officeDocument/2006/relationships" ref="P1634" r:id="rId4986"/>
    <hyperlink xmlns:r="http://schemas.openxmlformats.org/officeDocument/2006/relationships" ref="R1634" r:id="rId4987"/>
    <hyperlink xmlns:r="http://schemas.openxmlformats.org/officeDocument/2006/relationships" ref="W1634" r:id="rId4988"/>
    <hyperlink xmlns:r="http://schemas.openxmlformats.org/officeDocument/2006/relationships" ref="E1635" r:id="rId4989"/>
    <hyperlink xmlns:r="http://schemas.openxmlformats.org/officeDocument/2006/relationships" ref="R1635" r:id="rId4990"/>
    <hyperlink xmlns:r="http://schemas.openxmlformats.org/officeDocument/2006/relationships" ref="W1635" r:id="rId4991"/>
    <hyperlink xmlns:r="http://schemas.openxmlformats.org/officeDocument/2006/relationships" ref="E1636" r:id="rId4992"/>
    <hyperlink xmlns:r="http://schemas.openxmlformats.org/officeDocument/2006/relationships" ref="R1636" r:id="rId4993"/>
    <hyperlink xmlns:r="http://schemas.openxmlformats.org/officeDocument/2006/relationships" ref="W1636" r:id="rId4994"/>
    <hyperlink xmlns:r="http://schemas.openxmlformats.org/officeDocument/2006/relationships" ref="E1637" r:id="rId4995"/>
    <hyperlink xmlns:r="http://schemas.openxmlformats.org/officeDocument/2006/relationships" ref="R1637" r:id="rId4996"/>
    <hyperlink xmlns:r="http://schemas.openxmlformats.org/officeDocument/2006/relationships" ref="W1637" r:id="rId4997"/>
    <hyperlink xmlns:r="http://schemas.openxmlformats.org/officeDocument/2006/relationships" ref="E1638" r:id="rId4998"/>
    <hyperlink xmlns:r="http://schemas.openxmlformats.org/officeDocument/2006/relationships" ref="P1638" r:id="rId4999"/>
    <hyperlink xmlns:r="http://schemas.openxmlformats.org/officeDocument/2006/relationships" ref="Q1638" r:id="rId5000"/>
    <hyperlink xmlns:r="http://schemas.openxmlformats.org/officeDocument/2006/relationships" ref="R1638" r:id="rId5001"/>
    <hyperlink xmlns:r="http://schemas.openxmlformats.org/officeDocument/2006/relationships" ref="W1638" r:id="rId5002"/>
    <hyperlink xmlns:r="http://schemas.openxmlformats.org/officeDocument/2006/relationships" ref="AC1638" r:id="rId5003"/>
    <hyperlink xmlns:r="http://schemas.openxmlformats.org/officeDocument/2006/relationships" ref="E1639" r:id="rId5004"/>
    <hyperlink xmlns:r="http://schemas.openxmlformats.org/officeDocument/2006/relationships" ref="P1639" r:id="rId5005"/>
    <hyperlink xmlns:r="http://schemas.openxmlformats.org/officeDocument/2006/relationships" ref="R1639" r:id="rId5006"/>
    <hyperlink xmlns:r="http://schemas.openxmlformats.org/officeDocument/2006/relationships" ref="W1639" r:id="rId5007"/>
    <hyperlink xmlns:r="http://schemas.openxmlformats.org/officeDocument/2006/relationships" ref="AC1639" r:id="rId5008"/>
    <hyperlink xmlns:r="http://schemas.openxmlformats.org/officeDocument/2006/relationships" ref="E1640" r:id="rId5009"/>
    <hyperlink xmlns:r="http://schemas.openxmlformats.org/officeDocument/2006/relationships" ref="P1640" r:id="rId5010"/>
    <hyperlink xmlns:r="http://schemas.openxmlformats.org/officeDocument/2006/relationships" ref="Q1640" r:id="rId5011"/>
    <hyperlink xmlns:r="http://schemas.openxmlformats.org/officeDocument/2006/relationships" ref="R1640" r:id="rId5012"/>
    <hyperlink xmlns:r="http://schemas.openxmlformats.org/officeDocument/2006/relationships" ref="W1640" r:id="rId5013"/>
    <hyperlink xmlns:r="http://schemas.openxmlformats.org/officeDocument/2006/relationships" ref="AC1640" r:id="rId5014"/>
    <hyperlink xmlns:r="http://schemas.openxmlformats.org/officeDocument/2006/relationships" ref="Q1641" r:id="rId5015"/>
    <hyperlink xmlns:r="http://schemas.openxmlformats.org/officeDocument/2006/relationships" ref="R1641" r:id="rId5016"/>
    <hyperlink xmlns:r="http://schemas.openxmlformats.org/officeDocument/2006/relationships" ref="W1641" r:id="rId5017"/>
    <hyperlink xmlns:r="http://schemas.openxmlformats.org/officeDocument/2006/relationships" ref="Q1642" r:id="rId5018"/>
    <hyperlink xmlns:r="http://schemas.openxmlformats.org/officeDocument/2006/relationships" ref="R1642" r:id="rId5019"/>
    <hyperlink xmlns:r="http://schemas.openxmlformats.org/officeDocument/2006/relationships" ref="W1642" r:id="rId5020"/>
    <hyperlink xmlns:r="http://schemas.openxmlformats.org/officeDocument/2006/relationships" ref="E1643" r:id="rId5021"/>
    <hyperlink xmlns:r="http://schemas.openxmlformats.org/officeDocument/2006/relationships" ref="P1643" r:id="rId5022"/>
    <hyperlink xmlns:r="http://schemas.openxmlformats.org/officeDocument/2006/relationships" ref="Q1643" r:id="rId5023"/>
    <hyperlink xmlns:r="http://schemas.openxmlformats.org/officeDocument/2006/relationships" ref="R1643" r:id="rId5024"/>
    <hyperlink xmlns:r="http://schemas.openxmlformats.org/officeDocument/2006/relationships" ref="W1643" r:id="rId5025"/>
    <hyperlink xmlns:r="http://schemas.openxmlformats.org/officeDocument/2006/relationships" ref="AC1643" r:id="rId5026"/>
    <hyperlink xmlns:r="http://schemas.openxmlformats.org/officeDocument/2006/relationships" ref="E1644" r:id="rId5027"/>
    <hyperlink xmlns:r="http://schemas.openxmlformats.org/officeDocument/2006/relationships" ref="W1644" r:id="rId5028"/>
    <hyperlink xmlns:r="http://schemas.openxmlformats.org/officeDocument/2006/relationships" ref="E1645" r:id="rId5029"/>
    <hyperlink xmlns:r="http://schemas.openxmlformats.org/officeDocument/2006/relationships" ref="R1645" r:id="rId5030"/>
    <hyperlink xmlns:r="http://schemas.openxmlformats.org/officeDocument/2006/relationships" ref="W1645" r:id="rId5031"/>
    <hyperlink xmlns:r="http://schemas.openxmlformats.org/officeDocument/2006/relationships" ref="E1646" r:id="rId5032"/>
    <hyperlink xmlns:r="http://schemas.openxmlformats.org/officeDocument/2006/relationships" ref="R1646" r:id="rId5033"/>
    <hyperlink xmlns:r="http://schemas.openxmlformats.org/officeDocument/2006/relationships" ref="W1646" r:id="rId5034"/>
    <hyperlink xmlns:r="http://schemas.openxmlformats.org/officeDocument/2006/relationships" ref="E1647" r:id="rId5035"/>
    <hyperlink xmlns:r="http://schemas.openxmlformats.org/officeDocument/2006/relationships" ref="W1647" r:id="rId5036"/>
    <hyperlink xmlns:r="http://schemas.openxmlformats.org/officeDocument/2006/relationships" ref="E1648" r:id="rId5037"/>
    <hyperlink xmlns:r="http://schemas.openxmlformats.org/officeDocument/2006/relationships" ref="P1648" r:id="rId5038"/>
    <hyperlink xmlns:r="http://schemas.openxmlformats.org/officeDocument/2006/relationships" ref="R1648" r:id="rId5039"/>
    <hyperlink xmlns:r="http://schemas.openxmlformats.org/officeDocument/2006/relationships" ref="W1648" r:id="rId5040"/>
    <hyperlink xmlns:r="http://schemas.openxmlformats.org/officeDocument/2006/relationships" ref="AC1648" r:id="rId5041"/>
    <hyperlink xmlns:r="http://schemas.openxmlformats.org/officeDocument/2006/relationships" ref="E1649" r:id="rId5042"/>
    <hyperlink xmlns:r="http://schemas.openxmlformats.org/officeDocument/2006/relationships" ref="R1649" r:id="rId5043"/>
    <hyperlink xmlns:r="http://schemas.openxmlformats.org/officeDocument/2006/relationships" ref="W1649" r:id="rId5044"/>
    <hyperlink xmlns:r="http://schemas.openxmlformats.org/officeDocument/2006/relationships" ref="E1650" r:id="rId5045"/>
    <hyperlink xmlns:r="http://schemas.openxmlformats.org/officeDocument/2006/relationships" ref="P1650" r:id="rId5046"/>
    <hyperlink xmlns:r="http://schemas.openxmlformats.org/officeDocument/2006/relationships" ref="R1650" r:id="rId5047"/>
    <hyperlink xmlns:r="http://schemas.openxmlformats.org/officeDocument/2006/relationships" ref="W1650" r:id="rId5048"/>
    <hyperlink xmlns:r="http://schemas.openxmlformats.org/officeDocument/2006/relationships" ref="AC1650" r:id="rId5049"/>
    <hyperlink xmlns:r="http://schemas.openxmlformats.org/officeDocument/2006/relationships" ref="E1651" r:id="rId5050"/>
    <hyperlink xmlns:r="http://schemas.openxmlformats.org/officeDocument/2006/relationships" ref="P1651" r:id="rId5051"/>
    <hyperlink xmlns:r="http://schemas.openxmlformats.org/officeDocument/2006/relationships" ref="R1651" r:id="rId5052"/>
    <hyperlink xmlns:r="http://schemas.openxmlformats.org/officeDocument/2006/relationships" ref="W1651" r:id="rId5053"/>
    <hyperlink xmlns:r="http://schemas.openxmlformats.org/officeDocument/2006/relationships" ref="AC1651" r:id="rId5054"/>
    <hyperlink xmlns:r="http://schemas.openxmlformats.org/officeDocument/2006/relationships" ref="E1652" r:id="rId5055"/>
    <hyperlink xmlns:r="http://schemas.openxmlformats.org/officeDocument/2006/relationships" ref="R1652" r:id="rId5056"/>
    <hyperlink xmlns:r="http://schemas.openxmlformats.org/officeDocument/2006/relationships" ref="W1652" r:id="rId5057"/>
    <hyperlink xmlns:r="http://schemas.openxmlformats.org/officeDocument/2006/relationships" ref="E1653" r:id="rId5058"/>
    <hyperlink xmlns:r="http://schemas.openxmlformats.org/officeDocument/2006/relationships" ref="R1653" r:id="rId5059"/>
    <hyperlink xmlns:r="http://schemas.openxmlformats.org/officeDocument/2006/relationships" ref="W1653" r:id="rId5060"/>
    <hyperlink xmlns:r="http://schemas.openxmlformats.org/officeDocument/2006/relationships" ref="E1654" r:id="rId5061"/>
    <hyperlink xmlns:r="http://schemas.openxmlformats.org/officeDocument/2006/relationships" ref="R1654" r:id="rId5062"/>
    <hyperlink xmlns:r="http://schemas.openxmlformats.org/officeDocument/2006/relationships" ref="W1654" r:id="rId5063"/>
    <hyperlink xmlns:r="http://schemas.openxmlformats.org/officeDocument/2006/relationships" ref="E1655" r:id="rId5064"/>
    <hyperlink xmlns:r="http://schemas.openxmlformats.org/officeDocument/2006/relationships" ref="R1655" r:id="rId5065"/>
    <hyperlink xmlns:r="http://schemas.openxmlformats.org/officeDocument/2006/relationships" ref="W1655" r:id="rId5066"/>
    <hyperlink xmlns:r="http://schemas.openxmlformats.org/officeDocument/2006/relationships" ref="AC1655" r:id="rId5067"/>
    <hyperlink xmlns:r="http://schemas.openxmlformats.org/officeDocument/2006/relationships" ref="E1656" r:id="rId5068"/>
    <hyperlink xmlns:r="http://schemas.openxmlformats.org/officeDocument/2006/relationships" ref="R1656" r:id="rId5069"/>
    <hyperlink xmlns:r="http://schemas.openxmlformats.org/officeDocument/2006/relationships" ref="W1656" r:id="rId5070"/>
    <hyperlink xmlns:r="http://schemas.openxmlformats.org/officeDocument/2006/relationships" ref="E1657" r:id="rId5071"/>
    <hyperlink xmlns:r="http://schemas.openxmlformats.org/officeDocument/2006/relationships" ref="P1657" r:id="rId5072"/>
    <hyperlink xmlns:r="http://schemas.openxmlformats.org/officeDocument/2006/relationships" ref="Q1657" r:id="rId5073"/>
    <hyperlink xmlns:r="http://schemas.openxmlformats.org/officeDocument/2006/relationships" ref="R1657" r:id="rId5074"/>
    <hyperlink xmlns:r="http://schemas.openxmlformats.org/officeDocument/2006/relationships" ref="W1657" r:id="rId5075"/>
    <hyperlink xmlns:r="http://schemas.openxmlformats.org/officeDocument/2006/relationships" ref="AC1657" r:id="rId5076"/>
    <hyperlink xmlns:r="http://schemas.openxmlformats.org/officeDocument/2006/relationships" ref="E1658" r:id="rId5077"/>
    <hyperlink xmlns:r="http://schemas.openxmlformats.org/officeDocument/2006/relationships" ref="P1658" r:id="rId5078"/>
    <hyperlink xmlns:r="http://schemas.openxmlformats.org/officeDocument/2006/relationships" ref="R1658" r:id="rId5079"/>
    <hyperlink xmlns:r="http://schemas.openxmlformats.org/officeDocument/2006/relationships" ref="S1658" r:id="rId5080"/>
    <hyperlink xmlns:r="http://schemas.openxmlformats.org/officeDocument/2006/relationships" ref="U1658" r:id="rId5081"/>
    <hyperlink xmlns:r="http://schemas.openxmlformats.org/officeDocument/2006/relationships" ref="W1658" r:id="rId5082"/>
    <hyperlink xmlns:r="http://schemas.openxmlformats.org/officeDocument/2006/relationships" ref="AC1658" r:id="rId5083"/>
    <hyperlink xmlns:r="http://schemas.openxmlformats.org/officeDocument/2006/relationships" ref="E1659" r:id="rId5084"/>
    <hyperlink xmlns:r="http://schemas.openxmlformats.org/officeDocument/2006/relationships" ref="R1659" r:id="rId5085"/>
    <hyperlink xmlns:r="http://schemas.openxmlformats.org/officeDocument/2006/relationships" ref="W1659" r:id="rId5086"/>
    <hyperlink xmlns:r="http://schemas.openxmlformats.org/officeDocument/2006/relationships" ref="E1660" r:id="rId5087"/>
    <hyperlink xmlns:r="http://schemas.openxmlformats.org/officeDocument/2006/relationships" ref="W1660" r:id="rId5088"/>
    <hyperlink xmlns:r="http://schemas.openxmlformats.org/officeDocument/2006/relationships" ref="E1661" r:id="rId5089"/>
    <hyperlink xmlns:r="http://schemas.openxmlformats.org/officeDocument/2006/relationships" ref="R1661" r:id="rId5090"/>
    <hyperlink xmlns:r="http://schemas.openxmlformats.org/officeDocument/2006/relationships" ref="W1661" r:id="rId5091"/>
    <hyperlink xmlns:r="http://schemas.openxmlformats.org/officeDocument/2006/relationships" ref="E1662" r:id="rId5092"/>
    <hyperlink xmlns:r="http://schemas.openxmlformats.org/officeDocument/2006/relationships" ref="R1662" r:id="rId5093"/>
    <hyperlink xmlns:r="http://schemas.openxmlformats.org/officeDocument/2006/relationships" ref="W1662" r:id="rId5094"/>
    <hyperlink xmlns:r="http://schemas.openxmlformats.org/officeDocument/2006/relationships" ref="E1663" r:id="rId5095"/>
    <hyperlink xmlns:r="http://schemas.openxmlformats.org/officeDocument/2006/relationships" ref="R1663" r:id="rId5096"/>
    <hyperlink xmlns:r="http://schemas.openxmlformats.org/officeDocument/2006/relationships" ref="W1663" r:id="rId5097"/>
    <hyperlink xmlns:r="http://schemas.openxmlformats.org/officeDocument/2006/relationships" ref="AC1663" r:id="rId5098"/>
    <hyperlink xmlns:r="http://schemas.openxmlformats.org/officeDocument/2006/relationships" ref="E1664" r:id="rId5099"/>
    <hyperlink xmlns:r="http://schemas.openxmlformats.org/officeDocument/2006/relationships" ref="P1664" r:id="rId5100"/>
    <hyperlink xmlns:r="http://schemas.openxmlformats.org/officeDocument/2006/relationships" ref="Q1664" r:id="rId5101"/>
    <hyperlink xmlns:r="http://schemas.openxmlformats.org/officeDocument/2006/relationships" ref="R1664" r:id="rId5102"/>
    <hyperlink xmlns:r="http://schemas.openxmlformats.org/officeDocument/2006/relationships" ref="W1664" r:id="rId5103"/>
    <hyperlink xmlns:r="http://schemas.openxmlformats.org/officeDocument/2006/relationships" ref="AC1664" r:id="rId5104"/>
    <hyperlink xmlns:r="http://schemas.openxmlformats.org/officeDocument/2006/relationships" ref="E1665" r:id="rId5105"/>
    <hyperlink xmlns:r="http://schemas.openxmlformats.org/officeDocument/2006/relationships" ref="R1665" r:id="rId5106"/>
    <hyperlink xmlns:r="http://schemas.openxmlformats.org/officeDocument/2006/relationships" ref="W1665" r:id="rId5107"/>
    <hyperlink xmlns:r="http://schemas.openxmlformats.org/officeDocument/2006/relationships" ref="E1666" r:id="rId5108"/>
    <hyperlink xmlns:r="http://schemas.openxmlformats.org/officeDocument/2006/relationships" ref="W1666" r:id="rId5109"/>
    <hyperlink xmlns:r="http://schemas.openxmlformats.org/officeDocument/2006/relationships" ref="E1667" r:id="rId5110"/>
    <hyperlink xmlns:r="http://schemas.openxmlformats.org/officeDocument/2006/relationships" ref="P1667" r:id="rId5111"/>
    <hyperlink xmlns:r="http://schemas.openxmlformats.org/officeDocument/2006/relationships" ref="R1667" r:id="rId5112"/>
    <hyperlink xmlns:r="http://schemas.openxmlformats.org/officeDocument/2006/relationships" ref="W1667" r:id="rId5113"/>
    <hyperlink xmlns:r="http://schemas.openxmlformats.org/officeDocument/2006/relationships" ref="E1668" r:id="rId5114"/>
    <hyperlink xmlns:r="http://schemas.openxmlformats.org/officeDocument/2006/relationships" ref="P1668" r:id="rId5115"/>
    <hyperlink xmlns:r="http://schemas.openxmlformats.org/officeDocument/2006/relationships" ref="R1668" r:id="rId5116"/>
    <hyperlink xmlns:r="http://schemas.openxmlformats.org/officeDocument/2006/relationships" ref="W1668" r:id="rId5117"/>
    <hyperlink xmlns:r="http://schemas.openxmlformats.org/officeDocument/2006/relationships" ref="E1669" r:id="rId5118"/>
    <hyperlink xmlns:r="http://schemas.openxmlformats.org/officeDocument/2006/relationships" ref="P1669" r:id="rId5119"/>
    <hyperlink xmlns:r="http://schemas.openxmlformats.org/officeDocument/2006/relationships" ref="R1669" r:id="rId5120"/>
    <hyperlink xmlns:r="http://schemas.openxmlformats.org/officeDocument/2006/relationships" ref="W1669" r:id="rId5121"/>
    <hyperlink xmlns:r="http://schemas.openxmlformats.org/officeDocument/2006/relationships" ref="AC1669" r:id="rId5122"/>
    <hyperlink xmlns:r="http://schemas.openxmlformats.org/officeDocument/2006/relationships" ref="E1670" r:id="rId5123"/>
    <hyperlink xmlns:r="http://schemas.openxmlformats.org/officeDocument/2006/relationships" ref="R1670" r:id="rId5124"/>
    <hyperlink xmlns:r="http://schemas.openxmlformats.org/officeDocument/2006/relationships" ref="W1670" r:id="rId5125"/>
    <hyperlink xmlns:r="http://schemas.openxmlformats.org/officeDocument/2006/relationships" ref="E1671" r:id="rId5126"/>
    <hyperlink xmlns:r="http://schemas.openxmlformats.org/officeDocument/2006/relationships" ref="R1671" r:id="rId5127"/>
    <hyperlink xmlns:r="http://schemas.openxmlformats.org/officeDocument/2006/relationships" ref="W1671" r:id="rId5128"/>
    <hyperlink xmlns:r="http://schemas.openxmlformats.org/officeDocument/2006/relationships" ref="E1672" r:id="rId5129"/>
    <hyperlink xmlns:r="http://schemas.openxmlformats.org/officeDocument/2006/relationships" ref="R1672" r:id="rId5130"/>
    <hyperlink xmlns:r="http://schemas.openxmlformats.org/officeDocument/2006/relationships" ref="W1672" r:id="rId5131"/>
    <hyperlink xmlns:r="http://schemas.openxmlformats.org/officeDocument/2006/relationships" ref="E1673" r:id="rId5132"/>
    <hyperlink xmlns:r="http://schemas.openxmlformats.org/officeDocument/2006/relationships" ref="P1673" r:id="rId5133"/>
    <hyperlink xmlns:r="http://schemas.openxmlformats.org/officeDocument/2006/relationships" ref="R1673" r:id="rId5134"/>
    <hyperlink xmlns:r="http://schemas.openxmlformats.org/officeDocument/2006/relationships" ref="W1673" r:id="rId5135"/>
    <hyperlink xmlns:r="http://schemas.openxmlformats.org/officeDocument/2006/relationships" ref="E1674" r:id="rId5136"/>
    <hyperlink xmlns:r="http://schemas.openxmlformats.org/officeDocument/2006/relationships" ref="P1674" r:id="rId5137"/>
    <hyperlink xmlns:r="http://schemas.openxmlformats.org/officeDocument/2006/relationships" ref="R1674" r:id="rId5138"/>
    <hyperlink xmlns:r="http://schemas.openxmlformats.org/officeDocument/2006/relationships" ref="W1674" r:id="rId5139"/>
    <hyperlink xmlns:r="http://schemas.openxmlformats.org/officeDocument/2006/relationships" ref="E1675" r:id="rId5140"/>
    <hyperlink xmlns:r="http://schemas.openxmlformats.org/officeDocument/2006/relationships" ref="R1675" r:id="rId5141"/>
    <hyperlink xmlns:r="http://schemas.openxmlformats.org/officeDocument/2006/relationships" ref="W1675" r:id="rId5142"/>
    <hyperlink xmlns:r="http://schemas.openxmlformats.org/officeDocument/2006/relationships" ref="E1676" r:id="rId5143"/>
    <hyperlink xmlns:r="http://schemas.openxmlformats.org/officeDocument/2006/relationships" ref="W1676" r:id="rId5144"/>
    <hyperlink xmlns:r="http://schemas.openxmlformats.org/officeDocument/2006/relationships" ref="E1677" r:id="rId5145"/>
    <hyperlink xmlns:r="http://schemas.openxmlformats.org/officeDocument/2006/relationships" ref="Q1677" r:id="rId5146"/>
    <hyperlink xmlns:r="http://schemas.openxmlformats.org/officeDocument/2006/relationships" ref="R1677" r:id="rId5147"/>
    <hyperlink xmlns:r="http://schemas.openxmlformats.org/officeDocument/2006/relationships" ref="W1677" r:id="rId5148"/>
    <hyperlink xmlns:r="http://schemas.openxmlformats.org/officeDocument/2006/relationships" ref="AC1677" r:id="rId5149"/>
    <hyperlink xmlns:r="http://schemas.openxmlformats.org/officeDocument/2006/relationships" ref="E1678" r:id="rId5150"/>
    <hyperlink xmlns:r="http://schemas.openxmlformats.org/officeDocument/2006/relationships" ref="P1678" r:id="rId5151"/>
    <hyperlink xmlns:r="http://schemas.openxmlformats.org/officeDocument/2006/relationships" ref="R1678" r:id="rId5152"/>
    <hyperlink xmlns:r="http://schemas.openxmlformats.org/officeDocument/2006/relationships" ref="W1678" r:id="rId5153"/>
    <hyperlink xmlns:r="http://schemas.openxmlformats.org/officeDocument/2006/relationships" ref="AC1678" r:id="rId5154"/>
    <hyperlink xmlns:r="http://schemas.openxmlformats.org/officeDocument/2006/relationships" ref="E1679" r:id="rId5155"/>
    <hyperlink xmlns:r="http://schemas.openxmlformats.org/officeDocument/2006/relationships" ref="R1679" r:id="rId5156"/>
    <hyperlink xmlns:r="http://schemas.openxmlformats.org/officeDocument/2006/relationships" ref="W1679" r:id="rId5157"/>
    <hyperlink xmlns:r="http://schemas.openxmlformats.org/officeDocument/2006/relationships" ref="E1680" r:id="rId5158"/>
    <hyperlink xmlns:r="http://schemas.openxmlformats.org/officeDocument/2006/relationships" ref="R1680" r:id="rId5159"/>
    <hyperlink xmlns:r="http://schemas.openxmlformats.org/officeDocument/2006/relationships" ref="W1680" r:id="rId5160"/>
    <hyperlink xmlns:r="http://schemas.openxmlformats.org/officeDocument/2006/relationships" ref="E1681" r:id="rId5161"/>
    <hyperlink xmlns:r="http://schemas.openxmlformats.org/officeDocument/2006/relationships" ref="P1681" r:id="rId5162"/>
    <hyperlink xmlns:r="http://schemas.openxmlformats.org/officeDocument/2006/relationships" ref="R1681" r:id="rId5163"/>
    <hyperlink xmlns:r="http://schemas.openxmlformats.org/officeDocument/2006/relationships" ref="W1681" r:id="rId5164"/>
    <hyperlink xmlns:r="http://schemas.openxmlformats.org/officeDocument/2006/relationships" ref="E1682" r:id="rId5165"/>
    <hyperlink xmlns:r="http://schemas.openxmlformats.org/officeDocument/2006/relationships" ref="P1682" r:id="rId5166"/>
    <hyperlink xmlns:r="http://schemas.openxmlformats.org/officeDocument/2006/relationships" ref="Q1682" r:id="rId5167"/>
    <hyperlink xmlns:r="http://schemas.openxmlformats.org/officeDocument/2006/relationships" ref="R1682" r:id="rId5168"/>
    <hyperlink xmlns:r="http://schemas.openxmlformats.org/officeDocument/2006/relationships" ref="W1682" r:id="rId5169"/>
    <hyperlink xmlns:r="http://schemas.openxmlformats.org/officeDocument/2006/relationships" ref="AC1682" r:id="rId5170"/>
    <hyperlink xmlns:r="http://schemas.openxmlformats.org/officeDocument/2006/relationships" ref="E1683" r:id="rId5171"/>
    <hyperlink xmlns:r="http://schemas.openxmlformats.org/officeDocument/2006/relationships" ref="P1683" r:id="rId5172"/>
    <hyperlink xmlns:r="http://schemas.openxmlformats.org/officeDocument/2006/relationships" ref="W1683" r:id="rId5173"/>
    <hyperlink xmlns:r="http://schemas.openxmlformats.org/officeDocument/2006/relationships" ref="E1684" r:id="rId5174"/>
    <hyperlink xmlns:r="http://schemas.openxmlformats.org/officeDocument/2006/relationships" ref="Q1684" r:id="rId5175"/>
    <hyperlink xmlns:r="http://schemas.openxmlformats.org/officeDocument/2006/relationships" ref="R1684" r:id="rId5176"/>
    <hyperlink xmlns:r="http://schemas.openxmlformats.org/officeDocument/2006/relationships" ref="W1684" r:id="rId5177"/>
    <hyperlink xmlns:r="http://schemas.openxmlformats.org/officeDocument/2006/relationships" ref="E1685" r:id="rId5178"/>
    <hyperlink xmlns:r="http://schemas.openxmlformats.org/officeDocument/2006/relationships" ref="R1685" r:id="rId5179"/>
    <hyperlink xmlns:r="http://schemas.openxmlformats.org/officeDocument/2006/relationships" ref="W1685" r:id="rId5180"/>
    <hyperlink xmlns:r="http://schemas.openxmlformats.org/officeDocument/2006/relationships" ref="E1686" r:id="rId5181"/>
    <hyperlink xmlns:r="http://schemas.openxmlformats.org/officeDocument/2006/relationships" ref="P1686" r:id="rId5182"/>
    <hyperlink xmlns:r="http://schemas.openxmlformats.org/officeDocument/2006/relationships" ref="R1686" r:id="rId5183"/>
    <hyperlink xmlns:r="http://schemas.openxmlformats.org/officeDocument/2006/relationships" ref="W1686" r:id="rId5184"/>
    <hyperlink xmlns:r="http://schemas.openxmlformats.org/officeDocument/2006/relationships" ref="E1687" r:id="rId5185"/>
    <hyperlink xmlns:r="http://schemas.openxmlformats.org/officeDocument/2006/relationships" ref="R1687" r:id="rId5186"/>
    <hyperlink xmlns:r="http://schemas.openxmlformats.org/officeDocument/2006/relationships" ref="W1687" r:id="rId5187"/>
    <hyperlink xmlns:r="http://schemas.openxmlformats.org/officeDocument/2006/relationships" ref="E1688" r:id="rId5188"/>
    <hyperlink xmlns:r="http://schemas.openxmlformats.org/officeDocument/2006/relationships" ref="P1688" r:id="rId5189"/>
    <hyperlink xmlns:r="http://schemas.openxmlformats.org/officeDocument/2006/relationships" ref="Q1688" r:id="rId5190"/>
    <hyperlink xmlns:r="http://schemas.openxmlformats.org/officeDocument/2006/relationships" ref="R1688" r:id="rId5191"/>
    <hyperlink xmlns:r="http://schemas.openxmlformats.org/officeDocument/2006/relationships" ref="W1688" r:id="rId5192"/>
    <hyperlink xmlns:r="http://schemas.openxmlformats.org/officeDocument/2006/relationships" ref="E1689" r:id="rId5193"/>
    <hyperlink xmlns:r="http://schemas.openxmlformats.org/officeDocument/2006/relationships" ref="R1689" r:id="rId5194"/>
    <hyperlink xmlns:r="http://schemas.openxmlformats.org/officeDocument/2006/relationships" ref="W1689" r:id="rId5195"/>
    <hyperlink xmlns:r="http://schemas.openxmlformats.org/officeDocument/2006/relationships" ref="E1690" r:id="rId5196"/>
    <hyperlink xmlns:r="http://schemas.openxmlformats.org/officeDocument/2006/relationships" ref="R1690" r:id="rId5197"/>
    <hyperlink xmlns:r="http://schemas.openxmlformats.org/officeDocument/2006/relationships" ref="W1690" r:id="rId5198"/>
    <hyperlink xmlns:r="http://schemas.openxmlformats.org/officeDocument/2006/relationships" ref="E1691" r:id="rId5199"/>
    <hyperlink xmlns:r="http://schemas.openxmlformats.org/officeDocument/2006/relationships" ref="P1691" r:id="rId5200"/>
    <hyperlink xmlns:r="http://schemas.openxmlformats.org/officeDocument/2006/relationships" ref="R1691" r:id="rId5201"/>
    <hyperlink xmlns:r="http://schemas.openxmlformats.org/officeDocument/2006/relationships" ref="W1691" r:id="rId5202"/>
    <hyperlink xmlns:r="http://schemas.openxmlformats.org/officeDocument/2006/relationships" ref="AC1691" r:id="rId5203"/>
    <hyperlink xmlns:r="http://schemas.openxmlformats.org/officeDocument/2006/relationships" ref="E1692" r:id="rId5204"/>
    <hyperlink xmlns:r="http://schemas.openxmlformats.org/officeDocument/2006/relationships" ref="P1692" r:id="rId5205"/>
    <hyperlink xmlns:r="http://schemas.openxmlformats.org/officeDocument/2006/relationships" ref="Q1692" r:id="rId5206"/>
    <hyperlink xmlns:r="http://schemas.openxmlformats.org/officeDocument/2006/relationships" ref="R1692" r:id="rId5207"/>
    <hyperlink xmlns:r="http://schemas.openxmlformats.org/officeDocument/2006/relationships" ref="W1692" r:id="rId5208"/>
    <hyperlink xmlns:r="http://schemas.openxmlformats.org/officeDocument/2006/relationships" ref="AC1692" r:id="rId5209"/>
    <hyperlink xmlns:r="http://schemas.openxmlformats.org/officeDocument/2006/relationships" ref="E1693" r:id="rId5210"/>
    <hyperlink xmlns:r="http://schemas.openxmlformats.org/officeDocument/2006/relationships" ref="R1693" r:id="rId5211"/>
    <hyperlink xmlns:r="http://schemas.openxmlformats.org/officeDocument/2006/relationships" ref="W1693" r:id="rId5212"/>
    <hyperlink xmlns:r="http://schemas.openxmlformats.org/officeDocument/2006/relationships" ref="E1694" r:id="rId5213"/>
    <hyperlink xmlns:r="http://schemas.openxmlformats.org/officeDocument/2006/relationships" ref="W1694" r:id="rId5214"/>
    <hyperlink xmlns:r="http://schemas.openxmlformats.org/officeDocument/2006/relationships" ref="E1695" r:id="rId5215"/>
    <hyperlink xmlns:r="http://schemas.openxmlformats.org/officeDocument/2006/relationships" ref="P1695" r:id="rId5216"/>
    <hyperlink xmlns:r="http://schemas.openxmlformats.org/officeDocument/2006/relationships" ref="Q1695" r:id="rId5217"/>
    <hyperlink xmlns:r="http://schemas.openxmlformats.org/officeDocument/2006/relationships" ref="R1695" r:id="rId5218"/>
    <hyperlink xmlns:r="http://schemas.openxmlformats.org/officeDocument/2006/relationships" ref="W1695" r:id="rId5219"/>
    <hyperlink xmlns:r="http://schemas.openxmlformats.org/officeDocument/2006/relationships" ref="AC1695" r:id="rId5220"/>
    <hyperlink xmlns:r="http://schemas.openxmlformats.org/officeDocument/2006/relationships" ref="E1696" r:id="rId5221"/>
    <hyperlink xmlns:r="http://schemas.openxmlformats.org/officeDocument/2006/relationships" ref="R1696" r:id="rId5222"/>
    <hyperlink xmlns:r="http://schemas.openxmlformats.org/officeDocument/2006/relationships" ref="W1696" r:id="rId5223"/>
    <hyperlink xmlns:r="http://schemas.openxmlformats.org/officeDocument/2006/relationships" ref="E1697" r:id="rId5224"/>
    <hyperlink xmlns:r="http://schemas.openxmlformats.org/officeDocument/2006/relationships" ref="R1697" r:id="rId5225"/>
    <hyperlink xmlns:r="http://schemas.openxmlformats.org/officeDocument/2006/relationships" ref="W1697" r:id="rId5226"/>
    <hyperlink xmlns:r="http://schemas.openxmlformats.org/officeDocument/2006/relationships" ref="E1698" r:id="rId5227"/>
    <hyperlink xmlns:r="http://schemas.openxmlformats.org/officeDocument/2006/relationships" ref="R1698" r:id="rId5228"/>
    <hyperlink xmlns:r="http://schemas.openxmlformats.org/officeDocument/2006/relationships" ref="W1698" r:id="rId5229"/>
    <hyperlink xmlns:r="http://schemas.openxmlformats.org/officeDocument/2006/relationships" ref="E1699" r:id="rId5230"/>
    <hyperlink xmlns:r="http://schemas.openxmlformats.org/officeDocument/2006/relationships" ref="R1699" r:id="rId5231"/>
    <hyperlink xmlns:r="http://schemas.openxmlformats.org/officeDocument/2006/relationships" ref="W1699" r:id="rId5232"/>
    <hyperlink xmlns:r="http://schemas.openxmlformats.org/officeDocument/2006/relationships" ref="E1700" r:id="rId5233"/>
    <hyperlink xmlns:r="http://schemas.openxmlformats.org/officeDocument/2006/relationships" ref="R1700" r:id="rId5234"/>
    <hyperlink xmlns:r="http://schemas.openxmlformats.org/officeDocument/2006/relationships" ref="W1700" r:id="rId5235"/>
    <hyperlink xmlns:r="http://schemas.openxmlformats.org/officeDocument/2006/relationships" ref="E1701" r:id="rId5236"/>
    <hyperlink xmlns:r="http://schemas.openxmlformats.org/officeDocument/2006/relationships" ref="R1701" r:id="rId5237"/>
    <hyperlink xmlns:r="http://schemas.openxmlformats.org/officeDocument/2006/relationships" ref="W1701" r:id="rId5238"/>
    <hyperlink xmlns:r="http://schemas.openxmlformats.org/officeDocument/2006/relationships" ref="E1702" r:id="rId5239"/>
    <hyperlink xmlns:r="http://schemas.openxmlformats.org/officeDocument/2006/relationships" ref="R1702" r:id="rId5240"/>
    <hyperlink xmlns:r="http://schemas.openxmlformats.org/officeDocument/2006/relationships" ref="W1702" r:id="rId5241"/>
    <hyperlink xmlns:r="http://schemas.openxmlformats.org/officeDocument/2006/relationships" ref="E1703" r:id="rId5242"/>
    <hyperlink xmlns:r="http://schemas.openxmlformats.org/officeDocument/2006/relationships" ref="W1703" r:id="rId5243"/>
    <hyperlink xmlns:r="http://schemas.openxmlformats.org/officeDocument/2006/relationships" ref="E1704" r:id="rId5244"/>
    <hyperlink xmlns:r="http://schemas.openxmlformats.org/officeDocument/2006/relationships" ref="P1704" r:id="rId5245"/>
    <hyperlink xmlns:r="http://schemas.openxmlformats.org/officeDocument/2006/relationships" ref="Q1704" r:id="rId5246"/>
    <hyperlink xmlns:r="http://schemas.openxmlformats.org/officeDocument/2006/relationships" ref="R1704" r:id="rId5247"/>
    <hyperlink xmlns:r="http://schemas.openxmlformats.org/officeDocument/2006/relationships" ref="W1704" r:id="rId5248"/>
    <hyperlink xmlns:r="http://schemas.openxmlformats.org/officeDocument/2006/relationships" ref="AC1704" r:id="rId5249"/>
    <hyperlink xmlns:r="http://schemas.openxmlformats.org/officeDocument/2006/relationships" ref="E1705" r:id="rId5250"/>
    <hyperlink xmlns:r="http://schemas.openxmlformats.org/officeDocument/2006/relationships" ref="P1705" r:id="rId5251"/>
    <hyperlink xmlns:r="http://schemas.openxmlformats.org/officeDocument/2006/relationships" ref="Q1705" r:id="rId5252"/>
    <hyperlink xmlns:r="http://schemas.openxmlformats.org/officeDocument/2006/relationships" ref="R1705" r:id="rId5253"/>
    <hyperlink xmlns:r="http://schemas.openxmlformats.org/officeDocument/2006/relationships" ref="W1705" r:id="rId5254"/>
    <hyperlink xmlns:r="http://schemas.openxmlformats.org/officeDocument/2006/relationships" ref="E1706" r:id="rId5255"/>
    <hyperlink xmlns:r="http://schemas.openxmlformats.org/officeDocument/2006/relationships" ref="P1706" r:id="rId5256"/>
    <hyperlink xmlns:r="http://schemas.openxmlformats.org/officeDocument/2006/relationships" ref="R1706" r:id="rId5257"/>
    <hyperlink xmlns:r="http://schemas.openxmlformats.org/officeDocument/2006/relationships" ref="W1706" r:id="rId5258"/>
    <hyperlink xmlns:r="http://schemas.openxmlformats.org/officeDocument/2006/relationships" ref="E1707" r:id="rId5259"/>
    <hyperlink xmlns:r="http://schemas.openxmlformats.org/officeDocument/2006/relationships" ref="P1707" r:id="rId5260"/>
    <hyperlink xmlns:r="http://schemas.openxmlformats.org/officeDocument/2006/relationships" ref="R1707" r:id="rId5261"/>
    <hyperlink xmlns:r="http://schemas.openxmlformats.org/officeDocument/2006/relationships" ref="W1707" r:id="rId5262"/>
    <hyperlink xmlns:r="http://schemas.openxmlformats.org/officeDocument/2006/relationships" ref="E1708" r:id="rId5263"/>
    <hyperlink xmlns:r="http://schemas.openxmlformats.org/officeDocument/2006/relationships" ref="W1708" r:id="rId5264"/>
    <hyperlink xmlns:r="http://schemas.openxmlformats.org/officeDocument/2006/relationships" ref="E1709" r:id="rId5265"/>
    <hyperlink xmlns:r="http://schemas.openxmlformats.org/officeDocument/2006/relationships" ref="P1709" r:id="rId5266"/>
    <hyperlink xmlns:r="http://schemas.openxmlformats.org/officeDocument/2006/relationships" ref="R1709" r:id="rId5267"/>
    <hyperlink xmlns:r="http://schemas.openxmlformats.org/officeDocument/2006/relationships" ref="W1709" r:id="rId5268"/>
    <hyperlink xmlns:r="http://schemas.openxmlformats.org/officeDocument/2006/relationships" ref="E1710" r:id="rId5269"/>
    <hyperlink xmlns:r="http://schemas.openxmlformats.org/officeDocument/2006/relationships" ref="W1710" r:id="rId5270"/>
    <hyperlink xmlns:r="http://schemas.openxmlformats.org/officeDocument/2006/relationships" ref="E1711" r:id="rId5271"/>
    <hyperlink xmlns:r="http://schemas.openxmlformats.org/officeDocument/2006/relationships" ref="R1711" r:id="rId5272"/>
    <hyperlink xmlns:r="http://schemas.openxmlformats.org/officeDocument/2006/relationships" ref="W1711" r:id="rId5273"/>
    <hyperlink xmlns:r="http://schemas.openxmlformats.org/officeDocument/2006/relationships" ref="E1712" r:id="rId5274"/>
    <hyperlink xmlns:r="http://schemas.openxmlformats.org/officeDocument/2006/relationships" ref="P1712" r:id="rId5275"/>
    <hyperlink xmlns:r="http://schemas.openxmlformats.org/officeDocument/2006/relationships" ref="R1712" r:id="rId5276"/>
    <hyperlink xmlns:r="http://schemas.openxmlformats.org/officeDocument/2006/relationships" ref="W1712" r:id="rId5277"/>
    <hyperlink xmlns:r="http://schemas.openxmlformats.org/officeDocument/2006/relationships" ref="E1713" r:id="rId5278"/>
    <hyperlink xmlns:r="http://schemas.openxmlformats.org/officeDocument/2006/relationships" ref="P1713" r:id="rId5279"/>
    <hyperlink xmlns:r="http://schemas.openxmlformats.org/officeDocument/2006/relationships" ref="R1713" r:id="rId5280"/>
    <hyperlink xmlns:r="http://schemas.openxmlformats.org/officeDocument/2006/relationships" ref="W1713" r:id="rId5281"/>
    <hyperlink xmlns:r="http://schemas.openxmlformats.org/officeDocument/2006/relationships" ref="AC1713" r:id="rId5282"/>
    <hyperlink xmlns:r="http://schemas.openxmlformats.org/officeDocument/2006/relationships" ref="E1714" r:id="rId5283"/>
    <hyperlink xmlns:r="http://schemas.openxmlformats.org/officeDocument/2006/relationships" ref="P1714" r:id="rId5284"/>
    <hyperlink xmlns:r="http://schemas.openxmlformats.org/officeDocument/2006/relationships" ref="R1714" r:id="rId5285"/>
    <hyperlink xmlns:r="http://schemas.openxmlformats.org/officeDocument/2006/relationships" ref="W1714" r:id="rId5286"/>
    <hyperlink xmlns:r="http://schemas.openxmlformats.org/officeDocument/2006/relationships" ref="AC1714" r:id="rId5287"/>
    <hyperlink xmlns:r="http://schemas.openxmlformats.org/officeDocument/2006/relationships" ref="E1715" r:id="rId5288"/>
    <hyperlink xmlns:r="http://schemas.openxmlformats.org/officeDocument/2006/relationships" ref="P1715" r:id="rId5289"/>
    <hyperlink xmlns:r="http://schemas.openxmlformats.org/officeDocument/2006/relationships" ref="R1715" r:id="rId5290"/>
    <hyperlink xmlns:r="http://schemas.openxmlformats.org/officeDocument/2006/relationships" ref="W1715" r:id="rId5291"/>
    <hyperlink xmlns:r="http://schemas.openxmlformats.org/officeDocument/2006/relationships" ref="AC1715" r:id="rId5292"/>
    <hyperlink xmlns:r="http://schemas.openxmlformats.org/officeDocument/2006/relationships" ref="E1716" r:id="rId5293"/>
    <hyperlink xmlns:r="http://schemas.openxmlformats.org/officeDocument/2006/relationships" ref="P1716" r:id="rId5294"/>
    <hyperlink xmlns:r="http://schemas.openxmlformats.org/officeDocument/2006/relationships" ref="R1716" r:id="rId5295"/>
    <hyperlink xmlns:r="http://schemas.openxmlformats.org/officeDocument/2006/relationships" ref="W1716" r:id="rId5296"/>
    <hyperlink xmlns:r="http://schemas.openxmlformats.org/officeDocument/2006/relationships" ref="AC1716" r:id="rId5297"/>
  </hyperlink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E156"/>
  <sheetViews>
    <sheetView workbookViewId="0">
      <selection activeCell="I1" sqref="I1:J1048576"/>
    </sheetView>
  </sheetViews>
  <sheetFormatPr baseColWidth="8" defaultColWidth="12.6328125" defaultRowHeight="15.75" customHeight="1"/>
  <sheetData>
    <row r="1" ht="15.75" customHeight="1">
      <c r="A1" s="1" t="inlineStr">
        <is>
          <t>last_update_date</t>
        </is>
      </c>
      <c r="B1" s="1" t="inlineStr">
        <is>
          <t>org_id</t>
        </is>
      </c>
      <c r="C1" s="1" t="inlineStr">
        <is>
          <t>is_current</t>
        </is>
      </c>
      <c r="D1" s="1" t="inlineStr">
        <is>
          <t>public_name</t>
        </is>
      </c>
      <c r="E1" s="1" t="inlineStr">
        <is>
          <t>website</t>
        </is>
      </c>
      <c r="F1" t="inlineStr">
        <is>
          <t>website_standardized</t>
        </is>
      </c>
      <c r="G1" s="1" t="inlineStr">
        <is>
          <t>org_desc</t>
        </is>
      </c>
      <c r="H1" s="1" t="inlineStr">
        <is>
          <t>member_association</t>
        </is>
      </c>
      <c r="I1" s="1" t="inlineStr">
        <is>
          <t>product_language</t>
        </is>
      </c>
      <c r="J1" s="1" t="inlineStr">
        <is>
          <t>city</t>
        </is>
      </c>
      <c r="K1" s="1" t="inlineStr">
        <is>
          <t>country</t>
        </is>
      </c>
      <c r="L1" s="1" t="inlineStr">
        <is>
          <t>sell_countries</t>
        </is>
      </c>
      <c r="M1" s="1" t="inlineStr">
        <is>
          <t>employees_number</t>
        </is>
      </c>
      <c r="N1" s="1" t="inlineStr">
        <is>
          <t>business_model</t>
        </is>
      </c>
      <c r="O1" s="1" t="inlineStr">
        <is>
          <t>market_segments</t>
        </is>
      </c>
      <c r="P1" s="1" t="inlineStr">
        <is>
          <t>target_audience</t>
        </is>
      </c>
      <c r="Q1" s="1" t="inlineStr">
        <is>
          <t>product_1_name</t>
        </is>
      </c>
      <c r="R1" s="1" t="inlineStr">
        <is>
          <t>product_1_desc</t>
        </is>
      </c>
      <c r="S1" s="1" t="inlineStr">
        <is>
          <t>product_2_name</t>
        </is>
      </c>
      <c r="T1" t="inlineStr">
        <is>
          <t>product_2_desc</t>
        </is>
      </c>
      <c r="U1" s="1" t="inlineStr">
        <is>
          <t>WeMap_URL</t>
        </is>
      </c>
      <c r="V1" s="1" t="inlineStr">
        <is>
          <t>verified</t>
        </is>
      </c>
      <c r="W1" s="1" t="inlineStr">
        <is>
          <t>partnerships</t>
        </is>
      </c>
      <c r="X1" s="1" t="inlineStr">
        <is>
          <t>profit_status</t>
        </is>
      </c>
      <c r="Y1" s="1" t="inlineStr">
        <is>
          <t>edu_settings</t>
        </is>
      </c>
      <c r="Z1" s="1" t="inlineStr">
        <is>
          <t>edu_content</t>
        </is>
      </c>
      <c r="AA1" s="1" t="inlineStr">
        <is>
          <t>socials_available</t>
        </is>
      </c>
      <c r="AB1" s="1" t="inlineStr">
        <is>
          <t>socials_insta</t>
        </is>
      </c>
      <c r="AC1" s="1" t="inlineStr">
        <is>
          <t>socials_x</t>
        </is>
      </c>
      <c r="AD1" s="1" t="inlineStr">
        <is>
          <t>socials_linkedin</t>
        </is>
      </c>
      <c r="AE1" s="1" t="inlineStr">
        <is>
          <t>facebook</t>
        </is>
      </c>
    </row>
    <row r="2" ht="15.75" customHeight="1">
      <c r="A2" s="6" t="n">
        <v>45891</v>
      </c>
      <c r="B2" s="1" t="inlineStr">
        <is>
          <t>ORG_2649</t>
        </is>
      </c>
      <c r="C2" s="1" t="b">
        <v>1</v>
      </c>
      <c r="D2" s="1" t="inlineStr">
        <is>
          <t>Springlab Learning</t>
        </is>
      </c>
      <c r="E2" s="10" t="inlineStr">
        <is>
          <t>www.springlab.nl</t>
        </is>
      </c>
      <c r="F2" t="inlineStr">
        <is>
          <t>springlab.nl</t>
        </is>
      </c>
      <c r="G2" s="1" t="inlineStr">
        <is>
          <t>Springlab is a mission-driven social enterprise on a vibrant quest to tackle children’s inactivity in the Netherlands by making “bewegend spelen en leren” (active play and learning) the new standard—especially in early childhood settings and primary education. We combine science, creativity, technology, and gamification in a smart, sustainable way to inspire movement, ignite joy, and boost learning—without adding pressure or complexity for educators.</t>
        </is>
      </c>
      <c r="H2" s="1" t="inlineStr">
        <is>
          <t>Dutch EdTech</t>
        </is>
      </c>
      <c r="I2" s="1" t="inlineStr">
        <is>
          <t>Dutch</t>
        </is>
      </c>
      <c r="J2" s="1" t="inlineStr">
        <is>
          <t>Utrecht</t>
        </is>
      </c>
      <c r="K2" s="1" t="inlineStr">
        <is>
          <t>The Netherlands</t>
        </is>
      </c>
      <c r="L2" s="1" t="inlineStr">
        <is>
          <t>Netherlands</t>
        </is>
      </c>
      <c r="M2" s="1" t="inlineStr">
        <is>
          <t>Small (10-49 FTE employees)</t>
        </is>
      </c>
      <c r="N2" s="1" t="inlineStr">
        <is>
          <t>Business to Business, Business to Schools</t>
        </is>
      </c>
      <c r="O2" s="1" t="inlineStr">
        <is>
          <t>Early childhood development (0-5 years), Primary Education</t>
        </is>
      </c>
      <c r="P2" s="1" t="inlineStr">
        <is>
          <t>Other</t>
        </is>
      </c>
      <c r="Q2" s="10" t="inlineStr">
        <is>
          <t>Beweegvloer</t>
        </is>
      </c>
      <c r="R2" t="inlineStr">
        <is>
          <t>Interactive Floor which encourages embodied learning</t>
        </is>
      </c>
      <c r="S2" s="10" t="inlineStr">
        <is>
          <t>Springloop</t>
        </is>
      </c>
      <c r="T2" t="inlineStr">
        <is>
          <t>tablet app</t>
        </is>
      </c>
      <c r="U2" s="1" t="inlineStr">
        <is>
          <t>https://drive.google.com/uc?export=view&amp;id=14nrXAx90b8CDdNRBaDYoUSdxGVtd5OwS</t>
        </is>
      </c>
      <c r="V2" s="1" t="inlineStr">
        <is>
          <t>Verified</t>
        </is>
      </c>
      <c r="W2" s="1" t="inlineStr">
        <is>
          <t>Industry-academia partnerships, Collaborations between EdTech organisations</t>
        </is>
      </c>
      <c r="X2" s="1" t="inlineStr">
        <is>
          <t>For-profit company</t>
        </is>
      </c>
      <c r="Y2" s="10" t="b">
        <v>1</v>
      </c>
      <c r="Z2" s="1" t="b">
        <v>1</v>
      </c>
      <c r="AA2" s="1" t="inlineStr">
        <is>
          <t>Yes</t>
        </is>
      </c>
      <c r="AB2" s="1" t="inlineStr">
        <is>
          <t>https://www.instagram.com/springlabnl/</t>
        </is>
      </c>
      <c r="AC2" s="1" t="inlineStr">
        <is>
          <t>https://www.linkedin.com/company/10009167/admin/dashboard/</t>
        </is>
      </c>
      <c r="AD2" s="1" t="inlineStr">
        <is>
          <t>https://www.linkedin.com/company/10009167/admin/dashboard/</t>
        </is>
      </c>
      <c r="AE2" s="10" t="inlineStr">
        <is>
          <t>https://www.facebook.com/p/Springlab-Learning-61559318542181/</t>
        </is>
      </c>
    </row>
    <row r="3" ht="15.75" customHeight="1">
      <c r="A3" s="6" t="n">
        <v>45890</v>
      </c>
      <c r="B3" s="1" t="inlineStr">
        <is>
          <t>ORG_1843</t>
        </is>
      </c>
      <c r="C3" s="1" t="b">
        <v>1</v>
      </c>
      <c r="D3" s="1" t="inlineStr">
        <is>
          <t>LearnWise AI</t>
        </is>
      </c>
      <c r="E3" s="10" t="inlineStr">
        <is>
          <t>https://learnwise.ai</t>
        </is>
      </c>
      <c r="F3" t="inlineStr">
        <is>
          <t>learnwise.ai</t>
        </is>
      </c>
      <c r="G3" s="1" t="inlineStr">
        <is>
          <t>LearnWise AI empowers educational institutions with an omni-data, omni-channel AI platform that enhances teaching, learning, and support. LearnWise solutions enable effective grading and feedback at scale, provide personalized student assistance, and optimize support team efficiency through intelligent automation, knowledge management, and insights. Seamlessly integrated into leading LMSs and institutions’ entire digital ecosystem, LearnWise helps institutions unify fragmented services, improve faculty and staff productivity, and deliver modern, scalable student experiences.</t>
        </is>
      </c>
      <c r="H3" s="1" t="inlineStr">
        <is>
          <t>Dutch EdTech</t>
        </is>
      </c>
      <c r="I3" s="1" t="inlineStr">
        <is>
          <t>English, French, Spanish, Dutch, Italian, German, Portuguese, Bulgarian, Croatian, Estonian, Danish, Czech, Finnish, Greek, Hungarian, Lithuanian, Latvian, Irish, Maltese, Polish, Romanian, Swedish, Slovenian, Slovak, Ukrainian</t>
        </is>
      </c>
      <c r="J3" s="1" t="inlineStr">
        <is>
          <t>Amsterdam</t>
        </is>
      </c>
      <c r="K3" s="1" t="inlineStr">
        <is>
          <t>The Netherlands</t>
        </is>
      </c>
      <c r="L3" s="1" t="inlineStr">
        <is>
          <t>United Kingdom, Ukraine, Turkey, Switzerland, Sweden, Spain, Slovenia, Slovakia, Portugal, Romania, San Marino, Poland, Norway, North Macedonia, Netherlands, Montenegro, Monaco, Luxembourg, Malta, Moldova, Lithuania, Liechtenstein, Latvia, Italy, Kosovo, Iceland, Hungary, Ireland, Greece, Finland, France, Germany, Estonia, Denmark, Czechia, Bulgaria, Croatia, Republic of Cyprus, Bosnia and Herzegovina, Belgium, Belarus, Albania, Andorra, Austria</t>
        </is>
      </c>
      <c r="M3" s="1" t="inlineStr">
        <is>
          <t>Small (10-49 FTE employees)</t>
        </is>
      </c>
      <c r="N3" s="1" t="inlineStr">
        <is>
          <t>Business to Schools, Business to Business</t>
        </is>
      </c>
      <c r="O3" s="1" t="inlineStr">
        <is>
          <t>Higher Education, Lifelong learning/Adult education, Vocational Education and Training (VET), Secondary Education</t>
        </is>
      </c>
      <c r="P3" s="1" t="inlineStr">
        <is>
          <t>Student interfacing, Teacher interfacing, System/Administrative</t>
        </is>
      </c>
      <c r="Q3" s="1" t="inlineStr">
        <is>
          <t>AI Support &amp; Tutor</t>
        </is>
      </c>
      <c r="R3" t="inlineStr">
        <is>
          <t>LearnWise AI streamlines student and faculty support with intelligent, 24/7 available AI assistants. From answering routine questions to delivering personalized academic guidance, LearnWise reduces support team workload while making resources easier to access across every channel students use.</t>
        </is>
      </c>
      <c r="S3" s="10" t="inlineStr">
        <is>
          <t>AI Feedback &amp; Grader</t>
        </is>
      </c>
      <c r="T3" t="inlineStr">
        <is>
          <t>LearnWise AI accelerates grading by generating high-quality, consistent, and personalized feedback for every student assignment within existing grading workflows in the LMS. Faculty save time, and ensure students receive the timely guidance they need to improve learning outcomes.</t>
        </is>
      </c>
      <c r="U3" s="1" t="inlineStr">
        <is>
          <t>https://drive.google.com/uc?export=view&amp;id=1XW5-CsbXDZnSKrFVNFynTIEHKkdUJRvY</t>
        </is>
      </c>
      <c r="V3" s="1" t="inlineStr">
        <is>
          <t>Verified</t>
        </is>
      </c>
      <c r="W3" s="1" t="inlineStr">
        <is>
          <t>Industry-academia partnerships, Public-private partnerships, Project consortium building, Collaborations between EdTech organisations</t>
        </is>
      </c>
      <c r="X3" s="1" t="inlineStr">
        <is>
          <t>For-profit company</t>
        </is>
      </c>
      <c r="Y3" s="10" t="b">
        <v>1</v>
      </c>
      <c r="Z3" s="1" t="b">
        <v>1</v>
      </c>
      <c r="AA3" s="1" t="inlineStr">
        <is>
          <t>Yes</t>
        </is>
      </c>
      <c r="AB3" s="1" t="n"/>
      <c r="AC3" s="1" t="inlineStr">
        <is>
          <t>https://www.linkedin.com/company/learnwiseai</t>
        </is>
      </c>
      <c r="AD3" s="1" t="inlineStr">
        <is>
          <t>https://www.linkedin.com/company/learnwiseai</t>
        </is>
      </c>
    </row>
    <row r="4" ht="15.75" customHeight="1">
      <c r="A4" s="6" t="n">
        <v>45890</v>
      </c>
      <c r="B4" s="1" t="inlineStr">
        <is>
          <t>ORG_2646</t>
        </is>
      </c>
      <c r="C4" s="1" t="b">
        <v>1</v>
      </c>
      <c r="D4" s="1" t="inlineStr">
        <is>
          <t>Studyflow BV</t>
        </is>
      </c>
      <c r="E4" s="10" t="inlineStr">
        <is>
          <t>https://studyflow.nl</t>
        </is>
      </c>
      <c r="F4" t="inlineStr">
        <is>
          <t>studyflow.nl</t>
        </is>
      </c>
      <c r="G4" s="1" t="inlineStr">
        <is>
          <t>E-Learning Provider</t>
        </is>
      </c>
      <c r="H4" s="1" t="inlineStr">
        <is>
          <t>Dutch EdTech</t>
        </is>
      </c>
      <c r="I4" s="1" t="inlineStr">
        <is>
          <t>Dutch</t>
        </is>
      </c>
      <c r="J4" s="1" t="inlineStr">
        <is>
          <t>Amsterdam</t>
        </is>
      </c>
      <c r="K4" s="1" t="inlineStr">
        <is>
          <t>The Netherlands</t>
        </is>
      </c>
      <c r="L4" s="1" t="inlineStr">
        <is>
          <t>Netherlands, Belgium</t>
        </is>
      </c>
      <c r="M4" s="1" t="inlineStr">
        <is>
          <t>Small (10-49 FTE employees)</t>
        </is>
      </c>
      <c r="N4" s="1" t="inlineStr">
        <is>
          <t>Business to Business, Business to Consumer, Business to Schools, Business to Government</t>
        </is>
      </c>
      <c r="O4" s="1" t="inlineStr">
        <is>
          <t>Higher Education, Secondary Education</t>
        </is>
      </c>
      <c r="P4" s="1" t="inlineStr">
        <is>
          <t>Student interfacing, Teacher interfacing</t>
        </is>
      </c>
      <c r="Q4" t="inlineStr">
        <is>
          <t>Logisch Rekenen</t>
        </is>
      </c>
      <c r="R4" t="inlineStr">
        <is>
          <t>Logical arithmetic</t>
        </is>
      </c>
      <c r="S4" s="10" t="inlineStr">
        <is>
          <t>Studyflow Taal</t>
        </is>
      </c>
      <c r="T4" t="inlineStr">
        <is>
          <t>Studyflow Language</t>
        </is>
      </c>
      <c r="U4" s="1" t="inlineStr">
        <is>
          <t>https://drive.google.com/uc?export=view&amp;id=1jOdIHKDaOAz-t0o7gLr_YOJntr3nJixI</t>
        </is>
      </c>
      <c r="V4" s="1" t="inlineStr">
        <is>
          <t>Verified</t>
        </is>
      </c>
      <c r="W4" s="1" t="inlineStr">
        <is>
          <t>Collaborations between EdTech organisations, Project consortium building, Industry-academia partnerships, Other, Public-private partnerships</t>
        </is>
      </c>
      <c r="X4" s="1" t="inlineStr">
        <is>
          <t>For-profit company</t>
        </is>
      </c>
      <c r="Y4" s="10" t="b">
        <v>1</v>
      </c>
      <c r="Z4" s="1" t="b">
        <v>1</v>
      </c>
      <c r="AA4" s="1" t="inlineStr">
        <is>
          <t>Yes</t>
        </is>
      </c>
      <c r="AB4" s="1" t="n"/>
      <c r="AC4" s="1" t="inlineStr">
        <is>
          <t>https://www.linkedin.com/company/studyflow/</t>
        </is>
      </c>
      <c r="AD4" s="1" t="inlineStr">
        <is>
          <t>https://www.linkedin.com/company/studyflow/</t>
        </is>
      </c>
      <c r="AE4" s="1" t="n"/>
    </row>
    <row r="5" ht="15.75" customHeight="1">
      <c r="A5" s="6" t="n">
        <v>45889</v>
      </c>
      <c r="B5" s="1" t="inlineStr">
        <is>
          <t>ORG_2403</t>
        </is>
      </c>
      <c r="C5" s="1" t="b">
        <v>1</v>
      </c>
      <c r="D5" s="1" t="inlineStr">
        <is>
          <t>The Simulation Crew</t>
        </is>
      </c>
      <c r="E5" s="10" t="inlineStr">
        <is>
          <t>thesimulationcrew.com</t>
        </is>
      </c>
      <c r="F5" t="inlineStr">
        <is>
          <t>thesimulationcrew.com</t>
        </is>
      </c>
      <c r="G5" s="1" t="inlineStr">
        <is>
          <t>Simulation software company with vast experience in Mobile and VR development using AI for natural speech input and AI for personal feedback.</t>
        </is>
      </c>
      <c r="H5" s="1" t="inlineStr">
        <is>
          <t>Dutch EdTech</t>
        </is>
      </c>
      <c r="I5" s="1" t="inlineStr">
        <is>
          <t>English, Dutch, German, French</t>
        </is>
      </c>
      <c r="J5" s="1" t="inlineStr">
        <is>
          <t>Nijmegen</t>
        </is>
      </c>
      <c r="K5" s="1" t="inlineStr">
        <is>
          <t>The Netherlands</t>
        </is>
      </c>
      <c r="L5" s="1" t="inlineStr">
        <is>
          <t>Belgium, Germany, Netherlands, United Kingdom, Sweden</t>
        </is>
      </c>
      <c r="M5" s="1" t="inlineStr">
        <is>
          <t>Micro (1-9 FTE employees)</t>
        </is>
      </c>
      <c r="N5" s="1" t="inlineStr">
        <is>
          <t>Business to Schools, Business to Government, Business to Business</t>
        </is>
      </c>
      <c r="O5" s="1" t="inlineStr">
        <is>
          <t>Higher Education</t>
        </is>
      </c>
      <c r="P5" s="1" t="inlineStr">
        <is>
          <t>Student interfacing, Teacher interfacing</t>
        </is>
      </c>
      <c r="Q5" t="inlineStr">
        <is>
          <t>Patient communication simulation</t>
        </is>
      </c>
      <c r="R5" t="inlineStr">
        <is>
          <t>Empathetic communication with patients improves recovery through positive placebo effects, but carelessness can cause nocebo effects. This simulation training will teach you how to communicate effectively to enhance placebo effects and limit nocebo effects. You practice using free speech with virtua</t>
        </is>
      </c>
      <c r="S5" s="10" t="inlineStr">
        <is>
          <t>Student Coaching simulation</t>
        </is>
      </c>
      <c r="T5" t="inlineStr">
        <is>
          <t>The VR training Student Coaching is designed for (future) education professionals to develop effective coaching skills through realistic, interactive virtual scenarios. Participants engage in natural conversations with virtual students using speech interaction, receiving detailed feedback on verbal</t>
        </is>
      </c>
      <c r="U5" s="1" t="inlineStr">
        <is>
          <t>https://drive.google.com/uc?export=view&amp;id=1Yv5qHlxyR3HWPugMr-7X-15nvWNU50My</t>
        </is>
      </c>
      <c r="V5" s="1" t="inlineStr">
        <is>
          <t>Verified</t>
        </is>
      </c>
      <c r="W5" s="1" t="inlineStr">
        <is>
          <t>Collaborations between EdTech organisations</t>
        </is>
      </c>
      <c r="X5" s="1" t="inlineStr">
        <is>
          <t>For-profit company</t>
        </is>
      </c>
      <c r="Y5" s="10" t="b">
        <v>1</v>
      </c>
      <c r="Z5" s="1" t="b">
        <v>1</v>
      </c>
      <c r="AA5" s="1" t="inlineStr">
        <is>
          <t>Yes</t>
        </is>
      </c>
      <c r="AB5" s="1" t="n"/>
      <c r="AC5" s="1" t="inlineStr">
        <is>
          <t>https://www.linkedin.com/company/the-simulation-crew/</t>
        </is>
      </c>
      <c r="AD5" s="1" t="inlineStr">
        <is>
          <t>https://www.linkedin.com/company/the-simulation-crew/</t>
        </is>
      </c>
    </row>
    <row r="6" ht="15.75" customHeight="1">
      <c r="A6" s="6" t="n">
        <v>45889</v>
      </c>
      <c r="B6" s="1" t="inlineStr">
        <is>
          <t>ORG_2639</t>
        </is>
      </c>
      <c r="C6" s="1" t="b">
        <v>1</v>
      </c>
      <c r="D6" s="1" t="inlineStr">
        <is>
          <t>War Child Alliance - Can't Wait to Learn programme</t>
        </is>
      </c>
      <c r="E6" s="10" t="inlineStr">
        <is>
          <t>https://www.warchild.net/intervention-cwtl/</t>
        </is>
      </c>
      <c r="F6" t="inlineStr">
        <is>
          <t>warchild.net/intervention-cwtl</t>
        </is>
      </c>
      <c r="G6" s="1" t="inlineStr">
        <is>
          <t>War Child is a specialist NGO that focuses on supporting children affected by war and conflict. They work to ensure a safe future for these children by providing psychosocial support, education, and child protection services. War Child aims to help children heal, learn, and build a brighter future. Can’t Wait to Learn is an innovative digital learning platform by War Child, designed to help children in crisis-affected areas build essential literacy and numeracy skills. Co-created with children, the platform offers engaging, game-based learning experiences aligned with local curriculums, tailored to each child's needs and culture.   Though we primarily focus on children in crisis, we are also exploring how this approach can benefit children in other contexts, ensuring no child is left behind. Through partnerships with governments and education experts, we ensure the programme is adaptable, impactful, and sustainable.</t>
        </is>
      </c>
      <c r="H6" s="1" t="inlineStr">
        <is>
          <t>I'm not part of any EdTech association</t>
        </is>
      </c>
      <c r="I6" s="1" t="inlineStr">
        <is>
          <t>English, French, Ukrainian, Arabic</t>
        </is>
      </c>
      <c r="J6" s="1" t="inlineStr">
        <is>
          <t>Amsterdam</t>
        </is>
      </c>
      <c r="K6" s="1" t="inlineStr">
        <is>
          <t>The Netherlands</t>
        </is>
      </c>
      <c r="L6" s="1" t="inlineStr">
        <is>
          <t>Ukraine</t>
        </is>
      </c>
      <c r="M6" s="1" t="inlineStr">
        <is>
          <t>Large (250+ FTE employees)</t>
        </is>
      </c>
      <c r="N6" s="1" t="inlineStr">
        <is>
          <t>Business to Government, Business to Consumer, Business to Business, Business to Schools</t>
        </is>
      </c>
      <c r="O6" s="1" t="inlineStr">
        <is>
          <t>Primary Education</t>
        </is>
      </c>
      <c r="P6" s="1" t="inlineStr">
        <is>
          <t>Student interfacing, Teacher interfacing, System/Administrative</t>
        </is>
      </c>
      <c r="Q6" s="1" t="inlineStr">
        <is>
          <t>Can't Wait to Learn</t>
        </is>
      </c>
      <c r="R6" t="inlineStr">
        <is>
          <t>Can’t Wait to Learn is an innovative digital learning platform, designed to help children in crisis-affected areas build essential literacy and numeracy skills. Co-created with children, the platform offers engaging, game-based learning experiences aligned with local curriculums.</t>
        </is>
      </c>
      <c r="S6" s="10" t="inlineStr">
        <is>
          <t>https://drive.google.com/uc?export=view&amp;id=1Zuz8_AQqUm3EzLHRvXLy_POYn2qMNIX_</t>
        </is>
      </c>
      <c r="T6" t="inlineStr">
        <is>
          <t>https://drive.google.com/uc?export=view&amp;id=1Zuz8_AQqUm3EzLHRvXLy_POYn2qMNIX_</t>
        </is>
      </c>
      <c r="U6" s="1" t="inlineStr">
        <is>
          <t>https://drive.google.com/uc?export=view&amp;id=1Zuz8_AQqUm3EzLHRvXLy_POYn2qMNIX_</t>
        </is>
      </c>
      <c r="V6" s="1" t="inlineStr">
        <is>
          <t>Verified</t>
        </is>
      </c>
      <c r="W6" s="1" t="inlineStr">
        <is>
          <t>Industry-academia partnerships, Public-private partnerships, Project consortium building, Collaborations between EdTech organisations, Other</t>
        </is>
      </c>
      <c r="X6" s="1" t="inlineStr">
        <is>
          <t>Non-profit organisation</t>
        </is>
      </c>
      <c r="Y6" s="10" t="b">
        <v>1</v>
      </c>
      <c r="Z6" s="1" t="b">
        <v>1</v>
      </c>
      <c r="AA6" s="1" t="inlineStr">
        <is>
          <t>Yes</t>
        </is>
      </c>
      <c r="AB6" s="1" t="n"/>
      <c r="AC6" s="1" t="inlineStr">
        <is>
          <t>https://www.linkedin.com/showcase/cant-wait-to-learn/posts/?feedView=all</t>
        </is>
      </c>
      <c r="AD6" s="1" t="inlineStr">
        <is>
          <t>https://www.linkedin.com/showcase/cant-wait-to-learn/posts/?feedView=all</t>
        </is>
      </c>
    </row>
    <row r="7" ht="15.75" customHeight="1">
      <c r="A7" s="6" t="n">
        <v>45889</v>
      </c>
      <c r="B7" s="1" t="inlineStr">
        <is>
          <t>ORG_2227</t>
        </is>
      </c>
      <c r="C7" s="1" t="b">
        <v>1</v>
      </c>
      <c r="D7" s="1" t="inlineStr">
        <is>
          <t>SelfStartGlobal</t>
        </is>
      </c>
      <c r="E7" s="10" t="inlineStr">
        <is>
          <t>www.selfstartglobal.com</t>
        </is>
      </c>
      <c r="F7" t="inlineStr">
        <is>
          <t>selfstartglobal.com</t>
        </is>
      </c>
      <c r="G7" s="1" t="inlineStr">
        <is>
          <t>We open doors to world-class universities, cutting costs by 50-100% through scholarships, empowering students to shape the future.</t>
        </is>
      </c>
      <c r="H7" s="1" t="inlineStr">
        <is>
          <t>Dutch EdTech</t>
        </is>
      </c>
      <c r="I7" s="1" t="inlineStr">
        <is>
          <t>English, Russian</t>
        </is>
      </c>
      <c r="J7" s="1" t="inlineStr">
        <is>
          <t>Haarlem</t>
        </is>
      </c>
      <c r="K7" s="1" t="inlineStr">
        <is>
          <t>The Netherlands</t>
        </is>
      </c>
      <c r="L7" s="1" t="inlineStr">
        <is>
          <t>Ukraine, Poland, Latvia, Lithuania, Moldova</t>
        </is>
      </c>
      <c r="M7" s="1" t="inlineStr">
        <is>
          <t>Small (10-49 FTE employees)</t>
        </is>
      </c>
      <c r="N7" s="1" t="inlineStr">
        <is>
          <t>Business to Consumer</t>
        </is>
      </c>
      <c r="O7" s="1" t="inlineStr">
        <is>
          <t>Higher Education</t>
        </is>
      </c>
      <c r="P7" s="1" t="inlineStr">
        <is>
          <t>Student interfacing, System/Administrative</t>
        </is>
      </c>
      <c r="Q7" s="10" t="inlineStr">
        <is>
          <t>Full Guidance</t>
        </is>
      </c>
      <c r="R7" t="inlineStr">
        <is>
          <t>Our Full Guidance program is a comprehensive, end-to-end admissions service that supports clients through every stage of applying abroad. From building personal brand and Passion Project to assisting with documents, essays, and interviews.</t>
        </is>
      </c>
      <c r="S7" s="10" t="inlineStr">
        <is>
          <t>Mentorship</t>
        </is>
      </c>
      <c r="T7" t="inlineStr">
        <is>
          <t>The Mentorship program offers flexible, expert guidance tailored to clients' specific needs during the admissions journey. Whether it’s essay review, university selection, or interview prep, clients get strategic support without the full structure of the Full Guidance package.</t>
        </is>
      </c>
      <c r="U7" s="1" t="inlineStr">
        <is>
          <t>https://drive.google.com/uc?export=view&amp;id=1dmCHGfpHUkV3WCkWGPKk15INYid5QViz</t>
        </is>
      </c>
      <c r="V7" s="1" t="inlineStr">
        <is>
          <t>Verified</t>
        </is>
      </c>
      <c r="W7" s="1" t="inlineStr">
        <is>
          <t>Collaborations between EdTech organisations</t>
        </is>
      </c>
      <c r="X7" s="1" t="inlineStr">
        <is>
          <t>For-profit company</t>
        </is>
      </c>
      <c r="Y7" s="10" t="b">
        <v>0</v>
      </c>
      <c r="Z7" s="1" t="b">
        <v>1</v>
      </c>
      <c r="AA7" s="1" t="inlineStr">
        <is>
          <t>Yes</t>
        </is>
      </c>
      <c r="AB7" s="1" t="inlineStr">
        <is>
          <t>https://www.instagram.com/selfstartglobal/?hl=en</t>
        </is>
      </c>
      <c r="AC7" s="1" t="inlineStr">
        <is>
          <t>https://www.linkedin.com/company/selfstartglobal/</t>
        </is>
      </c>
      <c r="AD7" s="1" t="inlineStr">
        <is>
          <t>https://www.linkedin.com/company/selfstartglobal/</t>
        </is>
      </c>
      <c r="AE7" s="1" t="n"/>
    </row>
    <row r="8" ht="15.75" customHeight="1">
      <c r="A8" s="6" t="n">
        <v>45889</v>
      </c>
      <c r="B8" s="1" t="inlineStr">
        <is>
          <t>ORG_2143</t>
        </is>
      </c>
      <c r="C8" s="1" t="b">
        <v>1</v>
      </c>
      <c r="D8" s="1" t="inlineStr">
        <is>
          <t>Qubo</t>
        </is>
      </c>
      <c r="E8" s="10" t="inlineStr">
        <is>
          <t>https://www.qubo.nl</t>
        </is>
      </c>
      <c r="F8" t="inlineStr">
        <is>
          <t>qubo.nl</t>
        </is>
      </c>
      <c r="G8" s="1" t="inlineStr">
        <is>
          <t>Qubo helps children in primary education to express their feelings with an playful cube</t>
        </is>
      </c>
      <c r="H8" s="1" t="inlineStr">
        <is>
          <t>Dutch EdTech</t>
        </is>
      </c>
      <c r="I8" s="1" t="inlineStr">
        <is>
          <t>Dutch</t>
        </is>
      </c>
      <c r="J8" s="1" t="inlineStr">
        <is>
          <t>Ede</t>
        </is>
      </c>
      <c r="K8" s="1" t="inlineStr">
        <is>
          <t>The Netherlands</t>
        </is>
      </c>
      <c r="L8" s="1" t="inlineStr">
        <is>
          <t>Netherlands</t>
        </is>
      </c>
      <c r="M8" s="1" t="inlineStr">
        <is>
          <t>Micro (1-9 FTE employees)</t>
        </is>
      </c>
      <c r="N8" s="1" t="inlineStr">
        <is>
          <t>Business to Schools</t>
        </is>
      </c>
      <c r="O8" s="1" t="inlineStr">
        <is>
          <t>Primary Education</t>
        </is>
      </c>
      <c r="P8" s="1" t="inlineStr">
        <is>
          <t>Student interfacing, Teacher interfacing</t>
        </is>
      </c>
      <c r="Q8" s="10" t="inlineStr">
        <is>
          <t>Qubo cube</t>
        </is>
      </c>
      <c r="R8" t="inlineStr">
        <is>
          <t>A user-friendly cube designed for playful, intuitive use by every student in school to express their feelings</t>
        </is>
      </c>
      <c r="S8" s="10" t="inlineStr">
        <is>
          <t>https://drive.google.com/uc?export=view&amp;id=1Z22JIHvsIA0qqqajx_pdnzjuRIQNGVg_</t>
        </is>
      </c>
      <c r="T8" t="inlineStr">
        <is>
          <t>https://drive.google.com/uc?export=view&amp;id=1Z22JIHvsIA0qqqajx_pdnzjuRIQNGVg_</t>
        </is>
      </c>
      <c r="U8" s="1" t="inlineStr">
        <is>
          <t>https://drive.google.com/uc?export=view&amp;id=1Z22JIHvsIA0qqqajx_pdnzjuRIQNGVg_</t>
        </is>
      </c>
      <c r="V8" s="1" t="inlineStr">
        <is>
          <t>Verified</t>
        </is>
      </c>
      <c r="W8" s="1" t="inlineStr">
        <is>
          <t>Public-private partnerships, Other</t>
        </is>
      </c>
      <c r="X8" s="1" t="inlineStr">
        <is>
          <t>For-profit company</t>
        </is>
      </c>
      <c r="Y8" s="10" t="b">
        <v>0</v>
      </c>
      <c r="Z8" s="1" t="b">
        <v>1</v>
      </c>
      <c r="AA8" s="1" t="inlineStr">
        <is>
          <t>Yes</t>
        </is>
      </c>
      <c r="AB8" s="1" t="inlineStr">
        <is>
          <t>https://www.instagram.com/quboonderwijs</t>
        </is>
      </c>
      <c r="AC8" s="1" t="inlineStr">
        <is>
          <t>https://www.linkedin.com/company/qubo-onderwijs/</t>
        </is>
      </c>
      <c r="AD8" s="1" t="inlineStr">
        <is>
          <t>https://www.linkedin.com/company/qubo-onderwijs/</t>
        </is>
      </c>
      <c r="AE8" s="10" t="inlineStr">
        <is>
          <t>https://www.facebook.com/QuboOnderwijs</t>
        </is>
      </c>
    </row>
    <row r="9" ht="15.75" customHeight="1">
      <c r="A9" s="6" t="n">
        <v>45883</v>
      </c>
      <c r="B9" s="1" t="inlineStr">
        <is>
          <t>ORG_1863</t>
        </is>
      </c>
      <c r="C9" s="1" t="b">
        <v>1</v>
      </c>
      <c r="D9" s="1" t="inlineStr">
        <is>
          <t>Level Up Academy</t>
        </is>
      </c>
      <c r="E9" s="10" t="inlineStr">
        <is>
          <t>www.levelupacademy.nl</t>
        </is>
      </c>
      <c r="F9" t="inlineStr">
        <is>
          <t>levelupacademy.nl</t>
        </is>
      </c>
      <c r="G9" s="1" t="inlineStr">
        <is>
          <t>Level Up Academy delievers high-quality online language courses in Dutch and English for both private individuals and corporate clients. We offer flexible, tailored courses that focus on practical, engaging learning, all taught by experienced teachers.</t>
        </is>
      </c>
      <c r="H9" s="1" t="inlineStr">
        <is>
          <t>I'm not part of any EdTech association</t>
        </is>
      </c>
      <c r="I9" s="1" t="inlineStr">
        <is>
          <t>English, Ukrainian, Polish, Spanish, Dutch, German, Romanian</t>
        </is>
      </c>
      <c r="J9" s="1" t="inlineStr">
        <is>
          <t>Leiden</t>
        </is>
      </c>
      <c r="K9" s="1" t="inlineStr">
        <is>
          <t>The Netherlands</t>
        </is>
      </c>
      <c r="L9" s="1" t="inlineStr">
        <is>
          <t>Netherlands</t>
        </is>
      </c>
      <c r="M9" s="1" t="inlineStr">
        <is>
          <t>Solo entrepreneur</t>
        </is>
      </c>
      <c r="N9" s="1" t="inlineStr">
        <is>
          <t>Business to Business, Business to Consumer</t>
        </is>
      </c>
      <c r="O9" s="1" t="inlineStr">
        <is>
          <t>Corporate Training, Lifelong learning/Adult education, Other</t>
        </is>
      </c>
      <c r="P9" s="1" t="inlineStr">
        <is>
          <t>Other</t>
        </is>
      </c>
      <c r="Q9" s="10" t="inlineStr">
        <is>
          <t>Online Language Courses</t>
        </is>
      </c>
      <c r="S9" s="10" t="inlineStr">
        <is>
          <t>https://drive.google.com/uc?export=view&amp;id=1kr98jna08RnRMWiTK7FeaFbbn4ZbF3zp</t>
        </is>
      </c>
      <c r="T9" t="inlineStr">
        <is>
          <t>https://drive.google.com/uc?export=view&amp;id=1kr98jna08RnRMWiTK7FeaFbbn4ZbF3zp</t>
        </is>
      </c>
      <c r="U9" s="1" t="inlineStr">
        <is>
          <t>https://drive.google.com/uc?export=view&amp;id=1kr98jna08RnRMWiTK7FeaFbbn4ZbF3zp</t>
        </is>
      </c>
      <c r="V9" s="1" t="inlineStr">
        <is>
          <t>Verified</t>
        </is>
      </c>
      <c r="W9" t="inlineStr">
        <is>
          <t>Collaborations between EdTech organisations, Public-private partnerships</t>
        </is>
      </c>
      <c r="X9" t="inlineStr">
        <is>
          <t>For-profit company</t>
        </is>
      </c>
      <c r="Y9" s="10" t="b">
        <v>1</v>
      </c>
      <c r="Z9" s="1" t="b">
        <v>1</v>
      </c>
      <c r="AA9" s="1" t="inlineStr">
        <is>
          <t>Yes</t>
        </is>
      </c>
      <c r="AB9" s="1" t="inlineStr">
        <is>
          <t>https://www.instagram.com/levelupacademynl/</t>
        </is>
      </c>
      <c r="AC9" s="1" t="inlineStr">
        <is>
          <t>https://www.linkedin.com/company/level-up-academy-language-school/</t>
        </is>
      </c>
      <c r="AD9" s="1" t="inlineStr">
        <is>
          <t>https://www.linkedin.com/company/level-up-academy-language-school/</t>
        </is>
      </c>
    </row>
    <row r="10" ht="15.75" customHeight="1">
      <c r="A10" s="6" t="n">
        <v>45882</v>
      </c>
      <c r="B10" s="1" t="inlineStr">
        <is>
          <t>ORG_2627</t>
        </is>
      </c>
      <c r="C10" s="1" t="b">
        <v>1</v>
      </c>
      <c r="D10" s="1" t="inlineStr">
        <is>
          <t>ATERMON BV</t>
        </is>
      </c>
      <c r="E10" s="10" t="inlineStr">
        <is>
          <t>https://www.atermon.nl</t>
        </is>
      </c>
      <c r="F10" t="inlineStr">
        <is>
          <t>atermon.nl</t>
        </is>
      </c>
      <c r="G10" s="1" t="inlineStr">
        <is>
          <t>Educational gaming</t>
        </is>
      </c>
      <c r="H10" s="1" t="inlineStr">
        <is>
          <t>I'm not part of any EdTech association</t>
        </is>
      </c>
      <c r="I10" s="1" t="inlineStr">
        <is>
          <t>English</t>
        </is>
      </c>
      <c r="J10" s="1" t="inlineStr">
        <is>
          <t>Rotterdam</t>
        </is>
      </c>
      <c r="K10" s="1" t="inlineStr">
        <is>
          <t>The Netherlands</t>
        </is>
      </c>
      <c r="L10" s="1" t="inlineStr">
        <is>
          <t>Greece, Republic of Cyprus, United Kingdom, Poland</t>
        </is>
      </c>
      <c r="M10" s="1" t="inlineStr">
        <is>
          <t>Micro (1-9 FTE employees)</t>
        </is>
      </c>
      <c r="N10" s="1" t="inlineStr">
        <is>
          <t>Business to Business, Business to Consumer, Business to Government, Business to Schools</t>
        </is>
      </c>
      <c r="O10" s="1" t="inlineStr">
        <is>
          <t>Primary Education, Secondary Education, Vocational Education and Training (VET), Higher Education, Corporate Training, Lifelong learning/Adult education, Special Education, Other</t>
        </is>
      </c>
      <c r="P10" s="1" t="inlineStr">
        <is>
          <t>Other</t>
        </is>
      </c>
      <c r="Q10" t="inlineStr">
        <is>
          <t>City of Gridlock</t>
        </is>
      </c>
      <c r="R10" t="inlineStr">
        <is>
          <t>Parkour game</t>
        </is>
      </c>
      <c r="S10" s="10" t="inlineStr">
        <is>
          <t>Around the city</t>
        </is>
      </c>
      <c r="T10" t="inlineStr">
        <is>
          <t>English Language Teaching game</t>
        </is>
      </c>
      <c r="U10" s="1" t="inlineStr">
        <is>
          <t>https://drive.google.com/uc?export=view&amp;id=1LvFjqm729253h5uH_CEIoD_nZh9I_U66</t>
        </is>
      </c>
      <c r="V10" s="1" t="inlineStr">
        <is>
          <t>Verified</t>
        </is>
      </c>
      <c r="W10" s="1" t="inlineStr">
        <is>
          <t>Collaborations between EdTech organisations, Project consortium building, Industry-academia partnerships, Public-private partnerships</t>
        </is>
      </c>
      <c r="X10" s="1" t="inlineStr">
        <is>
          <t>For-profit company</t>
        </is>
      </c>
      <c r="Y10" s="10" t="b">
        <v>0</v>
      </c>
      <c r="Z10" s="1" t="b">
        <v>1</v>
      </c>
      <c r="AA10" s="1" t="inlineStr">
        <is>
          <t>Yes</t>
        </is>
      </c>
      <c r="AB10" s="1" t="n"/>
      <c r="AC10" s="1" t="inlineStr">
        <is>
          <t>https://www.linkedin.com/company/atermon-rotterdam</t>
        </is>
      </c>
      <c r="AD10" s="1" t="inlineStr">
        <is>
          <t>https://www.linkedin.com/company/atermon-rotterdam</t>
        </is>
      </c>
      <c r="AE10" s="10" t="inlineStr">
        <is>
          <t>https://www.instagram.com/atermonnl?igsh=Y2JleXpxcmNrYWN5</t>
        </is>
      </c>
    </row>
    <row r="11" ht="15.75" customHeight="1">
      <c r="A11" s="6" t="n">
        <v>45876</v>
      </c>
      <c r="B11" s="1" t="inlineStr">
        <is>
          <t>ORG_2620</t>
        </is>
      </c>
      <c r="C11" s="1" t="b">
        <v>1</v>
      </c>
      <c r="D11" s="1" t="inlineStr">
        <is>
          <t>Learning Glass Europe B.V.</t>
        </is>
      </c>
      <c r="E11" s="1" t="inlineStr">
        <is>
          <t>www.learningglass.eu</t>
        </is>
      </c>
      <c r="F11" t="inlineStr">
        <is>
          <t>learningglass.eu</t>
        </is>
      </c>
      <c r="G11" s="1" t="inlineStr">
        <is>
          <t>Manufacturers of Lightboard technology used by educators for creating and delivering online learning content</t>
        </is>
      </c>
      <c r="H11" s="1" t="inlineStr">
        <is>
          <t>I'm not part of any EdTech association</t>
        </is>
      </c>
      <c r="I11" s="1" t="inlineStr">
        <is>
          <t>English, French, German, Italian, Spanish, Dutch</t>
        </is>
      </c>
      <c r="J11" s="1" t="inlineStr">
        <is>
          <t>Rotterdam</t>
        </is>
      </c>
      <c r="K11" s="1" t="inlineStr">
        <is>
          <t>The Netherlands</t>
        </is>
      </c>
      <c r="L11" s="1" t="inlineStr">
        <is>
          <t>Austria, Belgium, Denmark, Germany, France, Finland, Iceland, Ireland, Italy, Lithuania, Luxembourg, Netherlands, Portugal, Norway, Spain, Sweden, Switzerland, United Kingdom</t>
        </is>
      </c>
      <c r="M11" s="1" t="inlineStr">
        <is>
          <t>Small (10-49 FTE employees)</t>
        </is>
      </c>
      <c r="N11" s="1" t="inlineStr">
        <is>
          <t>Business to Business</t>
        </is>
      </c>
      <c r="O11" s="1" t="inlineStr">
        <is>
          <t>Corporate Training, Higher Education</t>
        </is>
      </c>
      <c r="P11" s="1" t="inlineStr">
        <is>
          <t>Student interfacing</t>
        </is>
      </c>
      <c r="Q11" s="1" t="inlineStr">
        <is>
          <t>Lightboard</t>
        </is>
      </c>
      <c r="R11" t="inlineStr">
        <is>
          <t>A lightboard is a transparent board usually made from glass where the teacher or presenter writes on the surface with a neon pen while a camera is recording their content. The neon writing is illuminated using special LEDs around the board.</t>
        </is>
      </c>
      <c r="S11" s="10" t="inlineStr">
        <is>
          <t>Smart-Lightboard™</t>
        </is>
      </c>
      <c r="T11" t="inlineStr">
        <is>
          <t>A Smart-Lightboard uses a new technology which integrates a digital ’layer’ over the glass transforming the surface into a large transparent touch screen.</t>
        </is>
      </c>
      <c r="U11" s="1" t="inlineStr">
        <is>
          <t>https://drive.google.com/uc?export=view&amp;id=1EqHAkGuHBwTl0erMDeO6TQMYBfmUjTV5</t>
        </is>
      </c>
      <c r="V11" s="1" t="inlineStr">
        <is>
          <t>Verified</t>
        </is>
      </c>
      <c r="W11" s="1" t="inlineStr">
        <is>
          <t>Collaborations between EdTech organisations, Project consortium building, Public-private partnerships, Industry-academia partnerships</t>
        </is>
      </c>
      <c r="X11" s="1" t="inlineStr">
        <is>
          <t>For-profit company</t>
        </is>
      </c>
      <c r="Y11" s="10" t="b">
        <v>1</v>
      </c>
      <c r="Z11" s="1" t="b">
        <v>0</v>
      </c>
      <c r="AA11" s="1" t="inlineStr">
        <is>
          <t>Yes</t>
        </is>
      </c>
      <c r="AB11" s="1" t="n"/>
      <c r="AC11" s="1" t="inlineStr">
        <is>
          <t>https://www.linkedin.com/company/learning-glass-europe/</t>
        </is>
      </c>
      <c r="AD11" s="1" t="inlineStr">
        <is>
          <t>https://www.linkedin.com/company/learning-glass-europe/</t>
        </is>
      </c>
      <c r="AE11" s="1" t="n"/>
    </row>
    <row r="12" ht="15.75" customHeight="1">
      <c r="A12" s="6" t="n">
        <v>45866</v>
      </c>
      <c r="B12" s="1" t="inlineStr">
        <is>
          <t>ORG_1851</t>
        </is>
      </c>
      <c r="C12" s="1" t="b">
        <v>1</v>
      </c>
      <c r="D12" s="1" t="inlineStr">
        <is>
          <t>Lektor</t>
        </is>
      </c>
      <c r="E12" s="10" t="inlineStr">
        <is>
          <t>www.lektor.nl</t>
        </is>
      </c>
      <c r="F12" t="inlineStr">
        <is>
          <t>lektor.nl</t>
        </is>
      </c>
      <c r="G12" s="1" t="inlineStr">
        <is>
          <t>Lektor.nl is a Dutch digital platform designed to help secondary schools combat lesson cancellations ("lesuitval") by providing a centralized repository of high-quality video lessons. Teachers across the Netherlands can easily upload and categorize their own lesson videos—covering every subject, year level, and curriculum method—making them accessible to other educators and students nationwide. Through its collaborative approach, Lektor.nl empowers teachers to share content, support learning continuity, and contribute to reducing the impact of teacher shortages and class disruptions</t>
        </is>
      </c>
      <c r="H12" s="1" t="inlineStr">
        <is>
          <t>I'm not part of any EdTech association</t>
        </is>
      </c>
      <c r="I12" s="1" t="inlineStr">
        <is>
          <t>Dutch</t>
        </is>
      </c>
      <c r="J12" s="1" t="inlineStr">
        <is>
          <t>Abcoude</t>
        </is>
      </c>
      <c r="K12" s="1" t="inlineStr">
        <is>
          <t>The Netherlands</t>
        </is>
      </c>
      <c r="L12" s="1" t="inlineStr">
        <is>
          <t>Netherlands</t>
        </is>
      </c>
      <c r="M12" s="1" t="inlineStr">
        <is>
          <t>Micro (1-9 FTE employees)</t>
        </is>
      </c>
      <c r="N12" s="1" t="inlineStr">
        <is>
          <t>Business to Consumer, Business to Schools</t>
        </is>
      </c>
      <c r="O12" s="1" t="inlineStr">
        <is>
          <t>Secondary Education</t>
        </is>
      </c>
      <c r="P12" s="1" t="inlineStr">
        <is>
          <t>Student interfacing, Teacher interfacing</t>
        </is>
      </c>
      <c r="Q12" s="10" t="inlineStr">
        <is>
          <t>Lektor</t>
        </is>
      </c>
      <c r="R12" t="inlineStr">
        <is>
          <t>Platform with video lessons (all subjects/all classes) for secondary schools - to be used in the classroom</t>
        </is>
      </c>
      <c r="S12" s="10" t="inlineStr">
        <is>
          <t>My-Lektor</t>
        </is>
      </c>
      <c r="T12" t="inlineStr">
        <is>
          <t>Platform with video lessons for students (to be used at home or at school)</t>
        </is>
      </c>
      <c r="U12" s="1" t="inlineStr">
        <is>
          <t>https://drive.google.com/uc?export=view&amp;id=1Tu9XT6t2LD-hGaNGYfrG-7pqsZ2tBrFq</t>
        </is>
      </c>
      <c r="V12" s="1" t="inlineStr">
        <is>
          <t>Verified</t>
        </is>
      </c>
      <c r="W12" s="1" t="inlineStr">
        <is>
          <t>Collaborations between EdTech organisations, Project consortium building, Public-private partnerships, Other</t>
        </is>
      </c>
      <c r="X12" s="1" t="inlineStr">
        <is>
          <t>For-profit company</t>
        </is>
      </c>
      <c r="Y12" s="10" t="b">
        <v>1</v>
      </c>
      <c r="Z12" s="1" t="b">
        <v>1</v>
      </c>
      <c r="AA12" s="1" t="inlineStr">
        <is>
          <t>Yes</t>
        </is>
      </c>
      <c r="AB12" s="1" t="inlineStr">
        <is>
          <t>https://www.instagram.com/lektor.nl/</t>
        </is>
      </c>
      <c r="AC12" s="1" t="inlineStr">
        <is>
          <t>https://www.linkedin.com/company/lektor-nl/</t>
        </is>
      </c>
      <c r="AD12" s="1" t="inlineStr">
        <is>
          <t>https://www.linkedin.com/company/lektor-nl/</t>
        </is>
      </c>
    </row>
    <row r="13" ht="15.75" customHeight="1">
      <c r="A13" s="6" t="n">
        <v>45860</v>
      </c>
      <c r="B13" s="1" t="inlineStr">
        <is>
          <t>ORG_2615</t>
        </is>
      </c>
      <c r="C13" s="1" t="b">
        <v>1</v>
      </c>
      <c r="D13" s="1" t="inlineStr">
        <is>
          <t>Prowise</t>
        </is>
      </c>
      <c r="E13" s="10" t="inlineStr">
        <is>
          <t>www.prowise.com</t>
        </is>
      </c>
      <c r="F13" t="inlineStr">
        <is>
          <t>prowise.com</t>
        </is>
      </c>
      <c r="G13" s="1" t="inlineStr">
        <is>
          <t>Prowise is an innovative technology company from the Netherlands dedicated to enhancing education worldwide. The company develops and manufactures touchscreens, educational software, and other IT solutions specifically for the education sector. What sets Prowise apart is its fully in-house development process—from hardware to software—with a strong focus on user-friendliness, security, and privacy. Moreover, Prowise is the only EdTech company in the world to hold the BSI IT-Grundschutz certification, demonstrating an exceptionally high standard of information security.</t>
        </is>
      </c>
      <c r="H13" s="1" t="inlineStr">
        <is>
          <t>Dutch EdTech, edtechstation</t>
        </is>
      </c>
      <c r="I13" s="1" t="inlineStr">
        <is>
          <t>English, German, French, Italian, Danish, Spanish, Dutch, Croatian, Hungarian, Romanian, Swedish, Polish, Czech, Bulgarian</t>
        </is>
      </c>
      <c r="J13" s="1" t="inlineStr">
        <is>
          <t>Budel</t>
        </is>
      </c>
      <c r="K13" s="1" t="inlineStr">
        <is>
          <t>The Netherlands</t>
        </is>
      </c>
      <c r="L13" s="1" t="inlineStr">
        <is>
          <t>Czechia, Bulgaria, Ireland, Latvia, Luxembourg, Slovakia, Sweden, Ukraine, Belgium, Croatia, Denmark, France, Hungary, Italy, Norway, Romania, Slovenia, Switzerland, United Kingdom, Estonia, Germany, Iceland, Netherlands, Poland, Spain</t>
        </is>
      </c>
      <c r="M13" s="1" t="inlineStr">
        <is>
          <t>Medium (50-250 FTE employees)</t>
        </is>
      </c>
      <c r="N13" s="1" t="inlineStr">
        <is>
          <t>Business to Business, Business to Schools, Business to Government</t>
        </is>
      </c>
      <c r="O13" s="1" t="inlineStr">
        <is>
          <t>Primary Education, Secondary Education, Higher Education, Corporate Training, Special Education</t>
        </is>
      </c>
      <c r="P13" s="1" t="inlineStr">
        <is>
          <t>Teacher interfacing</t>
        </is>
      </c>
      <c r="Q13" s="10" t="inlineStr">
        <is>
          <t>Interactive Touchscreen</t>
        </is>
      </c>
      <c r="R13" t="inlineStr">
        <is>
          <t>The Prowise Touchscreen is a state-of-the-art display for education.
With software, 100% developed in-house in the Netherlands, it offers quality, privacy, and security by design. With no intermediaries, we ensure great value. Built in Europe, shaped by educators—perfectly for every classroom.</t>
        </is>
      </c>
      <c r="S13" s="10" t="inlineStr">
        <is>
          <t>Ergonomic liftsystem for touchscreen</t>
        </is>
      </c>
      <c r="T13" t="inlineStr">
        <is>
          <t>Easily adjust screen height for any age or activity—sitting, standing, or collaborating on the floor. Silent, stable, and child-safe. Developed in-house to perfectly match the Prowise Touchscreen. Durable quality, made in Europe.</t>
        </is>
      </c>
      <c r="U13" s="1" t="inlineStr">
        <is>
          <t>https://drive.google.com/uc?export=view&amp;id=17HFmQK-h6ioQCxt9laEm1gDqEDOEWraR</t>
        </is>
      </c>
      <c r="V13" s="1" t="inlineStr">
        <is>
          <t>Verified</t>
        </is>
      </c>
      <c r="W13" s="1" t="inlineStr">
        <is>
          <t>Public-private partnerships, Other, Industry-academia partnerships, Project consortium building</t>
        </is>
      </c>
      <c r="X13" s="1" t="inlineStr">
        <is>
          <t>For-profit company</t>
        </is>
      </c>
      <c r="Y13" s="10" t="b">
        <v>1</v>
      </c>
      <c r="Z13" s="1" t="b">
        <v>1</v>
      </c>
      <c r="AA13" s="1" t="inlineStr">
        <is>
          <t>Yes</t>
        </is>
      </c>
      <c r="AB13" s="1" t="inlineStr">
        <is>
          <t>https://www.instagram.com/prowise_nl/</t>
        </is>
      </c>
      <c r="AC13" s="1" t="inlineStr">
        <is>
          <t>https://www.linkedin.com/company/prowise-nl/</t>
        </is>
      </c>
      <c r="AD13" s="1" t="inlineStr">
        <is>
          <t>https://www.linkedin.com/company/prowise-nl/</t>
        </is>
      </c>
    </row>
    <row r="14" ht="15.75" customHeight="1">
      <c r="A14" s="6" t="n">
        <v>45859</v>
      </c>
      <c r="B14" s="1" t="inlineStr">
        <is>
          <t>ORG_1481</t>
        </is>
      </c>
      <c r="C14" s="1" t="b">
        <v>1</v>
      </c>
      <c r="D14" s="1" t="inlineStr">
        <is>
          <t>Electude</t>
        </is>
      </c>
      <c r="E14" s="10" t="inlineStr">
        <is>
          <t>www.electude.com</t>
        </is>
      </c>
      <c r="F14" t="inlineStr">
        <is>
          <t>electude.com</t>
        </is>
      </c>
      <c r="G14" s="1" t="inlineStr">
        <is>
          <t>Built upon 35 years of research and expertise, Electude has revolutionized the automotive education industry by leveraging hands-on gaming technologies and a discovery-based learning environment. Our interactive and engaging teaching solutions empower vocational students to learn effectively and give teachers custom time-saving tools. To this day, Electude is driven by its founders’ vision: with the right tools, anyone can achieve their full potential.   With programs in light vehicles, heavy vehicles, and systems technologies, Electude offers a highly adaptable platform that performs equally well in the classroom, in the shop, or at home.</t>
        </is>
      </c>
      <c r="H14" s="1" t="inlineStr">
        <is>
          <t>Dutch EdTech</t>
        </is>
      </c>
      <c r="I14" s="1" t="inlineStr">
        <is>
          <t>English, German, Portuguese, Czech, Finnish, Irish, Ukrainian, French, Italian, Danish, Latvian, Polish, Spanish, Dutch, Croatian, Estonian, Hungarian, Lithuanian, Romanian, Swedish, Basque, Bulgarian, Catalan, Slovenian, Greek</t>
        </is>
      </c>
      <c r="J14" s="1" t="inlineStr">
        <is>
          <t>Eindhoven</t>
        </is>
      </c>
      <c r="K14" s="1" t="inlineStr">
        <is>
          <t>The Netherlands</t>
        </is>
      </c>
      <c r="L14" s="1" t="inlineStr">
        <is>
          <t>Albania, Austria, Belgium, Bosnia and Herzegovina, Bulgaria, Croatia, Republic of Cyprus, Czechia, Denmark, Estonia, Finland, France, Germany, Greece, Hungary, Iceland, Ireland, Italy, Kosovo, Latvia, Lithuania, Luxembourg, Malta, Moldova, Montenegro, Netherlands, North Macedonia, Norway, Poland, Portugal, Romania, Slovakia, Slovenia, Spain, Sweden, Switzerland, Turkey, Ukraine, United Kingdom</t>
        </is>
      </c>
      <c r="M14" s="1" t="inlineStr">
        <is>
          <t>Medium (50-250 FTE employees)</t>
        </is>
      </c>
      <c r="N14" s="1" t="inlineStr">
        <is>
          <t>Business to Business, Business to Government, Business to Schools</t>
        </is>
      </c>
      <c r="O14" s="1" t="inlineStr">
        <is>
          <t>Vocational Education and Training (VET)</t>
        </is>
      </c>
      <c r="P14" s="1" t="inlineStr">
        <is>
          <t>Student interfacing, Teacher interfacing</t>
        </is>
      </c>
      <c r="Q14" s="10" t="inlineStr">
        <is>
          <t>Electude</t>
        </is>
      </c>
      <c r="R14" t="inlineStr">
        <is>
          <t>Electude Light Vehicle, Heavy Vehicle, and Electric Vehicle are didactic solutions for automotive technology learners in vocational education. They comprise 3000+ interactive, formative lessons designed for learning and practicing all the topics related to automotive technology.</t>
        </is>
      </c>
      <c r="S14" s="10" t="inlineStr">
        <is>
          <t>https://drive.google.com/uc?export=view&amp;id=1F5ktQbNj5i1vdnSX8F_SdYNtJLk7gN23</t>
        </is>
      </c>
      <c r="T14" t="inlineStr">
        <is>
          <t>https://drive.google.com/uc?export=view&amp;id=1F5ktQbNj5i1vdnSX8F_SdYNtJLk7gN23</t>
        </is>
      </c>
      <c r="U14" s="1" t="inlineStr">
        <is>
          <t>https://drive.google.com/uc?export=view&amp;id=1F5ktQbNj5i1vdnSX8F_SdYNtJLk7gN23</t>
        </is>
      </c>
      <c r="V14" s="1" t="inlineStr">
        <is>
          <t>Verified</t>
        </is>
      </c>
      <c r="W14" t="inlineStr">
        <is>
          <t>Other</t>
        </is>
      </c>
      <c r="X14" t="inlineStr">
        <is>
          <t>For-profit company</t>
        </is>
      </c>
      <c r="Y14" s="10" t="b">
        <v>1</v>
      </c>
      <c r="Z14" s="1" t="b">
        <v>1</v>
      </c>
      <c r="AA14" s="1" t="inlineStr">
        <is>
          <t>Yes</t>
        </is>
      </c>
      <c r="AB14" s="1" t="inlineStr">
        <is>
          <t>https://www.instagram.com/electudeinternational/</t>
        </is>
      </c>
      <c r="AC14" s="1" t="inlineStr">
        <is>
          <t>https://www.linkedin.com/company/electudeinternational/</t>
        </is>
      </c>
      <c r="AD14" s="1" t="inlineStr">
        <is>
          <t>https://www.linkedin.com/company/electudeinternational/</t>
        </is>
      </c>
      <c r="AE14" s="10" t="inlineStr">
        <is>
          <t>https://www.facebook.com/electudeinternational</t>
        </is>
      </c>
    </row>
    <row r="15" ht="15.75" customHeight="1">
      <c r="A15" s="6" t="n">
        <v>45859</v>
      </c>
      <c r="B15" s="1" t="inlineStr">
        <is>
          <t>ORG_2613</t>
        </is>
      </c>
      <c r="C15" s="1" t="b">
        <v>1</v>
      </c>
      <c r="D15" s="1" t="inlineStr">
        <is>
          <t>Reducate EdTech Group</t>
        </is>
      </c>
      <c r="E15" s="10" t="inlineStr">
        <is>
          <t>www.reducate.com</t>
        </is>
      </c>
      <c r="F15" t="inlineStr">
        <is>
          <t>reducate.com</t>
        </is>
      </c>
      <c r="G15" s="1" t="inlineStr">
        <is>
          <t>We specialize in offering mission-critical, online continuing professional development for various groups who are required to maintain and update their knowledge. Active in the Netherlands, Denmark, Germany and the UK.</t>
        </is>
      </c>
      <c r="H15" s="1" t="inlineStr">
        <is>
          <t>I'm not part of any EdTech association</t>
        </is>
      </c>
      <c r="I15" s="1" t="inlineStr">
        <is>
          <t>English, German, Danish, Dutch</t>
        </is>
      </c>
      <c r="J15" s="1" t="inlineStr">
        <is>
          <t>Utrecht</t>
        </is>
      </c>
      <c r="K15" s="1" t="inlineStr">
        <is>
          <t>The Netherlands</t>
        </is>
      </c>
      <c r="L15" s="1" t="inlineStr">
        <is>
          <t>Denmark, Germany, Netherlands, United Kingdom</t>
        </is>
      </c>
      <c r="M15" s="1" t="inlineStr">
        <is>
          <t>Medium (50-250 FTE employees)</t>
        </is>
      </c>
      <c r="N15" s="1" t="inlineStr">
        <is>
          <t>Business to Business, Business to Government, Business to Schools</t>
        </is>
      </c>
      <c r="O15" s="1" t="inlineStr">
        <is>
          <t>Lifelong learning/Adult education</t>
        </is>
      </c>
      <c r="P15" s="1" t="inlineStr">
        <is>
          <t>Student interfacing</t>
        </is>
      </c>
      <c r="Q15" t="inlineStr">
        <is>
          <t>E-learning for professionals</t>
        </is>
      </c>
      <c r="R15" t="inlineStr">
        <is>
          <t>Mission-critical online continuing professional education</t>
        </is>
      </c>
      <c r="S15" s="10" t="inlineStr">
        <is>
          <t>Learning experience platform</t>
        </is>
      </c>
      <c r="T15" t="inlineStr">
        <is>
          <t>LMS with broader functionalities like own content, logo, colouring etc.</t>
        </is>
      </c>
      <c r="U15" s="1" t="inlineStr">
        <is>
          <t>https://drive.google.com/uc?export=view&amp;id=1ph_qR9AGcEvmgHGTduIQA76BecAgAxwJ</t>
        </is>
      </c>
      <c r="V15" s="1" t="inlineStr">
        <is>
          <t>Verified</t>
        </is>
      </c>
      <c r="W15" s="1" t="inlineStr">
        <is>
          <t>Other</t>
        </is>
      </c>
      <c r="X15" s="1" t="inlineStr">
        <is>
          <t>For-profit company</t>
        </is>
      </c>
      <c r="Y15" s="10" t="b">
        <v>0</v>
      </c>
      <c r="Z15" s="1" t="b">
        <v>1</v>
      </c>
      <c r="AA15" s="1" t="inlineStr">
        <is>
          <t>Yes</t>
        </is>
      </c>
      <c r="AB15" s="1" t="n"/>
      <c r="AC15" s="1" t="inlineStr">
        <is>
          <t>https://www.linkedin.com/company/reducate</t>
        </is>
      </c>
      <c r="AD15" s="1" t="inlineStr">
        <is>
          <t>https://www.linkedin.com/company/reducate</t>
        </is>
      </c>
    </row>
    <row r="16" ht="15.75" customHeight="1">
      <c r="A16" s="6" t="n">
        <v>45845</v>
      </c>
      <c r="B16" s="1" t="inlineStr">
        <is>
          <t>ORG_1223</t>
        </is>
      </c>
      <c r="C16" s="1" t="b">
        <v>1</v>
      </c>
      <c r="D16" s="1" t="inlineStr">
        <is>
          <t>Catwise</t>
        </is>
      </c>
      <c r="E16" s="10" t="inlineStr">
        <is>
          <t>www.catwise.com</t>
        </is>
      </c>
      <c r="F16" t="inlineStr">
        <is>
          <t>catwise.com</t>
        </is>
      </c>
      <c r="G16" s="1" t="inlineStr">
        <is>
          <t>Catwise contributes to education where students take control of their development, are allowed to make mistakes and experience less numerical pressure to perform. Education where students learn to reflect and leave school with self-knowledge and self-confidence. OUR SERVICES Student discussion Targeted feedback, fewer meetings, it's the student's turn. Catwise Student Discussion is a unique methodology for effective student guidance. Portfolio Insight into development, learning to reflect, ready for the future. Catwise Portfolio provides a clear overview of all developments surrounding CEG, citizenship education, activities and internships. Learning objectives Curriculum design for your class groups, including planning learning objectives with success criteria, adding practice materials and tracking progress by both student and teacher. Training Trainings that are rated by teachers with an 8.8. Don't expect lectures, roll up your sleeves! Accompaniment All our advisors have been in the classroom and speak the language of education. We work informally and do not provide a customer number, but our 06 number.</t>
        </is>
      </c>
      <c r="H16" s="1" t="inlineStr">
        <is>
          <t>Dutch EdTech</t>
        </is>
      </c>
      <c r="I16" s="1" t="inlineStr">
        <is>
          <t>English, Dutch</t>
        </is>
      </c>
      <c r="J16" s="1" t="inlineStr">
        <is>
          <t>Utrecht</t>
        </is>
      </c>
      <c r="K16" s="1" t="inlineStr">
        <is>
          <t>The Netherlands</t>
        </is>
      </c>
      <c r="L16" s="1" t="inlineStr">
        <is>
          <t>Netherlands</t>
        </is>
      </c>
      <c r="M16" s="1" t="inlineStr">
        <is>
          <t>Small (10-49 FTE employees)</t>
        </is>
      </c>
      <c r="N16" s="1" t="inlineStr">
        <is>
          <t>Business to Schools</t>
        </is>
      </c>
      <c r="O16" s="1" t="inlineStr">
        <is>
          <t>Secondary Education, Higher Education</t>
        </is>
      </c>
      <c r="P16" s="1" t="inlineStr">
        <is>
          <t>Student interfacing, Teacher interfacing, System/Administrative</t>
        </is>
      </c>
      <c r="Q16" t="inlineStr">
        <is>
          <t>Catwise</t>
        </is>
      </c>
      <c r="R16" t="inlineStr">
        <is>
          <t>Catwise (formerly Leerlingbespreking.nl) contributes to education where students take control of their development, are allowed to make mistakes and experience less numerical pressure to perform. Education where students learn to reflect and leave school with self-knowledge and self-confidence.
OUR</t>
        </is>
      </c>
      <c r="S16" s="10" t="inlineStr">
        <is>
          <t>https://drive.google.com/uc?export=view&amp;id=1QPWmAK34ATuMRnhEhDPfWpWR8DDRZA68</t>
        </is>
      </c>
      <c r="T16" t="inlineStr">
        <is>
          <t>https://drive.google.com/uc?export=view&amp;id=1QPWmAK34ATuMRnhEhDPfWpWR8DDRZA68</t>
        </is>
      </c>
      <c r="U16" s="1" t="inlineStr">
        <is>
          <t>https://drive.google.com/uc?export=view&amp;id=1QPWmAK34ATuMRnhEhDPfWpWR8DDRZA68</t>
        </is>
      </c>
      <c r="V16" s="1" t="inlineStr">
        <is>
          <t>Verified</t>
        </is>
      </c>
      <c r="W16" t="inlineStr">
        <is>
          <t>Collaborations between EdTech organisations</t>
        </is>
      </c>
      <c r="X16" t="inlineStr">
        <is>
          <t>For-profit company</t>
        </is>
      </c>
      <c r="Y16" s="10" t="b">
        <v>1</v>
      </c>
      <c r="Z16" s="1" t="b">
        <v>1</v>
      </c>
      <c r="AA16" s="1" t="inlineStr">
        <is>
          <t>Yes</t>
        </is>
      </c>
      <c r="AB16" s="1" t="n"/>
      <c r="AC16" s="1" t="inlineStr">
        <is>
          <t>https://www.linkedin.com/company/catwise</t>
        </is>
      </c>
      <c r="AD16" s="1" t="inlineStr">
        <is>
          <t>https://www.linkedin.com/company/catwise</t>
        </is>
      </c>
    </row>
    <row r="17" ht="15.75" customHeight="1">
      <c r="A17" s="6" t="n">
        <v>45841</v>
      </c>
      <c r="B17" s="1" t="inlineStr">
        <is>
          <t>ORG_2586</t>
        </is>
      </c>
      <c r="C17" s="1" t="b">
        <v>1</v>
      </c>
      <c r="D17" s="1" t="inlineStr">
        <is>
          <t>Goin'</t>
        </is>
      </c>
      <c r="E17" s="10" t="inlineStr">
        <is>
          <t>www.goinconnect.com</t>
        </is>
      </c>
      <c r="F17" t="inlineStr">
        <is>
          <t>goinconnect.com</t>
        </is>
      </c>
      <c r="G17" s="1" t="inlineStr">
        <is>
          <t>We connect students prior to arrival to make students start and stay at the university!</t>
        </is>
      </c>
      <c r="H17" s="1" t="inlineStr">
        <is>
          <t>I'm not part of any EdTech association</t>
        </is>
      </c>
      <c r="I17" s="1" t="inlineStr">
        <is>
          <t>English, French, Spanish, German, Italian, All</t>
        </is>
      </c>
      <c r="J17" s="1" t="inlineStr">
        <is>
          <t>Utrecht</t>
        </is>
      </c>
      <c r="K17" s="1" t="inlineStr">
        <is>
          <t>The Netherlands</t>
        </is>
      </c>
      <c r="L17" s="1" t="inlineStr">
        <is>
          <t>Finland, Czechia, Greece, Ireland, Latvia, Sweden, Belgium, Denmark, France, Italy, Norway, United Kingdom, Germany, Netherlands, Spain, Poland, Turkey, Australia</t>
        </is>
      </c>
      <c r="M17" s="1" t="inlineStr">
        <is>
          <t>Small (10-49 FTE employees)</t>
        </is>
      </c>
      <c r="N17" s="1" t="inlineStr">
        <is>
          <t>Business to Business, Business to Schools</t>
        </is>
      </c>
      <c r="O17" s="1" t="inlineStr">
        <is>
          <t>Higher Education</t>
        </is>
      </c>
      <c r="P17" s="1" t="inlineStr">
        <is>
          <t>System/Administrative, Student interfacing</t>
        </is>
      </c>
      <c r="Q17" t="inlineStr">
        <is>
          <t>Goin' Conversion</t>
        </is>
      </c>
      <c r="R17" t="inlineStr">
        <is>
          <t>Converting students through pre-enrollment friendships.</t>
        </is>
      </c>
      <c r="S17" s="10" t="inlineStr">
        <is>
          <t>Goin' Retention</t>
        </is>
      </c>
      <c r="T17" t="inlineStr">
        <is>
          <t>Retaining students through pre-arrival friendships.</t>
        </is>
      </c>
      <c r="U17" s="1" t="inlineStr">
        <is>
          <t>https://drive.google.com/uc?export=view&amp;id=1FqSw1mnp4xJiofHRcMFB75HCr-FW9etj</t>
        </is>
      </c>
      <c r="V17" s="1" t="inlineStr">
        <is>
          <t>Verified</t>
        </is>
      </c>
      <c r="W17" s="1" t="inlineStr">
        <is>
          <t>Collaborations between EdTech organisations, Project consortium building, Public-private partnerships</t>
        </is>
      </c>
      <c r="X17" s="1" t="inlineStr">
        <is>
          <t>For-profit company</t>
        </is>
      </c>
      <c r="Y17" s="10" t="b">
        <v>1</v>
      </c>
      <c r="Z17" s="1" t="b">
        <v>1</v>
      </c>
      <c r="AA17" s="1" t="inlineStr">
        <is>
          <t>Yes</t>
        </is>
      </c>
      <c r="AB17" s="1" t="n"/>
      <c r="AC17" s="1" t="inlineStr">
        <is>
          <t>https://www.linkedin.com/company/goinconnect/?viewAsMember=true</t>
        </is>
      </c>
      <c r="AD17" s="1" t="inlineStr">
        <is>
          <t>https://www.linkedin.com/company/goinconnect/?viewAsMember=true</t>
        </is>
      </c>
    </row>
    <row r="18" ht="15.75" customHeight="1">
      <c r="A18" s="6" t="n">
        <v>45840</v>
      </c>
      <c r="B18" s="1" t="inlineStr">
        <is>
          <t>ORG_2580</t>
        </is>
      </c>
      <c r="C18" s="1" t="b">
        <v>1</v>
      </c>
      <c r="D18" s="1" t="inlineStr">
        <is>
          <t>EngineeringTrainer</t>
        </is>
      </c>
      <c r="E18" s="10" t="inlineStr">
        <is>
          <t>EngineeringTrainer.com</t>
        </is>
      </c>
      <c r="F18" t="inlineStr">
        <is>
          <t>engineeringtrainer.com</t>
        </is>
      </c>
      <c r="G18" s="1" t="inlineStr">
        <is>
          <t>EngineeringTrainer is an online skill-development platform for technical professionals within the Energy and Chemical markets servicing both individuals as companies with training value and solutions to develop, measure and maintain technical skills.</t>
        </is>
      </c>
      <c r="H18" s="1" t="inlineStr">
        <is>
          <t>Dutch EdTech</t>
        </is>
      </c>
      <c r="I18" s="1" t="inlineStr">
        <is>
          <t>English</t>
        </is>
      </c>
      <c r="J18" s="1" t="inlineStr">
        <is>
          <t>Utrecht</t>
        </is>
      </c>
      <c r="K18" s="1" t="inlineStr">
        <is>
          <t>The Netherlands</t>
        </is>
      </c>
      <c r="L18" s="1" t="inlineStr">
        <is>
          <t>Albania, Andorra, Austria, Bosnia and Herzegovina, Belgium, Belarus, Bulgaria, Croatia, Republic of Cyprus, Estonia, Denmark, Czechia, Finland, France, Germany, Iceland, Hungary, Greece, Ireland, Italy, Kosovo, Lithuania, Liechtenstein, Latvia, Luxembourg, Malta, Moldova, Netherlands, Montenegro, Monaco, North Macedonia, Norway, Poland, San Marino, Romania, Portugal, Slovakia, Slovenia, Spain, Turkey, Switzerland, Sweden, Ukraine, United Kingdom, Global</t>
        </is>
      </c>
      <c r="M18" s="1" t="inlineStr">
        <is>
          <t>Micro (1-9 FTE employees)</t>
        </is>
      </c>
      <c r="N18" s="1" t="inlineStr">
        <is>
          <t>Business to Business, Business to Consumer</t>
        </is>
      </c>
      <c r="O18" s="1" t="inlineStr">
        <is>
          <t>Lifelong learning/Adult education, Corporate Training</t>
        </is>
      </c>
      <c r="P18" s="1" t="inlineStr">
        <is>
          <t>Student interfacing</t>
        </is>
      </c>
      <c r="Q18" t="inlineStr">
        <is>
          <t>Online Training for Engineering Professionals</t>
        </is>
      </c>
      <c r="R18" t="inlineStr">
        <is>
          <t>Roughly 200 training Courses, Learning Paths and Masterclasses for Engineers working in energy and chemical disciplines.</t>
        </is>
      </c>
      <c r="S18" s="10" t="inlineStr">
        <is>
          <t>Team, Business &amp; Enterprise Accounts</t>
        </is>
      </c>
      <c r="T18" t="inlineStr">
        <is>
          <t>Through our B2B offerings we not only service the engineering professionals but also their organizations by means of learner data-insights, custom Learning Paths &amp; Internal courses and IT integrations.</t>
        </is>
      </c>
      <c r="U18" s="1" t="inlineStr">
        <is>
          <t>https://drive.google.com/uc?export=view&amp;id=1DQCRe50KhT1Ss5FT4WOBWLQR5vA54yFa</t>
        </is>
      </c>
      <c r="V18" s="1" t="inlineStr">
        <is>
          <t>Verified</t>
        </is>
      </c>
      <c r="W18" s="1" t="inlineStr">
        <is>
          <t>Collaborations between EdTech organisations, Project consortium building, Public-private partnerships, Industry-academia partnerships</t>
        </is>
      </c>
      <c r="X18" s="1" t="inlineStr">
        <is>
          <t>For-profit company</t>
        </is>
      </c>
      <c r="Y18" s="10" t="b">
        <v>1</v>
      </c>
      <c r="Z18" s="1" t="b">
        <v>1</v>
      </c>
      <c r="AA18" s="1" t="inlineStr">
        <is>
          <t>Yes</t>
        </is>
      </c>
      <c r="AB18" s="1" t="n"/>
      <c r="AC18" s="1" t="inlineStr">
        <is>
          <t>https://www.linkedin.com/school/12648209/</t>
        </is>
      </c>
      <c r="AD18" s="1" t="inlineStr">
        <is>
          <t>https://www.linkedin.com/school/12648209/</t>
        </is>
      </c>
    </row>
    <row r="19" ht="15.75" customHeight="1">
      <c r="A19" s="6" t="n">
        <v>45840</v>
      </c>
      <c r="B19" s="1" t="inlineStr">
        <is>
          <t>ORG_2069</t>
        </is>
      </c>
      <c r="C19" s="1" t="b">
        <v>1</v>
      </c>
      <c r="D19" s="1" t="inlineStr">
        <is>
          <t>OnSpect</t>
        </is>
      </c>
      <c r="E19" s="10" t="inlineStr">
        <is>
          <t>https://onspect.nl</t>
        </is>
      </c>
      <c r="F19" t="inlineStr">
        <is>
          <t>onspect.nl</t>
        </is>
      </c>
      <c r="G19" s="1" t="inlineStr">
        <is>
          <t>OnSpect is a comprehensive digital platform designed to enhance the quality of education by facilitating effective quality management in schools. It enables schools to document and maintain their vision and policies in one centralized location, simplifying the translation of these policies into classroom practice. This platform is instrumental in preparing schools for inspections and fosters collaboration among staff. OnSpect includes built-in quality cycles, ensuring that the education quality is always up to standard and policies remain current. It also aids in project management through a digital quality calendar, making processes transparent and responsibilities clear. OnSpect is tailored for primary, secondary, and vocational education, as well as for school boards, with each version offering specific modules and frameworks. The platform is praised for its ease of use and effectiveness in organizing and presenting information during inspections.</t>
        </is>
      </c>
      <c r="H19" s="1" t="inlineStr">
        <is>
          <t>Dutch EdTech</t>
        </is>
      </c>
      <c r="I19" s="1" t="inlineStr">
        <is>
          <t>Dutch</t>
        </is>
      </c>
      <c r="J19" s="1" t="inlineStr">
        <is>
          <t>Amstelveen</t>
        </is>
      </c>
      <c r="K19" s="1" t="inlineStr">
        <is>
          <t>The Netherlands</t>
        </is>
      </c>
      <c r="L19" s="1" t="inlineStr">
        <is>
          <t>Netherlands</t>
        </is>
      </c>
      <c r="M19" s="1" t="inlineStr">
        <is>
          <t>Micro (1-9 FTE employees)</t>
        </is>
      </c>
      <c r="N19" s="1" t="inlineStr">
        <is>
          <t>Business to Schools</t>
        </is>
      </c>
      <c r="O19" s="1" t="inlineStr">
        <is>
          <t>Primary Education, Secondary Education, Vocational Education and Training (VET), Special Education</t>
        </is>
      </c>
      <c r="P19" s="1" t="inlineStr">
        <is>
          <t>System/Administrative</t>
        </is>
      </c>
      <c r="Q19" t="inlineStr">
        <is>
          <t>OnSpect application</t>
        </is>
      </c>
      <c r="R19" t="inlineStr">
        <is>
          <t>OnSpect is a comprehensive digital platform designed to enhance the quality of education by facilitating effective quality management in schools.</t>
        </is>
      </c>
      <c r="S19" s="10" t="inlineStr">
        <is>
          <t>https://drive.google.com/uc?export=view&amp;id=1AU0NzWzHHkGRM43EKQg_qELwdJ8MHZPI</t>
        </is>
      </c>
      <c r="T19" t="inlineStr">
        <is>
          <t>https://drive.google.com/uc?export=view&amp;id=1AU0NzWzHHkGRM43EKQg_qELwdJ8MHZPI</t>
        </is>
      </c>
      <c r="U19" s="1" t="inlineStr">
        <is>
          <t>https://drive.google.com/uc?export=view&amp;id=1AU0NzWzHHkGRM43EKQg_qELwdJ8MHZPI</t>
        </is>
      </c>
      <c r="V19" s="1" t="inlineStr">
        <is>
          <t>Verified</t>
        </is>
      </c>
      <c r="W19" s="1" t="inlineStr">
        <is>
          <t>Collaborations between EdTech organisations, Public-private partnerships</t>
        </is>
      </c>
      <c r="X19" s="1" t="inlineStr">
        <is>
          <t>For-profit company</t>
        </is>
      </c>
      <c r="Y19" s="10" t="b">
        <v>1</v>
      </c>
      <c r="Z19" s="1" t="b">
        <v>0</v>
      </c>
      <c r="AA19" s="1" t="inlineStr">
        <is>
          <t>Yes</t>
        </is>
      </c>
      <c r="AB19" s="1" t="n"/>
      <c r="AC19" s="1" t="inlineStr">
        <is>
          <t>https://www.linkedin.com/company/onspect</t>
        </is>
      </c>
      <c r="AD19" s="1" t="inlineStr">
        <is>
          <t>https://www.linkedin.com/company/onspect</t>
        </is>
      </c>
    </row>
    <row r="20" ht="15.75" customHeight="1">
      <c r="A20" s="6" t="n">
        <v>45840</v>
      </c>
      <c r="B20" s="1" t="inlineStr">
        <is>
          <t>ORG_1254</t>
        </is>
      </c>
      <c r="C20" s="1" t="b">
        <v>1</v>
      </c>
      <c r="D20" s="1" t="inlineStr">
        <is>
          <t>Classroomscreen BV</t>
        </is>
      </c>
      <c r="E20" s="10" t="inlineStr">
        <is>
          <t>www.classroomscreen.com</t>
        </is>
      </c>
      <c r="F20" t="inlineStr">
        <is>
          <t>classroomscreen.com</t>
        </is>
      </c>
      <c r="G20" s="1" t="inlineStr">
        <is>
          <t>Classroomscreen is an online education tool that aims to enhance classroom management and engagement in classrooms. Our platform provides teachers with a dynamic and versatile whiteboard environment with several useful widgets and tools to improve student engagement.</t>
        </is>
      </c>
      <c r="H20" s="1" t="inlineStr">
        <is>
          <t>Dutch EdTech</t>
        </is>
      </c>
      <c r="I20" s="1" t="inlineStr">
        <is>
          <t>English</t>
        </is>
      </c>
      <c r="J20" s="1" t="inlineStr">
        <is>
          <t>Bunnik</t>
        </is>
      </c>
      <c r="K20" s="1" t="inlineStr">
        <is>
          <t>The Netherlands</t>
        </is>
      </c>
      <c r="L20" s="1" t="inlineStr">
        <is>
          <t>United Kingdom, Switzerland, Sweden, Spain, Romania, Portugal, Norway, Netherlands, Italy, Ireland, Iceland, Germany, France, Finland, Denmark, Czechia, Belgium, Austria</t>
        </is>
      </c>
      <c r="M20" s="1" t="inlineStr">
        <is>
          <t>Micro (1-9 FTE employees)</t>
        </is>
      </c>
      <c r="N20" s="1" t="inlineStr">
        <is>
          <t>Business to Consumer, Business to Schools</t>
        </is>
      </c>
      <c r="O20" s="1" t="inlineStr">
        <is>
          <t>Primary Education, Secondary Education, Special Education</t>
        </is>
      </c>
      <c r="P20" s="1" t="inlineStr">
        <is>
          <t>Teacher interfacing, Student interfacing</t>
        </is>
      </c>
      <c r="Q20" t="inlineStr">
        <is>
          <t>Classroomscreen</t>
        </is>
      </c>
      <c r="R20" t="inlineStr">
        <is>
          <t>Classroomscreen is an online education tool that aims to enhance classroom management and engagement in classrooms. Our platform provides teachers with a dynamic and versatile whiteboard environment with several useful widgets and tools to improve student engagement.</t>
        </is>
      </c>
      <c r="S20" s="10" t="n"/>
      <c r="U20" s="1" t="n"/>
      <c r="V20" s="1" t="inlineStr">
        <is>
          <t>Verified</t>
        </is>
      </c>
      <c r="X20" t="inlineStr">
        <is>
          <t>For-profit company</t>
        </is>
      </c>
      <c r="Y20" t="b">
        <v>1</v>
      </c>
      <c r="Z20" s="1" t="b">
        <v>0</v>
      </c>
      <c r="AA20" s="1" t="inlineStr">
        <is>
          <t>Yes</t>
        </is>
      </c>
      <c r="AB20" s="1" t="n"/>
      <c r="AC20" s="1" t="inlineStr">
        <is>
          <t>https://www.linkedin.com/company/classroomscreen/</t>
        </is>
      </c>
      <c r="AD20" s="1" t="inlineStr">
        <is>
          <t>https://www.linkedin.com/company/classroomscreen/</t>
        </is>
      </c>
    </row>
    <row r="21" ht="15.75" customHeight="1">
      <c r="A21" s="6" t="n">
        <v>45840</v>
      </c>
      <c r="B21" s="1" t="inlineStr">
        <is>
          <t>ORG_1949</t>
        </is>
      </c>
      <c r="C21" s="1" t="b">
        <v>1</v>
      </c>
      <c r="D21" s="1" t="inlineStr">
        <is>
          <t>MemoryLab</t>
        </is>
      </c>
      <c r="E21" s="10" t="inlineStr">
        <is>
          <t>www.memorylab.nl</t>
        </is>
      </c>
      <c r="F21" t="inlineStr">
        <is>
          <t>memorylab.nl</t>
        </is>
      </c>
      <c r="G21" s="1" t="inlineStr">
        <is>
          <t>MemoryLab transforms education by tracking students’ digital learning interactions to optimize learning and quantify knowledge with precision. Our adaptive system, grounded in cognitive science and powered by proprietary knowledge tracing algorithms, increases engagement and removes the need for traditional exams. We focus on fundamental declarative knowledge—the core facts and concepts essential for deeper learning. By tailoring learning to each individual’s pace and needs, we create an inclusive, low-stress environment where every student can thrive. Backed by our own scientific research and validated in real classrooms, MemoryLab ensures that learning is both effective and evidence-based.</t>
        </is>
      </c>
      <c r="H21" s="1" t="inlineStr">
        <is>
          <t>EDUvation</t>
        </is>
      </c>
      <c r="I21" s="1" t="inlineStr">
        <is>
          <t>English, German, Italian, French, Spanish, All</t>
        </is>
      </c>
      <c r="J21" s="1" t="inlineStr">
        <is>
          <t>Groningen</t>
        </is>
      </c>
      <c r="K21" s="1" t="inlineStr">
        <is>
          <t>The Netherlands</t>
        </is>
      </c>
      <c r="L21" s="1" t="inlineStr">
        <is>
          <t>Belgium, Germany, Netherlands, United Kingdom, Austria, Sweden, Switzerland, United States of America</t>
        </is>
      </c>
      <c r="M21" s="1" t="inlineStr">
        <is>
          <t>Small (10-49 FTE employees)</t>
        </is>
      </c>
      <c r="N21" s="1" t="inlineStr">
        <is>
          <t>Business to Business, Business to Schools</t>
        </is>
      </c>
      <c r="O21" s="1" t="inlineStr">
        <is>
          <t>Secondary Education, Vocational Education and Training (VET), Higher Education, Corporate Training, Lifelong learning/Adult education, Special Education</t>
        </is>
      </c>
      <c r="P21" s="1" t="inlineStr">
        <is>
          <t>Student interfacing, Teacher interfacing</t>
        </is>
      </c>
      <c r="Q21" s="1" t="n"/>
      <c r="S21" s="1" t="n"/>
      <c r="U21" s="1" t="n"/>
      <c r="V21" s="1" t="inlineStr">
        <is>
          <t>Verified</t>
        </is>
      </c>
      <c r="W21" s="1" t="inlineStr">
        <is>
          <t>Collaborations between EdTech organisations, Project consortium building, Industry-academia partnerships</t>
        </is>
      </c>
      <c r="X21" s="1" t="inlineStr">
        <is>
          <t>For-profit company</t>
        </is>
      </c>
      <c r="Y21" t="b">
        <v>1</v>
      </c>
      <c r="Z21" s="1" t="b">
        <v>0</v>
      </c>
      <c r="AA21" s="1" t="inlineStr">
        <is>
          <t>No</t>
        </is>
      </c>
      <c r="AB21" s="1" t="n"/>
      <c r="AC21" s="1" t="n"/>
      <c r="AD21" s="1" t="n"/>
      <c r="AE21" s="1" t="n"/>
    </row>
    <row r="22" ht="15.75" customHeight="1">
      <c r="A22" s="6" t="n">
        <v>45840</v>
      </c>
      <c r="B22" s="1" t="inlineStr">
        <is>
          <t>ORG_1475</t>
        </is>
      </c>
      <c r="C22" s="1" t="b">
        <v>1</v>
      </c>
      <c r="D22" s="1" t="inlineStr">
        <is>
          <t>Eindexamensite</t>
        </is>
      </c>
      <c r="E22" s="10" t="inlineStr">
        <is>
          <t>https://eindexamensite.nl</t>
        </is>
      </c>
      <c r="F22" t="inlineStr">
        <is>
          <t>eindexamensite.nl</t>
        </is>
      </c>
      <c r="G22" s="1" t="inlineStr">
        <is>
          <t>Eindexamensite is a digital exam trainer and helps teachers prepare their students for the end-of-year-test in Dutch secondary education</t>
        </is>
      </c>
      <c r="H22" s="1" t="inlineStr">
        <is>
          <t>Dutch EdTech</t>
        </is>
      </c>
      <c r="I22" s="1" t="inlineStr">
        <is>
          <t>Dutch</t>
        </is>
      </c>
      <c r="J22" s="1" t="inlineStr">
        <is>
          <t>Utrecht</t>
        </is>
      </c>
      <c r="K22" s="1" t="inlineStr">
        <is>
          <t>The Netherlands</t>
        </is>
      </c>
      <c r="L22" s="1" t="inlineStr">
        <is>
          <t>Netherlands</t>
        </is>
      </c>
      <c r="M22" s="1" t="inlineStr">
        <is>
          <t>Micro (1-9 FTE employees)</t>
        </is>
      </c>
      <c r="N22" s="1" t="inlineStr">
        <is>
          <t>Business to Schools</t>
        </is>
      </c>
      <c r="O22" s="1" t="inlineStr">
        <is>
          <t>Secondary Education</t>
        </is>
      </c>
      <c r="P22" s="1" t="inlineStr">
        <is>
          <t>Student interfacing, Teacher interfacing</t>
        </is>
      </c>
      <c r="Q22" t="inlineStr">
        <is>
          <t>Digital exam trainer</t>
        </is>
      </c>
      <c r="R22" t="inlineStr">
        <is>
          <t>Help teachers prepare students for yearly end-of-year test</t>
        </is>
      </c>
      <c r="S22" s="10" t="n"/>
      <c r="U22" s="1" t="n"/>
      <c r="V22" s="1" t="inlineStr">
        <is>
          <t>Verified</t>
        </is>
      </c>
      <c r="X22" t="inlineStr">
        <is>
          <t>For-profit company</t>
        </is>
      </c>
      <c r="Y22" s="1" t="b">
        <v>1</v>
      </c>
      <c r="Z22" s="1" t="b">
        <v>1</v>
      </c>
      <c r="AA22" t="inlineStr">
        <is>
          <t>Yes</t>
        </is>
      </c>
      <c r="AB22" s="1" t="n"/>
      <c r="AC22" s="1" t="inlineStr">
        <is>
          <t>https://www.linkedin.com/company/eindexamensite/</t>
        </is>
      </c>
      <c r="AD22" s="1" t="inlineStr">
        <is>
          <t>https://www.linkedin.com/company/eindexamensite/</t>
        </is>
      </c>
    </row>
    <row r="23" ht="15.75" customHeight="1">
      <c r="A23" s="6" t="n">
        <v>45839</v>
      </c>
      <c r="B23" s="1" t="inlineStr">
        <is>
          <t>ORG_2523</t>
        </is>
      </c>
      <c r="C23" s="1" t="b">
        <v>1</v>
      </c>
      <c r="D23" s="1" t="inlineStr">
        <is>
          <t>WellBased</t>
        </is>
      </c>
      <c r="E23" s="10" t="inlineStr">
        <is>
          <t>https://wellbased.nl</t>
        </is>
      </c>
      <c r="F23" t="inlineStr">
        <is>
          <t>wellbased.nl</t>
        </is>
      </c>
      <c r="G23" s="1" t="inlineStr">
        <is>
          <t>WellBased is a Dutch educational platform that supports secondary school teachers by providing ready-to-use lesson materials that focus on enhancing students' social-emotional development and study skills, covering topics such as bullying, motivation, stress management, planning, and digital literacy.</t>
        </is>
      </c>
      <c r="H23" s="1" t="inlineStr">
        <is>
          <t>Dutch EdTech</t>
        </is>
      </c>
      <c r="I23" s="1" t="inlineStr">
        <is>
          <t>English, Dutch</t>
        </is>
      </c>
      <c r="J23" s="1" t="inlineStr">
        <is>
          <t>Netherlands</t>
        </is>
      </c>
      <c r="K23" s="1" t="inlineStr">
        <is>
          <t>The Netherlands</t>
        </is>
      </c>
      <c r="L23" s="1" t="inlineStr">
        <is>
          <t>Netherlands, United Kingdom</t>
        </is>
      </c>
      <c r="M23" s="1" t="inlineStr">
        <is>
          <t>Micro (1-9 FTE employees)</t>
        </is>
      </c>
      <c r="N23" s="1" t="inlineStr">
        <is>
          <t>Business to Schools</t>
        </is>
      </c>
      <c r="O23" s="1" t="inlineStr">
        <is>
          <t>Secondary Education</t>
        </is>
      </c>
      <c r="P23" s="1" t="inlineStr">
        <is>
          <t>Teacher interfacing</t>
        </is>
      </c>
      <c r="S23" s="1" t="n"/>
      <c r="U23" s="1" t="n"/>
      <c r="V23" s="1" t="inlineStr">
        <is>
          <t>Verified</t>
        </is>
      </c>
      <c r="W23" s="1" t="n"/>
      <c r="X23" s="1" t="inlineStr">
        <is>
          <t>For-profit company</t>
        </is>
      </c>
      <c r="Y23" s="1" t="b">
        <v>1</v>
      </c>
      <c r="Z23" s="1" t="b">
        <v>1</v>
      </c>
      <c r="AA23" t="inlineStr">
        <is>
          <t>No</t>
        </is>
      </c>
      <c r="AB23" s="1" t="n"/>
      <c r="AC23" s="1" t="n"/>
      <c r="AD23" s="1" t="n"/>
    </row>
    <row r="24" ht="15.75" customHeight="1">
      <c r="A24" s="6" t="n">
        <v>45839</v>
      </c>
      <c r="B24" s="1" t="inlineStr">
        <is>
          <t>ORG_1049</t>
        </is>
      </c>
      <c r="C24" s="1" t="b">
        <v>1</v>
      </c>
      <c r="D24" s="1" t="inlineStr">
        <is>
          <t>Algebrakit</t>
        </is>
      </c>
      <c r="E24" s="10" t="inlineStr">
        <is>
          <t>algebrakit.com</t>
        </is>
      </c>
      <c r="F24" t="inlineStr">
        <is>
          <t>algebrakit.com</t>
        </is>
      </c>
      <c r="G24" s="1" t="inlineStr">
        <is>
          <t>Algebrakit provides intelligent question types for mathematics. Our tools are used by educational publishers worldwide</t>
        </is>
      </c>
      <c r="H24" s="1" t="inlineStr">
        <is>
          <t>Dutch EdTech</t>
        </is>
      </c>
      <c r="I24" s="1" t="inlineStr">
        <is>
          <t>English, German, French, Italian, Spanish, Lithuanian</t>
        </is>
      </c>
      <c r="J24" s="1" t="inlineStr">
        <is>
          <t>Eindhoven</t>
        </is>
      </c>
      <c r="K24" s="1" t="inlineStr">
        <is>
          <t>The Netherlands</t>
        </is>
      </c>
      <c r="L24" s="1" t="inlineStr">
        <is>
          <t>Portugal, United Kingdom, Netherlands, Belgium, Lithuania</t>
        </is>
      </c>
      <c r="M24" s="1" t="inlineStr">
        <is>
          <t>Small (10-49 FTE employees)</t>
        </is>
      </c>
      <c r="N24" s="1" t="inlineStr">
        <is>
          <t>Business to Business</t>
        </is>
      </c>
      <c r="O24" s="1" t="inlineStr">
        <is>
          <t>Secondary Education, Primary Education</t>
        </is>
      </c>
      <c r="P24" s="1" t="inlineStr">
        <is>
          <t>Student interfacing, Teacher interfacing, System/Administrative</t>
        </is>
      </c>
      <c r="Q24" s="1" t="inlineStr">
        <is>
          <t>Algebrakit</t>
        </is>
      </c>
      <c r="R24" t="inlineStr">
        <is>
          <t>Question types and scoring engine for math education</t>
        </is>
      </c>
      <c r="S24" s="10" t="n"/>
      <c r="U24" s="1" t="n"/>
      <c r="V24" s="1" t="inlineStr">
        <is>
          <t>Verified</t>
        </is>
      </c>
      <c r="W24" t="inlineStr">
        <is>
          <t>Collaborations between EdTech organisations, Project consortium building, Public-private partnerships, Industry-academia partnerships</t>
        </is>
      </c>
      <c r="X24" t="inlineStr">
        <is>
          <t>For-profit company</t>
        </is>
      </c>
      <c r="Y24" s="1" t="b">
        <v>1</v>
      </c>
      <c r="Z24" s="1" t="b">
        <v>1</v>
      </c>
      <c r="AA24" s="1" t="inlineStr">
        <is>
          <t>Yes</t>
        </is>
      </c>
      <c r="AB24" s="1" t="n"/>
      <c r="AC24" s="1" t="inlineStr">
        <is>
          <t>https://www.linkedin.com/company/algebrakit</t>
        </is>
      </c>
      <c r="AD24" s="1" t="inlineStr">
        <is>
          <t>https://www.linkedin.com/company/algebrakit</t>
        </is>
      </c>
    </row>
    <row r="25" ht="15.75" customHeight="1">
      <c r="A25" s="6" t="n">
        <v>45839</v>
      </c>
      <c r="B25" s="1" t="inlineStr">
        <is>
          <t>ORG_1836</t>
        </is>
      </c>
      <c r="C25" s="1" t="b">
        <v>1</v>
      </c>
      <c r="D25" s="1" t="inlineStr">
        <is>
          <t>LearningStone</t>
        </is>
      </c>
      <c r="E25" s="10" t="inlineStr">
        <is>
          <t>www.learningstone.com</t>
        </is>
      </c>
      <c r="F25" t="inlineStr">
        <is>
          <t>learningstone.com</t>
        </is>
      </c>
      <c r="G25" s="1" t="inlineStr">
        <is>
          <t>LearningStone is a multilingual platform for trainers and coaches supporting blended and online learning.</t>
        </is>
      </c>
      <c r="H25" s="1" t="inlineStr">
        <is>
          <t>I'm not part of any EdTech association</t>
        </is>
      </c>
      <c r="I25" s="1" t="inlineStr">
        <is>
          <t>English, German, French, Italian, Spanish</t>
        </is>
      </c>
      <c r="J25" s="1" t="inlineStr">
        <is>
          <t>Amsterdam</t>
        </is>
      </c>
      <c r="K25" s="1" t="inlineStr">
        <is>
          <t>The Netherlands</t>
        </is>
      </c>
      <c r="L25" s="1" t="inlineStr">
        <is>
          <t>Germany, France, Belgium, Netherlands, Luxembourg, Spain, United Kingdom, Switzerland, Ireland</t>
        </is>
      </c>
      <c r="M25" s="1" t="inlineStr">
        <is>
          <t>Small (10-49 FTE employees)</t>
        </is>
      </c>
      <c r="N25" s="1" t="inlineStr">
        <is>
          <t>Business to Business</t>
        </is>
      </c>
      <c r="O25" s="1" t="inlineStr">
        <is>
          <t>Corporate Training, Lifelong learning/Adult education</t>
        </is>
      </c>
      <c r="P25" s="1" t="inlineStr">
        <is>
          <t>Student interfacing, Teacher interfacing, System/Administrative</t>
        </is>
      </c>
      <c r="Q25" s="1" t="inlineStr">
        <is>
          <t>LearningStone</t>
        </is>
      </c>
      <c r="R25" t="inlineStr">
        <is>
          <t>Platform technology for blended and online learning</t>
        </is>
      </c>
      <c r="S25" s="10" t="n"/>
      <c r="U25" s="1" t="n"/>
      <c r="V25" s="1" t="inlineStr">
        <is>
          <t>Verified</t>
        </is>
      </c>
      <c r="W25" s="1" t="inlineStr">
        <is>
          <t>Project consortium building, Industry-academia partnerships</t>
        </is>
      </c>
      <c r="X25" s="1" t="inlineStr">
        <is>
          <t>For-profit company</t>
        </is>
      </c>
      <c r="Y25" s="1" t="b">
        <v>1</v>
      </c>
      <c r="Z25" s="1" t="b">
        <v>1</v>
      </c>
      <c r="AA25" s="1" t="inlineStr">
        <is>
          <t>Yes</t>
        </is>
      </c>
      <c r="AB25" s="1" t="n"/>
      <c r="AC25" s="1" t="inlineStr">
        <is>
          <t>https://www.linkedin.com/company/learningstone</t>
        </is>
      </c>
      <c r="AD25" s="1" t="inlineStr">
        <is>
          <t>https://www.linkedin.com/company/learningstone</t>
        </is>
      </c>
    </row>
    <row r="26" ht="15.75" customHeight="1">
      <c r="A26" s="6" t="n">
        <v>45839</v>
      </c>
      <c r="B26" s="1" t="inlineStr">
        <is>
          <t>ORG_2566</t>
        </is>
      </c>
      <c r="C26" s="1" t="b">
        <v>1</v>
      </c>
      <c r="D26" s="1" t="inlineStr">
        <is>
          <t>Your Next Concepts B.V</t>
        </is>
      </c>
      <c r="E26" s="10" t="inlineStr">
        <is>
          <t>https://yournextconcepts.com</t>
        </is>
      </c>
      <c r="F26" t="inlineStr">
        <is>
          <t>yournextconcepts.com</t>
        </is>
      </c>
      <c r="G26" s="1" t="inlineStr">
        <is>
          <t>We enable educational institutions to develop and organise educational processes based on their educational vision.</t>
        </is>
      </c>
      <c r="H26" s="1" t="inlineStr">
        <is>
          <t>Dutch EdTech</t>
        </is>
      </c>
      <c r="I26" s="1" t="inlineStr">
        <is>
          <t>English, Dutch</t>
        </is>
      </c>
      <c r="J26" s="1" t="inlineStr">
        <is>
          <t>Utrecht</t>
        </is>
      </c>
      <c r="K26" s="1" t="inlineStr">
        <is>
          <t>The Netherlands</t>
        </is>
      </c>
      <c r="L26" s="1" t="inlineStr">
        <is>
          <t>Belgium, Netherlands</t>
        </is>
      </c>
      <c r="M26" s="1" t="inlineStr">
        <is>
          <t>Small (10-49 FTE employees)</t>
        </is>
      </c>
      <c r="N26" s="1" t="inlineStr">
        <is>
          <t>Business to Schools</t>
        </is>
      </c>
      <c r="O26" s="1" t="inlineStr">
        <is>
          <t>Vocational Education and Training (VET), Higher Education, Lifelong learning/Adult education, Corporate Training</t>
        </is>
      </c>
      <c r="P26" s="1" t="inlineStr">
        <is>
          <t>Student interfacing, Teacher interfacing, System/Administrative</t>
        </is>
      </c>
      <c r="Q26" t="inlineStr">
        <is>
          <t>SQill</t>
        </is>
      </c>
      <c r="R26" t="inlineStr">
        <is>
          <t>Support flexible education by structuring the curriculum in one place.</t>
        </is>
      </c>
      <c r="S26" s="10" t="inlineStr">
        <is>
          <t>Academy Attendance</t>
        </is>
      </c>
      <c r="T26" t="inlineStr">
        <is>
          <t>Manage everything related to enrollment, attendance tracking, and feedback with Academy Attendance.</t>
        </is>
      </c>
      <c r="U26" s="1" t="n"/>
      <c r="V26" s="1" t="inlineStr">
        <is>
          <t>Verified</t>
        </is>
      </c>
      <c r="W26" s="1" t="n"/>
      <c r="X26" s="1" t="inlineStr">
        <is>
          <t>For-profit company</t>
        </is>
      </c>
      <c r="Y26" s="1" t="b">
        <v>1</v>
      </c>
      <c r="Z26" s="1" t="b">
        <v>1</v>
      </c>
      <c r="AA26" t="inlineStr">
        <is>
          <t>Yes</t>
        </is>
      </c>
      <c r="AB26" s="1" t="n"/>
      <c r="AC26" s="1" t="inlineStr">
        <is>
          <t>https://www.linkedin.com/company/yournextconcepts/</t>
        </is>
      </c>
      <c r="AD26" s="1" t="inlineStr">
        <is>
          <t>https://www.linkedin.com/company/yournextconcepts/</t>
        </is>
      </c>
    </row>
    <row r="27" ht="15.75" customHeight="1">
      <c r="A27" s="6" t="n">
        <v>45839</v>
      </c>
      <c r="B27" s="1" t="inlineStr">
        <is>
          <t>ORG_1504</t>
        </is>
      </c>
      <c r="C27" s="1" t="b">
        <v>1</v>
      </c>
      <c r="D27" s="1" t="inlineStr">
        <is>
          <t>EPA Portfolio</t>
        </is>
      </c>
      <c r="E27" s="10" t="inlineStr">
        <is>
          <t>https://epaportfolio.com</t>
        </is>
      </c>
      <c r="F27" t="inlineStr">
        <is>
          <t>epaportfolio.com</t>
        </is>
      </c>
      <c r="G27" s="1" t="inlineStr">
        <is>
          <t>Reconcept EPA Portfolio is a skills and assessment app fully equipped to support any Competency Based Medical Education (CBME) curriculum.</t>
        </is>
      </c>
      <c r="H27" s="1" t="inlineStr">
        <is>
          <t>Dutch EdTech</t>
        </is>
      </c>
      <c r="I27" s="1" t="inlineStr">
        <is>
          <t>English, Dutch</t>
        </is>
      </c>
      <c r="J27" s="1" t="inlineStr">
        <is>
          <t>Groningen</t>
        </is>
      </c>
      <c r="K27" s="1" t="inlineStr">
        <is>
          <t>The Netherlands</t>
        </is>
      </c>
      <c r="L27" s="1" t="inlineStr">
        <is>
          <t>Netherlands, Iceland, Austria, Belgium, Denmark, Estonia, Finland, France, Germany, Greece, Italy, Ireland, Luxembourg, Norway, Portugal, Spain, Sweden, Switzerland, United Kingdom</t>
        </is>
      </c>
      <c r="M27" s="1" t="inlineStr">
        <is>
          <t>Small (10-49 FTE employees)</t>
        </is>
      </c>
      <c r="N27" s="1" t="inlineStr">
        <is>
          <t>Business to Schools, Business to Business, Business to Government</t>
        </is>
      </c>
      <c r="O27" s="1" t="inlineStr">
        <is>
          <t>Higher Education, Lifelong learning/Adult education</t>
        </is>
      </c>
      <c r="P27" s="1" t="inlineStr">
        <is>
          <t>Student interfacing, Teacher interfacing</t>
        </is>
      </c>
      <c r="Q27" s="1" t="inlineStr">
        <is>
          <t>EPA Portfolio</t>
        </is>
      </c>
      <c r="R27" s="1" t="inlineStr">
        <is>
          <t>Reconcept EPA Portfolio is a skills and assessment app fully equipped to support any Competency Based Medical Education (CBME) curriculum.</t>
        </is>
      </c>
      <c r="S27" s="10" t="n"/>
      <c r="U27" s="1" t="n"/>
      <c r="V27" s="1" t="inlineStr">
        <is>
          <t>Verified</t>
        </is>
      </c>
      <c r="W27" s="1" t="inlineStr">
        <is>
          <t>Collaborations between EdTech organisations, Project consortium building, Public-private partnerships, Industry-academia partnerships</t>
        </is>
      </c>
      <c r="X27" s="1" t="inlineStr">
        <is>
          <t>For-profit company</t>
        </is>
      </c>
      <c r="Y27" s="1" t="b">
        <v>1</v>
      </c>
      <c r="Z27" s="1" t="b">
        <v>0</v>
      </c>
      <c r="AA27" s="1" t="inlineStr">
        <is>
          <t>Yes</t>
        </is>
      </c>
      <c r="AB27" s="1" t="n"/>
      <c r="AC27" s="1" t="inlineStr">
        <is>
          <t>https://www.linkedin.com/showcase/epa</t>
        </is>
      </c>
      <c r="AD27" s="1" t="inlineStr">
        <is>
          <t>https://www.linkedin.com/showcase/epa</t>
        </is>
      </c>
    </row>
    <row r="28" ht="15.75" customHeight="1">
      <c r="A28" s="6" t="n">
        <v>45839</v>
      </c>
      <c r="B28" s="1" t="inlineStr">
        <is>
          <t>ORG_1984</t>
        </is>
      </c>
      <c r="C28" s="1" t="b">
        <v>1</v>
      </c>
      <c r="D28" s="1" t="inlineStr">
        <is>
          <t>MONOP B.V.</t>
        </is>
      </c>
      <c r="E28" s="1" t="inlineStr">
        <is>
          <t>www.greenscreenbox.eu</t>
        </is>
      </c>
      <c r="F28" t="inlineStr">
        <is>
          <t>greenscreenbox.eu</t>
        </is>
      </c>
      <c r="G28" s="1" t="inlineStr">
        <is>
          <t>MONOP BV empowers students’ creativity, language, and digital skills through hands-on multimedia learning. We develop innovative greenscreen-based educational tools for primary and secondary education, including schools, after-school programs, libraries, and educational labs. Our Greenscreenbox® and accompanying app help learners create videos, stopmotions, and photos, strengthening 21st-century skills through storytelling and digital making. To support teachers, we also offer ready-to-use lesson materials that make it easy to get started and integrate our tools into their existing curriculum. Educators value our solutions for their practical applicability and the way they enhance both engagement and learning outcomes.</t>
        </is>
      </c>
      <c r="H28" s="1" t="inlineStr">
        <is>
          <t>Dutch EdTech</t>
        </is>
      </c>
      <c r="I28" s="1" t="inlineStr">
        <is>
          <t>English, German, French, Italian, Spanish, Dutch</t>
        </is>
      </c>
      <c r="J28" s="1" t="inlineStr">
        <is>
          <t>Lieshout</t>
        </is>
      </c>
      <c r="K28" s="1" t="inlineStr">
        <is>
          <t>The Netherlands</t>
        </is>
      </c>
      <c r="L28" s="1" t="inlineStr">
        <is>
          <t>Ireland, United Kingdom, Switzerland, Italy, France, Denmark, Belgium, Germany, Netherlands, Spain</t>
        </is>
      </c>
      <c r="M28" s="1" t="inlineStr">
        <is>
          <t>Micro (1-9 FTE employees)</t>
        </is>
      </c>
      <c r="N28" s="1" t="inlineStr">
        <is>
          <t>Business to Business, Business to Consumer, Business to Schools</t>
        </is>
      </c>
      <c r="O28" s="1" t="inlineStr">
        <is>
          <t>Primary Education, Secondary Education</t>
        </is>
      </c>
      <c r="P28" s="1" t="inlineStr">
        <is>
          <t>Student interfacing</t>
        </is>
      </c>
      <c r="Q28" s="10" t="inlineStr">
        <is>
          <t>Greenscreenbox</t>
        </is>
      </c>
      <c r="R28" t="inlineStr">
        <is>
          <t>Greenscreenbox app</t>
        </is>
      </c>
      <c r="S28" s="10" t="inlineStr">
        <is>
          <t>Create &amp; Learn Teaching projects</t>
        </is>
      </c>
      <c r="T28" t="inlineStr">
        <is>
          <t>Greenscreenbox Creation Cards</t>
        </is>
      </c>
      <c r="U28" s="1" t="n"/>
      <c r="V28" s="1" t="inlineStr">
        <is>
          <t>Verified</t>
        </is>
      </c>
      <c r="W28" s="1" t="n"/>
      <c r="X28" s="1" t="inlineStr">
        <is>
          <t>For-profit company</t>
        </is>
      </c>
      <c r="Y28" s="1" t="b">
        <v>1</v>
      </c>
      <c r="Z28" s="1" t="b">
        <v>1</v>
      </c>
      <c r="AA28" t="inlineStr">
        <is>
          <t>Yes</t>
        </is>
      </c>
      <c r="AB28" s="1" t="inlineStr">
        <is>
          <t>https://www.instagram.com/greenscreenbox/</t>
        </is>
      </c>
      <c r="AC28" s="1" t="inlineStr">
        <is>
          <t>https://nl.linkedin.com/company/monop</t>
        </is>
      </c>
      <c r="AD28" s="1" t="inlineStr">
        <is>
          <t>https://nl.linkedin.com/company/monop</t>
        </is>
      </c>
      <c r="AE28" s="10" t="inlineStr">
        <is>
          <t>https://www.facebook.com/Greenscreenbox/</t>
        </is>
      </c>
    </row>
    <row r="29" ht="15.75" customHeight="1">
      <c r="A29" s="6" t="n">
        <v>45644</v>
      </c>
      <c r="B29" s="1" t="inlineStr">
        <is>
          <t>ORG_1370</t>
        </is>
      </c>
      <c r="C29" s="1" t="b">
        <v>1</v>
      </c>
      <c r="D29" s="1" t="inlineStr">
        <is>
          <t>Docfield</t>
        </is>
      </c>
      <c r="E29" s="10" t="inlineStr">
        <is>
          <t>https://docfield.com</t>
        </is>
      </c>
      <c r="F29" t="inlineStr">
        <is>
          <t>docfield.com</t>
        </is>
      </c>
      <c r="G29" s="1" t="inlineStr">
        <is>
          <t>Docfield is a technology company specialised in developing end-to-end contract lifecycle management (CLM) solutions. 
Founded in 2019 and headquartered in Amsterdam (Netherlands) Docfield aims to streamline the creation, collaboration, and management of business documents across various sectors. Their contract management software simplifies the entire contract process, making it faster and easier for teams to stay organised and compliant. 
Creating documents is a breeze with self-service templates, data import tools, flexible workflows, and smart conditional logic. Real-time collaboration and approval mechanisms enable teams to leave comments, track revisions, and automate repetitive tasks to prevent bottlenecks. Updating thousands of documents is hassle-free with bulk template editing, ensuring consistency across the board. 
With Docfield, teams can focus on what matters most: creating impact and driving growth while the platform handles the complexities of contract management with ease, accuracy, and reliability.</t>
        </is>
      </c>
      <c r="H29" s="1" t="inlineStr">
        <is>
          <t>Dutch EdTech</t>
        </is>
      </c>
      <c r="I29" s="1" t="inlineStr">
        <is>
          <t>English, Dutch, German</t>
        </is>
      </c>
      <c r="J29" s="1" t="inlineStr">
        <is>
          <t>Singel 542</t>
        </is>
      </c>
      <c r="K29" s="1" t="inlineStr">
        <is>
          <t>The Netherlands</t>
        </is>
      </c>
      <c r="L29" s="1" t="inlineStr">
        <is>
          <t>Netherlands</t>
        </is>
      </c>
      <c r="M29" s="1" t="inlineStr">
        <is>
          <t>11 to 50</t>
        </is>
      </c>
      <c r="N29" s="1" t="inlineStr">
        <is>
          <t>Business to Business, Business to Schools</t>
        </is>
      </c>
      <c r="O29" s="1" t="inlineStr">
        <is>
          <t>Vocational Education and Training (VET), Higher Education</t>
        </is>
      </c>
      <c r="P29" s="1" t="inlineStr">
        <is>
          <t>Teacher interfacing, System/Administrative, Student interfacing</t>
        </is>
      </c>
      <c r="Q29" t="inlineStr">
        <is>
          <t>Docfield</t>
        </is>
      </c>
      <c r="R29" t="inlineStr">
        <is>
          <t>Docfield is a technology company specialised in developing end-to-end contract lifecycle management (CLM) solutions. 
Founded in 2019 and headquartered in Amsterdam (Netherlands) Docfield aims to streamline the creation, collaboration, and management of business documents across various sectors. Their contract management software simplifies the entire contract process, making it faster and easier for teams to stay organised and compliant. 
Creating documents is a breeze with self-service templates, data import tools, flexible workflows, and smart conditional logic. Real-time collaboration and approval mechanisms enable teams to leave comments, track revisions, and automate repetitive tasks to prevent bottlenecks. Updating thousands of documents is hassle-free with bulk template editing, ensuring consistency across the board. 
With Docfield, teams can focus on what matters most: creating impact and driving growth while the platform handles the complexities of contract management with ease, accuracy, and reliability.</t>
        </is>
      </c>
      <c r="S29" s="10" t="inlineStr">
        <is>
          <t>https://drive.google.com/uc?export=view&amp;id=1RtR1ImCPOfkWTq1DE653TvPdF88gNCu4</t>
        </is>
      </c>
      <c r="T29" t="inlineStr">
        <is>
          <t>https://drive.google.com/uc?export=view&amp;id=1RtR1ImCPOfkWTq1DE653TvPdF88gNCu4</t>
        </is>
      </c>
      <c r="U29" s="1" t="inlineStr">
        <is>
          <t>https://drive.google.com/uc?export=view&amp;id=1RtR1ImCPOfkWTq1DE653TvPdF88gNCu4</t>
        </is>
      </c>
      <c r="V29" s="1" t="inlineStr">
        <is>
          <t>Verified</t>
        </is>
      </c>
      <c r="Y29" s="10" t="n"/>
      <c r="Z29" s="1" t="n"/>
      <c r="AA29" t="inlineStr">
        <is>
          <t>Yes</t>
        </is>
      </c>
      <c r="AC29" t="inlineStr">
        <is>
          <t>https://www.linkedin.com/company/docfield/?viewAsMember=true</t>
        </is>
      </c>
      <c r="AD29" t="inlineStr">
        <is>
          <t>https://www.linkedin.com/company/docfield/?viewAsMember=true</t>
        </is>
      </c>
    </row>
    <row r="30" ht="15.75" customHeight="1">
      <c r="A30" s="6" t="n">
        <v>45636</v>
      </c>
      <c r="B30" s="1" t="inlineStr">
        <is>
          <t>ORG_1483</t>
        </is>
      </c>
      <c r="C30" s="1" t="b">
        <v>1</v>
      </c>
      <c r="D30" s="1" t="inlineStr">
        <is>
          <t>Elevate</t>
        </is>
      </c>
      <c r="E30" s="10" t="inlineStr">
        <is>
          <t>https://elevatehealth.eu/</t>
        </is>
      </c>
      <c r="F30" t="inlineStr">
        <is>
          <t>elevatehealth.eu</t>
        </is>
      </c>
      <c r="G30" s="1" t="inlineStr">
        <is>
          <t>Elevate connects innovative medical knowledge with didactics. In co-creation with the best scientists and medical experts, we develop tailor-made learning solutions. They have the knowledge, we help to disseminate it. From hospitals, knowledge institutes to consortia.
We enable health professionals and researchers from all over the world to develop and deepen their knowledge. Over the years, thousands of learners have successfully completed one of our accredited online courses. We work with more than 200 experts and we partner with leading Academic Medical Centers, universities and professional associations in Europe.</t>
        </is>
      </c>
      <c r="H30" s="1" t="inlineStr">
        <is>
          <t>Dutch EdTech</t>
        </is>
      </c>
      <c r="I30" s="1" t="inlineStr">
        <is>
          <t>Dutch, English</t>
        </is>
      </c>
      <c r="J30" s="1" t="inlineStr">
        <is>
          <t>Utrecht</t>
        </is>
      </c>
      <c r="K30" s="1" t="inlineStr">
        <is>
          <t>The Netherlands</t>
        </is>
      </c>
      <c r="L30" s="1" t="inlineStr">
        <is>
          <t>Netherlands</t>
        </is>
      </c>
      <c r="M30" s="1" t="inlineStr">
        <is>
          <t>11 to 50</t>
        </is>
      </c>
      <c r="N30" s="1" t="inlineStr">
        <is>
          <t>Business to Business, Business to Consumer, Business to Government</t>
        </is>
      </c>
      <c r="O30" s="1" t="inlineStr">
        <is>
          <t>Corporate Training, Lifelong learning/Adult education</t>
        </is>
      </c>
      <c r="P30" s="1" t="inlineStr">
        <is>
          <t>Student interfacing, System/Administrative</t>
        </is>
      </c>
      <c r="Q30" s="1" t="inlineStr">
        <is>
          <t>Learning Solutions</t>
        </is>
      </c>
      <c r="R30" t="inlineStr">
        <is>
          <t>As a full-service learning solutions company, we are passionate about delivering customized online and blended learning solutions, in co-creation with our partners in healthcare, education, and the public sector.</t>
        </is>
      </c>
      <c r="S30" s="10" t="inlineStr">
        <is>
          <t>Consultancy &amp; Instructional Design</t>
        </is>
      </c>
      <c r="T30" t="inlineStr">
        <is>
          <t>Our job is to help you deliver great learning outcomes. Having a trusted partner to ask the right questions will help you achieve great results. Interested in what our consultants can do for you? Read more below and find out how our learning advisory services work or book a free consultation.
Our consultancy extends from training needs analysis, evaluation of your current learning structure to the design and development of entire online and blended learning programs.</t>
        </is>
      </c>
      <c r="U30" s="1" t="inlineStr">
        <is>
          <t>https://drive.google.com/uc?export=view&amp;id=1xrsBXkj2Qt-smxYvgp_2rDo4sHz6PBC_</t>
        </is>
      </c>
      <c r="V30" s="1" t="inlineStr">
        <is>
          <t>Verified</t>
        </is>
      </c>
      <c r="W30" s="1" t="inlineStr">
        <is>
          <t>https://drive.google.com/uc?export=view&amp;id=1xrsBXkj2Qt-smxYvgp_2rDo4sHz6PBC_</t>
        </is>
      </c>
      <c r="X30" s="1" t="n"/>
      <c r="Y30" s="10" t="n"/>
      <c r="Z30" s="1" t="n"/>
      <c r="AA30" t="inlineStr">
        <is>
          <t>Yes</t>
        </is>
      </c>
      <c r="AC30" t="inlineStr">
        <is>
          <t>https://www.linkedin.com/company/elevate-health</t>
        </is>
      </c>
      <c r="AD30" t="inlineStr">
        <is>
          <t>https://www.linkedin.com/company/elevate-health</t>
        </is>
      </c>
    </row>
    <row r="31" ht="15.75" customHeight="1">
      <c r="A31" s="6" t="n">
        <v>45523</v>
      </c>
      <c r="B31" s="1" t="inlineStr">
        <is>
          <t>ORG_1105</t>
        </is>
      </c>
      <c r="C31" s="1" t="b">
        <v>1</v>
      </c>
      <c r="D31" s="1" t="inlineStr">
        <is>
          <t>Aryzon.World</t>
        </is>
      </c>
      <c r="E31" s="1" t="inlineStr">
        <is>
          <t>www.aryzon.world</t>
        </is>
      </c>
      <c r="F31" t="inlineStr">
        <is>
          <t>aryzon.world</t>
        </is>
      </c>
      <c r="G31" s="1" t="inlineStr">
        <is>
          <t>Aryzon.World, the XR creation platform where you can prototype your own training materials, without programming! We empower people to take an active role in their own education. Anyone can create VR content, with many XR companies doing so. But what sets us apart even more is our passion for fellow humans with unique ways of thinking. They carry labels such as ADHD, ADD, dyslexia, autism, being gifted and more.
The combination of our technology and approach gives our neurodiverse employees (each with their own background) the opportunity to develop and contribute to major societal issues with their special talents. Together we can create a future where boundaries fade and ideas come to life, where everyone can learn in their own way, label or not.
Our platform provides the opportunity to "Learning how to Learn, Live and Work" together with experienced experts from your own target audience, regardless of topic, location, or device.
Join our exciting journey. Step into the future. Join Aryzon.World, where together we can create a world of possibilities.</t>
        </is>
      </c>
      <c r="H31" s="1" t="inlineStr">
        <is>
          <t>Dutch EdTech</t>
        </is>
      </c>
      <c r="I31" s="1" t="inlineStr">
        <is>
          <t>English</t>
        </is>
      </c>
      <c r="J31" s="1" t="inlineStr">
        <is>
          <t>EDE</t>
        </is>
      </c>
      <c r="K31" s="1" t="inlineStr">
        <is>
          <t>The Netherlands</t>
        </is>
      </c>
      <c r="L31" s="1" t="inlineStr">
        <is>
          <t>Belgium, Denmark, Finland, France, Germany, Ireland, Italy, Netherlands, Norway, Poland, Portugal, Spain, Sweden, Switzerland, Turkey, United Kingdom</t>
        </is>
      </c>
      <c r="M31" s="1" t="inlineStr">
        <is>
          <t>3 to 5</t>
        </is>
      </c>
      <c r="N31" s="1" t="inlineStr">
        <is>
          <t>Business to Business, Business to Schools, Business to Consumer, Business to Government</t>
        </is>
      </c>
      <c r="O31" s="1" t="inlineStr">
        <is>
          <t>Secondary Education, Corporate Training, Lifelong learning/Adult education, Vocational Education and Training (VET), Higher Education</t>
        </is>
      </c>
      <c r="P31" s="1" t="inlineStr">
        <is>
          <t>System/Administrative, Student interfacing, Teacher interfacing</t>
        </is>
      </c>
      <c r="Q31" s="10" t="inlineStr">
        <is>
          <t>Aryzon.World</t>
        </is>
      </c>
      <c r="R31" t="inlineStr">
        <is>
          <t>The VR &amp; AR creation platform where you can prototype your own training materials, without programmers.</t>
        </is>
      </c>
      <c r="S31" s="10" t="inlineStr">
        <is>
          <t>https://drive.google.com/uc?export=view&amp;id=17gGzTxu8z7JDFZhDx6pTXyBkfZB6xsKj</t>
        </is>
      </c>
      <c r="T31" t="inlineStr">
        <is>
          <t>https://drive.google.com/uc?export=view&amp;id=17gGzTxu8z7JDFZhDx6pTXyBkfZB6xsKj</t>
        </is>
      </c>
      <c r="U31" s="1" t="inlineStr">
        <is>
          <t>https://drive.google.com/uc?export=view&amp;id=17gGzTxu8z7JDFZhDx6pTXyBkfZB6xsKj</t>
        </is>
      </c>
      <c r="V31" s="1" t="inlineStr">
        <is>
          <t>Unverified</t>
        </is>
      </c>
      <c r="Y31" s="10" t="n"/>
      <c r="Z31" s="1" t="n"/>
      <c r="AA31" t="inlineStr">
        <is>
          <t>Yes</t>
        </is>
      </c>
      <c r="AB31" t="inlineStr">
        <is>
          <t>https://www.instagram.com/aryzon.world/</t>
        </is>
      </c>
      <c r="AC31" t="inlineStr">
        <is>
          <t>https://www.linkedin.com/company/aryzon-world/</t>
        </is>
      </c>
      <c r="AD31" t="inlineStr">
        <is>
          <t>https://www.linkedin.com/company/aryzon-world/</t>
        </is>
      </c>
    </row>
    <row r="32" ht="15.75" customHeight="1">
      <c r="A32" s="6" t="n">
        <v>45503</v>
      </c>
      <c r="B32" s="1" t="inlineStr">
        <is>
          <t>ORG_2311</t>
        </is>
      </c>
      <c r="C32" s="1" t="b">
        <v>1</v>
      </c>
      <c r="D32" s="1" t="inlineStr">
        <is>
          <t>Springlab</t>
        </is>
      </c>
      <c r="E32" s="10" t="inlineStr">
        <is>
          <t>www.springlab.nl</t>
        </is>
      </c>
      <c r="F32" t="inlineStr">
        <is>
          <t>springlab.nl</t>
        </is>
      </c>
      <c r="G32" s="1" t="inlineStr">
        <is>
          <t>Our mission is to get children to move more! We share our knowledge and expertise, provide advice and offer innovative digital solutions to get children in childcare and primary education moving again. Through our interactive floor, our move app for tablets and smartphones and our smartboard app we have added nearly 2 million active minutes to children's lives in 2023. Will you help to get all children moving?</t>
        </is>
      </c>
      <c r="H32" s="1" t="inlineStr">
        <is>
          <t>Dutch EdTech</t>
        </is>
      </c>
      <c r="I32" s="1" t="inlineStr">
        <is>
          <t>Dutch</t>
        </is>
      </c>
      <c r="J32" s="1" t="inlineStr">
        <is>
          <t>Utrecht</t>
        </is>
      </c>
      <c r="K32" s="1" t="inlineStr">
        <is>
          <t>The Netherlands</t>
        </is>
      </c>
      <c r="L32" s="1" t="inlineStr">
        <is>
          <t>Belgium, Netherlands</t>
        </is>
      </c>
      <c r="M32" s="1" t="inlineStr">
        <is>
          <t>11 to 50</t>
        </is>
      </c>
      <c r="N32" s="1" t="inlineStr">
        <is>
          <t>Business to Business, Business to Schools</t>
        </is>
      </c>
      <c r="O32" s="1" t="inlineStr">
        <is>
          <t>Early childhood development (0-5 years), Primary Education</t>
        </is>
      </c>
      <c r="P32" s="1" t="inlineStr">
        <is>
          <t>Teacher interfacing, System/Administrative</t>
        </is>
      </c>
      <c r="Q32" s="10" t="inlineStr">
        <is>
          <t>Springlab Beweegvloer</t>
        </is>
      </c>
      <c r="R32" s="1" t="inlineStr">
        <is>
          <t>The Springlab interactive floor is an interactive experience in which children discover and learn with their whole bodies while playing and moving.</t>
        </is>
      </c>
      <c r="S32" s="10" t="inlineStr">
        <is>
          <t>Springloop - the move app</t>
        </is>
      </c>
      <c r="T32" t="inlineStr">
        <is>
          <t>Springloop is the app that gets children moving with tablets! From sitting and swiping, to running and scanning! Each tablet is transformed into a fun, physically active game, where children have to complete assignments and find answers by finding special QR codes. In short: gaming and exercise in an educationally responsible way, a win-win!</t>
        </is>
      </c>
      <c r="U32" s="1" t="inlineStr">
        <is>
          <t>https://drive.google.com/uc?export=view&amp;id=1KSkqvo-u2ciar63nVbxtjj-r4lX2kASh</t>
        </is>
      </c>
      <c r="V32" s="1" t="inlineStr">
        <is>
          <t>Unverified</t>
        </is>
      </c>
      <c r="W32" s="1" t="inlineStr">
        <is>
          <t>https://drive.google.com/uc?export=view&amp;id=1KSkqvo-u2ciar63nVbxtjj-r4lX2kASh</t>
        </is>
      </c>
      <c r="X32" s="1" t="n"/>
      <c r="Y32" s="10" t="n"/>
      <c r="Z32" s="1" t="n"/>
      <c r="AA32" t="inlineStr">
        <is>
          <t>Yes</t>
        </is>
      </c>
      <c r="AB32" t="inlineStr">
        <is>
          <t>https://www.instagram.com/springlabnl/</t>
        </is>
      </c>
      <c r="AC32" t="inlineStr">
        <is>
          <t>https://www.linkedin.com/company/springlab-nl/</t>
        </is>
      </c>
      <c r="AD32" t="inlineStr">
        <is>
          <t>https://www.linkedin.com/company/springlab-nl/</t>
        </is>
      </c>
    </row>
    <row r="33" ht="15.75" customHeight="1">
      <c r="A33" s="6" t="n">
        <v>45496</v>
      </c>
      <c r="B33" s="1" t="inlineStr">
        <is>
          <t>ORG_1466</t>
        </is>
      </c>
      <c r="C33" s="1" t="b">
        <v>1</v>
      </c>
      <c r="D33" s="1" t="inlineStr">
        <is>
          <t>EduvolutionX</t>
        </is>
      </c>
      <c r="E33" s="10" t="inlineStr">
        <is>
          <t>https://www.eduvolutionx.com/</t>
        </is>
      </c>
      <c r="F33" t="inlineStr">
        <is>
          <t>eduvolutionx.com</t>
        </is>
      </c>
      <c r="G33" s="1" t="inlineStr">
        <is>
          <t>EduvolutionX is a EDtech startup focused on transforming the landscape of learning through interactive, adaptive learning. By providing interactive resources and tools, EduvolutionX empowers students to learn in their own way. Connected with AI, this approach makes learning fun and personal. We believe in the power of fun and interactive learning</t>
        </is>
      </c>
      <c r="H33" s="1" t="inlineStr">
        <is>
          <t>Dutch EdTech</t>
        </is>
      </c>
      <c r="I33" s="1" t="inlineStr">
        <is>
          <t>English, Dutch</t>
        </is>
      </c>
      <c r="J33" s="1" t="inlineStr">
        <is>
          <t>DEN HAAG</t>
        </is>
      </c>
      <c r="K33" s="1" t="inlineStr">
        <is>
          <t>The Netherlands</t>
        </is>
      </c>
      <c r="L33" s="1" t="inlineStr">
        <is>
          <t>Netherlands</t>
        </is>
      </c>
      <c r="M33" s="1" t="inlineStr">
        <is>
          <t>3 to 5</t>
        </is>
      </c>
      <c r="N33" s="1" t="inlineStr">
        <is>
          <t>Business to Consumer</t>
        </is>
      </c>
      <c r="O33" s="1" t="inlineStr">
        <is>
          <t>Primary Education, Secondary Education</t>
        </is>
      </c>
      <c r="P33" s="1" t="inlineStr">
        <is>
          <t>System/Administrative, Student interfacing, Teacher interfacing</t>
        </is>
      </c>
      <c r="Q33" t="inlineStr">
        <is>
          <t>Wised Platform</t>
        </is>
      </c>
      <c r="R33" t="inlineStr">
        <is>
          <t>Provides adaptive learning through interactive modules connected with AI</t>
        </is>
      </c>
      <c r="S33" s="10" t="inlineStr">
        <is>
          <t>Educational Gadgets</t>
        </is>
      </c>
      <c r="T33" t="inlineStr">
        <is>
          <t>From Arduino to raspberry pi and DIY to VR applications. EduvolutionX is provides different educational STEAM modules to learn about interesting topics.</t>
        </is>
      </c>
      <c r="U33" s="1" t="inlineStr">
        <is>
          <t>https://drive.google.com/uc?export=view&amp;id=1-uJgN80nDfAzGxhggOO9sQIJ8cVAERHc</t>
        </is>
      </c>
      <c r="V33" s="1" t="inlineStr">
        <is>
          <t>Unverified</t>
        </is>
      </c>
      <c r="W33" s="1" t="inlineStr">
        <is>
          <t>https://drive.google.com/uc?export=view&amp;id=1-uJgN80nDfAzGxhggOO9sQIJ8cVAERHc</t>
        </is>
      </c>
      <c r="X33" s="1" t="n"/>
      <c r="Y33" s="10" t="n"/>
      <c r="Z33" s="1" t="n"/>
      <c r="AA33" t="inlineStr">
        <is>
          <t>Yes</t>
        </is>
      </c>
      <c r="AC33" t="inlineStr">
        <is>
          <t>https://www.linkedin.com/company/eduvolutionx/</t>
        </is>
      </c>
      <c r="AD33" t="inlineStr">
        <is>
          <t>https://www.linkedin.com/company/eduvolutionx/</t>
        </is>
      </c>
    </row>
    <row r="34" ht="15.75" customHeight="1">
      <c r="A34" s="6" t="n">
        <v>45490</v>
      </c>
      <c r="B34" s="1" t="inlineStr">
        <is>
          <t>ORG_2060</t>
        </is>
      </c>
      <c r="C34" s="1" t="b">
        <v>1</v>
      </c>
      <c r="D34" s="1" t="inlineStr">
        <is>
          <t>Omnia - Smart Campus</t>
        </is>
      </c>
      <c r="E34" s="10" t="inlineStr">
        <is>
          <t>https://www.omniabuildings.nl/</t>
        </is>
      </c>
      <c r="F34" t="inlineStr">
        <is>
          <t>omniabuildings.nl</t>
        </is>
      </c>
      <c r="G34" s="1" t="inlineStr">
        <is>
          <t>Omnia develops PLEQ, smart campus software for higher education in the Netherlands. PLEQ uses sensors to measure air quality and the occupancy of study and lecture rooms, displaying real-time availability to improve the student experience. By optimizing space utilization, PLEQ ensures sufficient study and collaboration areas, enhancing educational quality, social cohesion, and student collaboration. This data helps campus management operate more efficiently and sustainably by saving energy in underutilized spaces.</t>
        </is>
      </c>
      <c r="H34" s="1" t="inlineStr">
        <is>
          <t>Dutch EdTech</t>
        </is>
      </c>
      <c r="I34" s="1" t="inlineStr">
        <is>
          <t>Dutch, English</t>
        </is>
      </c>
      <c r="J34" s="1" t="inlineStr">
        <is>
          <t>AMSTERDAM</t>
        </is>
      </c>
      <c r="K34" s="1" t="inlineStr">
        <is>
          <t>The Netherlands</t>
        </is>
      </c>
      <c r="L34" s="1" t="inlineStr">
        <is>
          <t>Netherlands</t>
        </is>
      </c>
      <c r="M34" s="1" t="inlineStr">
        <is>
          <t>6 to 10</t>
        </is>
      </c>
      <c r="N34" s="1" t="inlineStr">
        <is>
          <t>Business to Business, Business to Government, Business to Schools</t>
        </is>
      </c>
      <c r="O34" s="1" t="inlineStr">
        <is>
          <t>Vocational Education and Training (VET), Higher Education</t>
        </is>
      </c>
      <c r="P34" s="1" t="inlineStr">
        <is>
          <t>Student interfacing, Teacher interfacing, System/Administrative</t>
        </is>
      </c>
      <c r="Q34" s="10" t="inlineStr">
        <is>
          <t>PLEQ</t>
        </is>
      </c>
      <c r="R34" s="1" t="inlineStr">
        <is>
          <t>Helps Students find collaboration or study spaces based on real time availability. Students can book and share locations to collaborate with other students. Students can rate rooms and give feedback based on their experience which get alerted to the right campus managers to solve, for example broken chairs. 
Facilitating students with a campus map that helps with enhancing campus experience for the higher education.</t>
        </is>
      </c>
      <c r="S34" s="10" t="inlineStr">
        <is>
          <t>Admin Panel + Sensors</t>
        </is>
      </c>
      <c r="T34" t="inlineStr">
        <is>
          <t>The admin panel gives the university control over how PLEQ is presented to students, allowing for changes to the facilities in the app. The sensors gather historical data on campus real estate usage, enabling policymakers to make informed operational decisions.
Key questions answered by the admin panel include:
Which types of rooms are used more? Do we need more of these facilities?
Are the opening hours of our buildings optimal based on actual visitor data?
Are lecture halls being used efficiently to maximize educational use of existing space?</t>
        </is>
      </c>
      <c r="U34" s="1" t="inlineStr">
        <is>
          <t>https://drive.google.com/uc?export=view&amp;id=1QNUskMomrN-D6pcAJZrEWNyB-PW1kFUk</t>
        </is>
      </c>
      <c r="V34" s="1" t="inlineStr">
        <is>
          <t>Unverified</t>
        </is>
      </c>
      <c r="W34" s="1" t="inlineStr">
        <is>
          <t>https://drive.google.com/uc?export=view&amp;id=1QNUskMomrN-D6pcAJZrEWNyB-PW1kFUk</t>
        </is>
      </c>
      <c r="X34" s="1" t="n"/>
      <c r="Y34" s="10" t="n"/>
      <c r="Z34" s="1" t="n"/>
      <c r="AA34" t="inlineStr">
        <is>
          <t>Yes</t>
        </is>
      </c>
      <c r="AB34" t="inlineStr">
        <is>
          <t>https://www.instagram.com/pleqcampus/</t>
        </is>
      </c>
      <c r="AC34" t="inlineStr">
        <is>
          <t>-</t>
        </is>
      </c>
      <c r="AD34" t="inlineStr">
        <is>
          <t>https://www.linkedin.com/company/omnia-smartcampus</t>
        </is>
      </c>
    </row>
    <row r="35" ht="15.75" customHeight="1">
      <c r="A35" s="6" t="n">
        <v>45463</v>
      </c>
      <c r="B35" s="1" t="inlineStr">
        <is>
          <t>ORG_2093</t>
        </is>
      </c>
      <c r="C35" s="1" t="b">
        <v>1</v>
      </c>
      <c r="D35" s="1" t="inlineStr">
        <is>
          <t>Peek</t>
        </is>
      </c>
      <c r="E35" s="1" t="inlineStr">
        <is>
          <t>www.peek.app</t>
        </is>
      </c>
      <c r="F35" t="inlineStr">
        <is>
          <t>peek.app</t>
        </is>
      </c>
      <c r="G35" s="1" t="inlineStr">
        <is>
          <t>Make an interactive excursion with the Peek app, and facilitate active dialogue about landscapes and surroundings.</t>
        </is>
      </c>
      <c r="H35" s="1" t="inlineStr">
        <is>
          <t>Dutch EdTech</t>
        </is>
      </c>
      <c r="I35" s="1" t="inlineStr">
        <is>
          <t>All</t>
        </is>
      </c>
      <c r="J35" s="1" t="inlineStr">
        <is>
          <t>AMERSFOORT</t>
        </is>
      </c>
      <c r="K35" s="1" t="inlineStr">
        <is>
          <t>The Netherlands</t>
        </is>
      </c>
      <c r="L3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35" s="1" t="inlineStr">
        <is>
          <t>3 to 5</t>
        </is>
      </c>
      <c r="N35" s="1" t="inlineStr">
        <is>
          <t>Business to Business, Business to Schools, Business to Consumer, Business to Government</t>
        </is>
      </c>
      <c r="O35" s="1" t="inlineStr">
        <is>
          <t>Secondary Education, Higher Education</t>
        </is>
      </c>
      <c r="P35" s="1" t="inlineStr">
        <is>
          <t>Student interfacing, Teacher interfacing</t>
        </is>
      </c>
      <c r="Q35" s="1" t="inlineStr">
        <is>
          <t>Peek App</t>
        </is>
      </c>
      <c r="R35" t="inlineStr">
        <is>
          <t>App for students</t>
        </is>
      </c>
      <c r="S35" s="10" t="inlineStr">
        <is>
          <t>My Peek</t>
        </is>
      </c>
      <c r="T35" t="inlineStr">
        <is>
          <t>Creating excursions for the app</t>
        </is>
      </c>
      <c r="U35" s="1" t="inlineStr">
        <is>
          <t>https://drive.google.com/uc?export=view&amp;id=1y5UIFYXs4VpmnXEWjQpJLP-JYsoU_O43</t>
        </is>
      </c>
      <c r="V35" s="1" t="inlineStr">
        <is>
          <t>Unverified</t>
        </is>
      </c>
      <c r="W35" s="1" t="inlineStr">
        <is>
          <t>https://drive.google.com/uc?export=view&amp;id=1y5UIFYXs4VpmnXEWjQpJLP-JYsoU_O43</t>
        </is>
      </c>
      <c r="X35" s="1" t="n"/>
      <c r="Y35" s="10" t="n"/>
      <c r="Z35" s="1" t="n"/>
      <c r="AA35" t="inlineStr">
        <is>
          <t>Yes</t>
        </is>
      </c>
      <c r="AC35" t="inlineStr">
        <is>
          <t>https://www.linkedin.com/company/67243846</t>
        </is>
      </c>
      <c r="AD35" t="inlineStr">
        <is>
          <t>https://www.linkedin.com/company/67243846</t>
        </is>
      </c>
    </row>
    <row r="36" ht="15.75" customHeight="1">
      <c r="A36" s="6" t="n">
        <v>45441</v>
      </c>
      <c r="B36" s="1" t="inlineStr">
        <is>
          <t>ORG_1753</t>
        </is>
      </c>
      <c r="C36" s="1" t="b">
        <v>1</v>
      </c>
      <c r="D36" s="1" t="inlineStr">
        <is>
          <t>JetLearn</t>
        </is>
      </c>
      <c r="E36" s="10" t="inlineStr">
        <is>
          <t>www.jetlearn.com</t>
        </is>
      </c>
      <c r="F36" t="inlineStr">
        <is>
          <t>jetlearn.com</t>
        </is>
      </c>
      <c r="G36" s="1" t="inlineStr">
        <is>
          <t>JetLearn is the worlds best AI academy for kids and teens</t>
        </is>
      </c>
      <c r="H36" s="1" t="inlineStr">
        <is>
          <t>Dutch EdTech</t>
        </is>
      </c>
      <c r="I36" s="1" t="inlineStr">
        <is>
          <t>English, Dutch</t>
        </is>
      </c>
      <c r="J36" s="1" t="inlineStr">
        <is>
          <t>Amsterdam</t>
        </is>
      </c>
      <c r="K36" s="1" t="inlineStr">
        <is>
          <t>The Netherlands</t>
        </is>
      </c>
      <c r="L36" s="1" t="inlineStr">
        <is>
          <t>Belgium, Denmark, Finland, Germany, Greece, Ireland, Italy, Liechtenstein, Luxembourg, Malta, Monaco, Netherlands, Norway, Poland, Portugal, Romania, Spain, Switzerland, Turkey, Ukraine, United Kingdom</t>
        </is>
      </c>
      <c r="M36" s="1" t="inlineStr">
        <is>
          <t>11 to 50</t>
        </is>
      </c>
      <c r="N36" s="1" t="inlineStr">
        <is>
          <t>Business to Business, Business to Schools, Business to Consumer</t>
        </is>
      </c>
      <c r="O36" s="1" t="inlineStr">
        <is>
          <t>Primary Education, Secondary Education</t>
        </is>
      </c>
      <c r="P36" s="1" t="inlineStr">
        <is>
          <t>System/Administrative, Student interfacing, Teacher interfacing</t>
        </is>
      </c>
      <c r="Q36" t="inlineStr">
        <is>
          <t>Live online learning on AI and Robotics for Kids and Teens</t>
        </is>
      </c>
      <c r="S36" s="10" t="inlineStr">
        <is>
          <t>https://drive.google.com/uc?export=view&amp;id=1u--uHxIjbQgF02WtElFk3ViF4HuWMSIa</t>
        </is>
      </c>
      <c r="T36" t="inlineStr">
        <is>
          <t>https://drive.google.com/uc?export=view&amp;id=1u--uHxIjbQgF02WtElFk3ViF4HuWMSIa</t>
        </is>
      </c>
      <c r="U36" s="1" t="inlineStr">
        <is>
          <t>https://drive.google.com/uc?export=view&amp;id=1u--uHxIjbQgF02WtElFk3ViF4HuWMSIa</t>
        </is>
      </c>
      <c r="V36" t="inlineStr">
        <is>
          <t>Unverified</t>
        </is>
      </c>
      <c r="Y36" s="10" t="n"/>
      <c r="Z36" s="1" t="n"/>
      <c r="AA36" t="inlineStr">
        <is>
          <t>Yes</t>
        </is>
      </c>
      <c r="AC36" t="inlineStr">
        <is>
          <t>https://www.linkedin.com/company/jet-learn</t>
        </is>
      </c>
      <c r="AD36" t="inlineStr">
        <is>
          <t>https://www.linkedin.com/company/jet-learn</t>
        </is>
      </c>
    </row>
    <row r="37" ht="12.5" customHeight="1">
      <c r="A37" s="6" t="n">
        <v>45412</v>
      </c>
      <c r="B37" s="1" t="inlineStr">
        <is>
          <t>ORG_1192</t>
        </is>
      </c>
      <c r="C37" s="1" t="b">
        <v>1</v>
      </c>
      <c r="D37" s="10" t="inlineStr">
        <is>
          <t>BrainBite.ai</t>
        </is>
      </c>
      <c r="E37" s="10" t="inlineStr">
        <is>
          <t>www.brainbite.ai</t>
        </is>
      </c>
      <c r="F37" t="inlineStr">
        <is>
          <t>brainbite.ai</t>
        </is>
      </c>
      <c r="G37" s="1" t="inlineStr">
        <is>
          <t>BrainBite is an advanced educational technology platform that enhances the learning experience by providing personalized, AI-driven educational content for children aged 8 and above. It aims to transform traditional education methods by making learning more engaging, inclusive, and effective through a variety of innovative features. These include personalized learning paths, AI-driven adaptability, inclusive learning solutions, engagement through storytelling, and a global tutor network. BrainBite also offers extensive insights for parents and tutors to help them support the learners effectively​​.</t>
        </is>
      </c>
      <c r="H37" s="1" t="inlineStr">
        <is>
          <t>Dutch EdTech</t>
        </is>
      </c>
      <c r="I37" s="1" t="inlineStr">
        <is>
          <t>English, Dutch</t>
        </is>
      </c>
      <c r="J37" s="1" t="inlineStr">
        <is>
          <t>Veen</t>
        </is>
      </c>
      <c r="K37" s="1" t="inlineStr">
        <is>
          <t>The Netherlands</t>
        </is>
      </c>
      <c r="L37" s="1" t="inlineStr">
        <is>
          <t>Belgium, Malta, United Kingdom</t>
        </is>
      </c>
      <c r="M37" s="1" t="inlineStr">
        <is>
          <t>11 to 50</t>
        </is>
      </c>
      <c r="N37" s="1" t="inlineStr">
        <is>
          <t>Business to Business, Business to Schools, Business to Consumer, Business to Government</t>
        </is>
      </c>
      <c r="O37" s="1" t="inlineStr">
        <is>
          <t>Primary Education, Secondary Education</t>
        </is>
      </c>
      <c r="P37" s="1" t="inlineStr">
        <is>
          <t>System/Administrative, Student interfacing, Teacher interfacing</t>
        </is>
      </c>
      <c r="Q37" s="10" t="inlineStr">
        <is>
          <t>BrainBite.ai</t>
        </is>
      </c>
      <c r="R37" t="inlineStr">
        <is>
          <t>BrainBite is an advanced educational technology platform that enhances the learning experience by providing personalized, AI-driven educational content for children aged 8 and above. It aims to transform traditional education methods by making learning more engaging, inclusive, and effective through a variety of innovative features. These include personalized learning paths, AI-driven adaptability, inclusive learning solutions, engagement through storytelling, and a global tutor network. BrainBite also offers extensive insights for parents and tutors to help them support the learners effectively​​.</t>
        </is>
      </c>
      <c r="S37" s="10" t="inlineStr">
        <is>
          <t>https://drive.google.com/uc?export=view&amp;id=18mp-kr9smhowzLVPVFN12YfYsfzs5ux6</t>
        </is>
      </c>
      <c r="T37" t="inlineStr">
        <is>
          <t>https://drive.google.com/uc?export=view&amp;id=18mp-kr9smhowzLVPVFN12YfYsfzs5ux6</t>
        </is>
      </c>
      <c r="U37" s="10" t="inlineStr">
        <is>
          <t>https://drive.google.com/uc?export=view&amp;id=18mp-kr9smhowzLVPVFN12YfYsfzs5ux6</t>
        </is>
      </c>
      <c r="V37" s="1" t="inlineStr">
        <is>
          <t>Unverified</t>
        </is>
      </c>
      <c r="Y37" s="10" t="n"/>
      <c r="Z37" s="1" t="n"/>
      <c r="AA37" t="inlineStr">
        <is>
          <t>Yes</t>
        </is>
      </c>
      <c r="AB37" t="inlineStr">
        <is>
          <t>https://www.instagram.com/brainbiteai/</t>
        </is>
      </c>
      <c r="AC37" t="inlineStr">
        <is>
          <t>https://www.linkedin.com/company/brainbite/about/</t>
        </is>
      </c>
      <c r="AD37" t="inlineStr">
        <is>
          <t>https://www.linkedin.com/company/brainbite/about/</t>
        </is>
      </c>
    </row>
    <row r="38" ht="12.5" customHeight="1">
      <c r="A38" s="6" t="n">
        <v>45412</v>
      </c>
      <c r="B38" s="1" t="inlineStr">
        <is>
          <t>ORG_1247</t>
        </is>
      </c>
      <c r="C38" s="1" t="b">
        <v>1</v>
      </c>
      <c r="D38" s="1" t="inlineStr">
        <is>
          <t>Classigogo</t>
        </is>
      </c>
      <c r="E38" s="10" t="inlineStr">
        <is>
          <t>www.classigogo.com</t>
        </is>
      </c>
      <c r="F38" t="inlineStr">
        <is>
          <t>classigogo.com</t>
        </is>
      </c>
      <c r="G38" s="1" t="inlineStr">
        <is>
          <t>With Classigogo, students get moving while learning. With this easy-to-use AI-powered quiz maker, teachers can create a quiz on any topic in minutes.
After starting the quiz in the classroom, students are automatically divided into teams and must work together to earn the most points. In order to give the right answers, students must communicate the correct movements to each other. This way, students are moving and learning at the same time!
Do you want to try it out or learn more? Go to www.classigogo.com!</t>
        </is>
      </c>
      <c r="H38" s="1" t="inlineStr">
        <is>
          <t>Dutch EdTech</t>
        </is>
      </c>
      <c r="I38" s="1" t="inlineStr">
        <is>
          <t>English, Dutch, German, French</t>
        </is>
      </c>
      <c r="J38" s="1" t="inlineStr">
        <is>
          <t>ENSCHEDE</t>
        </is>
      </c>
      <c r="K38" s="1" t="inlineStr">
        <is>
          <t>The Netherlands</t>
        </is>
      </c>
      <c r="L38" s="1" t="inlineStr">
        <is>
          <t>Belgium, Germany, Netherlands</t>
        </is>
      </c>
      <c r="M38" s="1" t="inlineStr">
        <is>
          <t>0 to 2</t>
        </is>
      </c>
      <c r="N38" s="1" t="inlineStr">
        <is>
          <t>Business to Business, Business to Schools, Business to Consumer, Business to Government</t>
        </is>
      </c>
      <c r="O38" s="1" t="inlineStr">
        <is>
          <t>Primary Education, Secondary Education, Vocational Education and Training (VET), Higher Education</t>
        </is>
      </c>
      <c r="P38" s="1" t="inlineStr">
        <is>
          <t>Teacher interfacing</t>
        </is>
      </c>
      <c r="Q38" s="10" t="n"/>
      <c r="S38" s="10" t="inlineStr">
        <is>
          <t>https://drive.google.com/uc?export=view&amp;id=1_hlooMMMInSBAK_MLQSaE7DuDRhW55JD</t>
        </is>
      </c>
      <c r="T38" t="inlineStr">
        <is>
          <t>https://drive.google.com/uc?export=view&amp;id=1_hlooMMMInSBAK_MLQSaE7DuDRhW55JD</t>
        </is>
      </c>
      <c r="U38" t="inlineStr">
        <is>
          <t>https://drive.google.com/uc?export=view&amp;id=1_hlooMMMInSBAK_MLQSaE7DuDRhW55JD</t>
        </is>
      </c>
      <c r="V38" t="inlineStr">
        <is>
          <t>Unverified</t>
        </is>
      </c>
      <c r="Y38" s="10" t="n"/>
      <c r="Z38" s="1" t="n"/>
      <c r="AA38" t="inlineStr">
        <is>
          <t>Yes</t>
        </is>
      </c>
      <c r="AB38" t="inlineStr">
        <is>
          <t>https://instagram.com/classigogo</t>
        </is>
      </c>
      <c r="AC38" t="inlineStr">
        <is>
          <t>https://www.linkedin.com/in/martseip</t>
        </is>
      </c>
      <c r="AD38" t="inlineStr">
        <is>
          <t>https://www.linkedin.com/in/martseip</t>
        </is>
      </c>
    </row>
    <row r="39" ht="12.5" customHeight="1">
      <c r="A39" s="6" t="n">
        <v>45679</v>
      </c>
      <c r="B39" s="1" t="inlineStr">
        <is>
          <t>ORG_2164</t>
        </is>
      </c>
      <c r="C39" s="1" t="b">
        <v>1</v>
      </c>
      <c r="D39" s="1" t="inlineStr">
        <is>
          <t>ReadSpeaker</t>
        </is>
      </c>
      <c r="E39" s="10" t="inlineStr">
        <is>
          <t>www.readspeaker.com</t>
        </is>
      </c>
      <c r="F39" t="inlineStr">
        <is>
          <t>readspeaker.com</t>
        </is>
      </c>
      <c r="G39" s="1" t="inlineStr">
        <is>
          <t>ReadSpeaker is a leading global provider of text-to-speech (TTS) solutions, empowering organizations to make digital content accessible and engaging for all users. With cutting-edge technology, ReadSpeaker converts written text into lifelike speech, enhancing accessibility for individuals with visual impairments, learning disabilities, or those preferring auditory learning. From educational materials and e-learning platforms to websites and mobile applications, ReadSpeaker seamlessly integrates its TTS solutions, offering customizable voices, languages, and playback options to suit diverse needs. Trusted by 12,000 businesses, educational institutions, and government agencies in 70 countries for over 25 years, ReadSpeaker is committed to breaking barriers to information and fostering inclusive digital experiences for everyone.</t>
        </is>
      </c>
      <c r="H39" s="1" t="inlineStr">
        <is>
          <t>EduTech Cluster Spain, Swedish EdTech Industry</t>
        </is>
      </c>
      <c r="I39" s="1" t="inlineStr">
        <is>
          <t>All</t>
        </is>
      </c>
      <c r="J39" s="1" t="inlineStr">
        <is>
          <t>Driebergen-Rijsenburg</t>
        </is>
      </c>
      <c r="K39" s="1" t="inlineStr">
        <is>
          <t>The Netherlands</t>
        </is>
      </c>
      <c r="L39" s="1" t="inlineStr">
        <is>
          <t>Andorra, Austria, Belgium, Bosnia and Herzegovina, Bulgaria, Croatia, Cyprus, Czechia, Denmark, Estonia, Finland, France, Georgia, Germany, Greece, Hungary, Iceland, Ireland, Italy, Kosovo, Latvia, Liechtenstein, Lithuania, Luxembourg, Malta, Moldova, Monaco, Montenegro, Netherlands, Norway, Poland, Portugal, Romania, San Marino, Serbia, Slovakia, Slovenia, Spain, Sweden, Switzerland, Turkey, Ukraine, United Kingdom</t>
        </is>
      </c>
      <c r="M39" s="1" t="inlineStr">
        <is>
          <t>101 to 500</t>
        </is>
      </c>
      <c r="N39" s="1" t="inlineStr">
        <is>
          <t>Business to Business, Business to Schools, Business to Consumer, Business to Government</t>
        </is>
      </c>
      <c r="O39" s="1" t="inlineStr">
        <is>
          <t>Primary Education, Secondary Education, Corporate Training, Lifelong learning/Adult education, Vocational Education and Training (VET), Higher Education</t>
        </is>
      </c>
      <c r="P39" s="1" t="inlineStr">
        <is>
          <t>System/Administrative, Student interfacing, Teacher interfacing</t>
        </is>
      </c>
      <c r="Q39" t="inlineStr">
        <is>
          <t>ReadSpeaker for Education</t>
        </is>
      </c>
      <c r="R39" s="1" t="inlineStr">
        <is>
          <t>ReadSpeaker’s audio enhanced learning tools are easily integrated into any LMS, or used as a personal tool, and the cloud-based solutions ensure that when any course content is updated it is immediately speech enabled.</t>
        </is>
      </c>
      <c r="S39" s="10" t="inlineStr">
        <is>
          <t>ReadSpeaker SpeechMaker</t>
        </is>
      </c>
      <c r="T39" t="inlineStr">
        <is>
          <t>Whether you need a desktop, online, or API solution, create your own digital voice files with state-of-the-art AI-enabled text-to-speech technology.</t>
        </is>
      </c>
      <c r="U39" s="1" t="inlineStr">
        <is>
          <t>https://drive.google.com/uc?export=view&amp;id=1-2NTZ05xSbk2DpZtDvI7xTnNsQiPjoHS</t>
        </is>
      </c>
      <c r="V39" s="1" t="inlineStr">
        <is>
          <t>Verified</t>
        </is>
      </c>
      <c r="W39" s="1" t="inlineStr">
        <is>
          <t>https://drive.google.com/uc?export=view&amp;id=1-2NTZ05xSbk2DpZtDvI7xTnNsQiPjoHS</t>
        </is>
      </c>
      <c r="X39" s="1" t="n"/>
      <c r="Y39" s="10" t="n"/>
      <c r="Z39" s="1" t="n"/>
      <c r="AA39" t="inlineStr">
        <is>
          <t>Yes</t>
        </is>
      </c>
      <c r="AC39" t="inlineStr">
        <is>
          <t>@ReadSpeaker</t>
        </is>
      </c>
      <c r="AD39" t="inlineStr">
        <is>
          <t>https://www.linkedin.com/company/readspeaker</t>
        </is>
      </c>
    </row>
    <row r="40" ht="12.5" customHeight="1">
      <c r="A40" s="6" t="n">
        <v>45391</v>
      </c>
      <c r="B40" s="1" t="inlineStr">
        <is>
          <t>ORG_2253</t>
        </is>
      </c>
      <c r="C40" s="1" t="b">
        <v>1</v>
      </c>
      <c r="D40" s="1" t="inlineStr">
        <is>
          <t>SkillFull B.V.</t>
        </is>
      </c>
      <c r="E40" s="10" t="inlineStr">
        <is>
          <t>www.skill-full.com</t>
        </is>
      </c>
      <c r="F40" t="inlineStr">
        <is>
          <t>skill-full.com</t>
        </is>
      </c>
      <c r="G40" s="1" t="inlineStr">
        <is>
          <t>At SkillFull our fundamental believe is that every person is full of unique skills! With our digital innovations, employees playfully gain insight into their behaviour and improve their performance. We use a flexible and creative approach to bring out the best in every employee. As an entrepreneurial company, we are proud to build the bridge between science and practice. With our game-based tools, we provide holistic solutions to diverse customer segments.</t>
        </is>
      </c>
      <c r="H40" s="1" t="inlineStr">
        <is>
          <t>Dutch EdTech</t>
        </is>
      </c>
      <c r="I40" s="1" t="inlineStr">
        <is>
          <t>German, French, Dutch, English</t>
        </is>
      </c>
      <c r="J40" s="1" t="inlineStr">
        <is>
          <t>ROTTERDAM</t>
        </is>
      </c>
      <c r="K40" s="1" t="inlineStr">
        <is>
          <t>The Netherlands</t>
        </is>
      </c>
      <c r="L40" s="1" t="inlineStr">
        <is>
          <t>Austria, Belgium, Denmark, Finland, France, Germany, Ireland, Luxembourg, Netherlands, Norway, Sweden, United Kingdom</t>
        </is>
      </c>
      <c r="M40" s="1" t="inlineStr">
        <is>
          <t>3 to 5</t>
        </is>
      </c>
      <c r="N40" s="1" t="inlineStr">
        <is>
          <t>Business to Business, Business to Schools, Business to Consumer, Business to Government</t>
        </is>
      </c>
      <c r="O40" s="1" t="inlineStr">
        <is>
          <t>Secondary Education, Corporate Training, Lifelong learning/Adult education, Vocational Education and Training (VET), Higher Education</t>
        </is>
      </c>
      <c r="P40" s="1" t="inlineStr">
        <is>
          <t>Student interfacing, Teacher interfacing, System/Administrative</t>
        </is>
      </c>
      <c r="Q40" t="inlineStr">
        <is>
          <t>Leadership Challenge</t>
        </is>
      </c>
      <c r="R40" t="inlineStr">
        <is>
          <t>An attractive, award winning, off-the-shelf combination of insight and development. In this online program, leaders gain insight into their personal leadership style and effectively increase their versatility. 100% online, scalable, language independent and fully responsive. The program focuses on learning, recognising and applying four different leadership styles. Together with an experienced coach, the participant discusses how these insights can effectively be applied, with short-term and long-term goals.</t>
        </is>
      </c>
      <c r="S40" s="10" t="inlineStr">
        <is>
          <t>Conversational AI</t>
        </is>
      </c>
      <c r="T40" t="inlineStr">
        <is>
          <t>Chatting successfully: the transformative power of conversational AI. How do you practice new behaviour? TalkTonic is a unique tool that harnesses the power of Artificial Intelligence to create natural conversations. It understands not only words, but also context, intentions and nuances, allowing you to create engaging and personalised situations. This offers a completely new opportunity for training conversational skills focused on leadership or customer communication. Participants can practice endlessly with their personal training actor, expanding their behavioural repertoire and increasing their agility.
Translated with DeepL.com (free version)</t>
        </is>
      </c>
      <c r="U40" s="1" t="inlineStr">
        <is>
          <t>https://drive.google.com/uc?export=view&amp;id=1El6Sa0FxfPnluinRA8dH8A56fpEL6rPE</t>
        </is>
      </c>
      <c r="V40" s="1" t="inlineStr">
        <is>
          <t>Unverified</t>
        </is>
      </c>
      <c r="W40" s="1" t="inlineStr">
        <is>
          <t>https://drive.google.com/uc?export=view&amp;id=1El6Sa0FxfPnluinRA8dH8A56fpEL6rPE</t>
        </is>
      </c>
      <c r="X40" s="1" t="n"/>
      <c r="Y40" s="10" t="n"/>
      <c r="Z40" s="1" t="n"/>
      <c r="AA40" t="inlineStr">
        <is>
          <t>Yes</t>
        </is>
      </c>
      <c r="AC40" t="inlineStr">
        <is>
          <t>https://www.linkedin.com/company/skillfull-serious-games</t>
        </is>
      </c>
      <c r="AD40" t="inlineStr">
        <is>
          <t>https://www.linkedin.com/company/skillfull-serious-games</t>
        </is>
      </c>
    </row>
    <row r="41" ht="12.5" customHeight="1">
      <c r="A41" s="6" t="n">
        <v>45578</v>
      </c>
      <c r="B41" s="1" t="inlineStr">
        <is>
          <t>ORG_1645</t>
        </is>
      </c>
      <c r="C41" s="1" t="b">
        <v>1</v>
      </c>
      <c r="D41" s="1" t="inlineStr">
        <is>
          <t>Greenscreenbox</t>
        </is>
      </c>
      <c r="E41" s="10" t="inlineStr">
        <is>
          <t>https://greenscreenbox.nl/</t>
        </is>
      </c>
      <c r="F41" t="inlineStr">
        <is>
          <t>greenscreenbox.nl</t>
        </is>
      </c>
      <c r="G41" s="1" t="inlineStr">
        <is>
          <t>We empower teachers to integrate storytelling, creativity, and digital skills into their lessons by combining physical materials with our user-friendly software and ready-made educational content.
The Greenscreenbox, an innovative tool that complements our approach, is a wooden tabletop film studio designed to facilitate the application of greenscreen technology. Our device-independent software is easy to use, making it accessible to educators and students from 4 years up to adults. 
At the core of our concept lies simplicity, believing it to be the key to widespread adoption among teachers. This compact yet versatile setup allows teachers and students to explore multimedia storytelling in an engaging and interactive way.</t>
        </is>
      </c>
      <c r="H41" s="1" t="inlineStr">
        <is>
          <t>Dutch EdTech</t>
        </is>
      </c>
      <c r="I41" s="1" t="inlineStr">
        <is>
          <t>Dutch, English, German, Italian, French, Spanish, Catalan</t>
        </is>
      </c>
      <c r="J41" s="1" t="inlineStr">
        <is>
          <t>LIESHOUT</t>
        </is>
      </c>
      <c r="K41" s="1" t="inlineStr">
        <is>
          <t>The Netherlands</t>
        </is>
      </c>
      <c r="L41" s="1" t="inlineStr">
        <is>
          <t>Belgium, Denmark, France, Germany, Ireland, Italy, Netherlands, Spain, Switzerland, United Kingdom</t>
        </is>
      </c>
      <c r="M41" s="1" t="inlineStr">
        <is>
          <t>3 to 5</t>
        </is>
      </c>
      <c r="N41" s="1" t="inlineStr">
        <is>
          <t>Business to Business, Business to Consumer, Business to Schools</t>
        </is>
      </c>
      <c r="O41" s="1" t="inlineStr">
        <is>
          <t>Primary Education, Secondary Education</t>
        </is>
      </c>
      <c r="P41" s="1" t="inlineStr">
        <is>
          <t>Teacher interfacing</t>
        </is>
      </c>
      <c r="Q41" s="10" t="inlineStr">
        <is>
          <t>Greenscreenbox</t>
        </is>
      </c>
      <c r="R41" s="1" t="inlineStr">
        <is>
          <t>The Greenscreenbox is a portable wooden tabletop film studio, allowing students in primary and secundary education to create greenscreen recordings of their learning material. This fosters creativity, storytelling and digital skills, aligning with their interest in digital media. It is applicable across various subjects. For example, let students reenact historical events, act out scenes from literature, develop language skills by role-playing scenarios, and much more.
Greenscreenbox: endless possibilities!</t>
        </is>
      </c>
      <c r="S41" s="10" t="inlineStr">
        <is>
          <t>Greenscreenbox App</t>
        </is>
      </c>
      <c r="T41" t="inlineStr">
        <is>
          <t>With the Greenscreenbox App, you can effortlessly create greenscreen photos, stop motions, and videos. Users greatly value its simplicity. The app offers standard background images or allows users to upload their own. It is compatible with iOS and Android tablets, Chromebooks, and laptops, requiring only an internet browser and a back camera or separate USB webcam. The app is accessible at no cost with a code included upon Greenscreenbox purchase and is ad-free.
Additionally, there is a Pro version of our app, offering extra features such as voice-over for stop-motion projects and access to a library of 100+ royalty-free backgrounds. The Pro version is also available as a license-only option.</t>
        </is>
      </c>
      <c r="U41" s="1" t="inlineStr">
        <is>
          <t>https://drive.google.com/uc?export=view&amp;id=15VHYoGIclV0qDYbhqVvkwPtb6PCSybbN</t>
        </is>
      </c>
      <c r="V41" s="1" t="inlineStr">
        <is>
          <t>Verified</t>
        </is>
      </c>
      <c r="W41" s="1" t="inlineStr">
        <is>
          <t>https://drive.google.com/uc?export=view&amp;id=15VHYoGIclV0qDYbhqVvkwPtb6PCSybbN</t>
        </is>
      </c>
      <c r="X41" s="1" t="n"/>
      <c r="Y41" s="10" t="n"/>
      <c r="Z41" s="1" t="n"/>
      <c r="AA41" t="inlineStr">
        <is>
          <t>Yes</t>
        </is>
      </c>
      <c r="AB41" t="inlineStr">
        <is>
          <t>https://www.instagram.com/greenscreenbox/</t>
        </is>
      </c>
      <c r="AC41" t="inlineStr">
        <is>
          <t>https://nl.linkedin.com/company/monop-greenscreenbox</t>
        </is>
      </c>
      <c r="AD41" t="inlineStr">
        <is>
          <t>https://nl.linkedin.com/company/monop-greenscreenbox</t>
        </is>
      </c>
    </row>
    <row r="42" ht="12.5" customHeight="1">
      <c r="A42" s="6" t="n">
        <v>45371</v>
      </c>
      <c r="B42" s="1" t="inlineStr">
        <is>
          <t>ORG_1179</t>
        </is>
      </c>
      <c r="C42" s="1" t="b">
        <v>1</v>
      </c>
      <c r="D42" s="1" t="inlineStr">
        <is>
          <t>BlueTea</t>
        </is>
      </c>
      <c r="E42" s="10" t="inlineStr">
        <is>
          <t>https://www.bluetea.eu/</t>
        </is>
      </c>
      <c r="F42" t="inlineStr">
        <is>
          <t>bluetea.eu</t>
        </is>
      </c>
      <c r="G42" s="1" t="inlineStr">
        <is>
          <t>BlueTea BV specializes in creating game-based training solutions designed to offer engaging and immersive learning experiences. Leveraging the principles of gamification and interactive storytelling, BlueTea crafts educational scenarios that not only enhance knowledge retention but also improve skill acquisition in various professional fields. Their approach integrates realistic simulations and challenges into a virtual environment, allowing learners to practice and apply concepts in safe, controlled settings. This innovative method of training bridges the gap between theoretical knowledge and practical application, making learning more accessible, effective, and enjoyable for participants. By focusing on game-based training, BlueTea BV aims to revolutionize traditional education and training methodologies, catering to a wide range of industries and educational institutions.</t>
        </is>
      </c>
      <c r="H42" s="1" t="inlineStr">
        <is>
          <t>Dutch EdTech</t>
        </is>
      </c>
      <c r="I42" s="1" t="inlineStr">
        <is>
          <t>All</t>
        </is>
      </c>
      <c r="J42" s="1" t="inlineStr">
        <is>
          <t>ROERMOND</t>
        </is>
      </c>
      <c r="K42" s="1" t="inlineStr">
        <is>
          <t>The Netherlands</t>
        </is>
      </c>
      <c r="L4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M42" s="1" t="inlineStr">
        <is>
          <t>11 to 50</t>
        </is>
      </c>
      <c r="N42" s="1" t="inlineStr">
        <is>
          <t>Business to Business</t>
        </is>
      </c>
      <c r="O42" s="1" t="inlineStr">
        <is>
          <t>Primary Education, Secondary Education, Corporate Training, Lifelong learning/Adult education, Vocational Education and Training (VET), Higher Education</t>
        </is>
      </c>
      <c r="P42" s="1" t="inlineStr">
        <is>
          <t>Student interfacing, Teacher interfacing, System/Administrative</t>
        </is>
      </c>
      <c r="Q42" s="1" t="n"/>
      <c r="R42" s="1" t="inlineStr">
        <is>
          <t>https://www.linkedin.com/company/bluetea</t>
        </is>
      </c>
      <c r="S42" s="10" t="inlineStr">
        <is>
          <t>https://drive.google.com/uc?export=view&amp;id=1rdp8qIMwEmiSJPy8eYMerHQbtg6nXs2u</t>
        </is>
      </c>
      <c r="T42" t="inlineStr">
        <is>
          <t>https://drive.google.com/uc?export=view&amp;id=1rdp8qIMwEmiSJPy8eYMerHQbtg6nXs2u</t>
        </is>
      </c>
      <c r="U42" s="1" t="inlineStr">
        <is>
          <t>https://drive.google.com/uc?export=view&amp;id=1rdp8qIMwEmiSJPy8eYMerHQbtg6nXs2u</t>
        </is>
      </c>
      <c r="V42" s="1" t="inlineStr">
        <is>
          <t>Unverified</t>
        </is>
      </c>
      <c r="W42" s="1" t="inlineStr">
        <is>
          <t>https://drive.google.com/uc?export=view&amp;id=1rdp8qIMwEmiSJPy8eYMerHQbtg6nXs2u</t>
        </is>
      </c>
      <c r="X42" s="1" t="n"/>
      <c r="Y42" s="10" t="n"/>
      <c r="Z42" s="1" t="n"/>
      <c r="AA42" t="inlineStr">
        <is>
          <t>Yes</t>
        </is>
      </c>
      <c r="AC42" t="inlineStr">
        <is>
          <t>https://www.linkedin.com/company/bluetea</t>
        </is>
      </c>
      <c r="AD42" t="inlineStr">
        <is>
          <t>https://www.linkedin.com/company/bluetea</t>
        </is>
      </c>
    </row>
    <row r="43" ht="12.5" customHeight="1">
      <c r="A43" s="6" t="n">
        <v>45370</v>
      </c>
      <c r="B43" s="1" t="inlineStr">
        <is>
          <t>ORG_1079</t>
        </is>
      </c>
      <c r="C43" s="1" t="b">
        <v>1</v>
      </c>
      <c r="D43" s="1" t="inlineStr">
        <is>
          <t>Anywyse</t>
        </is>
      </c>
      <c r="E43" s="10" t="inlineStr">
        <is>
          <t>https://www.anywyse.nl</t>
        </is>
      </c>
      <c r="F43" t="inlineStr">
        <is>
          <t>anywyse.nl</t>
        </is>
      </c>
      <c r="G43" s="1" t="n"/>
      <c r="H43" s="1" t="n"/>
      <c r="I43" s="1" t="n"/>
      <c r="J43" s="1" t="n"/>
      <c r="K43" s="1" t="inlineStr">
        <is>
          <t>The Netherlands</t>
        </is>
      </c>
      <c r="L43" s="1" t="n"/>
      <c r="M43" s="1" t="n"/>
      <c r="N43" s="1" t="inlineStr">
        <is>
          <t>Business to Business</t>
        </is>
      </c>
      <c r="O43" s="1" t="n"/>
      <c r="P43" s="1" t="n"/>
      <c r="S43" s="1" t="n"/>
      <c r="U43" s="1" t="n"/>
      <c r="V43" s="1" t="inlineStr">
        <is>
          <t>Unverified</t>
        </is>
      </c>
      <c r="Y43" s="1" t="n"/>
      <c r="Z43" s="1" t="n"/>
      <c r="AA43" t="inlineStr">
        <is>
          <t>No</t>
        </is>
      </c>
    </row>
    <row r="44" ht="12.5" customHeight="1">
      <c r="A44" s="6" t="n">
        <v>45370</v>
      </c>
      <c r="B44" s="1" t="inlineStr">
        <is>
          <t>ORG_1180</t>
        </is>
      </c>
      <c r="C44" s="1" t="b">
        <v>1</v>
      </c>
      <c r="D44" s="1" t="inlineStr">
        <is>
          <t>Body Scratch</t>
        </is>
      </c>
      <c r="E44" s="10" t="inlineStr">
        <is>
          <t>https://www.bodyscratch.academy/index.html</t>
        </is>
      </c>
      <c r="F44" t="inlineStr">
        <is>
          <t>bodyscratch.academy/index.html</t>
        </is>
      </c>
      <c r="K44" s="1" t="inlineStr">
        <is>
          <t>The Netherlands</t>
        </is>
      </c>
      <c r="N44" s="1" t="inlineStr">
        <is>
          <t>Business to Business</t>
        </is>
      </c>
      <c r="V44" t="inlineStr">
        <is>
          <t>Unverified</t>
        </is>
      </c>
      <c r="Z44" s="1" t="n"/>
      <c r="AA44" t="inlineStr">
        <is>
          <t>No</t>
        </is>
      </c>
    </row>
    <row r="45" ht="12.5" customHeight="1">
      <c r="A45" s="6" t="n">
        <v>45370</v>
      </c>
      <c r="B45" s="1" t="inlineStr">
        <is>
          <t>ORG_1189</t>
        </is>
      </c>
      <c r="C45" s="1" t="b">
        <v>1</v>
      </c>
      <c r="D45" s="1" t="inlineStr">
        <is>
          <t>Booqio</t>
        </is>
      </c>
      <c r="E45" s="10" t="inlineStr">
        <is>
          <t>https://www.booqio.com/</t>
        </is>
      </c>
      <c r="F45" t="inlineStr">
        <is>
          <t>booqio.com</t>
        </is>
      </c>
      <c r="K45" s="1" t="inlineStr">
        <is>
          <t>The Netherlands</t>
        </is>
      </c>
      <c r="N45" s="1" t="inlineStr">
        <is>
          <t>Business to Business</t>
        </is>
      </c>
      <c r="V45" t="inlineStr">
        <is>
          <t>Unverified</t>
        </is>
      </c>
      <c r="Z45" s="1" t="n"/>
      <c r="AA45" t="inlineStr">
        <is>
          <t>No</t>
        </is>
      </c>
    </row>
    <row r="46" ht="12.5" customHeight="1">
      <c r="A46" s="6" t="n">
        <v>45370</v>
      </c>
      <c r="B46" s="1" t="inlineStr">
        <is>
          <t>ORG_1264</t>
        </is>
      </c>
      <c r="C46" s="1" t="b">
        <v>1</v>
      </c>
      <c r="D46" s="1" t="inlineStr">
        <is>
          <t>CMA Science</t>
        </is>
      </c>
      <c r="E46" s="10" t="inlineStr">
        <is>
          <t>https://cma-science.nl/home-2</t>
        </is>
      </c>
      <c r="F46" t="inlineStr">
        <is>
          <t>cma-science.nl/home-2</t>
        </is>
      </c>
      <c r="J46" s="1" t="inlineStr">
        <is>
          <t>Amsterdam</t>
        </is>
      </c>
      <c r="K46" s="1" t="inlineStr">
        <is>
          <t>The Netherlands</t>
        </is>
      </c>
      <c r="N46" s="1" t="inlineStr">
        <is>
          <t>Business to Business</t>
        </is>
      </c>
      <c r="V46" t="inlineStr">
        <is>
          <t>Unverified</t>
        </is>
      </c>
      <c r="Z46" s="1" t="n"/>
      <c r="AA46" t="inlineStr">
        <is>
          <t>No</t>
        </is>
      </c>
    </row>
    <row r="47" ht="12.5" customHeight="1">
      <c r="A47" s="6" t="n">
        <v>45370</v>
      </c>
      <c r="B47" s="1" t="inlineStr">
        <is>
          <t>ORG_1464</t>
        </is>
      </c>
      <c r="C47" s="1" t="b">
        <v>1</v>
      </c>
      <c r="D47" s="1" t="inlineStr">
        <is>
          <t>Edutrainers</t>
        </is>
      </c>
      <c r="E47" s="10" t="inlineStr">
        <is>
          <t>https://edutrainers.com</t>
        </is>
      </c>
      <c r="F47" t="inlineStr">
        <is>
          <t>edutrainers.com</t>
        </is>
      </c>
      <c r="G47" s="1" t="inlineStr">
        <is>
          <t>Every child deserves good digital education, that's what Edutrainers stands for. Edutrainers offers advice and guidance on the digitalization of education, ICT policy and ICT competences. We link this to a unique professionalization offer with E-learning and workshops for everyone within an educational organization (teachers and non-teaching staff). From educational goals and competencies to teaching methods and learning activities with technological applications. From strategic policy to sustainable professionalization on digital literacy. Out of passion for education, from educational goals to sustainable professionalization, we support schools in all sectors with the integration of technology as a means, not as a goal. The aim is to ensure that we prepare children well with the right digital skills. Equal opportunities for every child through good digital education! It is expected that 1.2 billion employees worldwide will be impacted by the adaptation of automation technologies and AI in the next 10 years. It is urgent we facilitate adults involved in educating our children in educational institutions with the needed digital skills.</t>
        </is>
      </c>
      <c r="H47" s="1" t="inlineStr">
        <is>
          <t>Dutch EdTech</t>
        </is>
      </c>
      <c r="I47" s="1" t="inlineStr">
        <is>
          <t>Dutch, English, Spanish, French</t>
        </is>
      </c>
      <c r="J47" s="1" t="inlineStr">
        <is>
          <t>Hoofddorp</t>
        </is>
      </c>
      <c r="K47" s="1" t="inlineStr">
        <is>
          <t>The Netherlands</t>
        </is>
      </c>
      <c r="L47" s="1" t="inlineStr">
        <is>
          <t>Belgium, Netherlands</t>
        </is>
      </c>
      <c r="M47" s="1" t="inlineStr">
        <is>
          <t>6 to 10</t>
        </is>
      </c>
      <c r="N47" s="1" t="inlineStr">
        <is>
          <t>Business to Business, Business to Consumer, Business to Schools</t>
        </is>
      </c>
      <c r="O47" s="1" t="inlineStr">
        <is>
          <t>Primary Education, Secondary Education, Lifelong learning/Adult education</t>
        </is>
      </c>
      <c r="P47" s="1" t="inlineStr">
        <is>
          <t>Teacher interfacing, System/Administrative, Student interfacing</t>
        </is>
      </c>
      <c r="Q47" s="10" t="inlineStr">
        <is>
          <t>E-Leaning based on DigComp and DigcompEdu</t>
        </is>
      </c>
      <c r="R47" s="10" t="inlineStr">
        <is>
          <t>Upskilling has proven to be one of the most effective interventions when it comes to improving the quality of education. This is no exception when talking about the rapid developments of digitization of education. The link between good HR policy and the development of an administrative vision on life long learning and ICT competence is of great importance. What do you want as an organization to upskill your people? What competencies do employees need to prepare their students to learn, live and work in an increasingly digital society? In recent years, a lot of attention has been paid to the professionalization of employees. Schools, school groups and boards organize professionalization activities for their own employees with internal academies, expertise, knowledge or training centres, among other things for further professionalisation of ICT competence. Setting up an in-house academy is one of the ways to integrate the professionalisation of ICT competence into the HR policy and to give it a permanent shape and continuity. Determining competencies that fit the organization and the wishes for future-oriented education are an essential part of this. 
Digital (Didactic) Proficient program – Digi-skilled - sustainable and future-oriented professionalization.
Edutrainers has developed a program for education that is aimed at the target groups and key figures within the organization. In this digital age, education professionals need different skills to facilitate and ensure continuity of teaching and learning. Our program offers practical tools to develop these digital and digital didactical skills.
Digital Skills Scans:
 What about your digital literacy? Are your digital skills still up-to-date? Do you know what's possible with Microsoft 365, Google Workspace and other digital tools? To measure is to know! The scans provide insight into the level of digital skills of the participants and determine the objectives and personal learning paths. The scans are derived from the self-assessment tools of the European reference frameworks DigComp and DigCompEdu. These reference frameworks have been drawn up by a team of scientists from the European Commission and are seen by many educational institutions and companies as leading when it comes to identifying and measuring digital skills.
E-learning Edutrainers Academy:
The learning blocks in the Edutrainers Academy are built from the digital competences of the European reference frameworks (DigComp, Edu and DigComp) to the technology (Microsoft or Google and other apss) used at school. Short, practical and directly applicable. Work on increasing and improving digital literacy within 30 minutes. As a participant, you get access to a wide range of learning blocks in the Edutrainers Academy. Start with the scan and then get started with your personal learning path or are you looking for an answer to a concrete learning question? This is all possible. Discover your learning path!</t>
        </is>
      </c>
      <c r="S47" s="10" t="inlineStr">
        <is>
          <t>Consultancy on digitalization of Education</t>
        </is>
      </c>
      <c r="T47" t="inlineStr">
        <is>
          <t>Edutrainers believes that changing the ICT landscape from isolated to integrated requires a different view of the ICT vision and policy, in other words a full integration into the strategic policy plan, with references that matter. The focus is on pedagogical-didactic action (with the help of ICT), seamless integration with vision and goals and adequate professionalization. Within every educational institution, there are different views on education and organization. This often makes digitization of education and development of ICT skills of education professionals complex. Nevertheless, it is possible to create a plan of action based on vision in which cooperation remains of great importance for support and involvement around the joint results. Working together on strategic policy:
The experts at Edutrainers are happy to think along with you. Based on the mission, vision and existing policy documents, we are happy to enrich strategic policy plans with inspiration, guidelines and examples to integrate well-thought-out digitization issues. Working together on integrated ICT policy
Edutrainers offers the opportunity to think along, advise and co-write the ICT policy plan. Together, based on vision, we endorse choices and priorities. With a view to the Four in Balance and good digital education, we support the people within the organization who are responsible for drawing up the ICT policy.</t>
        </is>
      </c>
      <c r="U47" s="1" t="inlineStr">
        <is>
          <t>https://drive.google.com/uc?export=view&amp;id=1e8jVCYWfoIxgUMSb6NsmNqwTpnMvWc32</t>
        </is>
      </c>
      <c r="V47" s="1" t="inlineStr">
        <is>
          <t>Unverified</t>
        </is>
      </c>
      <c r="W47" s="1" t="inlineStr">
        <is>
          <t>https://drive.google.com/uc?export=view&amp;id=1e8jVCYWfoIxgUMSb6NsmNqwTpnMvWc32</t>
        </is>
      </c>
      <c r="X47" s="1" t="n"/>
      <c r="Y47" s="10" t="n"/>
      <c r="Z47" s="1" t="n"/>
      <c r="AA47" t="inlineStr">
        <is>
          <t>Yes</t>
        </is>
      </c>
      <c r="AB47" t="inlineStr">
        <is>
          <t>http://instagram.com/edutrainersbv/</t>
        </is>
      </c>
      <c r="AC47" t="inlineStr">
        <is>
          <t>https://twitter.com/EdutrainersNL</t>
        </is>
      </c>
      <c r="AD47" t="inlineStr">
        <is>
          <t>https://www.linkedin.com/company/edutrainers/</t>
        </is>
      </c>
    </row>
    <row r="48" ht="12.5" customHeight="1">
      <c r="A48" s="6" t="n">
        <v>45370</v>
      </c>
      <c r="B48" s="1" t="inlineStr">
        <is>
          <t>ORG_1678</t>
        </is>
      </c>
      <c r="C48" s="1" t="b">
        <v>1</v>
      </c>
      <c r="D48" s="1" t="inlineStr">
        <is>
          <t>Holofil</t>
        </is>
      </c>
      <c r="E48" s="10" t="inlineStr">
        <is>
          <t>https://www.holofil.com/</t>
        </is>
      </c>
      <c r="F48" t="inlineStr">
        <is>
          <t>holofil.com</t>
        </is>
      </c>
      <c r="G48" s="1" t="inlineStr">
        <is>
          <t>HOLOFIL offers a 3D ecosystem platform that includes hardware tabletop displays and software content ecosystem for inspiring young students to enter 3D design ecosystem learning using available tools for content creation such as 3d models, animations, games. It also offers existing ecosystem of apps, games that can be used with the hardware displays.</t>
        </is>
      </c>
      <c r="H48" s="1" t="inlineStr">
        <is>
          <t>Dutch EdTech</t>
        </is>
      </c>
      <c r="I48" s="1" t="inlineStr">
        <is>
          <t>English</t>
        </is>
      </c>
      <c r="J48" s="1" t="inlineStr">
        <is>
          <t>Maarssen</t>
        </is>
      </c>
      <c r="K48" s="1" t="inlineStr">
        <is>
          <t>The Netherlands</t>
        </is>
      </c>
      <c r="L48" s="1" t="inlineStr">
        <is>
          <t>Netherlands</t>
        </is>
      </c>
      <c r="M48" s="1" t="inlineStr">
        <is>
          <t>0 to 2</t>
        </is>
      </c>
      <c r="N48" s="1" t="inlineStr">
        <is>
          <t>Business to Business, Business to Government, Business to Schools</t>
        </is>
      </c>
      <c r="O48" s="1" t="inlineStr">
        <is>
          <t>Early childhood development (0-5 years), Primary Education, Secondary Education</t>
        </is>
      </c>
      <c r="P48" s="1" t="inlineStr">
        <is>
          <t>System/Administrative, Student interfacing, Teacher interfacing</t>
        </is>
      </c>
      <c r="Q48" s="10" t="inlineStr">
        <is>
          <t>HOLOFIL displays</t>
        </is>
      </c>
      <c r="R48" s="10" t="inlineStr">
        <is>
          <t>Displays that offer visualization framework to visualize 3D assets created by students for a uniform learning experience in the 3D design ecosystem.</t>
        </is>
      </c>
      <c r="S48" s="10" t="inlineStr">
        <is>
          <t>Apps / games</t>
        </is>
      </c>
      <c r="T48" t="inlineStr">
        <is>
          <t>3D apps / games that can be used as a content with the hardware displays.</t>
        </is>
      </c>
      <c r="U48" s="1" t="inlineStr">
        <is>
          <t>https://drive.google.com/uc?export=view&amp;id=15sjM993yT_E9xKLYxRUi-1GWoqj-Ovx1</t>
        </is>
      </c>
      <c r="V48" s="1" t="inlineStr">
        <is>
          <t>Unverified</t>
        </is>
      </c>
      <c r="W48" s="1" t="inlineStr">
        <is>
          <t>https://drive.google.com/uc?export=view&amp;id=15sjM993yT_E9xKLYxRUi-1GWoqj-Ovx1</t>
        </is>
      </c>
      <c r="X48" s="1" t="n"/>
      <c r="Y48" s="10" t="n"/>
      <c r="Z48" s="1" t="n"/>
      <c r="AA48" t="inlineStr">
        <is>
          <t>Yes</t>
        </is>
      </c>
      <c r="AB48" t="inlineStr">
        <is>
          <t>http://www.instagram.com/holofil3d</t>
        </is>
      </c>
      <c r="AC48" t="inlineStr">
        <is>
          <t>http://www.twitter.com/holofil3D</t>
        </is>
      </c>
      <c r="AD48" t="inlineStr">
        <is>
          <t>https://www.linkedin.com/company/holofil/about/</t>
        </is>
      </c>
    </row>
    <row r="49" ht="12.5" customHeight="1">
      <c r="A49" s="6" t="n">
        <v>45370</v>
      </c>
      <c r="B49" s="1" t="inlineStr">
        <is>
          <t>ORG_1788</t>
        </is>
      </c>
      <c r="C49" s="1" t="b">
        <v>1</v>
      </c>
      <c r="D49" s="1" t="inlineStr">
        <is>
          <t>Komensky</t>
        </is>
      </c>
      <c r="E49" s="10" t="inlineStr">
        <is>
          <t>https://www.komensky.nl</t>
        </is>
      </c>
      <c r="F49" t="inlineStr">
        <is>
          <t>komensky.nl</t>
        </is>
      </c>
      <c r="G49" s="1" t="inlineStr">
        <is>
          <t>Komensky delivers personalised skill based learning, skill validation and skill mobility through a smooth learning experience wrapped in a smart platform. 
Skill based learning? Skills are at the core of what we do. We aim to effectively close skill gaps to empower your people and transform your business. 
Smooth learning experience? We know the needs of your learners. Our intuitive hybrid LXP guides learners to their goals effectively and recommends the next step in their skill development. 
Smart platform? We integrate existing learning technology systems through a unified frontend experience, while seamlessly integrating backend components. Our complete SaaS-setup is flexible, scalable, and integrates with all of your (legacy) systems.</t>
        </is>
      </c>
      <c r="H49" s="1" t="inlineStr">
        <is>
          <t>Dutch EdTech</t>
        </is>
      </c>
      <c r="I49" s="1" t="inlineStr">
        <is>
          <t>Dutch, French, English, German, Portuguese</t>
        </is>
      </c>
      <c r="J49" s="1" t="inlineStr">
        <is>
          <t>UTRECHT</t>
        </is>
      </c>
      <c r="K49" s="1" t="inlineStr">
        <is>
          <t>The Netherlands</t>
        </is>
      </c>
      <c r="L49" s="1" t="inlineStr">
        <is>
          <t>Belgium, Netherlands, United Kingdom</t>
        </is>
      </c>
      <c r="M49" s="1" t="inlineStr">
        <is>
          <t>11 to 50</t>
        </is>
      </c>
      <c r="N49" s="1" t="inlineStr">
        <is>
          <t>Business to Business, Business to Schools</t>
        </is>
      </c>
      <c r="O49" s="1" t="inlineStr">
        <is>
          <t>Corporate Training, Lifelong learning/Adult education</t>
        </is>
      </c>
      <c r="P49" s="1" t="inlineStr">
        <is>
          <t>Student interfacing, System/Administrative</t>
        </is>
      </c>
      <c r="Q49" t="inlineStr">
        <is>
          <t>Skill platform</t>
        </is>
      </c>
      <c r="R49" t="inlineStr">
        <is>
          <t>Komensky delivers personalised skill based learning, skill validation and skill mobility through a smooth learning experience wrapped in a smart platform. 
Skill based learning? Skills are at the core of what we do. We aim to effectively close skill gaps to empower your people and transform your business. 
Smooth learning experience? We know the needs of your learners. Our intuitive hybrid LXP guides learners to their goals effectively and recommends the next step in their skill development. 
Smart platform? We integrate existing learning technology systems through a unified frontend experience, while seamlessly integrating backend components. Our complete SaaS-setup is flexible, scalable, and integrates with all of your (legacy) systems.</t>
        </is>
      </c>
      <c r="S49" s="10" t="inlineStr">
        <is>
          <t>https://drive.google.com/uc?export=view&amp;id=1AhM_ClYPoOOB0uvkGFUfvE9k6xMxyS1M</t>
        </is>
      </c>
      <c r="T49" t="inlineStr">
        <is>
          <t>https://drive.google.com/uc?export=view&amp;id=1AhM_ClYPoOOB0uvkGFUfvE9k6xMxyS1M</t>
        </is>
      </c>
      <c r="U49" s="1" t="inlineStr">
        <is>
          <t>https://drive.google.com/uc?export=view&amp;id=1AhM_ClYPoOOB0uvkGFUfvE9k6xMxyS1M</t>
        </is>
      </c>
      <c r="V49" s="1" t="inlineStr">
        <is>
          <t>Unverified</t>
        </is>
      </c>
      <c r="W49" s="1" t="inlineStr">
        <is>
          <t>https://drive.google.com/uc?export=view&amp;id=1AhM_ClYPoOOB0uvkGFUfvE9k6xMxyS1M</t>
        </is>
      </c>
      <c r="X49" s="1" t="n"/>
      <c r="Y49" s="10" t="n"/>
      <c r="Z49" s="1" t="n"/>
      <c r="AA49" t="inlineStr">
        <is>
          <t>Yes</t>
        </is>
      </c>
      <c r="AC49" t="inlineStr">
        <is>
          <t>https://www.linkedin.com/company/komensky/</t>
        </is>
      </c>
      <c r="AD49" t="inlineStr">
        <is>
          <t>https://www.linkedin.com/company/komensky/</t>
        </is>
      </c>
    </row>
    <row r="50" ht="12.5" customHeight="1">
      <c r="A50" s="6" t="n">
        <v>45370</v>
      </c>
      <c r="B50" s="1" t="inlineStr">
        <is>
          <t>ORG_1859</t>
        </is>
      </c>
      <c r="C50" s="1" t="b">
        <v>1</v>
      </c>
      <c r="D50" s="1" t="inlineStr">
        <is>
          <t>LessonUp</t>
        </is>
      </c>
      <c r="E50" s="10" t="inlineStr">
        <is>
          <t>https://www.lessonup.com/nl/</t>
        </is>
      </c>
      <c r="F50" t="inlineStr">
        <is>
          <t>lessonup.com/nl</t>
        </is>
      </c>
      <c r="K50" s="1" t="inlineStr">
        <is>
          <t>The Netherlands</t>
        </is>
      </c>
      <c r="N50" s="1" t="inlineStr">
        <is>
          <t>Business to Business, Business to Schools</t>
        </is>
      </c>
      <c r="V50" t="inlineStr">
        <is>
          <t>Unverified</t>
        </is>
      </c>
      <c r="Z50" s="1" t="n"/>
      <c r="AA50" t="inlineStr">
        <is>
          <t>No</t>
        </is>
      </c>
    </row>
    <row r="51" ht="12.5" customHeight="1">
      <c r="A51" s="6" t="n">
        <v>45370</v>
      </c>
      <c r="B51" s="1" t="inlineStr">
        <is>
          <t>ORG_1889</t>
        </is>
      </c>
      <c r="C51" s="1" t="b">
        <v>1</v>
      </c>
      <c r="D51" s="1" t="inlineStr">
        <is>
          <t>Livery Video</t>
        </is>
      </c>
      <c r="E51" s="10" t="inlineStr">
        <is>
          <t>https://www.liveryvideo.com/</t>
        </is>
      </c>
      <c r="F51" t="inlineStr">
        <is>
          <t>liveryvideo.com</t>
        </is>
      </c>
      <c r="G51" s="1" t="n"/>
      <c r="H51" s="1" t="n"/>
      <c r="I51" s="1" t="n"/>
      <c r="J51" s="1" t="n"/>
      <c r="K51" s="1" t="inlineStr">
        <is>
          <t>The Netherlands</t>
        </is>
      </c>
      <c r="L51" s="1" t="n"/>
      <c r="M51" s="1" t="n"/>
      <c r="N51" s="1" t="inlineStr">
        <is>
          <t>Business to Government, Business to Schools</t>
        </is>
      </c>
      <c r="O51" s="1" t="n"/>
      <c r="P51" s="1" t="n"/>
      <c r="Q51" s="1" t="n"/>
      <c r="U51" s="1" t="n"/>
      <c r="V51" s="1" t="inlineStr">
        <is>
          <t>Unverified</t>
        </is>
      </c>
      <c r="W51" s="1" t="n"/>
      <c r="Y51" s="1" t="n"/>
      <c r="Z51" s="1" t="n"/>
      <c r="AA51" t="inlineStr">
        <is>
          <t>No</t>
        </is>
      </c>
    </row>
    <row r="52" ht="12.5" customHeight="1">
      <c r="A52" s="6" t="n">
        <v>45370</v>
      </c>
      <c r="B52" s="1" t="inlineStr">
        <is>
          <t>ORG_2007</t>
        </is>
      </c>
      <c r="C52" s="1" t="b">
        <v>1</v>
      </c>
      <c r="D52" s="1" t="inlineStr">
        <is>
          <t>Myndr</t>
        </is>
      </c>
      <c r="E52" s="10" t="inlineStr">
        <is>
          <t>https://www.myndr.nl</t>
        </is>
      </c>
      <c r="F52" t="inlineStr">
        <is>
          <t>myndr.nl</t>
        </is>
      </c>
      <c r="J52" s="1" t="inlineStr">
        <is>
          <t>ZUTPHEN</t>
        </is>
      </c>
      <c r="K52" s="1" t="inlineStr">
        <is>
          <t>The Netherlands</t>
        </is>
      </c>
      <c r="V52" t="inlineStr">
        <is>
          <t>Unverified</t>
        </is>
      </c>
      <c r="Z52" s="1" t="n"/>
      <c r="AA52" t="inlineStr">
        <is>
          <t>No</t>
        </is>
      </c>
    </row>
    <row r="53" ht="12.5" customHeight="1">
      <c r="A53" s="6" t="n">
        <v>45370</v>
      </c>
      <c r="B53" s="1" t="inlineStr">
        <is>
          <t>ORG_2112</t>
        </is>
      </c>
      <c r="C53" s="1" t="b">
        <v>1</v>
      </c>
      <c r="D53" s="1" t="inlineStr">
        <is>
          <t>Pluvo</t>
        </is>
      </c>
      <c r="E53" s="10" t="inlineStr">
        <is>
          <t>https://pluvo.co</t>
        </is>
      </c>
      <c r="F53" t="inlineStr">
        <is>
          <t>pluvo.co</t>
        </is>
      </c>
      <c r="G53" s="1" t="inlineStr">
        <is>
          <t>Unlock the potential of knowledge with Pluvo! Bid farewell to scattered learning and welcome a centralized hub where expertise seamlessly flows. Trusted by over 100,000 users across 600 organizations, Pluvo transforms learning into impactful e-learning effortlessly, saving time and eradicating repetition. Consolidate all learning activities into one space, from e-learning modules to live training sessions, ensuring unparalleled efficiency. Coordinate meetings, events, and webinars effortlessly with our user-friendly interface. Engage in discussions, ask questions, and embark on collective learning journeys to foster continuous growth. Monitor progress and performance in real-time, empowering managers and trainers to optimize learning. Seamlessly integrate Pluvo with existing systems for a unified learning experience. Enjoy top-notch customer service, rated 5 stars, with an average response time of just 3.8 minutes. Ready to revolutionize your organization's learning journey? Get started with Pluvo today!</t>
        </is>
      </c>
      <c r="H53" s="1" t="inlineStr">
        <is>
          <t>Dutch EdTech</t>
        </is>
      </c>
      <c r="I53" s="1" t="n"/>
      <c r="J53" s="1" t="inlineStr">
        <is>
          <t>AMSTERDAM</t>
        </is>
      </c>
      <c r="K53" s="1" t="inlineStr">
        <is>
          <t>The Netherlands</t>
        </is>
      </c>
      <c r="L53" s="1" t="inlineStr">
        <is>
          <t>Belgium, Cyprus, Denmark, France, Germany, Ireland, Italy, Luxembourg, Netherlands, Poland, Spain, Sweden, Switzerland</t>
        </is>
      </c>
      <c r="M53" s="1" t="inlineStr">
        <is>
          <t>11 to 50</t>
        </is>
      </c>
      <c r="N53" s="1" t="inlineStr">
        <is>
          <t>Business to Government, Business to Business</t>
        </is>
      </c>
      <c r="O53" s="1" t="inlineStr">
        <is>
          <t>Lifelong learning/Adult education, Vocational Education and Training (VET)</t>
        </is>
      </c>
      <c r="P53" s="1" t="inlineStr">
        <is>
          <t>System/Administrative, Student interfacing</t>
        </is>
      </c>
      <c r="Q53" s="10" t="inlineStr">
        <is>
          <t>Pluvo</t>
        </is>
      </c>
      <c r="R53" t="inlineStr">
        <is>
          <t>Unlock the potential of knowledge with Pluvo! Bid farewell to scattered learning and welcome a centralized hub where expertise seamlessly flows. Trusted by over 100,000 users across 600 organizations, Pluvo transforms learning into impactful e-learning effortlessly, saving time and eradicating repetition. Consolidate all learning activities into one space, from e-learning modules to live training sessions, ensuring unparalleled efficiency. Coordinate meetings, events, and webinars effortlessly with our user-friendly interface. Engage in discussions, ask questions, and embark on collective learning journeys to foster continuous growth. Monitor progress and performance in real-time, empowering managers and trainers to optimize learning. Seamlessly integrate Pluvo with existing systems for a unified learning experience. Enjoy top-notch customer service, rated 5 stars, with an average response time of just 3.8 minutes. Ready to revolutionize your organization's learning journey? Get started with Pluvo today!</t>
        </is>
      </c>
      <c r="S53" s="10" t="inlineStr">
        <is>
          <t>https://drive.google.com/uc?export=view&amp;id=1UwTw09s7ZTNN09abWtWDyeiUx6KR_sOl</t>
        </is>
      </c>
      <c r="T53" t="inlineStr">
        <is>
          <t>https://drive.google.com/uc?export=view&amp;id=1UwTw09s7ZTNN09abWtWDyeiUx6KR_sOl</t>
        </is>
      </c>
      <c r="U53" s="1" t="inlineStr">
        <is>
          <t>https://drive.google.com/uc?export=view&amp;id=1UwTw09s7ZTNN09abWtWDyeiUx6KR_sOl</t>
        </is>
      </c>
      <c r="V53" s="1" t="inlineStr">
        <is>
          <t>Unverified</t>
        </is>
      </c>
      <c r="W53" s="1" t="inlineStr">
        <is>
          <t>https://drive.google.com/uc?export=view&amp;id=1UwTw09s7ZTNN09abWtWDyeiUx6KR_sOl</t>
        </is>
      </c>
      <c r="X53" s="1" t="n"/>
      <c r="Y53" s="10" t="n"/>
      <c r="Z53" s="1" t="n"/>
      <c r="AA53" t="inlineStr">
        <is>
          <t>Yes</t>
        </is>
      </c>
      <c r="AB53" t="inlineStr">
        <is>
          <t>https://www.instagram.com/pluvo.nl/</t>
        </is>
      </c>
      <c r="AC53" t="inlineStr">
        <is>
          <t>https://www.linkedin.com/company/pluvo</t>
        </is>
      </c>
      <c r="AD53" t="inlineStr">
        <is>
          <t>https://www.linkedin.com/company/pluvo</t>
        </is>
      </c>
    </row>
    <row r="54" ht="12.5" customHeight="1">
      <c r="A54" s="6" t="n">
        <v>45370</v>
      </c>
      <c r="B54" s="1" t="inlineStr">
        <is>
          <t>ORG_2156</t>
        </is>
      </c>
      <c r="C54" s="1" t="b">
        <v>1</v>
      </c>
      <c r="D54" s="1" t="inlineStr">
        <is>
          <t>Rakoo</t>
        </is>
      </c>
      <c r="E54" s="10" t="inlineStr">
        <is>
          <t>https://rakoo.com/</t>
        </is>
      </c>
      <c r="F54" t="inlineStr">
        <is>
          <t>rakoo.com</t>
        </is>
      </c>
      <c r="G54" s="1" t="inlineStr">
        <is>
          <t>We are Rakoo. Your online academy for learning and performance. Driven by AI.
Every organization wants to achieve goals, every team wants to grow, and every employee wants to improve in some way. That's why we focus on growth, both personally and professionally. Together, we set goals and work towards achieving them. We provide insights into the return on investment of online learning, leveraging intelligent technology. We are your partner in growth.
We believe that organizations grow when people grow. We make learning and knowledge sharing accessible, interactive, and effective. In doing so, we help organizations achieve their goals. We create a smart online academy that connects people and makes learning accessible. We achieve this through a wide range of learning formats, a user-friendly tool for developing learning activities, on-the-go learning, smart algorithms, and real-time insights into team growth. All of this is accomplished through our smart online academy for growth.</t>
        </is>
      </c>
      <c r="H54" s="1" t="inlineStr">
        <is>
          <t>Dutch EdTech</t>
        </is>
      </c>
      <c r="I54" s="1" t="inlineStr">
        <is>
          <t>Dutch, English, Spanish, German, French</t>
        </is>
      </c>
      <c r="J54" s="1" t="inlineStr">
        <is>
          <t>Nijmegen</t>
        </is>
      </c>
      <c r="K54" s="1" t="inlineStr">
        <is>
          <t>The Netherlands</t>
        </is>
      </c>
      <c r="L54" s="1" t="inlineStr">
        <is>
          <t>Netherlands</t>
        </is>
      </c>
      <c r="M54" s="1" t="inlineStr">
        <is>
          <t>11 to 50</t>
        </is>
      </c>
      <c r="N54" s="1" t="inlineStr">
        <is>
          <t>Business to Government, Business to Business</t>
        </is>
      </c>
      <c r="O54" s="1" t="inlineStr">
        <is>
          <t>Corporate Training</t>
        </is>
      </c>
      <c r="P54" s="1" t="inlineStr">
        <is>
          <t>System/Administrative</t>
        </is>
      </c>
      <c r="Q54" s="10" t="inlineStr">
        <is>
          <t>Learning</t>
        </is>
      </c>
      <c r="R54" s="10" t="inlineStr">
        <is>
          <t>Develop trainings, gain insights into growth, store all knowledge of your organization and organize learning in one central place: all in Rakoo. We are the leading online academy for learning and performance, driven by AI. We help you grow, both personally and professionally.
With an LMS (Learning Management System), you can organize and manage everything related to learning within your organization. From óne smart and central platform in Rakoo, you enable employees to learn and develop. This not only helps your employees grow but also drives the overall growth of your organization.
With an LXP, the focus is on the learning experience: a smart and personalized learning journey. This ensures that everyone learns in a way that suits them best. We make learning enjoyable and interactive with AI and gamification.
Knowledge retention in your organization is important, we understand that. That's why in Rakoo, you can easily create learning activities yourself using our authoring tool or Smart Assistant. In this way, you can transform organizational knowledge into professional learning activities or you can create learning activities with the help of AI. User-friendliness is a priority, and that's why we keep the authoring tool simple. This allows everyone to easily create professional learning activities on their own.</t>
        </is>
      </c>
      <c r="S54" s="10" t="inlineStr">
        <is>
          <t>Performance</t>
        </is>
      </c>
      <c r="T54" t="inlineStr">
        <is>
          <t>With Rakoo, we empower you to grow and to become great. We achieve this through an online academy for learning and performance management, driven by AI. Rakoo provides you with insights into the return on learning. Together, we will accomplish professional and personal goals.
With Rakoo, you enable your teams to grow. In the online academy they engage in learning activities, and you are able to track their progress directly. We provide you with real-time insights and show you the value that learning brings to your organization.
Do you want to empower your teams to grow? Then you need insights into skills, the (desired) abilities of your employees. In Rakoo, we measure the baseline level of these skills and set goals to enhance their proficiency. We enable you to make learning activities smarter, align them with your goals and ensure a smart approach to growth.</t>
        </is>
      </c>
      <c r="U54" s="1" t="inlineStr">
        <is>
          <t>https://drive.google.com/uc?export=view&amp;id=1_swJ2f7Of4znvxpsxNXnAK5eTaCGtt7j</t>
        </is>
      </c>
      <c r="V54" s="1" t="inlineStr">
        <is>
          <t>Unverified</t>
        </is>
      </c>
      <c r="W54" s="1" t="inlineStr">
        <is>
          <t>https://drive.google.com/uc?export=view&amp;id=1_swJ2f7Of4znvxpsxNXnAK5eTaCGtt7j</t>
        </is>
      </c>
      <c r="X54" s="1" t="n"/>
      <c r="Y54" s="10" t="n"/>
      <c r="Z54" s="1" t="n"/>
      <c r="AA54" t="inlineStr">
        <is>
          <t>Yes</t>
        </is>
      </c>
      <c r="AB54" t="inlineStr">
        <is>
          <t>https://www.instagram.com/workingatrakoo/</t>
        </is>
      </c>
      <c r="AC54" t="inlineStr">
        <is>
          <t>https://twitter.com/rakoocom</t>
        </is>
      </c>
      <c r="AD54" t="inlineStr">
        <is>
          <t>https://www.linkedin.com/company/rakoo</t>
        </is>
      </c>
    </row>
    <row r="55" ht="12.5" customHeight="1">
      <c r="A55" s="6" t="n">
        <v>45370</v>
      </c>
      <c r="B55" s="1" t="inlineStr">
        <is>
          <t>ORG_2181</t>
        </is>
      </c>
      <c r="C55" s="1" t="b">
        <v>1</v>
      </c>
      <c r="D55" s="1" t="inlineStr">
        <is>
          <t>Revisely</t>
        </is>
      </c>
      <c r="E55" s="10" t="inlineStr">
        <is>
          <t>http://revise.ly</t>
        </is>
      </c>
      <c r="F55" t="inlineStr">
        <is>
          <t>revise.ly</t>
        </is>
      </c>
      <c r="G55" s="1" t="inlineStr">
        <is>
          <t>Revisely has been around since 2014 and was founded by Cambridge alum Jeroen Fransen and former Minister of Education of the Netherlands, Jo Ritzen. We have over 200,000 users in schools, colleges and universities. 
At Revisely we believe happy teachers make happier students. Many teachers are not so happy due to the workload around grading, marking and giving feedback on students’ work, so we came up with some solutions. 
Member of Dutch Edtech, alumnus of UtrechtInc and xEdu, fellow of Hatch Colab</t>
        </is>
      </c>
      <c r="H55" s="1" t="inlineStr">
        <is>
          <t>Dutch EdTech, xEdu</t>
        </is>
      </c>
      <c r="I55" s="1" t="inlineStr">
        <is>
          <t>Dutch, English, Spanish, German, French, Italian</t>
        </is>
      </c>
      <c r="J55" s="1" t="inlineStr">
        <is>
          <t>BREDA</t>
        </is>
      </c>
      <c r="K55" s="1" t="inlineStr">
        <is>
          <t>The Netherlands</t>
        </is>
      </c>
      <c r="L55" s="1" t="inlineStr">
        <is>
          <t>Belgium, Denmark, Finland, France, Germany, Netherlands, Norway, Spain, Sweden, Ukraine, United Kingdom</t>
        </is>
      </c>
      <c r="M55" s="1" t="inlineStr">
        <is>
          <t>6 to 10</t>
        </is>
      </c>
      <c r="N55" s="1" t="inlineStr">
        <is>
          <t>Business to Government, Business to Schools, Business to Business</t>
        </is>
      </c>
      <c r="O55" s="1" t="inlineStr">
        <is>
          <t>Secondary Education, Vocational Education and Training (VET), Higher Education</t>
        </is>
      </c>
      <c r="P55" s="1" t="inlineStr">
        <is>
          <t>Student interfacing, Teacher interfacing, System/Administrative</t>
        </is>
      </c>
      <c r="Q55" s="1" t="inlineStr">
        <is>
          <t>Revisely Grading Tool</t>
        </is>
      </c>
      <c r="R55" t="inlineStr">
        <is>
          <t>Revisely offers a grading tool that teachers use to correct students’ work, saving teachers time with standardised feedback and optimised workflows. It also gives more actionable feedback to students so they can improve learning outcomes. The unique extendible comment banks, integrated in Revisely’s web application, include tips on how to improve writing skills but can also include teachers’ own feedback, increasing students’ engagement and learning effects. In addition, Revisely offers various other features such as plagiarism checking to promote original writing, Team Hand-ins to stimulate collaborating in groups and Peer Grading &amp; Feedback to help students learn from each other. Revisely’s tool can be integrated through LTI 1.1 and 1.3 as well as through its own API, so we welcome partnerships with publishers and LMS providers!</t>
        </is>
      </c>
      <c r="S55" s="10" t="inlineStr">
        <is>
          <t>TheyCorrect</t>
        </is>
      </c>
      <c r="T55" t="inlineStr">
        <is>
          <t>TheyCorrect works with schools to reduce teachers' workload and decrease teacher shortages. 
To make this happen, we allow teachers to delegate the grading and marking of and giving feedback on papers, essays, letters, essays, etc. to external professionals. By delegating the grading task (15% of teachers' time), teachers then have more time to concentrate on actual teaching, schools achieve better results and students learn more.
We are an #edtech and #hrtech company with headquarters in the Netherlands.</t>
        </is>
      </c>
      <c r="U55" s="1" t="inlineStr">
        <is>
          <t>https://drive.google.com/uc?export=view&amp;id=1qVeM1C7spVg_DT4zpEGi5L8FlVsageFu</t>
        </is>
      </c>
      <c r="V55" s="1" t="inlineStr">
        <is>
          <t>Unverified</t>
        </is>
      </c>
      <c r="W55" s="1" t="inlineStr">
        <is>
          <t>https://drive.google.com/uc?export=view&amp;id=1qVeM1C7spVg_DT4zpEGi5L8FlVsageFu</t>
        </is>
      </c>
      <c r="X55" s="1" t="n"/>
      <c r="Y55" s="10" t="n"/>
      <c r="Z55" s="1" t="n"/>
      <c r="AA55" t="inlineStr">
        <is>
          <t>Yes</t>
        </is>
      </c>
      <c r="AC55" t="inlineStr">
        <is>
          <t>https://www.linkedin.com/company/revisely</t>
        </is>
      </c>
      <c r="AD55" t="inlineStr">
        <is>
          <t>https://www.linkedin.com/company/revisely</t>
        </is>
      </c>
    </row>
    <row r="56" ht="12.5" customHeight="1">
      <c r="A56" s="6" t="n">
        <v>45370</v>
      </c>
      <c r="B56" s="1" t="inlineStr">
        <is>
          <t>ORG_2342</t>
        </is>
      </c>
      <c r="C56" s="1" t="b">
        <v>1</v>
      </c>
      <c r="D56" s="1" t="inlineStr">
        <is>
          <t>StudyGo</t>
        </is>
      </c>
      <c r="E56" s="10" t="inlineStr">
        <is>
          <t>https://wrts.nl/homepage</t>
        </is>
      </c>
      <c r="F56" t="inlineStr">
        <is>
          <t>wrts.nl/homepage</t>
        </is>
      </c>
      <c r="G56" s="1" t="n"/>
      <c r="H56" s="1" t="n"/>
      <c r="I56" s="1" t="n"/>
      <c r="J56" s="1" t="n"/>
      <c r="K56" s="1" t="inlineStr">
        <is>
          <t>The Netherlands</t>
        </is>
      </c>
      <c r="L56" s="1" t="n"/>
      <c r="M56" s="1" t="n"/>
      <c r="N56" s="1" t="n"/>
      <c r="O56" s="1" t="n"/>
      <c r="P56" s="1" t="n"/>
      <c r="Q56" s="1" t="n"/>
      <c r="R56" s="1" t="n"/>
      <c r="S56" s="1" t="n"/>
      <c r="V56" t="inlineStr">
        <is>
          <t>Unverified</t>
        </is>
      </c>
      <c r="Y56" s="1" t="n"/>
      <c r="Z56" s="1" t="n"/>
      <c r="AA56" t="inlineStr">
        <is>
          <t>No</t>
        </is>
      </c>
    </row>
    <row r="57" ht="12.5" customHeight="1">
      <c r="A57" s="6" t="n">
        <v>45370</v>
      </c>
      <c r="B57" s="1" t="inlineStr">
        <is>
          <t>ORG_2507</t>
        </is>
      </c>
      <c r="C57" s="1" t="b">
        <v>1</v>
      </c>
      <c r="D57" s="1" t="inlineStr">
        <is>
          <t>Voor de klas</t>
        </is>
      </c>
      <c r="E57" s="10" t="inlineStr">
        <is>
          <t>http://voordeklas.com</t>
        </is>
      </c>
      <c r="F57" t="inlineStr">
        <is>
          <t>voordeklas.com</t>
        </is>
      </c>
      <c r="G57" s="1" t="inlineStr">
        <is>
          <t>Bring society into the classroom and the classroom into society.
Voor de klas (translation for/in front of the classroom) is a platform for teachers to find the best guest lectures, field trips and lesson materials from third party providers linked to:
• Learning outcomes
• Duration
• Ages
• Price
• Available subsidies</t>
        </is>
      </c>
      <c r="H57" s="1" t="inlineStr">
        <is>
          <t>Dutch EdTech</t>
        </is>
      </c>
      <c r="I57" s="1" t="inlineStr">
        <is>
          <t>Dutch</t>
        </is>
      </c>
      <c r="J57" s="1" t="inlineStr">
        <is>
          <t>Amsterdam</t>
        </is>
      </c>
      <c r="K57" s="1" t="inlineStr">
        <is>
          <t>The Netherlands</t>
        </is>
      </c>
      <c r="L57" s="1" t="inlineStr">
        <is>
          <t>Netherlands</t>
        </is>
      </c>
      <c r="M57" s="1" t="inlineStr">
        <is>
          <t>0 to 2</t>
        </is>
      </c>
      <c r="N57" s="1" t="inlineStr">
        <is>
          <t>Business to Schools, Business to Business, Business to Business</t>
        </is>
      </c>
      <c r="O57" s="1" t="inlineStr">
        <is>
          <t>Primary Education, Secondary Education, Corporate Training, Lifelong learning/Adult education, Vocational Education and Training (VET), Higher Education</t>
        </is>
      </c>
      <c r="P57" s="1" t="inlineStr">
        <is>
          <t>Teacher interfacing, System/Administrative, Student interfacing</t>
        </is>
      </c>
      <c r="Q57" s="10" t="inlineStr">
        <is>
          <t>Voor de klas</t>
        </is>
      </c>
      <c r="R57" t="inlineStr">
        <is>
          <t>Voor de Klas (translation for/in front of the classroom) is a platform for teachers to find the best guest lectures, field trips, and lesson materials from third-party providers linked to:
• Learning outcomes
• Duration
• Ages
• Price
• Available subsidies</t>
        </is>
      </c>
      <c r="S57" s="1" t="inlineStr">
        <is>
          <t>Suzanne Lustenhouwer</t>
        </is>
      </c>
      <c r="T57" t="inlineStr">
        <is>
          <t>https://drive.google.com/uc?export=view&amp;id=1AaEX-1idixIzvDbxGQPjUqQjkwM0IykB</t>
        </is>
      </c>
      <c r="U57" s="1" t="inlineStr">
        <is>
          <t>https://drive.google.com/uc?export=view&amp;id=1AaEX-1idixIzvDbxGQPjUqQjkwM0IykB</t>
        </is>
      </c>
      <c r="V57" s="1" t="inlineStr">
        <is>
          <t>Unverified</t>
        </is>
      </c>
      <c r="W57" s="1" t="inlineStr">
        <is>
          <t>https://drive.google.com/uc?export=view&amp;id=1AaEX-1idixIzvDbxGQPjUqQjkwM0IykB</t>
        </is>
      </c>
      <c r="Y57" s="10" t="n"/>
      <c r="Z57" s="1" t="n"/>
      <c r="AA57" t="inlineStr">
        <is>
          <t>Yes</t>
        </is>
      </c>
      <c r="AB57" t="inlineStr">
        <is>
          <t>https://instagram.com/voordeklas</t>
        </is>
      </c>
    </row>
    <row r="58" ht="12.5" customHeight="1">
      <c r="A58" s="6" t="n">
        <v>45370</v>
      </c>
      <c r="B58" s="1" t="inlineStr">
        <is>
          <t>ORG_2510</t>
        </is>
      </c>
      <c r="C58" s="1" t="b">
        <v>1</v>
      </c>
      <c r="D58" s="1" t="inlineStr">
        <is>
          <t>VR Nederland</t>
        </is>
      </c>
      <c r="E58" s="10" t="inlineStr">
        <is>
          <t>https://vrnederland.nl/</t>
        </is>
      </c>
      <c r="F58" t="inlineStr">
        <is>
          <t>vrnederland.nl</t>
        </is>
      </c>
      <c r="G58" s="1" t="n"/>
      <c r="H58" s="1" t="n"/>
      <c r="I58" s="1" t="n"/>
      <c r="J58" s="1" t="n"/>
      <c r="K58" s="1" t="inlineStr">
        <is>
          <t>The Netherlands</t>
        </is>
      </c>
      <c r="L58" s="1" t="n"/>
      <c r="M58" s="1" t="n"/>
      <c r="N58" s="1" t="n"/>
      <c r="O58" s="1" t="n"/>
      <c r="P58" s="1" t="n"/>
      <c r="S58" s="1" t="n"/>
      <c r="U58" s="1" t="n"/>
      <c r="V58" s="1" t="inlineStr">
        <is>
          <t>Unverified</t>
        </is>
      </c>
      <c r="W58" s="1" t="n"/>
      <c r="X58" s="1" t="n"/>
      <c r="Y58" s="1" t="n"/>
      <c r="Z58" s="1" t="n"/>
      <c r="AA58" t="inlineStr">
        <is>
          <t>No</t>
        </is>
      </c>
    </row>
    <row r="59" ht="12.5" customHeight="1">
      <c r="A59" s="6" t="n">
        <v>45370</v>
      </c>
      <c r="B59" s="1" t="inlineStr">
        <is>
          <t>ORG_2563</t>
        </is>
      </c>
      <c r="C59" s="1" t="b">
        <v>1</v>
      </c>
      <c r="D59" s="1" t="inlineStr">
        <is>
          <t>Young Coders</t>
        </is>
      </c>
      <c r="E59" s="10" t="inlineStr">
        <is>
          <t>https://youngcoders.nl/</t>
        </is>
      </c>
      <c r="F59" t="inlineStr">
        <is>
          <t>youngcoders.nl</t>
        </is>
      </c>
      <c r="G59" s="1" t="inlineStr">
        <is>
          <t>We find exceptional IT talent and provide them with the right environment to flourish. We work with a “character fit” between talent and client. Sustainable relationships arise in a work environment where you are at your best. We teach them the right skillset.
With our unique perspective on talent, we challenge the status quo. We are the knowledge partner for finding, training and guiding exceptional IT talent.Young_Coders Upskill is the IT training partner for upskilling and retraining your workforce. We train your employees to the next skills level. With our core capabilities assessments, customized training and our personalized e-learning platform, we ensure that every employee brings out the best in themselves.</t>
        </is>
      </c>
      <c r="H59" s="1" t="inlineStr">
        <is>
          <t>Dutch EdTech</t>
        </is>
      </c>
      <c r="I59" s="1" t="inlineStr">
        <is>
          <t>Dutch, English</t>
        </is>
      </c>
      <c r="J59" s="1" t="inlineStr">
        <is>
          <t>Amersfoort</t>
        </is>
      </c>
      <c r="K59" s="1" t="inlineStr">
        <is>
          <t>The Netherlands</t>
        </is>
      </c>
      <c r="L59" s="1" t="inlineStr">
        <is>
          <t>Netherlands</t>
        </is>
      </c>
      <c r="M59" s="1" t="inlineStr">
        <is>
          <t>11 to 50</t>
        </is>
      </c>
      <c r="N59" s="1" t="inlineStr">
        <is>
          <t>Business to Business</t>
        </is>
      </c>
      <c r="O59" s="1" t="inlineStr">
        <is>
          <t>Corporate Training, Lifelong learning/Adult education</t>
        </is>
      </c>
      <c r="P59" s="1" t="inlineStr">
        <is>
          <t>System/Administrative</t>
        </is>
      </c>
      <c r="Q59" s="1" t="inlineStr">
        <is>
          <t>Young Coders UpSkill Academy</t>
        </is>
      </c>
      <c r="R59" t="inlineStr">
        <is>
          <t>Young_Coders Upskill is the IT training partner for upskilling and retraining your workforce.
We train your employees to the next skills level. With our core capabilities assessments, customized training and our personalized e-learning platform, we ensure that every employee brings out the best in themselves.</t>
        </is>
      </c>
      <c r="S59" s="10" t="inlineStr">
        <is>
          <t>Collow</t>
        </is>
      </c>
      <c r="T59" t="inlineStr">
        <is>
          <t>Collow is a modern and flexible IT e-learning platform, with which you can translate all your training, onboarding and PowerPoints into interactive e-learning. With coding challenges, quizzes and exams, you test knowledge, make your learning progress transparent and, above all, make learning more fun. Collow offers you a platform with unique options for technical training. Our code editor supports more than 100 programming languages ​​and coding assignments are automatically checked by the system. Collow supports as many workouts as you want and works on any device. No time to develop your own training courses? Our extensive network of freelance tech specialists is ready to develop your training courses. Our specialists have been selected based on technical competence and didactic skills.</t>
        </is>
      </c>
      <c r="U59" s="1" t="inlineStr">
        <is>
          <t>https://drive.google.com/uc?export=view&amp;id=19Te_Ug2MjPmWAFGQfKj9uADqhSxc0zp4</t>
        </is>
      </c>
      <c r="V59" s="1" t="inlineStr">
        <is>
          <t>Unverified</t>
        </is>
      </c>
      <c r="W59" s="1" t="inlineStr">
        <is>
          <t>https://drive.google.com/uc?export=view&amp;id=19Te_Ug2MjPmWAFGQfKj9uADqhSxc0zp4</t>
        </is>
      </c>
      <c r="X59" s="1" t="n"/>
      <c r="Y59" s="10" t="n"/>
      <c r="Z59" s="1" t="n"/>
      <c r="AA59" t="inlineStr">
        <is>
          <t>Yes</t>
        </is>
      </c>
      <c r="AB59" t="inlineStr">
        <is>
          <t>youngcodersnl</t>
        </is>
      </c>
      <c r="AC59" t="inlineStr">
        <is>
          <t>https://www.linkedin.com/company/youngcoders</t>
        </is>
      </c>
      <c r="AD59" t="inlineStr">
        <is>
          <t>https://www.linkedin.com/company/youngcoders</t>
        </is>
      </c>
    </row>
    <row r="60" ht="12.5" customHeight="1">
      <c r="A60" s="6" t="n">
        <v>45362</v>
      </c>
      <c r="B60" s="1" t="inlineStr">
        <is>
          <t>ORG_1887</t>
        </is>
      </c>
      <c r="C60" s="1" t="b">
        <v>1</v>
      </c>
      <c r="D60" s="1" t="inlineStr">
        <is>
          <t>Linguverse</t>
        </is>
      </c>
      <c r="E60" s="10" t="inlineStr">
        <is>
          <t>https://linguverse.com</t>
        </is>
      </c>
      <c r="F60" t="inlineStr">
        <is>
          <t>linguverse.com</t>
        </is>
      </c>
      <c r="G60" s="1" t="inlineStr">
        <is>
          <t>LinguVerse is a dynamic digital language learning platform tailored for K-12 students. It offers a rich array of interactive resources, including activities and projects that align with international standards and foster 21st-century skills like creativity and social responsibility. The platform provides both a comprehensive, ready-made version and customizable options to fit specific educational needs, integrating seamlessly into schools' existing digital environments. With its Learning Management System, educators can easily track students' progress, focusing on essential learning outcomes.
For more detailed information, visit https://linguverse.com</t>
        </is>
      </c>
      <c r="H60" s="1" t="inlineStr">
        <is>
          <t>Dutch EdTech</t>
        </is>
      </c>
      <c r="I60" s="1" t="inlineStr">
        <is>
          <t>English, German</t>
        </is>
      </c>
      <c r="J60" s="1" t="inlineStr">
        <is>
          <t>HAARLEM</t>
        </is>
      </c>
      <c r="K60" s="1" t="inlineStr">
        <is>
          <t>The Netherlands</t>
        </is>
      </c>
      <c r="L60" s="1" t="inlineStr">
        <is>
          <t>Austria, Georgia, Netherlands, Slovenia, Turkey</t>
        </is>
      </c>
      <c r="M60" s="1" t="inlineStr">
        <is>
          <t>6 to 10</t>
        </is>
      </c>
      <c r="N60" s="1" t="inlineStr">
        <is>
          <t>Business to Business, Business to Schools, Business to Government</t>
        </is>
      </c>
      <c r="O60" s="1" t="inlineStr">
        <is>
          <t>Early childhood development (0-5 years), Primary Education, Secondary Education, Higher Education</t>
        </is>
      </c>
      <c r="P60" s="1" t="inlineStr">
        <is>
          <t>Student interfacing</t>
        </is>
      </c>
      <c r="Q60" s="10" t="inlineStr">
        <is>
          <t>Linguverse</t>
        </is>
      </c>
      <c r="R60" t="inlineStr">
        <is>
          <t>LinguVerse, is an innovative, customizable digital language learning system for K-12 and university students, designed to meet diverse educational needs. With a focus on 21st-century skills, it offers a rich mix of interactive resources, aligned with national and international curriculums, across various devices. The platform enables easy progress tracking with an LMS and supports social responsibility projects, offering a comprehensive solution for academic improvement and beyond.</t>
        </is>
      </c>
      <c r="S60" s="10" t="inlineStr">
        <is>
          <t>https://drive.google.com/uc?export=view&amp;id=1nSoDNznA0GLdKwtsnEgt2NEwFe3x2zkI</t>
        </is>
      </c>
      <c r="T60" t="inlineStr">
        <is>
          <t>https://drive.google.com/uc?export=view&amp;id=1nSoDNznA0GLdKwtsnEgt2NEwFe3x2zkI</t>
        </is>
      </c>
      <c r="U60" s="1" t="inlineStr">
        <is>
          <t>https://drive.google.com/uc?export=view&amp;id=1nSoDNznA0GLdKwtsnEgt2NEwFe3x2zkI</t>
        </is>
      </c>
      <c r="V60" s="1" t="inlineStr">
        <is>
          <t>Unverified</t>
        </is>
      </c>
      <c r="W60" s="1" t="inlineStr">
        <is>
          <t>https://drive.google.com/uc?export=view&amp;id=1nSoDNznA0GLdKwtsnEgt2NEwFe3x2zkI</t>
        </is>
      </c>
      <c r="X60" s="1" t="n"/>
      <c r="Y60" s="10" t="n"/>
      <c r="Z60" s="1" t="n"/>
      <c r="AA60" t="inlineStr">
        <is>
          <t>Yes</t>
        </is>
      </c>
      <c r="AB60" t="inlineStr">
        <is>
          <t>https://www.instagram.com/mangododigital/</t>
        </is>
      </c>
      <c r="AC60" t="inlineStr">
        <is>
          <t>https://www.linkedin.com/company/mangodo-digital/</t>
        </is>
      </c>
      <c r="AD60" t="inlineStr">
        <is>
          <t>https://www.linkedin.com/company/mangodo-digital/</t>
        </is>
      </c>
    </row>
    <row r="61" ht="12.5" customHeight="1">
      <c r="A61" s="6" t="n">
        <v>45358</v>
      </c>
      <c r="B61" s="1" t="inlineStr">
        <is>
          <t>ORG_1231</t>
        </is>
      </c>
      <c r="C61" s="1" t="b">
        <v>1</v>
      </c>
      <c r="D61" s="1" t="inlineStr">
        <is>
          <t>ChatLicense</t>
        </is>
      </c>
      <c r="E61" s="10" t="inlineStr">
        <is>
          <t>www.chatlicense.com</t>
        </is>
      </c>
      <c r="F61" t="inlineStr">
        <is>
          <t>chatlicense.com</t>
        </is>
      </c>
      <c r="G61" s="1" t="inlineStr">
        <is>
          <t>ChatLicense is your guide in online life. We help navigate kids and their parents in one family app. Together you will discover the online world that comes along with the first smartphone of your child. Are you ready to outsmart your phone? 
We are setting the new standard for productive and educational conversations from the moment children start using their first smartphone, we aim to make a lasting impact on the lives of families worldwide.</t>
        </is>
      </c>
      <c r="H61" s="1" t="inlineStr">
        <is>
          <t>Dutch EdTech</t>
        </is>
      </c>
      <c r="I61" s="1" t="inlineStr">
        <is>
          <t>Dutch, English</t>
        </is>
      </c>
      <c r="J61" s="1" t="inlineStr">
        <is>
          <t>ROTTERDAM</t>
        </is>
      </c>
      <c r="K61" s="1" t="inlineStr">
        <is>
          <t>The Netherlands</t>
        </is>
      </c>
      <c r="L61" s="1" t="inlineStr">
        <is>
          <t>Austria, Belgium, Croatia, Cyprus, Denmark, Finland, France, Germany, Greece, Ireland, Italy, Luxembourg, Netherlands, Portugal, Slovakia, Slovenia, Spain, Sweden, Switzerland, United Kingdom</t>
        </is>
      </c>
      <c r="M61" s="1" t="inlineStr">
        <is>
          <t>3 to 5</t>
        </is>
      </c>
      <c r="N61" s="1" t="inlineStr">
        <is>
          <t>Business to Business, Business to Schools, Business to Consumer, Business to Government</t>
        </is>
      </c>
      <c r="O61" s="1" t="inlineStr">
        <is>
          <t>Primary Education, Secondary Education</t>
        </is>
      </c>
      <c r="P61" s="1" t="inlineStr">
        <is>
          <t>System/Administrative, Student interfacing</t>
        </is>
      </c>
      <c r="Q61" s="10" t="inlineStr">
        <is>
          <t>ChatLicense</t>
        </is>
      </c>
      <c r="R61" t="inlineStr">
        <is>
          <t>ChatLicense is an online guide for kids &amp; parents. It's the new standarrd start whenever a child gets their first phone. It acts as an exam app for kids where they learn how to behave online with the experience game through education, training &amp; modeling. For parents it includes in one platform all the information they need to know about the online world of their kids. An extensive App Guide, the latest news and conversation starters to connect.</t>
        </is>
      </c>
      <c r="S61" s="10" t="inlineStr">
        <is>
          <t>https://drive.google.com/uc?export=view&amp;id=19HMKy6oLFZxKEdC7uEXkiS3-7CQp7vmm</t>
        </is>
      </c>
      <c r="T61" t="inlineStr">
        <is>
          <t>https://drive.google.com/uc?export=view&amp;id=19HMKy6oLFZxKEdC7uEXkiS3-7CQp7vmm</t>
        </is>
      </c>
      <c r="U61" s="1" t="inlineStr">
        <is>
          <t>https://drive.google.com/uc?export=view&amp;id=19HMKy6oLFZxKEdC7uEXkiS3-7CQp7vmm</t>
        </is>
      </c>
      <c r="V61" s="1" t="inlineStr">
        <is>
          <t>Unverified</t>
        </is>
      </c>
      <c r="Y61" s="10" t="n"/>
      <c r="Z61" s="1" t="n"/>
      <c r="AA61" t="inlineStr">
        <is>
          <t>Yes</t>
        </is>
      </c>
      <c r="AB61" t="inlineStr">
        <is>
          <t>https://www.instagram.com/chatlicense</t>
        </is>
      </c>
      <c r="AC61" t="inlineStr">
        <is>
          <t>https://www.linkedin.com/company/chatlicense/</t>
        </is>
      </c>
      <c r="AD61" t="inlineStr">
        <is>
          <t>https://www.linkedin.com/company/chatlicense/</t>
        </is>
      </c>
    </row>
    <row r="62" ht="12.5" customHeight="1">
      <c r="A62" s="6" t="n">
        <v>45355</v>
      </c>
      <c r="B62" s="1" t="inlineStr">
        <is>
          <t>ORG_2303</t>
        </is>
      </c>
      <c r="C62" s="1" t="b">
        <v>1</v>
      </c>
      <c r="D62" s="1" t="inlineStr">
        <is>
          <t>SparkOn</t>
        </is>
      </c>
      <c r="E62" s="10" t="inlineStr">
        <is>
          <t>https://sparkon.org</t>
        </is>
      </c>
      <c r="F62" t="inlineStr">
        <is>
          <t>sparkon.org</t>
        </is>
      </c>
      <c r="G62" s="1" t="inlineStr">
        <is>
          <t>SparkOn is an intergenerational community for sharing knowledge, practical experiences and life skills, LIVE, online or in-person. 
Our platform is an inclusive space that empowers people to share their knowledge, engages them through meaningful connections and enriches them through live, interactive learning.
Everyone – no matter how old they are, where they come from or what their experiences – can contribute something meaningful and have a positive impact on others. SparkOn plays an active role in helping people find their purpose and empowering them through workshops to (re)discover their talents.</t>
        </is>
      </c>
      <c r="H62" s="1" t="inlineStr">
        <is>
          <t>Dutch EdTech</t>
        </is>
      </c>
      <c r="I62" s="1" t="inlineStr">
        <is>
          <t>English, Dutch</t>
        </is>
      </c>
      <c r="J62" s="1" t="inlineStr">
        <is>
          <t>Amsterdam</t>
        </is>
      </c>
      <c r="K62" s="1" t="inlineStr">
        <is>
          <t>The Netherlands</t>
        </is>
      </c>
      <c r="L62" s="1" t="inlineStr">
        <is>
          <t>Netherlands</t>
        </is>
      </c>
      <c r="M62" s="1" t="inlineStr">
        <is>
          <t>0 to 2</t>
        </is>
      </c>
      <c r="N62" s="1" t="inlineStr">
        <is>
          <t>Business to Business, Business to Schools, Business to Consumer, Business to Government</t>
        </is>
      </c>
      <c r="O62" s="1" t="inlineStr">
        <is>
          <t>Lifelong learning/Adult education</t>
        </is>
      </c>
      <c r="P62" s="1" t="inlineStr">
        <is>
          <t>Student interfacing</t>
        </is>
      </c>
      <c r="Q62" s="10" t="inlineStr">
        <is>
          <t>https://twitter.com/SparkOn_org</t>
        </is>
      </c>
      <c r="R62" s="10" t="inlineStr">
        <is>
          <t>https://www.linkedin.com/company/spark-on</t>
        </is>
      </c>
      <c r="S62" s="10" t="inlineStr">
        <is>
          <t>https://drive.google.com/uc?export=view&amp;id=1fanAQlpkGrvrX-axIxK4WUj9hkYG47ST</t>
        </is>
      </c>
      <c r="T62" t="inlineStr">
        <is>
          <t>https://drive.google.com/uc?export=view&amp;id=1fanAQlpkGrvrX-axIxK4WUj9hkYG47ST</t>
        </is>
      </c>
      <c r="U62" s="1" t="inlineStr">
        <is>
          <t>https://drive.google.com/uc?export=view&amp;id=1fanAQlpkGrvrX-axIxK4WUj9hkYG47ST</t>
        </is>
      </c>
      <c r="V62" s="1" t="inlineStr">
        <is>
          <t>Unverified</t>
        </is>
      </c>
      <c r="Y62" s="10" t="n"/>
      <c r="Z62" s="1" t="n"/>
      <c r="AA62" t="inlineStr">
        <is>
          <t>Yes</t>
        </is>
      </c>
      <c r="AB62" t="inlineStr">
        <is>
          <t>https://www.instagram.com/sparkon_org/</t>
        </is>
      </c>
      <c r="AC62" t="inlineStr">
        <is>
          <t>https://twitter.com/SparkOn_org</t>
        </is>
      </c>
      <c r="AD62" t="inlineStr">
        <is>
          <t>https://www.linkedin.com/company/spark-on</t>
        </is>
      </c>
    </row>
    <row r="63" ht="12.5" customHeight="1">
      <c r="A63" s="6" t="n">
        <v>45314</v>
      </c>
      <c r="B63" s="1" t="inlineStr">
        <is>
          <t>ORG_1795</t>
        </is>
      </c>
      <c r="C63" s="1" t="b">
        <v>1</v>
      </c>
      <c r="D63" s="1" t="inlineStr">
        <is>
          <t>Kurve</t>
        </is>
      </c>
      <c r="E63" s="10" t="inlineStr">
        <is>
          <t>www.kurve.nl</t>
        </is>
      </c>
      <c r="F63" t="inlineStr">
        <is>
          <t>kurve.nl</t>
        </is>
      </c>
      <c r="G63" s="1" t="inlineStr">
        <is>
          <t>We are Kurve, innovative creators of online learning platforms. With our intelligent programs, every student grows at their own level and pace in math and languages. Everyone follows their own learning curve!</t>
        </is>
      </c>
      <c r="H63" s="1" t="inlineStr">
        <is>
          <t>Dutch EdTech</t>
        </is>
      </c>
      <c r="I63" s="1" t="inlineStr">
        <is>
          <t>Dutch</t>
        </is>
      </c>
      <c r="J63" s="1" t="inlineStr">
        <is>
          <t>Uithoorn</t>
        </is>
      </c>
      <c r="K63" s="1" t="inlineStr">
        <is>
          <t>The Netherlands</t>
        </is>
      </c>
      <c r="L63" s="1" t="inlineStr">
        <is>
          <t>Belgium, Netherlands</t>
        </is>
      </c>
      <c r="M63" s="1" t="inlineStr">
        <is>
          <t>11 to 50</t>
        </is>
      </c>
      <c r="N63" s="1" t="inlineStr">
        <is>
          <t>Business to Business, Business to Government</t>
        </is>
      </c>
      <c r="O63" s="1" t="inlineStr">
        <is>
          <t>Primary Education, Secondary Education</t>
        </is>
      </c>
      <c r="P63" s="1" t="inlineStr">
        <is>
          <t>Teacher interfacing, System/Administrative</t>
        </is>
      </c>
      <c r="Q63" s="10" t="inlineStr">
        <is>
          <t>Numo</t>
        </is>
      </c>
      <c r="R63" t="inlineStr">
        <is>
          <t>Numo is an online learning tool that allows students to practice the basic skills of Dutch, mathematics, English, and German adaptively until they have reached the intended level.
Adaptive means that the program automatically adjusts to the practice behavior of students. If a student is proficient in a skill, they progress rapidly. For parts they find challenging, the program slows down, providing the student with extra exercises and more feedback. Numo can draw on practice material up to the 4th grade of primary school. A student excelling in a skill can continue practicing up to level 3F or even 4F (high school level). That is the great strength of adaptive software!
By mastering the basic skills with Numo, you as a teacher have more time for other enjoyable activities, such as individual guidance, theme assignments, interactive forms of work, practicing writing skills, projects related to mathematics, debating, and literature.</t>
        </is>
      </c>
      <c r="S63" s="10" t="inlineStr">
        <is>
          <t>https://drive.google.com/uc?export=view&amp;id=1-rkRNoTzCFTRmkSCR2zqG84E1Sos-fYy</t>
        </is>
      </c>
      <c r="T63" t="inlineStr">
        <is>
          <t>https://drive.google.com/uc?export=view&amp;id=1-rkRNoTzCFTRmkSCR2zqG84E1Sos-fYy</t>
        </is>
      </c>
      <c r="U63" s="1" t="inlineStr">
        <is>
          <t>https://drive.google.com/uc?export=view&amp;id=1-rkRNoTzCFTRmkSCR2zqG84E1Sos-fYy</t>
        </is>
      </c>
      <c r="V63" s="1" t="inlineStr">
        <is>
          <t>Unverified</t>
        </is>
      </c>
      <c r="Y63" s="10" t="n"/>
      <c r="Z63" s="1" t="n"/>
      <c r="AA63" t="inlineStr">
        <is>
          <t>Yes</t>
        </is>
      </c>
      <c r="AB63" t="inlineStr">
        <is>
          <t>https://www.instagram.com/kurve.nl/</t>
        </is>
      </c>
      <c r="AC63" t="inlineStr">
        <is>
          <t>https://www.linkedin.com/search/results/all/?fetchDeterministicClustersOnly=true&amp;heroEntityKey=urn%3Ali%3Aorganization%3A3090886&amp;keywords=kurve&amp;origin=RICH_QUERY_TYPEAHEAD_HISTORY&amp;position=0&amp;searchId=4f2d41e7-f5e2-453c-bcb3-c6e12091e03a&amp;sid=iZd&amp;spellCorrectionEnabled=true</t>
        </is>
      </c>
      <c r="AD63" t="inlineStr">
        <is>
          <t>https://www.linkedin.com/search/results/all/?fetchDeterministicClustersOnly=true&amp;heroEntityKey=urn%3Ali%3Aorganization%3A3090886&amp;keywords=kurve&amp;origin=RICH_QUERY_TYPEAHEAD_HISTORY&amp;position=0&amp;searchId=4f2d41e7-f5e2-453c-bcb3-c6e12091e03a&amp;sid=iZd&amp;spellCorrectionEnabled=true</t>
        </is>
      </c>
    </row>
    <row r="64" ht="12.5" customHeight="1">
      <c r="A64" s="6" t="n">
        <v>45239</v>
      </c>
      <c r="B64" s="1" t="inlineStr">
        <is>
          <t>ORG_2012</t>
        </is>
      </c>
      <c r="C64" s="1" t="b">
        <v>1</v>
      </c>
      <c r="D64" s="1" t="inlineStr">
        <is>
          <t>Mysoly</t>
        </is>
      </c>
      <c r="E64" s="10" t="inlineStr">
        <is>
          <t>www.mysoly.nl</t>
        </is>
      </c>
      <c r="F64" t="inlineStr">
        <is>
          <t>mysoly.nl</t>
        </is>
      </c>
      <c r="G64" s="1" t="inlineStr">
        <is>
          <t>Mysoly is developing AI-based E-learning solutions, especially in the field of integration and language learning. Between 2021 and 2023, the start-up received €150,000 in two investment rounds, including the idea phase. The start-up was also awarded the AWS ed-tech start-up award in 2023 ($ 15.000 funding).
Currently, they have two different e-learning solutions called build and test master. Building on these solutions, nt2oefening.nl is an AI-powered testing platform that simulates Dutch language tests. BOOM Uitgevers, one of the largest publishing houses in the Dutch language field, is the platform's investing marketing partner. They have also started negotiations for a marketing partner for the German version of the platform.
In the short term, their goal is to continue building platforms for end-users and governmental bodies in the language and integration field based on their solutions.</t>
        </is>
      </c>
      <c r="H64" s="1" t="inlineStr">
        <is>
          <t>Dutch EdTech</t>
        </is>
      </c>
      <c r="I64" s="1" t="inlineStr">
        <is>
          <t>All</t>
        </is>
      </c>
      <c r="J64" s="1" t="inlineStr">
        <is>
          <t>NUENEN</t>
        </is>
      </c>
      <c r="K64" s="1" t="inlineStr">
        <is>
          <t>The Netherlands</t>
        </is>
      </c>
      <c r="L64" s="1" t="inlineStr">
        <is>
          <t>Germany, Netherlands</t>
        </is>
      </c>
      <c r="M64" s="1" t="inlineStr">
        <is>
          <t>11 to 50</t>
        </is>
      </c>
      <c r="N64" s="1" t="inlineStr">
        <is>
          <t>Business to Business, Business to Schools, Business to Consumer, Business to Government</t>
        </is>
      </c>
      <c r="O64" s="1" t="inlineStr">
        <is>
          <t>Corporate Training, Lifelong learning/Adult education</t>
        </is>
      </c>
      <c r="P64" s="1" t="inlineStr">
        <is>
          <t>Teacher interfacing, System/Administrative, Student interfacing</t>
        </is>
      </c>
      <c r="Q64" t="inlineStr">
        <is>
          <t>Mysoly Build Master</t>
        </is>
      </c>
      <c r="R64" t="inlineStr">
        <is>
          <t>Building E-Learning platforms online like Coursera or Udemy. Fully customizable and can be designed up to your unique needs.</t>
        </is>
      </c>
      <c r="S64" s="10" t="inlineStr">
        <is>
          <t>Mysoly Test Master</t>
        </is>
      </c>
      <c r="T64" t="inlineStr">
        <is>
          <t>AI-based building online testing platform especially in language learning and in-company use.</t>
        </is>
      </c>
      <c r="U64" s="1" t="inlineStr">
        <is>
          <t>https://drive.google.com/uc?export=view&amp;id=1eHc5zzooktsrLRbpT-9KtldOoIjnun6g</t>
        </is>
      </c>
      <c r="V64" s="1" t="inlineStr">
        <is>
          <t>Unverified</t>
        </is>
      </c>
      <c r="W64" s="1" t="inlineStr">
        <is>
          <t>https://drive.google.com/uc?export=view&amp;id=1eHc5zzooktsrLRbpT-9KtldOoIjnun6g</t>
        </is>
      </c>
      <c r="X64" s="1" t="n"/>
      <c r="Y64" s="10" t="n"/>
      <c r="Z64" s="1" t="n"/>
      <c r="AA64" t="inlineStr">
        <is>
          <t>Yes</t>
        </is>
      </c>
      <c r="AC64" t="inlineStr">
        <is>
          <t>https://www.linkedin.com/company/82955558/admin/feed/posts/</t>
        </is>
      </c>
      <c r="AD64" t="inlineStr">
        <is>
          <t>https://www.linkedin.com/company/82955558/admin/feed/posts/</t>
        </is>
      </c>
    </row>
    <row r="65" ht="12.5" customHeight="1">
      <c r="A65" s="6" t="n">
        <v>45238</v>
      </c>
      <c r="B65" s="1" t="inlineStr">
        <is>
          <t>ORG_1173</t>
        </is>
      </c>
      <c r="C65" s="1" t="b">
        <v>1</v>
      </c>
      <c r="D65" s="1" t="inlineStr">
        <is>
          <t>Blockbook</t>
        </is>
      </c>
      <c r="E65" s="10" t="inlineStr">
        <is>
          <t>blockbook.nl</t>
        </is>
      </c>
      <c r="F65" t="inlineStr">
        <is>
          <t>blockbook.nl</t>
        </is>
      </c>
      <c r="G65" s="1" t="inlineStr">
        <is>
          <t>We believe in technology to change education for the better, we act on that by creating software that generates personalized and interactive eLearning modules, so teachers do not have to make them and can focus on teaching.</t>
        </is>
      </c>
      <c r="H65" s="1" t="inlineStr">
        <is>
          <t>Dutch EdTech</t>
        </is>
      </c>
      <c r="I65" s="1" t="inlineStr">
        <is>
          <t>Dutch, English, (for, now)</t>
        </is>
      </c>
      <c r="J65" s="1" t="inlineStr">
        <is>
          <t>Leiden</t>
        </is>
      </c>
      <c r="K65" s="1" t="inlineStr">
        <is>
          <t>The Netherlands</t>
        </is>
      </c>
      <c r="L65" s="1" t="inlineStr">
        <is>
          <t>Netherlands</t>
        </is>
      </c>
      <c r="M65" s="1" t="inlineStr">
        <is>
          <t>3 to 5</t>
        </is>
      </c>
      <c r="N65" s="1" t="inlineStr">
        <is>
          <t>Business to Business, Business to Schools</t>
        </is>
      </c>
      <c r="O65" s="1" t="inlineStr">
        <is>
          <t>Lifelong learning/Adult education, Vocational Education and Training (VET), Higher Education</t>
        </is>
      </c>
      <c r="P65" s="1" t="inlineStr">
        <is>
          <t>Student interfacing, Teacher interfacing</t>
        </is>
      </c>
      <c r="Q65" t="inlineStr">
        <is>
          <t>Automated digital learning environment</t>
        </is>
      </c>
      <c r="R65" t="inlineStr">
        <is>
          <t>software that generates personalized and interactive eLearning modules, so teachers do not have to make them and can focus on teaching.</t>
        </is>
      </c>
      <c r="S65" s="10" t="inlineStr">
        <is>
          <t>https://drive.google.com/uc?export=view&amp;id=1Yb95an2gddwNJA6A34PnCBIiQv2N2tQv</t>
        </is>
      </c>
      <c r="T65" t="inlineStr">
        <is>
          <t>https://drive.google.com/uc?export=view&amp;id=1Yb95an2gddwNJA6A34PnCBIiQv2N2tQv</t>
        </is>
      </c>
      <c r="U65" s="1" t="inlineStr">
        <is>
          <t>https://drive.google.com/uc?export=view&amp;id=1Yb95an2gddwNJA6A34PnCBIiQv2N2tQv</t>
        </is>
      </c>
      <c r="V65" s="1" t="inlineStr">
        <is>
          <t>Unverified</t>
        </is>
      </c>
      <c r="Y65" s="10" t="n"/>
      <c r="Z65" s="1" t="n"/>
      <c r="AA65" t="inlineStr">
        <is>
          <t>Yes</t>
        </is>
      </c>
      <c r="AC65" t="inlineStr">
        <is>
          <t>https://www.linkedin.com/company/98543805/</t>
        </is>
      </c>
      <c r="AD65" t="inlineStr">
        <is>
          <t>https://www.linkedin.com/company/98543805/</t>
        </is>
      </c>
    </row>
    <row r="66" ht="12.5" customHeight="1">
      <c r="A66" s="6" t="n">
        <v>45232</v>
      </c>
      <c r="B66" s="1" t="inlineStr">
        <is>
          <t>ORG_2135</t>
        </is>
      </c>
      <c r="C66" s="1" t="b">
        <v>1</v>
      </c>
      <c r="D66" s="1" t="inlineStr">
        <is>
          <t>PsyPhy</t>
        </is>
      </c>
      <c r="E66" s="10" t="inlineStr">
        <is>
          <t>www.psyphy.io</t>
        </is>
      </c>
      <c r="F66" t="inlineStr">
        <is>
          <t>psyphy.io</t>
        </is>
      </c>
      <c r="G66" s="1" t="inlineStr">
        <is>
          <t>At PsyPhy, our mission is to revolutionize neurophysiological education and research by providing accessible and innovative solutions. We are dedicated to empowering students, educators, and researchers with cutting-edge psycho-physiological technologies, extensive educational platforms, and exceptional support. By bridging the gap between theory and practice, we strive to inspire curiosity, deepen understanding, and unlock the full potential of neuroscientific exploration. Our mission is driven by a commitment to excellence, innovation, and the advancement of knowledge for the betterment of individuals and society as a whole.</t>
        </is>
      </c>
      <c r="H66" s="1" t="inlineStr">
        <is>
          <t>Dutch EdTech</t>
        </is>
      </c>
      <c r="I66" s="1" t="inlineStr">
        <is>
          <t>English, Dutch, German</t>
        </is>
      </c>
      <c r="J66" s="1" t="inlineStr">
        <is>
          <t>AMSTERDAM</t>
        </is>
      </c>
      <c r="K66" s="1" t="inlineStr">
        <is>
          <t>The Netherlands</t>
        </is>
      </c>
      <c r="L6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66" s="1" t="inlineStr">
        <is>
          <t>3 to 5</t>
        </is>
      </c>
      <c r="N66" s="1" t="inlineStr">
        <is>
          <t>Business to Business, Business to Schools, Business to Consumer, Business to Government</t>
        </is>
      </c>
      <c r="O66" s="1" t="inlineStr">
        <is>
          <t>Secondary Education, Vocational Education and Training (VET), Higher Education</t>
        </is>
      </c>
      <c r="P66" s="1" t="inlineStr">
        <is>
          <t>Teacher interfacing, System/Administrative</t>
        </is>
      </c>
      <c r="Q66" s="1" t="inlineStr">
        <is>
          <t>Mobile Lab</t>
        </is>
      </c>
      <c r="R66" s="1" t="inlineStr">
        <is>
          <t>The Complete Solution to Empower Scientific Inquiry.
Say goodbye to the hassle of sourcing individual components and embrace the convenience of having a complete research solution at your fingertips. Take your neuroscientific research anywhere with PsyPhy’s portable Mobile Lab. Its compact design and easy layout make it perfect for transport, giving you the freedom to conduct research in diverse settings. Whether you’re in the lab, the classroom, or conducting field studies, our extensive suitcase provides you with everything needed to conduct cutting-edge investigations in the field of EEG, EOG, EMG, ECG, and GSR research. Say goodbye to the hassle of sourcing individual components and embrace the convenience of having a complete research solution at your fingertips.</t>
        </is>
      </c>
      <c r="S66" s="10" t="inlineStr">
        <is>
          <t>EEG Amplifier</t>
        </is>
      </c>
      <c r="T66" t="inlineStr">
        <is>
          <t>Unlock the Power of Neurotechnology Research.
Designed for educational environments, our state-of-the-art device offers unmatched precision and accessibility. With a user-friendly interface and comprehensive educational suite, our amplifier seamlessly integrates into curricula, enabling students to explore the complexities of the human mind effortlessly. 
Our amplifier goes beyond EEG. It also records vital physiological signals like ERPs, ECG for heart activity, EOG for eye movements, EMC for muscle movements, and GSR for skin conductivity. This encompassing functionality fuels exploration of the brain’s connections to physiological responses and cognitive functions.</t>
        </is>
      </c>
      <c r="U66" s="1" t="inlineStr">
        <is>
          <t>https://drive.google.com/uc?export=view&amp;id=1VQjEWqy3hX5HdvlDLdcJaIjth0LTaKTS</t>
        </is>
      </c>
      <c r="V66" s="1" t="inlineStr">
        <is>
          <t>Unverified</t>
        </is>
      </c>
      <c r="W66" s="1" t="inlineStr">
        <is>
          <t>https://drive.google.com/uc?export=view&amp;id=1VQjEWqy3hX5HdvlDLdcJaIjth0LTaKTS</t>
        </is>
      </c>
      <c r="X66" s="1" t="n"/>
      <c r="Y66" s="10" t="n"/>
      <c r="Z66" s="1" t="n"/>
      <c r="AA66" t="inlineStr">
        <is>
          <t>Yes</t>
        </is>
      </c>
      <c r="AC66" t="inlineStr">
        <is>
          <t>https://www.linkedin.com/company/psyphyamsterdam/</t>
        </is>
      </c>
      <c r="AD66" t="inlineStr">
        <is>
          <t>https://www.linkedin.com/company/psyphyamsterdam/</t>
        </is>
      </c>
    </row>
    <row r="67" ht="12.5" customHeight="1">
      <c r="A67" s="6" t="n">
        <v>45370</v>
      </c>
      <c r="B67" s="1" t="inlineStr">
        <is>
          <t>ORG_1115</t>
        </is>
      </c>
      <c r="C67" s="1" t="b">
        <v>1</v>
      </c>
      <c r="D67" s="1" t="inlineStr">
        <is>
          <t>ATERMON</t>
        </is>
      </c>
      <c r="E67" s="10" t="inlineStr">
        <is>
          <t>https://www.atermon.nl</t>
        </is>
      </c>
      <c r="F67" t="inlineStr">
        <is>
          <t>atermon.nl</t>
        </is>
      </c>
      <c r="G67" s="1" t="inlineStr">
        <is>
          <t>We are an educational gaming company. We use gaming to enhance learning and create awareness. From gamified learning to “learnified” gaming.
In today's digital landscape, businesses and education providers are seeking innovative ways to engage their audience and leave a lasting impact. Knowledge games can serve this well.
We use the power of games with creative thinking and digital innovation to help our customers communicate better with their audiences.
Our mission is to provide the most engaging means of capturing the attention of target audiences through interactive experiences combining entertainment and learning. We use games to fulfil our mission as they proven to be highly effective in:
- Enhancing knowledge retention
- Nurturing critical thinking
- Producing learning from joy</t>
        </is>
      </c>
      <c r="H67" s="1" t="inlineStr">
        <is>
          <t>Dutch EdTech</t>
        </is>
      </c>
      <c r="I67" s="1" t="inlineStr">
        <is>
          <t>English</t>
        </is>
      </c>
      <c r="J67" s="1" t="inlineStr">
        <is>
          <t>ROTTERDAM</t>
        </is>
      </c>
      <c r="K67" s="1" t="inlineStr">
        <is>
          <t>The Netherlands</t>
        </is>
      </c>
      <c r="L67" s="1" t="inlineStr">
        <is>
          <t>Cyprus, France, Germany, Greece, Netherlands, Poland, Spain, United Kingdom</t>
        </is>
      </c>
      <c r="M67" s="1" t="inlineStr">
        <is>
          <t>11 to 50</t>
        </is>
      </c>
      <c r="N67" s="1" t="inlineStr">
        <is>
          <t>Business to Business, Business to Consumer, Business to Government, Business to Schools</t>
        </is>
      </c>
      <c r="O67" s="1" t="inlineStr">
        <is>
          <t>Primary Education, Secondary Education, Vocational Education and Training (VET), Higher Education</t>
        </is>
      </c>
      <c r="P67" s="1" t="inlineStr">
        <is>
          <t>System/Administrative, Student interfacing, Teacher interfacing</t>
        </is>
      </c>
      <c r="Q67" s="1" t="inlineStr">
        <is>
          <t>Minecraft Escape Rooms</t>
        </is>
      </c>
      <c r="R67" s="1" t="inlineStr">
        <is>
          <t>Our Escape Rooms offering covers:
- Creation of custom Escape Rooms for any knowledge subject.
- Customisation of existing Escape Room templates based on customer needs.
- Provision of Escape Room templates and resources for creating your own Escape Room series.</t>
        </is>
      </c>
      <c r="S67" s="10" t="inlineStr">
        <is>
          <t>https://drive.google.com/uc?export=view&amp;id=19Vb79HH-Z5obvWMmo3neHJhmjZikg9ME</t>
        </is>
      </c>
      <c r="T67" t="inlineStr">
        <is>
          <t>https://drive.google.com/uc?export=view&amp;id=19Vb79HH-Z5obvWMmo3neHJhmjZikg9ME</t>
        </is>
      </c>
      <c r="U67" s="1" t="inlineStr">
        <is>
          <t>https://drive.google.com/uc?export=view&amp;id=19Vb79HH-Z5obvWMmo3neHJhmjZikg9ME</t>
        </is>
      </c>
      <c r="V67" s="1" t="inlineStr">
        <is>
          <t>Unverified</t>
        </is>
      </c>
      <c r="Y67" s="10" t="n"/>
      <c r="Z67" s="1" t="n"/>
      <c r="AA67" t="inlineStr">
        <is>
          <t>Yes</t>
        </is>
      </c>
      <c r="AB67" t="inlineStr">
        <is>
          <t>@atermonnl</t>
        </is>
      </c>
      <c r="AC67" t="inlineStr">
        <is>
          <t>https://www.linkedin.com/company/atermon-rotterdam</t>
        </is>
      </c>
      <c r="AD67" t="inlineStr">
        <is>
          <t>https://www.linkedin.com/company/atermon-rotterdam</t>
        </is>
      </c>
    </row>
    <row r="68" ht="12.5" customHeight="1">
      <c r="A68" s="6" t="n">
        <v>45182</v>
      </c>
      <c r="B68" s="1" t="inlineStr">
        <is>
          <t>ORG_1178</t>
        </is>
      </c>
      <c r="C68" s="1" t="b">
        <v>1</v>
      </c>
      <c r="D68" s="1" t="inlineStr">
        <is>
          <t>BlueSkills</t>
        </is>
      </c>
      <c r="E68" s="10" t="inlineStr">
        <is>
          <t>www.blueskills.nl</t>
        </is>
      </c>
      <c r="F68" t="inlineStr">
        <is>
          <t>blueskills.nl</t>
        </is>
      </c>
      <c r="G68" s="1" t="inlineStr">
        <is>
          <t>Blueskills is an innovative player in the job market specializing in filling technical vacancies through advanced Edtech solutions. Their unique approach combines technology and education to find the perfect match between technical professionals and employers.
One standout feature of Blueskills is the "learning vacancy" - a groundbreaking concept that integrates e-learning, assessments, and a virtual 3D factory environment. This allows them to assess candidates objectively and thoroughly before recommending them to potential employers. With Blueskills, businesses can be confident in hiring candidates who not only have the right skills but have also demonstrated their abilities in a real-world simulated setting, making the hiring process more efficient and effective.</t>
        </is>
      </c>
      <c r="H68" s="1" t="inlineStr">
        <is>
          <t>Dutch EdTech</t>
        </is>
      </c>
      <c r="I68" s="1" t="inlineStr">
        <is>
          <t>Dutch, -, English</t>
        </is>
      </c>
      <c r="J68" s="1" t="inlineStr">
        <is>
          <t>HEERENVEEN</t>
        </is>
      </c>
      <c r="K68" s="1" t="inlineStr">
        <is>
          <t>The Netherlands</t>
        </is>
      </c>
      <c r="L68" s="1" t="inlineStr">
        <is>
          <t>Netherlands, Sweden, United Kingdom</t>
        </is>
      </c>
      <c r="M68" s="1" t="inlineStr">
        <is>
          <t>3 to 5</t>
        </is>
      </c>
      <c r="N68" s="1" t="inlineStr">
        <is>
          <t>Business to Business, Business to Consumer</t>
        </is>
      </c>
      <c r="O68" s="1" t="inlineStr">
        <is>
          <t>Lifelong learning/Adult education</t>
        </is>
      </c>
      <c r="P68" s="1" t="inlineStr">
        <is>
          <t>System/Administrative</t>
        </is>
      </c>
      <c r="Q68" s="10" t="inlineStr">
        <is>
          <t>learning vacancy</t>
        </is>
      </c>
      <c r="R68" t="inlineStr">
        <is>
          <t>a groundbreaking concept that integrates e-learning, assessments, and a virtual 3D factory environment. This allows them to assess candidates objectively and thoroughly before recommending them to potential employers. With Blueskills, businesses can be confident in hiring candidates who not only have the right skills but have also demonstrated their abilities in a real-world simulated setting, making the hiring process more efficient and effective.</t>
        </is>
      </c>
      <c r="S68" s="10" t="inlineStr">
        <is>
          <t>https://drive.google.com/uc?export=view&amp;id=14JLKp2AkA-4C8Q4RHdBJ-eOHKMZ8IIg-</t>
        </is>
      </c>
      <c r="T68" t="inlineStr">
        <is>
          <t>https://drive.google.com/uc?export=view&amp;id=14JLKp2AkA-4C8Q4RHdBJ-eOHKMZ8IIg-</t>
        </is>
      </c>
      <c r="U68" s="1" t="inlineStr">
        <is>
          <t>https://drive.google.com/uc?export=view&amp;id=14JLKp2AkA-4C8Q4RHdBJ-eOHKMZ8IIg-</t>
        </is>
      </c>
      <c r="V68" s="1" t="inlineStr">
        <is>
          <t>Unverified</t>
        </is>
      </c>
      <c r="Y68" s="10" t="n"/>
      <c r="Z68" s="1" t="n"/>
      <c r="AA68" t="inlineStr">
        <is>
          <t>Yes</t>
        </is>
      </c>
      <c r="AB68" t="inlineStr">
        <is>
          <t>https://www.google.com/url?sa=t&amp;rct=j&amp;q=&amp;esrc=s&amp;source=web&amp;cd=&amp;cad=rja&amp;uact=8&amp;ved=2ahUKEwiJnL2ShImBAxUTrKQKHS17CkMQFnoECBYQAQ&amp;url=https%3A%2F%2Fwww.instagram.com%2Fblueskillsnederland%2F&amp;usg=AOvVaw3OCHsS8CbdyCa7rKlrnX6b&amp;opi=89978449</t>
        </is>
      </c>
      <c r="AC68" t="inlineStr">
        <is>
          <t>https://www.google.com/url?sa=t&amp;rct=j&amp;q=&amp;esrc=s&amp;source=web&amp;cd=&amp;cad=rja&amp;uact=8&amp;ved=2ahUKEwjx_o6IhImBAxUWxQIHHd27A-IQFnoECA0QAQ&amp;url=https%3A%2F%2Fnl.linkedin.com%2Fcompany%2Fblueskills&amp;usg=AOvVaw0fgBQky32Abs-DLGP8oGEV&amp;opi=89978449</t>
        </is>
      </c>
      <c r="AD68" t="inlineStr">
        <is>
          <t>https://www.google.com/url?sa=t&amp;rct=j&amp;q=&amp;esrc=s&amp;source=web&amp;cd=&amp;cad=rja&amp;uact=8&amp;ved=2ahUKEwjx_o6IhImBAxUWxQIHHd27A-IQFnoECA0QAQ&amp;url=https%3A%2F%2Fnl.linkedin.com%2Fcompany%2Fblueskills&amp;usg=AOvVaw0fgBQky32Abs-DLGP8oGEV&amp;opi=89978449</t>
        </is>
      </c>
    </row>
    <row r="69" ht="12.5" customHeight="1">
      <c r="A69" s="6" t="n">
        <v>45181</v>
      </c>
      <c r="B69" s="1" t="inlineStr">
        <is>
          <t>ORG_1129</t>
        </is>
      </c>
      <c r="C69" s="1" t="b">
        <v>1</v>
      </c>
      <c r="D69" s="1" t="inlineStr">
        <is>
          <t>Avetica</t>
        </is>
      </c>
      <c r="E69" s="10" t="inlineStr">
        <is>
          <t>https://avetica.nl/</t>
        </is>
      </c>
      <c r="F69" t="inlineStr">
        <is>
          <t>avetica.nl</t>
        </is>
      </c>
      <c r="G69" s="1" t="inlineStr">
        <is>
          <t>Avetica is the dedicated Premium Moodle Partner in the Netherlands and Belgium. We offers full Moodle Workplace services for corporate companies, non-profit, higher education as well as small business.</t>
        </is>
      </c>
      <c r="H69" s="1" t="inlineStr">
        <is>
          <t>I'm not part of any EdTech association</t>
        </is>
      </c>
      <c r="J69" s="1" t="inlineStr">
        <is>
          <t>MAASDAM</t>
        </is>
      </c>
      <c r="K69" s="1" t="inlineStr">
        <is>
          <t>The Netherlands</t>
        </is>
      </c>
      <c r="L69" s="1" t="inlineStr">
        <is>
          <t>Belgium, Netherlands</t>
        </is>
      </c>
      <c r="M69" s="1" t="inlineStr">
        <is>
          <t>11 to 50</t>
        </is>
      </c>
      <c r="N69" s="1" t="inlineStr">
        <is>
          <t>Business to Business, Business to Government, Business to Schools</t>
        </is>
      </c>
      <c r="O69" s="1" t="inlineStr">
        <is>
          <t>Higher Education, Corporate Training</t>
        </is>
      </c>
      <c r="P69" s="1" t="inlineStr">
        <is>
          <t>Teacher interfacing, System/Administrative</t>
        </is>
      </c>
      <c r="S69" s="1" t="inlineStr">
        <is>
          <t>https://drive.google.com/uc?export=view&amp;id=1e-Ep0bWYs2lPGR4xKiPT9HqvutJayA8o</t>
        </is>
      </c>
      <c r="T69" t="inlineStr">
        <is>
          <t>https://drive.google.com/uc?export=view&amp;id=1e-Ep0bWYs2lPGR4xKiPT9HqvutJayA8o</t>
        </is>
      </c>
      <c r="U69" s="1" t="inlineStr">
        <is>
          <t>https://drive.google.com/uc?export=view&amp;id=1e-Ep0bWYs2lPGR4xKiPT9HqvutJayA8o</t>
        </is>
      </c>
      <c r="V69" s="1" t="inlineStr">
        <is>
          <t>Unverified</t>
        </is>
      </c>
      <c r="W69" s="1" t="inlineStr">
        <is>
          <t>https://drive.google.com/uc?export=view&amp;id=1e-Ep0bWYs2lPGR4xKiPT9HqvutJayA8o</t>
        </is>
      </c>
      <c r="X69" s="1" t="n"/>
      <c r="Y69" s="10" t="n"/>
      <c r="Z69" s="1" t="n"/>
      <c r="AA69" t="inlineStr">
        <is>
          <t>No</t>
        </is>
      </c>
    </row>
    <row r="70" ht="12.5" customHeight="1">
      <c r="A70" s="6" t="n">
        <v>45181</v>
      </c>
      <c r="B70" s="1" t="inlineStr">
        <is>
          <t>ORG_2297</t>
        </is>
      </c>
      <c r="C70" s="1" t="b">
        <v>1</v>
      </c>
      <c r="D70" s="1" t="inlineStr">
        <is>
          <t>Sourcer</t>
        </is>
      </c>
      <c r="E70" s="10" t="inlineStr">
        <is>
          <t>https://getsourcer.com</t>
        </is>
      </c>
      <c r="F70" t="inlineStr">
        <is>
          <t>getsourcer.com</t>
        </is>
      </c>
      <c r="G70" s="1" t="inlineStr">
        <is>
          <t>Sourcer is an easy-to-use browser extension that aims to educate users on media literacy and make their process of reading news more efficient. We do that by providing insight that broadens readers’ knowledge in a time-saving manner.
We aim to help academia educate students  on media literacy, give them tools to supplement their research, and ultimately contribute to creating a more  open-minded society.</t>
        </is>
      </c>
      <c r="H70" s="1" t="inlineStr">
        <is>
          <t>Dutch EdTech</t>
        </is>
      </c>
      <c r="J70" s="1" t="inlineStr">
        <is>
          <t>DELFT</t>
        </is>
      </c>
      <c r="K70" s="1" t="inlineStr">
        <is>
          <t>The Netherlands</t>
        </is>
      </c>
      <c r="L70" s="1" t="inlineStr">
        <is>
          <t>Netherlands</t>
        </is>
      </c>
      <c r="M70" s="1" t="inlineStr">
        <is>
          <t>0 to 10</t>
        </is>
      </c>
      <c r="N70" s="1" t="inlineStr">
        <is>
          <t>Business to Business</t>
        </is>
      </c>
      <c r="O70" s="1" t="inlineStr">
        <is>
          <t>Higher Education</t>
        </is>
      </c>
      <c r="P70" s="1" t="inlineStr">
        <is>
          <t>Student interfacing, Teacher interfacing, System/Administrative</t>
        </is>
      </c>
      <c r="Q70" t="inlineStr">
        <is>
          <t>Sourcer Browser Extension</t>
        </is>
      </c>
      <c r="R70" t="inlineStr">
        <is>
          <t>Sourcer is an easy-to-use browser extension that aims to educate users on media literacy and make their process of reading news more efficient. We do that by providing insight that broadens readers’ knowledge in a time-saving manner.
We aim to help academia educate students  on media literacy, give them tools to supplement their research, and ultimately contribute to creating a more  open-minded society.</t>
        </is>
      </c>
      <c r="S70" s="10" t="inlineStr">
        <is>
          <t>https://drive.google.com/uc?export=view&amp;id=1TlwrCKAKn1Iwb5U1q9tav-XBPir2n1VS</t>
        </is>
      </c>
      <c r="T70" t="inlineStr">
        <is>
          <t>https://drive.google.com/uc?export=view&amp;id=1TlwrCKAKn1Iwb5U1q9tav-XBPir2n1VS</t>
        </is>
      </c>
      <c r="U70" s="1" t="inlineStr">
        <is>
          <t>https://drive.google.com/uc?export=view&amp;id=1TlwrCKAKn1Iwb5U1q9tav-XBPir2n1VS</t>
        </is>
      </c>
      <c r="V70" s="1" t="inlineStr">
        <is>
          <t>Unverified</t>
        </is>
      </c>
      <c r="W70" s="1" t="inlineStr">
        <is>
          <t>https://drive.google.com/uc?export=view&amp;id=1TlwrCKAKn1Iwb5U1q9tav-XBPir2n1VS</t>
        </is>
      </c>
      <c r="X70" s="1" t="n"/>
      <c r="Y70" s="10" t="n"/>
      <c r="Z70" s="1" t="n"/>
      <c r="AA70" t="inlineStr">
        <is>
          <t>Yes</t>
        </is>
      </c>
      <c r="AC70" t="inlineStr">
        <is>
          <t>https://www.linkedin.com/company/getsourcer</t>
        </is>
      </c>
      <c r="AD70" t="inlineStr">
        <is>
          <t>https://www.linkedin.com/company/getsourcer</t>
        </is>
      </c>
    </row>
    <row r="71" ht="12.5" customHeight="1">
      <c r="A71" s="6" t="n">
        <v>45181</v>
      </c>
      <c r="B71" s="1" t="inlineStr">
        <is>
          <t>ORG_1237</t>
        </is>
      </c>
      <c r="C71" s="1" t="b">
        <v>1</v>
      </c>
      <c r="D71" s="1" t="inlineStr">
        <is>
          <t>chunkx</t>
        </is>
      </c>
      <c r="E71" s="10" t="inlineStr">
        <is>
          <t>https://chunkx.net/</t>
        </is>
      </c>
      <c r="F71" t="inlineStr">
        <is>
          <t>chunkx.net</t>
        </is>
      </c>
      <c r="G71" s="1" t="inlineStr">
        <is>
          <t>Continuous microlearning for all the company's learning measure!
Our microlearning solution chunkx connects all your learning activities into user-specific learning feeds. For this, our content team creates continuous follow-ups and updates for your existing courses, whether eLearning, webinars, face-to-face training, or third-party learning content, at no extra cost. Your employees benefit via email from repetitions adaptively selected for them, regular contributions, and recommendations of the latest articles on relevant learning topics. By doing so, chunkx reinforces its existing measures and ensures a sustainable transfer of learning on the job. Via LTI and REST APIs, chunkx can be connected to your LMS / LXP and can also be used as a stand-alone solution for new content developed by hand or with the support of our AI.</t>
        </is>
      </c>
      <c r="H71" s="1" t="inlineStr">
        <is>
          <t>I'm not part of any EdTech association</t>
        </is>
      </c>
      <c r="J71" s="1" t="inlineStr">
        <is>
          <t>Eindhoven</t>
        </is>
      </c>
      <c r="K71" s="1" t="inlineStr">
        <is>
          <t>The Netherlands</t>
        </is>
      </c>
      <c r="L71" s="1" t="inlineStr">
        <is>
          <t>Austria, Belgium, Germany, Netherlands</t>
        </is>
      </c>
      <c r="M71" s="1" t="inlineStr">
        <is>
          <t>0 to 10</t>
        </is>
      </c>
      <c r="N71" s="1" t="inlineStr">
        <is>
          <t>Business to Business</t>
        </is>
      </c>
      <c r="O71" s="1" t="inlineStr">
        <is>
          <t>Higher Education, Corporate Training, Lifelong learning/Adult education</t>
        </is>
      </c>
      <c r="P71" s="1" t="inlineStr">
        <is>
          <t>System/Administrative</t>
        </is>
      </c>
      <c r="S71" t="inlineStr">
        <is>
          <t>https://drive.google.com/uc?export=view&amp;id=1KYncQoy4JP9bbNFEFNqcgXOuMDMnoqEU</t>
        </is>
      </c>
      <c r="T71" t="inlineStr">
        <is>
          <t>https://drive.google.com/uc?export=view&amp;id=1KYncQoy4JP9bbNFEFNqcgXOuMDMnoqEU</t>
        </is>
      </c>
      <c r="U71" t="inlineStr">
        <is>
          <t>https://drive.google.com/uc?export=view&amp;id=1KYncQoy4JP9bbNFEFNqcgXOuMDMnoqEU</t>
        </is>
      </c>
      <c r="V71" t="inlineStr">
        <is>
          <t>Unverified</t>
        </is>
      </c>
      <c r="Y71" s="10" t="n"/>
      <c r="Z71" s="1" t="n"/>
      <c r="AA71" t="inlineStr">
        <is>
          <t>No</t>
        </is>
      </c>
    </row>
    <row r="72" ht="12.5" customHeight="1">
      <c r="A72" s="6" t="n">
        <v>45181</v>
      </c>
      <c r="B72" s="1" t="inlineStr">
        <is>
          <t>ORG_1329</t>
        </is>
      </c>
      <c r="C72" s="1" t="b">
        <v>1</v>
      </c>
      <c r="D72" s="1" t="inlineStr">
        <is>
          <t>Data Booster</t>
        </is>
      </c>
      <c r="E72" s="10" t="inlineStr">
        <is>
          <t>https://www.databooster.io</t>
        </is>
      </c>
      <c r="F72" t="inlineStr">
        <is>
          <t>databooster.io</t>
        </is>
      </c>
      <c r="G72" s="1" t="inlineStr">
        <is>
          <t>At Data Booster it's our mission to enable data-driven decision making in your organization. With our customized data fluency courses we help every professional to make great decisions fast.</t>
        </is>
      </c>
      <c r="H72" s="1" t="inlineStr">
        <is>
          <t>Dutch EdTech</t>
        </is>
      </c>
      <c r="J72" s="1" t="inlineStr">
        <is>
          <t>Teleportboulevard 130</t>
        </is>
      </c>
      <c r="K72" s="1" t="inlineStr">
        <is>
          <t>The Netherlands</t>
        </is>
      </c>
      <c r="L72" s="1" t="inlineStr">
        <is>
          <t>Austria, Belgium, Czechia, Denmark, Finland, France, Germany, Greece, Hungary, Ireland, Italy, Netherlands, Norway, Poland, Portugal, Romania, Slovakia, Spain, Sweden, Switzerland, Turkey, United Kingdom</t>
        </is>
      </c>
      <c r="M72" s="1" t="inlineStr">
        <is>
          <t>0 to 10</t>
        </is>
      </c>
      <c r="N72" s="1" t="inlineStr">
        <is>
          <t>Business to Consumer, Business to Government, Business to Schools</t>
        </is>
      </c>
      <c r="O72" s="1" t="inlineStr">
        <is>
          <t>Corporate Training, Lifelong learning/Adult education</t>
        </is>
      </c>
      <c r="P72" s="1" t="inlineStr">
        <is>
          <t>System/Administrative</t>
        </is>
      </c>
      <c r="Q72" s="1" t="inlineStr">
        <is>
          <t>Data Booster</t>
        </is>
      </c>
      <c r="R72" s="1" t="inlineStr">
        <is>
          <t>At Data Booster it's our mission to enable data-driven decision making in your organization. With our customized data fluency courses we help every professional to make great decisions fast.</t>
        </is>
      </c>
      <c r="S72" s="10" t="inlineStr">
        <is>
          <t>https://drive.google.com/uc?export=view&amp;id=1hxKq_gy7X4i88hHpk9PkL-HZfgDVFPAk</t>
        </is>
      </c>
      <c r="T72" t="inlineStr">
        <is>
          <t>https://drive.google.com/uc?export=view&amp;id=1hxKq_gy7X4i88hHpk9PkL-HZfgDVFPAk</t>
        </is>
      </c>
      <c r="U72" s="1" t="inlineStr">
        <is>
          <t>https://drive.google.com/uc?export=view&amp;id=1hxKq_gy7X4i88hHpk9PkL-HZfgDVFPAk</t>
        </is>
      </c>
      <c r="V72" s="1" t="inlineStr">
        <is>
          <t>Unverified</t>
        </is>
      </c>
      <c r="Y72" s="10" t="n"/>
      <c r="Z72" s="1" t="n"/>
      <c r="AA72" t="inlineStr">
        <is>
          <t>Yes</t>
        </is>
      </c>
      <c r="AB72" t="inlineStr">
        <is>
          <t>Data Booster</t>
        </is>
      </c>
      <c r="AC72" t="inlineStr">
        <is>
          <t>Data Booster</t>
        </is>
      </c>
      <c r="AD72" t="inlineStr">
        <is>
          <t>https://www.linkedin.com/company/data-booster</t>
        </is>
      </c>
    </row>
    <row r="73" ht="12.5" customHeight="1">
      <c r="A73" s="6" t="n">
        <v>45181</v>
      </c>
      <c r="B73" s="1" t="inlineStr">
        <is>
          <t>ORG_2221</t>
        </is>
      </c>
      <c r="C73" s="1" t="b">
        <v>1</v>
      </c>
      <c r="D73" s="1" t="inlineStr">
        <is>
          <t>Scorion</t>
        </is>
      </c>
      <c r="E73" s="10" t="inlineStr">
        <is>
          <t>scorionportfolio.com</t>
        </is>
      </c>
      <c r="F73" t="inlineStr">
        <is>
          <t>scorionportfolio.com</t>
        </is>
      </c>
      <c r="G73" s="1" t="inlineStr">
        <is>
          <t>Scorion: The portfolio tool for programmatic assessment and flexible education</t>
        </is>
      </c>
      <c r="H73" s="1" t="inlineStr">
        <is>
          <t>Dutch EdTech</t>
        </is>
      </c>
      <c r="J73" s="1" t="inlineStr">
        <is>
          <t>DEVENTER</t>
        </is>
      </c>
      <c r="K73" s="1" t="inlineStr">
        <is>
          <t>The Netherlands</t>
        </is>
      </c>
      <c r="L73" s="1" t="inlineStr">
        <is>
          <t>Belgium, Germany, Netherlands</t>
        </is>
      </c>
      <c r="M73" s="1" t="inlineStr">
        <is>
          <t>11 to 50</t>
        </is>
      </c>
      <c r="N73" s="1" t="inlineStr">
        <is>
          <t>Business to Business, Business to Schools</t>
        </is>
      </c>
      <c r="O73" s="1" t="inlineStr">
        <is>
          <t>Higher Education, Corporate Training, Lifelong learning/Adult education</t>
        </is>
      </c>
      <c r="P73" s="1" t="inlineStr">
        <is>
          <t>Student interfacing, Teacher interfacing, System/Administrative</t>
        </is>
      </c>
      <c r="Q73" t="inlineStr">
        <is>
          <t>Scorion</t>
        </is>
      </c>
      <c r="R73" s="1" t="inlineStr">
        <is>
          <t>Scorion: The portfolio tool for programmatic assessment and flexible education</t>
        </is>
      </c>
      <c r="S73" s="10" t="inlineStr">
        <is>
          <t>https://drive.google.com/uc?export=view&amp;id=1REP-C_d6joDzOtJ3t0tg0tkoyHk1rh_Y</t>
        </is>
      </c>
      <c r="T73" t="inlineStr">
        <is>
          <t>https://drive.google.com/uc?export=view&amp;id=1REP-C_d6joDzOtJ3t0tg0tkoyHk1rh_Y</t>
        </is>
      </c>
      <c r="U73" s="1" t="inlineStr">
        <is>
          <t>https://drive.google.com/uc?export=view&amp;id=1REP-C_d6joDzOtJ3t0tg0tkoyHk1rh_Y</t>
        </is>
      </c>
      <c r="V73" s="1" t="inlineStr">
        <is>
          <t>Unverified</t>
        </is>
      </c>
      <c r="Y73" s="10" t="n"/>
      <c r="Z73" s="1" t="n"/>
      <c r="AA73" t="inlineStr">
        <is>
          <t>Yes</t>
        </is>
      </c>
      <c r="AC73" t="inlineStr">
        <is>
          <t>@parantion</t>
        </is>
      </c>
      <c r="AD73" t="inlineStr">
        <is>
          <t>https://www.linkedin.com/showcase/scorion-nederland/</t>
        </is>
      </c>
    </row>
    <row r="74" ht="12.5" customHeight="1">
      <c r="A74" s="6" t="n">
        <v>45181</v>
      </c>
      <c r="B74" s="1" t="inlineStr">
        <is>
          <t>ORG_2067</t>
        </is>
      </c>
      <c r="C74" s="1" t="b">
        <v>1</v>
      </c>
      <c r="D74" s="1" t="inlineStr">
        <is>
          <t>Online Kids Academy</t>
        </is>
      </c>
      <c r="E74" s="10" t="inlineStr">
        <is>
          <t>https://onlinekidsacademy.org</t>
        </is>
      </c>
      <c r="F74" t="inlineStr">
        <is>
          <t>onlinekidsacademy.org</t>
        </is>
      </c>
      <c r="G74" s="1" t="inlineStr">
        <is>
          <t>In light of recent research and cutting-edge technology in education, Almina Online Kids Academy created a unique and innovative self-study platform targeting fluent and accurate use of language: The Online Kids Academy Language Learning Platform. 
Providing a virtual environment for permanent self-study learning for children at home, the Platform is the only solution in the educational market, guaranteeing a Cambridge Pre-A1 Starters level of English. The Platform has many speaking and pronunciation activities to quickly develop the kid’s speaking skills and achieve the pre-A1 requirements. The “Record your voice and the playback” feature creates a solid foundation for their fluent and accurate use of English throughout their learning. The significance of skills development by doing at a young age indeed leads the learners to speak the foreign language accurately and fluently. Parents instantly monitor their children’s achievements through the sophisticated and easy-to-understand dashboard. Thus, parents, as well, who do not speak English can check their children’s progress simply by accessing the Online Kids Academy Dynamic Language Learning Platform Progress Dashboard. The successful completion indicates that children have achieved the skill level required by the Cambridge Pre-A1 Starters on that topic. To explore all the features of the Online Kids Academy Language Learning Platform, please click https://onlinekidsacademy.org/oka/interactive_presentation/story.html for the Interactive Presentation to start.</t>
        </is>
      </c>
      <c r="H74" s="1" t="inlineStr">
        <is>
          <t>I'm not part of any EdTech association</t>
        </is>
      </c>
      <c r="J74" s="1" t="inlineStr">
        <is>
          <t>AMSTERDAM</t>
        </is>
      </c>
      <c r="K74" s="1" t="inlineStr">
        <is>
          <t>The Netherlands</t>
        </is>
      </c>
      <c r="L7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74" s="1" t="inlineStr">
        <is>
          <t>0 to 10</t>
        </is>
      </c>
      <c r="N74" s="1" t="inlineStr">
        <is>
          <t>Business to Consumer</t>
        </is>
      </c>
      <c r="O74" s="1" t="inlineStr">
        <is>
          <t>Primary Education</t>
        </is>
      </c>
      <c r="P74" s="1" t="inlineStr">
        <is>
          <t>System/Administrative</t>
        </is>
      </c>
      <c r="S74" t="inlineStr">
        <is>
          <t>https://drive.google.com/uc?export=view&amp;id=1mPLWBnUGuuxQmVcLFbMi6IpEJvNP0nCg</t>
        </is>
      </c>
      <c r="T74" t="inlineStr">
        <is>
          <t>https://drive.google.com/uc?export=view&amp;id=1mPLWBnUGuuxQmVcLFbMi6IpEJvNP0nCg</t>
        </is>
      </c>
      <c r="U74" t="inlineStr">
        <is>
          <t>https://drive.google.com/uc?export=view&amp;id=1mPLWBnUGuuxQmVcLFbMi6IpEJvNP0nCg</t>
        </is>
      </c>
      <c r="V74" t="inlineStr">
        <is>
          <t>Unverified</t>
        </is>
      </c>
      <c r="Y74" s="10" t="n"/>
      <c r="Z74" s="1" t="n"/>
      <c r="AA74" t="inlineStr">
        <is>
          <t>No</t>
        </is>
      </c>
    </row>
    <row r="75" ht="12.5" customHeight="1">
      <c r="A75" s="6" t="n">
        <v>45181</v>
      </c>
      <c r="B75" s="1" t="inlineStr">
        <is>
          <t>ORG_2261</t>
        </is>
      </c>
      <c r="C75" s="1" t="b">
        <v>1</v>
      </c>
      <c r="D75" s="1" t="inlineStr">
        <is>
          <t>SkillsTown</t>
        </is>
      </c>
      <c r="E75" s="1" t="inlineStr">
        <is>
          <t>www.skillstown.com www.skillstown.com</t>
        </is>
      </c>
      <c r="F75" t="inlineStr">
        <is>
          <t>skillstown.com www.skillstown.com</t>
        </is>
      </c>
      <c r="G75" s="1" t="inlineStr">
        <is>
          <t>SkillsTown is the online educator for professionals. With our innovative online learning platform, we help you to get the best out of your organisation and employees.</t>
        </is>
      </c>
      <c r="H75" s="1" t="inlineStr">
        <is>
          <t>Dutch EdTech</t>
        </is>
      </c>
      <c r="J75" s="1" t="inlineStr">
        <is>
          <t>EINDHOVEN</t>
        </is>
      </c>
      <c r="K75" s="1" t="inlineStr">
        <is>
          <t>The Netherlands</t>
        </is>
      </c>
      <c r="L75" s="1" t="inlineStr">
        <is>
          <t>Belgium, Netherlands, United Kingdom</t>
        </is>
      </c>
      <c r="M75" s="1" t="inlineStr">
        <is>
          <t>51 to 100</t>
        </is>
      </c>
      <c r="N75" s="1" t="inlineStr">
        <is>
          <t>Business to Business, Business to Consumer</t>
        </is>
      </c>
      <c r="O75" s="1" t="inlineStr">
        <is>
          <t>Primary Education, Secondary Education, Higher Education, Corporate Training, Lifelong learning/Adult education</t>
        </is>
      </c>
      <c r="P75" s="1" t="inlineStr">
        <is>
          <t>Student interfacing, Teacher interfacing, System/Administrative</t>
        </is>
      </c>
      <c r="Q75" t="inlineStr">
        <is>
          <t>Online learning platform</t>
        </is>
      </c>
      <c r="R75" s="1" t="inlineStr">
        <is>
          <t>Innovative learning platform to help achieve your employees their learning needs;
Build-in authoring tool;
Learning record store</t>
        </is>
      </c>
      <c r="S75" s="10" t="inlineStr">
        <is>
          <t>Content</t>
        </is>
      </c>
      <c r="T75" t="inlineStr">
        <is>
          <t>Large library in Dutch, English, Spanish and French with 8 different learning methods. Soon German as well.</t>
        </is>
      </c>
      <c r="U75" s="1" t="inlineStr">
        <is>
          <t>https://drive.google.com/uc?export=view&amp;id=1cdFaS1LdnPlz1j8V6gV_2FYEhjsSetf1</t>
        </is>
      </c>
      <c r="V75" s="1" t="inlineStr">
        <is>
          <t>Unverified</t>
        </is>
      </c>
      <c r="W75" s="1" t="inlineStr">
        <is>
          <t>https://drive.google.com/uc?export=view&amp;id=1cdFaS1LdnPlz1j8V6gV_2FYEhjsSetf1</t>
        </is>
      </c>
      <c r="X75" s="1" t="n"/>
      <c r="Y75" s="10" t="n"/>
      <c r="Z75" s="1" t="n"/>
      <c r="AA75" t="inlineStr">
        <is>
          <t>Yes</t>
        </is>
      </c>
      <c r="AC75" t="inlineStr">
        <is>
          <t>https://www.linkedin.com/company/skillstown/</t>
        </is>
      </c>
      <c r="AD75" t="inlineStr">
        <is>
          <t>https://www.linkedin.com/company/skillstown/</t>
        </is>
      </c>
    </row>
    <row r="76" ht="12.5" customHeight="1">
      <c r="A76" s="6" t="n">
        <v>45181</v>
      </c>
      <c r="B76" s="1" t="inlineStr">
        <is>
          <t>ORG_1346</t>
        </is>
      </c>
      <c r="C76" s="1" t="b">
        <v>1</v>
      </c>
      <c r="D76" s="1" t="inlineStr">
        <is>
          <t>Didactech</t>
        </is>
      </c>
      <c r="E76" s="10" t="inlineStr">
        <is>
          <t>https://didactech.nl/</t>
        </is>
      </c>
      <c r="F76" t="inlineStr">
        <is>
          <t>didactech.nl</t>
        </is>
      </c>
      <c r="G76" s="1" t="inlineStr">
        <is>
          <t>We educate the educators about educational technology and media literacy, and build lessons with them.</t>
        </is>
      </c>
      <c r="H76" s="1" t="inlineStr">
        <is>
          <t>Dutch EdTech</t>
        </is>
      </c>
      <c r="J76" s="1" t="inlineStr">
        <is>
          <t>LOSSER</t>
        </is>
      </c>
      <c r="K76" s="1" t="inlineStr">
        <is>
          <t>The Netherlands</t>
        </is>
      </c>
      <c r="L76" s="1" t="inlineStr">
        <is>
          <t>Belgium, Netherlands</t>
        </is>
      </c>
      <c r="M76" s="1" t="inlineStr">
        <is>
          <t>0 to 10</t>
        </is>
      </c>
      <c r="N76" s="1" t="inlineStr">
        <is>
          <t>Business to Business, Business to Consumer, Business to Government, Business to Schools</t>
        </is>
      </c>
      <c r="O76" s="1" t="inlineStr">
        <is>
          <t>Primary Education, Secondary Education, Higher Education</t>
        </is>
      </c>
      <c r="P76" s="1" t="inlineStr">
        <is>
          <t>Teacher interfacing, System/Administrative</t>
        </is>
      </c>
      <c r="Q76" t="inlineStr">
        <is>
          <t>Training: Educational Technologist</t>
        </is>
      </c>
      <c r="R76" s="1" t="inlineStr">
        <is>
          <t>In 9 modules we learn teachers about;
- Digital tools
- Multimedia learning
- Graphic design
- Gamification
- Virtual reality
- Augmented reality
- Artificial intelligence
- Computational thinking
and Media literacy and how to use it directly into their lessons.</t>
        </is>
      </c>
      <c r="S76" s="10" t="inlineStr">
        <is>
          <t>Workshops</t>
        </is>
      </c>
      <c r="T76" t="inlineStr">
        <is>
          <t>We give workshops to teachers about;
- Digital tools
- Multimedia learning
- Graphic design
- Gamification
- Virtual reality
- Augmented reality
- Artificial intelligence
- Computational thinking
- Media literacy 
- Microsoft 365
and Minecraft Education Edition</t>
        </is>
      </c>
      <c r="U76" s="1" t="inlineStr">
        <is>
          <t>https://drive.google.com/uc?export=view&amp;id=18wr-j_HvN8uM6ZF_ZIQqDsRM3wwulr6J</t>
        </is>
      </c>
      <c r="V76" s="1" t="inlineStr">
        <is>
          <t>Unverified</t>
        </is>
      </c>
      <c r="W76" s="1" t="inlineStr">
        <is>
          <t>https://drive.google.com/uc?export=view&amp;id=18wr-j_HvN8uM6ZF_ZIQqDsRM3wwulr6J</t>
        </is>
      </c>
      <c r="X76" s="1" t="n"/>
      <c r="Y76" s="10" t="n"/>
      <c r="Z76" s="1" t="n"/>
      <c r="AA76" t="inlineStr">
        <is>
          <t>Yes</t>
        </is>
      </c>
      <c r="AC76" t="inlineStr">
        <is>
          <t>https://www.linkedin.com/company/didactechnl/</t>
        </is>
      </c>
      <c r="AD76" t="inlineStr">
        <is>
          <t>https://www.linkedin.com/company/didactechnl/</t>
        </is>
      </c>
    </row>
    <row r="77" ht="12.5" customHeight="1">
      <c r="A77" s="6" t="n">
        <v>45181</v>
      </c>
      <c r="B77" s="1" t="inlineStr">
        <is>
          <t>ORG_1565</t>
        </is>
      </c>
      <c r="C77" s="1" t="b">
        <v>1</v>
      </c>
      <c r="D77" s="1" t="inlineStr">
        <is>
          <t>Find My Programme</t>
        </is>
      </c>
      <c r="E77" s="10" t="inlineStr">
        <is>
          <t>www.findmyprogramme.com</t>
        </is>
      </c>
      <c r="F77" t="inlineStr">
        <is>
          <t>findmyprogramme.com</t>
        </is>
      </c>
      <c r="G77" s="1" t="inlineStr">
        <is>
          <t>In Find My Programme we believe that education can be life-changing and everybody should have access to it. We know first-hand how transformational higher education can be. That’s why we’ve joined forces to create an educational portal where prospective students can browse and compare university programmes to find the best fit for them. 
Our aim is to help prospect students to make the right study choice for their future. We’re inspired by the many stories we’ve heard from students, who have furthered their own success and helped their communities through education.
We realize that decision about education is a very important step in everybody's life and we want to help with making this decision a little easier.</t>
        </is>
      </c>
      <c r="H77" s="1" t="inlineStr">
        <is>
          <t>Dutch EdTech</t>
        </is>
      </c>
      <c r="I77" s="1" t="n"/>
      <c r="J77" s="1" t="inlineStr">
        <is>
          <t>AMSTELVEEN</t>
        </is>
      </c>
      <c r="K77" s="1" t="inlineStr">
        <is>
          <t>The Netherlands</t>
        </is>
      </c>
      <c r="L7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77" s="1" t="inlineStr">
        <is>
          <t>0 to 10</t>
        </is>
      </c>
      <c r="N77" s="1" t="inlineStr">
        <is>
          <t>Business to Schools</t>
        </is>
      </c>
      <c r="O77" s="1" t="inlineStr">
        <is>
          <t>Higher Education, Corporate Training, Lifelong learning/Adult education</t>
        </is>
      </c>
      <c r="P77" s="1" t="inlineStr">
        <is>
          <t>System/Administrative, Student interfacing</t>
        </is>
      </c>
      <c r="S77" s="1" t="inlineStr">
        <is>
          <t>https://drive.google.com/uc?export=view&amp;id=1slKGj5SF0KLAUM7kFDXa-957HEIIRA4v</t>
        </is>
      </c>
      <c r="T77" t="inlineStr">
        <is>
          <t>https://drive.google.com/uc?export=view&amp;id=1slKGj5SF0KLAUM7kFDXa-957HEIIRA4v</t>
        </is>
      </c>
      <c r="U77" s="1" t="inlineStr">
        <is>
          <t>https://drive.google.com/uc?export=view&amp;id=1slKGj5SF0KLAUM7kFDXa-957HEIIRA4v</t>
        </is>
      </c>
      <c r="V77" s="1" t="inlineStr">
        <is>
          <t>Unverified</t>
        </is>
      </c>
      <c r="Y77" s="10" t="n"/>
      <c r="Z77" s="1" t="n"/>
      <c r="AA77" t="inlineStr">
        <is>
          <t>No</t>
        </is>
      </c>
    </row>
    <row r="78" ht="12.5" customHeight="1">
      <c r="A78" s="6" t="n">
        <v>45181</v>
      </c>
      <c r="B78" s="1" t="inlineStr">
        <is>
          <t>ORG_2552</t>
        </is>
      </c>
      <c r="C78" s="1" t="b">
        <v>1</v>
      </c>
      <c r="D78" s="1" t="inlineStr">
        <is>
          <t>Writefull</t>
        </is>
      </c>
      <c r="E78" s="10" t="inlineStr">
        <is>
          <t>https://www.writefull.com/</t>
        </is>
      </c>
      <c r="F78" t="inlineStr">
        <is>
          <t>writefull.com</t>
        </is>
      </c>
      <c r="G78" s="1" t="inlineStr">
        <is>
          <t>Writefull uses AI and big data to help students and researchers with their academic writing. It offers a range of tools that facilitate the writing process: It automatically copyedits texts, paraphrases sentences, writes abstracts, generates titles, checks for missing citations, and more. All of these language support services use AI-based models that have been trained on published papers, meaning that the outputs are tailored to academic writing. Writefull can be used in the browser, Microsoft Word, and Overleaf. It is used by individuals, institutions, scientific publishers, and author services providers.</t>
        </is>
      </c>
      <c r="H78" s="1" t="inlineStr">
        <is>
          <t>I'm not part of any EdTech association</t>
        </is>
      </c>
      <c r="J78" s="1" t="inlineStr">
        <is>
          <t>Amsterdam</t>
        </is>
      </c>
      <c r="K78" s="1" t="inlineStr">
        <is>
          <t>The Netherlands</t>
        </is>
      </c>
      <c r="L78" s="1" t="inlineStr">
        <is>
          <t>Albania, Andorra, Armenia, Austria, Azerbaijan, Belarus, Belgium,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78" s="1" t="inlineStr">
        <is>
          <t>0 to 10</t>
        </is>
      </c>
      <c r="N78" s="1" t="inlineStr">
        <is>
          <t>Business to Business, Business to Consumer, Business to Schools</t>
        </is>
      </c>
      <c r="O78" s="1" t="inlineStr">
        <is>
          <t>Secondary Education, Higher Education, Corporate Training</t>
        </is>
      </c>
      <c r="P78" s="1" t="inlineStr">
        <is>
          <t>Student interfacing, Teacher interfacing, System/Administrative</t>
        </is>
      </c>
      <c r="S78" t="inlineStr">
        <is>
          <t>https://drive.google.com/uc?export=view&amp;id=1AyeajYUNfakKsLpSY3MM0t-YfPfLMuaz</t>
        </is>
      </c>
      <c r="T78" t="inlineStr">
        <is>
          <t>https://drive.google.com/uc?export=view&amp;id=1AyeajYUNfakKsLpSY3MM0t-YfPfLMuaz</t>
        </is>
      </c>
      <c r="U78" t="inlineStr">
        <is>
          <t>https://drive.google.com/uc?export=view&amp;id=1AyeajYUNfakKsLpSY3MM0t-YfPfLMuaz</t>
        </is>
      </c>
      <c r="V78" t="inlineStr">
        <is>
          <t>Unverified</t>
        </is>
      </c>
      <c r="Y78" s="10" t="n"/>
      <c r="Z78" s="1" t="n"/>
      <c r="AA78" t="inlineStr">
        <is>
          <t>No</t>
        </is>
      </c>
    </row>
    <row r="79" ht="12.5" customHeight="1">
      <c r="A79" s="6" t="n">
        <v>45181</v>
      </c>
      <c r="B79" s="1" t="inlineStr">
        <is>
          <t>ORG_2142</t>
        </is>
      </c>
      <c r="C79" s="1" t="b">
        <v>1</v>
      </c>
      <c r="D79" s="1" t="inlineStr">
        <is>
          <t>Quarterfall</t>
        </is>
      </c>
      <c r="E79" s="10" t="inlineStr">
        <is>
          <t>https://www.quarterfall.com/</t>
        </is>
      </c>
      <c r="F79" t="inlineStr">
        <is>
          <t>quarterfall.com</t>
        </is>
      </c>
      <c r="G79" s="1" t="inlineStr">
        <is>
          <t>Quarterfall offers a flexible cloud-based platform that helps streamline Computer Science education.
Built by ICT teachers for ICT teachers, learning is at the core of who we are. Since 2019, our mission is to help improve higher education for students and teachers.</t>
        </is>
      </c>
      <c r="H79" s="1" t="inlineStr">
        <is>
          <t>Dutch EdTech</t>
        </is>
      </c>
      <c r="J79" s="1" t="inlineStr">
        <is>
          <t>BILTHOVEN</t>
        </is>
      </c>
      <c r="K79" s="1" t="inlineStr">
        <is>
          <t>The Netherlands</t>
        </is>
      </c>
      <c r="L79" s="1" t="inlineStr">
        <is>
          <t>Netherlands</t>
        </is>
      </c>
      <c r="M79" s="1" t="inlineStr">
        <is>
          <t>0 to 10</t>
        </is>
      </c>
      <c r="N79" s="1" t="inlineStr">
        <is>
          <t>Business to Business</t>
        </is>
      </c>
      <c r="O79" s="1" t="inlineStr">
        <is>
          <t>Higher Education</t>
        </is>
      </c>
      <c r="P79" s="1" t="inlineStr">
        <is>
          <t>Student interfacing, Teacher interfacing</t>
        </is>
      </c>
      <c r="Q79" t="inlineStr">
        <is>
          <t>Quarterfall</t>
        </is>
      </c>
      <c r="R79" t="inlineStr">
        <is>
          <t>Quarterfall offers a flexible cloud-based platform that helps streamline Computer Science education.
Our cloud-based platform offers
- A flexible assignment creation process with a Markdown interface and built-in code editor
- Centralized teaching and learning materials
- Automatic feedback by testing students' code
- Mathematical formulas and diagrams support
- GDPR compliance</t>
        </is>
      </c>
      <c r="S79" s="10" t="inlineStr">
        <is>
          <t>https://drive.google.com/uc?export=view&amp;id=1EYpFOzxS-rRqxa0Qgi7fq4llOIRJboe-</t>
        </is>
      </c>
      <c r="T79" t="inlineStr">
        <is>
          <t>https://drive.google.com/uc?export=view&amp;id=1EYpFOzxS-rRqxa0Qgi7fq4llOIRJboe-</t>
        </is>
      </c>
      <c r="U79" s="1" t="inlineStr">
        <is>
          <t>https://drive.google.com/uc?export=view&amp;id=1EYpFOzxS-rRqxa0Qgi7fq4llOIRJboe-</t>
        </is>
      </c>
      <c r="V79" s="1" t="inlineStr">
        <is>
          <t>Unverified</t>
        </is>
      </c>
      <c r="Y79" s="10" t="n"/>
      <c r="Z79" s="1" t="n"/>
      <c r="AA79" t="inlineStr">
        <is>
          <t>Yes</t>
        </is>
      </c>
      <c r="AC79" t="inlineStr">
        <is>
          <t>https://www.linkedin.com/company/quarterfall</t>
        </is>
      </c>
      <c r="AD79" t="inlineStr">
        <is>
          <t>https://www.linkedin.com/company/quarterfall</t>
        </is>
      </c>
    </row>
    <row r="80" ht="12.5" customHeight="1">
      <c r="A80" s="6" t="n">
        <v>45181</v>
      </c>
      <c r="B80" s="1" t="inlineStr">
        <is>
          <t>ORG_2394</t>
        </is>
      </c>
      <c r="C80" s="1" t="b">
        <v>1</v>
      </c>
      <c r="D80" s="1" t="inlineStr">
        <is>
          <t>The Code to Change</t>
        </is>
      </c>
      <c r="E80" s="10" t="inlineStr">
        <is>
          <t>https://codetochange.org/</t>
        </is>
      </c>
      <c r="F80" t="inlineStr">
        <is>
          <t>codetochange.org</t>
        </is>
      </c>
      <c r="G80" s="1" t="inlineStr">
        <is>
          <t>The Code To Change is a diversity and Inclusion organization, working to connect high potential employees with leaders in the technology world.
The Code to Change is aimed at reducing the skills gap and associated gender divide in the ICT sector. We inspire and teach women essential skills to succeed in the job market. 
The Code to Change is creating an ecosystem for a diverse and inclusive tech sector through reskilling and upskilling underrepresented groups from diverse backgrounds.</t>
        </is>
      </c>
      <c r="H80" s="1" t="inlineStr">
        <is>
          <t>Dutch EdTech</t>
        </is>
      </c>
      <c r="J80" s="1" t="inlineStr">
        <is>
          <t>AMSTERDAM</t>
        </is>
      </c>
      <c r="K80" s="1" t="inlineStr">
        <is>
          <t>The Netherlands</t>
        </is>
      </c>
      <c r="L80" s="1" t="inlineStr">
        <is>
          <t>Belgium, Bulgaria, Czechia, Germany, Greece, Italy, Netherlands</t>
        </is>
      </c>
      <c r="M80" s="1" t="inlineStr">
        <is>
          <t>0 to 10</t>
        </is>
      </c>
      <c r="N80" s="1" t="inlineStr">
        <is>
          <t>Business to Business, Business to Consumer, Business to Government, Business to Schools</t>
        </is>
      </c>
      <c r="O80" s="1" t="inlineStr">
        <is>
          <t>Corporate Training, Lifelong learning/Adult education</t>
        </is>
      </c>
      <c r="P80" s="1" t="inlineStr">
        <is>
          <t>System/Administrative, Student interfacing, Teacher interfacing</t>
        </is>
      </c>
      <c r="R80" s="1" t="n"/>
      <c r="S80" s="1" t="inlineStr">
        <is>
          <t>https://drive.google.com/uc?export=view&amp;id=1XB6mtDEvoe3lFMcxEqYI8IXVFljm5bRD</t>
        </is>
      </c>
      <c r="T80" t="inlineStr">
        <is>
          <t>https://drive.google.com/uc?export=view&amp;id=1XB6mtDEvoe3lFMcxEqYI8IXVFljm5bRD</t>
        </is>
      </c>
      <c r="U80" s="1" t="inlineStr">
        <is>
          <t>https://drive.google.com/uc?export=view&amp;id=1XB6mtDEvoe3lFMcxEqYI8IXVFljm5bRD</t>
        </is>
      </c>
      <c r="V80" s="1" t="inlineStr">
        <is>
          <t>Unverified</t>
        </is>
      </c>
      <c r="W80" s="1" t="inlineStr">
        <is>
          <t>https://drive.google.com/uc?export=view&amp;id=1XB6mtDEvoe3lFMcxEqYI8IXVFljm5bRD</t>
        </is>
      </c>
      <c r="X80" s="1" t="n"/>
      <c r="Y80" s="10" t="n"/>
      <c r="Z80" s="1" t="n"/>
      <c r="AA80" t="inlineStr">
        <is>
          <t>No</t>
        </is>
      </c>
    </row>
    <row r="81" ht="12.5" customHeight="1">
      <c r="A81" s="6" t="n">
        <v>45181</v>
      </c>
      <c r="B81" s="1" t="inlineStr">
        <is>
          <t>ORG_2165</t>
        </is>
      </c>
      <c r="C81" s="1" t="b">
        <v>1</v>
      </c>
      <c r="D81" s="1" t="inlineStr">
        <is>
          <t>Ready Education</t>
        </is>
      </c>
      <c r="E81" s="10" t="inlineStr">
        <is>
          <t>https://www.readyeducation.com/</t>
        </is>
      </c>
      <c r="F81" t="inlineStr">
        <is>
          <t>readyeducation.com</t>
        </is>
      </c>
      <c r="G81" s="1" t="inlineStr">
        <is>
          <t>Trusted by 700+ institutions to build communities and drive retention, Ready Education is the leading mobile student engagement platform on a mission to improve student success in higher education worldwide.</t>
        </is>
      </c>
      <c r="H81" s="1" t="inlineStr">
        <is>
          <t>EdTech France, Swiss EdTech Collider</t>
        </is>
      </c>
      <c r="J81" s="1" t="inlineStr">
        <is>
          <t>Utrecht</t>
        </is>
      </c>
      <c r="K81" s="1" t="inlineStr">
        <is>
          <t>The Netherlands</t>
        </is>
      </c>
      <c r="L81" s="1" t="inlineStr">
        <is>
          <t>Austria, Belgium, Cyprus, France, Germany, Greece, Ireland, Italy, Netherlands, Norway, Spain, United Kingdom</t>
        </is>
      </c>
      <c r="M81" s="1" t="inlineStr">
        <is>
          <t>100+</t>
        </is>
      </c>
      <c r="N81" s="1" t="inlineStr">
        <is>
          <t>Business to Business, Business to Government</t>
        </is>
      </c>
      <c r="O81" s="1" t="inlineStr">
        <is>
          <t>Higher Education</t>
        </is>
      </c>
      <c r="P81" s="1" t="inlineStr">
        <is>
          <t>Student interfacing, Teacher interfacing</t>
        </is>
      </c>
      <c r="Q81" t="inlineStr">
        <is>
          <t>Campus App</t>
        </is>
      </c>
      <c r="R81" s="10" t="inlineStr">
        <is>
          <t>The Student Companion.
Today’s students demand tailored information and content based on their personal interests and needs. Ready uses a recommendation engine with built-in machine learning capability to suggest targeted events, services, and content to students.</t>
        </is>
      </c>
      <c r="S81" s="10" t="inlineStr">
        <is>
          <t>Campus Cloud</t>
        </is>
      </c>
      <c r="T81" t="inlineStr">
        <is>
          <t>The Admin Dashboard.
Finally, one place to manage all of your campus content, student communications and engagement data. With a broad suite of tools at your disposal, you can create messages, update your campus app or even extract student lists and send to other departments.</t>
        </is>
      </c>
      <c r="U81" s="1" t="inlineStr">
        <is>
          <t>https://drive.google.com/uc?export=view&amp;id=1k9DzdXfLWVxVMZOIGMd2FQKY3MxSLEvu</t>
        </is>
      </c>
      <c r="V81" s="1" t="inlineStr">
        <is>
          <t>Unverified</t>
        </is>
      </c>
      <c r="W81" s="1" t="inlineStr">
        <is>
          <t>https://drive.google.com/uc?export=view&amp;id=1k9DzdXfLWVxVMZOIGMd2FQKY3MxSLEvu</t>
        </is>
      </c>
      <c r="X81" s="1" t="n"/>
      <c r="Y81" s="10" t="n"/>
      <c r="Z81" s="1" t="n"/>
      <c r="AA81" t="inlineStr">
        <is>
          <t>Yes</t>
        </is>
      </c>
      <c r="AB81" t="inlineStr">
        <is>
          <t>https://twitter.com/ReadyEducation</t>
        </is>
      </c>
      <c r="AC81" t="inlineStr">
        <is>
          <t>https://twitter.com/ReadyEducation</t>
        </is>
      </c>
      <c r="AD81" t="inlineStr">
        <is>
          <t>https://www.linkedin.com/company/ready-education</t>
        </is>
      </c>
    </row>
    <row r="82" ht="12.5" customHeight="1">
      <c r="A82" s="6" t="n">
        <v>45181</v>
      </c>
      <c r="B82" s="1" t="inlineStr">
        <is>
          <t>ORG_1520</t>
        </is>
      </c>
      <c r="C82" s="1" t="b">
        <v>1</v>
      </c>
      <c r="D82" s="1" t="inlineStr">
        <is>
          <t>ETS GLOBAL</t>
        </is>
      </c>
      <c r="E82" s="10" t="inlineStr">
        <is>
          <t>https://www.etsglobal.org</t>
        </is>
      </c>
      <c r="F82" t="inlineStr">
        <is>
          <t>etsglobal.org</t>
        </is>
      </c>
      <c r="G82" s="1" t="inlineStr">
        <is>
          <t>ETS Global B.V., a wholly owned subsidiary of ETS, is the international arm of ETS that brings ETS expertise to educational and business communities around the world.
At ETS Global B.V., we bring expertise to educational and business communities around the world, including companies, language schools, academic institutions and public service organisations. Our teams serve 80 countries across Europe, South America, Asia, the Middle East and Africa. We offer a range of ETS products, services and learning solutions, including English-language assessments, standardized assessments, training and consulting. www.etsglobal.org
About the TOEIC® Tests
With more than 40 years as an industry leader, the TOEIC programme has set the standard for assessing English-language communication skills needed in the workplace. The TOEIC tests are the most widely used around the world. Over 14 000 organisations across more than 160 countries, trust TOEIC scores to inform the decisions that matter. The TOEIC assessment portfolio measures all 4 language skills for a comprehensive understanding of English-language proficiency. Accurate, reliable and comparable scores can help organisations evaluate individuals with the English language skills needed to succeed in the global workplace.
In 2020, ETS Global B.V. has acquired Pipplet, a start-up specialising in language assessment used for recruitment, internal mobility, language audits and skills certification for companies. Since its foundation, Pipplet has allowed recruiters from all over the world to verify candidates’ abilities to work in a foreign language. With assessments in 28 different languages, from English to Vietnamese, Pipplet is speeding up the recruitment process for hundreds of companies, from fast-growing start-ups to large consulting groups.</t>
        </is>
      </c>
      <c r="H82" s="1" t="inlineStr">
        <is>
          <t>AFINEF</t>
        </is>
      </c>
      <c r="J82" s="1" t="inlineStr">
        <is>
          <t>Amsterdam</t>
        </is>
      </c>
      <c r="K82" s="1" t="inlineStr">
        <is>
          <t>The Netherlands</t>
        </is>
      </c>
      <c r="L8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t>
        </is>
      </c>
      <c r="M82" s="1" t="inlineStr">
        <is>
          <t>100+</t>
        </is>
      </c>
      <c r="N82" s="1" t="inlineStr">
        <is>
          <t>Business to Business, Business to Consumer, Business to Schools</t>
        </is>
      </c>
      <c r="O82" s="1" t="inlineStr">
        <is>
          <t>Primary Education, Secondary Education, Higher Education, Corporate Training, Lifelong learning/Adult education</t>
        </is>
      </c>
      <c r="P82" s="1" t="inlineStr">
        <is>
          <t>System/Administrative, Student interfacing, Teacher interfacing</t>
        </is>
      </c>
      <c r="Q82" t="inlineStr">
        <is>
          <t>the TOEIC® Tests</t>
        </is>
      </c>
      <c r="R82" s="10" t="inlineStr">
        <is>
          <t>With more than 40 years as an industry leader, the TOEIC programme has set the standard for assessing English-language communication skills needed in the workplace. The TOEIC tests are the most widely used around the world. Over 14 000 organisations across more than 160 countries, trust TOEIC scores to inform the decisions that matter. The TOEIC assessment portfolio measures all 4 language skills for a comprehensive understanding of English-language proficiency. Accurate, reliable and comparable scores can help organisations evaluate individuals with the English language skills needed to succeed in the global workplace.</t>
        </is>
      </c>
      <c r="S82" s="10" t="inlineStr">
        <is>
          <t>the TOEFL® Family of Assessments</t>
        </is>
      </c>
      <c r="T82" t="inlineStr">
        <is>
          <t>Wherever students want to study, the TOEFL® test can help them get there. The TOEFL® Family of Assessments provides trusted and valuable information about students’ English proficiency to help guide decisions that can have a long-term impact on students’ language learning ability and even their academic future. Each TOEFL® test is based on a specific range of English proficiency and academic levels to ensure the information you get back is meaningful and useful. Whether for admissions or for programme placement, advancement or exiting, or monitoring progress, the TOEFL® Family of Assessments provide the information you need to help you make confident decisions.</t>
        </is>
      </c>
      <c r="U82" s="1" t="inlineStr">
        <is>
          <t>https://drive.google.com/uc?export=view&amp;id=18GM1R_idr4ybNaNOmn5WWE6jKVrKgi6-</t>
        </is>
      </c>
      <c r="V82" s="1" t="inlineStr">
        <is>
          <t>Unverified</t>
        </is>
      </c>
      <c r="W82" s="1" t="inlineStr">
        <is>
          <t>https://drive.google.com/uc?export=view&amp;id=18GM1R_idr4ybNaNOmn5WWE6jKVrKgi6-</t>
        </is>
      </c>
      <c r="X82" s="1" t="n"/>
      <c r="Y82" s="10" t="n"/>
      <c r="Z82" s="1" t="n"/>
      <c r="AA82" t="inlineStr">
        <is>
          <t>Yes</t>
        </is>
      </c>
      <c r="AB82" t="inlineStr">
        <is>
          <t>https://twitter.com/ETSGlobal</t>
        </is>
      </c>
      <c r="AC82" t="inlineStr">
        <is>
          <t>https://twitter.com/ETSGlobal</t>
        </is>
      </c>
      <c r="AD82" t="inlineStr">
        <is>
          <t>https://fr.linkedin.com/company/ets-global</t>
        </is>
      </c>
    </row>
    <row r="83" ht="12.5" customHeight="1">
      <c r="A83" s="6" t="n">
        <v>45181</v>
      </c>
      <c r="B83" s="1" t="inlineStr">
        <is>
          <t>ORG_1837</t>
        </is>
      </c>
      <c r="C83" s="1" t="b">
        <v>1</v>
      </c>
      <c r="D83" s="1" t="inlineStr">
        <is>
          <t>LearningTour</t>
        </is>
      </c>
      <c r="E83" s="10" t="inlineStr">
        <is>
          <t>www.learningtour.nl</t>
        </is>
      </c>
      <c r="F83" t="inlineStr">
        <is>
          <t>learningtour.nl</t>
        </is>
      </c>
      <c r="G83" s="1" t="inlineStr">
        <is>
          <t>LearningTour is a developer of niche tool to support learning &amp; performance.
AI for Learning: training, support and tools
Check &amp; Learn tool:
Smart checklists combined with microlearning. 
Log2learn tool:
Tool for collecting &amp; analyzing learning data.</t>
        </is>
      </c>
      <c r="H83" s="1" t="inlineStr">
        <is>
          <t>I'm not part of any EdTech association</t>
        </is>
      </c>
      <c r="I83" s="1" t="inlineStr">
        <is>
          <t>Dutch, English, German</t>
        </is>
      </c>
      <c r="J83" s="1" t="inlineStr">
        <is>
          <t>WESTERVOORT</t>
        </is>
      </c>
      <c r="K83" s="1" t="inlineStr">
        <is>
          <t>The Netherlands</t>
        </is>
      </c>
      <c r="L83" s="1" t="inlineStr">
        <is>
          <t>Belgium, Germany, Netherlands</t>
        </is>
      </c>
      <c r="M83" s="1" t="inlineStr">
        <is>
          <t>0 to 2</t>
        </is>
      </c>
      <c r="N83" s="1" t="inlineStr">
        <is>
          <t>Business to Business, Business to Government, Business to Schools</t>
        </is>
      </c>
      <c r="O83" s="1" t="inlineStr">
        <is>
          <t>Primary Education, Secondary Education, Corporate Training, Lifelong learning/Adult education, Vocational Education and Training (VET)</t>
        </is>
      </c>
      <c r="P83" s="1" t="inlineStr">
        <is>
          <t>Student interfacing, Teacher interfacing, System/Administrative</t>
        </is>
      </c>
      <c r="Q83" t="inlineStr">
        <is>
          <t>AI for Learning</t>
        </is>
      </c>
      <c r="R83" t="inlineStr">
        <is>
          <t>Training, support and tools for practical AI in education and L&amp;D</t>
        </is>
      </c>
      <c r="S83" s="10" t="inlineStr">
        <is>
          <t>https://drive.google.com/uc?export=view&amp;id=1TsDz-8LIchFQs71vbcFg_tanRPwU06q1</t>
        </is>
      </c>
      <c r="T83" t="inlineStr">
        <is>
          <t>https://drive.google.com/uc?export=view&amp;id=1TsDz-8LIchFQs71vbcFg_tanRPwU06q1</t>
        </is>
      </c>
      <c r="U83" s="1" t="inlineStr">
        <is>
          <t>https://drive.google.com/uc?export=view&amp;id=1TsDz-8LIchFQs71vbcFg_tanRPwU06q1</t>
        </is>
      </c>
      <c r="V83" s="1" t="inlineStr">
        <is>
          <t>Unverified</t>
        </is>
      </c>
      <c r="Y83" s="10" t="n"/>
      <c r="Z83" s="1" t="n"/>
      <c r="AA83" t="inlineStr">
        <is>
          <t>Yes</t>
        </is>
      </c>
      <c r="AC83" t="inlineStr">
        <is>
          <t>https://www.linkedin.com/company/learningtour</t>
        </is>
      </c>
      <c r="AD83" t="inlineStr">
        <is>
          <t>https://www.linkedin.com/company/learningtour</t>
        </is>
      </c>
    </row>
    <row r="84" ht="12.5" customHeight="1">
      <c r="A84" s="6" t="n">
        <v>45181</v>
      </c>
      <c r="B84" s="1" t="inlineStr">
        <is>
          <t>ORG_2341</t>
        </is>
      </c>
      <c r="C84" s="1" t="b">
        <v>1</v>
      </c>
      <c r="D84" s="1" t="inlineStr">
        <is>
          <t>Studyflow B.V.</t>
        </is>
      </c>
      <c r="E84" s="10" t="inlineStr">
        <is>
          <t>https://studyflow.nl/</t>
        </is>
      </c>
      <c r="F84" t="inlineStr">
        <is>
          <t>studyflow.nl</t>
        </is>
      </c>
      <c r="G84" s="1" t="inlineStr">
        <is>
          <t>Studyflow has developed several digital learning methods over the past 10 years. With these methods, Studyflow-Taal to learn the Dutch language and Logisch Rekenen to learn mathematics we serve the Dutch educational market. We also have an editor program, Spark Plus, which offers schools the possibility to write their own lessons.
Our strength is to listen to our customers in order to keep improving our methods as well as the platform on which we offer them.
We believe that with personal attention you can get the best from both student and teacher.</t>
        </is>
      </c>
      <c r="H84" s="1" t="inlineStr">
        <is>
          <t>I'm not part of any EdTech association</t>
        </is>
      </c>
      <c r="J84" s="1" t="inlineStr">
        <is>
          <t>AMSTERDAM</t>
        </is>
      </c>
      <c r="K84" s="1" t="inlineStr">
        <is>
          <t>The Netherlands</t>
        </is>
      </c>
      <c r="L84" s="1" t="inlineStr">
        <is>
          <t>Belgium, Netherlands</t>
        </is>
      </c>
      <c r="M84" s="1" t="inlineStr">
        <is>
          <t>0 to 10</t>
        </is>
      </c>
      <c r="N84" s="1" t="inlineStr">
        <is>
          <t>Business to Schools</t>
        </is>
      </c>
      <c r="O84" s="1" t="inlineStr">
        <is>
          <t>Secondary Education</t>
        </is>
      </c>
      <c r="P84" s="1" t="inlineStr">
        <is>
          <t>Teacher interfacing, System/Administrative</t>
        </is>
      </c>
      <c r="S84" t="inlineStr">
        <is>
          <t>https://drive.google.com/uc?export=view&amp;id=1Jap9sCQQreLhMgsDrM9zbr11yG4yvJDC</t>
        </is>
      </c>
      <c r="T84" t="inlineStr">
        <is>
          <t>https://drive.google.com/uc?export=view&amp;id=1Jap9sCQQreLhMgsDrM9zbr11yG4yvJDC</t>
        </is>
      </c>
      <c r="U84" t="inlineStr">
        <is>
          <t>https://drive.google.com/uc?export=view&amp;id=1Jap9sCQQreLhMgsDrM9zbr11yG4yvJDC</t>
        </is>
      </c>
      <c r="V84" t="inlineStr">
        <is>
          <t>Unverified</t>
        </is>
      </c>
      <c r="Y84" s="10" t="n"/>
      <c r="Z84" s="1" t="n"/>
      <c r="AA84" t="inlineStr">
        <is>
          <t>No</t>
        </is>
      </c>
    </row>
    <row r="85" ht="12.5" customHeight="1">
      <c r="A85" s="6" t="n">
        <v>45181</v>
      </c>
      <c r="B85" s="1" t="inlineStr">
        <is>
          <t>ORG_2413</t>
        </is>
      </c>
      <c r="C85" s="1" t="b">
        <v>1</v>
      </c>
      <c r="D85" s="1" t="inlineStr">
        <is>
          <t>TinQwise</t>
        </is>
      </c>
      <c r="E85" s="10" t="inlineStr">
        <is>
          <t>www.tinqwise.com</t>
        </is>
      </c>
      <c r="F85" t="inlineStr">
        <is>
          <t>tinqwise.com</t>
        </is>
      </c>
      <c r="G85" s="1" t="inlineStr">
        <is>
          <t>Growth ambitions? Make sure your people are ready to rock! We help scaleups with happy onboarding and setting up their own academy. So that every colleague knows what to do and can contribute to the dream. 
With our data-driven Learning eXperience Platform, personal learning programmes and creative content. Train all your employees, with just a small HR team. Small team, big party!</t>
        </is>
      </c>
      <c r="H85" s="1" t="inlineStr">
        <is>
          <t>I'm not part of any EdTech association</t>
        </is>
      </c>
      <c r="J85" s="1" t="inlineStr">
        <is>
          <t>HILVERSUM</t>
        </is>
      </c>
      <c r="K85" s="1" t="inlineStr">
        <is>
          <t>The Netherlands</t>
        </is>
      </c>
      <c r="L85" s="1" t="inlineStr">
        <is>
          <t>Belgium, Denmark, Germany, Netherlands</t>
        </is>
      </c>
      <c r="M85" s="1" t="inlineStr">
        <is>
          <t>51 to 100</t>
        </is>
      </c>
      <c r="N85" s="1" t="inlineStr">
        <is>
          <t>Business to Schools</t>
        </is>
      </c>
      <c r="O85" s="1" t="inlineStr">
        <is>
          <t>Corporate Training</t>
        </is>
      </c>
      <c r="P85" s="1" t="inlineStr">
        <is>
          <t>System/Administrative</t>
        </is>
      </c>
      <c r="S85" t="inlineStr">
        <is>
          <t>https://drive.google.com/uc?export=view&amp;id=1dXdhCEfUM0FGhnoYSUIT1H7-1d0-CWMa</t>
        </is>
      </c>
      <c r="T85" t="inlineStr">
        <is>
          <t>https://drive.google.com/uc?export=view&amp;id=1dXdhCEfUM0FGhnoYSUIT1H7-1d0-CWMa</t>
        </is>
      </c>
      <c r="U85" t="inlineStr">
        <is>
          <t>https://drive.google.com/uc?export=view&amp;id=1dXdhCEfUM0FGhnoYSUIT1H7-1d0-CWMa</t>
        </is>
      </c>
      <c r="V85" t="inlineStr">
        <is>
          <t>Unverified</t>
        </is>
      </c>
      <c r="Y85" s="10" t="n"/>
      <c r="Z85" s="1" t="n"/>
      <c r="AA85" t="inlineStr">
        <is>
          <t>No</t>
        </is>
      </c>
    </row>
    <row r="86" ht="12.5" customHeight="1">
      <c r="A86" s="6" t="n">
        <v>45181</v>
      </c>
      <c r="B86" s="1" t="inlineStr">
        <is>
          <t>ORG_1382</t>
        </is>
      </c>
      <c r="C86" s="1" t="b">
        <v>1</v>
      </c>
      <c r="D86" s="1" t="inlineStr">
        <is>
          <t>Drieam</t>
        </is>
      </c>
      <c r="E86" s="10" t="inlineStr">
        <is>
          <t>www.drieam.com</t>
        </is>
      </c>
      <c r="F86" t="inlineStr">
        <is>
          <t>drieam.com</t>
        </is>
      </c>
      <c r="G86" s="1" t="inlineStr">
        <is>
          <t>As designated Canvas partner we enable higher education institutes, business schools and continuing education departments to deliver the ultimate learning experience. We do this by leveraging the best software out there, including our own solutions which all seamlessly integrate with Canvas LMS. In close collaboration with our customers we build modern and flexible education with a virtual learning environment that facilitates effective blended learning and online teaching, student-ownership and lifelong development possibilities. This way we guide educational institutions towards world-class education and make their students come back for more.</t>
        </is>
      </c>
      <c r="H86" s="1" t="inlineStr">
        <is>
          <t>Dutch EdTech</t>
        </is>
      </c>
      <c r="J86" s="1" t="inlineStr">
        <is>
          <t>KW EINDHOVEN</t>
        </is>
      </c>
      <c r="K86" s="1" t="inlineStr">
        <is>
          <t>The Netherlands</t>
        </is>
      </c>
      <c r="L86" s="1" t="inlineStr">
        <is>
          <t>Austria, Belgium, Germany, Ireland, Netherlands, Spain, Switzerland, United Kingdom</t>
        </is>
      </c>
      <c r="M86" s="1" t="inlineStr">
        <is>
          <t>11 to 50</t>
        </is>
      </c>
      <c r="N86" s="1" t="inlineStr">
        <is>
          <t>Business to Business, Business to Government, Business to Schools</t>
        </is>
      </c>
      <c r="O86" s="1" t="inlineStr">
        <is>
          <t>Secondary Education, Higher Education, Lifelong learning/Adult education</t>
        </is>
      </c>
      <c r="P86" s="1" t="inlineStr">
        <is>
          <t>Teacher interfacing, System/Administrative</t>
        </is>
      </c>
      <c r="Q86" t="inlineStr">
        <is>
          <t>Portfolio</t>
        </is>
      </c>
      <c r="R86" s="10" t="inlineStr">
        <is>
          <t>A student-led development and assessment portfolio with authentic 360° feedback and powerful scaffolding tools, fully integrated in your LMS as a plug-in (LTI app).</t>
        </is>
      </c>
      <c r="S86" s="10" t="inlineStr">
        <is>
          <t>Eduframe</t>
        </is>
      </c>
      <c r="T86" t="inlineStr">
        <is>
          <t>The Student Information System and eCommerce Platform for Canvas and continuing education. Attract learners and make them come back for more, save time of staff by automating manual work and provide the most engaging online experiences.</t>
        </is>
      </c>
      <c r="U86" s="1" t="inlineStr">
        <is>
          <t>https://drive.google.com/uc?export=view&amp;id=1URlK7vfUsHHbd1O0v7mNpTkAKtCIdyru</t>
        </is>
      </c>
      <c r="V86" s="1" t="inlineStr">
        <is>
          <t>Unverified</t>
        </is>
      </c>
      <c r="W86" s="1" t="inlineStr">
        <is>
          <t>https://drive.google.com/uc?export=view&amp;id=1URlK7vfUsHHbd1O0v7mNpTkAKtCIdyru</t>
        </is>
      </c>
      <c r="X86" s="1" t="n"/>
      <c r="Y86" s="10" t="n"/>
      <c r="Z86" s="1" t="n"/>
      <c r="AA86" t="inlineStr">
        <is>
          <t>Yes</t>
        </is>
      </c>
      <c r="AB86" t="inlineStr">
        <is>
          <t>https://twitter.com/drieamon?lang=de</t>
        </is>
      </c>
      <c r="AC86" t="inlineStr">
        <is>
          <t>https://twitter.com/drieamon?lang=de</t>
        </is>
      </c>
      <c r="AD86" t="inlineStr">
        <is>
          <t>https://www.linkedin.com/company/drieam/</t>
        </is>
      </c>
    </row>
    <row r="87" ht="12.5" customHeight="1">
      <c r="A87" s="6" t="n">
        <v>45181</v>
      </c>
      <c r="B87" s="1" t="inlineStr">
        <is>
          <t>ORG_2132</t>
        </is>
      </c>
      <c r="C87" s="1" t="b">
        <v>1</v>
      </c>
      <c r="D87" s="1" t="inlineStr">
        <is>
          <t>Prowise B.V.</t>
        </is>
      </c>
      <c r="E87" s="10" t="inlineStr">
        <is>
          <t>www.prowise.com</t>
        </is>
      </c>
      <c r="F87" t="inlineStr">
        <is>
          <t>prowise.com</t>
        </is>
      </c>
      <c r="G87" s="1" t="inlineStr">
        <is>
          <t>Prowise is a leading global company that develops innovative, high quality and reliable digital education solutions. Our Touchscreens, personal devices, lift systems and user-friendly Presenter and Central software allow us to make learning easier and more fun. It’s not just hardware, or software, but a 360 degree solution that works in synergy to ensure that information is not just presented, but experienced. To date more than 20.000 schools, 450.000 teachers and hundreds of companies in 27 different countries make use of the solutions of Prowise.</t>
        </is>
      </c>
      <c r="H87" s="1" t="inlineStr">
        <is>
          <t>I'm not part of any EdTech association</t>
        </is>
      </c>
      <c r="J87" s="1" t="inlineStr">
        <is>
          <t>Budel</t>
        </is>
      </c>
      <c r="K87" s="1" t="inlineStr">
        <is>
          <t>The Netherlands</t>
        </is>
      </c>
      <c r="L87" s="1" t="inlineStr">
        <is>
          <t>Austria, Belgium, Czechia, Denmark, Estonia, France, Germany, Hungary, Iceland, Ireland, Italy, Latvia, Lithuania, Netherlands, Norway, Poland, Romania, Slovakia, Spain, Sweden, Switzerland, United Kingdom</t>
        </is>
      </c>
      <c r="M87" s="1" t="inlineStr">
        <is>
          <t>100+</t>
        </is>
      </c>
      <c r="N87" s="1" t="inlineStr">
        <is>
          <t>Business to Business, Business to Schools</t>
        </is>
      </c>
      <c r="O87" s="1" t="inlineStr">
        <is>
          <t>Primary Education, Secondary Education, Higher Education, Lifelong learning/Adult education</t>
        </is>
      </c>
      <c r="P87" s="1" t="inlineStr">
        <is>
          <t>Teacher interfacing, System/Administrative</t>
        </is>
      </c>
      <c r="S87" t="inlineStr">
        <is>
          <t>https://drive.google.com/uc?export=view&amp;id=1syJzcUP07HK5muKYKGf2KUpW8PDoHgin</t>
        </is>
      </c>
      <c r="T87" t="inlineStr">
        <is>
          <t>https://drive.google.com/uc?export=view&amp;id=1syJzcUP07HK5muKYKGf2KUpW8PDoHgin</t>
        </is>
      </c>
      <c r="U87" t="inlineStr">
        <is>
          <t>https://drive.google.com/uc?export=view&amp;id=1syJzcUP07HK5muKYKGf2KUpW8PDoHgin</t>
        </is>
      </c>
      <c r="V87" t="inlineStr">
        <is>
          <t>Unverified</t>
        </is>
      </c>
      <c r="Y87" s="10" t="n"/>
      <c r="Z87" s="1" t="n"/>
      <c r="AA87" t="inlineStr">
        <is>
          <t>No</t>
        </is>
      </c>
    </row>
    <row r="88" ht="12.5" customHeight="1">
      <c r="A88" s="6" t="n">
        <v>45181</v>
      </c>
      <c r="B88" s="1" t="inlineStr">
        <is>
          <t>ORG_1551</t>
        </is>
      </c>
      <c r="C88" s="1" t="b">
        <v>1</v>
      </c>
      <c r="D88" s="1" t="inlineStr">
        <is>
          <t>Faculty of Skills, TrainTool</t>
        </is>
      </c>
      <c r="E88" s="10" t="inlineStr">
        <is>
          <t>www.faculty.nl</t>
        </is>
      </c>
      <c r="F88" t="inlineStr">
        <is>
          <t>faculty.nl</t>
        </is>
      </c>
      <c r="G88" s="1" t="inlineStr">
        <is>
          <t>Faculty of Skills is a training agency specialized in developing communication skills. We are also the creators of TrainTool, a unique online tool with which you can practice skills in online video roleplays. Our goal is to let you, as an ambitious professional or student, communicate better. This way, you will have more impact, you will reach your goals faster and you will be able to work well together with everyone you meet. We work for large companies and higher education, yearly 20.000+ participants.</t>
        </is>
      </c>
      <c r="H88" s="1" t="inlineStr">
        <is>
          <t>Dutch EdTech</t>
        </is>
      </c>
      <c r="J88" s="1" t="inlineStr">
        <is>
          <t>Utrecht</t>
        </is>
      </c>
      <c r="K88" s="1" t="inlineStr">
        <is>
          <t>The Netherlands</t>
        </is>
      </c>
      <c r="L88" s="1" t="inlineStr">
        <is>
          <t>Austria, Belgium, Denmark, Estonia, Finland, France, Germany, Greece, Hungary, Iceland, Ireland, Italy, Luxembourg, Monaco, Netherlands, Norway, Poland, Portugal, Spain, Sweden, Switzerland, Turkey, United Kingdom</t>
        </is>
      </c>
      <c r="M88" s="1" t="inlineStr">
        <is>
          <t>11 to 50</t>
        </is>
      </c>
      <c r="N88" s="1" t="inlineStr">
        <is>
          <t>Business to Business, Business to Consumer, Business to Schools</t>
        </is>
      </c>
      <c r="O88" s="1" t="inlineStr">
        <is>
          <t>Higher Education, Corporate Training, Lifelong learning/Adult education</t>
        </is>
      </c>
      <c r="P88" s="1" t="inlineStr">
        <is>
          <t>Teacher interfacing, System/Administrative</t>
        </is>
      </c>
      <c r="Q88" s="1" t="n"/>
      <c r="S88" s="1" t="inlineStr">
        <is>
          <t>https://drive.google.com/uc?export=view&amp;id=1l-7LfDCZTFLfN3OIWMmSCcLYpD0sERY7</t>
        </is>
      </c>
      <c r="T88" t="inlineStr">
        <is>
          <t>https://drive.google.com/uc?export=view&amp;id=1l-7LfDCZTFLfN3OIWMmSCcLYpD0sERY7</t>
        </is>
      </c>
      <c r="U88" s="1" t="inlineStr">
        <is>
          <t>https://drive.google.com/uc?export=view&amp;id=1l-7LfDCZTFLfN3OIWMmSCcLYpD0sERY7</t>
        </is>
      </c>
      <c r="V88" s="1" t="inlineStr">
        <is>
          <t>Unverified</t>
        </is>
      </c>
      <c r="Y88" s="10" t="n"/>
      <c r="Z88" s="1" t="n"/>
      <c r="AA88" t="inlineStr">
        <is>
          <t>No</t>
        </is>
      </c>
    </row>
    <row r="89" ht="12.5" customHeight="1">
      <c r="A89" s="6" t="n">
        <v>45181</v>
      </c>
      <c r="B89" s="1" t="inlineStr">
        <is>
          <t>ORG_1699</t>
        </is>
      </c>
      <c r="C89" s="1" t="b">
        <v>1</v>
      </c>
      <c r="D89" s="1" t="inlineStr">
        <is>
          <t>I Save Lives</t>
        </is>
      </c>
      <c r="E89" s="10" t="inlineStr">
        <is>
          <t>https://isavelives.nl/</t>
        </is>
      </c>
      <c r="F89" t="inlineStr">
        <is>
          <t>isavelives.nl</t>
        </is>
      </c>
      <c r="G89" s="1" t="inlineStr">
        <is>
          <t>Cardiac arrest is the biggest killer worldwide. If a bystander knows what to do when it occurs the number of lethal cases can be drastically reduced. The serious game we have developed makes it fun and effective to learn quality CPR in under 30 minutes. To provide an interactive learning experience learners practice on a manikin that is connected to our game. Through minigames and direct feedback, we have gamified the learning experience from start to finish. Our game is currently being used by secondary school teachers to learn their students how to save a life and we are researching further target groups.</t>
        </is>
      </c>
      <c r="H89" s="1" t="inlineStr">
        <is>
          <t>I'm not part of any EdTech association</t>
        </is>
      </c>
      <c r="J89" s="1" t="inlineStr">
        <is>
          <t>AMSTERDAM</t>
        </is>
      </c>
      <c r="K89" s="1" t="inlineStr">
        <is>
          <t>The Netherlands</t>
        </is>
      </c>
      <c r="L89" s="1" t="inlineStr">
        <is>
          <t>Belgium, Netherlands</t>
        </is>
      </c>
      <c r="M89" s="1" t="inlineStr">
        <is>
          <t>0 to 10</t>
        </is>
      </c>
      <c r="N89" s="1" t="inlineStr">
        <is>
          <t>Business to Business, Business to Government, Business to Schools</t>
        </is>
      </c>
      <c r="O89" s="1" t="inlineStr">
        <is>
          <t>Secondary Education, Higher Education, Corporate Training</t>
        </is>
      </c>
      <c r="P89" s="1" t="inlineStr">
        <is>
          <t>Student interfacing, Teacher interfacing, System/Administrative</t>
        </is>
      </c>
      <c r="Q89" s="1" t="n"/>
      <c r="R89" s="1" t="n"/>
      <c r="S89" s="1" t="inlineStr">
        <is>
          <t>https://drive.google.com/uc?export=view&amp;id=1X-iOPTK12k75PUxxms4SnHTeV6EEKP3O</t>
        </is>
      </c>
      <c r="T89" t="inlineStr">
        <is>
          <t>https://drive.google.com/uc?export=view&amp;id=1X-iOPTK12k75PUxxms4SnHTeV6EEKP3O</t>
        </is>
      </c>
      <c r="U89" s="1" t="inlineStr">
        <is>
          <t>https://drive.google.com/uc?export=view&amp;id=1X-iOPTK12k75PUxxms4SnHTeV6EEKP3O</t>
        </is>
      </c>
      <c r="V89" s="1" t="inlineStr">
        <is>
          <t>Unverified</t>
        </is>
      </c>
      <c r="Y89" s="10" t="n"/>
      <c r="Z89" s="1" t="n"/>
      <c r="AA89" t="inlineStr">
        <is>
          <t>No</t>
        </is>
      </c>
    </row>
    <row r="90" ht="12.5" customHeight="1">
      <c r="A90" s="6" t="n">
        <v>45181</v>
      </c>
      <c r="B90" s="1" t="inlineStr">
        <is>
          <t>ORG_2262</t>
        </is>
      </c>
      <c r="C90" s="1" t="b">
        <v>1</v>
      </c>
      <c r="D90" s="1" t="inlineStr">
        <is>
          <t>SkillsUp Training and Research Services</t>
        </is>
      </c>
      <c r="E90" s="10" t="inlineStr">
        <is>
          <t>www.skillsuptraining.org</t>
        </is>
      </c>
      <c r="F90" t="inlineStr">
        <is>
          <t>skillsuptraining.org</t>
        </is>
      </c>
      <c r="G90" s="1" t="inlineStr">
        <is>
          <t>SkillsUp Training and Research Services was established aiming to offer easy access to education opportunities to a wide number of people who are not able to attend a face-to-face program/courses, due to geographical, health, professional, family or other constraints, through EdTech and the use of the internet. In this way, SkillsUp responds to the current and growing needs of our society for learning, through alternative education programs and promotes equal opportunity in education. At the same time, we participate in research project related to education and ICT (Horizon, Erasmus+, as well as project with local businesses and the government)</t>
        </is>
      </c>
      <c r="H90" s="1" t="inlineStr">
        <is>
          <t>I'm not part of any EdTech association</t>
        </is>
      </c>
      <c r="J90" s="1" t="inlineStr">
        <is>
          <t>AMSTERDAM</t>
        </is>
      </c>
      <c r="K90" s="1" t="inlineStr">
        <is>
          <t>The Netherlands</t>
        </is>
      </c>
      <c r="L90" s="1" t="inlineStr">
        <is>
          <t>Belgium, Cyprus, Germany, Greece, Italy, Netherlands, Poland, Romania, Spain, Sweden</t>
        </is>
      </c>
      <c r="M90" s="1" t="inlineStr">
        <is>
          <t>0 to 10</t>
        </is>
      </c>
      <c r="N90" s="1" t="inlineStr">
        <is>
          <t>Business to Consumer</t>
        </is>
      </c>
      <c r="O90" s="1" t="inlineStr">
        <is>
          <t>Primary Education, Secondary Education, Higher Education, Corporate Training, Lifelong learning/Adult education</t>
        </is>
      </c>
      <c r="P90" s="1" t="inlineStr">
        <is>
          <t>Teacher interfacing, Student interfacing, System/Administrative</t>
        </is>
      </c>
      <c r="S90" t="inlineStr">
        <is>
          <t>https://drive.google.com/uc?export=view&amp;id=1iF38OdNi1lc_JnMIhYf7bYqIlUVHXpp_</t>
        </is>
      </c>
      <c r="T90" t="inlineStr">
        <is>
          <t>https://drive.google.com/uc?export=view&amp;id=1iF38OdNi1lc_JnMIhYf7bYqIlUVHXpp_</t>
        </is>
      </c>
      <c r="U90" t="inlineStr">
        <is>
          <t>https://drive.google.com/uc?export=view&amp;id=1iF38OdNi1lc_JnMIhYf7bYqIlUVHXpp_</t>
        </is>
      </c>
      <c r="V90" t="inlineStr">
        <is>
          <t>Unverified</t>
        </is>
      </c>
      <c r="Y90" s="10" t="n"/>
      <c r="Z90" s="1" t="n"/>
      <c r="AA90" t="inlineStr">
        <is>
          <t>No</t>
        </is>
      </c>
    </row>
    <row r="91" ht="12.5" customHeight="1">
      <c r="A91" s="6" t="n">
        <v>45181</v>
      </c>
      <c r="B91" s="1" t="inlineStr">
        <is>
          <t>ORG_1563</t>
        </is>
      </c>
      <c r="C91" s="1" t="b">
        <v>1</v>
      </c>
      <c r="D91" s="1" t="inlineStr">
        <is>
          <t>Finalist</t>
        </is>
      </c>
      <c r="E91" s="10" t="inlineStr">
        <is>
          <t>https://www.finalist.nl/</t>
        </is>
      </c>
      <c r="F91" t="inlineStr">
        <is>
          <t>finalist.nl</t>
        </is>
      </c>
      <c r="G91" s="1" t="inlineStr">
        <is>
          <t>We help schools and universities with student recruitment, student and employee engagement, and other digital transformations. We achieve these goals by using open source and open standards in online tools. These include websites, integration services, and digital workspaces (MySchoolportal.com).
Our websites support the student recruitment process and automates enrollment, through easy-to-use CMS systems, findable content and accessibility.
Our digital workspace give students, teachers, researchers and other employees a personalized portal, social community, and collaboration platform. It integrates not only MS365 but all your applications, for this purpose. This includes scores, schedules, SSO, CRM applications, etc.</t>
        </is>
      </c>
      <c r="H91" s="1" t="inlineStr">
        <is>
          <t>I'm not part of any EdTech association</t>
        </is>
      </c>
      <c r="J91" s="1" t="inlineStr">
        <is>
          <t>ROTTERDAM</t>
        </is>
      </c>
      <c r="K91" s="1" t="inlineStr">
        <is>
          <t>The Netherlands</t>
        </is>
      </c>
      <c r="L91" s="1" t="inlineStr">
        <is>
          <t>Netherlands</t>
        </is>
      </c>
      <c r="M91" s="1" t="inlineStr">
        <is>
          <t>51 to 100</t>
        </is>
      </c>
      <c r="N91" s="1" t="inlineStr">
        <is>
          <t>Business to Business, Business to Consumer, Business to Government, Business to Schools</t>
        </is>
      </c>
      <c r="O91" s="1" t="inlineStr">
        <is>
          <t>Secondary Education, Higher Education</t>
        </is>
      </c>
      <c r="P91" s="1" t="inlineStr">
        <is>
          <t>System/Administrative, Student interfacing, Teacher interfacing</t>
        </is>
      </c>
      <c r="S91" t="inlineStr">
        <is>
          <t>https://drive.google.com/uc?export=view&amp;id=1SDPDUpEw2lixPZu60929iGt4cY3U4jUh</t>
        </is>
      </c>
      <c r="T91" t="inlineStr">
        <is>
          <t>https://drive.google.com/uc?export=view&amp;id=1SDPDUpEw2lixPZu60929iGt4cY3U4jUh</t>
        </is>
      </c>
      <c r="U91" t="inlineStr">
        <is>
          <t>https://drive.google.com/uc?export=view&amp;id=1SDPDUpEw2lixPZu60929iGt4cY3U4jUh</t>
        </is>
      </c>
      <c r="V91" t="inlineStr">
        <is>
          <t>Unverified</t>
        </is>
      </c>
      <c r="Y91" s="10" t="n"/>
      <c r="Z91" s="1" t="n"/>
      <c r="AA91" t="inlineStr">
        <is>
          <t>No</t>
        </is>
      </c>
    </row>
    <row r="92" ht="12.5" customHeight="1">
      <c r="A92" s="6" t="n">
        <v>45181</v>
      </c>
      <c r="B92" s="1" t="inlineStr">
        <is>
          <t>ORG_1825</t>
        </is>
      </c>
      <c r="C92" s="1" t="b">
        <v>1</v>
      </c>
      <c r="D92" s="1" t="inlineStr">
        <is>
          <t>Learn to Quest</t>
        </is>
      </c>
      <c r="E92" s="10" t="inlineStr">
        <is>
          <t>www.learntoquest.com</t>
        </is>
      </c>
      <c r="F92" t="inlineStr">
        <is>
          <t>learntoquest.com</t>
        </is>
      </c>
      <c r="G92" s="1" t="inlineStr">
        <is>
          <t>Learn To Quest stands for high-quality teaching and supervision of research (projects) within education. We believe that with concrete and visual explainations and support, students understand even better how a research cycle works. With our online and offline tools you can easily keep track of the progress of your students, saving you a lot of time and effort.</t>
        </is>
      </c>
      <c r="H92" s="1" t="inlineStr">
        <is>
          <t>Dutch EdTech</t>
        </is>
      </c>
      <c r="J92" s="1" t="inlineStr">
        <is>
          <t>Amersfoort</t>
        </is>
      </c>
      <c r="K92" s="1" t="inlineStr">
        <is>
          <t>The Netherlands</t>
        </is>
      </c>
      <c r="L92" s="1" t="inlineStr">
        <is>
          <t>Belgium, Germany, Netherlands, United Kingdom</t>
        </is>
      </c>
      <c r="M92" s="1" t="inlineStr">
        <is>
          <t>0 to 10</t>
        </is>
      </c>
      <c r="N92" s="1" t="inlineStr">
        <is>
          <t>Business to Business, Business to Government, Business to Schools</t>
        </is>
      </c>
      <c r="O92" s="1" t="inlineStr">
        <is>
          <t>Secondary Education, Higher Education, Corporate Training</t>
        </is>
      </c>
      <c r="P92" s="1" t="inlineStr">
        <is>
          <t>Teacher interfacing</t>
        </is>
      </c>
      <c r="Q92" s="1" t="n"/>
      <c r="S92" s="1" t="inlineStr">
        <is>
          <t>https://drive.google.com/uc?export=view&amp;id=17pHTlMvva_nCNSL_GJLYAk_xARH35Sq3</t>
        </is>
      </c>
      <c r="T92" t="inlineStr">
        <is>
          <t>https://drive.google.com/uc?export=view&amp;id=17pHTlMvva_nCNSL_GJLYAk_xARH35Sq3</t>
        </is>
      </c>
      <c r="U92" s="1" t="inlineStr">
        <is>
          <t>https://drive.google.com/uc?export=view&amp;id=17pHTlMvva_nCNSL_GJLYAk_xARH35Sq3</t>
        </is>
      </c>
      <c r="V92" s="1" t="inlineStr">
        <is>
          <t>Unverified</t>
        </is>
      </c>
      <c r="W92" s="1" t="inlineStr">
        <is>
          <t>https://drive.google.com/uc?export=view&amp;id=17pHTlMvva_nCNSL_GJLYAk_xARH35Sq3</t>
        </is>
      </c>
      <c r="X92" s="1" t="n"/>
      <c r="Y92" s="10" t="n"/>
      <c r="Z92" s="1" t="n"/>
      <c r="AA92" t="inlineStr">
        <is>
          <t>No</t>
        </is>
      </c>
    </row>
    <row r="93" ht="12.5" customHeight="1">
      <c r="A93" s="6" t="n">
        <v>45181</v>
      </c>
      <c r="B93" s="1" t="inlineStr">
        <is>
          <t>ORG_2393</t>
        </is>
      </c>
      <c r="C93" s="1" t="b">
        <v>1</v>
      </c>
      <c r="D93" s="1" t="inlineStr">
        <is>
          <t>The BD School</t>
        </is>
      </c>
      <c r="E93" s="10" t="inlineStr">
        <is>
          <t>https://thebdschool.com/</t>
        </is>
      </c>
      <c r="F93" t="inlineStr">
        <is>
          <t>thebdschool.com</t>
        </is>
      </c>
      <c r="G93" s="1" t="inlineStr">
        <is>
          <t>The BD School is the first personalized learning platform for business development.
We help Business Development Pros acquire the skills and knowledge to become great in this field!</t>
        </is>
      </c>
      <c r="H93" s="1" t="inlineStr">
        <is>
          <t>I'm not part of any EdTech association</t>
        </is>
      </c>
      <c r="J93" s="1" t="inlineStr">
        <is>
          <t>ROTTERDAM</t>
        </is>
      </c>
      <c r="K93" s="1" t="inlineStr">
        <is>
          <t>The Netherlands</t>
        </is>
      </c>
      <c r="L93" s="1" t="inlineStr">
        <is>
          <t>Croatia, Germany, Italy, Netherlands, United Kingdom</t>
        </is>
      </c>
      <c r="M93" s="1" t="inlineStr">
        <is>
          <t>0 to 10</t>
        </is>
      </c>
      <c r="N93" s="1" t="inlineStr">
        <is>
          <t>Business to Consumer</t>
        </is>
      </c>
      <c r="O93" s="1" t="inlineStr">
        <is>
          <t>Corporate Training, Lifelong learning/Adult education</t>
        </is>
      </c>
      <c r="P93" s="1" t="inlineStr">
        <is>
          <t>Student interfacing</t>
        </is>
      </c>
      <c r="R93" s="1" t="n"/>
      <c r="S93" s="1" t="inlineStr">
        <is>
          <t>https://drive.google.com/uc?export=view&amp;id=1XNCmVxaYzYxjStJilI5ChnclHzKKN3EB</t>
        </is>
      </c>
      <c r="T93" t="inlineStr">
        <is>
          <t>https://drive.google.com/uc?export=view&amp;id=1XNCmVxaYzYxjStJilI5ChnclHzKKN3EB</t>
        </is>
      </c>
      <c r="U93" s="1" t="inlineStr">
        <is>
          <t>https://drive.google.com/uc?export=view&amp;id=1XNCmVxaYzYxjStJilI5ChnclHzKKN3EB</t>
        </is>
      </c>
      <c r="V93" s="1" t="inlineStr">
        <is>
          <t>Unverified</t>
        </is>
      </c>
      <c r="W93" s="1" t="inlineStr">
        <is>
          <t>https://drive.google.com/uc?export=view&amp;id=1XNCmVxaYzYxjStJilI5ChnclHzKKN3EB</t>
        </is>
      </c>
      <c r="X93" s="1" t="n"/>
      <c r="Y93" s="10" t="n"/>
      <c r="Z93" s="1" t="n"/>
      <c r="AA93" t="inlineStr">
        <is>
          <t>No</t>
        </is>
      </c>
    </row>
    <row r="94" ht="12.5" customHeight="1">
      <c r="A94" s="6" t="n">
        <v>45181</v>
      </c>
      <c r="B94" s="1" t="inlineStr">
        <is>
          <t>ORG_2458</t>
        </is>
      </c>
      <c r="C94" s="1" t="b">
        <v>1</v>
      </c>
      <c r="D94" s="1" t="inlineStr">
        <is>
          <t>Uni-Life</t>
        </is>
      </c>
      <c r="E94" s="10" t="inlineStr">
        <is>
          <t>www.uni-life.nl</t>
        </is>
      </c>
      <c r="F94" t="inlineStr">
        <is>
          <t>uni-life.nl</t>
        </is>
      </c>
      <c r="G94" s="1" t="inlineStr">
        <is>
          <t>We help universities to get students more involved within their community. By showing students all events, organizations, communities and meet-ups, students are able to meet new people, learn new skills, explore new opportunities and broaden their horizon. As a result they are less likely to dropout and more likely to pursue a follow-up degree at that university.</t>
        </is>
      </c>
      <c r="H94" s="1" t="inlineStr">
        <is>
          <t>Dutch EdTech</t>
        </is>
      </c>
      <c r="J94" s="1" t="inlineStr">
        <is>
          <t>Amsterdam</t>
        </is>
      </c>
      <c r="K94" s="1" t="inlineStr">
        <is>
          <t>The Netherlands</t>
        </is>
      </c>
      <c r="L94" s="1" t="inlineStr">
        <is>
          <t>Belgium, Netherlands, Spain, United Kingdom</t>
        </is>
      </c>
      <c r="M94" s="1" t="inlineStr">
        <is>
          <t>11 to 50</t>
        </is>
      </c>
      <c r="N94" s="1" t="inlineStr">
        <is>
          <t>Business to Consumer, Business to Schools</t>
        </is>
      </c>
      <c r="O94" s="1" t="inlineStr">
        <is>
          <t>Higher Education</t>
        </is>
      </c>
      <c r="P94" s="1" t="inlineStr">
        <is>
          <t>Student interfacing</t>
        </is>
      </c>
      <c r="Q94" s="10" t="inlineStr">
        <is>
          <t>Uni-Life Platform</t>
        </is>
      </c>
      <c r="R94" t="inlineStr">
        <is>
          <t>Students sign-up with their university email, fill in their interests and get an overview of all relevant events, associations, communities, organizations, news, and much more. With a quick swipe or click, they can add content to their calendar, meet new students, join small groups and sign-up/register for events. The platform gives overview of everything happening on and around campus.</t>
        </is>
      </c>
      <c r="S94" s="10" t="inlineStr">
        <is>
          <t>https://drive.google.com/uc?export=view&amp;id=1o9tP7nzRwOBuwW9GnuCxB9aqwgXph-sT</t>
        </is>
      </c>
      <c r="T94" t="inlineStr">
        <is>
          <t>https://drive.google.com/uc?export=view&amp;id=1o9tP7nzRwOBuwW9GnuCxB9aqwgXph-sT</t>
        </is>
      </c>
      <c r="U94" s="1" t="inlineStr">
        <is>
          <t>https://drive.google.com/uc?export=view&amp;id=1o9tP7nzRwOBuwW9GnuCxB9aqwgXph-sT</t>
        </is>
      </c>
      <c r="V94" s="1" t="inlineStr">
        <is>
          <t>Unverified</t>
        </is>
      </c>
      <c r="Y94" s="10" t="n"/>
      <c r="Z94" s="1" t="n"/>
      <c r="AA94" t="inlineStr">
        <is>
          <t>Yes</t>
        </is>
      </c>
      <c r="AB94" t="inlineStr">
        <is>
          <t>https://www.instagram.com/uni_life.nl/</t>
        </is>
      </c>
      <c r="AC94" t="inlineStr">
        <is>
          <t>https://www.linkedin.com/company/uni-life/</t>
        </is>
      </c>
      <c r="AD94" t="inlineStr">
        <is>
          <t>https://www.linkedin.com/company/uni-life/</t>
        </is>
      </c>
    </row>
    <row r="95" ht="12.5" customHeight="1">
      <c r="A95" s="6" t="n">
        <v>45181</v>
      </c>
      <c r="B95" s="1" t="inlineStr">
        <is>
          <t>ORG_1649</t>
        </is>
      </c>
      <c r="C95" s="1" t="b">
        <v>1</v>
      </c>
      <c r="D95" s="1" t="inlineStr">
        <is>
          <t>Growth Tribe</t>
        </is>
      </c>
      <c r="E95" s="10" t="inlineStr">
        <is>
          <t>www.growthtribe.io</t>
        </is>
      </c>
      <c r="F95" t="inlineStr">
        <is>
          <t>growthtribe.io</t>
        </is>
      </c>
      <c r="G95" s="1" t="inlineStr">
        <is>
          <t>Growth Tribe is a digital learning partner for both individuals &amp; organisations, specialising in growth, data, customer experience and digital leadership.
We help our learners and partners acquire the most in-demand digital capabilities through actionable, hands-on and enjoyable courses &amp; learning programs.
We help people grow.</t>
        </is>
      </c>
      <c r="H95" s="1" t="inlineStr">
        <is>
          <t>Dutch EdTech</t>
        </is>
      </c>
      <c r="J95" s="1" t="inlineStr">
        <is>
          <t>AMSTERDAM</t>
        </is>
      </c>
      <c r="K95" s="1" t="inlineStr">
        <is>
          <t>The Netherlands</t>
        </is>
      </c>
      <c r="L95" s="1" t="inlineStr">
        <is>
          <t>Austria, Denmark, Finland, France, Germany, Italy, Netherlands, Portugal, Spain, Sweden, Switzerland, United Kingdom</t>
        </is>
      </c>
      <c r="M95" s="1" t="inlineStr">
        <is>
          <t>100+</t>
        </is>
      </c>
      <c r="N95" s="1" t="inlineStr">
        <is>
          <t>Business to Business, Business to Consumer, Business to Schools</t>
        </is>
      </c>
      <c r="O95" s="1" t="inlineStr">
        <is>
          <t>Corporate Training, Lifelong learning/Adult education</t>
        </is>
      </c>
      <c r="P95" s="1" t="inlineStr">
        <is>
          <t>Student interfacing, System/Administrative</t>
        </is>
      </c>
      <c r="Q95" s="10" t="inlineStr">
        <is>
          <t>Digital courses</t>
        </is>
      </c>
      <c r="R95" s="10" t="inlineStr">
        <is>
          <t>Learn the most in-demand digital skills. We help you and your team get ahead with skills in Growth Marketing, Data Analytics, UX Design and more.</t>
        </is>
      </c>
      <c r="S95" s="10" t="inlineStr">
        <is>
          <t>https://drive.google.com/uc?export=view&amp;id=1aDYHmg8ayW68iL46ChG37eUCROnCRR79</t>
        </is>
      </c>
      <c r="T95" t="inlineStr">
        <is>
          <t>https://drive.google.com/uc?export=view&amp;id=1aDYHmg8ayW68iL46ChG37eUCROnCRR79</t>
        </is>
      </c>
      <c r="U95" s="1" t="inlineStr">
        <is>
          <t>https://drive.google.com/uc?export=view&amp;id=1aDYHmg8ayW68iL46ChG37eUCROnCRR79</t>
        </is>
      </c>
      <c r="V95" s="1" t="inlineStr">
        <is>
          <t>Unverified</t>
        </is>
      </c>
      <c r="Y95" s="10" t="n"/>
      <c r="Z95" s="1" t="n"/>
      <c r="AA95" t="inlineStr">
        <is>
          <t>Yes</t>
        </is>
      </c>
      <c r="AB95" t="inlineStr">
        <is>
          <t>https://www.instagram.com/growthtribe/</t>
        </is>
      </c>
      <c r="AC95" t="inlineStr">
        <is>
          <t>https://twitter.com/GrowthTribe</t>
        </is>
      </c>
      <c r="AD95" t="inlineStr">
        <is>
          <t>https://www.linkedin.com/school/growth-tribe/</t>
        </is>
      </c>
    </row>
    <row r="96" ht="12.5" customHeight="1">
      <c r="A96" s="6" t="n">
        <v>45181</v>
      </c>
      <c r="B96" s="1" t="inlineStr">
        <is>
          <t>ORG_2416</t>
        </is>
      </c>
      <c r="C96" s="1" t="b">
        <v>1</v>
      </c>
      <c r="D96" s="1" t="inlineStr">
        <is>
          <t>TMI</t>
        </is>
      </c>
      <c r="E96" s="10" t="inlineStr">
        <is>
          <t>https://tmi.one</t>
        </is>
      </c>
      <c r="F96" t="inlineStr">
        <is>
          <t>tmi.one</t>
        </is>
      </c>
      <c r="G96" s="1" t="inlineStr">
        <is>
          <t>TMI believes that technology and media should be a fundamental part of education anywhere on the globe. However, we see that changes within tech and media are happening too fast for traditional educational parties to keep up with. This results in a serious lack of digital upbringing in many children. 
TMI is taking education to the future by helping educational institutions and schools to participate in an (digital) ecosystem in which traditional education is transformed to a new and better form of learning; through project-based-learning, Agora education, formative assessment and gamified learning experiences. We are TMI, and we’re fighting to give everyone an equal opportunity to utilize the online world to the best of their abilities.</t>
        </is>
      </c>
      <c r="H96" s="1" t="inlineStr">
        <is>
          <t>I'm not part of any EdTech association</t>
        </is>
      </c>
      <c r="J96" s="1" t="inlineStr">
        <is>
          <t>UTRECHT</t>
        </is>
      </c>
      <c r="K96" s="1" t="inlineStr">
        <is>
          <t>The Netherlands</t>
        </is>
      </c>
      <c r="L96" s="1" t="inlineStr">
        <is>
          <t>Belgium, Hungary, Netherlands, Norway</t>
        </is>
      </c>
      <c r="M96" s="1" t="inlineStr">
        <is>
          <t>11 to 50</t>
        </is>
      </c>
      <c r="N96" s="1" t="inlineStr">
        <is>
          <t>Business to Government, Business to Schools</t>
        </is>
      </c>
      <c r="O96" s="1" t="inlineStr">
        <is>
          <t>Secondary Education, Higher Education</t>
        </is>
      </c>
      <c r="P96" s="1" t="inlineStr">
        <is>
          <t>System/Administrative, Student interfacing, Teacher interfacing</t>
        </is>
      </c>
      <c r="Q96" s="1" t="n"/>
      <c r="R96" s="1" t="n"/>
      <c r="S96" s="1" t="inlineStr">
        <is>
          <t>https://drive.google.com/uc?export=view&amp;id=1BHvXFoqdrxRE5cXcrIvrmj0yJfnXUOnS</t>
        </is>
      </c>
      <c r="T96" t="inlineStr">
        <is>
          <t>https://drive.google.com/uc?export=view&amp;id=1BHvXFoqdrxRE5cXcrIvrmj0yJfnXUOnS</t>
        </is>
      </c>
      <c r="U96" s="1" t="inlineStr">
        <is>
          <t>https://drive.google.com/uc?export=view&amp;id=1BHvXFoqdrxRE5cXcrIvrmj0yJfnXUOnS</t>
        </is>
      </c>
      <c r="V96" s="1" t="inlineStr">
        <is>
          <t>Unverified</t>
        </is>
      </c>
      <c r="W96" s="1" t="inlineStr">
        <is>
          <t>https://drive.google.com/uc?export=view&amp;id=1BHvXFoqdrxRE5cXcrIvrmj0yJfnXUOnS</t>
        </is>
      </c>
      <c r="X96" s="1" t="n"/>
      <c r="Y96" s="10" t="n"/>
      <c r="Z96" s="1" t="n"/>
      <c r="AA96" t="inlineStr">
        <is>
          <t>No</t>
        </is>
      </c>
    </row>
    <row r="97" ht="12.5" customHeight="1">
      <c r="A97" s="6" t="n">
        <v>45181</v>
      </c>
      <c r="B97" s="1" t="inlineStr">
        <is>
          <t>ORG_1772</t>
        </is>
      </c>
      <c r="C97" s="1" t="b">
        <v>1</v>
      </c>
      <c r="D97" s="1" t="inlineStr">
        <is>
          <t>KIMO</t>
        </is>
      </c>
      <c r="E97" s="10" t="inlineStr">
        <is>
          <t>www.kimo.ai</t>
        </is>
      </c>
      <c r="F97" t="inlineStr">
        <is>
          <t>kimo.ai</t>
        </is>
      </c>
      <c r="G97" s="1" t="inlineStr">
        <is>
          <t>KIMO is a next-gen learning platform that allows a company’s employees to get the best learning content instantly. Our solution is faster, cheaper, and more efficient than all the learning solutions on the market, as it allows bringing all the free content on the web on board (next to typically paid items) in an advanced neural search engine for high-quality content. The AI engine is further augmented by live sessions with industry experts who dial in twice per week to discuss the latest trends.</t>
        </is>
      </c>
      <c r="H97" s="1" t="inlineStr">
        <is>
          <t>I'm not part of any EdTech association</t>
        </is>
      </c>
      <c r="J97" s="1" t="inlineStr">
        <is>
          <t>AMSTERDAM</t>
        </is>
      </c>
      <c r="K97" s="1" t="inlineStr">
        <is>
          <t>The Netherlands</t>
        </is>
      </c>
      <c r="L97" s="1" t="inlineStr">
        <is>
          <t>Austria, Belgium, Bulgaria, Croatia, Cyprus, Denmark, Estonia, Finland, France, Germany, Greece, Hungary, Iceland, Ireland, Italy, Latvia, Lithuania, Luxembourg, Malta, Moldova, Monaco, Montenegro, Netherlands, Norway, Poland, Portugal, Romania, Serbia, Slovakia, Slovenia, Spain, Sweden, Switzerland, Turkey, Ukraine, United Kingdom</t>
        </is>
      </c>
      <c r="M97" s="1" t="inlineStr">
        <is>
          <t>11 to 50</t>
        </is>
      </c>
      <c r="N97" s="1" t="inlineStr">
        <is>
          <t>Business to Business, Business to Government</t>
        </is>
      </c>
      <c r="O97" s="1" t="inlineStr">
        <is>
          <t>Higher Education, Corporate Training, Lifelong learning/Adult education</t>
        </is>
      </c>
      <c r="P97" s="1" t="inlineStr">
        <is>
          <t>Student interfacing, System/Administrative</t>
        </is>
      </c>
      <c r="Q97" s="1" t="n"/>
      <c r="R97" s="1" t="n"/>
      <c r="S97" s="1" t="inlineStr">
        <is>
          <t>https://drive.google.com/uc?export=view&amp;id=1LSdf7QVbmsgCzmd_1ghdPq_3zHy7OvJj</t>
        </is>
      </c>
      <c r="T97" t="inlineStr">
        <is>
          <t>https://drive.google.com/uc?export=view&amp;id=1LSdf7QVbmsgCzmd_1ghdPq_3zHy7OvJj</t>
        </is>
      </c>
      <c r="U97" s="1" t="inlineStr">
        <is>
          <t>https://drive.google.com/uc?export=view&amp;id=1LSdf7QVbmsgCzmd_1ghdPq_3zHy7OvJj</t>
        </is>
      </c>
      <c r="V97" s="1" t="inlineStr">
        <is>
          <t>Unverified</t>
        </is>
      </c>
      <c r="W97" s="1" t="inlineStr">
        <is>
          <t>https://drive.google.com/uc?export=view&amp;id=1LSdf7QVbmsgCzmd_1ghdPq_3zHy7OvJj</t>
        </is>
      </c>
      <c r="X97" s="1" t="n"/>
      <c r="Y97" s="10" t="n"/>
      <c r="Z97" s="1" t="n"/>
      <c r="AA97" t="inlineStr">
        <is>
          <t>No</t>
        </is>
      </c>
    </row>
    <row r="98" ht="12.5" customHeight="1">
      <c r="A98" s="6" t="n">
        <v>45679</v>
      </c>
      <c r="B98" s="1" t="inlineStr">
        <is>
          <t>ORG_1263</t>
        </is>
      </c>
      <c r="C98" s="1" t="b">
        <v>1</v>
      </c>
      <c r="D98" s="1" t="inlineStr">
        <is>
          <t>Cloudwise</t>
        </is>
      </c>
      <c r="E98" s="1" t="inlineStr">
        <is>
          <t>cloudwise.cool</t>
        </is>
      </c>
      <c r="F98" t="inlineStr">
        <is>
          <t>cloudwise.cool</t>
        </is>
      </c>
      <c r="G98" s="1" t="inlineStr">
        <is>
          <t>Your virtual teaching assistant.
COOL supports you every day, every step of the way. Wherever learning happens.</t>
        </is>
      </c>
      <c r="H98" s="1" t="inlineStr">
        <is>
          <t>I'm not part of any EdTech association</t>
        </is>
      </c>
      <c r="J98" s="1" t="inlineStr">
        <is>
          <t>WOERDEN</t>
        </is>
      </c>
      <c r="K98" s="1" t="inlineStr">
        <is>
          <t>The Netherlands</t>
        </is>
      </c>
      <c r="L98" s="1" t="inlineStr">
        <is>
          <t>Austria, Belgium, Bulgaria, Denmark, Finland, France, Germany, Italy, Netherlands, Spain, United Kingdom</t>
        </is>
      </c>
      <c r="M98" s="1" t="inlineStr">
        <is>
          <t>0 to 10</t>
        </is>
      </c>
      <c r="N98" s="1" t="inlineStr">
        <is>
          <t>Business to Business, Business to Consumer</t>
        </is>
      </c>
      <c r="O98" s="1" t="inlineStr">
        <is>
          <t>Early childhood development (0-5 years), Primary Education, Secondary Education</t>
        </is>
      </c>
      <c r="P98" s="1" t="inlineStr">
        <is>
          <t>Student interfacing, Teacher interfacing, System/Administrative</t>
        </is>
      </c>
      <c r="Q98" s="10" t="inlineStr">
        <is>
          <t>COOL portal</t>
        </is>
      </c>
      <c r="R98" s="1" t="inlineStr">
        <is>
          <t>COOL gets you and your students off to a flying start in every school day. With just 1 login, you can access all educational apps and schoolwork, as well as your Google Workspace or Microsoft 365 environment. Easy, secure and fast!
Free to use
Single sign-on
All edu apps in 1 platform</t>
        </is>
      </c>
      <c r="S98" s="10" t="inlineStr">
        <is>
          <t>COOL Easy login</t>
        </is>
      </c>
      <c r="T98" t="inlineStr">
        <is>
          <t>Empower young students. Let them log in to their Chrome device and Google account with a picture password or QR code. All by themselves.
4-9 yrs
Easy and fast login
Age-appropriate and secure
Connected with students' Google accounts</t>
        </is>
      </c>
      <c r="U98" s="1" t="inlineStr">
        <is>
          <t>https://drive.google.com/uc?export=view&amp;id=1ILaxrDs73EMaq1bq33tkHKLoTmggcbD6</t>
        </is>
      </c>
      <c r="V98" s="1" t="inlineStr">
        <is>
          <t>Verified</t>
        </is>
      </c>
      <c r="W98" s="1" t="inlineStr">
        <is>
          <t>https://drive.google.com/uc?export=view&amp;id=1ILaxrDs73EMaq1bq33tkHKLoTmggcbD6</t>
        </is>
      </c>
      <c r="X98" s="1" t="n"/>
      <c r="Y98" s="10" t="n"/>
      <c r="Z98" s="1" t="n"/>
      <c r="AA98" t="inlineStr">
        <is>
          <t>Yes</t>
        </is>
      </c>
      <c r="AB98" t="inlineStr">
        <is>
          <t>https://www.instagram.com/coolcloudwise/</t>
        </is>
      </c>
      <c r="AC98" t="inlineStr">
        <is>
          <t>https://www.linkedin.com/company/64560789/admin/</t>
        </is>
      </c>
      <c r="AD98" t="inlineStr">
        <is>
          <t>https://www.linkedin.com/company/64560789/admin/</t>
        </is>
      </c>
    </row>
    <row r="99" ht="12.5" customHeight="1">
      <c r="A99" s="6" t="n">
        <v>45181</v>
      </c>
      <c r="B99" s="1" t="inlineStr">
        <is>
          <t>ORG_1642</t>
        </is>
      </c>
      <c r="C99" s="1" t="b">
        <v>1</v>
      </c>
      <c r="D99" s="1" t="inlineStr">
        <is>
          <t>Grasple</t>
        </is>
      </c>
      <c r="E99" s="10" t="inlineStr">
        <is>
          <t>https://grasple.com/</t>
        </is>
      </c>
      <c r="F99" t="inlineStr">
        <is>
          <t>grasple.com</t>
        </is>
      </c>
      <c r="G99" s="1" t="inlineStr">
        <is>
          <t>Grasple is an online practice and assessment platform for math and statistics education. 
By using our online editor, educators can collaboratively create, find and share interactive exercises, and offer their students the ability to practice more often and receive personalised feedback. This leads to more engagement and better results, and subsequently results in a worldwide collection of openly licensed high-quality learning materials.</t>
        </is>
      </c>
      <c r="H99" s="1" t="inlineStr">
        <is>
          <t>Dutch EdTech</t>
        </is>
      </c>
      <c r="J99" s="1" t="inlineStr">
        <is>
          <t>AMSTERDAM</t>
        </is>
      </c>
      <c r="K99" s="1" t="inlineStr">
        <is>
          <t>The Netherlands</t>
        </is>
      </c>
      <c r="L99" s="1" t="inlineStr">
        <is>
          <t>Belgium, Denmark, Netherlands, United Kingdom</t>
        </is>
      </c>
      <c r="M99" s="1" t="inlineStr">
        <is>
          <t>11 to 50</t>
        </is>
      </c>
      <c r="N99" s="1" t="inlineStr">
        <is>
          <t>Business to Business, Business to Consumer, Business to Schools</t>
        </is>
      </c>
      <c r="O99" s="1" t="inlineStr">
        <is>
          <t>Higher Education</t>
        </is>
      </c>
      <c r="P99" s="1" t="inlineStr">
        <is>
          <t>Student interfacing, Teacher interfacing</t>
        </is>
      </c>
      <c r="Q99" s="1" t="inlineStr">
        <is>
          <t>Grasple - create, edit and share open exercises and lessons for Math and Statistics</t>
        </is>
      </c>
      <c r="R99" s="10" t="inlineStr">
        <is>
          <t>With Grasple educators can create interactive learning materials and include a personalized approach into their education. 
As a result, students are more engaged with the actual subject and get to practice more often, leading to better results. 
Educators also gain the ability to collectively create exercises and build upon a worldwide collection of high-quality resources to improve and activate math and statistics education.</t>
        </is>
      </c>
      <c r="S99" s="10" t="inlineStr">
        <is>
          <t>Grasple Summative testing module</t>
        </is>
      </c>
      <c r="T99" t="inlineStr">
        <is>
          <t>Grasple is a platform to create, edit and share open exercises and lessons for Math and Statistics. In the platform you can learn by exercising, formative testing and with the add on module summative testing. Grasple beliefs supporting modulair learning, learning on demand and adaptive learning will help enjoy learning difficult concepts such as math and statistics. Formative and summative testing is becoming more and more intertwined.</t>
        </is>
      </c>
      <c r="U99" s="1" t="inlineStr">
        <is>
          <t>https://drive.google.com/uc?export=view&amp;id=1_2E3wxPy5209rebyhDsriyK04iQMt25u</t>
        </is>
      </c>
      <c r="V99" s="1" t="inlineStr">
        <is>
          <t>Unverified</t>
        </is>
      </c>
      <c r="W99" s="1" t="inlineStr">
        <is>
          <t>https://drive.google.com/uc?export=view&amp;id=1_2E3wxPy5209rebyhDsriyK04iQMt25u</t>
        </is>
      </c>
      <c r="X99" s="1" t="n"/>
      <c r="Y99" s="10" t="n"/>
      <c r="Z99" s="1" t="n"/>
      <c r="AA99" t="inlineStr">
        <is>
          <t>Yes</t>
        </is>
      </c>
      <c r="AB99" t="inlineStr">
        <is>
          <t>https://twitter.com/opengrasple</t>
        </is>
      </c>
      <c r="AC99" t="inlineStr">
        <is>
          <t>https://twitter.com/opengrasple</t>
        </is>
      </c>
      <c r="AD99" t="inlineStr">
        <is>
          <t>https://www.linkedin.com/company/grasple</t>
        </is>
      </c>
    </row>
    <row r="100" ht="12.5" customHeight="1">
      <c r="A100" s="6" t="n">
        <v>45181</v>
      </c>
      <c r="B100" s="1" t="inlineStr">
        <is>
          <t>ORG_2247</t>
        </is>
      </c>
      <c r="C100" s="1" t="b">
        <v>1</v>
      </c>
      <c r="D100" s="1" t="inlineStr">
        <is>
          <t>Simulise</t>
        </is>
      </c>
      <c r="E100" s="10" t="inlineStr">
        <is>
          <t>www.simulise.com</t>
        </is>
      </c>
      <c r="F100" t="inlineStr">
        <is>
          <t>simulise.com</t>
        </is>
      </c>
      <c r="G100" s="1" t="inlineStr">
        <is>
          <t>It was our dream to provide all students with an online portfolio that shows who they are and what they can do. The portfolio had to remain the property of the student long after school.
And it worked! With over 125,000 users in the Netherlands and Belgium, we have outgrown the start-up phase.</t>
        </is>
      </c>
      <c r="H100" s="1" t="inlineStr">
        <is>
          <t>Dutch EdTech</t>
        </is>
      </c>
      <c r="I100" s="1" t="n"/>
      <c r="J100" s="1" t="inlineStr">
        <is>
          <t>Hilversum</t>
        </is>
      </c>
      <c r="K100" s="1" t="inlineStr">
        <is>
          <t>The Netherlands</t>
        </is>
      </c>
      <c r="L100" s="1" t="inlineStr">
        <is>
          <t>Belgium, Netherlands</t>
        </is>
      </c>
      <c r="M100" s="1" t="inlineStr">
        <is>
          <t>0 to 10</t>
        </is>
      </c>
      <c r="N100" s="1" t="inlineStr">
        <is>
          <t>Business to Consumer, Business to Government, Business to Schools</t>
        </is>
      </c>
      <c r="O100" s="1" t="inlineStr">
        <is>
          <t>Primary Education, Secondary Education, Higher Education, Lifelong learning/Adult education</t>
        </is>
      </c>
      <c r="P100" s="1" t="inlineStr">
        <is>
          <t>Student interfacing, Teacher interfacing</t>
        </is>
      </c>
      <c r="R100" s="1" t="n"/>
      <c r="S100" s="1" t="inlineStr">
        <is>
          <t>https://drive.google.com/uc?export=view&amp;id=1J4kX3JLkCh0qXuXQOJjHVQtUJM_52sBc</t>
        </is>
      </c>
      <c r="T100" t="inlineStr">
        <is>
          <t>https://drive.google.com/uc?export=view&amp;id=1J4kX3JLkCh0qXuXQOJjHVQtUJM_52sBc</t>
        </is>
      </c>
      <c r="U100" s="1" t="inlineStr">
        <is>
          <t>https://drive.google.com/uc?export=view&amp;id=1J4kX3JLkCh0qXuXQOJjHVQtUJM_52sBc</t>
        </is>
      </c>
      <c r="V100" s="1" t="inlineStr">
        <is>
          <t>Unverified</t>
        </is>
      </c>
      <c r="W100" s="1" t="inlineStr">
        <is>
          <t>https://drive.google.com/uc?export=view&amp;id=1J4kX3JLkCh0qXuXQOJjHVQtUJM_52sBc</t>
        </is>
      </c>
      <c r="X100" s="1" t="n"/>
      <c r="Y100" s="10" t="n"/>
      <c r="Z100" s="1" t="n"/>
      <c r="AA100" t="inlineStr">
        <is>
          <t>No</t>
        </is>
      </c>
    </row>
    <row r="101" ht="12.5" customHeight="1">
      <c r="A101" s="6" t="n">
        <v>45181</v>
      </c>
      <c r="B101" s="1" t="inlineStr">
        <is>
          <t>ORG_1240</t>
        </is>
      </c>
      <c r="C101" s="1" t="b">
        <v>1</v>
      </c>
      <c r="D101" s="1" t="inlineStr">
        <is>
          <t>Cirrus Assessment</t>
        </is>
      </c>
      <c r="E101" s="10" t="inlineStr">
        <is>
          <t>https://cirrusassessment.com/</t>
        </is>
      </c>
      <c r="F101" t="inlineStr">
        <is>
          <t>cirrusassessment.com</t>
        </is>
      </c>
      <c r="G101" s="1" t="inlineStr">
        <is>
          <t>The next generation in e-assessment, Cirrus is an end-to-end assessment platform that supports educators and learners throughout the assessment process: from creating and delivering digital exams to grading and analysis. 
Designed with ease of use in mind, Cirrus operates across any browser-enabled device and is cloud-based for increased availability and scalability.</t>
        </is>
      </c>
      <c r="H101" s="1" t="n"/>
      <c r="I101" s="1" t="n"/>
      <c r="J101" s="1" t="inlineStr">
        <is>
          <t>UTRECHT</t>
        </is>
      </c>
      <c r="K101" s="1" t="inlineStr">
        <is>
          <t>The Netherlands</t>
        </is>
      </c>
      <c r="L101" s="1" t="inlineStr">
        <is>
          <t>France, Germany, Ireland, Netherlands, United Kingdom</t>
        </is>
      </c>
      <c r="M101" s="1" t="inlineStr">
        <is>
          <t>11 to 50</t>
        </is>
      </c>
      <c r="N101" s="1" t="inlineStr">
        <is>
          <t>Business to Business</t>
        </is>
      </c>
      <c r="O101" s="1" t="inlineStr">
        <is>
          <t>Higher Education, Corporate Training, Lifelong learning/Adult education</t>
        </is>
      </c>
      <c r="P101" s="1" t="inlineStr">
        <is>
          <t>System/Administrative</t>
        </is>
      </c>
      <c r="Q101" s="1" t="n"/>
      <c r="R101" s="1" t="n"/>
      <c r="S101" s="1" t="inlineStr">
        <is>
          <t>https://drive.google.com/uc?export=view&amp;id=1hpvReY11SzhgaUfWRN_aiiR57aRYrNG6</t>
        </is>
      </c>
      <c r="T101" t="inlineStr">
        <is>
          <t>https://drive.google.com/uc?export=view&amp;id=1hpvReY11SzhgaUfWRN_aiiR57aRYrNG6</t>
        </is>
      </c>
      <c r="U101" s="1" t="inlineStr">
        <is>
          <t>https://drive.google.com/uc?export=view&amp;id=1hpvReY11SzhgaUfWRN_aiiR57aRYrNG6</t>
        </is>
      </c>
      <c r="V101" s="1" t="inlineStr">
        <is>
          <t>Unverified</t>
        </is>
      </c>
      <c r="Y101" s="10" t="n"/>
      <c r="Z101" s="1" t="n"/>
      <c r="AA101" t="inlineStr">
        <is>
          <t>No</t>
        </is>
      </c>
    </row>
    <row r="102" ht="12.5" customHeight="1">
      <c r="A102" s="6" t="n">
        <v>45181</v>
      </c>
      <c r="B102" s="1" t="inlineStr">
        <is>
          <t>ORG_1431</t>
        </is>
      </c>
      <c r="C102" s="1" t="b">
        <v>1</v>
      </c>
      <c r="D102" s="1" t="inlineStr">
        <is>
          <t>Education Hackathon</t>
        </is>
      </c>
      <c r="E102" s="10" t="inlineStr">
        <is>
          <t>Nickvanbreda.com/hackathon</t>
        </is>
      </c>
      <c r="F102" t="inlineStr">
        <is>
          <t>nickvanbreda.com/hackathon</t>
        </is>
      </c>
      <c r="G102" s="1" t="inlineStr">
        <is>
          <t>We help solve complex Educational problems in hackathon and living lab programs to accelerate Future proof education by constantly rethinking the status quo with multidisciplinair teams in- and outside education. Leveraging exponential trends and technologies.</t>
        </is>
      </c>
      <c r="H102" s="1" t="inlineStr">
        <is>
          <t>I'm not part of any EdTech association</t>
        </is>
      </c>
      <c r="I102" s="1" t="n"/>
      <c r="J102" s="1" t="inlineStr">
        <is>
          <t>UDEN</t>
        </is>
      </c>
      <c r="K102" s="1" t="inlineStr">
        <is>
          <t>The Netherlands</t>
        </is>
      </c>
      <c r="L102" s="1" t="inlineStr">
        <is>
          <t>Austria, Belgium, Denmark, France, Germany, Italy, Netherlands, Norway, Portugal, Spain, United Kingdom</t>
        </is>
      </c>
      <c r="M102" s="1" t="inlineStr">
        <is>
          <t>0 to 10</t>
        </is>
      </c>
      <c r="N102" s="1" t="inlineStr">
        <is>
          <t>Business to Business, Business to Consumer, Business to Government, Business to Schools</t>
        </is>
      </c>
      <c r="O102" s="1" t="inlineStr">
        <is>
          <t>Early childhood development (0-5 years), Primary Education, Secondary Education, Higher Education, Corporate Training, Lifelong learning/Adult education</t>
        </is>
      </c>
      <c r="P102" s="1" t="inlineStr">
        <is>
          <t>System/Administrative, Student interfacing, Teacher interfacing</t>
        </is>
      </c>
      <c r="Q102" s="10" t="inlineStr">
        <is>
          <t>Education Hackathon</t>
        </is>
      </c>
      <c r="R102" s="10" t="inlineStr">
        <is>
          <t>In 12 - 68 hours we work towards holistic solutions for pre-defined education challenges. We can organize and facilitate such events, hackathons/innovation pressure cookers from A to Z. Including production, accomodation, venue, decorations and inspiration sessions like Future tech tables, comedians, cartoonists and design Thinking facilitators.</t>
        </is>
      </c>
      <c r="S102" s="10" t="inlineStr">
        <is>
          <t>Sprint Coaching</t>
        </is>
      </c>
      <c r="T102" t="inlineStr">
        <is>
          <t>After defining an opportunity route out of hackathons or problem definition, we help guide (management) teams to implement startup culture and attributen into their organization to setup new business units that can then 10x scale ideas and pilots into market disruptions.</t>
        </is>
      </c>
      <c r="U102" s="1" t="inlineStr">
        <is>
          <t>https://drive.google.com/uc?export=view&amp;id=1F_tT22xEBdjbuGobmzrCx_N0cMwq00WA</t>
        </is>
      </c>
      <c r="V102" s="1" t="inlineStr">
        <is>
          <t>Unverified</t>
        </is>
      </c>
      <c r="W102" s="1" t="inlineStr">
        <is>
          <t>https://drive.google.com/uc?export=view&amp;id=1F_tT22xEBdjbuGobmzrCx_N0cMwq00WA</t>
        </is>
      </c>
      <c r="X102" s="1" t="n"/>
      <c r="Y102" s="10" t="n"/>
      <c r="Z102" s="1" t="n"/>
      <c r="AA102" t="inlineStr">
        <is>
          <t>Yes</t>
        </is>
      </c>
      <c r="AB102" t="inlineStr">
        <is>
          <t>Http://instagram.com/nickvanbreda</t>
        </is>
      </c>
      <c r="AC102" t="inlineStr">
        <is>
          <t>Http://twitter.com/nickvanbreda</t>
        </is>
      </c>
      <c r="AD102" t="inlineStr">
        <is>
          <t>LinkedIn.com/in/nickvanbreda</t>
        </is>
      </c>
    </row>
    <row r="103" ht="12.5" customHeight="1">
      <c r="A103" s="6" t="n">
        <v>45181</v>
      </c>
      <c r="B103" s="1" t="inlineStr">
        <is>
          <t>ORG_1722</t>
        </is>
      </c>
      <c r="C103" s="1" t="b">
        <v>1</v>
      </c>
      <c r="D103" s="1" t="inlineStr">
        <is>
          <t>Infowijs</t>
        </is>
      </c>
      <c r="E103" s="10" t="inlineStr">
        <is>
          <t>https://infowijs.nl</t>
        </is>
      </c>
      <c r="F103" t="inlineStr">
        <is>
          <t>infowijs.nl</t>
        </is>
      </c>
      <c r="G103" s="1" t="inlineStr">
        <is>
          <t>Clear communication between schools, parents and students forms the bedrock of a good education, to which both parents and schools can contribute. Therefore, clear, simple and straightforward communication should be a top priority for schools.
Infowijs enables schools to do exactly this with a number of software solutions, developed in co-creation with secondary schools. Hoy, our communication app, and Schoolwiki, the digital school guide.</t>
        </is>
      </c>
      <c r="H103" s="1" t="inlineStr">
        <is>
          <t>Dutch EdTech</t>
        </is>
      </c>
      <c r="I103" s="1" t="n"/>
      <c r="J103" s="1" t="inlineStr">
        <is>
          <t>Amsterdam</t>
        </is>
      </c>
      <c r="K103" s="1" t="inlineStr">
        <is>
          <t>The Netherlands</t>
        </is>
      </c>
      <c r="L103" s="1" t="inlineStr">
        <is>
          <t>Netherlands</t>
        </is>
      </c>
      <c r="M103" s="1" t="inlineStr">
        <is>
          <t>0 to 10</t>
        </is>
      </c>
      <c r="N103" s="1" t="inlineStr">
        <is>
          <t>Business to Business, Business to Consumer, Business to Schools</t>
        </is>
      </c>
      <c r="O103" s="1" t="inlineStr">
        <is>
          <t>Secondary Education</t>
        </is>
      </c>
      <c r="P103" s="1" t="inlineStr">
        <is>
          <t>System/Administrative, Student interfacing, Teacher interfacing</t>
        </is>
      </c>
      <c r="Q103" s="10" t="inlineStr">
        <is>
          <t>Hoy</t>
        </is>
      </c>
      <c r="R103" s="10" t="inlineStr">
        <is>
          <t>With Hoy every high school can communicate via their own mobile app. The app enables schools and teachers to keep in contact with parents and students easily and directly, while gaining overview and protecting their privacy.</t>
        </is>
      </c>
      <c r="S103" s="10" t="inlineStr">
        <is>
          <t>Schoolwiki</t>
        </is>
      </c>
      <c r="T103" t="inlineStr">
        <is>
          <t>A modern online school guide, allowing parents and students to quickly access all of the practical school information. Via any device. While the school keeps all information up to date in no time.</t>
        </is>
      </c>
      <c r="U103" s="1" t="inlineStr">
        <is>
          <t>https://drive.google.com/uc?export=view&amp;id=1m5Bs1wsPDh0x7EcBY6ui5IMpci7HCtup</t>
        </is>
      </c>
      <c r="V103" s="1" t="inlineStr">
        <is>
          <t>Unverified</t>
        </is>
      </c>
      <c r="W103" s="1" t="inlineStr">
        <is>
          <t>https://drive.google.com/uc?export=view&amp;id=1m5Bs1wsPDh0x7EcBY6ui5IMpci7HCtup</t>
        </is>
      </c>
      <c r="X103" s="1" t="n"/>
      <c r="Y103" s="10" t="n"/>
      <c r="Z103" s="1" t="n"/>
      <c r="AA103" t="inlineStr">
        <is>
          <t>Yes</t>
        </is>
      </c>
      <c r="AB103" t="inlineStr">
        <is>
          <t>https://www.instagram.com/infowijs/</t>
        </is>
      </c>
      <c r="AC103" t="inlineStr">
        <is>
          <t>https://twitter.com/infowijs</t>
        </is>
      </c>
      <c r="AD103" t="inlineStr">
        <is>
          <t>https://www.linkedin.com/company/infowijs/</t>
        </is>
      </c>
    </row>
    <row r="104" ht="12.5" customHeight="1">
      <c r="A104" s="6" t="n">
        <v>45181</v>
      </c>
      <c r="B104" s="1" t="inlineStr">
        <is>
          <t>ORG_1847</t>
        </is>
      </c>
      <c r="C104" s="1" t="b">
        <v>1</v>
      </c>
      <c r="D104" s="1" t="inlineStr">
        <is>
          <t>Leer Zelf Online</t>
        </is>
      </c>
      <c r="E104" s="10" t="inlineStr">
        <is>
          <t>leerzelfonline.nl</t>
        </is>
      </c>
      <c r="F104" t="inlineStr">
        <is>
          <t>leerzelfonline.nl</t>
        </is>
      </c>
      <c r="G104" s="1" t="inlineStr">
        <is>
          <t>Social enterprise Leer Zelf Online is specialized in explaining difficult subjects in an easy to understand way.
We focus our efforts on people that are vulnerable in society and have limited (digital) skills. We do this step by step, using simplified language, attractive illustrations and animations. Our combined platforms receives over three million visitors per year from all walks of life.</t>
        </is>
      </c>
      <c r="H104" s="1" t="inlineStr">
        <is>
          <t>I'm not part of any EdTech association</t>
        </is>
      </c>
      <c r="J104" s="1" t="inlineStr">
        <is>
          <t>WOERDEN</t>
        </is>
      </c>
      <c r="K104" s="1" t="inlineStr">
        <is>
          <t>The Netherlands</t>
        </is>
      </c>
      <c r="L104" s="1" t="inlineStr">
        <is>
          <t>Netherlands</t>
        </is>
      </c>
      <c r="M104" s="1" t="inlineStr">
        <is>
          <t>11 to 50</t>
        </is>
      </c>
      <c r="N104" s="1" t="inlineStr">
        <is>
          <t>Business to Business, Business to Consumer, Business to Schools</t>
        </is>
      </c>
      <c r="O104" s="1" t="inlineStr">
        <is>
          <t>Early childhood development (0-5 years), Primary Education, Corporate Training, Lifelong learning/Adult education</t>
        </is>
      </c>
      <c r="P104" s="1" t="inlineStr">
        <is>
          <t>System/Administrative, Teacher interfacing, Student interfacing</t>
        </is>
      </c>
      <c r="Q104" s="10" t="inlineStr">
        <is>
          <t>Steffie</t>
        </is>
      </c>
      <c r="R104" s="10" t="inlineStr">
        <is>
          <t>Supporting guide
All explanations from our Avatar Steffie are both in text and are spoken by our animated figure Steffie. Steffie is the guide that takes you through the subject matter and supports you along the way. The feeling of being supported throughout the explanations is very much appreciated by our users, as this is usually lacking in other online learning and information tools. To improve their skills, users can practice subjects in different forms, that fit the subject matter best.
Many subjects
Steffie helps with a wide selection of subjects, like financial and administrative skills, news, health, relations and sexuality as well as computer skills. Steffie makes information comprehensible for the Dutch government about vaccination, quarantine, self-testing, social benefits and elections. Steffie empowers people in these areas by reducing anxiety, transferring knowledge and building up self-esteem.</t>
        </is>
      </c>
      <c r="S104" s="10" t="inlineStr">
        <is>
          <t>ABCDate</t>
        </is>
      </c>
      <c r="T104" t="inlineStr">
        <is>
          <t>ABCDate is for people of 18 years or older with an intellectual disability. They can meet new people on this website. For example, to do fun things together, to share a hobby, to make friends or to look for a relationship.
You can only use ABCDate if your healthcare organization has agreements with ABCDate. We want to build a nationwide network so that everyone will soon have a lot to choose from! ABCDate consists of an easy and safe to use app, websites and special events.</t>
        </is>
      </c>
      <c r="U104" s="1" t="inlineStr">
        <is>
          <t>https://drive.google.com/uc?export=view&amp;id=1RxrE5GT7RhcQ1NwkZ07Xw87w3UNG7oW1</t>
        </is>
      </c>
      <c r="V104" s="1" t="inlineStr">
        <is>
          <t>Unverified</t>
        </is>
      </c>
      <c r="W104" s="1" t="inlineStr">
        <is>
          <t>https://drive.google.com/uc?export=view&amp;id=1RxrE5GT7RhcQ1NwkZ07Xw87w3UNG7oW1</t>
        </is>
      </c>
      <c r="X104" s="1" t="n"/>
      <c r="Y104" s="10" t="n"/>
      <c r="Z104" s="1" t="n"/>
      <c r="AA104" t="inlineStr">
        <is>
          <t>Yes</t>
        </is>
      </c>
      <c r="AB104" t="inlineStr">
        <is>
          <t>https://www.instagram.com/steffiehelpt/</t>
        </is>
      </c>
      <c r="AC104" t="inlineStr">
        <is>
          <t>https://twitter.com/leerzelfonline</t>
        </is>
      </c>
      <c r="AD104" t="inlineStr">
        <is>
          <t>https://www.linkedin.com/company/10372565/admin/</t>
        </is>
      </c>
    </row>
    <row r="105" ht="12.5" customHeight="1">
      <c r="A105" s="6" t="n">
        <v>45181</v>
      </c>
      <c r="B105" s="1" t="inlineStr">
        <is>
          <t>ORG_2220</t>
        </is>
      </c>
      <c r="C105" s="1" t="b">
        <v>1</v>
      </c>
      <c r="D105" s="1" t="inlineStr">
        <is>
          <t>Scorecard</t>
        </is>
      </c>
      <c r="E105" s="1" t="inlineStr">
        <is>
          <t>www.scorecard.school</t>
        </is>
      </c>
      <c r="F105" t="inlineStr">
        <is>
          <t>scorecard.school</t>
        </is>
      </c>
      <c r="G105" s="1" t="inlineStr">
        <is>
          <t>Scorecard's mission is to make all study skills visible.</t>
        </is>
      </c>
      <c r="H105" s="1" t="n"/>
      <c r="J105" s="1" t="inlineStr">
        <is>
          <t>Amerongen</t>
        </is>
      </c>
      <c r="K105" s="1" t="inlineStr">
        <is>
          <t>The Netherlands</t>
        </is>
      </c>
      <c r="L105" s="1" t="inlineStr">
        <is>
          <t>Belgium, France, Germany, Italy, Netherlands, Portugal, Serbia, Spain, Turkey, United Kingdom</t>
        </is>
      </c>
      <c r="M105" s="1" t="inlineStr">
        <is>
          <t>0 to 10</t>
        </is>
      </c>
      <c r="N105" s="1" t="inlineStr">
        <is>
          <t>Business to Business, Business to Government, Business to Schools</t>
        </is>
      </c>
      <c r="O105" s="1" t="inlineStr">
        <is>
          <t>Secondary Education, Higher Education, Corporate Training, Lifelong learning/Adult education</t>
        </is>
      </c>
      <c r="P105" s="1" t="inlineStr">
        <is>
          <t>Teacher interfacing, System/Administrative, Student interfacing</t>
        </is>
      </c>
      <c r="Q105" s="1" t="inlineStr">
        <is>
          <t>StudyCard</t>
        </is>
      </c>
      <c r="R105" s="1" t="inlineStr">
        <is>
          <t>StudyCard makes all study skills visible that students have obtained throughout their school and study curriculum e.g. hard and soft skills, competencies on various taxonomy levels.</t>
        </is>
      </c>
      <c r="S105" s="10" t="inlineStr">
        <is>
          <t>Curriculum Maker</t>
        </is>
      </c>
      <c r="T105" t="inlineStr">
        <is>
          <t>Defining a curriculum can be tedious and takes a lot of time and effort. Curriculum maker helps you with your constructive alignment that matches your study learning outcomes. How many leaning goals do we have? Do the learning goals meet the module deliverables? On which level are the students assessed? Which competencies and skills do we measure? And how often? Curriculum Maker helps you to map out your curriculum in an easy structured way and provides a clear overview of your curriculum.</t>
        </is>
      </c>
      <c r="U105" s="1" t="inlineStr">
        <is>
          <t>https://drive.google.com/uc?export=view&amp;id=1oPtTBVD5cK6ckhfn0thL0h55f76ohqPs</t>
        </is>
      </c>
      <c r="V105" s="1" t="inlineStr">
        <is>
          <t>Unverified</t>
        </is>
      </c>
      <c r="W105" s="1" t="inlineStr">
        <is>
          <t>https://drive.google.com/uc?export=view&amp;id=1oPtTBVD5cK6ckhfn0thL0h55f76ohqPs</t>
        </is>
      </c>
      <c r="X105" s="1" t="n"/>
      <c r="Y105" s="10" t="n"/>
      <c r="Z105" s="1" t="n"/>
      <c r="AA105" t="inlineStr">
        <is>
          <t>Yes</t>
        </is>
      </c>
      <c r="AB105" t="inlineStr">
        <is>
          <t>Wireheads</t>
        </is>
      </c>
      <c r="AC105" t="inlineStr">
        <is>
          <t>Wireheads</t>
        </is>
      </c>
      <c r="AD105" t="inlineStr">
        <is>
          <t>https://www.linkedin.com/company/scorecardsuite/</t>
        </is>
      </c>
    </row>
    <row r="106" ht="12.5" customHeight="1">
      <c r="A106" s="6" t="n">
        <v>45182</v>
      </c>
      <c r="B106" s="1" t="inlineStr">
        <is>
          <t>ORG_2299</t>
        </is>
      </c>
      <c r="C106" s="1" t="b">
        <v>1</v>
      </c>
      <c r="D106" s="1" t="inlineStr">
        <is>
          <t>SOWISO</t>
        </is>
      </c>
      <c r="E106" s="10" t="inlineStr">
        <is>
          <t>https://sowiso.nl/en/</t>
        </is>
      </c>
      <c r="F106" t="inlineStr">
        <is>
          <t>sowiso.nl/en</t>
        </is>
      </c>
      <c r="G106" s="1" t="inlineStr">
        <is>
          <t>SOWISO is an award-winning online learning and testing environment for STEM that increases student engagement and saves teachers time. Unlike other platforms, SOWISO provides students with intuitive, real-time feedback on their work, and teachers benefit from unlimited support, including from our in-house maths specialists, so that every one of our partners can best meet their teaching needs.
Our tool is used by more than 60 leading educational institutions worldwide, supporting over 450,000 students with improved STEM learning.</t>
        </is>
      </c>
      <c r="H106" s="1" t="inlineStr">
        <is>
          <t>Dutch EdTech</t>
        </is>
      </c>
      <c r="I106" s="1" t="inlineStr">
        <is>
          <t>English, Dutch, Spanish</t>
        </is>
      </c>
      <c r="J106" s="1" t="inlineStr">
        <is>
          <t>AMSTERDAM</t>
        </is>
      </c>
      <c r="K106" s="1" t="inlineStr">
        <is>
          <t>The Netherlands</t>
        </is>
      </c>
      <c r="L106" s="1" t="inlineStr">
        <is>
          <t>Belgium, Denmark, Estonia, Ireland, Netherlands, Norway, Serbia, Spain, United Kingdom</t>
        </is>
      </c>
      <c r="M106" s="1" t="inlineStr">
        <is>
          <t>11 to 50</t>
        </is>
      </c>
      <c r="N106" s="1" t="inlineStr">
        <is>
          <t>Business to Consumer</t>
        </is>
      </c>
      <c r="O106" s="1" t="inlineStr">
        <is>
          <t>Secondary Education, Vocational Education and Training (VET), Higher Education</t>
        </is>
      </c>
      <c r="P106" s="1" t="inlineStr">
        <is>
          <t>Teacher interfacing</t>
        </is>
      </c>
      <c r="Q106" t="inlineStr">
        <is>
          <t>SOWISO</t>
        </is>
      </c>
      <c r="R106" s="10" t="inlineStr">
        <is>
          <t>SOWISO is a learning and testing environment for STEM. It uses randomised questions, allowing students to learn through practice. Students receive hints according to the information they enter and automated personalised feedback, simulating private tutoring.
SOWISO can be used just by students for homework and practice. It can also be used as a full curriculum for teachers to follow. Teaching staff can use a predetermined curriculum provided by SOWISO, like a digital interactive textbook, or customise it.</t>
        </is>
      </c>
      <c r="S106" s="10" t="inlineStr">
        <is>
          <t>OMPT</t>
        </is>
      </c>
      <c r="T106" t="inlineStr">
        <is>
          <t>Online Mathematics Placement Test (OMPT) is a number of different admission exams students can take anywhere and anytime, safely proctored throughout the year. 
A preparation course and mock exams complement the real exams to help students be even better prepared. OMPT not only offers six ready-made admission exams but also can (co-)design an exam that would match university-specific admission requirements.</t>
        </is>
      </c>
      <c r="U106" s="1" t="inlineStr">
        <is>
          <t>https://drive.google.com/uc?export=view&amp;id=126DlVncFDmXSQhjYEGvK3Zq6UkeN4RQI</t>
        </is>
      </c>
      <c r="V106" s="1" t="inlineStr">
        <is>
          <t>Unverified</t>
        </is>
      </c>
      <c r="W106" s="1" t="inlineStr">
        <is>
          <t>https://drive.google.com/uc?export=view&amp;id=126DlVncFDmXSQhjYEGvK3Zq6UkeN4RQI</t>
        </is>
      </c>
      <c r="X106" s="1" t="n"/>
      <c r="Y106" s="10" t="n"/>
      <c r="Z106" s="1" t="n"/>
      <c r="AA106" t="inlineStr">
        <is>
          <t>Yes</t>
        </is>
      </c>
      <c r="AB106" t="inlineStr">
        <is>
          <t>https://twitter.com/sowisobv</t>
        </is>
      </c>
      <c r="AC106" t="inlineStr">
        <is>
          <t>https://twitter.com/sowisobv</t>
        </is>
      </c>
      <c r="AD106" t="inlineStr">
        <is>
          <t>https://www.linkedin.com/company/sowiso/</t>
        </is>
      </c>
    </row>
    <row r="107" ht="12.5" customHeight="1">
      <c r="A107" s="6" t="n">
        <v>45181</v>
      </c>
      <c r="B107" s="1" t="inlineStr">
        <is>
          <t>ORG_1015</t>
        </is>
      </c>
      <c r="C107" s="1" t="b">
        <v>1</v>
      </c>
      <c r="D107" s="1" t="inlineStr">
        <is>
          <t>5miles</t>
        </is>
      </c>
      <c r="E107" s="10" t="inlineStr">
        <is>
          <t>https://www.5miles.nl</t>
        </is>
      </c>
      <c r="F107" t="inlineStr">
        <is>
          <t>5miles.nl</t>
        </is>
      </c>
      <c r="G107" s="1" t="inlineStr">
        <is>
          <t>5miles is an online learning tool where professionals can improve their data &amp; digital skills in an innovative and inspiring way – and that in just 5 minutes a day. Using our unique challenge-based method, people become better, faster and more accurate in the tools they use on a daily basis – like Excel, PowerPoint and Power BI.
Companies already benefiting from 5miles on a global scale include ABN AMRO, Achmea and KPMG.
Founded in 2015, the company is based in Amsterdam with a team of 15.</t>
        </is>
      </c>
      <c r="H107" s="1" t="inlineStr">
        <is>
          <t>Dutch EdTech</t>
        </is>
      </c>
      <c r="I107" s="1" t="inlineStr">
        <is>
          <t>English, German, Dutch, French</t>
        </is>
      </c>
      <c r="J107" s="1" t="inlineStr">
        <is>
          <t>Amsterdam</t>
        </is>
      </c>
      <c r="K107" s="1" t="inlineStr">
        <is>
          <t>The Netherlands</t>
        </is>
      </c>
      <c r="L107" s="1" t="inlineStr">
        <is>
          <t>Belgium, France, Germany, Netherlands, United Kingdom</t>
        </is>
      </c>
      <c r="M107" s="1" t="inlineStr">
        <is>
          <t>6 to 10</t>
        </is>
      </c>
      <c r="N107" s="1" t="inlineStr">
        <is>
          <t>Business to Business</t>
        </is>
      </c>
      <c r="O107" s="1" t="inlineStr">
        <is>
          <t>Corporate Training, Lifelong learning/Adult education</t>
        </is>
      </c>
      <c r="P107" s="1" t="inlineStr">
        <is>
          <t>System/Administrative</t>
        </is>
      </c>
      <c r="Q107" s="10" t="inlineStr">
        <is>
          <t>5miles online learning tool</t>
        </is>
      </c>
      <c r="R107" s="10" t="inlineStr">
        <is>
          <t>Using a micro-learning approach, 5miles enables busy professionals to learn something new every day in just 5 minutes - giving them the insights they need to work smarter.
In particular, 5miles is a great match for professionals in the finance, consulting and insurance sectors. Companies where data and analytical skills are very important, influencing the quality of decision making and productivity. 
5miles started by offering courses in Microsoft Excel, VBA and PowerPoint, and recently added its first Outlook, Power BI and Teams modules. We continue to grow our training offering to meet the expanding needs of today and tomorrow’s workforce.</t>
        </is>
      </c>
      <c r="S107" s="10" t="inlineStr">
        <is>
          <t>https://drive.google.com/uc?export=view&amp;id=1InudfeaVxj--tjRsSJE3W4hhdKVrU1ps</t>
        </is>
      </c>
      <c r="T107" t="inlineStr">
        <is>
          <t>https://drive.google.com/uc?export=view&amp;id=1InudfeaVxj--tjRsSJE3W4hhdKVrU1ps</t>
        </is>
      </c>
      <c r="U107" s="1" t="inlineStr">
        <is>
          <t>https://drive.google.com/uc?export=view&amp;id=1InudfeaVxj--tjRsSJE3W4hhdKVrU1ps</t>
        </is>
      </c>
      <c r="V107" s="1" t="inlineStr">
        <is>
          <t>Unverified</t>
        </is>
      </c>
      <c r="Y107" s="10" t="n"/>
      <c r="Z107" s="1" t="n"/>
      <c r="AA107" t="inlineStr">
        <is>
          <t>Yes</t>
        </is>
      </c>
      <c r="AB107" t="inlineStr">
        <is>
          <t>https://www.instagram.com/5mileshq/</t>
        </is>
      </c>
      <c r="AC107" t="inlineStr">
        <is>
          <t>https://twitter.com/5milesHQ/</t>
        </is>
      </c>
      <c r="AD107" t="inlineStr">
        <is>
          <t>https://www.linkedin.com/company/5miles/</t>
        </is>
      </c>
    </row>
    <row r="108" ht="12.5" customHeight="1">
      <c r="A108" s="6" t="n">
        <v>45185</v>
      </c>
      <c r="B108" s="1" t="inlineStr">
        <is>
          <t>ORG_1568</t>
        </is>
      </c>
      <c r="C108" s="1" t="b">
        <v>1</v>
      </c>
      <c r="D108" s="1" t="inlineStr">
        <is>
          <t>Flowley</t>
        </is>
      </c>
      <c r="E108" s="10" t="inlineStr">
        <is>
          <t>https://flowley.nl</t>
        </is>
      </c>
      <c r="F108" t="inlineStr">
        <is>
          <t>flowley.nl</t>
        </is>
      </c>
      <c r="G108" s="1" t="inlineStr">
        <is>
          <t>We are on a mission to provide all students with a fun and easy way to start working on their own well-being in a positive way. Not just at the moment when they experience problems, but rather preventatively in order to avoid them. We do this by creating awareness and providing the essential life skills from an educational perspective that fully fits their perception and personal life stage/challenges. Therefore Flowley offers both inspiration ánd activation with the aim of getting students to take their own first steps. The community of fellow students can help and motivate each other on a peer-to-peer basis. This way there is only one place where you as a student can go for everything relating to personal development &amp; well-being and where you can start your own personal journey at your convenience.</t>
        </is>
      </c>
      <c r="H108" s="1" t="inlineStr">
        <is>
          <t>Dutch EdTech</t>
        </is>
      </c>
      <c r="I108" s="1" t="inlineStr">
        <is>
          <t>Dutch</t>
        </is>
      </c>
      <c r="J108" s="1" t="inlineStr">
        <is>
          <t>Utrecht</t>
        </is>
      </c>
      <c r="K108" s="1" t="inlineStr">
        <is>
          <t>The Netherlands</t>
        </is>
      </c>
      <c r="L108" s="1" t="inlineStr">
        <is>
          <t>Netherlands</t>
        </is>
      </c>
      <c r="M108" s="1" t="inlineStr">
        <is>
          <t>0 to 2</t>
        </is>
      </c>
      <c r="N108" s="1" t="inlineStr">
        <is>
          <t>Business to Business, Business to Consumer, Business to Government, Business to Schools</t>
        </is>
      </c>
      <c r="O108" s="1" t="inlineStr">
        <is>
          <t>Secondary Education, Corporate Training, Lifelong learning/Adult education, Vocational Education and Training (VET), Higher Education</t>
        </is>
      </c>
      <c r="P108" s="1" t="inlineStr">
        <is>
          <t>Student interfacing, Teacher interfacing, System/Administrative</t>
        </is>
      </c>
      <c r="Q108" t="inlineStr">
        <is>
          <t>Flowley</t>
        </is>
      </c>
      <c r="R108" t="inlineStr">
        <is>
          <t>We facilitate a central (community) environment for all students where they can discover, at any given time and according to their own interests, a wide range of themes/challenges that are (in)directly related to their personal/identity development. We look at this from a holistic perspective and we package it towards the student as personal development &amp; well-being, in which health skills, social-emotional skills, personal happiness and pleasant studying/working form the core.</t>
        </is>
      </c>
      <c r="S108" s="10" t="inlineStr">
        <is>
          <t>https://drive.google.com/uc?export=view&amp;id=1PNUN4QlQ1H_gG3a5iCZkRRim6upBiIx2</t>
        </is>
      </c>
      <c r="T108" t="inlineStr">
        <is>
          <t>https://drive.google.com/uc?export=view&amp;id=1PNUN4QlQ1H_gG3a5iCZkRRim6upBiIx2</t>
        </is>
      </c>
      <c r="U108" s="1" t="inlineStr">
        <is>
          <t>https://drive.google.com/uc?export=view&amp;id=1PNUN4QlQ1H_gG3a5iCZkRRim6upBiIx2</t>
        </is>
      </c>
      <c r="V108" s="1" t="inlineStr">
        <is>
          <t>Unverified</t>
        </is>
      </c>
      <c r="Y108" s="10" t="n"/>
      <c r="Z108" s="1" t="n"/>
      <c r="AA108" t="inlineStr">
        <is>
          <t>Yes</t>
        </is>
      </c>
      <c r="AC108" t="inlineStr">
        <is>
          <t>https://www.linkedin.com/company/flowley/</t>
        </is>
      </c>
      <c r="AD108" t="inlineStr">
        <is>
          <t>https://www.linkedin.com/company/flowley/</t>
        </is>
      </c>
    </row>
    <row r="109" ht="12.5" customHeight="1">
      <c r="A109" s="6" t="n">
        <v>45182</v>
      </c>
      <c r="B109" s="1" t="inlineStr">
        <is>
          <t>ORG_2174</t>
        </is>
      </c>
      <c r="C109" s="1" t="b">
        <v>1</v>
      </c>
      <c r="D109" s="1" t="inlineStr">
        <is>
          <t>Reducate_</t>
        </is>
      </c>
      <c r="E109" s="10" t="inlineStr">
        <is>
          <t>www.reducate.com</t>
        </is>
      </c>
      <c r="F109" t="inlineStr">
        <is>
          <t>reducate.com</t>
        </is>
      </c>
      <c r="G109" s="1" t="inlineStr">
        <is>
          <t>Reducate_ is a platform of European online continuing professional education. We aim to become Europe’s biggest online CPE platform in a wide range of verticals. Today 200.000 professionals within 40 verticals in The Netherlands and Scandinavia have daily access to the 2.400 online courses of Reducate_. Daughter companies of Reducate_ are E-WISE, E-learning Made Easy and THAR (Netherlands) and Blueprint Learning (Denmark)</t>
        </is>
      </c>
      <c r="H109" s="1" t="inlineStr">
        <is>
          <t>I'm not part of any EdTech association</t>
        </is>
      </c>
      <c r="I109" s="1" t="inlineStr">
        <is>
          <t>Dutch, Danish</t>
        </is>
      </c>
      <c r="J109" s="1" t="inlineStr">
        <is>
          <t>Utrecht</t>
        </is>
      </c>
      <c r="K109" s="1" t="inlineStr">
        <is>
          <t>The Netherlands</t>
        </is>
      </c>
      <c r="L109" s="1" t="inlineStr">
        <is>
          <t>Denmark, Netherlands</t>
        </is>
      </c>
      <c r="M109" s="1" t="inlineStr">
        <is>
          <t>101 to 500</t>
        </is>
      </c>
      <c r="N109" s="1" t="inlineStr">
        <is>
          <t>Business to Business, Business to Government, Business to Schools</t>
        </is>
      </c>
      <c r="O109" s="1" t="inlineStr">
        <is>
          <t>Lifelong learning/Adult education</t>
        </is>
      </c>
      <c r="P109" s="1" t="inlineStr">
        <is>
          <t>Teacher interfacing, System/Administrative</t>
        </is>
      </c>
      <c r="Q109" t="inlineStr">
        <is>
          <t>Various</t>
        </is>
      </c>
      <c r="R109" t="inlineStr">
        <is>
          <t>Online continuing professional education under the labels E-WISE &amp; LearnLet (teachers, schools and child daycare), CME-Online &amp; DENTAkurser(medical sector), PE-Academy &amp; REVIkurser (financial &amp; legal sector), PO-Online &amp; ADVOkurser (lawyers), EME (nursing, care takers), Thar (transport &amp; logistic sector) and SchultzCampus (municipalities)</t>
        </is>
      </c>
      <c r="S109" s="10" t="inlineStr">
        <is>
          <t>https://drive.google.com/uc?export=view&amp;id=1zYaJfbhr60-aCi9Zs1aJsMrklPRgE_BG</t>
        </is>
      </c>
      <c r="T109" t="inlineStr">
        <is>
          <t>https://drive.google.com/uc?export=view&amp;id=1zYaJfbhr60-aCi9Zs1aJsMrklPRgE_BG</t>
        </is>
      </c>
      <c r="U109" s="1" t="inlineStr">
        <is>
          <t>https://drive.google.com/uc?export=view&amp;id=1zYaJfbhr60-aCi9Zs1aJsMrklPRgE_BG</t>
        </is>
      </c>
      <c r="V109" s="1" t="inlineStr">
        <is>
          <t>Unverified</t>
        </is>
      </c>
      <c r="W109" s="1" t="inlineStr">
        <is>
          <t>https://drive.google.com/uc?export=view&amp;id=1zYaJfbhr60-aCi9Zs1aJsMrklPRgE_BG</t>
        </is>
      </c>
      <c r="X109" s="1" t="n"/>
      <c r="Y109" s="10" t="n"/>
      <c r="Z109" s="1" t="n"/>
      <c r="AA109" t="inlineStr">
        <is>
          <t>Yes</t>
        </is>
      </c>
      <c r="AC109" t="inlineStr">
        <is>
          <t>https://www.linkedin.com/company/reducate/</t>
        </is>
      </c>
      <c r="AD109" t="inlineStr">
        <is>
          <t>https://www.linkedin.com/company/reducate/</t>
        </is>
      </c>
    </row>
    <row r="110" ht="12.5" customHeight="1">
      <c r="A110" s="6" t="n">
        <v>45181</v>
      </c>
      <c r="B110" s="1" t="inlineStr">
        <is>
          <t>ORG_1994</t>
        </is>
      </c>
      <c r="C110" s="1" t="b">
        <v>1</v>
      </c>
      <c r="D110" s="1" t="inlineStr">
        <is>
          <t>Mr. Chadd</t>
        </is>
      </c>
      <c r="E110" s="10" t="inlineStr">
        <is>
          <t>https://www.mrchadd.nl/</t>
        </is>
      </c>
      <c r="F110" t="inlineStr">
        <is>
          <t>mrchadd.nl</t>
        </is>
      </c>
      <c r="G110" s="1" t="inlineStr">
        <is>
          <t>Mr. Chadd: the digital teaching assistant
Teachers have a new solution in busy classrooms: Mr. Chadd. Pupils can ask their homework questions on our app that runs on mobile phone, tablet or desktop. Within ten seconds they are connected with a qualified, university student. They help the pupils until they understand the matter their questions was about. Mr. Chadd can provide help during class, or as an extra support outside the classroom.
We offer support for all courses and for all levels. By using Mr. Chadd, teachers get the opportunity to help single students, while others can ask their questions on Mr. Chadd. We see the results of the pupils that use Mr. Chadd improving and they have more fun studying!</t>
        </is>
      </c>
      <c r="H110" s="1" t="inlineStr">
        <is>
          <t>I'm not part of any EdTech association</t>
        </is>
      </c>
      <c r="I110" s="1" t="n"/>
      <c r="J110" s="1" t="inlineStr">
        <is>
          <t>GRONINGEN</t>
        </is>
      </c>
      <c r="K110" s="1" t="inlineStr">
        <is>
          <t>The Netherlands</t>
        </is>
      </c>
      <c r="L110" s="1" t="inlineStr">
        <is>
          <t>Belgium, Netherlands</t>
        </is>
      </c>
      <c r="M110" s="1" t="inlineStr">
        <is>
          <t>11 to 50</t>
        </is>
      </c>
      <c r="N110" s="1" t="inlineStr">
        <is>
          <t>Business to Business, Business to Consumer, Business to Schools</t>
        </is>
      </c>
      <c r="O110" s="1" t="inlineStr">
        <is>
          <t>Secondary Education, Higher Education</t>
        </is>
      </c>
      <c r="P110" s="1" t="inlineStr">
        <is>
          <t>System/Administrative, Student interfacing, Teacher interfacing</t>
        </is>
      </c>
      <c r="Q110" s="1" t="n"/>
      <c r="S110" s="1" t="inlineStr">
        <is>
          <t>https://drive.google.com/uc?export=view&amp;id=14fT4FXXZ-YiTbXfbqJFqfnbu1XmeJx8C</t>
        </is>
      </c>
      <c r="T110" t="inlineStr">
        <is>
          <t>https://drive.google.com/uc?export=view&amp;id=14fT4FXXZ-YiTbXfbqJFqfnbu1XmeJx8C</t>
        </is>
      </c>
      <c r="U110" s="1" t="inlineStr">
        <is>
          <t>https://drive.google.com/uc?export=view&amp;id=14fT4FXXZ-YiTbXfbqJFqfnbu1XmeJx8C</t>
        </is>
      </c>
      <c r="V110" s="1" t="inlineStr">
        <is>
          <t>Unverified</t>
        </is>
      </c>
      <c r="Y110" s="10" t="n"/>
      <c r="Z110" s="1" t="n"/>
      <c r="AA110" t="inlineStr">
        <is>
          <t>No</t>
        </is>
      </c>
    </row>
    <row r="111" ht="12.5" customHeight="1">
      <c r="A111" s="6" t="n">
        <v>45181</v>
      </c>
      <c r="B111" s="1" t="inlineStr">
        <is>
          <t>ORG_1999</t>
        </is>
      </c>
      <c r="C111" s="1" t="b">
        <v>1</v>
      </c>
      <c r="D111" s="1" t="inlineStr">
        <is>
          <t>My Education Lifestyle</t>
        </is>
      </c>
      <c r="E111" s="10" t="inlineStr">
        <is>
          <t>http://myeducation.company/</t>
        </is>
      </c>
      <c r="F111" t="inlineStr">
        <is>
          <t>myeducation.company</t>
        </is>
      </c>
      <c r="G111" s="1" t="inlineStr">
        <is>
          <t>Skills such as critical thinking, problem solving, financial literacy, stress resilience and active learning are at the top of the list of what young people need to develop so that they will have an interest in the next five years. And the traditional school system fails to teach them. The students experience that they do not feel heard when it comes to personal development and their mental health. They also experience that they have to switch between different apps to get to school information, which costs them time and energy. They also need balance, fun and connection. The teachers do not experience interaction through their current app and see the motivation of the students decrease. The parents experience little contact from school about their children's progress. My Education Lifestyle ensures that young people need to develop soft and hard skills and we prepare them for the increasing change of technology where traditional schools fail. We offer an all-in-one solution app that is user-friendly for the youth, schools and the parents where they will experience balance, fun and gaining knowledge at the same time. This will prepare millions of young people for the future.</t>
        </is>
      </c>
      <c r="H111" s="1" t="inlineStr">
        <is>
          <t>I'm not part of any EdTech association</t>
        </is>
      </c>
      <c r="J111" s="1" t="inlineStr">
        <is>
          <t>Purmerend</t>
        </is>
      </c>
      <c r="K111" s="1" t="inlineStr">
        <is>
          <t>The Netherlands</t>
        </is>
      </c>
      <c r="L111" s="1" t="inlineStr">
        <is>
          <t>Netherlands</t>
        </is>
      </c>
      <c r="M111" s="1" t="inlineStr">
        <is>
          <t>0 to 10</t>
        </is>
      </c>
      <c r="N111" s="1" t="inlineStr">
        <is>
          <t>Business to Business, Business to Consumer, Business to Schools</t>
        </is>
      </c>
      <c r="O111" s="1" t="inlineStr">
        <is>
          <t>Secondary Education, Higher Education, Corporate Training</t>
        </is>
      </c>
      <c r="P111" s="1" t="inlineStr">
        <is>
          <t>System/Administrative, Student interfacing, Teacher interfacing</t>
        </is>
      </c>
      <c r="S111" t="inlineStr">
        <is>
          <t>https://drive.google.com/uc?export=view&amp;id=1DsOMND6IPzIUdf6Fhgw3TD4aVaEdsEnu</t>
        </is>
      </c>
      <c r="T111" t="inlineStr">
        <is>
          <t>https://drive.google.com/uc?export=view&amp;id=1DsOMND6IPzIUdf6Fhgw3TD4aVaEdsEnu</t>
        </is>
      </c>
      <c r="U111" t="inlineStr">
        <is>
          <t>https://drive.google.com/uc?export=view&amp;id=1DsOMND6IPzIUdf6Fhgw3TD4aVaEdsEnu</t>
        </is>
      </c>
      <c r="V111" t="inlineStr">
        <is>
          <t>Unverified</t>
        </is>
      </c>
      <c r="Y111" s="10" t="n"/>
      <c r="Z111" s="1" t="n"/>
      <c r="AA111" t="inlineStr">
        <is>
          <t>No</t>
        </is>
      </c>
    </row>
    <row r="112" ht="12.5" customHeight="1">
      <c r="A112" s="6" t="n">
        <v>45182</v>
      </c>
      <c r="B112" s="1" t="inlineStr">
        <is>
          <t>ORG_1390</t>
        </is>
      </c>
      <c r="C112" s="1" t="b">
        <v>1</v>
      </c>
      <c r="D112" s="1" t="inlineStr">
        <is>
          <t>E-WISE</t>
        </is>
      </c>
      <c r="E112" s="10" t="inlineStr">
        <is>
          <t>www.e-wise.com</t>
        </is>
      </c>
      <c r="F112" t="inlineStr">
        <is>
          <t>e-wise.com</t>
        </is>
      </c>
      <c r="G112" s="1" t="inlineStr">
        <is>
          <t>E-WISE was founded 25 years ago and is by far market leader in The Netherlands in online continuing professional educational in verticals in the medical, financial, legal and school sector. Via its subscription based platform every day 135.000 course participants can now choose from more than 1.800 different courses.</t>
        </is>
      </c>
      <c r="H112" s="1" t="inlineStr">
        <is>
          <t>I'm not part of any EdTech association</t>
        </is>
      </c>
      <c r="I112" s="1" t="inlineStr">
        <is>
          <t>Dutch</t>
        </is>
      </c>
      <c r="J112" s="1" t="inlineStr">
        <is>
          <t>UTRECHT</t>
        </is>
      </c>
      <c r="K112" s="1" t="inlineStr">
        <is>
          <t>The Netherlands</t>
        </is>
      </c>
      <c r="L112" s="1" t="inlineStr">
        <is>
          <t>Netherlands</t>
        </is>
      </c>
      <c r="M112" s="1" t="inlineStr">
        <is>
          <t>101 to 500</t>
        </is>
      </c>
      <c r="N112" s="1" t="inlineStr">
        <is>
          <t>Business to Business, Business to Consumer</t>
        </is>
      </c>
      <c r="O112" s="1" t="inlineStr">
        <is>
          <t>Corporate Training, Lifelong learning/Adult education</t>
        </is>
      </c>
      <c r="P112" s="1" t="inlineStr">
        <is>
          <t>Teacher interfacing, System/Administrative, Student interfacing</t>
        </is>
      </c>
      <c r="Q112" t="inlineStr">
        <is>
          <t>E-WISE</t>
        </is>
      </c>
      <c r="R112" t="inlineStr">
        <is>
          <t>Online continuing education for teachers, schools and child daycare</t>
        </is>
      </c>
      <c r="S112" s="10" t="inlineStr">
        <is>
          <t>CME-Online</t>
        </is>
      </c>
      <c r="T112" t="inlineStr">
        <is>
          <t>Online continuing medical education in the medical sector</t>
        </is>
      </c>
      <c r="U112" s="1" t="inlineStr">
        <is>
          <t>https://drive.google.com/uc?export=view&amp;id=1qKSB9-Nc-RyQu42y_rfYmz57JcgDQ3Lr</t>
        </is>
      </c>
      <c r="V112" s="1" t="inlineStr">
        <is>
          <t>Unverified</t>
        </is>
      </c>
      <c r="W112" s="1" t="inlineStr">
        <is>
          <t>https://drive.google.com/uc?export=view&amp;id=1qKSB9-Nc-RyQu42y_rfYmz57JcgDQ3Lr</t>
        </is>
      </c>
      <c r="X112" s="1" t="n"/>
      <c r="Y112" s="10" t="n"/>
      <c r="Z112" s="1" t="n"/>
      <c r="AA112" t="inlineStr">
        <is>
          <t>Yes</t>
        </is>
      </c>
      <c r="AC112" t="inlineStr">
        <is>
          <t>https://www.linkedin.com/company/100983/admin/feed/posts/</t>
        </is>
      </c>
      <c r="AD112" t="inlineStr">
        <is>
          <t>https://www.linkedin.com/company/100983/admin/feed/posts/</t>
        </is>
      </c>
    </row>
    <row r="113" ht="12.5" customHeight="1">
      <c r="A113" s="6" t="n">
        <v>45181</v>
      </c>
      <c r="B113" s="1" t="inlineStr">
        <is>
          <t>ORG_1451</t>
        </is>
      </c>
      <c r="C113" s="1" t="b">
        <v>1</v>
      </c>
      <c r="D113" s="1" t="inlineStr">
        <is>
          <t>Edumundo</t>
        </is>
      </c>
      <c r="E113" s="10" t="inlineStr">
        <is>
          <t>https://www.edumundo.com/home</t>
        </is>
      </c>
      <c r="F113" t="inlineStr">
        <is>
          <t>edumundo.com/home</t>
        </is>
      </c>
      <c r="G113" s="1" t="inlineStr">
        <is>
          <t>Edumundo is een educatieve uitgeverij voor het hoger en beroepsonderwijs. Wij ontwikkelen online leertools die docenten optimaal faciliteren om studenten zoveel mogelijk uit een vak te laten halen. De tools bevatten elementen van gaming, gamification en activerende didactiek en laten studenten meer plezier in hun studie ervaren. We maken leren leuker en interactiever met als resultaat: betrokken studenten en een hoger leerrendement.</t>
        </is>
      </c>
      <c r="H113" s="1" t="inlineStr">
        <is>
          <t>I'm not part of any EdTech association</t>
        </is>
      </c>
      <c r="J113" s="1" t="inlineStr">
        <is>
          <t>Den Haag</t>
        </is>
      </c>
      <c r="K113" s="1" t="inlineStr">
        <is>
          <t>The Netherlands</t>
        </is>
      </c>
      <c r="L113" s="1" t="inlineStr">
        <is>
          <t>Belgium, France, Germany, Luxembourg, Netherlands, Norway, Spain, Switzerland, Turkey, United Kingdom</t>
        </is>
      </c>
      <c r="M113" s="1" t="inlineStr">
        <is>
          <t>11 to 50</t>
        </is>
      </c>
      <c r="N113" s="1" t="inlineStr">
        <is>
          <t>Business to Business, Business to Consumer, Business to Government</t>
        </is>
      </c>
      <c r="O113" s="1" t="inlineStr">
        <is>
          <t>Higher Education</t>
        </is>
      </c>
      <c r="P113" s="1" t="inlineStr">
        <is>
          <t>Teacher interfacing, System/Administrative</t>
        </is>
      </c>
      <c r="S113" t="inlineStr">
        <is>
          <t>https://drive.google.com/uc?export=view&amp;id=1_6JWyTz8R897Uo0FOjgZGG1X_jgpfLiY</t>
        </is>
      </c>
      <c r="T113" t="inlineStr">
        <is>
          <t>https://drive.google.com/uc?export=view&amp;id=1_6JWyTz8R897Uo0FOjgZGG1X_jgpfLiY</t>
        </is>
      </c>
      <c r="U113" t="inlineStr">
        <is>
          <t>https://drive.google.com/uc?export=view&amp;id=1_6JWyTz8R897Uo0FOjgZGG1X_jgpfLiY</t>
        </is>
      </c>
      <c r="V113" t="inlineStr">
        <is>
          <t>Unverified</t>
        </is>
      </c>
      <c r="Y113" s="10" t="n"/>
      <c r="Z113" s="1" t="n"/>
      <c r="AA113" t="inlineStr">
        <is>
          <t>No</t>
        </is>
      </c>
    </row>
    <row r="114" ht="12.5" customHeight="1">
      <c r="A114" s="6" t="n">
        <v>45181</v>
      </c>
      <c r="B114" s="1" t="inlineStr">
        <is>
          <t>ORG_2053</t>
        </is>
      </c>
      <c r="C114" s="1" t="b">
        <v>1</v>
      </c>
      <c r="D114" s="1" t="inlineStr">
        <is>
          <t>Nxus</t>
        </is>
      </c>
      <c r="E114" s="10" t="inlineStr">
        <is>
          <t>https://www.nxus.eu/</t>
        </is>
      </c>
      <c r="F114" t="inlineStr">
        <is>
          <t>nxus.eu</t>
        </is>
      </c>
      <c r="G114" s="1" t="inlineStr">
        <is>
          <t>Nxus is a Software as a Service startup that developed a community and bias-free career platform, with a unique focus on providing students with equal job opportunities through the skills obtained during their studies. Nxus thereby connects universities, employers, students and alumni in a unique and innovative way. The Nxus platform is already deployed universitywide by the launching partner Radboud University in Nijmegen since Q4-2021, thereby connecting more than 2,500 students, 2,000 alumni and 400 companies on the platform YTD.</t>
        </is>
      </c>
      <c r="H114" s="1" t="inlineStr">
        <is>
          <t>Dutch EdTech</t>
        </is>
      </c>
      <c r="J114" s="1" t="inlineStr">
        <is>
          <t>Amsterdam</t>
        </is>
      </c>
      <c r="K114" s="1" t="inlineStr">
        <is>
          <t>The Netherlands</t>
        </is>
      </c>
      <c r="L114" s="1" t="inlineStr">
        <is>
          <t>Netherlands</t>
        </is>
      </c>
      <c r="M114" s="1" t="inlineStr">
        <is>
          <t>0 to 10</t>
        </is>
      </c>
      <c r="N114" s="1" t="inlineStr">
        <is>
          <t>Business to Consumer</t>
        </is>
      </c>
      <c r="O114" s="1" t="inlineStr">
        <is>
          <t>Higher Education, Lifelong learning/Adult education</t>
        </is>
      </c>
      <c r="P114" s="1" t="inlineStr">
        <is>
          <t>Student interfacing, System/Administrative</t>
        </is>
      </c>
      <c r="S114" s="1" t="inlineStr">
        <is>
          <t>https://drive.google.com/uc?export=view&amp;id=1ln8KY8MxUUdo2gxLavfnA-a_BfCWOyhY</t>
        </is>
      </c>
      <c r="T114" t="inlineStr">
        <is>
          <t>https://drive.google.com/uc?export=view&amp;id=1ln8KY8MxUUdo2gxLavfnA-a_BfCWOyhY</t>
        </is>
      </c>
      <c r="U114" s="1" t="inlineStr">
        <is>
          <t>https://drive.google.com/uc?export=view&amp;id=1ln8KY8MxUUdo2gxLavfnA-a_BfCWOyhY</t>
        </is>
      </c>
      <c r="V114" s="1" t="inlineStr">
        <is>
          <t>Unverified</t>
        </is>
      </c>
      <c r="Y114" s="10" t="n"/>
      <c r="Z114" s="1" t="n"/>
      <c r="AA114" t="inlineStr">
        <is>
          <t>No</t>
        </is>
      </c>
    </row>
    <row r="115" ht="12.5" customHeight="1">
      <c r="A115" s="6" t="n">
        <v>45679</v>
      </c>
      <c r="B115" s="1" t="inlineStr">
        <is>
          <t>ORG_1091</t>
        </is>
      </c>
      <c r="C115" s="1" t="b">
        <v>1</v>
      </c>
      <c r="D115" s="1" t="inlineStr">
        <is>
          <t>Archipel Academy</t>
        </is>
      </c>
      <c r="E115" s="1" t="inlineStr">
        <is>
          <t>www.archipel.academy</t>
        </is>
      </c>
      <c r="F115" t="inlineStr">
        <is>
          <t>archipel.academy</t>
        </is>
      </c>
      <c r="G115" s="1" t="inlineStr">
        <is>
          <t>●	Archipel Academy is a leading Dutch educational technology and services company
●	The company was launched in 2019 to support organizations with streamlining learning processes, organization and purchasing
Archipel orchestrates learning of large organizations and is trusted by blue-chips such as Unilever, KPMG, Bosch, Philips and TransDev
●	Archipel covers the entire learning curriculum and needs: online &amp; offline, company internal courses &amp; training as well as 
third party courses &amp; training
●	Our company offers a unique end-to-end platform by combining a SaaS learning platform, content marketplace and a learning services model</t>
        </is>
      </c>
      <c r="H115" s="1" t="inlineStr">
        <is>
          <t>Dutch EdTech</t>
        </is>
      </c>
      <c r="I115" s="1" t="inlineStr">
        <is>
          <t>English, French, German, Swedish, Finnish, Dutch</t>
        </is>
      </c>
      <c r="J115" s="1" t="inlineStr">
        <is>
          <t>ZALTBOMMEL</t>
        </is>
      </c>
      <c r="K115" s="1" t="inlineStr">
        <is>
          <t>The Netherlands</t>
        </is>
      </c>
      <c r="L115" s="1" t="inlineStr">
        <is>
          <t>Belgium, Denmark, France, Germany, Netherlands, Norway, Spain, Sweden, United Kingdom</t>
        </is>
      </c>
      <c r="M115" s="1" t="inlineStr">
        <is>
          <t>101 to 500</t>
        </is>
      </c>
      <c r="N115" s="1" t="inlineStr">
        <is>
          <t>Business to Business</t>
        </is>
      </c>
      <c r="O115" s="1" t="inlineStr">
        <is>
          <t>Corporate Training, Lifelong learning/Adult education, Higher Education</t>
        </is>
      </c>
      <c r="P115" s="1" t="inlineStr">
        <is>
          <t>Student interfacing, System/Administrative</t>
        </is>
      </c>
      <c r="Q115" t="inlineStr">
        <is>
          <t>Learning platform</t>
        </is>
      </c>
      <c r="R115" t="inlineStr">
        <is>
          <t>Our all-in-one AI powered learning platform is the central place for organization where there is a clear overview of everything related to learning ranging from certifications, learning curricula, learning content, test and scans and create and publish e-learning modules.</t>
        </is>
      </c>
      <c r="S115" s="10" t="inlineStr">
        <is>
          <t>Learning services</t>
        </is>
      </c>
      <c r="T115" t="inlineStr">
        <is>
          <t>Archipel academy's learning services take operational, financial and administrative processes off your hands. From planning to evaluation we handle it all.</t>
        </is>
      </c>
      <c r="U115" s="1" t="inlineStr">
        <is>
          <t>https://drive.google.com/uc?export=view&amp;id=1jTPXcAwTZj6mGTcn-3xdeT67Ydw8hoWY</t>
        </is>
      </c>
      <c r="V115" s="1" t="inlineStr">
        <is>
          <t>Verified</t>
        </is>
      </c>
      <c r="W115" s="1" t="inlineStr">
        <is>
          <t>https://drive.google.com/uc?export=view&amp;id=1jTPXcAwTZj6mGTcn-3xdeT67Ydw8hoWY</t>
        </is>
      </c>
      <c r="X115" s="1" t="n"/>
      <c r="Y115" s="10" t="n"/>
      <c r="Z115" s="1" t="n"/>
      <c r="AA115" t="inlineStr">
        <is>
          <t>Yes</t>
        </is>
      </c>
      <c r="AC115" t="inlineStr">
        <is>
          <t>https://www.linkedin.com/company/archipel-academy/</t>
        </is>
      </c>
      <c r="AD115" t="inlineStr">
        <is>
          <t>https://www.linkedin.com/company/archipel-academy/</t>
        </is>
      </c>
    </row>
    <row r="116" ht="12.5" customHeight="1">
      <c r="A116" s="6" t="n">
        <v>45183</v>
      </c>
      <c r="B116" s="1" t="inlineStr">
        <is>
          <t>ORG_1630</t>
        </is>
      </c>
      <c r="C116" s="1" t="b">
        <v>1</v>
      </c>
      <c r="D116" s="1" t="inlineStr">
        <is>
          <t>GO! Geïntegreerd Onderwijs</t>
        </is>
      </c>
      <c r="E116" s="10" t="inlineStr">
        <is>
          <t>https://geintegreerd-onderwijs.nl/</t>
        </is>
      </c>
      <c r="F116" t="inlineStr">
        <is>
          <t>geintegreerd-onderwijs.nl</t>
        </is>
      </c>
      <c r="G116" s="1" t="inlineStr">
        <is>
          <t>We are a Edtech company focusing on the worldwide K12 market. We developed a global curriculum on a SAAS platform, that can be used by any school in any part of the world.</t>
        </is>
      </c>
      <c r="H116" s="1" t="inlineStr">
        <is>
          <t>Dutch EdTech</t>
        </is>
      </c>
      <c r="I116" s="1" t="inlineStr">
        <is>
          <t>Dutch, English</t>
        </is>
      </c>
      <c r="J116" s="1" t="inlineStr">
        <is>
          <t>Amersfoort</t>
        </is>
      </c>
      <c r="K116" s="1" t="inlineStr">
        <is>
          <t>The Netherlands</t>
        </is>
      </c>
      <c r="L116" s="1" t="inlineStr">
        <is>
          <t>Netherlands, United Kingdom</t>
        </is>
      </c>
      <c r="M116" s="1" t="inlineStr">
        <is>
          <t>3 to 5</t>
        </is>
      </c>
      <c r="N116" s="1" t="inlineStr">
        <is>
          <t>Business to Business, Business to Consumer, Business to Government, Business to Schools</t>
        </is>
      </c>
      <c r="O116" s="1" t="inlineStr">
        <is>
          <t>Primary Education, Secondary Education</t>
        </is>
      </c>
      <c r="P116" s="1" t="inlineStr">
        <is>
          <t>Teacher interfacing</t>
        </is>
      </c>
      <c r="Q116" s="10" t="inlineStr">
        <is>
          <t>GO! Geïntegreerd Onderwijs</t>
        </is>
      </c>
      <c r="R116" t="inlineStr">
        <is>
          <t>Are today's students prepared for the world of tomorrow? At GO! we tackle the fundamental problems of contemporary education. We teach children to ask questions instead of giving answers. We really prepare today’s students for tomorrows world and reduce inequality.
Our platform is suitable for and contains content for the education of 4-18 year olds, but can also be used abroad: the content is already available in Dutch and English and our software is also available in several languages. In addition, GO is the only supplier that integrates digital books, an AI search engine and offers the perfect place for student achievement through a portfolio.</t>
        </is>
      </c>
      <c r="S116" s="10" t="inlineStr">
        <is>
          <t>https://drive.google.com/uc?export=view&amp;id=1cuYVQNevOuFIuEqiuDkSDdEMYoOf0zr3</t>
        </is>
      </c>
      <c r="T116" t="inlineStr">
        <is>
          <t>https://drive.google.com/uc?export=view&amp;id=1cuYVQNevOuFIuEqiuDkSDdEMYoOf0zr3</t>
        </is>
      </c>
      <c r="U116" s="1" t="inlineStr">
        <is>
          <t>https://drive.google.com/uc?export=view&amp;id=1cuYVQNevOuFIuEqiuDkSDdEMYoOf0zr3</t>
        </is>
      </c>
      <c r="V116" s="1" t="inlineStr">
        <is>
          <t>Unverified</t>
        </is>
      </c>
      <c r="W116" s="1" t="inlineStr">
        <is>
          <t>https://drive.google.com/uc?export=view&amp;id=1cuYVQNevOuFIuEqiuDkSDdEMYoOf0zr3</t>
        </is>
      </c>
      <c r="X116" s="1" t="n"/>
      <c r="Y116" s="10" t="n"/>
      <c r="Z116" s="1" t="n"/>
      <c r="AA116" t="inlineStr">
        <is>
          <t>Yes</t>
        </is>
      </c>
      <c r="AB116" t="inlineStr">
        <is>
          <t>https://www.instagram.com/leerplatformgo/</t>
        </is>
      </c>
      <c r="AC116" t="inlineStr">
        <is>
          <t>https://www.linkedin.com/company/leerplatformgo/</t>
        </is>
      </c>
      <c r="AD116" t="inlineStr">
        <is>
          <t>https://www.linkedin.com/company/leerplatformgo/</t>
        </is>
      </c>
    </row>
    <row r="117" ht="12.5" customHeight="1">
      <c r="A117" s="6" t="n">
        <v>45181</v>
      </c>
      <c r="B117" s="1" t="inlineStr">
        <is>
          <t>ORG_2358</t>
        </is>
      </c>
      <c r="C117" s="1" t="b">
        <v>1</v>
      </c>
      <c r="D117" s="1" t="inlineStr">
        <is>
          <t>Symbaloo</t>
        </is>
      </c>
      <c r="E117" s="10" t="inlineStr">
        <is>
          <t>https://www.symbaloo.com</t>
        </is>
      </c>
      <c r="F117" t="inlineStr">
        <is>
          <t>symbaloo.com</t>
        </is>
      </c>
      <c r="G117" s="1" t="inlineStr">
        <is>
          <t>Symbaloo for Education is the ultimate platform for managing and distributing personalized content. It helps teachers within the School and make it easy to save and share educational resources online. Set up your school homepage, or use Symbaloo as your bookmark manager.</t>
        </is>
      </c>
      <c r="H117" s="1" t="inlineStr">
        <is>
          <t>I'm not part of any EdTech association</t>
        </is>
      </c>
      <c r="J117" s="1" t="inlineStr">
        <is>
          <t>DELFT</t>
        </is>
      </c>
      <c r="K117" s="1" t="inlineStr">
        <is>
          <t>The Netherlands</t>
        </is>
      </c>
      <c r="L117"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M117" s="1" t="inlineStr">
        <is>
          <t>11 to 50</t>
        </is>
      </c>
      <c r="N117" s="1" t="inlineStr">
        <is>
          <t>Business to Government, Business to Schools</t>
        </is>
      </c>
      <c r="O117" s="1" t="inlineStr">
        <is>
          <t>Early childhood development (0-5 years), Primary Education, Secondary Education</t>
        </is>
      </c>
      <c r="P117" s="1" t="inlineStr">
        <is>
          <t>Teacher interfacing</t>
        </is>
      </c>
      <c r="S117" s="1" t="inlineStr">
        <is>
          <t>https://drive.google.com/uc?export=view&amp;id=1eE--0NXX_cPLmxzHsOLWML-hxE2qYwjt</t>
        </is>
      </c>
      <c r="T117" t="inlineStr">
        <is>
          <t>https://drive.google.com/uc?export=view&amp;id=1eE--0NXX_cPLmxzHsOLWML-hxE2qYwjt</t>
        </is>
      </c>
      <c r="U117" s="1" t="inlineStr">
        <is>
          <t>https://drive.google.com/uc?export=view&amp;id=1eE--0NXX_cPLmxzHsOLWML-hxE2qYwjt</t>
        </is>
      </c>
      <c r="V117" s="1" t="inlineStr">
        <is>
          <t>Unverified</t>
        </is>
      </c>
      <c r="W117" s="1" t="inlineStr">
        <is>
          <t>https://drive.google.com/uc?export=view&amp;id=1eE--0NXX_cPLmxzHsOLWML-hxE2qYwjt</t>
        </is>
      </c>
      <c r="X117" s="1" t="n"/>
      <c r="Y117" s="10" t="n"/>
      <c r="Z117" s="1" t="n"/>
      <c r="AA117" t="inlineStr">
        <is>
          <t>No</t>
        </is>
      </c>
    </row>
    <row r="118" ht="12.5" customHeight="1">
      <c r="A118" s="6" t="n">
        <v>45181</v>
      </c>
      <c r="B118" s="1" t="inlineStr">
        <is>
          <t>ORG_1333</t>
        </is>
      </c>
      <c r="C118" s="1" t="b">
        <v>1</v>
      </c>
      <c r="D118" s="1" t="inlineStr">
        <is>
          <t>Deeplo AI</t>
        </is>
      </c>
      <c r="E118" s="10" t="inlineStr">
        <is>
          <t>www.deeploai.com</t>
        </is>
      </c>
      <c r="F118" t="inlineStr">
        <is>
          <t>deeploai.com</t>
        </is>
      </c>
      <c r="G118" s="1" t="inlineStr">
        <is>
          <t>Deeplo AI is an online platform that provides free access to virtual internship programs co-designed by top companies. These programs are role-based, replicating real-world work experiences in companies through simulated tasks and assignments. By completing the programs, students learn more about the organisation and the role, gaining the essential skills required by the company, and demonstrating their commitment and capabilities. At the end, students have the opportunity to be hired by the companies.</t>
        </is>
      </c>
      <c r="H118" s="1" t="inlineStr">
        <is>
          <t>Dutch EdTech</t>
        </is>
      </c>
      <c r="J118" s="1" t="inlineStr">
        <is>
          <t>AMSTERDAM</t>
        </is>
      </c>
      <c r="K118" s="1" t="inlineStr">
        <is>
          <t>The Netherlands</t>
        </is>
      </c>
      <c r="L118" s="1" t="inlineStr">
        <is>
          <t>Belgium, Denmark, Finland, France, Germany, Greece, Netherlands, Poland, Spain, Sweden, Turkey, Ukraine, United Kingdom</t>
        </is>
      </c>
      <c r="M118" s="1" t="inlineStr">
        <is>
          <t>0 to 10</t>
        </is>
      </c>
      <c r="N118" s="1" t="inlineStr">
        <is>
          <t>Business to Business</t>
        </is>
      </c>
      <c r="O118" s="1" t="inlineStr">
        <is>
          <t>Higher Education, Corporate Training, Lifelong learning/Adult education</t>
        </is>
      </c>
      <c r="P118" s="1" t="inlineStr">
        <is>
          <t>Student interfacing, Teacher interfacing, System/Administrative</t>
        </is>
      </c>
      <c r="Q118" t="inlineStr">
        <is>
          <t>Virtual Experience Programs</t>
        </is>
      </c>
      <c r="R118" s="1" t="inlineStr">
        <is>
          <t>Virtual Experience Programs are similar to the internship programs, but are held online and open-access to all university students. These programs are bite-sized and consist of video instructions by real company employees, offering some tasks and assignments to students to mimic the real work experience of working in those companies. The programs are offered by leading companies, helping students pre skill and become job ready. At the end of the programs, students have the opportunity to be hired by the companies.</t>
        </is>
      </c>
      <c r="S118" s="10" t="inlineStr">
        <is>
          <t>https://drive.google.com/uc?export=view&amp;id=1n2i0BCc2eWCS95Z2tQAImk0zbX49YPD9</t>
        </is>
      </c>
      <c r="T118" t="inlineStr">
        <is>
          <t>https://drive.google.com/uc?export=view&amp;id=1n2i0BCc2eWCS95Z2tQAImk0zbX49YPD9</t>
        </is>
      </c>
      <c r="U118" s="1" t="inlineStr">
        <is>
          <t>https://drive.google.com/uc?export=view&amp;id=1n2i0BCc2eWCS95Z2tQAImk0zbX49YPD9</t>
        </is>
      </c>
      <c r="V118" s="1" t="inlineStr">
        <is>
          <t>Unverified</t>
        </is>
      </c>
      <c r="Y118" s="10" t="n"/>
      <c r="Z118" s="1" t="n"/>
      <c r="AA118" t="inlineStr">
        <is>
          <t>Yes</t>
        </is>
      </c>
      <c r="AC118" t="inlineStr">
        <is>
          <t>https://www.linkedin.com/company/deeplo-ai/</t>
        </is>
      </c>
      <c r="AD118" t="inlineStr">
        <is>
          <t>https://www.linkedin.com/company/deeplo-ai/</t>
        </is>
      </c>
    </row>
    <row r="119" ht="12.5" customHeight="1">
      <c r="A119" s="6" t="n">
        <v>45181</v>
      </c>
      <c r="B119" s="1" t="inlineStr">
        <is>
          <t>ORG_2308</t>
        </is>
      </c>
      <c r="C119" s="1" t="b">
        <v>1</v>
      </c>
      <c r="D119" s="1" t="inlineStr">
        <is>
          <t>Splashtop</t>
        </is>
      </c>
      <c r="E119" s="10" t="inlineStr">
        <is>
          <t>www.splashtop.com</t>
        </is>
      </c>
      <c r="F119" t="inlineStr">
        <is>
          <t>splashtop.com</t>
        </is>
      </c>
      <c r="G119" s="1" t="inlineStr">
        <is>
          <t>Splashtop delivers secure remote access and support software and services to educational institutions globally. Splashtop enables students, faculty, and IT professionals to remotely access and support any device from any location. Splashtop solutions address education continuity, technology inequity gaps, help desk productivity, and maximize student potential. Our edtech solutions include: Splashtop labs, which allows students and faculty to connect to and control an high-powered, on-campus workstations from their own device; Splashtop remote support solutions increase the effectiveness of on-campus help desk to manage and maintain technology; Splashtop Classroom, allows teachers to remotely control the lesson from anywhere in the classroom, annotate, and share with students; and, with Splashtop Mirroring 360, teachers and students can mirror their content, ideas and apps on their device to the whole class.</t>
        </is>
      </c>
      <c r="H119" s="1" t="inlineStr">
        <is>
          <t>Dutch EdTech</t>
        </is>
      </c>
      <c r="I119" s="1" t="n"/>
      <c r="J119" s="1" t="inlineStr">
        <is>
          <t>AMSTERDAM</t>
        </is>
      </c>
      <c r="K119" s="1" t="inlineStr">
        <is>
          <t>The Netherlands</t>
        </is>
      </c>
      <c r="L119" s="1" t="inlineStr">
        <is>
          <t>Austria, Belarus, Belgium, Bosnia and Herzegovina, Bulgaria, Croatia, Cyprus, Czechia, Denmark, Estonia, Finland, France, Georgia, Germany, Greece, Hungary, Iceland, Ireland, Italy, Latvia, Liechtenstein, Lithuania, Luxembourg, Netherlands, Norway, Poland, Portugal, Romania, Slovakia, Spain, Sweden, Switzerland, Turkey, Ukraine, United Kingdom</t>
        </is>
      </c>
      <c r="M119" s="1" t="inlineStr">
        <is>
          <t>100+</t>
        </is>
      </c>
      <c r="N119" s="1" t="inlineStr">
        <is>
          <t>Business to Business, Business to Schools</t>
        </is>
      </c>
      <c r="O119" s="1" t="inlineStr">
        <is>
          <t>Primary Education, Secondary Education, Higher Education</t>
        </is>
      </c>
      <c r="P119" s="1" t="inlineStr">
        <is>
          <t>System/Administrative</t>
        </is>
      </c>
      <c r="S119" s="1" t="inlineStr">
        <is>
          <t>https://drive.google.com/uc?export=view&amp;id=1sjcwwsCR2fLzzwarvVIassgWUQGLBd72</t>
        </is>
      </c>
      <c r="T119" t="inlineStr">
        <is>
          <t>https://drive.google.com/uc?export=view&amp;id=1sjcwwsCR2fLzzwarvVIassgWUQGLBd72</t>
        </is>
      </c>
      <c r="U119" s="1" t="inlineStr">
        <is>
          <t>https://drive.google.com/uc?export=view&amp;id=1sjcwwsCR2fLzzwarvVIassgWUQGLBd72</t>
        </is>
      </c>
      <c r="V119" s="1" t="inlineStr">
        <is>
          <t>Unverified</t>
        </is>
      </c>
      <c r="W119" s="1" t="inlineStr">
        <is>
          <t>https://drive.google.com/uc?export=view&amp;id=1sjcwwsCR2fLzzwarvVIassgWUQGLBd72</t>
        </is>
      </c>
      <c r="X119" s="1" t="n"/>
      <c r="Y119" s="10" t="n"/>
      <c r="Z119" s="1" t="n"/>
      <c r="AA119" t="inlineStr">
        <is>
          <t>No</t>
        </is>
      </c>
    </row>
    <row r="120" ht="12.5" customHeight="1">
      <c r="A120" s="6" t="n">
        <v>45181</v>
      </c>
      <c r="B120" s="1" t="inlineStr">
        <is>
          <t>ORG_1241</t>
        </is>
      </c>
      <c r="C120" s="1" t="b">
        <v>1</v>
      </c>
      <c r="D120" s="1" t="inlineStr">
        <is>
          <t>Civinc</t>
        </is>
      </c>
      <c r="E120" s="10" t="inlineStr">
        <is>
          <t>www.civinc.co</t>
        </is>
      </c>
      <c r="F120" t="inlineStr">
        <is>
          <t>civinc.co</t>
        </is>
      </c>
      <c r="G120" s="1" t="inlineStr">
        <is>
          <t>Civinc is a social startup that offers a customizable digital platform for civic education where students can engage in meaningful discussions on important issues with peers who think differently. In safe, anonymous, one-on-one chat-based ‘speeddates’ they can form their opinion, expand their horizon and develop vital civic skills, while the anonymized data gives teachers valuable insight on sentiment, language and performance.</t>
        </is>
      </c>
      <c r="H120" s="1" t="inlineStr">
        <is>
          <t>Dutch EdTech</t>
        </is>
      </c>
      <c r="J120" s="1" t="inlineStr">
        <is>
          <t>AMSTERDAM</t>
        </is>
      </c>
      <c r="K120" s="1" t="inlineStr">
        <is>
          <t>The Netherlands</t>
        </is>
      </c>
      <c r="L120" s="1" t="inlineStr">
        <is>
          <t>Netherlands</t>
        </is>
      </c>
      <c r="M120" s="1" t="inlineStr">
        <is>
          <t>0 to 10</t>
        </is>
      </c>
      <c r="N120" s="1" t="inlineStr">
        <is>
          <t>Business to Business</t>
        </is>
      </c>
      <c r="O120" s="1" t="inlineStr">
        <is>
          <t>Higher Education</t>
        </is>
      </c>
      <c r="P120" s="1" t="inlineStr">
        <is>
          <t>Student interfacing, Teacher interfacing, System/Administrative</t>
        </is>
      </c>
      <c r="Q120" s="1" t="inlineStr">
        <is>
          <t>Civinc discussion platform</t>
        </is>
      </c>
      <c r="R120" s="1" t="inlineStr">
        <is>
          <t>Civinc is a customizable digital platform for civic education where students can engage in meaningful discussions on important issues with peers who think differently. In safe, anonymous, one-on-one chat-based ‘speeddates’ they can form their opinion, expand their horizon and develop vital civic skills, while the anonymized data gives teachers valuable insight on sentiment, language and performance.</t>
        </is>
      </c>
      <c r="S120" s="10" t="inlineStr">
        <is>
          <t>https://drive.google.com/uc?export=view&amp;id=1PUYazmoVsGKYvCrAxXUu4x0JpALZmURc</t>
        </is>
      </c>
      <c r="T120" t="inlineStr">
        <is>
          <t>https://drive.google.com/uc?export=view&amp;id=1PUYazmoVsGKYvCrAxXUu4x0JpALZmURc</t>
        </is>
      </c>
      <c r="U120" s="1" t="inlineStr">
        <is>
          <t>https://drive.google.com/uc?export=view&amp;id=1PUYazmoVsGKYvCrAxXUu4x0JpALZmURc</t>
        </is>
      </c>
      <c r="V120" s="1" t="inlineStr">
        <is>
          <t>Unverified</t>
        </is>
      </c>
      <c r="Y120" s="10" t="n"/>
      <c r="Z120" s="1" t="n"/>
      <c r="AA120" t="inlineStr">
        <is>
          <t>Yes</t>
        </is>
      </c>
      <c r="AC120" t="inlineStr">
        <is>
          <t>https://www.linkedin.com/company/civinc</t>
        </is>
      </c>
      <c r="AD120" t="inlineStr">
        <is>
          <t>https://www.linkedin.com/company/civinc</t>
        </is>
      </c>
    </row>
    <row r="121" ht="12.5" customHeight="1">
      <c r="A121" s="6" t="n">
        <v>45181</v>
      </c>
      <c r="B121" s="1" t="inlineStr">
        <is>
          <t>ORG_1749</t>
        </is>
      </c>
      <c r="C121" s="1" t="b">
        <v>1</v>
      </c>
      <c r="D121" s="1" t="inlineStr">
        <is>
          <t>itorium</t>
        </is>
      </c>
      <c r="E121" s="10" t="inlineStr">
        <is>
          <t>www.itorium.org</t>
        </is>
      </c>
      <c r="F121" t="inlineStr">
        <is>
          <t>itorium.org</t>
        </is>
      </c>
      <c r="G121" s="1" t="inlineStr">
        <is>
          <t>itorium helps organisations to learn at scale. We create appealing learning content (videos and XR).
We also develop virtual classrooms and recording studios.</t>
        </is>
      </c>
      <c r="H121" s="1" t="inlineStr">
        <is>
          <t>Dutch EdTech</t>
        </is>
      </c>
      <c r="J121" s="1" t="inlineStr">
        <is>
          <t>AMSTERDAM</t>
        </is>
      </c>
      <c r="K121" s="1" t="inlineStr">
        <is>
          <t>The Netherlands</t>
        </is>
      </c>
      <c r="L121" s="1" t="inlineStr">
        <is>
          <t>Belgium, Germany, Netherlands</t>
        </is>
      </c>
      <c r="M121" s="1" t="inlineStr">
        <is>
          <t>0 to 10</t>
        </is>
      </c>
      <c r="N121" s="1" t="inlineStr">
        <is>
          <t>Business to Business, Business to Consumer</t>
        </is>
      </c>
      <c r="O121" s="1" t="inlineStr">
        <is>
          <t>Higher Education, Corporate Training, Lifelong learning/Adult education</t>
        </is>
      </c>
      <c r="P121" s="1" t="inlineStr">
        <is>
          <t>System/Administrative</t>
        </is>
      </c>
      <c r="Q121" t="inlineStr">
        <is>
          <t>Learning Content</t>
        </is>
      </c>
      <c r="R121" s="1" t="inlineStr">
        <is>
          <t>We support teachers, trainers and organisations in order to create the most attractive learning content. Our team of media experts are specialized in producing content (Video, audio and XR) for inspirational and knowledge transfer purposes.</t>
        </is>
      </c>
      <c r="S121" s="10" t="inlineStr">
        <is>
          <t>Virtual Classrooms</t>
        </is>
      </c>
      <c r="T121" t="inlineStr">
        <is>
          <t>The Virtual Classroom solves the problem of synchronous communication. The teacher is able to walk around and make use of augmented objects. The students are projected in a theatre setting and are able to remotely interact with each other.</t>
        </is>
      </c>
      <c r="U121" s="1" t="inlineStr">
        <is>
          <t>https://drive.google.com/uc?export=view&amp;id=172KbpIJyhObW9VNZCgHSi2J8l5LiNMx6</t>
        </is>
      </c>
      <c r="V121" s="1" t="inlineStr">
        <is>
          <t>Unverified</t>
        </is>
      </c>
      <c r="W121" s="1" t="inlineStr">
        <is>
          <t>https://drive.google.com/uc?export=view&amp;id=172KbpIJyhObW9VNZCgHSi2J8l5LiNMx6</t>
        </is>
      </c>
      <c r="X121" s="1" t="n"/>
      <c r="Y121" s="10" t="n"/>
      <c r="Z121" s="1" t="n"/>
      <c r="AA121" t="inlineStr">
        <is>
          <t>Yes</t>
        </is>
      </c>
      <c r="AC121" t="inlineStr">
        <is>
          <t>https://www.linkedin.com/company/itorium/</t>
        </is>
      </c>
      <c r="AD121" t="inlineStr">
        <is>
          <t>https://www.linkedin.com/company/itorium/</t>
        </is>
      </c>
    </row>
    <row r="122" ht="12.5" customHeight="1">
      <c r="A122" s="6" t="n">
        <v>45181</v>
      </c>
      <c r="B122" s="1" t="inlineStr">
        <is>
          <t>ORG_2176</t>
        </is>
      </c>
      <c r="C122" s="1" t="b">
        <v>1</v>
      </c>
      <c r="D122" s="1" t="inlineStr">
        <is>
          <t>Relevance Learning</t>
        </is>
      </c>
      <c r="E122" s="10" t="inlineStr">
        <is>
          <t>https://www.relevancelearning.com/</t>
        </is>
      </c>
      <c r="F122" t="inlineStr">
        <is>
          <t>relevancelearning.com</t>
        </is>
      </c>
      <c r="G122" s="1" t="inlineStr">
        <is>
          <t>RELEVANCE accelerates learning on a global scale in the areas of leadership, personal skills, and change. Our unique combination of technology and people produces personal, adaptive and social learning experiences. This innovative approach ensures that our clients are relevant in their industry and in society, now and in the future.
Our clients achieve great business results, in terms of numbers and with their people. Because confident and happy employees create organizations with impact.
All our Programs are delivered blended, on a global scale and in a full-service model.
More than 300 colleagues support our clients, and we have a network of 700+ strategically located trainers and coaches. To date, we have served the needs of more than 5,000 organisations worldwide.</t>
        </is>
      </c>
      <c r="H122" s="1" t="inlineStr">
        <is>
          <t>Dutch EdTech</t>
        </is>
      </c>
      <c r="I122" s="1" t="inlineStr">
        <is>
          <t>All</t>
        </is>
      </c>
      <c r="J122" s="1" t="inlineStr">
        <is>
          <t>ZALTBOMMEL</t>
        </is>
      </c>
      <c r="K122" s="1" t="inlineStr">
        <is>
          <t>The Netherlands</t>
        </is>
      </c>
      <c r="L12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122" s="1" t="inlineStr">
        <is>
          <t>101 to 500</t>
        </is>
      </c>
      <c r="N122" s="1" t="inlineStr">
        <is>
          <t>Business to Business, Business to Government</t>
        </is>
      </c>
      <c r="O122" s="1" t="inlineStr">
        <is>
          <t>Corporate Training, Lifelong learning/Adult education</t>
        </is>
      </c>
      <c r="P122" s="1" t="inlineStr">
        <is>
          <t>System/Administrative, Student interfacing</t>
        </is>
      </c>
      <c r="Q122" t="inlineStr">
        <is>
          <t>Power Skills</t>
        </is>
      </c>
      <c r="R122" t="inlineStr">
        <is>
          <t>Our power skills development programs help in overcoming (business) challenges in a fast, blended and effective way. These dynamic programs focus on talent development and mastering skills for the future. Every skill supports the core of your organization, each in their own way. Power skills vary from learning to solve complex problems, be more efficient, have fun in networking, deal with stress and maintain a healthy work-life balance.</t>
        </is>
      </c>
      <c r="S122" s="10" t="inlineStr">
        <is>
          <t>Leadership</t>
        </is>
      </c>
      <c r="T122" t="inlineStr">
        <is>
          <t>This raises high expectations from executives and managers: they need to continuously transform the organization in response to the rapidly changing market and support their employees to achieve high performance along with workplace happiness. Research shows that by balancing these factors, leaders create a climate which accelerates development and its effectiveness. This is achieved through inspirational and connected leadership, which ensures that the company DNA is embodied in everyone involved within the organization. However, before leaders can enable value in others, it is crucial they focus on their personal development first. That’s where Relevance comes into play.</t>
        </is>
      </c>
      <c r="U122" s="1" t="inlineStr">
        <is>
          <t>https://drive.google.com/uc?export=view&amp;id=1mbyM4wNtVWoaxfdrBEuYlchV3r4-AZvE</t>
        </is>
      </c>
      <c r="V122" s="1" t="inlineStr">
        <is>
          <t>Unverified</t>
        </is>
      </c>
      <c r="W122" s="1" t="inlineStr">
        <is>
          <t>https://drive.google.com/uc?export=view&amp;id=1mbyM4wNtVWoaxfdrBEuYlchV3r4-AZvE</t>
        </is>
      </c>
      <c r="X122" s="1" t="n"/>
      <c r="Y122" s="10" t="n"/>
      <c r="Z122" s="1" t="n"/>
      <c r="AA122" t="inlineStr">
        <is>
          <t>Yes</t>
        </is>
      </c>
      <c r="AC122" t="inlineStr">
        <is>
          <t>https://www.linkedin.com/company/relevance-learning/</t>
        </is>
      </c>
      <c r="AD122" t="inlineStr">
        <is>
          <t>https://www.linkedin.com/company/relevance-learning/</t>
        </is>
      </c>
    </row>
    <row r="123" ht="12.5" customHeight="1">
      <c r="A123" s="6" t="n">
        <v>45181</v>
      </c>
      <c r="B123" s="1" t="inlineStr">
        <is>
          <t>ORG_2287</t>
        </is>
      </c>
      <c r="C123" s="1" t="b">
        <v>1</v>
      </c>
      <c r="D123" s="1" t="inlineStr">
        <is>
          <t>Society College</t>
        </is>
      </c>
      <c r="E123" s="10" t="inlineStr">
        <is>
          <t>www.societycollege.nl</t>
        </is>
      </c>
      <c r="F123" t="inlineStr">
        <is>
          <t>societycollege.nl</t>
        </is>
      </c>
      <c r="G123" s="1" t="inlineStr">
        <is>
          <t>Society College is a social enterprise which builds a civil force to empower society in combination by changing the compass of strategic personal development and focussing on life-long-development by a strong individual program to strenghten resilience, teamwork and comradeship. 
Society College believes that a society with economic and mental prosperity is not only the responsibility of a government but is equally also the responsibility of the private sector by implementing the new approach of the social return. 
The war on talent is not about jobs but about the right conditions.: it is not only about career, but every phase of life needs another job fulfillment. 
The founders of Society College have 7 years successful experience at Defensity College (startup within the ministry of Defence). With a 94% retention grade they know how to inspire younger generations.</t>
        </is>
      </c>
      <c r="H123" s="1" t="inlineStr">
        <is>
          <t>Dutch EdTech</t>
        </is>
      </c>
      <c r="I123" s="1" t="n"/>
      <c r="J123" s="1" t="inlineStr">
        <is>
          <t>Amsterdam</t>
        </is>
      </c>
      <c r="K123" s="1" t="inlineStr">
        <is>
          <t>The Netherlands</t>
        </is>
      </c>
      <c r="L123" s="1" t="inlineStr">
        <is>
          <t>Netherlands</t>
        </is>
      </c>
      <c r="M123" s="1" t="inlineStr">
        <is>
          <t>0 to 10</t>
        </is>
      </c>
      <c r="N123" s="1" t="inlineStr">
        <is>
          <t>Business to Business, Business to Government, Business to Schools</t>
        </is>
      </c>
      <c r="O123" s="1" t="inlineStr">
        <is>
          <t>Higher Education, Corporate Training, Lifelong learning/Adult education</t>
        </is>
      </c>
      <c r="P123" s="1" t="inlineStr">
        <is>
          <t>Student interfacing, System/Administrative</t>
        </is>
      </c>
      <c r="Q123" t="inlineStr">
        <is>
          <t>Service year</t>
        </is>
      </c>
      <c r="R123" t="inlineStr">
        <is>
          <t>During this service year from Society College offers an unique curriculum:
1. someone will work for example in the border protection.
2. if someone is orientating on the next career step we facilitate the the person can have work experience at an organisation and vice versa for the organisation to know each other.
3. all members of Society College have to fullfill the program of shaping, cooperation, resilience
4. Society College challenges all community members to integrate actively the social return 2.0.</t>
        </is>
      </c>
      <c r="S123" s="10" t="inlineStr">
        <is>
          <t>work student program</t>
        </is>
      </c>
      <c r="T123" t="inlineStr">
        <is>
          <t>The work student program is for all students and is besides there regular study. 1. a student works for example in a pandemic protection.
2. a student will have the possibility to work in a organisation to have experience but it is also interesting for the company to find new talents.
3. all students of Society College have to fullfill the program of shaping, cooperation, resilience.
4. Society College challenges all community members to integrate actively the social return 2.0.</t>
        </is>
      </c>
      <c r="U123" s="1" t="inlineStr">
        <is>
          <t>https://drive.google.com/uc?export=view&amp;id=1JVjRBSyCS61RMCCu8cRo_OUozBmoPII-</t>
        </is>
      </c>
      <c r="V123" s="1" t="inlineStr">
        <is>
          <t>Unverified</t>
        </is>
      </c>
      <c r="W123" s="1" t="inlineStr">
        <is>
          <t>https://drive.google.com/uc?export=view&amp;id=1JVjRBSyCS61RMCCu8cRo_OUozBmoPII-</t>
        </is>
      </c>
      <c r="X123" s="1" t="n"/>
      <c r="Y123" s="10" t="n"/>
      <c r="Z123" s="1" t="n"/>
      <c r="AA123" t="inlineStr">
        <is>
          <t>Yes</t>
        </is>
      </c>
      <c r="AC123" t="inlineStr">
        <is>
          <t>https://nl.linkedin.com/company/society-college</t>
        </is>
      </c>
      <c r="AD123" t="inlineStr">
        <is>
          <t>https://nl.linkedin.com/company/society-college</t>
        </is>
      </c>
    </row>
    <row r="124" ht="12.5" customHeight="1">
      <c r="A124" s="6" t="n">
        <v>45181</v>
      </c>
      <c r="B124" s="1" t="inlineStr">
        <is>
          <t>ORG_1271</t>
        </is>
      </c>
      <c r="C124" s="1" t="b">
        <v>1</v>
      </c>
      <c r="D124" s="1" t="inlineStr">
        <is>
          <t>CodeGrade</t>
        </is>
      </c>
      <c r="E124" s="10" t="inlineStr">
        <is>
          <t>https://codegrade.com</t>
        </is>
      </c>
      <c r="F124" t="inlineStr">
        <is>
          <t>codegrade.com</t>
        </is>
      </c>
      <c r="G124" s="1" t="inlineStr">
        <is>
          <t>CodeGrade creates the flexible learning platform for coding education. With CodeGrade, you keep students who are learning to code engaged and motivated. CodeGrade offers a built-in editor, the best autograder on the market and many pedagogical tools with which teachers can effectively teach students how to code.
CodeGrade is used by over 60 educational organizations (mostly higher-ed) globally and radically increases learning outcomes for students.</t>
        </is>
      </c>
      <c r="H124" s="1" t="inlineStr">
        <is>
          <t>Dutch EdTech</t>
        </is>
      </c>
      <c r="J124" s="1" t="inlineStr">
        <is>
          <t>AMSTERDAM</t>
        </is>
      </c>
      <c r="K124" s="1" t="inlineStr">
        <is>
          <t>The Netherlands</t>
        </is>
      </c>
      <c r="L124" s="1" t="inlineStr">
        <is>
          <t>Austria, Belgium, Denmark, Finland, France, Germany, Greece, Iceland, Ireland, Italy, Netherlands, Norway, Portugal, Spain, Sweden, Switzerland, United Kingdom</t>
        </is>
      </c>
      <c r="M124" s="1" t="inlineStr">
        <is>
          <t>11 to 50</t>
        </is>
      </c>
      <c r="N124" s="1" t="inlineStr">
        <is>
          <t>Business to Business</t>
        </is>
      </c>
      <c r="O124" s="1" t="inlineStr">
        <is>
          <t>Secondary Education, Higher Education, Corporate Training, Lifelong learning/Adult education</t>
        </is>
      </c>
      <c r="P124" s="1" t="inlineStr">
        <is>
          <t>Student interfacing, Teacher interfacing, System/Administrative</t>
        </is>
      </c>
      <c r="Q124" t="inlineStr">
        <is>
          <t>CodeGrade</t>
        </is>
      </c>
      <c r="R124" s="10" t="inlineStr">
        <is>
          <t>CodeGrade creates the flexible learning platform for coding education. With CodeGrade, you keep students who are learning to code engaged and motivated. CodeGrade offers a built-in editor, the best autograder on the market and many pedagogical tools with which teachers can effectively teach students how to code.</t>
        </is>
      </c>
      <c r="S124" s="10" t="inlineStr">
        <is>
          <t>https://drive.google.com/uc?export=view&amp;id=13iLT4uxN7ff9vwuvbhxw4GGGXhTIjn92</t>
        </is>
      </c>
      <c r="T124" t="inlineStr">
        <is>
          <t>https://drive.google.com/uc?export=view&amp;id=13iLT4uxN7ff9vwuvbhxw4GGGXhTIjn92</t>
        </is>
      </c>
      <c r="U124" s="1" t="inlineStr">
        <is>
          <t>https://drive.google.com/uc?export=view&amp;id=13iLT4uxN7ff9vwuvbhxw4GGGXhTIjn92</t>
        </is>
      </c>
      <c r="V124" s="1" t="inlineStr">
        <is>
          <t>Unverified</t>
        </is>
      </c>
      <c r="Y124" s="10" t="n"/>
      <c r="Z124" s="1" t="n"/>
      <c r="AA124" t="inlineStr">
        <is>
          <t>Yes</t>
        </is>
      </c>
      <c r="AB124" t="inlineStr">
        <is>
          <t>https://twitter.com/CodeGradeCom</t>
        </is>
      </c>
      <c r="AC124" t="inlineStr">
        <is>
          <t>https://twitter.com/CodeGradeCom</t>
        </is>
      </c>
      <c r="AD124" t="inlineStr">
        <is>
          <t>https://www.linkedin.com/company/codegrade/</t>
        </is>
      </c>
    </row>
    <row r="125" ht="12.5" customHeight="1">
      <c r="A125" s="6" t="n">
        <v>45181</v>
      </c>
      <c r="B125" s="1" t="inlineStr">
        <is>
          <t>ORG_2087</t>
        </is>
      </c>
      <c r="C125" s="1" t="b">
        <v>1</v>
      </c>
      <c r="D125" s="1" t="inlineStr">
        <is>
          <t>Paragin</t>
        </is>
      </c>
      <c r="E125" s="10" t="inlineStr">
        <is>
          <t>https://www.paragin.com</t>
        </is>
      </c>
      <c r="F125" t="inlineStr">
        <is>
          <t>paragin.com</t>
        </is>
      </c>
      <c r="G125" s="1" t="inlineStr">
        <is>
          <t>Paragin is a fast growing developer of SaaS EdTech software. We help schools, universities, exam institutions and corporations by delivering online software for examination, assessments, STEM, ePortfolios and course management, for assessing, assessing and developing skills, knowledge and competences. We work hard to provide solutions that are user-friendly, efficient and attractively designed and are used by many schools, universities, educational publishers and other organizations, from Finland to Mexico and from Australia to The Netherlands.</t>
        </is>
      </c>
      <c r="H125" s="1" t="inlineStr">
        <is>
          <t>Dutch EdTech</t>
        </is>
      </c>
      <c r="I125" s="1" t="inlineStr">
        <is>
          <t>English, Dutch, German, Spanish</t>
        </is>
      </c>
      <c r="J125" s="1" t="inlineStr">
        <is>
          <t>NIJKERK</t>
        </is>
      </c>
      <c r="K125" s="1" t="inlineStr">
        <is>
          <t>The Netherlands</t>
        </is>
      </c>
      <c r="L125" s="1" t="inlineStr">
        <is>
          <t>Austria, Belgium, Denmark, Finland, France, Germany, Hungary, Lithuania, Netherlands, Norway, Spain, Sweden, United Kingdom</t>
        </is>
      </c>
      <c r="M125" s="1" t="inlineStr">
        <is>
          <t>51 to 100</t>
        </is>
      </c>
      <c r="N125" s="1" t="inlineStr">
        <is>
          <t>Business to Business, Business to Government, Business to Schools</t>
        </is>
      </c>
      <c r="O125" s="1" t="inlineStr">
        <is>
          <t>Secondary Education, Corporate Training, Lifelong learning/Adult education, Vocational Education and Training (VET), Higher Education</t>
        </is>
      </c>
      <c r="P125" s="1" t="inlineStr">
        <is>
          <t>Teacher interfacing, System/Administrative, Student interfacing</t>
        </is>
      </c>
      <c r="Q125" s="1" t="inlineStr">
        <is>
          <t>SOWISO</t>
        </is>
      </c>
      <c r="R125" t="inlineStr">
        <is>
          <t>SOWISO is an online learning &amp; testing environment for STEM that engages students and saves teachers time.</t>
        </is>
      </c>
      <c r="S125" s="10" t="inlineStr">
        <is>
          <t>Remindo</t>
        </is>
      </c>
      <c r="T125" t="inlineStr">
        <is>
          <t>Remindo helps educators take care of the entire process of testing and examination.</t>
        </is>
      </c>
      <c r="U125" s="1" t="inlineStr">
        <is>
          <t>https://drive.google.com/uc?export=view&amp;id=1qddC_-Ncj4F8miS5vBoVknxYiN2ChOlR</t>
        </is>
      </c>
      <c r="V125" s="1" t="inlineStr">
        <is>
          <t>Unverified</t>
        </is>
      </c>
      <c r="W125" s="1" t="inlineStr">
        <is>
          <t>https://drive.google.com/uc?export=view&amp;id=1qddC_-Ncj4F8miS5vBoVknxYiN2ChOlR</t>
        </is>
      </c>
      <c r="X125" s="1" t="n"/>
      <c r="Y125" s="10" t="n"/>
      <c r="Z125" s="1" t="n"/>
      <c r="AA125" t="inlineStr">
        <is>
          <t>Yes</t>
        </is>
      </c>
      <c r="AC125" t="inlineStr">
        <is>
          <t>https://nl.linkedin.com/company/paragin</t>
        </is>
      </c>
      <c r="AD125" t="inlineStr">
        <is>
          <t>https://nl.linkedin.com/company/paragin</t>
        </is>
      </c>
    </row>
    <row r="126" ht="12.5" customHeight="1">
      <c r="A126" s="6" t="n">
        <v>45181</v>
      </c>
      <c r="B126" s="1" t="inlineStr">
        <is>
          <t>ORG_1203</t>
        </is>
      </c>
      <c r="C126" s="1" t="b">
        <v>1</v>
      </c>
      <c r="D126" s="1" t="inlineStr">
        <is>
          <t>BUKU</t>
        </is>
      </c>
      <c r="E126" s="10" t="inlineStr">
        <is>
          <t>buku.io</t>
        </is>
      </c>
      <c r="F126" t="inlineStr">
        <is>
          <t>buku.io</t>
        </is>
      </c>
      <c r="G126" s="1" t="inlineStr">
        <is>
          <t>Opening a world of knowledge and opportunities for everyone worldwide
BUKU is a subscription based streaming platform for educational content. BUKU collaborates with over 125 local and international publishers, to give students/lecturers/educational institutes around the world always and everywhere access to up-to-date high quality educational content on all devices. Online and offline. For a local affordable price.
BUKU, at this moment, is active in the Netherlands, Suriname, Aruba/Bonaire/Curaçao, Namibia, Kenya, Malawi, Ghana, Fiji Islands, Vanuatu, Solomon Islands, Papua New Guinea and India.</t>
        </is>
      </c>
      <c r="H126" s="1" t="n"/>
      <c r="J126" s="1" t="inlineStr">
        <is>
          <t>Groningen</t>
        </is>
      </c>
      <c r="K126" s="1" t="inlineStr">
        <is>
          <t>The Netherlands</t>
        </is>
      </c>
      <c r="L126" s="1" t="inlineStr">
        <is>
          <t>Netherlands</t>
        </is>
      </c>
      <c r="M126" s="1" t="inlineStr">
        <is>
          <t>11 to 50</t>
        </is>
      </c>
      <c r="N126" s="1" t="inlineStr">
        <is>
          <t>Business to Business</t>
        </is>
      </c>
      <c r="O126" s="1" t="inlineStr">
        <is>
          <t>Secondary Education, Higher Education, Corporate Training, Lifelong learning/Adult education</t>
        </is>
      </c>
      <c r="P126" s="1" t="inlineStr">
        <is>
          <t>System/Administrative, Student interfacing, Teacher interfacing</t>
        </is>
      </c>
      <c r="Q126" s="1" t="inlineStr">
        <is>
          <t>BUKU</t>
        </is>
      </c>
      <c r="R126" s="1" t="inlineStr">
        <is>
          <t>Subscription based streaming platform for educational content.</t>
        </is>
      </c>
      <c r="S126" s="10" t="inlineStr">
        <is>
          <t>https://drive.google.com/uc?export=view&amp;id=1MODGVJgpEACpQssCBm0hG-9lD8osuEL2</t>
        </is>
      </c>
      <c r="T126" t="inlineStr">
        <is>
          <t>https://drive.google.com/uc?export=view&amp;id=1MODGVJgpEACpQssCBm0hG-9lD8osuEL2</t>
        </is>
      </c>
      <c r="U126" s="1" t="inlineStr">
        <is>
          <t>https://drive.google.com/uc?export=view&amp;id=1MODGVJgpEACpQssCBm0hG-9lD8osuEL2</t>
        </is>
      </c>
      <c r="V126" s="1" t="inlineStr">
        <is>
          <t>Unverified</t>
        </is>
      </c>
      <c r="Y126" s="10" t="n"/>
      <c r="Z126" s="1" t="n"/>
      <c r="AA126" t="inlineStr">
        <is>
          <t>Yes</t>
        </is>
      </c>
      <c r="AB126" t="inlineStr">
        <is>
          <t>-</t>
        </is>
      </c>
      <c r="AC126" t="inlineStr">
        <is>
          <t>-</t>
        </is>
      </c>
      <c r="AD126" t="inlineStr">
        <is>
          <t>https://www.linkedin.com/company/buku-world/mycompany/</t>
        </is>
      </c>
    </row>
    <row r="127" ht="12.5" customHeight="1">
      <c r="A127" s="6" t="n">
        <v>45181</v>
      </c>
      <c r="B127" s="1" t="inlineStr">
        <is>
          <t>ORG_2345</t>
        </is>
      </c>
      <c r="C127" s="1" t="b">
        <v>1</v>
      </c>
      <c r="D127" s="1" t="inlineStr">
        <is>
          <t>Studyportals</t>
        </is>
      </c>
      <c r="E127" s="10" t="inlineStr">
        <is>
          <t>https://studyportals.com/</t>
        </is>
      </c>
      <c r="F127" t="inlineStr">
        <is>
          <t>studyportals.com</t>
        </is>
      </c>
      <c r="G127" s="1" t="inlineStr">
        <is>
          <t>Studyportals is a study choice platform with over 52 million visitors from around the world in 2021. We help our university clients to grow and diversify their international student population.</t>
        </is>
      </c>
      <c r="H127" s="1" t="inlineStr">
        <is>
          <t>Dutch EdTech</t>
        </is>
      </c>
      <c r="J127" s="1" t="inlineStr">
        <is>
          <t>EINDHOVEN</t>
        </is>
      </c>
      <c r="K127" s="1" t="inlineStr">
        <is>
          <t>The Netherlands</t>
        </is>
      </c>
      <c r="L127" s="1" t="inlineStr">
        <is>
          <t>Albania, Armenia, Austria, Belgium, Bulgaria, Croatia, Cyprus, Denmark, Estonia, Finland, France, Germany, Greece, Hungary, Iceland, Ireland, Italy, Latvia, Liechtenstein, Lithuania, Luxembourg, Malta, Moldova, Monaco, Montenegro, Netherlands, North Macedonia, Norway, Poland, Portugal, Romania, San Marino, Serbia, Slovakia, Slovenia, Spain, Sweden, Switzerland, Turkey, Ukraine, United Kingdom</t>
        </is>
      </c>
      <c r="M127" s="1" t="inlineStr">
        <is>
          <t>100+</t>
        </is>
      </c>
      <c r="N127" s="1" t="inlineStr">
        <is>
          <t>Business to Consumer, Business to Schools</t>
        </is>
      </c>
      <c r="O127" s="1" t="inlineStr">
        <is>
          <t>Higher Education, Corporate Training, Lifelong learning/Adult education</t>
        </is>
      </c>
      <c r="P127" s="1" t="inlineStr">
        <is>
          <t>Student interfacing</t>
        </is>
      </c>
      <c r="Q127" s="1" t="inlineStr">
        <is>
          <t>Marketing and international student recruitment</t>
        </is>
      </c>
      <c r="R127" s="1" t="inlineStr">
        <is>
          <t>If you are interested in increasing the number and diversity of student applications and enrolments, to highlight your programmes and institution to a global audience, our portals are the place to be.</t>
        </is>
      </c>
      <c r="S127" s="10" t="inlineStr">
        <is>
          <t>Analytics and consuting</t>
        </is>
      </c>
      <c r="T127" t="inlineStr">
        <is>
          <t>Our three areas of expertise are Analytics, Consulting, and Training. The Analytics and Consulting Team (ACT) at Studyportals advises and assists universities and other organisations in the higher education sector to realise their ambitions in the field of international marketing and international student recruitment.</t>
        </is>
      </c>
      <c r="U127" s="1" t="inlineStr">
        <is>
          <t>https://drive.google.com/uc?export=view&amp;id=10XymHp0LQLleQBefZZeP6AtwAPBT847V</t>
        </is>
      </c>
      <c r="V127" s="1" t="inlineStr">
        <is>
          <t>Unverified</t>
        </is>
      </c>
      <c r="W127" s="1" t="inlineStr">
        <is>
          <t>https://drive.google.com/uc?export=view&amp;id=10XymHp0LQLleQBefZZeP6AtwAPBT847V</t>
        </is>
      </c>
      <c r="X127" s="1" t="n"/>
      <c r="Y127" s="10" t="n"/>
      <c r="Z127" s="1" t="n"/>
      <c r="AA127" t="inlineStr">
        <is>
          <t>Yes</t>
        </is>
      </c>
      <c r="AC127" t="inlineStr">
        <is>
          <t>@Studyportals</t>
        </is>
      </c>
      <c r="AD127" t="inlineStr">
        <is>
          <t>https://www.linkedin.com/company/studyportals</t>
        </is>
      </c>
    </row>
    <row r="128" ht="12.5" customHeight="1">
      <c r="A128" s="6" t="n">
        <v>45183</v>
      </c>
      <c r="B128" s="1" t="inlineStr">
        <is>
          <t>ORG_2213</t>
        </is>
      </c>
      <c r="C128" s="1" t="b">
        <v>1</v>
      </c>
      <c r="D128" s="1" t="inlineStr">
        <is>
          <t>SchoolTalent (Bijles Aan Huis &amp; Lernigo)</t>
        </is>
      </c>
      <c r="E128" s="10" t="inlineStr">
        <is>
          <t>https://bijlesaanhuis.nl/</t>
        </is>
      </c>
      <c r="F128" t="inlineStr">
        <is>
          <t>bijlesaanhuis.nl</t>
        </is>
      </c>
      <c r="G128" s="1" t="inlineStr">
        <is>
          <t>We're a tutoring marketplace that makes high-quality 1:1 tutoring more accessible for elementary and high school students. We're currently operating in the Netherlands (bijlesaanhuis.nl) and Germany (lernigo.de). 
Our goal is to provide high-quality 1:1 tutoring to as many students as possible. We do that by offering flexible and affordable tutoring solutions for families. In the process, we facilitate tutors to teach better and parents with tools and personalized content to create healthier student environments.</t>
        </is>
      </c>
      <c r="H128" s="1" t="inlineStr">
        <is>
          <t>Dutch EdTech</t>
        </is>
      </c>
      <c r="I128" s="1" t="inlineStr">
        <is>
          <t>German, Dutch</t>
        </is>
      </c>
      <c r="J128" s="1" t="inlineStr">
        <is>
          <t>Amsterdam</t>
        </is>
      </c>
      <c r="K128" s="1" t="inlineStr">
        <is>
          <t>The Netherlands</t>
        </is>
      </c>
      <c r="L128" s="1" t="inlineStr">
        <is>
          <t>Germany, Netherlands</t>
        </is>
      </c>
      <c r="M128" s="1" t="inlineStr">
        <is>
          <t>11 to 50</t>
        </is>
      </c>
      <c r="N128" s="1" t="inlineStr">
        <is>
          <t>Business to Consumer</t>
        </is>
      </c>
      <c r="O128" s="1" t="inlineStr">
        <is>
          <t>Primary Education, Secondary Education</t>
        </is>
      </c>
      <c r="P128" s="1" t="inlineStr">
        <is>
          <t>System/Administrative, Student interfacing</t>
        </is>
      </c>
      <c r="Q128" t="inlineStr">
        <is>
          <t>Affordable &amp; Flexible Tutoring</t>
        </is>
      </c>
      <c r="R128" s="1" t="inlineStr">
        <is>
          <t>We offer flexible and affordable tutoring solutions for families. Instead of sales traps, we seek to provide the student with the right amount of tutoring and the right tutor. 
Next to just tutoring, we facilitate tutors to teach better by offering tutoring content and an academy of learning materials.</t>
        </is>
      </c>
      <c r="S128" s="10" t="inlineStr">
        <is>
          <t>Mentoring</t>
        </is>
      </c>
      <c r="T128" t="inlineStr">
        <is>
          <t>With the use of a personal mentor, we also help paparents to create healthier environments for their children. A dedicated mentor will be assigned to discuss structural learning problems (like motivation, concentration, student well-being, etc.).</t>
        </is>
      </c>
      <c r="U128" s="1" t="inlineStr">
        <is>
          <t>https://drive.google.com/uc?export=view&amp;id=1Vef0A8emCDpb6iSeE-9zlmGhiDdTP-t1</t>
        </is>
      </c>
      <c r="V128" s="1" t="inlineStr">
        <is>
          <t>Unverified</t>
        </is>
      </c>
      <c r="W128" s="1" t="inlineStr">
        <is>
          <t>https://drive.google.com/uc?export=view&amp;id=1Vef0A8emCDpb6iSeE-9zlmGhiDdTP-t1</t>
        </is>
      </c>
      <c r="X128" s="1" t="n"/>
      <c r="Y128" s="10" t="n"/>
      <c r="Z128" s="1" t="n"/>
      <c r="AA128" t="inlineStr">
        <is>
          <t>Yes</t>
        </is>
      </c>
      <c r="AC128" t="inlineStr">
        <is>
          <t>https://www.linkedin.com/company/29026232/</t>
        </is>
      </c>
      <c r="AD128" t="inlineStr">
        <is>
          <t>https://www.linkedin.com/company/29026232/</t>
        </is>
      </c>
    </row>
    <row r="129" ht="12.5" customHeight="1">
      <c r="A129" s="6" t="n">
        <v>45181</v>
      </c>
      <c r="B129" s="1" t="inlineStr">
        <is>
          <t>ORG_1025</t>
        </is>
      </c>
      <c r="C129" s="1" t="b">
        <v>1</v>
      </c>
      <c r="D129" s="1" t="inlineStr">
        <is>
          <t>Academic Routeplanner</t>
        </is>
      </c>
      <c r="E129" s="10" t="inlineStr">
        <is>
          <t>https://academicrouteplanner.com/</t>
        </is>
      </c>
      <c r="F129" t="inlineStr">
        <is>
          <t>academicrouteplanner.com</t>
        </is>
      </c>
      <c r="G129" s="1" t="inlineStr">
        <is>
          <t>Student Flow Services for Higher Education.
We give you creative solutions on the basis of surprising analysis.
You will profit from our deep knowledge on what is actually happening when teaching takes place. We look at your students, your teachers, your organisation, the regulations, the performance rates, and everything else that is working – and contra-working – in your educational institute.
We will do whatever it takes to make your educational institute able for the best possible performance.</t>
        </is>
      </c>
      <c r="H129" s="1" t="inlineStr">
        <is>
          <t>Dutch EdTech</t>
        </is>
      </c>
      <c r="I129" s="1" t="inlineStr">
        <is>
          <t>English, Dutch</t>
        </is>
      </c>
      <c r="J129" s="1" t="inlineStr">
        <is>
          <t>Delft</t>
        </is>
      </c>
      <c r="K129" s="1" t="inlineStr">
        <is>
          <t>The Netherlands</t>
        </is>
      </c>
      <c r="L129" s="1" t="inlineStr">
        <is>
          <t>Netherlands</t>
        </is>
      </c>
      <c r="M129" s="1" t="inlineStr">
        <is>
          <t>0 to 2</t>
        </is>
      </c>
      <c r="N129" s="1" t="inlineStr">
        <is>
          <t>Business to Business</t>
        </is>
      </c>
      <c r="O129" s="1" t="inlineStr">
        <is>
          <t>Vocational Education and Training (VET), Higher Education</t>
        </is>
      </c>
      <c r="P129" s="1" t="inlineStr">
        <is>
          <t>Teacher interfacing, System/Administrative</t>
        </is>
      </c>
      <c r="Q129" t="inlineStr">
        <is>
          <t>Academic Routeplanner</t>
        </is>
      </c>
      <c r="R129" t="inlineStr">
        <is>
          <t>Enable Your Students To Plan Their Academic Route!
The Academic Routeplanner® enables your Students to gain Insights in their Personal Academic Route by Playing with their Options and Professional Choices offered by your Schools. Use of the Solution Saves 30-50% of Time for Student Counsellors in Planning Counselling Consultations and Unlock Valuable New Data and Forecasts for Management and Education Logistics.</t>
        </is>
      </c>
      <c r="S129" t="inlineStr">
        <is>
          <t>https://drive.google.com/uc?export=view&amp;id=1ePDqr8rU1cldb5f6A06ge_uWfctBBXMF</t>
        </is>
      </c>
      <c r="T129" t="inlineStr">
        <is>
          <t>https://drive.google.com/uc?export=view&amp;id=1ePDqr8rU1cldb5f6A06ge_uWfctBBXMF</t>
        </is>
      </c>
      <c r="U129" s="1" t="inlineStr">
        <is>
          <t>https://drive.google.com/uc?export=view&amp;id=1ePDqr8rU1cldb5f6A06ge_uWfctBBXMF</t>
        </is>
      </c>
      <c r="V129" s="1" t="inlineStr">
        <is>
          <t>Unverified</t>
        </is>
      </c>
      <c r="Y129" s="10" t="n"/>
      <c r="Z129" s="1" t="n"/>
      <c r="AA129" t="inlineStr">
        <is>
          <t>No</t>
        </is>
      </c>
    </row>
    <row r="130" ht="12.5" customHeight="1">
      <c r="A130" s="6" t="n">
        <v>45181</v>
      </c>
      <c r="B130" s="1" t="inlineStr">
        <is>
          <t>ORG_1343</t>
        </is>
      </c>
      <c r="C130" s="1" t="b">
        <v>1</v>
      </c>
      <c r="D130" s="1" t="inlineStr">
        <is>
          <t>DialogueTrainer</t>
        </is>
      </c>
      <c r="E130" s="10" t="inlineStr">
        <is>
          <t>www.dialoguetrainer.com</t>
        </is>
      </c>
      <c r="F130" t="inlineStr">
        <is>
          <t>dialoguetrainer.com</t>
        </is>
      </c>
      <c r="G130" s="1" t="inlineStr">
        <is>
          <t>As a spin off of Utrecht University, we develop interactive online communication simulations since 2013 following the DialogueTrainer method: a 5-step process in which difficult situations from the (future) workplace are translated into conversations with virtual training actors.
In the research phase, we determine which method or situation the simulation should focus on:
1. In the research phase, we determine which method or situation the simulation should focus on;
2. Determine the best-practices involved;
3. The learning goals and objectives of the players;
4. Develop and validate the interactive online scenarios before using and improving it in practice.
5. Improve the scenarios in practice based on data, player feedback, trainer/teacher feedback and management feedback and effects in real life.</t>
        </is>
      </c>
      <c r="H130" s="1" t="inlineStr">
        <is>
          <t>I'm not part of any EdTech association</t>
        </is>
      </c>
      <c r="J130" s="1" t="inlineStr">
        <is>
          <t>UTRECHT</t>
        </is>
      </c>
      <c r="K130" s="1" t="inlineStr">
        <is>
          <t>The Netherlands</t>
        </is>
      </c>
      <c r="L130" s="1" t="inlineStr">
        <is>
          <t>Belgium, France, Germany, Netherlands, Sweden, Turkey, United Kingdom</t>
        </is>
      </c>
      <c r="M130" s="1" t="inlineStr">
        <is>
          <t>11 to 50</t>
        </is>
      </c>
      <c r="N130" s="1" t="inlineStr">
        <is>
          <t>Business to Business</t>
        </is>
      </c>
      <c r="O130" s="1" t="inlineStr">
        <is>
          <t>Primary Education, Secondary Education, Higher Education, Corporate Training, Lifelong learning/Adult education</t>
        </is>
      </c>
      <c r="P130" s="1" t="inlineStr">
        <is>
          <t>Student interfacing, Teacher interfacing, System/Administrative</t>
        </is>
      </c>
      <c r="S130" s="1" t="inlineStr">
        <is>
          <t>https://drive.google.com/uc?export=view&amp;id=1fbbzEf-0XNnqB1hRYxvrq2HgVCWqxSjK</t>
        </is>
      </c>
      <c r="T130" t="inlineStr">
        <is>
          <t>https://drive.google.com/uc?export=view&amp;id=1fbbzEf-0XNnqB1hRYxvrq2HgVCWqxSjK</t>
        </is>
      </c>
      <c r="U130" s="1" t="inlineStr">
        <is>
          <t>https://drive.google.com/uc?export=view&amp;id=1fbbzEf-0XNnqB1hRYxvrq2HgVCWqxSjK</t>
        </is>
      </c>
      <c r="V130" s="1" t="inlineStr">
        <is>
          <t>Unverified</t>
        </is>
      </c>
      <c r="Y130" s="10" t="n"/>
      <c r="Z130" s="1" t="n"/>
      <c r="AA130" t="inlineStr">
        <is>
          <t>No</t>
        </is>
      </c>
    </row>
    <row r="131" ht="12.5" customHeight="1">
      <c r="A131" s="6" t="n">
        <v>45181</v>
      </c>
      <c r="B131" s="1" t="inlineStr">
        <is>
          <t>ORG_1420</t>
        </is>
      </c>
      <c r="C131" s="1" t="b">
        <v>1</v>
      </c>
      <c r="D131" s="1" t="inlineStr">
        <is>
          <t>Edu-Suite™</t>
        </is>
      </c>
      <c r="E131" s="10" t="inlineStr">
        <is>
          <t>www.edu-suite.com</t>
        </is>
      </c>
      <c r="F131" t="inlineStr">
        <is>
          <t>edu-suite.com</t>
        </is>
      </c>
      <c r="G131" s="1" t="inlineStr">
        <is>
          <t>Edu-Suite is a complete package that contains all the relevant tools and functionalities needed to develop, publish and distribute a digital teaching method. As a result, with Edu-Suite, the all-in-one edtech solution, every publisher and school is ready for the future and the education of today!
With this SaaS solution you can easily digitize existing or develop new teaching methods. All tools, services and support are available to publish, distribute and exploit it! For example, the a.i.-based ProLearn technology embedded within the CMS part of Edu-Suite makes it possible to develop adaptive and personal learning pathways.</t>
        </is>
      </c>
      <c r="H131" s="1" t="inlineStr">
        <is>
          <t>Dutch EdTech</t>
        </is>
      </c>
      <c r="I131" s="1" t="inlineStr">
        <is>
          <t>Dutch, English</t>
        </is>
      </c>
      <c r="J131" s="1" t="inlineStr">
        <is>
          <t>Heerenveen</t>
        </is>
      </c>
      <c r="K131" s="1" t="inlineStr">
        <is>
          <t>The Netherlands</t>
        </is>
      </c>
      <c r="L131" s="1" t="inlineStr">
        <is>
          <t>Belgium, Netherlands, United Kingdom</t>
        </is>
      </c>
      <c r="M131" s="1" t="inlineStr">
        <is>
          <t>11 to 50</t>
        </is>
      </c>
      <c r="N131" s="1" t="inlineStr">
        <is>
          <t>Business to Business</t>
        </is>
      </c>
      <c r="O131" s="1" t="inlineStr">
        <is>
          <t>Primary Education, Secondary Education, Corporate Training, Lifelong learning/Adult education, Vocational Education and Training (VET), Higher Education</t>
        </is>
      </c>
      <c r="P131" s="1" t="inlineStr">
        <is>
          <t>Student interfacing, Teacher interfacing, System/Administrative</t>
        </is>
      </c>
      <c r="Q131" s="10" t="inlineStr">
        <is>
          <t>Edu-Suite™</t>
        </is>
      </c>
      <c r="R131" t="inlineStr">
        <is>
          <t>Edu-Suite is a complete SaaS sollution that contains all the relevant tools and functionalities needed to develop, publish and distribute digital educational content. As a result, with Edu-Suite, the all-in-one edtech solution, every educational publisher and school is ready for the future and the education standards of today and tomorrow!</t>
        </is>
      </c>
      <c r="S131" s="10" t="inlineStr">
        <is>
          <t>https://drive.google.com/uc?export=view&amp;id=1ZOmfUKQ-hetRm1Nh7NP7vEvWQ2SmmLQt</t>
        </is>
      </c>
      <c r="T131" t="inlineStr">
        <is>
          <t>https://drive.google.com/uc?export=view&amp;id=1ZOmfUKQ-hetRm1Nh7NP7vEvWQ2SmmLQt</t>
        </is>
      </c>
      <c r="U131" s="1" t="inlineStr">
        <is>
          <t>https://drive.google.com/uc?export=view&amp;id=1ZOmfUKQ-hetRm1Nh7NP7vEvWQ2SmmLQt</t>
        </is>
      </c>
      <c r="V131" s="1" t="inlineStr">
        <is>
          <t>Unverified</t>
        </is>
      </c>
      <c r="Y131" s="10" t="n"/>
      <c r="Z131" s="1" t="n"/>
      <c r="AA131" t="inlineStr">
        <is>
          <t>Yes</t>
        </is>
      </c>
      <c r="AB131" t="inlineStr">
        <is>
          <t>https://www.instagram.com/edu_suite_/</t>
        </is>
      </c>
      <c r="AC131" t="inlineStr">
        <is>
          <t>https://www.linkedin.com/company/edu-suite/?viewAsMember=true</t>
        </is>
      </c>
      <c r="AD131" t="inlineStr">
        <is>
          <t>https://www.linkedin.com/company/edu-suite/?viewAsMember=true</t>
        </is>
      </c>
    </row>
    <row r="132" ht="12.5" customHeight="1">
      <c r="A132" s="6" t="n">
        <v>45181</v>
      </c>
      <c r="B132" s="1" t="inlineStr">
        <is>
          <t>ORG_1499</t>
        </is>
      </c>
      <c r="C132" s="1" t="b">
        <v>1</v>
      </c>
      <c r="D132" s="1" t="inlineStr">
        <is>
          <t>Enlight Ed</t>
        </is>
      </c>
      <c r="E132" s="10" t="inlineStr">
        <is>
          <t>https://enlighted.app/</t>
        </is>
      </c>
      <c r="F132" t="inlineStr">
        <is>
          <t>enlighted.app</t>
        </is>
      </c>
      <c r="G132" s="1" t="inlineStr">
        <is>
          <t>Enlight Ed's digital platform turns exercise solving into a conversation. It enables teachers to support students better with their learning gaps in their first year of higher education and reduce the risks of dropping out.</t>
        </is>
      </c>
      <c r="H132" s="1" t="inlineStr">
        <is>
          <t>I'm not part of any EdTech association</t>
        </is>
      </c>
      <c r="J132" s="1" t="inlineStr">
        <is>
          <t>Amstelveen</t>
        </is>
      </c>
      <c r="K132" s="1" t="inlineStr">
        <is>
          <t>The Netherlands</t>
        </is>
      </c>
      <c r="L132" s="1" t="inlineStr">
        <is>
          <t>Belgium, Netherlands, United Kingdom</t>
        </is>
      </c>
      <c r="M132" s="1" t="inlineStr">
        <is>
          <t>0 to 10</t>
        </is>
      </c>
      <c r="N132" s="1" t="inlineStr">
        <is>
          <t>Business to Business, Business to Consumer</t>
        </is>
      </c>
      <c r="O132" s="1" t="inlineStr">
        <is>
          <t>Higher Education</t>
        </is>
      </c>
      <c r="P132" s="1" t="inlineStr">
        <is>
          <t>Teacher interfacing, System/Administrative</t>
        </is>
      </c>
      <c r="S132" s="1" t="inlineStr">
        <is>
          <t>https://drive.google.com/uc?export=view&amp;id=1Tvo__8cEngfyPIdylpneeTwrGRLdjog9</t>
        </is>
      </c>
      <c r="T132" t="inlineStr">
        <is>
          <t>https://drive.google.com/uc?export=view&amp;id=1Tvo__8cEngfyPIdylpneeTwrGRLdjog9</t>
        </is>
      </c>
      <c r="U132" s="1" t="inlineStr">
        <is>
          <t>https://drive.google.com/uc?export=view&amp;id=1Tvo__8cEngfyPIdylpneeTwrGRLdjog9</t>
        </is>
      </c>
      <c r="V132" s="1" t="inlineStr">
        <is>
          <t>Unverified</t>
        </is>
      </c>
      <c r="Y132" s="10" t="n"/>
      <c r="Z132" s="1" t="n"/>
      <c r="AA132" t="inlineStr">
        <is>
          <t>No</t>
        </is>
      </c>
    </row>
    <row r="133" ht="12.5" customHeight="1">
      <c r="A133" s="6" t="n">
        <v>45181</v>
      </c>
      <c r="B133" s="1" t="inlineStr">
        <is>
          <t>ORG_1559</t>
        </is>
      </c>
      <c r="C133" s="1" t="b">
        <v>1</v>
      </c>
      <c r="D133" s="1" t="inlineStr">
        <is>
          <t>FeedbackFruits</t>
        </is>
      </c>
      <c r="E133" s="10" t="inlineStr">
        <is>
          <t>https://feedbackfruits.com</t>
        </is>
      </c>
      <c r="F133" t="inlineStr">
        <is>
          <t>feedbackfruits.com</t>
        </is>
      </c>
      <c r="G133" s="1" t="inlineStr">
        <is>
          <t>FeedbackFruits is an edtech company based in Amsterdam, whose mission is to help foster a generation of critical and empathic thinkers through education. Working together with over 100 leading universities, FeedbackFruits co-creates pedagogical tooling so teachers can implement world class learning experiences with 1% of the original workload. This LMS-integrated tool suite encompasses a wide range of engaging learning activities from self &amp; peer assessment to team-based learning.
The tools are now used by universities in Europe and worldwide such as TU Delft, MITx, the Wharton School and Deakin University. From its partnership with Microsoft to becoming a winner at the Reimagine Education Awards, FeedbackFruits has been fulfilling its mission to drive pedagogical innovation.</t>
        </is>
      </c>
      <c r="H133" s="1" t="inlineStr">
        <is>
          <t>Dutch EdTech</t>
        </is>
      </c>
      <c r="J133" s="1" t="inlineStr">
        <is>
          <t>Amsterdam</t>
        </is>
      </c>
      <c r="K133" s="1" t="inlineStr">
        <is>
          <t>The Netherlands</t>
        </is>
      </c>
      <c r="L133" s="1" t="inlineStr">
        <is>
          <t>Belgium, France, Germany, Iceland, Ireland, Italy, Netherlands, Norway, Portugal, Spain, Sweden, United Kingdom</t>
        </is>
      </c>
      <c r="M133" s="1" t="inlineStr">
        <is>
          <t>51 to 100</t>
        </is>
      </c>
      <c r="N133" s="1" t="inlineStr">
        <is>
          <t>Business to Business, Business to Consumer, Business to Government, Business to Schools</t>
        </is>
      </c>
      <c r="O133" s="1" t="inlineStr">
        <is>
          <t>Higher Education</t>
        </is>
      </c>
      <c r="P133" s="1" t="inlineStr">
        <is>
          <t>Teacher interfacing, System/Administrative</t>
        </is>
      </c>
      <c r="Q133" s="10" t="inlineStr">
        <is>
          <t>FeedbackFruits Tool Suite</t>
        </is>
      </c>
      <c r="R133" s="10" t="inlineStr">
        <is>
          <t>FeedbackFruits Tool Suite helps educators design engaging courses with learning activities such as peer assessment, team based learning, interactive study material and online discussions in a scalable and flexible manner. The suite integrates into Learning Management Systems such as Canvas and Brightspace to keep assignments organised and ensure easy access for teachers and students.</t>
        </is>
      </c>
      <c r="S133" s="10" t="inlineStr">
        <is>
          <t>https://drive.google.com/uc?export=view&amp;id=1zJTM2wgDxCMGc2Slc2310Q3G4OE7rsFo</t>
        </is>
      </c>
      <c r="T133" t="inlineStr">
        <is>
          <t>https://drive.google.com/uc?export=view&amp;id=1zJTM2wgDxCMGc2Slc2310Q3G4OE7rsFo</t>
        </is>
      </c>
      <c r="U133" s="1" t="inlineStr">
        <is>
          <t>https://drive.google.com/uc?export=view&amp;id=1zJTM2wgDxCMGc2Slc2310Q3G4OE7rsFo</t>
        </is>
      </c>
      <c r="V133" s="1" t="inlineStr">
        <is>
          <t>Unverified</t>
        </is>
      </c>
      <c r="Y133" s="10" t="n"/>
      <c r="Z133" s="1" t="n"/>
      <c r="AA133" t="inlineStr">
        <is>
          <t>Yes</t>
        </is>
      </c>
      <c r="AB133" t="inlineStr">
        <is>
          <t>https://www.instagram.com/feedbackfruits</t>
        </is>
      </c>
      <c r="AC133" t="inlineStr">
        <is>
          <t>https://www.twitter.com/feedbackfruits</t>
        </is>
      </c>
      <c r="AD133" t="inlineStr">
        <is>
          <t>https://www.linkedin.com/company/feedbackfruits</t>
        </is>
      </c>
    </row>
    <row r="134" ht="12.5" customHeight="1">
      <c r="A134" s="6" t="n">
        <v>45181</v>
      </c>
      <c r="B134" s="1" t="inlineStr">
        <is>
          <t>ORG_1714</t>
        </is>
      </c>
      <c r="C134" s="1" t="b">
        <v>1</v>
      </c>
      <c r="D134" s="1" t="inlineStr">
        <is>
          <t>imedu</t>
        </is>
      </c>
      <c r="E134" s="10" t="inlineStr">
        <is>
          <t>https://imedu.io</t>
        </is>
      </c>
      <c r="F134" t="inlineStr">
        <is>
          <t>imedu.io</t>
        </is>
      </c>
      <c r="G134" s="1" t="inlineStr">
        <is>
          <t>imedu provides a platform to create online classes ‘in the metaverse’, enabling educators worldwide to invite their students in an interactive, engaging and virtual learning environment. Using existing templates and lesson plans, you easily set up your own 3D learning space like a museum visit, role-play exercise or moon exploration. 
Our goal is to improve remote and online education, by enabling educators to activate students, offer better (remote) social interactions, and provide more engaging and contextual learning environments to increase the overall learning effect.</t>
        </is>
      </c>
      <c r="H134" s="1" t="inlineStr">
        <is>
          <t>Dutch EdTech</t>
        </is>
      </c>
      <c r="J134" s="1" t="inlineStr">
        <is>
          <t>AMSTERDAM</t>
        </is>
      </c>
      <c r="K134" s="1" t="inlineStr">
        <is>
          <t>The Netherlands</t>
        </is>
      </c>
      <c r="L134" s="1" t="inlineStr">
        <is>
          <t>Netherlands</t>
        </is>
      </c>
      <c r="M134" s="1" t="inlineStr">
        <is>
          <t>0 to 10</t>
        </is>
      </c>
      <c r="N134" s="1" t="inlineStr">
        <is>
          <t>Business to Business, Business to Consumer, Business to Schools</t>
        </is>
      </c>
      <c r="O134" s="1" t="inlineStr">
        <is>
          <t>Primary Education, Secondary Education, Higher Education, Corporate Training</t>
        </is>
      </c>
      <c r="P134" s="1" t="inlineStr">
        <is>
          <t>Teacher interfacing, System/Administrative</t>
        </is>
      </c>
      <c r="Q134" t="inlineStr">
        <is>
          <t>imedu</t>
        </is>
      </c>
      <c r="R134" s="1" t="inlineStr">
        <is>
          <t>imedu provides a platform to create online classes ‘in the metaverse’, enabling educators worldwide to invite their students in an interactive, engaging and virtual learning environment. Using existing templates and lesson plans, you easily set up your own 3D learning space like a museum visit, role-play exercise or moon exploration. To customize your experience, you simply add panels with existing learning materials and links. Each world is accessible in a browser on your laptop or phone, and can be shared with others.</t>
        </is>
      </c>
      <c r="S134" s="10" t="inlineStr">
        <is>
          <t>https://drive.google.com/uc?export=view&amp;id=1PkcolxNXpA_Dx2BWLb18ZcFtqfmjMRqh</t>
        </is>
      </c>
      <c r="T134" t="inlineStr">
        <is>
          <t>https://drive.google.com/uc?export=view&amp;id=1PkcolxNXpA_Dx2BWLb18ZcFtqfmjMRqh</t>
        </is>
      </c>
      <c r="U134" s="1" t="inlineStr">
        <is>
          <t>https://drive.google.com/uc?export=view&amp;id=1PkcolxNXpA_Dx2BWLb18ZcFtqfmjMRqh</t>
        </is>
      </c>
      <c r="V134" s="1" t="inlineStr">
        <is>
          <t>Unverified</t>
        </is>
      </c>
      <c r="Y134" s="10" t="n"/>
      <c r="Z134" s="1" t="n"/>
      <c r="AA134" t="inlineStr">
        <is>
          <t>Yes</t>
        </is>
      </c>
      <c r="AC134" t="inlineStr">
        <is>
          <t>@imedu_io</t>
        </is>
      </c>
      <c r="AD134" t="inlineStr">
        <is>
          <t>https://www.linkedin.com/company/imedu</t>
        </is>
      </c>
    </row>
    <row r="135" ht="12.5" customHeight="1">
      <c r="A135" s="6" t="n">
        <v>45181</v>
      </c>
      <c r="B135" s="1" t="inlineStr">
        <is>
          <t>ORG_1923</t>
        </is>
      </c>
      <c r="C135" s="1" t="b">
        <v>1</v>
      </c>
      <c r="D135" s="1" t="inlineStr">
        <is>
          <t>Master Challenge</t>
        </is>
      </c>
      <c r="E135" s="10" t="inlineStr">
        <is>
          <t>https://masterchallenge.me/</t>
        </is>
      </c>
      <c r="F135" t="inlineStr">
        <is>
          <t>masterchallenge.me</t>
        </is>
      </c>
      <c r="G135" s="1" t="inlineStr">
        <is>
          <t>Master Challenge aims to further close the gap between education and practice. We help university lecturers to easily integrate real-life company challenges into their courses. Our platform streamlines the process of recruiting, matching, and coordinating courses with real-life challenges.</t>
        </is>
      </c>
      <c r="H135" s="1" t="inlineStr">
        <is>
          <t>I'm not part of any EdTech association</t>
        </is>
      </c>
      <c r="J135" s="1" t="inlineStr">
        <is>
          <t>Amsterdam</t>
        </is>
      </c>
      <c r="K135" s="1" t="inlineStr">
        <is>
          <t>The Netherlands</t>
        </is>
      </c>
      <c r="L135" s="1" t="inlineStr">
        <is>
          <t>Netherlands</t>
        </is>
      </c>
      <c r="M135" s="1" t="inlineStr">
        <is>
          <t>0 to 10</t>
        </is>
      </c>
      <c r="N135" s="1" t="inlineStr">
        <is>
          <t>Business to Business, Business to Government, Business to Schools</t>
        </is>
      </c>
      <c r="O135" s="1" t="inlineStr">
        <is>
          <t>Higher Education, Lifelong learning/Adult education</t>
        </is>
      </c>
      <c r="P135" s="1" t="inlineStr">
        <is>
          <t>Student interfacing, Teacher interfacing, System/Administrative</t>
        </is>
      </c>
      <c r="Q135" s="1" t="n"/>
      <c r="R135" s="1" t="n"/>
      <c r="S135" s="1" t="inlineStr">
        <is>
          <t>https://drive.google.com/uc?export=view&amp;id=1L9zOfzbeIMzLAon3SOpqgLeGAapOmrfq</t>
        </is>
      </c>
      <c r="T135" t="inlineStr">
        <is>
          <t>https://drive.google.com/uc?export=view&amp;id=1L9zOfzbeIMzLAon3SOpqgLeGAapOmrfq</t>
        </is>
      </c>
      <c r="U135" s="1" t="inlineStr">
        <is>
          <t>https://drive.google.com/uc?export=view&amp;id=1L9zOfzbeIMzLAon3SOpqgLeGAapOmrfq</t>
        </is>
      </c>
      <c r="V135" s="1" t="inlineStr">
        <is>
          <t>Unverified</t>
        </is>
      </c>
      <c r="W135" s="1" t="inlineStr">
        <is>
          <t>https://drive.google.com/uc?export=view&amp;id=1L9zOfzbeIMzLAon3SOpqgLeGAapOmrfq</t>
        </is>
      </c>
      <c r="X135" s="1" t="n"/>
      <c r="Y135" s="10" t="n"/>
      <c r="Z135" s="1" t="n"/>
      <c r="AA135" t="inlineStr">
        <is>
          <t>No</t>
        </is>
      </c>
    </row>
    <row r="136" ht="12.5" customHeight="1">
      <c r="A136" s="6" t="n">
        <v>45181</v>
      </c>
      <c r="B136" s="1" t="inlineStr">
        <is>
          <t>ORG_2066</t>
        </is>
      </c>
      <c r="C136" s="1" t="b">
        <v>1</v>
      </c>
      <c r="D136" s="1" t="inlineStr">
        <is>
          <t>Online Academy</t>
        </is>
      </c>
      <c r="E136" s="10" t="inlineStr">
        <is>
          <t>https://www.onlineacademy.nl/</t>
        </is>
      </c>
      <c r="F136" t="inlineStr">
        <is>
          <t>onlineacademy.nl</t>
        </is>
      </c>
      <c r="G136" s="1" t="inlineStr">
        <is>
          <t>Online Academy offers companies an online learning platform with more than 400 online courses. These courses help people to continue to develop and learn. For example, the e-learning has interfaces with their own industry, a completely new field or on a personal level in only ten minutes a day. In this way we contribute to the possibility that everyone can (continue) learning for a lifetime with the optimal learning efficiency, even though someone works full-time.</t>
        </is>
      </c>
      <c r="H136" s="1" t="inlineStr">
        <is>
          <t>Dutch EdTech</t>
        </is>
      </c>
      <c r="I136" s="1" t="n"/>
      <c r="J136" s="1" t="inlineStr">
        <is>
          <t>HILVERSUM</t>
        </is>
      </c>
      <c r="K136" s="1" t="inlineStr">
        <is>
          <t>The Netherlands</t>
        </is>
      </c>
      <c r="L136" s="1" t="inlineStr">
        <is>
          <t>Belgium, Netherlands, United Kingdom</t>
        </is>
      </c>
      <c r="M136" s="1" t="inlineStr">
        <is>
          <t>11 to 50</t>
        </is>
      </c>
      <c r="N136" s="1" t="inlineStr">
        <is>
          <t>Business to Business, Business to Government, Business to Schools</t>
        </is>
      </c>
      <c r="O136" s="1" t="inlineStr">
        <is>
          <t>Corporate Training, Lifelong learning/Adult education</t>
        </is>
      </c>
      <c r="P136" s="1" t="inlineStr">
        <is>
          <t>System/Administrative</t>
        </is>
      </c>
      <c r="Q136" s="1" t="inlineStr">
        <is>
          <t>Online Learning Platform</t>
        </is>
      </c>
      <c r="R136" s="1" t="inlineStr">
        <is>
          <t>Online Academy offers more than 400 training courses (including e-learning, webinars, learning paths and podcasts) via its online platform. Employees and employers use this on a daily basis and without obligation. After successfully completing the training, the participants are awarded certificates, which prove the time and energy invested. In this way, the employee becomes more valuable in terms of knowledge and skills. By dividing the training into blocks of only ten minutes a day, the workload is low, but the learning efficiency is very high – also because the participant is challenged to apply what has been learned directly in his or her own practice.</t>
        </is>
      </c>
      <c r="S136" s="10" t="inlineStr">
        <is>
          <t>https://drive.google.com/uc?export=view&amp;id=1iIdA7xUkMvfR7pRlyWbpCJ2fsgNsQTNU</t>
        </is>
      </c>
      <c r="T136" t="inlineStr">
        <is>
          <t>https://drive.google.com/uc?export=view&amp;id=1iIdA7xUkMvfR7pRlyWbpCJ2fsgNsQTNU</t>
        </is>
      </c>
      <c r="U136" s="1" t="inlineStr">
        <is>
          <t>https://drive.google.com/uc?export=view&amp;id=1iIdA7xUkMvfR7pRlyWbpCJ2fsgNsQTNU</t>
        </is>
      </c>
      <c r="V136" s="1" t="inlineStr">
        <is>
          <t>Unverified</t>
        </is>
      </c>
      <c r="Y136" s="10" t="n"/>
      <c r="Z136" s="1" t="n"/>
      <c r="AA136" t="inlineStr">
        <is>
          <t>Yes</t>
        </is>
      </c>
      <c r="AC136" t="inlineStr">
        <is>
          <t>https://www.linkedin.com/school/onlineacademy</t>
        </is>
      </c>
      <c r="AD136" t="inlineStr">
        <is>
          <t>https://www.linkedin.com/school/onlineacademy</t>
        </is>
      </c>
    </row>
    <row r="137" ht="12.5" customHeight="1">
      <c r="A137" s="6" t="n">
        <v>45181</v>
      </c>
      <c r="B137" s="1" t="inlineStr">
        <is>
          <t>ORG_2316</t>
        </is>
      </c>
      <c r="C137" s="1" t="b">
        <v>1</v>
      </c>
      <c r="D137" s="1" t="inlineStr">
        <is>
          <t>Squla</t>
        </is>
      </c>
      <c r="E137" s="10" t="inlineStr">
        <is>
          <t>www.squla.nl</t>
        </is>
      </c>
      <c r="F137" t="inlineStr">
        <is>
          <t>squla.nl</t>
        </is>
      </c>
      <c r="G137" s="1" t="inlineStr">
        <is>
          <t>Squla is the leading gamified educational platform for primary school children in the Netherlands. The product is available for families via a subscription model.</t>
        </is>
      </c>
      <c r="H137" s="1" t="inlineStr">
        <is>
          <t>I'm not part of any EdTech association</t>
        </is>
      </c>
      <c r="J137" s="1" t="inlineStr">
        <is>
          <t>AMSTERDAM</t>
        </is>
      </c>
      <c r="K137" s="1" t="inlineStr">
        <is>
          <t>The Netherlands</t>
        </is>
      </c>
      <c r="L137" s="1" t="inlineStr">
        <is>
          <t>Germany, Poland</t>
        </is>
      </c>
      <c r="M137" s="1" t="inlineStr">
        <is>
          <t>51 to 100</t>
        </is>
      </c>
      <c r="N137" s="1" t="inlineStr">
        <is>
          <t>Business to Consumer</t>
        </is>
      </c>
      <c r="O137" s="1" t="inlineStr">
        <is>
          <t>Primary Education</t>
        </is>
      </c>
      <c r="P137" s="1" t="inlineStr">
        <is>
          <t>System/Administrative, Student interfacing</t>
        </is>
      </c>
      <c r="Q137" s="1" t="n"/>
      <c r="S137" s="1" t="inlineStr">
        <is>
          <t>https://drive.google.com/uc?export=view&amp;id=1AXssrq2h0C-kIWHUW6mEuaAzZkg5ieGz</t>
        </is>
      </c>
      <c r="T137" t="inlineStr">
        <is>
          <t>https://drive.google.com/uc?export=view&amp;id=1AXssrq2h0C-kIWHUW6mEuaAzZkg5ieGz</t>
        </is>
      </c>
      <c r="U137" s="1" t="inlineStr">
        <is>
          <t>https://drive.google.com/uc?export=view&amp;id=1AXssrq2h0C-kIWHUW6mEuaAzZkg5ieGz</t>
        </is>
      </c>
      <c r="V137" s="1" t="inlineStr">
        <is>
          <t>Unverified</t>
        </is>
      </c>
      <c r="Y137" s="10" t="n"/>
      <c r="Z137" s="1" t="n"/>
      <c r="AA137" t="inlineStr">
        <is>
          <t>No</t>
        </is>
      </c>
    </row>
    <row r="138" ht="12.5" customHeight="1">
      <c r="A138" s="6" t="n">
        <v>45181</v>
      </c>
      <c r="B138" s="1" t="inlineStr">
        <is>
          <t>ORG_2381</t>
        </is>
      </c>
      <c r="C138" s="1" t="b">
        <v>1</v>
      </c>
      <c r="D138" s="1" t="inlineStr">
        <is>
          <t>Teenit</t>
        </is>
      </c>
      <c r="E138" s="10" t="inlineStr">
        <is>
          <t>https://teenit.app/</t>
        </is>
      </c>
      <c r="F138" t="inlineStr">
        <is>
          <t>teenit.app</t>
        </is>
      </c>
      <c r="G138" s="1" t="inlineStr">
        <is>
          <t>We are Teenit - a financial education app for teenagers with smart budgeting features and insights based on real banking data. No additional cards or accounts - use your trusted bank!
We are helping kids to develop healthy financial habits in a cashless world and prevent financial issues in adulthood. Our age-tailored data insights, videos, and interactive quizzes successfully engage teenagers in building up knowledge based on their financial behavior and prepare them for challenges ahead. Specially designed educational modules and timely insights assure that teenagers remain continuously engaged and rewarded for their academic effort. 
Teenit uses custom flows and data algorithms based on bank APIs (38 in the UK only). It allows for seamless and secure connection via parent’s authorization, leaving teenager’s data safely at the financial institution and immediately drawing insightful conclusions that are passed to the app safely and securely.
Teenit - financial education revolution at your fingertips!</t>
        </is>
      </c>
      <c r="H138" s="1" t="inlineStr">
        <is>
          <t>Dutch EdTech</t>
        </is>
      </c>
      <c r="J138" s="1" t="inlineStr">
        <is>
          <t>Amsterdam</t>
        </is>
      </c>
      <c r="K138" s="1" t="inlineStr">
        <is>
          <t>The Netherlands</t>
        </is>
      </c>
      <c r="L138" s="1" t="inlineStr">
        <is>
          <t>Netherlands</t>
        </is>
      </c>
      <c r="M138" s="1" t="inlineStr">
        <is>
          <t>0 to 10</t>
        </is>
      </c>
      <c r="N138" s="1" t="inlineStr">
        <is>
          <t>Business to Consumer, Business to Government, Business to Schools</t>
        </is>
      </c>
      <c r="O138" s="1" t="inlineStr">
        <is>
          <t>Secondary Education</t>
        </is>
      </c>
      <c r="P138" s="1" t="inlineStr">
        <is>
          <t>System/Administrative, Student interfacing</t>
        </is>
      </c>
      <c r="Q138" t="inlineStr">
        <is>
          <t>Teenit app</t>
        </is>
      </c>
      <c r="R138" s="1" t="inlineStr">
        <is>
          <t>A financial education app for teenagers with smart budgeting features and insights based on real banking data. No additional cards or accounts - use your trusted bank!</t>
        </is>
      </c>
      <c r="S138" s="10" t="inlineStr">
        <is>
          <t>https://drive.google.com/uc?export=view&amp;id=18ZIYf9ZH3CzDZiyytiQ_hU9hDoeTjYfW</t>
        </is>
      </c>
      <c r="T138" t="inlineStr">
        <is>
          <t>https://drive.google.com/uc?export=view&amp;id=18ZIYf9ZH3CzDZiyytiQ_hU9hDoeTjYfW</t>
        </is>
      </c>
      <c r="U138" s="1" t="inlineStr">
        <is>
          <t>https://drive.google.com/uc?export=view&amp;id=18ZIYf9ZH3CzDZiyytiQ_hU9hDoeTjYfW</t>
        </is>
      </c>
      <c r="V138" s="1" t="inlineStr">
        <is>
          <t>Unverified</t>
        </is>
      </c>
      <c r="Y138" s="10" t="n"/>
      <c r="Z138" s="1" t="n"/>
      <c r="AA138" t="inlineStr">
        <is>
          <t>Yes</t>
        </is>
      </c>
      <c r="AC138" t="inlineStr">
        <is>
          <t>https://www.linkedin.com/company/74991718/</t>
        </is>
      </c>
      <c r="AD138" t="inlineStr">
        <is>
          <t>https://www.linkedin.com/company/74991718/</t>
        </is>
      </c>
    </row>
    <row r="139" ht="12.5" customHeight="1">
      <c r="A139" s="6" t="n">
        <v>45181</v>
      </c>
      <c r="B139" s="1" t="inlineStr">
        <is>
          <t>ORG_2402</t>
        </is>
      </c>
      <c r="C139" s="1" t="b">
        <v>1</v>
      </c>
      <c r="D139" s="1" t="inlineStr">
        <is>
          <t>The Rent Company</t>
        </is>
      </c>
      <c r="E139" s="10" t="inlineStr">
        <is>
          <t>http://www.rentcompany.be</t>
        </is>
      </c>
      <c r="F139" t="inlineStr">
        <is>
          <t>rentcompany.be</t>
        </is>
      </c>
      <c r="G139" s="1" t="inlineStr">
        <is>
          <t>The Rent Company enables digital learning for pupils and teachers throughout education by offering the Easy4u all-in-one subscription.
The Easy4u subscription gives students with a Chromebook or laptop from The Rent Company access to the electronic learning environment and digital learning methods for a limited monthly fee. Software, service and insurance are included in the subscription, providing complete peace of mind for pupils, parents and teachers.</t>
        </is>
      </c>
      <c r="H139" s="1" t="inlineStr">
        <is>
          <t>I'm not part of any EdTech association</t>
        </is>
      </c>
      <c r="J139" s="1" t="inlineStr">
        <is>
          <t>s Hertogenbosch</t>
        </is>
      </c>
      <c r="K139" s="1" t="inlineStr">
        <is>
          <t>The Netherlands</t>
        </is>
      </c>
      <c r="L139" s="1" t="inlineStr">
        <is>
          <t>Belgium, Netherlands, United Kingdom</t>
        </is>
      </c>
      <c r="M139" s="1" t="inlineStr">
        <is>
          <t>100+</t>
        </is>
      </c>
      <c r="N139" s="1" t="inlineStr">
        <is>
          <t>Business to Consumer, Business to Schools</t>
        </is>
      </c>
      <c r="O139" s="1" t="inlineStr">
        <is>
          <t>Primary Education, Secondary Education, Higher Education</t>
        </is>
      </c>
      <c r="P139" s="1" t="inlineStr">
        <is>
          <t>System/Administrative, Student interfacing, Teacher interfacing</t>
        </is>
      </c>
      <c r="R139" s="1" t="n"/>
      <c r="S139" s="1" t="inlineStr">
        <is>
          <t>https://drive.google.com/uc?export=view&amp;id=1v3aUVV6BldpdEGy1SqY0Fjn0XuuNH4sl</t>
        </is>
      </c>
      <c r="T139" t="inlineStr">
        <is>
          <t>https://drive.google.com/uc?export=view&amp;id=1v3aUVV6BldpdEGy1SqY0Fjn0XuuNH4sl</t>
        </is>
      </c>
      <c r="U139" s="1" t="inlineStr">
        <is>
          <t>https://drive.google.com/uc?export=view&amp;id=1v3aUVV6BldpdEGy1SqY0Fjn0XuuNH4sl</t>
        </is>
      </c>
      <c r="V139" s="1" t="inlineStr">
        <is>
          <t>Unverified</t>
        </is>
      </c>
      <c r="W139" s="1" t="inlineStr">
        <is>
          <t>https://drive.google.com/uc?export=view&amp;id=1v3aUVV6BldpdEGy1SqY0Fjn0XuuNH4sl</t>
        </is>
      </c>
      <c r="X139" s="1" t="n"/>
      <c r="Y139" s="10" t="n"/>
      <c r="Z139" s="1" t="n"/>
      <c r="AA139" t="inlineStr">
        <is>
          <t>No</t>
        </is>
      </c>
    </row>
    <row r="140" ht="12.5" customHeight="1">
      <c r="A140" s="6" t="n">
        <v>45181</v>
      </c>
      <c r="B140" s="1" t="inlineStr">
        <is>
          <t>ORG_2169</t>
        </is>
      </c>
      <c r="C140" s="1" t="b">
        <v>1</v>
      </c>
      <c r="D140" s="1" t="inlineStr">
        <is>
          <t>Reconcept</t>
        </is>
      </c>
      <c r="E140" s="10" t="inlineStr">
        <is>
          <t>https://reconcept.nl</t>
        </is>
      </c>
      <c r="F140" t="inlineStr">
        <is>
          <t>reconcept.nl</t>
        </is>
      </c>
      <c r="G140" s="1" t="inlineStr">
        <is>
          <t>Reconcept is a state of the art skills and development portfolio for higher education and medical education. It is used by more than half of all medical students in The Netherlands and provides a tailored experience for students.
Reconcept Portfolio is used to collect feedback from supervisors and peers and to give validated assessments of technical and soft skills. Tools include 360 feedback, peer feedback, handing in assignments and setting personal goals.</t>
        </is>
      </c>
      <c r="H140" s="1" t="inlineStr">
        <is>
          <t>Dutch EdTech</t>
        </is>
      </c>
      <c r="J140" s="1" t="inlineStr">
        <is>
          <t>Groningen</t>
        </is>
      </c>
      <c r="K140" s="1" t="inlineStr">
        <is>
          <t>The Netherlands</t>
        </is>
      </c>
      <c r="L140" s="1" t="inlineStr">
        <is>
          <t>Netherlands</t>
        </is>
      </c>
      <c r="M140" s="1" t="inlineStr">
        <is>
          <t>0 to 10</t>
        </is>
      </c>
      <c r="N140" s="1" t="inlineStr">
        <is>
          <t>Business to Business, Business to Schools</t>
        </is>
      </c>
      <c r="O140" s="1" t="inlineStr">
        <is>
          <t>Higher Education, Corporate Training, Lifelong learning/Adult education</t>
        </is>
      </c>
      <c r="P140" s="1" t="inlineStr">
        <is>
          <t>Student interfacing, Teacher interfacing, System/Administrative</t>
        </is>
      </c>
      <c r="Q140" s="1" t="inlineStr">
        <is>
          <t>Reconcept Portfolio</t>
        </is>
      </c>
      <c r="R140" t="inlineStr">
        <is>
          <t>Reconcept is a state of the art skills and development portfolio for higher education and medical education. It is used by more than half of all medical students in The Netherlands and provides a tailored experience for students.
Reconcept Portfolio is used to collect feedback from supervisors and peers and to give validated assessments of technical and soft skills. Tools include 360 feedback, peer feedback, handing in assignments and setting personal goals.</t>
        </is>
      </c>
      <c r="S140" s="10" t="inlineStr">
        <is>
          <t>https://drive.google.com/uc?export=view&amp;id=1-QdWXem9dKa6dhy9DV2Ra8cDMGiDBzT4</t>
        </is>
      </c>
      <c r="T140" t="inlineStr">
        <is>
          <t>https://drive.google.com/uc?export=view&amp;id=1-QdWXem9dKa6dhy9DV2Ra8cDMGiDBzT4</t>
        </is>
      </c>
      <c r="U140" s="1" t="inlineStr">
        <is>
          <t>https://drive.google.com/uc?export=view&amp;id=1-QdWXem9dKa6dhy9DV2Ra8cDMGiDBzT4</t>
        </is>
      </c>
      <c r="V140" s="1" t="inlineStr">
        <is>
          <t>Unverified</t>
        </is>
      </c>
      <c r="W140" s="1" t="inlineStr">
        <is>
          <t>https://drive.google.com/uc?export=view&amp;id=1-QdWXem9dKa6dhy9DV2Ra8cDMGiDBzT4</t>
        </is>
      </c>
      <c r="X140" s="1" t="n"/>
      <c r="Y140" s="10" t="n"/>
      <c r="Z140" s="1" t="n"/>
      <c r="AA140" t="inlineStr">
        <is>
          <t>Yes</t>
        </is>
      </c>
      <c r="AC140" t="inlineStr">
        <is>
          <t>https://www.linkedin.com/company/reconcept-it</t>
        </is>
      </c>
      <c r="AD140" t="inlineStr">
        <is>
          <t>https://www.linkedin.com/company/reconcept-it</t>
        </is>
      </c>
    </row>
    <row r="141" ht="12.5" customHeight="1">
      <c r="A141" s="6" t="n">
        <v>45181</v>
      </c>
      <c r="B141" s="1" t="inlineStr">
        <is>
          <t>ORG_1701</t>
        </is>
      </c>
      <c r="C141" s="1" t="b">
        <v>1</v>
      </c>
      <c r="D141" s="1" t="inlineStr">
        <is>
          <t>iamprogrez</t>
        </is>
      </c>
      <c r="E141" s="10" t="inlineStr">
        <is>
          <t>www.iamprogrez.com</t>
        </is>
      </c>
      <c r="F141" t="inlineStr">
        <is>
          <t>iamprogrez.com</t>
        </is>
      </c>
      <c r="G141" s="1" t="inlineStr">
        <is>
          <t>iamprogrez is a Dutch data tech company that delivers validated soft skill assessment technology for b2e, b2b &amp; b2gov. 
Our motto: “never stop growing” applies to both people and organisations. We connect our passion for both people and data through our technology and create endless possibilities. Our technology is fully focused on the maximum development of people by making their skills, passion and talent visible.
Our tech
•	any time, anywhere 
•	plug &amp; play
•	gamification technology (it is NOT a game)
•	20 min assessments (max)
•	Real time data dashboards
•	SaaS</t>
        </is>
      </c>
      <c r="H141" s="1" t="n"/>
      <c r="I141" s="1" t="n"/>
      <c r="J141" s="1" t="inlineStr">
        <is>
          <t>Den Haag</t>
        </is>
      </c>
      <c r="K141" s="1" t="inlineStr">
        <is>
          <t>The Netherlands</t>
        </is>
      </c>
      <c r="L141" s="1" t="inlineStr">
        <is>
          <t>Netherlands</t>
        </is>
      </c>
      <c r="M141" s="1" t="inlineStr">
        <is>
          <t>11 to 50</t>
        </is>
      </c>
      <c r="N141" s="1" t="inlineStr">
        <is>
          <t>Business to Business, Business to Consumer, Business to Schools</t>
        </is>
      </c>
      <c r="O141" s="1" t="inlineStr">
        <is>
          <t>Early childhood development (0-5 years), Primary Education, Secondary Education, Corporate Training, Lifelong learning/Adult education</t>
        </is>
      </c>
      <c r="P141" s="1" t="inlineStr">
        <is>
          <t>System/Administrative, Student interfacing</t>
        </is>
      </c>
      <c r="Q141" s="1" t="inlineStr">
        <is>
          <t>Digital soft skill assessment</t>
        </is>
      </c>
      <c r="R141" s="10" t="inlineStr">
        <is>
          <t>validated digital soft skill assessments: 
•	better study choice
•	bridging the skill gap to the labor market
•	personalized learning 
•	career guidance 
•	up to 18.000 soft skills</t>
        </is>
      </c>
      <c r="S141" s="10" t="inlineStr">
        <is>
          <t>Minecraft Education Skill Builder</t>
        </is>
      </c>
      <c r="T141" t="inlineStr">
        <is>
          <t>•	building &amp; delivering Minecraft Education Worlds with an added layer (Skill Builder) to measure 21st century skills which can be connected to student learning objectives
•	facilitates gamebased learning</t>
        </is>
      </c>
      <c r="U141" s="1" t="inlineStr">
        <is>
          <t>https://drive.google.com/uc?export=view&amp;id=1us57gsY4-z0ACSO2K_jYut24iok0oeFi</t>
        </is>
      </c>
      <c r="V141" s="1" t="inlineStr">
        <is>
          <t>Unverified</t>
        </is>
      </c>
      <c r="W141" s="1" t="inlineStr">
        <is>
          <t>https://drive.google.com/uc?export=view&amp;id=1us57gsY4-z0ACSO2K_jYut24iok0oeFi</t>
        </is>
      </c>
      <c r="X141" s="1" t="n"/>
      <c r="Y141" s="10" t="n"/>
      <c r="Z141" s="1" t="n"/>
      <c r="AA141" t="inlineStr">
        <is>
          <t>Yes</t>
        </is>
      </c>
      <c r="AB141" t="inlineStr">
        <is>
          <t>iamprogrez</t>
        </is>
      </c>
      <c r="AC141" t="inlineStr">
        <is>
          <t>https://twitter.com/IamProgrez</t>
        </is>
      </c>
      <c r="AD141" t="inlineStr">
        <is>
          <t>https://www.linkedin.com/company/5102576/admin/</t>
        </is>
      </c>
    </row>
    <row r="142" ht="12.5" customHeight="1">
      <c r="A142" s="6" t="n">
        <v>45182</v>
      </c>
      <c r="B142" s="1" t="inlineStr">
        <is>
          <t>ORG_2543</t>
        </is>
      </c>
      <c r="C142" s="1" t="b">
        <v>1</v>
      </c>
      <c r="D142" s="1" t="inlineStr">
        <is>
          <t>Wizenoze</t>
        </is>
      </c>
      <c r="E142" s="10" t="inlineStr">
        <is>
          <t>https://www.wizenoze.com/</t>
        </is>
      </c>
      <c r="F142" t="inlineStr">
        <is>
          <t>wizenoze.com</t>
        </is>
      </c>
      <c r="G142" s="1" t="inlineStr">
        <is>
          <t>It is the mission of Wizenoze to organize the world’s educational information and make it accessible, learnable, and teachable with the aim to become the unquestioned solution for anyone who wishes to offer educational content in their applications, platforms, lessons, or solutions. Wizenoze makes educational information accessible by collecting and curating publicly available as well as proprietary content in the form of web pages, texts, videos, and images, and let teachers validate it. It's combining AI with human curation.</t>
        </is>
      </c>
      <c r="H142" s="1" t="inlineStr">
        <is>
          <t>Dutch EdTech</t>
        </is>
      </c>
      <c r="I142" s="1" t="inlineStr">
        <is>
          <t>English, Dutch</t>
        </is>
      </c>
      <c r="J142" s="1" t="inlineStr">
        <is>
          <t>Herengracht 162</t>
        </is>
      </c>
      <c r="K142" s="1" t="inlineStr">
        <is>
          <t>The Netherlands</t>
        </is>
      </c>
      <c r="L142" s="1" t="inlineStr">
        <is>
          <t>Belgium, Netherlands, United Kingdom</t>
        </is>
      </c>
      <c r="M142" s="1" t="inlineStr">
        <is>
          <t>11 to 50</t>
        </is>
      </c>
      <c r="N142" s="1" t="inlineStr">
        <is>
          <t>Business to Schools</t>
        </is>
      </c>
      <c r="O142" s="1" t="inlineStr">
        <is>
          <t>Primary Education, Secondary Education, Vocational Education and Training (VET)</t>
        </is>
      </c>
      <c r="P142" s="1" t="inlineStr">
        <is>
          <t>Teacher interfacing, System/Administrative</t>
        </is>
      </c>
      <c r="Q142" s="10" t="inlineStr">
        <is>
          <t>Wizeup.world</t>
        </is>
      </c>
      <c r="R142" s="10" t="inlineStr">
        <is>
          <t>The largest library worldwide of curated educational resources matched to your curriculum.
The smartest way to digitally enrich your educational content, platform and/or create new revenue streams. 
Enrich your content - Include carefully selected curated and teacher approved educational information from the web, to make your own content more actual, locally contextualised and lively.
Enrich your LMS or platform - Expand your offering through a constantly updated core collection of over 60 million educational text articles, or videos from trusted sources.
New revenue streams - For creators of proprietary content, we offer a new revenue stream to millions of users. Quick market entry, get access to some of worlds most innovative online learning companies and schools.</t>
        </is>
      </c>
      <c r="S142" s="10" t="inlineStr">
        <is>
          <t>https://drive.google.com/uc?export=view&amp;id=1tE7CYHHgwwtdq1RoVYEq2VxdQYfR4Gpq</t>
        </is>
      </c>
      <c r="T142" t="inlineStr">
        <is>
          <t>https://drive.google.com/uc?export=view&amp;id=1tE7CYHHgwwtdq1RoVYEq2VxdQYfR4Gpq</t>
        </is>
      </c>
      <c r="U142" s="1" t="inlineStr">
        <is>
          <t>https://drive.google.com/uc?export=view&amp;id=1tE7CYHHgwwtdq1RoVYEq2VxdQYfR4Gpq</t>
        </is>
      </c>
      <c r="V142" s="1" t="inlineStr">
        <is>
          <t>Unverified</t>
        </is>
      </c>
      <c r="Y142" s="10" t="n"/>
      <c r="Z142" s="1" t="n"/>
      <c r="AA142" t="inlineStr">
        <is>
          <t>Yes</t>
        </is>
      </c>
      <c r="AB142" t="inlineStr">
        <is>
          <t>https://www.instagram.com/Wizenoze</t>
        </is>
      </c>
      <c r="AC142" t="inlineStr">
        <is>
          <t>https://twitter.com/wizenoze</t>
        </is>
      </c>
      <c r="AD142" t="inlineStr">
        <is>
          <t>https://www.linkedin.com/company/wizenoze/?originalSubdomain=nl</t>
        </is>
      </c>
    </row>
    <row r="143" ht="12.5" customHeight="1">
      <c r="A143" s="6" t="n">
        <v>45300</v>
      </c>
      <c r="B143" s="1" t="inlineStr">
        <is>
          <t>ORG_1620</t>
        </is>
      </c>
      <c r="C143" s="1" t="b">
        <v>1</v>
      </c>
      <c r="D143" s="1" t="inlineStr">
        <is>
          <t>GetJobsDone</t>
        </is>
      </c>
      <c r="E143" s="10" t="inlineStr">
        <is>
          <t>https://getjobsdone.nl/</t>
        </is>
      </c>
      <c r="F143" t="inlineStr">
        <is>
          <t>getjobsdone.nl</t>
        </is>
      </c>
      <c r="G143" s="1" t="inlineStr">
        <is>
          <t>We believe that the labor market needs to change in order to provide young talents the possibility to develop themselves during their studies. Therefore, we founded GetJobsDone, a marketplace where companies can post task for a price they think the task is worth. Students can perform those tasks, without the need to have a contract and can develop themselves during their studies.</t>
        </is>
      </c>
      <c r="H143" s="1" t="inlineStr">
        <is>
          <t>Dutch EdTech</t>
        </is>
      </c>
      <c r="I143" s="1" t="n"/>
      <c r="J143" s="1" t="inlineStr">
        <is>
          <t>AMERSFOORT</t>
        </is>
      </c>
      <c r="K143" s="1" t="inlineStr">
        <is>
          <t>The Netherlands</t>
        </is>
      </c>
      <c r="L143" s="1" t="inlineStr">
        <is>
          <t>Netherlands</t>
        </is>
      </c>
      <c r="M143" s="1" t="inlineStr">
        <is>
          <t>0 to 10</t>
        </is>
      </c>
      <c r="N143" s="1" t="inlineStr">
        <is>
          <t>Business to Business</t>
        </is>
      </c>
      <c r="O143" s="1" t="inlineStr">
        <is>
          <t>Higher Education</t>
        </is>
      </c>
      <c r="P143" s="1" t="inlineStr">
        <is>
          <t>Student interfacing, System/Administrative</t>
        </is>
      </c>
      <c r="Q143" s="10" t="inlineStr">
        <is>
          <t>Marketplace</t>
        </is>
      </c>
      <c r="R143" t="inlineStr">
        <is>
          <t>Marketplace were companies can post tasks which can be performed by students during their studies, so they can develop themselves during their studies.</t>
        </is>
      </c>
      <c r="S143" s="10" t="inlineStr">
        <is>
          <t>https://drive.google.com/uc?export=view&amp;id=17-comaZu1VJH1PN6mwn9WlMkEPyaaQPX</t>
        </is>
      </c>
      <c r="T143" t="inlineStr">
        <is>
          <t>https://drive.google.com/uc?export=view&amp;id=17-comaZu1VJH1PN6mwn9WlMkEPyaaQPX</t>
        </is>
      </c>
      <c r="U143" s="1" t="inlineStr">
        <is>
          <t>https://drive.google.com/uc?export=view&amp;id=17-comaZu1VJH1PN6mwn9WlMkEPyaaQPX</t>
        </is>
      </c>
      <c r="V143" s="1" t="inlineStr">
        <is>
          <t>Unverified</t>
        </is>
      </c>
      <c r="W143" s="1" t="inlineStr">
        <is>
          <t>https://drive.google.com/uc?export=view&amp;id=17-comaZu1VJH1PN6mwn9WlMkEPyaaQPX</t>
        </is>
      </c>
      <c r="X143" s="1" t="n"/>
      <c r="Y143" s="10" t="n"/>
      <c r="Z143" s="1" t="n"/>
      <c r="AA143" t="inlineStr">
        <is>
          <t>Yes</t>
        </is>
      </c>
      <c r="AB143" t="inlineStr">
        <is>
          <t>https://www.instagram.com/getjobsdone.nl/</t>
        </is>
      </c>
      <c r="AC143" t="inlineStr">
        <is>
          <t>https://www.linkedin.com/company/getjobsdone/</t>
        </is>
      </c>
      <c r="AD143" t="inlineStr">
        <is>
          <t>https://www.linkedin.com/company/getjobsdone/</t>
        </is>
      </c>
    </row>
    <row r="144" ht="12.5" customHeight="1">
      <c r="A144" s="6" t="n">
        <v>45300</v>
      </c>
      <c r="B144" s="1" t="inlineStr">
        <is>
          <t>ORG_2559</t>
        </is>
      </c>
      <c r="C144" s="1" t="b">
        <v>1</v>
      </c>
      <c r="D144" s="1" t="inlineStr">
        <is>
          <t>Xprtise</t>
        </is>
      </c>
      <c r="E144" s="10" t="inlineStr">
        <is>
          <t>https://xprtise.com</t>
        </is>
      </c>
      <c r="F144" t="inlineStr">
        <is>
          <t>xprtise.com</t>
        </is>
      </c>
      <c r="G144" s="1" t="inlineStr">
        <is>
          <t>We collaborate with companies in designing a learning strategy that focuses on providing the right information at the right time allowing your employees to self-support while they work.
With our experience as both consumers and providers of learning services, we know that it all starts with the right strategy. We can help you build a blueprint for your organization’s learning and performance needs within your unique environment (internal vs. external, within a given budget, considering existing architecture, etc.).</t>
        </is>
      </c>
      <c r="H144" s="1" t="inlineStr">
        <is>
          <t>Dutch EdTech</t>
        </is>
      </c>
      <c r="I144" s="1" t="n"/>
      <c r="J144" s="1" t="inlineStr">
        <is>
          <t>S-'HERTOGENBOSCH</t>
        </is>
      </c>
      <c r="K144" s="1" t="inlineStr">
        <is>
          <t>The Netherlands</t>
        </is>
      </c>
      <c r="L144" s="1" t="inlineStr">
        <is>
          <t>Belgium, Denmark, Germany, Netherlands, Norway, Sweden, United Kingdom</t>
        </is>
      </c>
      <c r="M144" s="1" t="inlineStr">
        <is>
          <t>11 to 50</t>
        </is>
      </c>
      <c r="N144" s="1" t="inlineStr">
        <is>
          <t>Business to Schools</t>
        </is>
      </c>
      <c r="O144" s="1" t="inlineStr">
        <is>
          <t>Corporate Training</t>
        </is>
      </c>
      <c r="P144" s="1" t="inlineStr">
        <is>
          <t>Teacher interfacing, Student interfacing, System/Administrative</t>
        </is>
      </c>
      <c r="Q144" t="inlineStr">
        <is>
          <t>Workflow-based learning and performance solution</t>
        </is>
      </c>
      <c r="R144" s="10" t="inlineStr">
        <is>
          <t>We build and implement workplace learning solutions that meet the needs of diverse colleagues, where and when they are needed.</t>
        </is>
      </c>
      <c r="S144" s="10" t="inlineStr">
        <is>
          <t>https://drive.google.com/uc?export=view&amp;id=1fO7egaLub0UPf2zDgyTX5lMuv3DwiFOh</t>
        </is>
      </c>
      <c r="T144" t="inlineStr">
        <is>
          <t>https://drive.google.com/uc?export=view&amp;id=1fO7egaLub0UPf2zDgyTX5lMuv3DwiFOh</t>
        </is>
      </c>
      <c r="U144" s="1" t="inlineStr">
        <is>
          <t>https://drive.google.com/uc?export=view&amp;id=1fO7egaLub0UPf2zDgyTX5lMuv3DwiFOh</t>
        </is>
      </c>
      <c r="V144" s="1" t="inlineStr">
        <is>
          <t>Unverified</t>
        </is>
      </c>
      <c r="Y144" s="10" t="n"/>
      <c r="Z144" s="1" t="n"/>
      <c r="AA144" t="inlineStr">
        <is>
          <t>Yes</t>
        </is>
      </c>
      <c r="AB144" t="inlineStr">
        <is>
          <t>https://twitter.com/xprtise</t>
        </is>
      </c>
      <c r="AC144" t="inlineStr">
        <is>
          <t>https://twitter.com/xprtise</t>
        </is>
      </c>
      <c r="AD144" t="inlineStr">
        <is>
          <t>https://www.linkedin.com/company/7801396/</t>
        </is>
      </c>
    </row>
    <row r="145" ht="12.5" customHeight="1">
      <c r="A145" s="6" t="n">
        <v>45300</v>
      </c>
      <c r="B145" s="1" t="inlineStr">
        <is>
          <t>ORG_2420</t>
        </is>
      </c>
      <c r="C145" s="1" t="b">
        <v>1</v>
      </c>
      <c r="D145" s="1" t="inlineStr">
        <is>
          <t>Topicus Education</t>
        </is>
      </c>
      <c r="E145" s="10" t="inlineStr">
        <is>
          <t>https://topicus.nl/sectoren/onderwijs</t>
        </is>
      </c>
      <c r="F145" t="inlineStr">
        <is>
          <t>topicus.nl/sectoren/onderwijs</t>
        </is>
      </c>
      <c r="G145" s="1" t="inlineStr">
        <is>
          <t>With ParnasSys and Somtoday Topicus Education is the leading provider of student information systems and learning management systems for primary and secondary education in the Netherlands.</t>
        </is>
      </c>
      <c r="H145" s="1" t="inlineStr">
        <is>
          <t>Dutch EdTech</t>
        </is>
      </c>
      <c r="J145" s="1" t="inlineStr">
        <is>
          <t>DEVENTER</t>
        </is>
      </c>
      <c r="K145" s="1" t="inlineStr">
        <is>
          <t>The Netherlands</t>
        </is>
      </c>
      <c r="L145" s="1" t="inlineStr">
        <is>
          <t>Netherlands</t>
        </is>
      </c>
      <c r="M145" s="1" t="inlineStr">
        <is>
          <t>100+</t>
        </is>
      </c>
      <c r="N145" s="1" t="inlineStr">
        <is>
          <t>Business to Business, Business to Schools</t>
        </is>
      </c>
      <c r="O145" s="1" t="inlineStr">
        <is>
          <t>Primary Education, Secondary Education</t>
        </is>
      </c>
      <c r="P145" s="1" t="inlineStr">
        <is>
          <t>System/Administrative, Student interfacing, Teacher interfacing</t>
        </is>
      </c>
      <c r="Q145" s="1" t="inlineStr">
        <is>
          <t>ParnasSys</t>
        </is>
      </c>
      <c r="R145" s="1" t="inlineStr">
        <is>
          <t>ParnasSys is the leading student information system for primary education in the Netherlands. ParnasSys offers its 6000+ schools and 1.3m students a wide range of functionality such as student administration, gradebook, parent communication and management information. ParnasSys broke new ground as a fully web-based SaaS-application with its introduction in 2004 and has since become a reliable partner for 90% of the primary schools in the Netherlands.</t>
        </is>
      </c>
      <c r="S145" s="10" t="inlineStr">
        <is>
          <t>Somtoday</t>
        </is>
      </c>
      <c r="T145" t="inlineStr">
        <is>
          <t>Somtoday is a modern student information and learning management system for secondary education in the Netherlands. Somtoday is a fully web-based SaaS-application that serves 600 schools and 350K students. Somtoday is an integrated solution for student administration, learning management and management information.</t>
        </is>
      </c>
      <c r="U145" s="1" t="inlineStr">
        <is>
          <t>https://drive.google.com/uc?export=view&amp;id=1-N_AFzlGLpS3ViFkRQxnkOttsEudMaD1</t>
        </is>
      </c>
      <c r="V145" s="1" t="inlineStr">
        <is>
          <t>Unverified</t>
        </is>
      </c>
      <c r="W145" s="1" t="inlineStr">
        <is>
          <t>https://drive.google.com/uc?export=view&amp;id=1-N_AFzlGLpS3ViFkRQxnkOttsEudMaD1</t>
        </is>
      </c>
      <c r="X145" s="1" t="n"/>
      <c r="Y145" s="10" t="n"/>
      <c r="Z145" s="1" t="n"/>
      <c r="AA145" t="inlineStr">
        <is>
          <t>Yes</t>
        </is>
      </c>
      <c r="AC145" t="inlineStr">
        <is>
          <t>@topicusbv</t>
        </is>
      </c>
      <c r="AD145" t="inlineStr">
        <is>
          <t>https://www.linkedin.com/company/topicus/</t>
        </is>
      </c>
    </row>
    <row r="146" ht="12.5" customHeight="1">
      <c r="A146" s="6" t="n">
        <v>45300</v>
      </c>
      <c r="B146" s="1" t="inlineStr">
        <is>
          <t>ORG_2535</t>
        </is>
      </c>
      <c r="C146" s="1" t="b">
        <v>1</v>
      </c>
      <c r="D146" s="1" t="inlineStr">
        <is>
          <t>Winc Academy</t>
        </is>
      </c>
      <c r="E146" s="10" t="inlineStr">
        <is>
          <t>www.wincacademy.com</t>
        </is>
      </c>
      <c r="F146" t="inlineStr">
        <is>
          <t>wincacademy.com</t>
        </is>
      </c>
      <c r="G146" s="1" t="inlineStr">
        <is>
          <t>Winc Academy is an international education platform offering online courses with scalable personal guidance, for anyone to learn in-demand digital skills.</t>
        </is>
      </c>
      <c r="H146" s="1" t="inlineStr">
        <is>
          <t>Dutch EdTech</t>
        </is>
      </c>
      <c r="J146" s="1" t="inlineStr">
        <is>
          <t>AMSTERDAM</t>
        </is>
      </c>
      <c r="K146" s="1" t="inlineStr">
        <is>
          <t>The Netherlands</t>
        </is>
      </c>
      <c r="L146" s="1" t="inlineStr">
        <is>
          <t>Austria, Belgium, Italy, Netherlands, Portugal, Spain, Switzerland, United Kingdom</t>
        </is>
      </c>
      <c r="M146" s="1" t="inlineStr">
        <is>
          <t>11 to 50</t>
        </is>
      </c>
      <c r="N146" s="1" t="inlineStr">
        <is>
          <t>Business to Consumer</t>
        </is>
      </c>
      <c r="O146" s="1" t="inlineStr">
        <is>
          <t>Higher Education, Corporate Training, Lifelong learning/Adult education</t>
        </is>
      </c>
      <c r="P146" s="1" t="inlineStr">
        <is>
          <t>Student interfacing, System/Administrative</t>
        </is>
      </c>
      <c r="Q146" s="10" t="inlineStr">
        <is>
          <t>Course: Front End Development</t>
        </is>
      </c>
      <c r="R146" s="1" t="inlineStr">
        <is>
          <t>Create great websites and apps. Learn how to build attractive and user-friendly websites and apps with HTML, CSS and JavaScript. Land a job as a (junior) Front-End Developer.</t>
        </is>
      </c>
      <c r="S146" s="10" t="inlineStr">
        <is>
          <t>Course: Full Stack Development</t>
        </is>
      </c>
      <c r="T146" t="inlineStr">
        <is>
          <t>The best start of your career in tech. Develop the skills to work with both back-end and front-end technologies. By the time you are done, you will have all the skills needed to land a job as a (junior) full-stack developer.</t>
        </is>
      </c>
      <c r="U146" s="1" t="inlineStr">
        <is>
          <t>https://drive.google.com/uc?export=view&amp;id=1uMe6DyDeKNkp26A4a6nRNUGH9e6o0Scq</t>
        </is>
      </c>
      <c r="V146" s="1" t="inlineStr">
        <is>
          <t>Unverified</t>
        </is>
      </c>
      <c r="W146" s="1" t="inlineStr">
        <is>
          <t>https://drive.google.com/uc?export=view&amp;id=1uMe6DyDeKNkp26A4a6nRNUGH9e6o0Scq</t>
        </is>
      </c>
      <c r="X146" s="1" t="n"/>
      <c r="Y146" s="10" t="n"/>
      <c r="Z146" s="1" t="n"/>
      <c r="AA146" t="inlineStr">
        <is>
          <t>Yes</t>
        </is>
      </c>
      <c r="AB146" t="inlineStr">
        <is>
          <t>https://www.instagram.com/wincacademy/</t>
        </is>
      </c>
      <c r="AC146" t="inlineStr">
        <is>
          <t>https://www.linkedin.com/school/wincacademy</t>
        </is>
      </c>
      <c r="AD146" t="inlineStr">
        <is>
          <t>https://www.linkedin.com/school/wincacademy</t>
        </is>
      </c>
    </row>
    <row r="147" ht="12.5" customHeight="1">
      <c r="A147" s="6" t="n">
        <v>45428</v>
      </c>
      <c r="B147" s="1" t="inlineStr">
        <is>
          <t>ORG_1677</t>
        </is>
      </c>
      <c r="C147" s="1" t="b">
        <v>1</v>
      </c>
      <c r="D147" s="1" t="inlineStr">
        <is>
          <t>hihaho interactive video</t>
        </is>
      </c>
      <c r="E147" s="10" t="inlineStr">
        <is>
          <t>https://hihaho.com/</t>
        </is>
      </c>
      <c r="F147" t="inlineStr">
        <is>
          <t>hihaho.com</t>
        </is>
      </c>
      <c r="G147" s="1" t="inlineStr">
        <is>
          <t>Hihaho stands for High Interactivity, High Attention values and High Outcomes. We are a leading SaaS layer technology platform for interactive video, the next generation internet content standard for e-learning/video learning, public information and e-marketing. The hihaho layer technology platform can be used either stand-alone or fully integrated within Online Video Platforms, Learning Management Systems and Content Authoring environments, Customer Relations Management systems, or any website or business application. Hihaho is ultra scalable and ultra integrable proven technology which is already used by renowned video en LMS platforms and brands.</t>
        </is>
      </c>
      <c r="H147" s="1" t="inlineStr">
        <is>
          <t>Dutch EdTech</t>
        </is>
      </c>
      <c r="I147" s="1" t="inlineStr">
        <is>
          <t>All</t>
        </is>
      </c>
      <c r="J147" s="1" t="inlineStr">
        <is>
          <t>ASSEN</t>
        </is>
      </c>
      <c r="K147" s="1" t="inlineStr">
        <is>
          <t>The Netherlands</t>
        </is>
      </c>
      <c r="L14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147" s="1" t="inlineStr">
        <is>
          <t>11 to 50</t>
        </is>
      </c>
      <c r="N147" s="1" t="inlineStr">
        <is>
          <t>Business to Business, Business to Consumer</t>
        </is>
      </c>
      <c r="O147" s="1" t="inlineStr">
        <is>
          <t>Corporate Training, Lifelong learning/Adult education, Vocational Education and Training (VET), Higher Education</t>
        </is>
      </c>
      <c r="P147" s="1" t="inlineStr">
        <is>
          <t>Teacher interfacing, System/Administrative</t>
        </is>
      </c>
      <c r="Q147" s="1" t="inlineStr">
        <is>
          <t>hihaho interactive video</t>
        </is>
      </c>
      <c r="R147" s="1" t="inlineStr">
        <is>
          <t>Interactive layer technology SaaS platform for interactive video. Can either be used stand alone or fully integrated in OVP, LMS, CRM and other business applications. See https://hihaho.com/integrations-and-partners/</t>
        </is>
      </c>
      <c r="S147" s="10" t="inlineStr">
        <is>
          <t>hihaho pay-per-use</t>
        </is>
      </c>
      <c r="T147" t="inlineStr">
        <is>
          <t>Online pay-per-use solution for creative content agencies and small businesses that need an affordable solution without subscription. See: https://studio.hihaho.com/register</t>
        </is>
      </c>
      <c r="U147" s="1" t="inlineStr">
        <is>
          <t>https://drive.google.com/uc?export=view&amp;id=1xZJOt-CBkTwrccfTksl4xvGr3-IUGkRq</t>
        </is>
      </c>
      <c r="V147" s="1" t="inlineStr">
        <is>
          <t>Unverified</t>
        </is>
      </c>
      <c r="W147" s="1" t="inlineStr">
        <is>
          <t>https://drive.google.com/uc?export=view&amp;id=1xZJOt-CBkTwrccfTksl4xvGr3-IUGkRq</t>
        </is>
      </c>
      <c r="X147" s="1" t="n"/>
      <c r="Y147" s="10" t="n"/>
      <c r="Z147" s="1" t="n"/>
      <c r="AA147" t="inlineStr">
        <is>
          <t>Yes</t>
        </is>
      </c>
      <c r="AB147" t="inlineStr">
        <is>
          <t>-</t>
        </is>
      </c>
      <c r="AC147" t="inlineStr">
        <is>
          <t>-</t>
        </is>
      </c>
      <c r="AD147" t="inlineStr">
        <is>
          <t>https://www.linkedin.com/company/hihaho/mycompany/</t>
        </is>
      </c>
    </row>
    <row r="148" ht="12.5" customHeight="1">
      <c r="A148" s="6" t="n">
        <v>45183</v>
      </c>
      <c r="B148" s="1" t="inlineStr">
        <is>
          <t>ORG_2396</t>
        </is>
      </c>
      <c r="C148" s="1" t="b">
        <v>1</v>
      </c>
      <c r="D148" s="1" t="inlineStr">
        <is>
          <t>The Discov</t>
        </is>
      </c>
      <c r="E148" s="10" t="inlineStr">
        <is>
          <t>www.discov.ai</t>
        </is>
      </c>
      <c r="F148" t="inlineStr">
        <is>
          <t>discov.ai</t>
        </is>
      </c>
      <c r="G148" s="1" t="inlineStr">
        <is>
          <t>We are the world's first unbiased digital study counsellor. We use data to facilitate an optimal match between student and university. Our beyond-the-classroom matchmaking solution ensures students go to a university that meets all their needs, and universities receive students that thrive.</t>
        </is>
      </c>
      <c r="H148" s="1" t="inlineStr">
        <is>
          <t>Dutch EdTech</t>
        </is>
      </c>
      <c r="I148" s="1" t="inlineStr">
        <is>
          <t>English</t>
        </is>
      </c>
      <c r="J148" s="1" t="inlineStr">
        <is>
          <t>UTRECHT</t>
        </is>
      </c>
      <c r="K148" s="1" t="inlineStr">
        <is>
          <t>The Netherlands</t>
        </is>
      </c>
      <c r="L148" s="1" t="inlineStr">
        <is>
          <t>Netherlands</t>
        </is>
      </c>
      <c r="M148" s="1" t="inlineStr">
        <is>
          <t>3 to 5</t>
        </is>
      </c>
      <c r="N148" s="1" t="inlineStr">
        <is>
          <t>Business to Consumer, Business to Government, Business to Schools</t>
        </is>
      </c>
      <c r="O148" s="1" t="inlineStr">
        <is>
          <t>Higher Education</t>
        </is>
      </c>
      <c r="P148" s="1" t="inlineStr">
        <is>
          <t>Student interfacing</t>
        </is>
      </c>
      <c r="Q148" s="10" t="inlineStr">
        <is>
          <t>The Discov</t>
        </is>
      </c>
      <c r="R148" s="1" t="inlineStr">
        <is>
          <t>Our matchmaking platform solution provides unbiased, data-driven study advice to students based on their academic interests, but also their non-academic preferences, personality, budget and lifestyle. Our algorithm considers all English-taught programs at all universities (currently in the Netherlands and the UK) and is thereby completely independent from any individual higher education institution.</t>
        </is>
      </c>
      <c r="S148" s="10" t="inlineStr">
        <is>
          <t>https://drive.google.com/uc?export=view&amp;id=1tcgy0MoIDy9pWFXi4XbgHG5p9pLv2Rn3</t>
        </is>
      </c>
      <c r="T148" t="inlineStr">
        <is>
          <t>https://drive.google.com/uc?export=view&amp;id=1tcgy0MoIDy9pWFXi4XbgHG5p9pLv2Rn3</t>
        </is>
      </c>
      <c r="U148" s="1" t="inlineStr">
        <is>
          <t>https://drive.google.com/uc?export=view&amp;id=1tcgy0MoIDy9pWFXi4XbgHG5p9pLv2Rn3</t>
        </is>
      </c>
      <c r="V148" s="1" t="inlineStr">
        <is>
          <t>Unverified</t>
        </is>
      </c>
      <c r="Y148" s="10" t="n"/>
      <c r="Z148" s="1" t="n"/>
      <c r="AA148" t="inlineStr">
        <is>
          <t>Yes</t>
        </is>
      </c>
      <c r="AB148" t="inlineStr">
        <is>
          <t>https://www.instagram.com/the_discov/?hl=en</t>
        </is>
      </c>
      <c r="AC148" t="inlineStr">
        <is>
          <t>The Discov</t>
        </is>
      </c>
      <c r="AD148" t="inlineStr">
        <is>
          <t>https://www.linkedin.com/company/the-discov/</t>
        </is>
      </c>
    </row>
    <row r="149" ht="12.5" customHeight="1">
      <c r="A149" s="6" t="n">
        <v>45181</v>
      </c>
      <c r="B149" s="1" t="inlineStr">
        <is>
          <t>ORG_1775</t>
        </is>
      </c>
      <c r="C149" s="1" t="b">
        <v>1</v>
      </c>
      <c r="D149" s="1" t="inlineStr">
        <is>
          <t>Kinescope</t>
        </is>
      </c>
      <c r="E149" s="10" t="inlineStr">
        <is>
          <t>https://kinescope.io/</t>
        </is>
      </c>
      <c r="F149" t="inlineStr">
        <is>
          <t>kinescope.io</t>
        </is>
      </c>
      <c r="G149" s="1" t="inlineStr">
        <is>
          <t>Kinescope is an end-to-end video hosting platform for e-learning with headquarters in Emmen, Netherlands. Kinescope runs on top of own private CDN infrastructure and has few data centers across the world. Customers can host, store and upload thousands of video courses directly from the dashboard.
Kinescope's features include interactive player allowing users to customize it according to their branding, add subtitles, chapters, attachments, in-depth analytics to monitor video performance and engagement, and live broadcasts with DVR and video archive enabled. Another useful feature Kinescope offers is premium content protection with industry-leading DRM encryption like Apple FairPlay, as well as private links and password protection ensuring the customer’s video is shared only with the audience they choose to.
Due to its private infrastructure, Kinescope offers revolutionary pricing without hidden fees and fixed subscriptions, with all features available to every user.</t>
        </is>
      </c>
      <c r="H149" s="1" t="inlineStr">
        <is>
          <t>Dutch EdTech</t>
        </is>
      </c>
      <c r="I149" s="1" t="inlineStr">
        <is>
          <t>English, Dutch</t>
        </is>
      </c>
      <c r="J149" s="1" t="inlineStr">
        <is>
          <t>Emmen</t>
        </is>
      </c>
      <c r="K149" s="1" t="inlineStr">
        <is>
          <t>The Netherlands</t>
        </is>
      </c>
      <c r="L14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149" s="1" t="inlineStr">
        <is>
          <t>11 to 50</t>
        </is>
      </c>
      <c r="N149" s="1" t="inlineStr">
        <is>
          <t>Business to Business, Business to Consumer, Business to Government, Business to Schools</t>
        </is>
      </c>
      <c r="O149" s="1" t="inlineStr">
        <is>
          <t>Primary Education, Secondary Education, Corporate Training, Lifelong learning/Adult education, Vocational Education and Training (VET), Higher Education</t>
        </is>
      </c>
      <c r="P149" s="1" t="inlineStr">
        <is>
          <t>Teacher interfacing, System/Administrative, Student interfacing</t>
        </is>
      </c>
      <c r="Q149" s="1" t="inlineStr">
        <is>
          <t>Interactive video player with in-depth analytics</t>
        </is>
      </c>
      <c r="R149" s="1" t="inlineStr">
        <is>
          <t>The interactive video player is perfectly suited for people who share educational or corporate training and learning online.
It is easy to use, customizable and lets the educator the opportunity to decide how to present the material to the audience – by adding chapters, subtitles, logos, attachments and links.
The analytics features – visible per individual video or a project – give a thorough insight of the video’s performance, engagement rate, unique views, demographics and technology used by the viewers.</t>
        </is>
      </c>
      <c r="S149" s="10" t="inlineStr">
        <is>
          <t>Private CDN infrastructure &amp; DRM protection</t>
        </is>
      </c>
      <c r="T149" t="inlineStr">
        <is>
          <t>Kinescope has a private CDN infrastructure with own equipment and racks. This allows to deliver large volumes of video traffic with next to zero latency.
All videos have multi-level protection against unauthorized access. From private signatures and CORS policy to enterprise DRM protection Apple FairPlay and ClearKey technologies, Kinescope ensures all videos are delivered securely. In addition, Kinescope provides mitigation against DDoS and other attack vectors.</t>
        </is>
      </c>
      <c r="U149" s="1" t="inlineStr">
        <is>
          <t>https://drive.google.com/uc?export=view&amp;id=1WyulEauxUCtISAhVhbxFjxDKtB9zXX-A</t>
        </is>
      </c>
      <c r="V149" s="1" t="inlineStr">
        <is>
          <t>Unverified</t>
        </is>
      </c>
      <c r="W149" s="1" t="inlineStr">
        <is>
          <t>https://drive.google.com/uc?export=view&amp;id=1WyulEauxUCtISAhVhbxFjxDKtB9zXX-A</t>
        </is>
      </c>
      <c r="X149" s="1" t="n"/>
      <c r="Y149" s="10" t="n"/>
      <c r="Z149" s="1" t="n"/>
      <c r="AA149" t="inlineStr">
        <is>
          <t>Yes</t>
        </is>
      </c>
      <c r="AC149" t="inlineStr">
        <is>
          <t>https://www.linkedin.com/company/kinescopeio/</t>
        </is>
      </c>
      <c r="AD149" t="inlineStr">
        <is>
          <t>https://www.linkedin.com/company/kinescopeio/</t>
        </is>
      </c>
    </row>
    <row r="150" ht="12.5" customHeight="1">
      <c r="A150" s="6" t="n">
        <v>45370</v>
      </c>
      <c r="B150" s="1" t="inlineStr">
        <is>
          <t>ORG_1075</t>
        </is>
      </c>
      <c r="C150" s="1" t="b">
        <v>1</v>
      </c>
      <c r="D150" s="1" t="inlineStr">
        <is>
          <t>Ans</t>
        </is>
      </c>
      <c r="E150" s="10" t="inlineStr">
        <is>
          <t>https://ans.app/landing</t>
        </is>
      </c>
      <c r="F150" t="inlineStr">
        <is>
          <t>ans.app/landing</t>
        </is>
      </c>
      <c r="G150" s="1" t="inlineStr">
        <is>
          <t>Ans is a modern web-based assessment tool for students and educators. It saves you time grading, so you can get back to teaching as soon as possible. Whether you assess students on paper or digitally, you can design, grade and publish results online. Collaborate with colleagues and gain valuable insights that help improve your education. 
Assignments can be taken on-campus and remotely, for formative or summative purposes. Choose between assignment types such as handwritten assignments, digital tests, hand-in assignments, and more. Use question banks to collaborate on exercises with colleagues. Easily divide grading work per student or per question. Use analytics to improve the quality of your questions and assignments. Try out Ans to lower your workload and upgrade your assessments now.</t>
        </is>
      </c>
      <c r="H150" s="1" t="inlineStr">
        <is>
          <t>I'm not part of any EdTech association</t>
        </is>
      </c>
      <c r="I150" s="1" t="inlineStr">
        <is>
          <t>English, Dutch, French, German</t>
        </is>
      </c>
      <c r="J150" s="1" t="inlineStr">
        <is>
          <t>Delft</t>
        </is>
      </c>
      <c r="K150" s="1" t="inlineStr">
        <is>
          <t>The Netherlands</t>
        </is>
      </c>
      <c r="L150" s="1" t="inlineStr">
        <is>
          <t>Belgium, Germany, Italy, Luxembourg, Netherlands, Spain, Switzerland, United Kingdom</t>
        </is>
      </c>
      <c r="M150" s="1" t="inlineStr">
        <is>
          <t>11 to 50</t>
        </is>
      </c>
      <c r="N150" s="1" t="inlineStr">
        <is>
          <t>Business to Business</t>
        </is>
      </c>
      <c r="O150" s="1" t="inlineStr">
        <is>
          <t>Vocational Education and Training (VET), Higher Education</t>
        </is>
      </c>
      <c r="P150" s="1" t="inlineStr">
        <is>
          <t>Student interfacing, Teacher interfacing, System/Administrative</t>
        </is>
      </c>
      <c r="Q150" s="1" t="inlineStr">
        <is>
          <t>Ans</t>
        </is>
      </c>
      <c r="R150" s="1" t="inlineStr">
        <is>
          <t>Ans is a modern web-based assessment tool for students and educators. It saves you time grading, so you can get back to teaching as soon as possible. Whether you assess students on paper or digitally, you can design, grade and publish results online. Collaborate with colleagues and gain valuable insights that help improve your education.</t>
        </is>
      </c>
      <c r="S150" s="10" t="inlineStr">
        <is>
          <t>https://drive.google.com/uc?export=view&amp;id=1jYxeDcgQ59nUKCu4OWNzvlOmUo_XpIKN</t>
        </is>
      </c>
      <c r="T150" t="inlineStr">
        <is>
          <t>https://drive.google.com/uc?export=view&amp;id=1jYxeDcgQ59nUKCu4OWNzvlOmUo_XpIKN</t>
        </is>
      </c>
      <c r="U150" s="1" t="inlineStr">
        <is>
          <t>https://drive.google.com/uc?export=view&amp;id=1jYxeDcgQ59nUKCu4OWNzvlOmUo_XpIKN</t>
        </is>
      </c>
      <c r="V150" s="1" t="inlineStr">
        <is>
          <t>Unverified</t>
        </is>
      </c>
      <c r="Y150" s="10" t="n"/>
      <c r="Z150" s="1" t="n"/>
      <c r="AA150" t="inlineStr">
        <is>
          <t>Yes</t>
        </is>
      </c>
      <c r="AC150" t="inlineStr">
        <is>
          <t>https://www.linkedin.com/company/ans-exam</t>
        </is>
      </c>
      <c r="AD150" t="inlineStr">
        <is>
          <t>https://www.linkedin.com/company/ans-exam</t>
        </is>
      </c>
    </row>
    <row r="151" ht="12.5" customHeight="1">
      <c r="A151" s="6" t="n">
        <v>45300</v>
      </c>
      <c r="B151" s="1" t="inlineStr">
        <is>
          <t>ORG_2034</t>
        </is>
      </c>
      <c r="C151" s="1" t="b">
        <v>1</v>
      </c>
      <c r="D151" s="1" t="inlineStr">
        <is>
          <t>Next Learning Valley</t>
        </is>
      </c>
      <c r="E151" s="10" t="inlineStr">
        <is>
          <t>https://nextlearningvalley.com/</t>
        </is>
      </c>
      <c r="F151" t="inlineStr">
        <is>
          <t>nextlearningvalley.com</t>
        </is>
      </c>
      <c r="G151" s="1" t="inlineStr">
        <is>
          <t>We are an educational implementation partner in the Netherlands and Belgium of innovative learning technology. We support organisations in setting up a complete Learning Suite, which includes StreamLXP, LearningLocker and Waves.</t>
        </is>
      </c>
      <c r="H151" s="1" t="inlineStr">
        <is>
          <t>Dutch EdTech</t>
        </is>
      </c>
      <c r="I151" s="1" t="n"/>
      <c r="J151" s="1" t="inlineStr">
        <is>
          <t>Uden</t>
        </is>
      </c>
      <c r="K151" s="1" t="inlineStr">
        <is>
          <t>The Netherlands</t>
        </is>
      </c>
      <c r="L151" s="1" t="inlineStr">
        <is>
          <t>Belgium, Netherlands</t>
        </is>
      </c>
      <c r="M151" s="1" t="inlineStr">
        <is>
          <t>0 to 10</t>
        </is>
      </c>
      <c r="N151" s="1" t="inlineStr">
        <is>
          <t>Business to Business, Business to Government, Business to Schools</t>
        </is>
      </c>
      <c r="O151" s="1" t="inlineStr">
        <is>
          <t>Corporate Training, Lifelong learning/Adult education</t>
        </is>
      </c>
      <c r="P151" s="1" t="inlineStr">
        <is>
          <t>Student interfacing, System/Administrative</t>
        </is>
      </c>
      <c r="Q151" s="10" t="inlineStr">
        <is>
          <t>StreamLXP</t>
        </is>
      </c>
      <c r="R151" s="10" t="inlineStr">
        <is>
          <t>StreamLXP is our most comprehensive learning experience platform, used by global companies to develop exceptional employees with remarkable efficiency.</t>
        </is>
      </c>
      <c r="S151" s="10" t="inlineStr">
        <is>
          <t>Learning Locker LRS</t>
        </is>
      </c>
      <c r="T151" t="inlineStr">
        <is>
          <t>Rightsized for your needs and supported by expert services, our Learning Record Store offers the infrastructure for implementing enterprise data architecture at scale.</t>
        </is>
      </c>
      <c r="U151" s="1" t="inlineStr">
        <is>
          <t>https://drive.google.com/uc?export=view&amp;id=1GJHQwc08-diCyzMa7B_7CMFNGc1_IOiE</t>
        </is>
      </c>
      <c r="V151" s="1" t="inlineStr">
        <is>
          <t>Unverified</t>
        </is>
      </c>
      <c r="W151" s="1" t="inlineStr">
        <is>
          <t>https://drive.google.com/uc?export=view&amp;id=1GJHQwc08-diCyzMa7B_7CMFNGc1_IOiE</t>
        </is>
      </c>
      <c r="X151" s="1" t="n"/>
      <c r="Y151" s="10" t="n"/>
      <c r="Z151" s="1" t="n"/>
      <c r="AA151" s="1" t="inlineStr">
        <is>
          <t>Yes</t>
        </is>
      </c>
      <c r="AB151" s="1" t="inlineStr">
        <is>
          <t>https://www.instagram.com/nextlearningvalley/</t>
        </is>
      </c>
      <c r="AC151" s="1" t="inlineStr">
        <is>
          <t>https://twitter.com/NLV_LXP</t>
        </is>
      </c>
      <c r="AD151" s="1" t="inlineStr">
        <is>
          <t>https://www.linkedin.com/company/nextlearningvalley/?viewAsMember=true</t>
        </is>
      </c>
    </row>
    <row r="152" ht="12.5" customHeight="1">
      <c r="A152" s="6" t="n">
        <v>45300</v>
      </c>
      <c r="B152" s="1" t="inlineStr">
        <is>
          <t>ORG_2178</t>
        </is>
      </c>
      <c r="C152" s="1" t="b">
        <v>1</v>
      </c>
      <c r="D152" s="1" t="inlineStr">
        <is>
          <t>Researchista</t>
        </is>
      </c>
      <c r="E152" s="10" t="inlineStr">
        <is>
          <t>www.mobility-era.com</t>
        </is>
      </c>
      <c r="F152" t="inlineStr">
        <is>
          <t>mobility-era.com</t>
        </is>
      </c>
      <c r="G152" s="1" t="inlineStr">
        <is>
          <t>Researchista is a web platform that supports the use of research powered tools to improve the quality of life in an era of fake news. We support researchers with integration on the labour market by inspiring them to pursue a parallel career in private sector.
Mobility Era Game is an educational game inspired from a PhD thesis that equips for adult life and is the 1st proof that a valuable content can be transformed from highly technical and complex research studies into something light and easy to use, such as a game.</t>
        </is>
      </c>
      <c r="H152" s="1" t="inlineStr">
        <is>
          <t>Dutch EdTech</t>
        </is>
      </c>
      <c r="I152" s="1" t="n"/>
      <c r="J152" s="1" t="inlineStr">
        <is>
          <t>Amsterdam</t>
        </is>
      </c>
      <c r="K152" s="1" t="inlineStr">
        <is>
          <t>The Netherlands</t>
        </is>
      </c>
      <c r="L152" s="1" t="inlineStr">
        <is>
          <t>Albania, Andorra, Armenia, Austria, Belgium, Bulgaria, Croatia, Cyprus, Czechia, Denmark, Estonia, Finland, France, Germany, Greece, Hungary, Ireland, Italy, Kosovo, Latvia, Liechtenstein, Lithuania, Luxembourg, Malta, Moldova, Monaco, Netherlands, Norway, Poland, Portugal, Romania, San Marino, Serbia, Slovakia, Slovenia, Spain, Sweden, Switzerland, Turkey, United Kingdom</t>
        </is>
      </c>
      <c r="M152" s="1" t="inlineStr">
        <is>
          <t>0 to 10</t>
        </is>
      </c>
      <c r="N152" s="1" t="inlineStr">
        <is>
          <t>Business to Consumer, Business to Government, Business to Schools</t>
        </is>
      </c>
      <c r="O152" s="1" t="inlineStr">
        <is>
          <t>Secondary Education, Higher Education, Corporate Training</t>
        </is>
      </c>
      <c r="P152" s="1" t="inlineStr">
        <is>
          <t>System/Administrative, Student interfacing, Teacher interfacing</t>
        </is>
      </c>
      <c r="Q152" s="1" t="inlineStr">
        <is>
          <t>Mobility Era Game BOARD GAME</t>
        </is>
      </c>
      <c r="R152" s="1" t="inlineStr">
        <is>
          <t>Financial literacy becoming increasingly important. Mobility Era Game is #1 board game on fiscal education in Europe, endorsed by the European Commission and Forbes Council.
The aim of the game is to accumulate Happy Points (HaPs). “Money can’t buy happiness”, but you can certainly invest in your health (HePs)! 
The game is based on most recent statistics and is a fun type of trivia game about living conditions in 42 European countries, suitable for adults and children alike. 
The countries selected below are selected below. By doing that we hope to incentivize countries that are involved in the game to get to know more about this unique educational game and the possibilities it can offer in schools and universities. Have fun!
www.mobility-era.com</t>
        </is>
      </c>
      <c r="S152" s="10" t="inlineStr">
        <is>
          <t>Mobility Era Game APP</t>
        </is>
      </c>
      <c r="T152" t="inlineStr">
        <is>
          <t>Mobility Era Game app consists of a journey on a board that starts 11 and ends at 99 years old. As the journey advances, the player advances in life and gets to work in different countries, receives income and pays taxes accordingly. 
The game is now available for download in Apple Store and Google Play. 
This institutional demo illustrates to schools and interested organizations in promoting fiscal awareness how this can be done effortless. 
Give it a try!
www.mobility-era.com</t>
        </is>
      </c>
      <c r="U152" s="1" t="inlineStr">
        <is>
          <t>https://drive.google.com/uc?export=view&amp;id=1Niqqpgvch3XNceic8tK78qMpmbgFYfcb</t>
        </is>
      </c>
      <c r="V152" s="1" t="inlineStr">
        <is>
          <t>Unverified</t>
        </is>
      </c>
      <c r="W152" s="1" t="inlineStr">
        <is>
          <t>https://drive.google.com/uc?export=view&amp;id=1Niqqpgvch3XNceic8tK78qMpmbgFYfcb</t>
        </is>
      </c>
      <c r="X152" s="1" t="n"/>
      <c r="Y152" s="10" t="n"/>
      <c r="Z152" s="1" t="n"/>
      <c r="AA152" s="1" t="inlineStr">
        <is>
          <t>Yes</t>
        </is>
      </c>
      <c r="AB152" s="1" t="inlineStr">
        <is>
          <t>_mobilityeragame_</t>
        </is>
      </c>
      <c r="AC152" s="1" t="inlineStr">
        <is>
          <t>mobilityeragame</t>
        </is>
      </c>
      <c r="AD152" s="1" t="inlineStr">
        <is>
          <t>https://www.linkedin.com/groups/13758292/</t>
        </is>
      </c>
    </row>
    <row r="153" ht="12.5" customHeight="1">
      <c r="A153" s="6" t="n">
        <v>45300</v>
      </c>
      <c r="B153" s="1" t="inlineStr">
        <is>
          <t>ORG_2509</t>
        </is>
      </c>
      <c r="C153" s="1" t="b">
        <v>1</v>
      </c>
      <c r="D153" s="1" t="inlineStr">
        <is>
          <t>Vorsen - Smart Education</t>
        </is>
      </c>
      <c r="E153" s="10" t="inlineStr">
        <is>
          <t>www.vorsen.nl</t>
        </is>
      </c>
      <c r="F153" t="inlineStr">
        <is>
          <t>vorsen.nl</t>
        </is>
      </c>
      <c r="G153" s="1" t="inlineStr">
        <is>
          <t>Vorsen believes that change is as unique to the education sector as the dedication of the people working in it. And you should embrace what’s part of you. When it comes to IT, this can be challenging.
An educational institution just simply isn’t a software expert. We are, and that’s exactly where we can help. Working closely with the educational institution, we structure their IT in such a way that they’re equipped for the future, today. And that ultimately results in better education.</t>
        </is>
      </c>
      <c r="H153" s="1" t="inlineStr">
        <is>
          <t>Dutch EdTech</t>
        </is>
      </c>
      <c r="J153" s="1" t="inlineStr">
        <is>
          <t>ZOETERMEER</t>
        </is>
      </c>
      <c r="K153" s="1" t="inlineStr">
        <is>
          <t>The Netherlands</t>
        </is>
      </c>
      <c r="L153" s="1" t="inlineStr">
        <is>
          <t>Belgium, Denmark, France, Germany, Iceland, Luxembourg, Netherlands, Norway, Sweden, United Kingdom</t>
        </is>
      </c>
      <c r="M153" s="1" t="inlineStr">
        <is>
          <t>0 to 10</t>
        </is>
      </c>
      <c r="N153" s="1" t="inlineStr">
        <is>
          <t>Business to Government, Business to Schools</t>
        </is>
      </c>
      <c r="O153" s="1" t="inlineStr">
        <is>
          <t>Higher Education, Lifelong learning/Adult education</t>
        </is>
      </c>
      <c r="P153" s="1" t="inlineStr">
        <is>
          <t>Student interfacing, Teacher interfacing, System/Administrative</t>
        </is>
      </c>
      <c r="Q153" t="inlineStr">
        <is>
          <t>AscMe - Curriculum Management</t>
        </is>
      </c>
      <c r="R153" t="inlineStr">
        <is>
          <t>Building educational programs can at times be complex. There are many stakeholders, the curriculum often changes and then there are the additional topics such as cost accounting and deployment. Our AscMe-application enables you to quickly and easily establish or adapt the curriculum. There is no need to start from scratch every year, but you can (where possible) simply carry over old modules, create new ones and this way easily set everything up.</t>
        </is>
      </c>
      <c r="S153" s="10" t="inlineStr">
        <is>
          <t>DiCE - Digital Evaluations</t>
        </is>
      </c>
      <c r="T153" t="inlineStr">
        <is>
          <t>The main requirement for improving any organization is collecting feedback in a good way. Also for you as an educational institution. It is essential to have insight into what works, what should be improved and what is going on in the minds of employees and students. Exactly what we support you in with DiCE: a smart digital tool that helps to retrieve course evaluations and provides insight into processes</t>
        </is>
      </c>
      <c r="U153" s="1" t="inlineStr">
        <is>
          <t>https://drive.google.com/uc?export=view&amp;id=1edyYlGP2wRu5pDxNTi14g4za5UVWVS2y</t>
        </is>
      </c>
      <c r="V153" s="1" t="inlineStr">
        <is>
          <t>Unverified</t>
        </is>
      </c>
      <c r="W153" s="1" t="inlineStr">
        <is>
          <t>https://drive.google.com/uc?export=view&amp;id=1edyYlGP2wRu5pDxNTi14g4za5UVWVS2y</t>
        </is>
      </c>
      <c r="X153" s="1" t="n"/>
      <c r="Y153" s="10" t="n"/>
      <c r="Z153" s="1" t="n"/>
      <c r="AA153" t="inlineStr">
        <is>
          <t>Yes</t>
        </is>
      </c>
      <c r="AC153" t="inlineStr">
        <is>
          <t>https://www.linkedin.com/company/vorsen</t>
        </is>
      </c>
      <c r="AD153" t="inlineStr">
        <is>
          <t>https://www.linkedin.com/company/vorsen</t>
        </is>
      </c>
    </row>
    <row r="154" ht="12.5" customHeight="1">
      <c r="A154" s="6" t="n">
        <v>45182</v>
      </c>
      <c r="B154" s="1" t="inlineStr">
        <is>
          <t>ORG_1294</t>
        </is>
      </c>
      <c r="C154" s="1" t="b">
        <v>1</v>
      </c>
      <c r="D154" s="1" t="inlineStr">
        <is>
          <t>Conversation Design Institute</t>
        </is>
      </c>
      <c r="E154" s="10" t="inlineStr">
        <is>
          <t>https://www.conversationdesigninstitute.com/</t>
        </is>
      </c>
      <c r="F154" t="inlineStr">
        <is>
          <t>conversationdesigninstitute.com</t>
        </is>
      </c>
      <c r="G154" s="1" t="inlineStr">
        <is>
          <t>Conversation Design Institute is the world’s leading training and certification institute for conversational AI. Our platform is the place where the conversational AI community comes to learn employable skills, earn industry-backed certifications, and find their next hire.</t>
        </is>
      </c>
      <c r="H154" s="1" t="inlineStr">
        <is>
          <t>Dutch EdTech</t>
        </is>
      </c>
      <c r="J154" s="1" t="inlineStr">
        <is>
          <t>AMSTERDAM</t>
        </is>
      </c>
      <c r="K154" s="1" t="inlineStr">
        <is>
          <t>The Netherlands</t>
        </is>
      </c>
      <c r="L154" s="1" t="inlineStr">
        <is>
          <t>Austria, Belgium, Bulgaria, Croatia, Cyprus, Czechia, Denmark, Estonia, Finland, France, Germany, Greece, Hungary, Ireland, Italy, Latvia, Luxembourg, Netherlands, Norway, Poland, Portugal, Romania, Serbia, Slovenia, Spain, Sweden, Switzerland, United Kingdom</t>
        </is>
      </c>
      <c r="M154" s="1" t="inlineStr">
        <is>
          <t>6 to 10</t>
        </is>
      </c>
      <c r="N154" s="1" t="inlineStr">
        <is>
          <t>Business to Business, Business to Consumer, Business to Government, Business to Schools</t>
        </is>
      </c>
      <c r="O154" s="1" t="inlineStr">
        <is>
          <t>Primary Education, Secondary Education, Corporate Training, Lifelong learning/Adult education, Vocational Education and Training (VET), Higher Education</t>
        </is>
      </c>
      <c r="P154" s="1" t="inlineStr">
        <is>
          <t>Student interfacing, Teacher interfacing, System/Administrative</t>
        </is>
      </c>
      <c r="Q154" s="10" t="inlineStr">
        <is>
          <t>Training, Certification &amp; Consultancy</t>
        </is>
      </c>
      <c r="R154" s="10" t="inlineStr">
        <is>
          <t>CDI is the place where the conversational AI community comes to learn employable skills, earn industry-backed certifications, or reach out for professional services. Our proven workflow helps you create human-centric experiences for AI Assistants, like chatbots and voice assistants. We have several in-house created fundamental courses, courses we developed with industry experts, assessments, and recordings of our live events and live expert classes.</t>
        </is>
      </c>
      <c r="S154" s="10" t="inlineStr">
        <is>
          <t>https://drive.google.com/uc?export=view&amp;id=1CD4fkh4Y6Sh2xaBUVvEzVvVW-CWMkB5y</t>
        </is>
      </c>
      <c r="T154" t="inlineStr">
        <is>
          <t>https://drive.google.com/uc?export=view&amp;id=1CD4fkh4Y6Sh2xaBUVvEzVvVW-CWMkB5y</t>
        </is>
      </c>
      <c r="U154" s="1" t="inlineStr">
        <is>
          <t>https://drive.google.com/uc?export=view&amp;id=1CD4fkh4Y6Sh2xaBUVvEzVvVW-CWMkB5y</t>
        </is>
      </c>
      <c r="V154" s="1" t="inlineStr">
        <is>
          <t>Unverified</t>
        </is>
      </c>
      <c r="Y154" s="10" t="n"/>
      <c r="Z154" s="1" t="n"/>
      <c r="AA154" t="inlineStr">
        <is>
          <t>Yes</t>
        </is>
      </c>
      <c r="AB154" t="inlineStr">
        <is>
          <t>https://www.instagram.com/accounts/login/?next=/Conversation_Design_Institute/</t>
        </is>
      </c>
      <c r="AC154" t="inlineStr">
        <is>
          <t>https://twitter.com/CDInstitute_</t>
        </is>
      </c>
      <c r="AD154" t="inlineStr">
        <is>
          <t>https://www.linkedin.com/company/conversation-design-institute</t>
        </is>
      </c>
    </row>
    <row r="155" ht="12.5" customHeight="1">
      <c r="A155" s="6" t="n">
        <v>45181</v>
      </c>
      <c r="B155" s="1" t="inlineStr">
        <is>
          <t>ORG_2170</t>
        </is>
      </c>
      <c r="C155" s="1" t="b">
        <v>1</v>
      </c>
      <c r="D155" s="1" t="inlineStr">
        <is>
          <t>Recrout</t>
        </is>
      </c>
      <c r="E155" s="10" t="inlineStr">
        <is>
          <t>https://edutech.recrout.com/</t>
        </is>
      </c>
      <c r="F155" t="inlineStr">
        <is>
          <t>edutech.recrout.com</t>
        </is>
      </c>
      <c r="G155" s="1" t="inlineStr">
        <is>
          <t>Students are one of the most important links in our society. They are the new leaders, innovators, makers and creators, implementers, economists and politicians of the future. Their talent is undeniably important and necessary to keep society healthy and energetic. In the face of a changing world, we help Universities to get the best out of their students.
In our core, we believe there is more to people than merely a piece of paper, we believe in people’s talents. Our mission with Recrout EduTech is to help students discover their talent and strengthen their personal ambitions. Empowering young talent to achieve personal success. 
The personal guidance of students is of great importance to increase study success and to reduce dropout rates. We think we know our students but who are they really, what are their personality powers? How can we understand our students better, how can we achieve a qualitative deepening within the programs of personal student guidance?
Recrout's innovative software enables Universities to positively stimulate student development by assessing each student to discover their competencies and personal growth potential. Enabling universities to guide their students to more study success.</t>
        </is>
      </c>
      <c r="H155" s="1" t="inlineStr">
        <is>
          <t>Dutch EdTech</t>
        </is>
      </c>
      <c r="I155" s="1" t="inlineStr">
        <is>
          <t>English, Dutch</t>
        </is>
      </c>
      <c r="J155" s="1" t="inlineStr">
        <is>
          <t>Hoofddorp</t>
        </is>
      </c>
      <c r="K155" s="1" t="inlineStr">
        <is>
          <t>The Netherlands</t>
        </is>
      </c>
      <c r="L155" s="1" t="inlineStr">
        <is>
          <t>Netherlands</t>
        </is>
      </c>
      <c r="M155" s="1" t="inlineStr">
        <is>
          <t>6 to 10</t>
        </is>
      </c>
      <c r="N155" s="1" t="inlineStr">
        <is>
          <t>Business to Consumer, Business to Government, Business to Schools</t>
        </is>
      </c>
      <c r="O155" s="1" t="inlineStr">
        <is>
          <t>Corporate Training, Higher Education</t>
        </is>
      </c>
      <c r="P155" s="1" t="inlineStr">
        <is>
          <t>Student interfacing, Teacher interfacing, System/Administrative</t>
        </is>
      </c>
      <c r="Q155" s="10" t="inlineStr">
        <is>
          <t>Student Coaching &amp; Guidance Platform</t>
        </is>
      </c>
      <c r="R155" s="10" t="inlineStr">
        <is>
          <t>Students are one of the most important links in our society. They are the new leaders, innovators, makers and creators, implementers, economists and politicians of the future. Their talent is undeniably important and necessary to keep society healthy and energetic. In the face of a changing world, we help Universities to get the best out of their students.
In our core, we believe there is more to people than merely a piece of paper, we believe in people’s talents. Our mission with Recrout EduTech is to help students discover their talent and strengthen their personal ambitions. Empowering young talent to achieve personal success. 
The personal guidance of students is of great importance to increase study success and to reduce dropout rates. We think we know our students but who are they really, what are their personality powers? How can we understand our students better, how can we achieve a qualitative deepening within the programs of personal student guidance?
Recrout's innovative software enables Universities to positively stimulate student development by assessing each student to discover their competencies and personal growth potential. Enabling universities to guide their students to more study success.</t>
        </is>
      </c>
      <c r="S155" s="10" t="inlineStr">
        <is>
          <t>https://drive.google.com/uc?export=view&amp;id=1nMDHfWuE6BgutaO69ojv2JarV_z27m8f</t>
        </is>
      </c>
      <c r="T155" t="inlineStr">
        <is>
          <t>https://drive.google.com/uc?export=view&amp;id=1nMDHfWuE6BgutaO69ojv2JarV_z27m8f</t>
        </is>
      </c>
      <c r="U155" s="1" t="inlineStr">
        <is>
          <t>https://drive.google.com/uc?export=view&amp;id=1nMDHfWuE6BgutaO69ojv2JarV_z27m8f</t>
        </is>
      </c>
      <c r="V155" s="1" t="inlineStr">
        <is>
          <t>Unverified</t>
        </is>
      </c>
      <c r="Y155" s="10" t="n"/>
      <c r="Z155" s="1" t="n"/>
      <c r="AA155" t="inlineStr">
        <is>
          <t>Yes</t>
        </is>
      </c>
      <c r="AB155" t="inlineStr">
        <is>
          <t>https://twitter.com/recrout</t>
        </is>
      </c>
      <c r="AC155" t="inlineStr">
        <is>
          <t>https://twitter.com/recrout</t>
        </is>
      </c>
      <c r="AD155" t="inlineStr">
        <is>
          <t>https://www.linkedin.com/company/recrout/</t>
        </is>
      </c>
    </row>
    <row r="156" ht="12.5" customHeight="1">
      <c r="A156" s="6" t="n">
        <v>45181</v>
      </c>
      <c r="B156" s="1" t="inlineStr">
        <is>
          <t>ORG_2513</t>
        </is>
      </c>
      <c r="C156" s="1" t="b">
        <v>1</v>
      </c>
      <c r="D156" s="1" t="inlineStr">
        <is>
          <t>Warp VR</t>
        </is>
      </c>
      <c r="E156" s="10" t="inlineStr">
        <is>
          <t>https://www.warpvr.com/</t>
        </is>
      </c>
      <c r="F156" t="inlineStr">
        <is>
          <t>warpvr.com</t>
        </is>
      </c>
      <c r="G156" s="1" t="inlineStr">
        <is>
          <t>Warp VR is the easiest and most powerful way to create and scale interactive story-based VR training &amp; onboarding scenarios for enterprise, training agencies and education.
Companies like ASML, Erste Bank, KLM, Shell, and Tata Steel use Warp VR to train their workforce in safety, security and soft skills in a realistic and personalized way — showing results like a 75% increase in learning quality and retention, a 40% reduction in training time, and a 70% performance improvement.</t>
        </is>
      </c>
      <c r="H156" s="1" t="inlineStr">
        <is>
          <t>Dutch EdTech</t>
        </is>
      </c>
      <c r="I156" s="1" t="inlineStr">
        <is>
          <t>All</t>
        </is>
      </c>
      <c r="J156" s="1" t="inlineStr">
        <is>
          <t>VREELAND</t>
        </is>
      </c>
      <c r="K156" s="1" t="inlineStr">
        <is>
          <t>The Netherlands</t>
        </is>
      </c>
      <c r="L156" s="1" t="inlineStr">
        <is>
          <t>Austria, Belgium, Denmark, Netherlands, United Kingdom</t>
        </is>
      </c>
      <c r="M156" s="1" t="inlineStr">
        <is>
          <t>11 to 50</t>
        </is>
      </c>
      <c r="N156" s="1" t="inlineStr">
        <is>
          <t>Business to Government, Business to Schools</t>
        </is>
      </c>
      <c r="O156" s="1" t="inlineStr">
        <is>
          <t>Secondary Education, Corporate Training, Vocational Education and Training (VET), Higher Education</t>
        </is>
      </c>
      <c r="P156" s="1" t="inlineStr">
        <is>
          <t>Teacher interfacing, System/Administrative</t>
        </is>
      </c>
      <c r="Q156" s="10" t="inlineStr">
        <is>
          <t>Warp Studio</t>
        </is>
      </c>
      <c r="R156" s="10" t="inlineStr">
        <is>
          <t>Warp Studio is your central hub for creating, distributing and analysing real and immersive training scenarios. Collaborate with your team to create impact, engage your workforce and grow your business.
- Create any scenario you can think of
- Distribute to all major mobile VR platforms
- Analyze training data, up to every single choice</t>
        </is>
      </c>
      <c r="S156" s="10" t="inlineStr">
        <is>
          <t>https://drive.google.com/uc?export=view&amp;id=1iHLsHQmvi6CMrUAS4EjrNtw8-wa943zh</t>
        </is>
      </c>
      <c r="T156" t="inlineStr">
        <is>
          <t>https://drive.google.com/uc?export=view&amp;id=1iHLsHQmvi6CMrUAS4EjrNtw8-wa943zh</t>
        </is>
      </c>
      <c r="U156" s="1" t="inlineStr">
        <is>
          <t>https://drive.google.com/uc?export=view&amp;id=1iHLsHQmvi6CMrUAS4EjrNtw8-wa943zh</t>
        </is>
      </c>
      <c r="V156" s="1" t="inlineStr">
        <is>
          <t>Unverified</t>
        </is>
      </c>
      <c r="Y156" s="10" t="n"/>
      <c r="Z156" s="1" t="n"/>
      <c r="AA156" t="inlineStr">
        <is>
          <t>Yes</t>
        </is>
      </c>
      <c r="AB156" t="inlineStr">
        <is>
          <t>https://www.instagram.com/warp_vr/</t>
        </is>
      </c>
      <c r="AC156" t="inlineStr">
        <is>
          <t>https://twitter.com/WarpVR</t>
        </is>
      </c>
      <c r="AD156" t="inlineStr">
        <is>
          <t>https://www.linkedin.com/company/warpvr/</t>
        </is>
      </c>
    </row>
  </sheetData>
  <hyperlinks>
    <hyperlink xmlns:r="http://schemas.openxmlformats.org/officeDocument/2006/relationships" ref="E2" r:id="rId1"/>
    <hyperlink xmlns:r="http://schemas.openxmlformats.org/officeDocument/2006/relationships" ref="P2" r:id="rId2"/>
    <hyperlink xmlns:r="http://schemas.openxmlformats.org/officeDocument/2006/relationships" ref="R2" r:id="rId3"/>
    <hyperlink xmlns:r="http://schemas.openxmlformats.org/officeDocument/2006/relationships" ref="W2" r:id="rId4"/>
    <hyperlink xmlns:r="http://schemas.openxmlformats.org/officeDocument/2006/relationships" ref="AC2" r:id="rId5"/>
    <hyperlink xmlns:r="http://schemas.openxmlformats.org/officeDocument/2006/relationships" ref="E3" r:id="rId6"/>
    <hyperlink xmlns:r="http://schemas.openxmlformats.org/officeDocument/2006/relationships" ref="R3" r:id="rId7"/>
    <hyperlink xmlns:r="http://schemas.openxmlformats.org/officeDocument/2006/relationships" ref="W3" r:id="rId8"/>
    <hyperlink xmlns:r="http://schemas.openxmlformats.org/officeDocument/2006/relationships" ref="E4" r:id="rId9"/>
    <hyperlink xmlns:r="http://schemas.openxmlformats.org/officeDocument/2006/relationships" ref="R4" r:id="rId10"/>
    <hyperlink xmlns:r="http://schemas.openxmlformats.org/officeDocument/2006/relationships" ref="W4" r:id="rId11"/>
    <hyperlink xmlns:r="http://schemas.openxmlformats.org/officeDocument/2006/relationships" ref="E5" r:id="rId12"/>
    <hyperlink xmlns:r="http://schemas.openxmlformats.org/officeDocument/2006/relationships" ref="R5" r:id="rId13"/>
    <hyperlink xmlns:r="http://schemas.openxmlformats.org/officeDocument/2006/relationships" ref="W5" r:id="rId14"/>
    <hyperlink xmlns:r="http://schemas.openxmlformats.org/officeDocument/2006/relationships" ref="E6" r:id="rId15"/>
    <hyperlink xmlns:r="http://schemas.openxmlformats.org/officeDocument/2006/relationships" ref="R6" r:id="rId16"/>
    <hyperlink xmlns:r="http://schemas.openxmlformats.org/officeDocument/2006/relationships" ref="W6" r:id="rId17"/>
    <hyperlink xmlns:r="http://schemas.openxmlformats.org/officeDocument/2006/relationships" ref="E7" r:id="rId18"/>
    <hyperlink xmlns:r="http://schemas.openxmlformats.org/officeDocument/2006/relationships" ref="P7" r:id="rId19"/>
    <hyperlink xmlns:r="http://schemas.openxmlformats.org/officeDocument/2006/relationships" ref="R7" r:id="rId20"/>
    <hyperlink xmlns:r="http://schemas.openxmlformats.org/officeDocument/2006/relationships" ref="W7" r:id="rId21"/>
    <hyperlink xmlns:r="http://schemas.openxmlformats.org/officeDocument/2006/relationships" ref="E8" r:id="rId22"/>
    <hyperlink xmlns:r="http://schemas.openxmlformats.org/officeDocument/2006/relationships" ref="P8" r:id="rId23"/>
    <hyperlink xmlns:r="http://schemas.openxmlformats.org/officeDocument/2006/relationships" ref="R8" r:id="rId24"/>
    <hyperlink xmlns:r="http://schemas.openxmlformats.org/officeDocument/2006/relationships" ref="W8" r:id="rId25"/>
    <hyperlink xmlns:r="http://schemas.openxmlformats.org/officeDocument/2006/relationships" ref="AC8" r:id="rId26"/>
    <hyperlink xmlns:r="http://schemas.openxmlformats.org/officeDocument/2006/relationships" ref="E9" r:id="rId27"/>
    <hyperlink xmlns:r="http://schemas.openxmlformats.org/officeDocument/2006/relationships" ref="P9" r:id="rId28"/>
    <hyperlink xmlns:r="http://schemas.openxmlformats.org/officeDocument/2006/relationships" ref="W9" r:id="rId29"/>
    <hyperlink xmlns:r="http://schemas.openxmlformats.org/officeDocument/2006/relationships" ref="E10" r:id="rId30"/>
    <hyperlink xmlns:r="http://schemas.openxmlformats.org/officeDocument/2006/relationships" ref="R10" r:id="rId31"/>
    <hyperlink xmlns:r="http://schemas.openxmlformats.org/officeDocument/2006/relationships" ref="W10" r:id="rId32"/>
    <hyperlink xmlns:r="http://schemas.openxmlformats.org/officeDocument/2006/relationships" ref="AC10" r:id="rId33"/>
    <hyperlink xmlns:r="http://schemas.openxmlformats.org/officeDocument/2006/relationships" ref="R11" r:id="rId34"/>
    <hyperlink xmlns:r="http://schemas.openxmlformats.org/officeDocument/2006/relationships" ref="W11" r:id="rId35"/>
    <hyperlink xmlns:r="http://schemas.openxmlformats.org/officeDocument/2006/relationships" ref="E12" r:id="rId36"/>
    <hyperlink xmlns:r="http://schemas.openxmlformats.org/officeDocument/2006/relationships" ref="P12" r:id="rId37"/>
    <hyperlink xmlns:r="http://schemas.openxmlformats.org/officeDocument/2006/relationships" ref="R12" r:id="rId38"/>
    <hyperlink xmlns:r="http://schemas.openxmlformats.org/officeDocument/2006/relationships" ref="W12" r:id="rId39"/>
    <hyperlink xmlns:r="http://schemas.openxmlformats.org/officeDocument/2006/relationships" ref="E13" r:id="rId40"/>
    <hyperlink xmlns:r="http://schemas.openxmlformats.org/officeDocument/2006/relationships" ref="P13" r:id="rId41"/>
    <hyperlink xmlns:r="http://schemas.openxmlformats.org/officeDocument/2006/relationships" ref="R13" r:id="rId42"/>
    <hyperlink xmlns:r="http://schemas.openxmlformats.org/officeDocument/2006/relationships" ref="W13" r:id="rId43"/>
    <hyperlink xmlns:r="http://schemas.openxmlformats.org/officeDocument/2006/relationships" ref="E14" r:id="rId44"/>
    <hyperlink xmlns:r="http://schemas.openxmlformats.org/officeDocument/2006/relationships" ref="P14" r:id="rId45"/>
    <hyperlink xmlns:r="http://schemas.openxmlformats.org/officeDocument/2006/relationships" ref="R14" r:id="rId46"/>
    <hyperlink xmlns:r="http://schemas.openxmlformats.org/officeDocument/2006/relationships" ref="W14" r:id="rId47"/>
    <hyperlink xmlns:r="http://schemas.openxmlformats.org/officeDocument/2006/relationships" ref="AC14" r:id="rId48"/>
    <hyperlink xmlns:r="http://schemas.openxmlformats.org/officeDocument/2006/relationships" ref="E15" r:id="rId49"/>
    <hyperlink xmlns:r="http://schemas.openxmlformats.org/officeDocument/2006/relationships" ref="R15" r:id="rId50"/>
    <hyperlink xmlns:r="http://schemas.openxmlformats.org/officeDocument/2006/relationships" ref="W15" r:id="rId51"/>
    <hyperlink xmlns:r="http://schemas.openxmlformats.org/officeDocument/2006/relationships" ref="E16" r:id="rId52"/>
    <hyperlink xmlns:r="http://schemas.openxmlformats.org/officeDocument/2006/relationships" ref="R16" r:id="rId53"/>
    <hyperlink xmlns:r="http://schemas.openxmlformats.org/officeDocument/2006/relationships" ref="W16" r:id="rId54"/>
    <hyperlink xmlns:r="http://schemas.openxmlformats.org/officeDocument/2006/relationships" ref="E17" r:id="rId55"/>
    <hyperlink xmlns:r="http://schemas.openxmlformats.org/officeDocument/2006/relationships" ref="R17" r:id="rId56"/>
    <hyperlink xmlns:r="http://schemas.openxmlformats.org/officeDocument/2006/relationships" ref="W17" r:id="rId57"/>
    <hyperlink xmlns:r="http://schemas.openxmlformats.org/officeDocument/2006/relationships" ref="E18" r:id="rId58"/>
    <hyperlink xmlns:r="http://schemas.openxmlformats.org/officeDocument/2006/relationships" ref="R18" r:id="rId59"/>
    <hyperlink xmlns:r="http://schemas.openxmlformats.org/officeDocument/2006/relationships" ref="W18" r:id="rId60"/>
    <hyperlink xmlns:r="http://schemas.openxmlformats.org/officeDocument/2006/relationships" ref="E19" r:id="rId61"/>
    <hyperlink xmlns:r="http://schemas.openxmlformats.org/officeDocument/2006/relationships" ref="R19" r:id="rId62"/>
    <hyperlink xmlns:r="http://schemas.openxmlformats.org/officeDocument/2006/relationships" ref="W19" r:id="rId63"/>
    <hyperlink xmlns:r="http://schemas.openxmlformats.org/officeDocument/2006/relationships" ref="E20" r:id="rId64"/>
    <hyperlink xmlns:r="http://schemas.openxmlformats.org/officeDocument/2006/relationships" ref="R20" r:id="rId65"/>
    <hyperlink xmlns:r="http://schemas.openxmlformats.org/officeDocument/2006/relationships" ref="E21" r:id="rId66"/>
    <hyperlink xmlns:r="http://schemas.openxmlformats.org/officeDocument/2006/relationships" ref="E22" r:id="rId67"/>
    <hyperlink xmlns:r="http://schemas.openxmlformats.org/officeDocument/2006/relationships" ref="R22" r:id="rId68"/>
    <hyperlink xmlns:r="http://schemas.openxmlformats.org/officeDocument/2006/relationships" ref="E23" r:id="rId69"/>
    <hyperlink xmlns:r="http://schemas.openxmlformats.org/officeDocument/2006/relationships" ref="E24" r:id="rId70"/>
    <hyperlink xmlns:r="http://schemas.openxmlformats.org/officeDocument/2006/relationships" ref="R24" r:id="rId71"/>
    <hyperlink xmlns:r="http://schemas.openxmlformats.org/officeDocument/2006/relationships" ref="E25" r:id="rId72"/>
    <hyperlink xmlns:r="http://schemas.openxmlformats.org/officeDocument/2006/relationships" ref="R25" r:id="rId73"/>
    <hyperlink xmlns:r="http://schemas.openxmlformats.org/officeDocument/2006/relationships" ref="E26" r:id="rId74"/>
    <hyperlink xmlns:r="http://schemas.openxmlformats.org/officeDocument/2006/relationships" ref="R26" r:id="rId75"/>
    <hyperlink xmlns:r="http://schemas.openxmlformats.org/officeDocument/2006/relationships" ref="E27" r:id="rId76"/>
    <hyperlink xmlns:r="http://schemas.openxmlformats.org/officeDocument/2006/relationships" ref="R27" r:id="rId77"/>
    <hyperlink xmlns:r="http://schemas.openxmlformats.org/officeDocument/2006/relationships" ref="P28" r:id="rId78"/>
    <hyperlink xmlns:r="http://schemas.openxmlformats.org/officeDocument/2006/relationships" ref="R28" r:id="rId79"/>
    <hyperlink xmlns:r="http://schemas.openxmlformats.org/officeDocument/2006/relationships" ref="AC28" r:id="rId80"/>
    <hyperlink xmlns:r="http://schemas.openxmlformats.org/officeDocument/2006/relationships" ref="E29" r:id="rId81"/>
    <hyperlink xmlns:r="http://schemas.openxmlformats.org/officeDocument/2006/relationships" ref="R29" r:id="rId82"/>
    <hyperlink xmlns:r="http://schemas.openxmlformats.org/officeDocument/2006/relationships" ref="E30" r:id="rId83"/>
    <hyperlink xmlns:r="http://schemas.openxmlformats.org/officeDocument/2006/relationships" ref="R30" r:id="rId84"/>
    <hyperlink xmlns:r="http://schemas.openxmlformats.org/officeDocument/2006/relationships" ref="W30" r:id="rId85"/>
    <hyperlink xmlns:r="http://schemas.openxmlformats.org/officeDocument/2006/relationships" ref="P31" r:id="rId86"/>
    <hyperlink xmlns:r="http://schemas.openxmlformats.org/officeDocument/2006/relationships" ref="R31" r:id="rId87"/>
    <hyperlink xmlns:r="http://schemas.openxmlformats.org/officeDocument/2006/relationships" ref="E32" r:id="rId88"/>
    <hyperlink xmlns:r="http://schemas.openxmlformats.org/officeDocument/2006/relationships" ref="P32" r:id="rId89"/>
    <hyperlink xmlns:r="http://schemas.openxmlformats.org/officeDocument/2006/relationships" ref="R32" r:id="rId90"/>
    <hyperlink xmlns:r="http://schemas.openxmlformats.org/officeDocument/2006/relationships" ref="W32" r:id="rId91"/>
    <hyperlink xmlns:r="http://schemas.openxmlformats.org/officeDocument/2006/relationships" ref="E33" r:id="rId92"/>
    <hyperlink xmlns:r="http://schemas.openxmlformats.org/officeDocument/2006/relationships" ref="R33" r:id="rId93"/>
    <hyperlink xmlns:r="http://schemas.openxmlformats.org/officeDocument/2006/relationships" ref="W33" r:id="rId94"/>
    <hyperlink xmlns:r="http://schemas.openxmlformats.org/officeDocument/2006/relationships" ref="E34" r:id="rId95"/>
    <hyperlink xmlns:r="http://schemas.openxmlformats.org/officeDocument/2006/relationships" ref="P34" r:id="rId96"/>
    <hyperlink xmlns:r="http://schemas.openxmlformats.org/officeDocument/2006/relationships" ref="R34" r:id="rId97"/>
    <hyperlink xmlns:r="http://schemas.openxmlformats.org/officeDocument/2006/relationships" ref="W34" r:id="rId98"/>
    <hyperlink xmlns:r="http://schemas.openxmlformats.org/officeDocument/2006/relationships" ref="R35" r:id="rId99"/>
    <hyperlink xmlns:r="http://schemas.openxmlformats.org/officeDocument/2006/relationships" ref="W35" r:id="rId100"/>
    <hyperlink xmlns:r="http://schemas.openxmlformats.org/officeDocument/2006/relationships" ref="E36" r:id="rId101"/>
    <hyperlink xmlns:r="http://schemas.openxmlformats.org/officeDocument/2006/relationships" ref="D37" r:id="rId102"/>
    <hyperlink xmlns:r="http://schemas.openxmlformats.org/officeDocument/2006/relationships" ref="E37" r:id="rId103"/>
    <hyperlink xmlns:r="http://schemas.openxmlformats.org/officeDocument/2006/relationships" ref="P37" r:id="rId104"/>
    <hyperlink xmlns:r="http://schemas.openxmlformats.org/officeDocument/2006/relationships" ref="R37" r:id="rId105"/>
    <hyperlink xmlns:r="http://schemas.openxmlformats.org/officeDocument/2006/relationships" ref="S37" r:id="rId106"/>
    <hyperlink xmlns:r="http://schemas.openxmlformats.org/officeDocument/2006/relationships" ref="E38" r:id="rId107"/>
    <hyperlink xmlns:r="http://schemas.openxmlformats.org/officeDocument/2006/relationships" ref="P38" r:id="rId108"/>
    <hyperlink xmlns:r="http://schemas.openxmlformats.org/officeDocument/2006/relationships" ref="E39" r:id="rId109"/>
    <hyperlink xmlns:r="http://schemas.openxmlformats.org/officeDocument/2006/relationships" ref="R39" r:id="rId110"/>
    <hyperlink xmlns:r="http://schemas.openxmlformats.org/officeDocument/2006/relationships" ref="W39" r:id="rId111"/>
    <hyperlink xmlns:r="http://schemas.openxmlformats.org/officeDocument/2006/relationships" ref="E40" r:id="rId112"/>
    <hyperlink xmlns:r="http://schemas.openxmlformats.org/officeDocument/2006/relationships" ref="R40" r:id="rId113"/>
    <hyperlink xmlns:r="http://schemas.openxmlformats.org/officeDocument/2006/relationships" ref="W40" r:id="rId114"/>
    <hyperlink xmlns:r="http://schemas.openxmlformats.org/officeDocument/2006/relationships" ref="E41" r:id="rId115"/>
    <hyperlink xmlns:r="http://schemas.openxmlformats.org/officeDocument/2006/relationships" ref="P41" r:id="rId116"/>
    <hyperlink xmlns:r="http://schemas.openxmlformats.org/officeDocument/2006/relationships" ref="R41" r:id="rId117"/>
    <hyperlink xmlns:r="http://schemas.openxmlformats.org/officeDocument/2006/relationships" ref="W41" r:id="rId118"/>
    <hyperlink xmlns:r="http://schemas.openxmlformats.org/officeDocument/2006/relationships" ref="E42" r:id="rId119"/>
    <hyperlink xmlns:r="http://schemas.openxmlformats.org/officeDocument/2006/relationships" ref="R42" r:id="rId120"/>
    <hyperlink xmlns:r="http://schemas.openxmlformats.org/officeDocument/2006/relationships" ref="W42" r:id="rId121"/>
    <hyperlink xmlns:r="http://schemas.openxmlformats.org/officeDocument/2006/relationships" ref="E43" r:id="rId122"/>
    <hyperlink xmlns:r="http://schemas.openxmlformats.org/officeDocument/2006/relationships" ref="E44" r:id="rId123"/>
    <hyperlink xmlns:r="http://schemas.openxmlformats.org/officeDocument/2006/relationships" ref="E45" r:id="rId124"/>
    <hyperlink xmlns:r="http://schemas.openxmlformats.org/officeDocument/2006/relationships" ref="E46" r:id="rId125"/>
    <hyperlink xmlns:r="http://schemas.openxmlformats.org/officeDocument/2006/relationships" ref="E47" r:id="rId126"/>
    <hyperlink xmlns:r="http://schemas.openxmlformats.org/officeDocument/2006/relationships" ref="P47" r:id="rId127"/>
    <hyperlink xmlns:r="http://schemas.openxmlformats.org/officeDocument/2006/relationships" ref="Q47" r:id="rId128"/>
    <hyperlink xmlns:r="http://schemas.openxmlformats.org/officeDocument/2006/relationships" ref="R47" r:id="rId129"/>
    <hyperlink xmlns:r="http://schemas.openxmlformats.org/officeDocument/2006/relationships" ref="W47" r:id="rId130"/>
    <hyperlink xmlns:r="http://schemas.openxmlformats.org/officeDocument/2006/relationships" ref="E48" r:id="rId131"/>
    <hyperlink xmlns:r="http://schemas.openxmlformats.org/officeDocument/2006/relationships" ref="P48" r:id="rId132"/>
    <hyperlink xmlns:r="http://schemas.openxmlformats.org/officeDocument/2006/relationships" ref="Q48" r:id="rId133"/>
    <hyperlink xmlns:r="http://schemas.openxmlformats.org/officeDocument/2006/relationships" ref="R48" r:id="rId134"/>
    <hyperlink xmlns:r="http://schemas.openxmlformats.org/officeDocument/2006/relationships" ref="W48" r:id="rId135"/>
    <hyperlink xmlns:r="http://schemas.openxmlformats.org/officeDocument/2006/relationships" ref="E49" r:id="rId136"/>
    <hyperlink xmlns:r="http://schemas.openxmlformats.org/officeDocument/2006/relationships" ref="R49" r:id="rId137"/>
    <hyperlink xmlns:r="http://schemas.openxmlformats.org/officeDocument/2006/relationships" ref="W49" r:id="rId138"/>
    <hyperlink xmlns:r="http://schemas.openxmlformats.org/officeDocument/2006/relationships" ref="E50" r:id="rId139"/>
    <hyperlink xmlns:r="http://schemas.openxmlformats.org/officeDocument/2006/relationships" ref="E51" r:id="rId140"/>
    <hyperlink xmlns:r="http://schemas.openxmlformats.org/officeDocument/2006/relationships" ref="E52" r:id="rId141"/>
    <hyperlink xmlns:r="http://schemas.openxmlformats.org/officeDocument/2006/relationships" ref="E53" r:id="rId142"/>
    <hyperlink xmlns:r="http://schemas.openxmlformats.org/officeDocument/2006/relationships" ref="P53" r:id="rId143"/>
    <hyperlink xmlns:r="http://schemas.openxmlformats.org/officeDocument/2006/relationships" ref="R53" r:id="rId144"/>
    <hyperlink xmlns:r="http://schemas.openxmlformats.org/officeDocument/2006/relationships" ref="W53" r:id="rId145"/>
    <hyperlink xmlns:r="http://schemas.openxmlformats.org/officeDocument/2006/relationships" ref="E54" r:id="rId146"/>
    <hyperlink xmlns:r="http://schemas.openxmlformats.org/officeDocument/2006/relationships" ref="P54" r:id="rId147"/>
    <hyperlink xmlns:r="http://schemas.openxmlformats.org/officeDocument/2006/relationships" ref="Q54" r:id="rId148"/>
    <hyperlink xmlns:r="http://schemas.openxmlformats.org/officeDocument/2006/relationships" ref="R54" r:id="rId149"/>
    <hyperlink xmlns:r="http://schemas.openxmlformats.org/officeDocument/2006/relationships" ref="W54" r:id="rId150"/>
    <hyperlink xmlns:r="http://schemas.openxmlformats.org/officeDocument/2006/relationships" ref="E55" r:id="rId151"/>
    <hyperlink xmlns:r="http://schemas.openxmlformats.org/officeDocument/2006/relationships" ref="R55" r:id="rId152"/>
    <hyperlink xmlns:r="http://schemas.openxmlformats.org/officeDocument/2006/relationships" ref="W55" r:id="rId153"/>
    <hyperlink xmlns:r="http://schemas.openxmlformats.org/officeDocument/2006/relationships" ref="E56" r:id="rId154"/>
    <hyperlink xmlns:r="http://schemas.openxmlformats.org/officeDocument/2006/relationships" ref="E57" r:id="rId155"/>
    <hyperlink xmlns:r="http://schemas.openxmlformats.org/officeDocument/2006/relationships" ref="P57" r:id="rId156"/>
    <hyperlink xmlns:r="http://schemas.openxmlformats.org/officeDocument/2006/relationships" ref="W57" r:id="rId157"/>
    <hyperlink xmlns:r="http://schemas.openxmlformats.org/officeDocument/2006/relationships" ref="E58" r:id="rId158"/>
    <hyperlink xmlns:r="http://schemas.openxmlformats.org/officeDocument/2006/relationships" ref="E59" r:id="rId159"/>
    <hyperlink xmlns:r="http://schemas.openxmlformats.org/officeDocument/2006/relationships" ref="R59" r:id="rId160"/>
    <hyperlink xmlns:r="http://schemas.openxmlformats.org/officeDocument/2006/relationships" ref="W59" r:id="rId161"/>
    <hyperlink xmlns:r="http://schemas.openxmlformats.org/officeDocument/2006/relationships" ref="E60" r:id="rId162"/>
    <hyperlink xmlns:r="http://schemas.openxmlformats.org/officeDocument/2006/relationships" ref="P60" r:id="rId163"/>
    <hyperlink xmlns:r="http://schemas.openxmlformats.org/officeDocument/2006/relationships" ref="R60" r:id="rId164"/>
    <hyperlink xmlns:r="http://schemas.openxmlformats.org/officeDocument/2006/relationships" ref="W60" r:id="rId165"/>
    <hyperlink xmlns:r="http://schemas.openxmlformats.org/officeDocument/2006/relationships" ref="E61" r:id="rId166"/>
    <hyperlink xmlns:r="http://schemas.openxmlformats.org/officeDocument/2006/relationships" ref="P61" r:id="rId167"/>
    <hyperlink xmlns:r="http://schemas.openxmlformats.org/officeDocument/2006/relationships" ref="R61" r:id="rId168"/>
    <hyperlink xmlns:r="http://schemas.openxmlformats.org/officeDocument/2006/relationships" ref="E62" r:id="rId169"/>
    <hyperlink xmlns:r="http://schemas.openxmlformats.org/officeDocument/2006/relationships" ref="P62" r:id="rId170"/>
    <hyperlink xmlns:r="http://schemas.openxmlformats.org/officeDocument/2006/relationships" ref="Q62" r:id="rId171"/>
    <hyperlink xmlns:r="http://schemas.openxmlformats.org/officeDocument/2006/relationships" ref="R62" r:id="rId172"/>
    <hyperlink xmlns:r="http://schemas.openxmlformats.org/officeDocument/2006/relationships" ref="E63" r:id="rId173"/>
    <hyperlink xmlns:r="http://schemas.openxmlformats.org/officeDocument/2006/relationships" ref="P63" r:id="rId174"/>
    <hyperlink xmlns:r="http://schemas.openxmlformats.org/officeDocument/2006/relationships" ref="R63" r:id="rId175"/>
    <hyperlink xmlns:r="http://schemas.openxmlformats.org/officeDocument/2006/relationships" ref="E64" r:id="rId176"/>
    <hyperlink xmlns:r="http://schemas.openxmlformats.org/officeDocument/2006/relationships" ref="R64" r:id="rId177"/>
    <hyperlink xmlns:r="http://schemas.openxmlformats.org/officeDocument/2006/relationships" ref="W64" r:id="rId178"/>
    <hyperlink xmlns:r="http://schemas.openxmlformats.org/officeDocument/2006/relationships" ref="E65" r:id="rId179"/>
    <hyperlink xmlns:r="http://schemas.openxmlformats.org/officeDocument/2006/relationships" ref="R65" r:id="rId180"/>
    <hyperlink xmlns:r="http://schemas.openxmlformats.org/officeDocument/2006/relationships" ref="E66" r:id="rId181"/>
    <hyperlink xmlns:r="http://schemas.openxmlformats.org/officeDocument/2006/relationships" ref="R66" r:id="rId182"/>
    <hyperlink xmlns:r="http://schemas.openxmlformats.org/officeDocument/2006/relationships" ref="W66" r:id="rId183"/>
    <hyperlink xmlns:r="http://schemas.openxmlformats.org/officeDocument/2006/relationships" ref="E67" r:id="rId184"/>
    <hyperlink xmlns:r="http://schemas.openxmlformats.org/officeDocument/2006/relationships" ref="R67" r:id="rId185"/>
    <hyperlink xmlns:r="http://schemas.openxmlformats.org/officeDocument/2006/relationships" ref="E68" r:id="rId186"/>
    <hyperlink xmlns:r="http://schemas.openxmlformats.org/officeDocument/2006/relationships" ref="P68" r:id="rId187"/>
    <hyperlink xmlns:r="http://schemas.openxmlformats.org/officeDocument/2006/relationships" ref="R68" r:id="rId188"/>
    <hyperlink xmlns:r="http://schemas.openxmlformats.org/officeDocument/2006/relationships" ref="E69" r:id="rId189"/>
    <hyperlink xmlns:r="http://schemas.openxmlformats.org/officeDocument/2006/relationships" ref="W69" r:id="rId190"/>
    <hyperlink xmlns:r="http://schemas.openxmlformats.org/officeDocument/2006/relationships" ref="E70" r:id="rId191"/>
    <hyperlink xmlns:r="http://schemas.openxmlformats.org/officeDocument/2006/relationships" ref="R70" r:id="rId192"/>
    <hyperlink xmlns:r="http://schemas.openxmlformats.org/officeDocument/2006/relationships" ref="W70" r:id="rId193"/>
    <hyperlink xmlns:r="http://schemas.openxmlformats.org/officeDocument/2006/relationships" ref="E71" r:id="rId194"/>
    <hyperlink xmlns:r="http://schemas.openxmlformats.org/officeDocument/2006/relationships" ref="E72" r:id="rId195"/>
    <hyperlink xmlns:r="http://schemas.openxmlformats.org/officeDocument/2006/relationships" ref="R72" r:id="rId196"/>
    <hyperlink xmlns:r="http://schemas.openxmlformats.org/officeDocument/2006/relationships" ref="E73" r:id="rId197"/>
    <hyperlink xmlns:r="http://schemas.openxmlformats.org/officeDocument/2006/relationships" ref="R73" r:id="rId198"/>
    <hyperlink xmlns:r="http://schemas.openxmlformats.org/officeDocument/2006/relationships" ref="E74" r:id="rId199"/>
    <hyperlink xmlns:r="http://schemas.openxmlformats.org/officeDocument/2006/relationships" ref="R75" r:id="rId200"/>
    <hyperlink xmlns:r="http://schemas.openxmlformats.org/officeDocument/2006/relationships" ref="W75" r:id="rId201"/>
    <hyperlink xmlns:r="http://schemas.openxmlformats.org/officeDocument/2006/relationships" ref="E76" r:id="rId202"/>
    <hyperlink xmlns:r="http://schemas.openxmlformats.org/officeDocument/2006/relationships" ref="R76" r:id="rId203"/>
    <hyperlink xmlns:r="http://schemas.openxmlformats.org/officeDocument/2006/relationships" ref="W76" r:id="rId204"/>
    <hyperlink xmlns:r="http://schemas.openxmlformats.org/officeDocument/2006/relationships" ref="E77" r:id="rId205"/>
    <hyperlink xmlns:r="http://schemas.openxmlformats.org/officeDocument/2006/relationships" ref="E78" r:id="rId206"/>
    <hyperlink xmlns:r="http://schemas.openxmlformats.org/officeDocument/2006/relationships" ref="E79" r:id="rId207"/>
    <hyperlink xmlns:r="http://schemas.openxmlformats.org/officeDocument/2006/relationships" ref="R79" r:id="rId208"/>
    <hyperlink xmlns:r="http://schemas.openxmlformats.org/officeDocument/2006/relationships" ref="E80" r:id="rId209"/>
    <hyperlink xmlns:r="http://schemas.openxmlformats.org/officeDocument/2006/relationships" ref="W80" r:id="rId210"/>
    <hyperlink xmlns:r="http://schemas.openxmlformats.org/officeDocument/2006/relationships" ref="E81" r:id="rId211"/>
    <hyperlink xmlns:r="http://schemas.openxmlformats.org/officeDocument/2006/relationships" ref="Q81" r:id="rId212"/>
    <hyperlink xmlns:r="http://schemas.openxmlformats.org/officeDocument/2006/relationships" ref="R81" r:id="rId213"/>
    <hyperlink xmlns:r="http://schemas.openxmlformats.org/officeDocument/2006/relationships" ref="W81" r:id="rId214"/>
    <hyperlink xmlns:r="http://schemas.openxmlformats.org/officeDocument/2006/relationships" ref="E82" r:id="rId215"/>
    <hyperlink xmlns:r="http://schemas.openxmlformats.org/officeDocument/2006/relationships" ref="Q82" r:id="rId216"/>
    <hyperlink xmlns:r="http://schemas.openxmlformats.org/officeDocument/2006/relationships" ref="R82" r:id="rId217"/>
    <hyperlink xmlns:r="http://schemas.openxmlformats.org/officeDocument/2006/relationships" ref="W82" r:id="rId218"/>
    <hyperlink xmlns:r="http://schemas.openxmlformats.org/officeDocument/2006/relationships" ref="E83" r:id="rId219"/>
    <hyperlink xmlns:r="http://schemas.openxmlformats.org/officeDocument/2006/relationships" ref="R83" r:id="rId220"/>
    <hyperlink xmlns:r="http://schemas.openxmlformats.org/officeDocument/2006/relationships" ref="E84" r:id="rId221"/>
    <hyperlink xmlns:r="http://schemas.openxmlformats.org/officeDocument/2006/relationships" ref="E85" r:id="rId222"/>
    <hyperlink xmlns:r="http://schemas.openxmlformats.org/officeDocument/2006/relationships" ref="E86" r:id="rId223"/>
    <hyperlink xmlns:r="http://schemas.openxmlformats.org/officeDocument/2006/relationships" ref="Q86" r:id="rId224"/>
    <hyperlink xmlns:r="http://schemas.openxmlformats.org/officeDocument/2006/relationships" ref="R86" r:id="rId225"/>
    <hyperlink xmlns:r="http://schemas.openxmlformats.org/officeDocument/2006/relationships" ref="W86" r:id="rId226"/>
    <hyperlink xmlns:r="http://schemas.openxmlformats.org/officeDocument/2006/relationships" ref="E87" r:id="rId227"/>
    <hyperlink xmlns:r="http://schemas.openxmlformats.org/officeDocument/2006/relationships" ref="E88" r:id="rId228"/>
    <hyperlink xmlns:r="http://schemas.openxmlformats.org/officeDocument/2006/relationships" ref="E89" r:id="rId229"/>
    <hyperlink xmlns:r="http://schemas.openxmlformats.org/officeDocument/2006/relationships" ref="E90" r:id="rId230"/>
    <hyperlink xmlns:r="http://schemas.openxmlformats.org/officeDocument/2006/relationships" ref="E91" r:id="rId231"/>
    <hyperlink xmlns:r="http://schemas.openxmlformats.org/officeDocument/2006/relationships" ref="E92" r:id="rId232"/>
    <hyperlink xmlns:r="http://schemas.openxmlformats.org/officeDocument/2006/relationships" ref="W92" r:id="rId233"/>
    <hyperlink xmlns:r="http://schemas.openxmlformats.org/officeDocument/2006/relationships" ref="E93" r:id="rId234"/>
    <hyperlink xmlns:r="http://schemas.openxmlformats.org/officeDocument/2006/relationships" ref="W93" r:id="rId235"/>
    <hyperlink xmlns:r="http://schemas.openxmlformats.org/officeDocument/2006/relationships" ref="E94" r:id="rId236"/>
    <hyperlink xmlns:r="http://schemas.openxmlformats.org/officeDocument/2006/relationships" ref="P94" r:id="rId237"/>
    <hyperlink xmlns:r="http://schemas.openxmlformats.org/officeDocument/2006/relationships" ref="R94" r:id="rId238"/>
    <hyperlink xmlns:r="http://schemas.openxmlformats.org/officeDocument/2006/relationships" ref="E95" r:id="rId239"/>
    <hyperlink xmlns:r="http://schemas.openxmlformats.org/officeDocument/2006/relationships" ref="P95" r:id="rId240"/>
    <hyperlink xmlns:r="http://schemas.openxmlformats.org/officeDocument/2006/relationships" ref="Q95" r:id="rId241"/>
    <hyperlink xmlns:r="http://schemas.openxmlformats.org/officeDocument/2006/relationships" ref="R95" r:id="rId242"/>
    <hyperlink xmlns:r="http://schemas.openxmlformats.org/officeDocument/2006/relationships" ref="E96" r:id="rId243"/>
    <hyperlink xmlns:r="http://schemas.openxmlformats.org/officeDocument/2006/relationships" ref="W96" r:id="rId244"/>
    <hyperlink xmlns:r="http://schemas.openxmlformats.org/officeDocument/2006/relationships" ref="E97" r:id="rId245"/>
    <hyperlink xmlns:r="http://schemas.openxmlformats.org/officeDocument/2006/relationships" ref="W97" r:id="rId246"/>
    <hyperlink xmlns:r="http://schemas.openxmlformats.org/officeDocument/2006/relationships" ref="P98" r:id="rId247"/>
    <hyperlink xmlns:r="http://schemas.openxmlformats.org/officeDocument/2006/relationships" ref="R98" r:id="rId248"/>
    <hyperlink xmlns:r="http://schemas.openxmlformats.org/officeDocument/2006/relationships" ref="W98" r:id="rId249"/>
    <hyperlink xmlns:r="http://schemas.openxmlformats.org/officeDocument/2006/relationships" ref="E99" r:id="rId250"/>
    <hyperlink xmlns:r="http://schemas.openxmlformats.org/officeDocument/2006/relationships" ref="Q99" r:id="rId251"/>
    <hyperlink xmlns:r="http://schemas.openxmlformats.org/officeDocument/2006/relationships" ref="R99" r:id="rId252"/>
    <hyperlink xmlns:r="http://schemas.openxmlformats.org/officeDocument/2006/relationships" ref="W99" r:id="rId253"/>
    <hyperlink xmlns:r="http://schemas.openxmlformats.org/officeDocument/2006/relationships" ref="E100" r:id="rId254"/>
    <hyperlink xmlns:r="http://schemas.openxmlformats.org/officeDocument/2006/relationships" ref="W100" r:id="rId255"/>
    <hyperlink xmlns:r="http://schemas.openxmlformats.org/officeDocument/2006/relationships" ref="E101" r:id="rId256"/>
    <hyperlink xmlns:r="http://schemas.openxmlformats.org/officeDocument/2006/relationships" ref="E102" r:id="rId257"/>
    <hyperlink xmlns:r="http://schemas.openxmlformats.org/officeDocument/2006/relationships" ref="P102" r:id="rId258"/>
    <hyperlink xmlns:r="http://schemas.openxmlformats.org/officeDocument/2006/relationships" ref="Q102" r:id="rId259"/>
    <hyperlink xmlns:r="http://schemas.openxmlformats.org/officeDocument/2006/relationships" ref="R102" r:id="rId260"/>
    <hyperlink xmlns:r="http://schemas.openxmlformats.org/officeDocument/2006/relationships" ref="W102" r:id="rId261"/>
    <hyperlink xmlns:r="http://schemas.openxmlformats.org/officeDocument/2006/relationships" ref="E103" r:id="rId262"/>
    <hyperlink xmlns:r="http://schemas.openxmlformats.org/officeDocument/2006/relationships" ref="P103" r:id="rId263"/>
    <hyperlink xmlns:r="http://schemas.openxmlformats.org/officeDocument/2006/relationships" ref="Q103" r:id="rId264"/>
    <hyperlink xmlns:r="http://schemas.openxmlformats.org/officeDocument/2006/relationships" ref="R103" r:id="rId265"/>
    <hyperlink xmlns:r="http://schemas.openxmlformats.org/officeDocument/2006/relationships" ref="W103" r:id="rId266"/>
    <hyperlink xmlns:r="http://schemas.openxmlformats.org/officeDocument/2006/relationships" ref="E104" r:id="rId267"/>
    <hyperlink xmlns:r="http://schemas.openxmlformats.org/officeDocument/2006/relationships" ref="P104" r:id="rId268"/>
    <hyperlink xmlns:r="http://schemas.openxmlformats.org/officeDocument/2006/relationships" ref="Q104" r:id="rId269"/>
    <hyperlink xmlns:r="http://schemas.openxmlformats.org/officeDocument/2006/relationships" ref="R104" r:id="rId270"/>
    <hyperlink xmlns:r="http://schemas.openxmlformats.org/officeDocument/2006/relationships" ref="W104" r:id="rId271"/>
    <hyperlink xmlns:r="http://schemas.openxmlformats.org/officeDocument/2006/relationships" ref="R105" r:id="rId272"/>
    <hyperlink xmlns:r="http://schemas.openxmlformats.org/officeDocument/2006/relationships" ref="W105" r:id="rId273"/>
    <hyperlink xmlns:r="http://schemas.openxmlformats.org/officeDocument/2006/relationships" ref="E106" r:id="rId274"/>
    <hyperlink xmlns:r="http://schemas.openxmlformats.org/officeDocument/2006/relationships" ref="Q106" r:id="rId275"/>
    <hyperlink xmlns:r="http://schemas.openxmlformats.org/officeDocument/2006/relationships" ref="R106" r:id="rId276"/>
    <hyperlink xmlns:r="http://schemas.openxmlformats.org/officeDocument/2006/relationships" ref="W106" r:id="rId277"/>
    <hyperlink xmlns:r="http://schemas.openxmlformats.org/officeDocument/2006/relationships" ref="E107" r:id="rId278"/>
    <hyperlink xmlns:r="http://schemas.openxmlformats.org/officeDocument/2006/relationships" ref="P107" r:id="rId279"/>
    <hyperlink xmlns:r="http://schemas.openxmlformats.org/officeDocument/2006/relationships" ref="Q107" r:id="rId280"/>
    <hyperlink xmlns:r="http://schemas.openxmlformats.org/officeDocument/2006/relationships" ref="R107" r:id="rId281"/>
    <hyperlink xmlns:r="http://schemas.openxmlformats.org/officeDocument/2006/relationships" ref="E108" r:id="rId282"/>
    <hyperlink xmlns:r="http://schemas.openxmlformats.org/officeDocument/2006/relationships" ref="R108" r:id="rId283"/>
    <hyperlink xmlns:r="http://schemas.openxmlformats.org/officeDocument/2006/relationships" ref="E109" r:id="rId284"/>
    <hyperlink xmlns:r="http://schemas.openxmlformats.org/officeDocument/2006/relationships" ref="R109" r:id="rId285"/>
    <hyperlink xmlns:r="http://schemas.openxmlformats.org/officeDocument/2006/relationships" ref="W109" r:id="rId286"/>
    <hyperlink xmlns:r="http://schemas.openxmlformats.org/officeDocument/2006/relationships" ref="E110" r:id="rId287"/>
    <hyperlink xmlns:r="http://schemas.openxmlformats.org/officeDocument/2006/relationships" ref="E111" r:id="rId288"/>
    <hyperlink xmlns:r="http://schemas.openxmlformats.org/officeDocument/2006/relationships" ref="E112" r:id="rId289"/>
    <hyperlink xmlns:r="http://schemas.openxmlformats.org/officeDocument/2006/relationships" ref="R112" r:id="rId290"/>
    <hyperlink xmlns:r="http://schemas.openxmlformats.org/officeDocument/2006/relationships" ref="W112" r:id="rId291"/>
    <hyperlink xmlns:r="http://schemas.openxmlformats.org/officeDocument/2006/relationships" ref="E113" r:id="rId292"/>
    <hyperlink xmlns:r="http://schemas.openxmlformats.org/officeDocument/2006/relationships" ref="E114" r:id="rId293"/>
    <hyperlink xmlns:r="http://schemas.openxmlformats.org/officeDocument/2006/relationships" ref="R115" r:id="rId294"/>
    <hyperlink xmlns:r="http://schemas.openxmlformats.org/officeDocument/2006/relationships" ref="W115" r:id="rId295"/>
    <hyperlink xmlns:r="http://schemas.openxmlformats.org/officeDocument/2006/relationships" ref="E116" r:id="rId296"/>
    <hyperlink xmlns:r="http://schemas.openxmlformats.org/officeDocument/2006/relationships" ref="P116" r:id="rId297"/>
    <hyperlink xmlns:r="http://schemas.openxmlformats.org/officeDocument/2006/relationships" ref="R116" r:id="rId298"/>
    <hyperlink xmlns:r="http://schemas.openxmlformats.org/officeDocument/2006/relationships" ref="W116" r:id="rId299"/>
    <hyperlink xmlns:r="http://schemas.openxmlformats.org/officeDocument/2006/relationships" ref="E117" r:id="rId300"/>
    <hyperlink xmlns:r="http://schemas.openxmlformats.org/officeDocument/2006/relationships" ref="W117" r:id="rId301"/>
    <hyperlink xmlns:r="http://schemas.openxmlformats.org/officeDocument/2006/relationships" ref="E118" r:id="rId302"/>
    <hyperlink xmlns:r="http://schemas.openxmlformats.org/officeDocument/2006/relationships" ref="R118" r:id="rId303"/>
    <hyperlink xmlns:r="http://schemas.openxmlformats.org/officeDocument/2006/relationships" ref="E119" r:id="rId304"/>
    <hyperlink xmlns:r="http://schemas.openxmlformats.org/officeDocument/2006/relationships" ref="W119" r:id="rId305"/>
    <hyperlink xmlns:r="http://schemas.openxmlformats.org/officeDocument/2006/relationships" ref="E120" r:id="rId306"/>
    <hyperlink xmlns:r="http://schemas.openxmlformats.org/officeDocument/2006/relationships" ref="R120" r:id="rId307"/>
    <hyperlink xmlns:r="http://schemas.openxmlformats.org/officeDocument/2006/relationships" ref="E121" r:id="rId308"/>
    <hyperlink xmlns:r="http://schemas.openxmlformats.org/officeDocument/2006/relationships" ref="R121" r:id="rId309"/>
    <hyperlink xmlns:r="http://schemas.openxmlformats.org/officeDocument/2006/relationships" ref="W121" r:id="rId310"/>
    <hyperlink xmlns:r="http://schemas.openxmlformats.org/officeDocument/2006/relationships" ref="E122" r:id="rId311"/>
    <hyperlink xmlns:r="http://schemas.openxmlformats.org/officeDocument/2006/relationships" ref="R122" r:id="rId312"/>
    <hyperlink xmlns:r="http://schemas.openxmlformats.org/officeDocument/2006/relationships" ref="W122" r:id="rId313"/>
    <hyperlink xmlns:r="http://schemas.openxmlformats.org/officeDocument/2006/relationships" ref="E123" r:id="rId314"/>
    <hyperlink xmlns:r="http://schemas.openxmlformats.org/officeDocument/2006/relationships" ref="R123" r:id="rId315"/>
    <hyperlink xmlns:r="http://schemas.openxmlformats.org/officeDocument/2006/relationships" ref="W123" r:id="rId316"/>
    <hyperlink xmlns:r="http://schemas.openxmlformats.org/officeDocument/2006/relationships" ref="E124" r:id="rId317"/>
    <hyperlink xmlns:r="http://schemas.openxmlformats.org/officeDocument/2006/relationships" ref="Q124" r:id="rId318"/>
    <hyperlink xmlns:r="http://schemas.openxmlformats.org/officeDocument/2006/relationships" ref="R124" r:id="rId319"/>
    <hyperlink xmlns:r="http://schemas.openxmlformats.org/officeDocument/2006/relationships" ref="E125" r:id="rId320"/>
    <hyperlink xmlns:r="http://schemas.openxmlformats.org/officeDocument/2006/relationships" ref="R125" r:id="rId321"/>
    <hyperlink xmlns:r="http://schemas.openxmlformats.org/officeDocument/2006/relationships" ref="W125" r:id="rId322"/>
    <hyperlink xmlns:r="http://schemas.openxmlformats.org/officeDocument/2006/relationships" ref="E126" r:id="rId323"/>
    <hyperlink xmlns:r="http://schemas.openxmlformats.org/officeDocument/2006/relationships" ref="R126" r:id="rId324"/>
    <hyperlink xmlns:r="http://schemas.openxmlformats.org/officeDocument/2006/relationships" ref="E127" r:id="rId325"/>
    <hyperlink xmlns:r="http://schemas.openxmlformats.org/officeDocument/2006/relationships" ref="R127" r:id="rId326"/>
    <hyperlink xmlns:r="http://schemas.openxmlformats.org/officeDocument/2006/relationships" ref="W127" r:id="rId327"/>
    <hyperlink xmlns:r="http://schemas.openxmlformats.org/officeDocument/2006/relationships" ref="E128" r:id="rId328"/>
    <hyperlink xmlns:r="http://schemas.openxmlformats.org/officeDocument/2006/relationships" ref="R128" r:id="rId329"/>
    <hyperlink xmlns:r="http://schemas.openxmlformats.org/officeDocument/2006/relationships" ref="W128" r:id="rId330"/>
    <hyperlink xmlns:r="http://schemas.openxmlformats.org/officeDocument/2006/relationships" ref="E129" r:id="rId331"/>
    <hyperlink xmlns:r="http://schemas.openxmlformats.org/officeDocument/2006/relationships" ref="E130" r:id="rId332"/>
    <hyperlink xmlns:r="http://schemas.openxmlformats.org/officeDocument/2006/relationships" ref="E131" r:id="rId333"/>
    <hyperlink xmlns:r="http://schemas.openxmlformats.org/officeDocument/2006/relationships" ref="P131" r:id="rId334"/>
    <hyperlink xmlns:r="http://schemas.openxmlformats.org/officeDocument/2006/relationships" ref="R131" r:id="rId335"/>
    <hyperlink xmlns:r="http://schemas.openxmlformats.org/officeDocument/2006/relationships" ref="E132" r:id="rId336"/>
    <hyperlink xmlns:r="http://schemas.openxmlformats.org/officeDocument/2006/relationships" ref="E133" r:id="rId337"/>
    <hyperlink xmlns:r="http://schemas.openxmlformats.org/officeDocument/2006/relationships" ref="P133" r:id="rId338"/>
    <hyperlink xmlns:r="http://schemas.openxmlformats.org/officeDocument/2006/relationships" ref="Q133" r:id="rId339"/>
    <hyperlink xmlns:r="http://schemas.openxmlformats.org/officeDocument/2006/relationships" ref="R133" r:id="rId340"/>
    <hyperlink xmlns:r="http://schemas.openxmlformats.org/officeDocument/2006/relationships" ref="E134" r:id="rId341"/>
    <hyperlink xmlns:r="http://schemas.openxmlformats.org/officeDocument/2006/relationships" ref="R134" r:id="rId342"/>
    <hyperlink xmlns:r="http://schemas.openxmlformats.org/officeDocument/2006/relationships" ref="E135" r:id="rId343"/>
    <hyperlink xmlns:r="http://schemas.openxmlformats.org/officeDocument/2006/relationships" ref="W135" r:id="rId344"/>
    <hyperlink xmlns:r="http://schemas.openxmlformats.org/officeDocument/2006/relationships" ref="E136" r:id="rId345"/>
    <hyperlink xmlns:r="http://schemas.openxmlformats.org/officeDocument/2006/relationships" ref="R136" r:id="rId346"/>
    <hyperlink xmlns:r="http://schemas.openxmlformats.org/officeDocument/2006/relationships" ref="E137" r:id="rId347"/>
    <hyperlink xmlns:r="http://schemas.openxmlformats.org/officeDocument/2006/relationships" ref="E138" r:id="rId348"/>
    <hyperlink xmlns:r="http://schemas.openxmlformats.org/officeDocument/2006/relationships" ref="R138" r:id="rId349"/>
    <hyperlink xmlns:r="http://schemas.openxmlformats.org/officeDocument/2006/relationships" ref="E139" r:id="rId350"/>
    <hyperlink xmlns:r="http://schemas.openxmlformats.org/officeDocument/2006/relationships" ref="W139" r:id="rId351"/>
    <hyperlink xmlns:r="http://schemas.openxmlformats.org/officeDocument/2006/relationships" ref="E140" r:id="rId352"/>
    <hyperlink xmlns:r="http://schemas.openxmlformats.org/officeDocument/2006/relationships" ref="R140" r:id="rId353"/>
    <hyperlink xmlns:r="http://schemas.openxmlformats.org/officeDocument/2006/relationships" ref="W140" r:id="rId354"/>
    <hyperlink xmlns:r="http://schemas.openxmlformats.org/officeDocument/2006/relationships" ref="E141" r:id="rId355"/>
    <hyperlink xmlns:r="http://schemas.openxmlformats.org/officeDocument/2006/relationships" ref="Q141" r:id="rId356"/>
    <hyperlink xmlns:r="http://schemas.openxmlformats.org/officeDocument/2006/relationships" ref="R141" r:id="rId357"/>
    <hyperlink xmlns:r="http://schemas.openxmlformats.org/officeDocument/2006/relationships" ref="W141" r:id="rId358"/>
    <hyperlink xmlns:r="http://schemas.openxmlformats.org/officeDocument/2006/relationships" ref="E142" r:id="rId359"/>
    <hyperlink xmlns:r="http://schemas.openxmlformats.org/officeDocument/2006/relationships" ref="P142" r:id="rId360"/>
    <hyperlink xmlns:r="http://schemas.openxmlformats.org/officeDocument/2006/relationships" ref="Q142" r:id="rId361"/>
    <hyperlink xmlns:r="http://schemas.openxmlformats.org/officeDocument/2006/relationships" ref="R142" r:id="rId362"/>
    <hyperlink xmlns:r="http://schemas.openxmlformats.org/officeDocument/2006/relationships" ref="E143" r:id="rId363"/>
    <hyperlink xmlns:r="http://schemas.openxmlformats.org/officeDocument/2006/relationships" ref="P143" r:id="rId364"/>
    <hyperlink xmlns:r="http://schemas.openxmlformats.org/officeDocument/2006/relationships" ref="R143" r:id="rId365"/>
    <hyperlink xmlns:r="http://schemas.openxmlformats.org/officeDocument/2006/relationships" ref="W143" r:id="rId366"/>
    <hyperlink xmlns:r="http://schemas.openxmlformats.org/officeDocument/2006/relationships" ref="E144" r:id="rId367"/>
    <hyperlink xmlns:r="http://schemas.openxmlformats.org/officeDocument/2006/relationships" ref="Q144" r:id="rId368"/>
    <hyperlink xmlns:r="http://schemas.openxmlformats.org/officeDocument/2006/relationships" ref="R144" r:id="rId369"/>
    <hyperlink xmlns:r="http://schemas.openxmlformats.org/officeDocument/2006/relationships" ref="E145" r:id="rId370"/>
    <hyperlink xmlns:r="http://schemas.openxmlformats.org/officeDocument/2006/relationships" ref="R145" r:id="rId371"/>
    <hyperlink xmlns:r="http://schemas.openxmlformats.org/officeDocument/2006/relationships" ref="W145" r:id="rId372"/>
    <hyperlink xmlns:r="http://schemas.openxmlformats.org/officeDocument/2006/relationships" ref="E146" r:id="rId373"/>
    <hyperlink xmlns:r="http://schemas.openxmlformats.org/officeDocument/2006/relationships" ref="P146" r:id="rId374"/>
    <hyperlink xmlns:r="http://schemas.openxmlformats.org/officeDocument/2006/relationships" ref="R146" r:id="rId375"/>
    <hyperlink xmlns:r="http://schemas.openxmlformats.org/officeDocument/2006/relationships" ref="W146" r:id="rId376"/>
    <hyperlink xmlns:r="http://schemas.openxmlformats.org/officeDocument/2006/relationships" ref="E147" r:id="rId377"/>
    <hyperlink xmlns:r="http://schemas.openxmlformats.org/officeDocument/2006/relationships" ref="R147" r:id="rId378"/>
    <hyperlink xmlns:r="http://schemas.openxmlformats.org/officeDocument/2006/relationships" ref="W147" r:id="rId379"/>
    <hyperlink xmlns:r="http://schemas.openxmlformats.org/officeDocument/2006/relationships" ref="E148" r:id="rId380"/>
    <hyperlink xmlns:r="http://schemas.openxmlformats.org/officeDocument/2006/relationships" ref="P148" r:id="rId381"/>
    <hyperlink xmlns:r="http://schemas.openxmlformats.org/officeDocument/2006/relationships" ref="R148" r:id="rId382"/>
    <hyperlink xmlns:r="http://schemas.openxmlformats.org/officeDocument/2006/relationships" ref="E149" r:id="rId383"/>
    <hyperlink xmlns:r="http://schemas.openxmlformats.org/officeDocument/2006/relationships" ref="R149" r:id="rId384"/>
    <hyperlink xmlns:r="http://schemas.openxmlformats.org/officeDocument/2006/relationships" ref="W149" r:id="rId385"/>
    <hyperlink xmlns:r="http://schemas.openxmlformats.org/officeDocument/2006/relationships" ref="E150" r:id="rId386"/>
    <hyperlink xmlns:r="http://schemas.openxmlformats.org/officeDocument/2006/relationships" ref="R150" r:id="rId387"/>
    <hyperlink xmlns:r="http://schemas.openxmlformats.org/officeDocument/2006/relationships" ref="E151" r:id="rId388"/>
    <hyperlink xmlns:r="http://schemas.openxmlformats.org/officeDocument/2006/relationships" ref="P151" r:id="rId389"/>
    <hyperlink xmlns:r="http://schemas.openxmlformats.org/officeDocument/2006/relationships" ref="Q151" r:id="rId390"/>
    <hyperlink xmlns:r="http://schemas.openxmlformats.org/officeDocument/2006/relationships" ref="R151" r:id="rId391"/>
    <hyperlink xmlns:r="http://schemas.openxmlformats.org/officeDocument/2006/relationships" ref="W151" r:id="rId392"/>
    <hyperlink xmlns:r="http://schemas.openxmlformats.org/officeDocument/2006/relationships" ref="E152" r:id="rId393"/>
    <hyperlink xmlns:r="http://schemas.openxmlformats.org/officeDocument/2006/relationships" ref="R152" r:id="rId394"/>
    <hyperlink xmlns:r="http://schemas.openxmlformats.org/officeDocument/2006/relationships" ref="W152" r:id="rId395"/>
    <hyperlink xmlns:r="http://schemas.openxmlformats.org/officeDocument/2006/relationships" ref="E153" r:id="rId396"/>
    <hyperlink xmlns:r="http://schemas.openxmlformats.org/officeDocument/2006/relationships" ref="R153" r:id="rId397"/>
    <hyperlink xmlns:r="http://schemas.openxmlformats.org/officeDocument/2006/relationships" ref="W153" r:id="rId398"/>
    <hyperlink xmlns:r="http://schemas.openxmlformats.org/officeDocument/2006/relationships" ref="E154" r:id="rId399"/>
    <hyperlink xmlns:r="http://schemas.openxmlformats.org/officeDocument/2006/relationships" ref="P154" r:id="rId400"/>
    <hyperlink xmlns:r="http://schemas.openxmlformats.org/officeDocument/2006/relationships" ref="Q154" r:id="rId401"/>
    <hyperlink xmlns:r="http://schemas.openxmlformats.org/officeDocument/2006/relationships" ref="R154" r:id="rId402"/>
    <hyperlink xmlns:r="http://schemas.openxmlformats.org/officeDocument/2006/relationships" ref="E155" r:id="rId403"/>
    <hyperlink xmlns:r="http://schemas.openxmlformats.org/officeDocument/2006/relationships" ref="P155" r:id="rId404"/>
    <hyperlink xmlns:r="http://schemas.openxmlformats.org/officeDocument/2006/relationships" ref="Q155" r:id="rId405"/>
    <hyperlink xmlns:r="http://schemas.openxmlformats.org/officeDocument/2006/relationships" ref="R155" r:id="rId406"/>
    <hyperlink xmlns:r="http://schemas.openxmlformats.org/officeDocument/2006/relationships" ref="E156" r:id="rId407"/>
    <hyperlink xmlns:r="http://schemas.openxmlformats.org/officeDocument/2006/relationships" ref="P156" r:id="rId408"/>
    <hyperlink xmlns:r="http://schemas.openxmlformats.org/officeDocument/2006/relationships" ref="Q156" r:id="rId409"/>
    <hyperlink xmlns:r="http://schemas.openxmlformats.org/officeDocument/2006/relationships" ref="R156" r:id="rId410"/>
  </hyperlink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E65"/>
  <sheetViews>
    <sheetView workbookViewId="0">
      <selection activeCell="I1" sqref="I1:J1048576"/>
    </sheetView>
  </sheetViews>
  <sheetFormatPr baseColWidth="8" defaultColWidth="12.6328125" defaultRowHeight="15.75" customHeight="1"/>
  <sheetData>
    <row r="1" ht="15.75" customHeight="1">
      <c r="A1" s="1" t="inlineStr">
        <is>
          <t>last_update_date</t>
        </is>
      </c>
      <c r="B1" s="1" t="inlineStr">
        <is>
          <t>org_id</t>
        </is>
      </c>
      <c r="C1" s="1" t="inlineStr">
        <is>
          <t>is_current</t>
        </is>
      </c>
      <c r="D1" s="1" t="inlineStr">
        <is>
          <t>public_name</t>
        </is>
      </c>
      <c r="E1" s="1" t="inlineStr">
        <is>
          <t>website</t>
        </is>
      </c>
      <c r="F1" t="inlineStr">
        <is>
          <t>website_standardized</t>
        </is>
      </c>
      <c r="G1" s="1" t="inlineStr">
        <is>
          <t>org_desc</t>
        </is>
      </c>
      <c r="H1" s="1" t="inlineStr">
        <is>
          <t>member_association</t>
        </is>
      </c>
      <c r="I1" s="1" t="inlineStr">
        <is>
          <t>product_language</t>
        </is>
      </c>
      <c r="J1" s="1" t="inlineStr">
        <is>
          <t>city</t>
        </is>
      </c>
      <c r="K1" s="1" t="inlineStr">
        <is>
          <t>country</t>
        </is>
      </c>
      <c r="L1" s="1" t="inlineStr">
        <is>
          <t>sell_countries</t>
        </is>
      </c>
      <c r="M1" s="1" t="inlineStr">
        <is>
          <t>employees_number</t>
        </is>
      </c>
      <c r="N1" s="1" t="inlineStr">
        <is>
          <t>business_model</t>
        </is>
      </c>
      <c r="O1" s="1" t="inlineStr">
        <is>
          <t>market_segments</t>
        </is>
      </c>
      <c r="P1" s="1" t="inlineStr">
        <is>
          <t>target_audience</t>
        </is>
      </c>
      <c r="Q1" s="1" t="inlineStr">
        <is>
          <t>product_1_name</t>
        </is>
      </c>
      <c r="R1" s="1" t="inlineStr">
        <is>
          <t>product_1_desc</t>
        </is>
      </c>
      <c r="S1" s="1" t="inlineStr">
        <is>
          <t>product_2_name</t>
        </is>
      </c>
      <c r="T1" t="inlineStr">
        <is>
          <t>product_2_desc</t>
        </is>
      </c>
      <c r="U1" s="1" t="inlineStr">
        <is>
          <t>WeMap_URL</t>
        </is>
      </c>
      <c r="V1" s="1" t="inlineStr">
        <is>
          <t>verified</t>
        </is>
      </c>
      <c r="W1" s="1" t="inlineStr">
        <is>
          <t>partnerships</t>
        </is>
      </c>
      <c r="X1" s="1" t="inlineStr">
        <is>
          <t>profit_status</t>
        </is>
      </c>
      <c r="Y1" s="1" t="inlineStr">
        <is>
          <t>edu_settings</t>
        </is>
      </c>
      <c r="Z1" s="1" t="inlineStr">
        <is>
          <t>edu_content</t>
        </is>
      </c>
      <c r="AA1" s="1" t="inlineStr">
        <is>
          <t>socials_available</t>
        </is>
      </c>
      <c r="AB1" s="1" t="inlineStr">
        <is>
          <t>socials_insta</t>
        </is>
      </c>
      <c r="AC1" s="1" t="inlineStr">
        <is>
          <t>socials_x</t>
        </is>
      </c>
      <c r="AD1" s="1" t="inlineStr">
        <is>
          <t>socials_linkedin</t>
        </is>
      </c>
      <c r="AE1" s="1" t="inlineStr">
        <is>
          <t>facebook</t>
        </is>
      </c>
    </row>
    <row r="2" ht="15.75" customHeight="1">
      <c r="A2" s="6" t="n">
        <v>45892</v>
      </c>
      <c r="B2" s="1" t="inlineStr">
        <is>
          <t>ORG_2651</t>
        </is>
      </c>
      <c r="C2" s="1" t="b">
        <v>1</v>
      </c>
      <c r="D2" s="1" t="inlineStr">
        <is>
          <t>lablife gmbh</t>
        </is>
      </c>
      <c r="E2" s="10" t="inlineStr">
        <is>
          <t>https://lablife.video/</t>
        </is>
      </c>
      <c r="F2" t="inlineStr">
        <is>
          <t>lablife.video</t>
        </is>
      </c>
      <c r="G2" s="1" t="inlineStr">
        <is>
          <t>LABLIFE develops, produces and distributes high-quality video tutorials and training material according to the highest standards of Good Cell Culture Practice (GCCP) for practical work in cell culture laboratories (life science, pharmaceuticals, biotechnology). The video tutorials can be used by students, technicians, as well as higher level vocational schools, universities and research institutions.</t>
        </is>
      </c>
      <c r="H2" s="1" t="inlineStr">
        <is>
          <t>EdTech Austria</t>
        </is>
      </c>
      <c r="I2" s="1" t="inlineStr">
        <is>
          <t>English, French, German</t>
        </is>
      </c>
      <c r="J2" s="1" t="inlineStr">
        <is>
          <t>Vienna</t>
        </is>
      </c>
      <c r="K2" s="1" t="inlineStr">
        <is>
          <t>Austria</t>
        </is>
      </c>
      <c r="L2" s="1" t="inlineStr">
        <is>
          <t>Austria, Belgium, Croatia, Bulgaria, Republic of Cyprus, Bosnia and Herzegovina, Albania, Andorra, Czechia, Finland, Greece, Ireland, Latvia, Luxembourg, Monaco, North Macedonia, Portugal, Denmark, France, Hungary, Italy, Liechtenstein, Malta, Montenegro, Norway, Romania, Estonia, Germany, Iceland, Kosovo, Lithuania, Moldova, Netherlands, Poland, San Marino, Spain, Turkey, Slovenia, Switzerland, United Kingdom, Slovakia, Sweden, Ukraine</t>
        </is>
      </c>
      <c r="M2" s="1" t="inlineStr">
        <is>
          <t>Micro (1-9 FTE employees)</t>
        </is>
      </c>
      <c r="N2" s="1" t="inlineStr">
        <is>
          <t>Business to Business, Business to Consumer, Business to Government, Business to Schools</t>
        </is>
      </c>
      <c r="O2" s="1" t="inlineStr">
        <is>
          <t>Lifelong learning/Adult education, Vocational Education and Training (VET), Higher Education, Corporate Training, Secondary Education</t>
        </is>
      </c>
      <c r="P2" s="1" t="inlineStr">
        <is>
          <t>Student interfacing, Teacher interfacing</t>
        </is>
      </c>
      <c r="Q2" s="10" t="inlineStr">
        <is>
          <t>Video tutorials</t>
        </is>
      </c>
      <c r="R2" t="inlineStr">
        <is>
          <t>Video tutorials and training material with special focus on practical skills for the cell culture laboratory and is best used before one-on-one trainings in person. The programme allows enormous time savings, standardized training outcomes, and enhanced reproducibility of biological studies.</t>
        </is>
      </c>
      <c r="S2" s="10" t="inlineStr">
        <is>
          <t>https://drive.google.com/uc?export=view&amp;id=1a7Yuk6SheSEng9Qy6HNbGtG3ig0-vu-h</t>
        </is>
      </c>
      <c r="T2" t="inlineStr">
        <is>
          <t>https://drive.google.com/uc?export=view&amp;id=1a7Yuk6SheSEng9Qy6HNbGtG3ig0-vu-h</t>
        </is>
      </c>
      <c r="U2" s="1" t="inlineStr">
        <is>
          <t>https://drive.google.com/uc?export=view&amp;id=1a7Yuk6SheSEng9Qy6HNbGtG3ig0-vu-h</t>
        </is>
      </c>
      <c r="V2" s="1" t="inlineStr">
        <is>
          <t>Verified</t>
        </is>
      </c>
      <c r="W2" t="inlineStr">
        <is>
          <t>Collaborations between EdTech organisations, Project consortium building, Public-private partnerships, Industry-academia partnerships</t>
        </is>
      </c>
      <c r="X2" t="inlineStr">
        <is>
          <t>For-profit company</t>
        </is>
      </c>
      <c r="Y2" s="10" t="b">
        <v>1</v>
      </c>
      <c r="Z2" s="1" t="b">
        <v>1</v>
      </c>
      <c r="AA2" s="1" t="inlineStr">
        <is>
          <t>Yes</t>
        </is>
      </c>
      <c r="AB2" s="1" t="inlineStr">
        <is>
          <t>https://www.instagram.com/lablife.video</t>
        </is>
      </c>
      <c r="AC2" s="1" t="inlineStr">
        <is>
          <t>https://www.linkedin.com/company/lablife-video</t>
        </is>
      </c>
      <c r="AD2" s="1" t="inlineStr">
        <is>
          <t>https://www.linkedin.com/company/lablife-video</t>
        </is>
      </c>
      <c r="AE2" s="10" t="inlineStr">
        <is>
          <t>https://www.facebook.com/lablife.video</t>
        </is>
      </c>
    </row>
    <row r="3" ht="15.75" customHeight="1">
      <c r="A3" s="6" t="n">
        <v>45887</v>
      </c>
      <c r="B3" s="1" t="inlineStr">
        <is>
          <t>ORG_2631</t>
        </is>
      </c>
      <c r="C3" s="1" t="b">
        <v>1</v>
      </c>
      <c r="D3" s="10" t="inlineStr">
        <is>
          <t>Slide-Speed.com</t>
        </is>
      </c>
      <c r="E3" s="10" t="inlineStr">
        <is>
          <t>https://slide-speed.com</t>
        </is>
      </c>
      <c r="F3" t="inlineStr">
        <is>
          <t>slide-speed.com</t>
        </is>
      </c>
      <c r="G3" s="1" t="inlineStr">
        <is>
          <t>Slide-Speed.com helps organize and create presentations for lectures and trainings in a standardized, collaborative and AI driven manner</t>
        </is>
      </c>
      <c r="H3" s="1" t="inlineStr">
        <is>
          <t>EdTech Austria</t>
        </is>
      </c>
      <c r="I3" s="1" t="inlineStr">
        <is>
          <t>English, German</t>
        </is>
      </c>
      <c r="J3" s="1" t="inlineStr">
        <is>
          <t>Wien</t>
        </is>
      </c>
      <c r="K3" s="1" t="inlineStr">
        <is>
          <t>Austria</t>
        </is>
      </c>
      <c r="L3" s="1" t="inlineStr">
        <is>
          <t>Austria, Germany, Switzerland</t>
        </is>
      </c>
      <c r="M3" s="1" t="inlineStr">
        <is>
          <t>Solo entrepreneur</t>
        </is>
      </c>
      <c r="N3" s="1" t="inlineStr">
        <is>
          <t>Business to Business, Business to Consumer, Business to Government, Business to Schools</t>
        </is>
      </c>
      <c r="O3" s="1" t="inlineStr">
        <is>
          <t>Higher Education, Corporate Training, Lifelong learning/Adult education, Secondary Education</t>
        </is>
      </c>
      <c r="P3" s="1" t="inlineStr">
        <is>
          <t>Teacher interfacing</t>
        </is>
      </c>
      <c r="Q3" t="inlineStr">
        <is>
          <t>Slide-Speed.com</t>
        </is>
      </c>
      <c r="R3" t="inlineStr">
        <is>
          <t>Slide-Speed.com is a Web-Application that helps teachers and trainers to manage and create presentations and other material for courses in a collaborative and AI driven manner.
The goal is to save time by automating the process of course generation while building a knowledge space for the future</t>
        </is>
      </c>
      <c r="S3" s="10" t="inlineStr">
        <is>
          <t>https://drive.google.com/uc?export=view&amp;id=1-r-GPRf1nbw6dA7J-2VbYoUrQlIt2SDO</t>
        </is>
      </c>
      <c r="T3" t="inlineStr">
        <is>
          <t>https://drive.google.com/uc?export=view&amp;id=1-r-GPRf1nbw6dA7J-2VbYoUrQlIt2SDO</t>
        </is>
      </c>
      <c r="U3" s="10" t="inlineStr">
        <is>
          <t>https://drive.google.com/uc?export=view&amp;id=1-r-GPRf1nbw6dA7J-2VbYoUrQlIt2SDO</t>
        </is>
      </c>
      <c r="V3" s="1" t="inlineStr">
        <is>
          <t>Verified</t>
        </is>
      </c>
      <c r="W3" s="1" t="inlineStr">
        <is>
          <t>Public-private partnerships, Collaborations between EdTech organisations, Industry-academia partnerships</t>
        </is>
      </c>
      <c r="X3" s="1" t="inlineStr">
        <is>
          <t>For-profit company</t>
        </is>
      </c>
      <c r="Y3" s="10" t="b">
        <v>1</v>
      </c>
      <c r="Z3" s="1" t="b">
        <v>1</v>
      </c>
      <c r="AA3" s="1" t="inlineStr">
        <is>
          <t>Yes</t>
        </is>
      </c>
      <c r="AB3" s="1" t="n"/>
      <c r="AC3" s="1" t="inlineStr">
        <is>
          <t>https://www.linkedin.com/company/101921502/</t>
        </is>
      </c>
      <c r="AD3" s="1" t="inlineStr">
        <is>
          <t>https://www.linkedin.com/company/101921502/</t>
        </is>
      </c>
    </row>
    <row r="4" ht="15.75" customHeight="1">
      <c r="A4" s="6" t="n">
        <v>45877</v>
      </c>
      <c r="B4" s="1" t="inlineStr">
        <is>
          <t>ORG_2624</t>
        </is>
      </c>
      <c r="C4" s="1" t="b">
        <v>1</v>
      </c>
      <c r="D4" s="1" t="inlineStr">
        <is>
          <t>Miranda Mobile Learning OG</t>
        </is>
      </c>
      <c r="E4" s="1" t="inlineStr">
        <is>
          <t>miranda.works</t>
        </is>
      </c>
      <c r="F4" t="inlineStr">
        <is>
          <t>miranda.works</t>
        </is>
      </c>
      <c r="G4" s="1" t="inlineStr">
        <is>
          <t>Miranda is a math learning app that brings personal tutoring to your smartphone. With its innovative “Floating Tutor,” it delivers math content in a personalized, interactive, and engaging way. Our goal: to provide high-quality, affordable, digital one-on-one tutoring for everyone – regardless of income. Already over 25,000 users in Austria are learning with Miranda.</t>
        </is>
      </c>
      <c r="H4" s="1" t="inlineStr">
        <is>
          <t>EdTech Austria</t>
        </is>
      </c>
      <c r="I4" s="1" t="inlineStr">
        <is>
          <t>German</t>
        </is>
      </c>
      <c r="J4" s="1" t="inlineStr">
        <is>
          <t>Manning</t>
        </is>
      </c>
      <c r="K4" s="1" t="inlineStr">
        <is>
          <t>Austria</t>
        </is>
      </c>
      <c r="L4" s="1" t="inlineStr">
        <is>
          <t>Austria</t>
        </is>
      </c>
      <c r="M4" s="1" t="inlineStr">
        <is>
          <t>Micro (1-9 FTE employees)</t>
        </is>
      </c>
      <c r="N4" s="1" t="inlineStr">
        <is>
          <t>Business to Consumer</t>
        </is>
      </c>
      <c r="O4" s="1" t="inlineStr">
        <is>
          <t>Secondary Education</t>
        </is>
      </c>
      <c r="P4" s="1" t="inlineStr">
        <is>
          <t>Student interfacing, Other</t>
        </is>
      </c>
      <c r="Q4" s="10" t="inlineStr">
        <is>
          <t>Upper Secondary Course (AHS &amp; BHS)</t>
        </is>
      </c>
      <c r="R4" t="inlineStr">
        <is>
          <t>An interactive course with theory and self-practice exercises, including all official final exams (Matura).</t>
        </is>
      </c>
      <c r="S4" s="10" t="inlineStr">
        <is>
          <t>Lower Secondary Parent Course</t>
        </is>
      </c>
      <c r="T4" t="inlineStr">
        <is>
          <t>A theory-based course with exercises that are fully explained and solved step-by-step.</t>
        </is>
      </c>
      <c r="U4" s="1" t="inlineStr">
        <is>
          <t>https://drive.google.com/uc?export=view&amp;id=1irRSo7kC1lBOb-U5tQyrK-pSeR9Zq1EV</t>
        </is>
      </c>
      <c r="V4" s="1" t="inlineStr">
        <is>
          <t>Verified</t>
        </is>
      </c>
      <c r="W4" s="1" t="inlineStr">
        <is>
          <t>Collaborations between EdTech organisations, Public-private partnerships, Other</t>
        </is>
      </c>
      <c r="X4" s="1" t="inlineStr">
        <is>
          <t>For-profit company</t>
        </is>
      </c>
      <c r="Y4" s="10" t="b">
        <v>0</v>
      </c>
      <c r="Z4" s="1" t="b">
        <v>1</v>
      </c>
      <c r="AA4" s="1" t="inlineStr">
        <is>
          <t>Yes</t>
        </is>
      </c>
      <c r="AB4" s="1" t="inlineStr">
        <is>
          <t>https://www.instagram.com/miranda.works/</t>
        </is>
      </c>
      <c r="AC4" s="1" t="inlineStr">
        <is>
          <t>https://www.linkedin.com/company/miranda-42/</t>
        </is>
      </c>
      <c r="AD4" s="1" t="inlineStr">
        <is>
          <t>https://www.linkedin.com/company/miranda-42/</t>
        </is>
      </c>
      <c r="AE4" s="10" t="inlineStr">
        <is>
          <t>https://www.facebook.com/profile.php?id=100077751545307</t>
        </is>
      </c>
    </row>
    <row r="5" ht="15.75" customHeight="1">
      <c r="A5" s="6" t="n">
        <v>45861</v>
      </c>
      <c r="B5" s="1" t="inlineStr">
        <is>
          <t>ORG_2616</t>
        </is>
      </c>
      <c r="C5" s="1" t="b">
        <v>1</v>
      </c>
      <c r="D5" s="1" t="inlineStr">
        <is>
          <t>VERIABLE</t>
        </is>
      </c>
      <c r="E5" s="10" t="inlineStr">
        <is>
          <t>veriable.at</t>
        </is>
      </c>
      <c r="F5" t="inlineStr">
        <is>
          <t>veriable.at</t>
        </is>
      </c>
      <c r="G5" s="1" t="inlineStr">
        <is>
          <t>Our SaaS product VERIABLE empowers lecturers to digitize their expertise by offering self-paced or guided courses, course bundles, and certifications verified through blockchain technology. This ensures a seamless, secure, and trusted learning experience for students, while enabling educators to reach a wider audience and expand their impact. VERIABLE is the ideal solution for both internal training and external knowledge sharing, whether you are a solo entrepreneur or a training company.  Effortlessly create learning content with rapid e-learning tools and deliver courses seamlessly through automated processes, including an e-commerce interface. Customize your digital presence with personalized configurations, including your own domain. Elevate the value of your training by offering knowledge verification through blockchain-secured certificates, ensuring credibility and trust.</t>
        </is>
      </c>
      <c r="H5" s="1" t="inlineStr">
        <is>
          <t>EdTech Austria</t>
        </is>
      </c>
      <c r="I5" s="1" t="inlineStr">
        <is>
          <t>German, English</t>
        </is>
      </c>
      <c r="J5" s="1" t="inlineStr">
        <is>
          <t>Klagenfurt am Wörthersee</t>
        </is>
      </c>
      <c r="K5" s="1" t="inlineStr">
        <is>
          <t>Austria</t>
        </is>
      </c>
      <c r="L5" s="1" t="inlineStr">
        <is>
          <t>Austria, Germany</t>
        </is>
      </c>
      <c r="M5" s="1" t="inlineStr">
        <is>
          <t>Micro (1-9 FTE employees)</t>
        </is>
      </c>
      <c r="N5" s="1" t="inlineStr">
        <is>
          <t>Business to Business</t>
        </is>
      </c>
      <c r="O5" s="1" t="inlineStr">
        <is>
          <t>Vocational Education and Training (VET), Corporate Training, Lifelong learning/Adult education</t>
        </is>
      </c>
      <c r="P5" s="1" t="inlineStr">
        <is>
          <t>Student interfacing, Teacher interfacing, System/Administrative</t>
        </is>
      </c>
      <c r="Q5" t="inlineStr">
        <is>
          <t>VERIABLE Platform</t>
        </is>
      </c>
      <c r="R5" t="inlineStr">
        <is>
          <t>Our Public Cloud empowers you to create and sell courses and certifications to a global audience, making them accessible to anyone in your target market.
For more controlled access, our Private Cloud allows you to offer courses exclusively to your employees, customers, business partners etc.</t>
        </is>
      </c>
      <c r="S5" s="1" t="inlineStr">
        <is>
          <t>IC Academy</t>
        </is>
      </c>
      <c r="T5" t="inlineStr">
        <is>
          <t>At IC Academy, we are passionate about guiding developers and enthusiasts on the journey from Web2 to Web3 transformation, empowering them to create solutions that are only possible on the Internet Computer. Our courses provide easy-to-follow guidelines and hands-on examples.</t>
        </is>
      </c>
      <c r="U5" s="1" t="inlineStr">
        <is>
          <t>https://drive.google.com/uc?export=view&amp;id=1BN9OJF5Juaq106GKb1e6AXvcgLu3YmWE</t>
        </is>
      </c>
      <c r="V5" s="1" t="inlineStr">
        <is>
          <t>Verified</t>
        </is>
      </c>
      <c r="W5" s="1" t="inlineStr">
        <is>
          <t>Collaborations between EdTech organisations, Project consortium building</t>
        </is>
      </c>
      <c r="X5" s="1" t="inlineStr">
        <is>
          <t>For-profit company</t>
        </is>
      </c>
      <c r="Y5" s="10" t="b">
        <v>1</v>
      </c>
      <c r="Z5" s="1" t="b">
        <v>1</v>
      </c>
      <c r="AA5" s="1" t="inlineStr">
        <is>
          <t>No</t>
        </is>
      </c>
      <c r="AB5" s="1" t="n"/>
      <c r="AC5" s="1" t="n"/>
      <c r="AD5" s="1" t="n"/>
    </row>
    <row r="6" ht="15.75" customHeight="1">
      <c r="A6" s="6" t="n">
        <v>45856</v>
      </c>
      <c r="B6" s="1" t="inlineStr">
        <is>
          <t>ORG_2611</t>
        </is>
      </c>
      <c r="C6" s="1" t="b">
        <v>1</v>
      </c>
      <c r="D6" s="1" t="inlineStr">
        <is>
          <t>Finanzwissen e.V.</t>
        </is>
      </c>
      <c r="E6" s="10" t="inlineStr">
        <is>
          <t>https://finanzwissen.club/</t>
        </is>
      </c>
      <c r="F6" t="inlineStr">
        <is>
          <t>finanzwissen.club</t>
        </is>
      </c>
      <c r="G6" s="1" t="inlineStr">
        <is>
          <t>Seit 2025 setzen wir mit Leidenschaft auf finanzielle Selbstbestimmung – gestützt auf jahrelanger Expertise unserer Gründer:innen in Finanzbildung, digitalen Lernformaten und Technologie.. Wir schließen die Lücke an strukturierten Bildungsangeboten für Retail-Investor:innen im deutschsprachigen Raum – mit technologiegestützten und sozial wirksamen Ansätzen.</t>
        </is>
      </c>
      <c r="H6" s="1" t="inlineStr">
        <is>
          <t>EdTech Austria</t>
        </is>
      </c>
      <c r="I6" s="1" t="inlineStr">
        <is>
          <t>German</t>
        </is>
      </c>
      <c r="J6" s="1" t="inlineStr">
        <is>
          <t>Ramsau im Zillertal</t>
        </is>
      </c>
      <c r="K6" s="1" t="inlineStr">
        <is>
          <t>Austria</t>
        </is>
      </c>
      <c r="L6" s="1" t="inlineStr">
        <is>
          <t>Austria</t>
        </is>
      </c>
      <c r="M6" s="1" t="inlineStr">
        <is>
          <t>Micro (1-9 FTE employees)</t>
        </is>
      </c>
      <c r="N6" s="1" t="inlineStr">
        <is>
          <t>Business to Business, Business to Consumer, Business to Government, Business to Schools</t>
        </is>
      </c>
      <c r="O6" s="1" t="inlineStr">
        <is>
          <t>Lifelong learning/Adult education</t>
        </is>
      </c>
      <c r="P6" s="1" t="inlineStr">
        <is>
          <t>Student interfacing</t>
        </is>
      </c>
      <c r="Q6" t="inlineStr">
        <is>
          <t>Unser Projektteam bringt fundiertes Wissen in Finanzbildung, KI, Lerntechnologien und soziale Innovation – für eine maßgeschneiderte Lernplattform.</t>
        </is>
      </c>
      <c r="S6" s="1" t="inlineStr">
        <is>
          <t>https://drive.google.com/uc?export=view&amp;id=18Dcn90NsEdIkbnCVQWGgIQel8nCAPAxx</t>
        </is>
      </c>
      <c r="T6" t="inlineStr">
        <is>
          <t>https://drive.google.com/uc?export=view&amp;id=18Dcn90NsEdIkbnCVQWGgIQel8nCAPAxx</t>
        </is>
      </c>
      <c r="U6" s="1" t="inlineStr">
        <is>
          <t>https://drive.google.com/uc?export=view&amp;id=18Dcn90NsEdIkbnCVQWGgIQel8nCAPAxx</t>
        </is>
      </c>
      <c r="V6" s="1" t="inlineStr">
        <is>
          <t>Verified</t>
        </is>
      </c>
      <c r="W6" t="inlineStr">
        <is>
          <t>Collaborations between EdTech organisations, Project consortium building, Public-private partnerships, Industry-academia partnerships, Other</t>
        </is>
      </c>
      <c r="X6" t="inlineStr">
        <is>
          <t>Non-profit organisation</t>
        </is>
      </c>
      <c r="Y6" s="10" t="b">
        <v>1</v>
      </c>
      <c r="Z6" s="1" t="b">
        <v>1</v>
      </c>
      <c r="AA6" s="1" t="inlineStr">
        <is>
          <t>No</t>
        </is>
      </c>
      <c r="AB6" s="1" t="n"/>
      <c r="AC6" s="1" t="n"/>
      <c r="AD6" s="1" t="n"/>
      <c r="AE6" s="1" t="n"/>
    </row>
    <row r="7" ht="15.75" customHeight="1">
      <c r="A7" s="6" t="n">
        <v>45845</v>
      </c>
      <c r="B7" s="1" t="inlineStr">
        <is>
          <t>ORG_2117</t>
        </is>
      </c>
      <c r="C7" s="1" t="b">
        <v>1</v>
      </c>
      <c r="D7" s="1" t="inlineStr">
        <is>
          <t>Polycular GmbH</t>
        </is>
      </c>
      <c r="E7" s="10" t="inlineStr">
        <is>
          <t>https://www.polycular.com/</t>
        </is>
      </c>
      <c r="F7" t="inlineStr">
        <is>
          <t>polycular.com</t>
        </is>
      </c>
      <c r="G7" s="1" t="inlineStr">
        <is>
          <t>At Polycular, our mission is central: to make profound topics tangible through experiences and games. As an award-winning XR studio, we blend playful approaches with narrative depth and interactive experiences. Our creations - from games to XR experiences - aim to leave lasting impressions in education and training.</t>
        </is>
      </c>
      <c r="H7" s="1" t="inlineStr">
        <is>
          <t>EdTech Austria</t>
        </is>
      </c>
      <c r="I7" s="1" t="inlineStr">
        <is>
          <t>English, French, German, Italian, Dutch, Portuguese, Romanian, Hungarian</t>
        </is>
      </c>
      <c r="J7" s="1" t="inlineStr">
        <is>
          <t>Hallein</t>
        </is>
      </c>
      <c r="K7" s="1" t="inlineStr">
        <is>
          <t>Austria</t>
        </is>
      </c>
      <c r="L7" s="1" t="inlineStr">
        <is>
          <t>Austria, Germany, Italy, France, Switzerland, Romania, Netherlands, Denmark, Portugal, Hungary</t>
        </is>
      </c>
      <c r="M7" s="1" t="inlineStr">
        <is>
          <t>Micro (1-9 FTE employees)</t>
        </is>
      </c>
      <c r="N7" s="1" t="inlineStr">
        <is>
          <t>Business to Business, Business to Government, Business to Schools</t>
        </is>
      </c>
      <c r="O7" s="1" t="inlineStr">
        <is>
          <t>Secondary Education, Vocational Education and Training (VET), Corporate Training, Lifelong learning/Adult education</t>
        </is>
      </c>
      <c r="P7" s="1" t="inlineStr">
        <is>
          <t>Student interfacing, Teacher interfacing</t>
        </is>
      </c>
      <c r="Q7" t="inlineStr">
        <is>
          <t>Crew Together XR</t>
        </is>
      </c>
      <c r="R7" t="inlineStr">
        <is>
          <t>Crew Together XR is an immersive team development experience that combines the excitement of multiplayer escape missions with the power of Extended Reality. Guided by professional coaches, it helps teams strengthen communication, trust, and collaboration through interactive XR journeys.</t>
        </is>
      </c>
      <c r="S7" s="10" t="inlineStr">
        <is>
          <t>Escape Fake</t>
        </is>
      </c>
      <c r="T7" t="inlineStr">
        <is>
          <t>Escape Fake is an immersive media literacy experience that combines the thrill of AR escape gameplay with critical thinking challenges. Designed for schools and workshops, it helps participants uncover misinformation, sharpen digital skills, and navigate today’s complex media landscape.</t>
        </is>
      </c>
      <c r="U7" s="1" t="inlineStr">
        <is>
          <t>https://drive.google.com/uc?export=view&amp;id=1GQS_qov5F8SYBniukGyJQp3JYUO17nK8</t>
        </is>
      </c>
      <c r="V7" s="1" t="inlineStr">
        <is>
          <t>Verified</t>
        </is>
      </c>
      <c r="W7" s="1" t="inlineStr">
        <is>
          <t>Collaborations between EdTech organisations, Project consortium building, Public-private partnerships, Industry-academia partnerships</t>
        </is>
      </c>
      <c r="X7" s="1" t="inlineStr">
        <is>
          <t>For-profit company</t>
        </is>
      </c>
      <c r="Y7" s="10" t="b">
        <v>1</v>
      </c>
      <c r="Z7" s="1" t="b">
        <v>1</v>
      </c>
      <c r="AA7" s="1" t="inlineStr">
        <is>
          <t>Yes</t>
        </is>
      </c>
      <c r="AB7" s="1" t="n"/>
      <c r="AC7" s="1" t="inlineStr">
        <is>
          <t>https://www.linkedin.com/company/polycular</t>
        </is>
      </c>
      <c r="AD7" s="1" t="inlineStr">
        <is>
          <t>https://www.linkedin.com/company/polycular</t>
        </is>
      </c>
    </row>
    <row r="8" ht="15.75" customHeight="1">
      <c r="A8" s="6" t="n">
        <v>45839</v>
      </c>
      <c r="B8" s="1" t="inlineStr">
        <is>
          <t>ORG_2146</t>
        </is>
      </c>
      <c r="C8" s="1" t="b">
        <v>1</v>
      </c>
      <c r="D8" s="1" t="inlineStr">
        <is>
          <t>QuikWise AI</t>
        </is>
      </c>
      <c r="E8" s="10" t="inlineStr">
        <is>
          <t>quikwise.ai</t>
        </is>
      </c>
      <c r="F8" t="inlineStr">
        <is>
          <t>quikwise.ai</t>
        </is>
      </c>
      <c r="G8" s="1" t="inlineStr">
        <is>
          <t>QuikWise is an AI-powered tutoring platform providing 24/7 personalized support for students of all ages and learning needs. It uses adaptive AI, voice-based interaction, quizzes, and real-time parental feedback to create an inclusive and engaging learning experience. Designed for both individual learners and institutions, QuikWise scales across subjects and education levels to make effective tutoring accessible to everyone.</t>
        </is>
      </c>
      <c r="H8" s="1" t="inlineStr">
        <is>
          <t>EdTech Austria</t>
        </is>
      </c>
      <c r="I8" s="1" t="inlineStr">
        <is>
          <t>English</t>
        </is>
      </c>
      <c r="J8" s="1" t="inlineStr">
        <is>
          <t>Graz</t>
        </is>
      </c>
      <c r="K8" s="1" t="inlineStr">
        <is>
          <t>Austria</t>
        </is>
      </c>
      <c r="L8" s="1" t="inlineStr">
        <is>
          <t>Albania, Andorra, Austria, Belarus, Belgium, Bosnia and Herzegovina, Republic of Cyprus, Croatia, Bulgaria, Czechia, Denmark, Estonia, Germany, France, Finland, Greece, Hungary, Iceland, Kosovo, Italy, Ireland, Latvia, Liechtenstein, Lithuania, Moldova, Malta, Luxembourg, Monaco, Montenegro, Netherlands, Poland, Norway, North Macedonia, Portugal, Romania, San Marino, Spain, Slovenia, Slovakia, Sweden, Switzerland, Turkey, United Kingdom, Ukraine</t>
        </is>
      </c>
      <c r="M8" s="1" t="inlineStr">
        <is>
          <t>Micro (1-9 FTE employees)</t>
        </is>
      </c>
      <c r="N8" s="1" t="inlineStr">
        <is>
          <t>Business to Consumer, Business to Business, Business to Schools</t>
        </is>
      </c>
      <c r="O8" s="1" t="inlineStr">
        <is>
          <t>Primary Education, Secondary Education, Higher Education, Vocational Education and Training (VET), Corporate Training, Lifelong learning/Adult education</t>
        </is>
      </c>
      <c r="P8" s="1" t="inlineStr">
        <is>
          <t>Student interfacing, Teacher interfacing</t>
        </is>
      </c>
      <c r="Q8" t="inlineStr">
        <is>
          <t>AI tutor</t>
        </is>
      </c>
      <c r="R8" t="inlineStr">
        <is>
          <t>An AI-powered, always-available tutor that provides personalized learning support, voice-based interaction, real-time quizzes, and progress feedback for students of all ages and abilities.</t>
        </is>
      </c>
      <c r="S8" s="10" t="n"/>
      <c r="U8" s="1" t="n"/>
      <c r="V8" s="1" t="inlineStr">
        <is>
          <t>Verified</t>
        </is>
      </c>
      <c r="W8" t="inlineStr">
        <is>
          <t>Collaborations between EdTech organisations, Public-private partnerships, Industry-academia partnerships</t>
        </is>
      </c>
      <c r="X8" t="inlineStr">
        <is>
          <t>For-profit company</t>
        </is>
      </c>
      <c r="Y8" t="b">
        <v>1</v>
      </c>
      <c r="Z8" s="1" t="b">
        <v>1</v>
      </c>
      <c r="AA8" s="1" t="inlineStr">
        <is>
          <t>Yes</t>
        </is>
      </c>
      <c r="AB8" s="1" t="n"/>
      <c r="AC8" s="1" t="inlineStr">
        <is>
          <t>https://www.instagram.com/quikwise.ai</t>
        </is>
      </c>
      <c r="AD8" s="1" t="inlineStr">
        <is>
          <t>https://www.instagram.com/quikwise.ai</t>
        </is>
      </c>
      <c r="AE8" s="10" t="inlineStr">
        <is>
          <t>https://www.facebook.com/quikwise</t>
        </is>
      </c>
    </row>
    <row r="9" ht="15.75" customHeight="1">
      <c r="A9" s="6" t="n">
        <v>45839</v>
      </c>
      <c r="B9" s="1" t="inlineStr">
        <is>
          <t>ORG_2215</t>
        </is>
      </c>
      <c r="C9" s="1" t="b">
        <v>1</v>
      </c>
      <c r="D9" s="1" t="inlineStr">
        <is>
          <t>SchuBu Systems GmbH</t>
        </is>
      </c>
      <c r="E9" s="10" t="inlineStr">
        <is>
          <t>https://www.schubu.org</t>
        </is>
      </c>
      <c r="F9" t="inlineStr">
        <is>
          <t>schubu.org</t>
        </is>
      </c>
      <c r="G9" s="1" t="inlineStr">
        <is>
          <t>SchuBu is a digital publisher based in Vienna and created the first, fully interactive digital learning world. This is award-winning, is already widely used and valued in Austrian schools and is now an integral part of the market. SchuBu is one Teaching and learning platform (currently for secondary level 1) is state-of-the-art: its special feature is that Combining the teaching material with simulations, games, presentation slides, exercises, worksheets and experiments. This makes teaching easier and learning more interesting, in keeping with the intrinsically motivating gamification approach: “Playing is a child’s way of learning, discovering the world and understanding connections.”</t>
        </is>
      </c>
      <c r="H9" s="1" t="inlineStr">
        <is>
          <t>EdTech Austria</t>
        </is>
      </c>
      <c r="I9" s="1" t="inlineStr">
        <is>
          <t>German</t>
        </is>
      </c>
      <c r="J9" s="1" t="inlineStr">
        <is>
          <t>Vienna</t>
        </is>
      </c>
      <c r="K9" s="1" t="inlineStr">
        <is>
          <t>Austria</t>
        </is>
      </c>
      <c r="L9" s="1" t="inlineStr">
        <is>
          <t>Austria, Germany, Switzerland, Italy</t>
        </is>
      </c>
      <c r="M9" s="1" t="inlineStr">
        <is>
          <t>Small (10-49 FTE employees)</t>
        </is>
      </c>
      <c r="N9" s="1" t="inlineStr">
        <is>
          <t>Business to Schools</t>
        </is>
      </c>
      <c r="O9" s="1" t="inlineStr">
        <is>
          <t>Secondary Education</t>
        </is>
      </c>
      <c r="P9" s="1" t="inlineStr">
        <is>
          <t>Student interfacing, Teacher interfacing, System/Administrative</t>
        </is>
      </c>
      <c r="Q9" t="inlineStr">
        <is>
          <t>SchuBu</t>
        </is>
      </c>
      <c r="R9" t="inlineStr">
        <is>
          <t>SchuBu Systems GmbH addresses a critical issue in today’s education: the need of teachers to have immediately accessible, classroom-ready digital content that supports effective teaching.</t>
        </is>
      </c>
      <c r="S9" s="10" t="inlineStr">
        <is>
          <t>SchuBu+</t>
        </is>
      </c>
      <c r="T9" t="inlineStr">
        <is>
          <t>The platform offers precompiled learning paths and ready-to-use materials that minimize preparation time, enabling teachers to focus on fostering meaningful relationships with students.</t>
        </is>
      </c>
      <c r="U9" s="1" t="n"/>
      <c r="V9" s="1" t="inlineStr">
        <is>
          <t>Verified</t>
        </is>
      </c>
      <c r="W9" s="1" t="inlineStr">
        <is>
          <t>Public-private partnerships, Industry-academia partnerships, Collaborations between EdTech organisations</t>
        </is>
      </c>
      <c r="X9" s="1" t="inlineStr">
        <is>
          <t>For-profit company</t>
        </is>
      </c>
      <c r="Y9" s="1" t="b">
        <v>1</v>
      </c>
      <c r="Z9" s="1" t="b">
        <v>1</v>
      </c>
      <c r="AA9" s="1" t="inlineStr">
        <is>
          <t>Yes</t>
        </is>
      </c>
      <c r="AB9" s="1" t="n"/>
      <c r="AC9" s="1" t="inlineStr">
        <is>
          <t>https://at.linkedin.com/company/schubuwien</t>
        </is>
      </c>
      <c r="AD9" s="1" t="inlineStr">
        <is>
          <t>https://at.linkedin.com/company/schubuwien</t>
        </is>
      </c>
    </row>
    <row r="10" ht="15.75" customHeight="1">
      <c r="A10" s="6" t="n">
        <v>45839</v>
      </c>
      <c r="B10" s="1" t="inlineStr">
        <is>
          <t>ORG_2173</t>
        </is>
      </c>
      <c r="C10" s="1" t="b">
        <v>1</v>
      </c>
      <c r="D10" s="1" t="inlineStr">
        <is>
          <t>Redox Interactive</t>
        </is>
      </c>
      <c r="E10" s="10" t="inlineStr">
        <is>
          <t>https://redox-interactive.com</t>
        </is>
      </c>
      <c r="F10" t="inlineStr">
        <is>
          <t>redox-interactive.com</t>
        </is>
      </c>
      <c r="G10" s="1" t="inlineStr">
        <is>
          <t>Redox Interactive is a independent game development studio from Austria, in the very heart of Europe.</t>
        </is>
      </c>
      <c r="H10" s="1" t="inlineStr">
        <is>
          <t>EdTech Austria</t>
        </is>
      </c>
      <c r="I10" s="1" t="n"/>
      <c r="J10" s="1" t="inlineStr">
        <is>
          <t>Salzburg</t>
        </is>
      </c>
      <c r="K10" s="1" t="inlineStr">
        <is>
          <t>Austria</t>
        </is>
      </c>
      <c r="L10" s="1" t="n"/>
      <c r="M10" s="1" t="inlineStr">
        <is>
          <t>Small (10-49 FTE employees)</t>
        </is>
      </c>
      <c r="N10" s="1" t="inlineStr">
        <is>
          <t>Business to Business, Business to Consumer</t>
        </is>
      </c>
      <c r="O10" s="1" t="inlineStr">
        <is>
          <t>Early childhood development (0-5 years), Corporate Training</t>
        </is>
      </c>
      <c r="P10" s="1" t="inlineStr">
        <is>
          <t>Teacher interfacing, System/Administrative</t>
        </is>
      </c>
      <c r="Q10" s="1" t="n"/>
      <c r="S10" s="1" t="n"/>
      <c r="U10" s="1" t="n"/>
      <c r="V10" s="1" t="inlineStr">
        <is>
          <t>Verified</t>
        </is>
      </c>
      <c r="W10" t="inlineStr">
        <is>
          <t>Project consortium building</t>
        </is>
      </c>
      <c r="X10" t="inlineStr">
        <is>
          <t>For-profit company</t>
        </is>
      </c>
      <c r="Y10" s="1" t="b">
        <v>0</v>
      </c>
      <c r="Z10" s="1" t="n"/>
      <c r="AA10" s="1" t="inlineStr">
        <is>
          <t>No</t>
        </is>
      </c>
      <c r="AB10" s="1" t="n"/>
      <c r="AC10" s="1" t="n"/>
    </row>
    <row r="11" ht="15.75" customHeight="1">
      <c r="A11" s="6" t="n">
        <v>45730</v>
      </c>
      <c r="B11" s="1" t="inlineStr">
        <is>
          <t>ORG_1937</t>
        </is>
      </c>
      <c r="C11" s="1" t="b">
        <v>1</v>
      </c>
      <c r="D11" s="1" t="inlineStr">
        <is>
          <t>MEDIASQUAD</t>
        </is>
      </c>
      <c r="E11" s="10" t="inlineStr">
        <is>
          <t>https://www.msq.at/</t>
        </is>
      </c>
      <c r="F11" t="inlineStr">
        <is>
          <t>msq.at</t>
        </is>
      </c>
      <c r="G11" s="1" t="inlineStr">
        <is>
          <t>MEDIASQUAD is an internationally acclaimed XR (Extended Reality) studio headquartered in Innsbruck, Austria, recognized for its groundbreaking Virtual Reality training programs and experiences. Established in 2007, the company specializes in tailored, scalable solutions, enabling global industrial and service enterprises, as well as the public sector, to significantly improve the efficiency of training and sales activities using virtual environments.</t>
        </is>
      </c>
      <c r="H11" s="1" t="inlineStr">
        <is>
          <t>EdTech Austria</t>
        </is>
      </c>
      <c r="I11" s="1" t="inlineStr">
        <is>
          <t>All</t>
        </is>
      </c>
      <c r="J11" s="1" t="inlineStr">
        <is>
          <t>INNSBRUCK</t>
        </is>
      </c>
      <c r="K11" s="1" t="inlineStr">
        <is>
          <t>Austria</t>
        </is>
      </c>
      <c r="L11" s="1" t="inlineStr">
        <is>
          <t>Austria, Germany, Switzerland</t>
        </is>
      </c>
      <c r="M11" s="1" t="inlineStr">
        <is>
          <t>6 to 10</t>
        </is>
      </c>
      <c r="N11" s="1" t="inlineStr">
        <is>
          <t>Business to Business, Business to Schools, Business to Government</t>
        </is>
      </c>
      <c r="O11" s="1" t="inlineStr">
        <is>
          <t>Primary Education, Secondary Education, Corporate Training, Lifelong learning/Adult education, Vocational Education and Training (VET), Higher Education</t>
        </is>
      </c>
      <c r="P11" s="1" t="inlineStr">
        <is>
          <t>Student interfacing, System/Administrative</t>
        </is>
      </c>
      <c r="Q11" t="inlineStr">
        <is>
          <t>eXperience.together! (EX2)</t>
        </is>
      </c>
      <c r="R11" t="inlineStr">
        <is>
          <t>With eXperience.together!, it is now possible to experience and interact with virtual content in a shared physical space. This innovative technology enables multiple users to see and modify the same digital elements in real time, fostering a truly collaborative and immersive experience. EX2 is particularly well-suited for in-person teaching, as both educators and learners view identical content, ensuring clear explanations, seamless communication, and the ability to address questions directly and effectively. This creates an engaging and interactive learning environment that enhances understanding and participation.</t>
        </is>
      </c>
      <c r="S11" s="10" t="inlineStr">
        <is>
          <t>Extended Reality Applications</t>
        </is>
      </c>
      <c r="T11" t="inlineStr">
        <is>
          <t>Learning in the digital age means more than just e-learning on a PC or attending lessons via Zoom.
Extended Reality applications—including Virtual Reality, Mixed Reality, and Augmented Reality—offer learners the unique advantage of not only seeing content but truly experiencing it.
Thanks to our many years of experience, we develop interactive, gamified apps that enable learning in entirely new dimensions.</t>
        </is>
      </c>
      <c r="U11" s="1" t="inlineStr">
        <is>
          <t>https://drive.google.com/uc?export=view&amp;id=1LbiAPO8qu2foB2y5sB157iBfWaQUen8n</t>
        </is>
      </c>
      <c r="V11" s="1" t="inlineStr">
        <is>
          <t>Verified</t>
        </is>
      </c>
      <c r="W11" s="1" t="inlineStr">
        <is>
          <t>https://drive.google.com/uc?export=view&amp;id=1LbiAPO8qu2foB2y5sB157iBfWaQUen8n</t>
        </is>
      </c>
      <c r="X11" s="1" t="n"/>
      <c r="Y11" s="10" t="n"/>
      <c r="Z11" s="1" t="n"/>
      <c r="AA11" t="inlineStr">
        <is>
          <t>Yes</t>
        </is>
      </c>
      <c r="AC11" t="inlineStr">
        <is>
          <t>https://www.linkedin.com/company/mediasquad/</t>
        </is>
      </c>
      <c r="AD11" t="inlineStr">
        <is>
          <t>https://www.linkedin.com/company/mediasquad/</t>
        </is>
      </c>
    </row>
    <row r="12" ht="15.75" customHeight="1">
      <c r="A12" s="6" t="n">
        <v>45669</v>
      </c>
      <c r="B12" s="1" t="inlineStr">
        <is>
          <t>ORG_1806</t>
        </is>
      </c>
      <c r="C12" s="1" t="b">
        <v>1</v>
      </c>
      <c r="D12" s="1" t="inlineStr">
        <is>
          <t>lablife</t>
        </is>
      </c>
      <c r="E12" s="10" t="inlineStr">
        <is>
          <t>https://lablife.video/</t>
        </is>
      </c>
      <c r="F12" t="inlineStr">
        <is>
          <t>lablife.video</t>
        </is>
      </c>
      <c r="G12" s="1" t="inlineStr">
        <is>
          <t>LABLIFE develops, produces and distributes high-quality video tutorials and training material according to the highest standards of Good Cell Culture Practice (GCCP) for practical work in cell culture laboratories (life science, pharmaceuticals, biotechnology). The video tutorials can be used by students, technicians, as well as higher level vocational schools, universities and research institutions.</t>
        </is>
      </c>
      <c r="H12" s="1" t="inlineStr">
        <is>
          <t>EdTech Austria</t>
        </is>
      </c>
      <c r="I12" s="1" t="inlineStr">
        <is>
          <t>English</t>
        </is>
      </c>
      <c r="J12" s="1" t="inlineStr">
        <is>
          <t>VIENNA</t>
        </is>
      </c>
      <c r="K12" s="1" t="inlineStr">
        <is>
          <t>Austria</t>
        </is>
      </c>
      <c r="L12" s="1" t="inlineStr">
        <is>
          <t>Austria, France, Germany, Netherlands, Slovenia</t>
        </is>
      </c>
      <c r="M12" s="1" t="inlineStr">
        <is>
          <t>0 to 2</t>
        </is>
      </c>
      <c r="N12" s="1" t="inlineStr">
        <is>
          <t>Business to Business, Business to Schools, Business to Consumer, Business to Government</t>
        </is>
      </c>
      <c r="O12" s="1" t="inlineStr">
        <is>
          <t>Corporate Training, Lifelong learning/Adult education, Vocational Education and Training (VET), Higher Education</t>
        </is>
      </c>
      <c r="P12" s="1" t="inlineStr">
        <is>
          <t>Student interfacing, Teacher interfacing, System/Administrative</t>
        </is>
      </c>
      <c r="Q12" s="10" t="inlineStr">
        <is>
          <t>Video tutorials</t>
        </is>
      </c>
      <c r="R12" t="inlineStr">
        <is>
          <t>Video tutorials with special focus on practical skills for the cell culture laboratory. Lablife videos and training material are best used as preparation before one-on-one trainings in person. This allows enormous time savings for in-person trainings. Furthermore, this program leads to standardized training outcomes and enhances reproducibility of biological studies.</t>
        </is>
      </c>
      <c r="S12" s="10" t="inlineStr">
        <is>
          <t>https://drive.google.com/uc?export=view&amp;id=1fWlurD-Fj05QYhJlZxtCEej2m8z4Z0w3</t>
        </is>
      </c>
      <c r="T12" t="inlineStr">
        <is>
          <t>https://drive.google.com/uc?export=view&amp;id=1fWlurD-Fj05QYhJlZxtCEej2m8z4Z0w3</t>
        </is>
      </c>
      <c r="U12" s="1" t="inlineStr">
        <is>
          <t>https://drive.google.com/uc?export=view&amp;id=1fWlurD-Fj05QYhJlZxtCEej2m8z4Z0w3</t>
        </is>
      </c>
      <c r="V12" s="1" t="inlineStr">
        <is>
          <t>Verified</t>
        </is>
      </c>
      <c r="Y12" s="10" t="n"/>
      <c r="Z12" s="1" t="n"/>
      <c r="AA12" t="inlineStr">
        <is>
          <t>Yes</t>
        </is>
      </c>
      <c r="AB12" t="inlineStr">
        <is>
          <t>https://www.instagram.com/lablife.video</t>
        </is>
      </c>
      <c r="AC12" t="inlineStr">
        <is>
          <t>https://www.linkedin.com/company/lablife-video</t>
        </is>
      </c>
      <c r="AD12" t="inlineStr">
        <is>
          <t>https://www.linkedin.com/company/lablife-video</t>
        </is>
      </c>
    </row>
    <row r="13" ht="15.75" customHeight="1">
      <c r="A13" s="6" t="n">
        <v>45502</v>
      </c>
      <c r="B13" s="1" t="inlineStr">
        <is>
          <t>ORG_2039</t>
        </is>
      </c>
      <c r="C13" s="1" t="b">
        <v>1</v>
      </c>
      <c r="D13" s="1" t="inlineStr">
        <is>
          <t>NINEFEB Technical Documentation</t>
        </is>
      </c>
      <c r="E13" s="10" t="inlineStr">
        <is>
          <t>www.ninefeb.com</t>
        </is>
      </c>
      <c r="F13" t="inlineStr">
        <is>
          <t>ninefeb.com</t>
        </is>
      </c>
      <c r="G13" s="1" t="inlineStr">
        <is>
          <t>MDR related Technical documentation, IfUs, risk management EN 14971, traceability management systems, EUDAMED data preparation, eLearning for MedTech products</t>
        </is>
      </c>
      <c r="H13" s="1" t="inlineStr">
        <is>
          <t>EdTech Austria</t>
        </is>
      </c>
      <c r="I13" s="1" t="inlineStr">
        <is>
          <t>English, German</t>
        </is>
      </c>
      <c r="J13" s="1" t="inlineStr">
        <is>
          <t>VIENNA</t>
        </is>
      </c>
      <c r="K13" s="1" t="inlineStr">
        <is>
          <t>Austria</t>
        </is>
      </c>
      <c r="L13" s="1" t="inlineStr">
        <is>
          <t>Austria, Belgium, Germany, Netherlands, Sweden, Switzerland, United Kingdom</t>
        </is>
      </c>
      <c r="M13" s="1" t="inlineStr">
        <is>
          <t>11 to 50</t>
        </is>
      </c>
      <c r="N13" s="1" t="inlineStr">
        <is>
          <t>Business to Business</t>
        </is>
      </c>
      <c r="O13" s="1" t="inlineStr">
        <is>
          <t>Corporate Training, Higher Education</t>
        </is>
      </c>
      <c r="P13" s="1" t="inlineStr">
        <is>
          <t>System/Administrative, Student interfacing</t>
        </is>
      </c>
      <c r="Q13" t="inlineStr">
        <is>
          <t>eLearning development</t>
        </is>
      </c>
      <c r="R13" s="1" t="inlineStr">
        <is>
          <t>We are offering eLearning development, based on instructional considerations, dependent of the KSA split (Knowledge - Skills - Awareness/Attitude), demanding different approaches for each category;
we are developing eLearnings as courses as well as small eLearning modules for performance support and microtraining at the workplace.</t>
        </is>
      </c>
      <c r="S13" s="10" t="inlineStr">
        <is>
          <t>VR / AR development</t>
        </is>
      </c>
      <c r="T13" t="inlineStr">
        <is>
          <t>We are drafting highly interactive VR and AR solutions for technical installations, where we are integrating xAPI, in order to track performance and be able to give feedback as well as personalise learning paths.
This is vital in an age of skills shortages to be able to upskill people efficiently.</t>
        </is>
      </c>
      <c r="U13" s="1" t="inlineStr">
        <is>
          <t>https://drive.google.com/uc?export=view&amp;id=11R7b7YRJ28NDU3GzDmXVqunBFjZHY6RP</t>
        </is>
      </c>
      <c r="V13" s="1" t="inlineStr">
        <is>
          <t>Unverified</t>
        </is>
      </c>
      <c r="W13" s="1" t="inlineStr">
        <is>
          <t>https://drive.google.com/uc?export=view&amp;id=11R7b7YRJ28NDU3GzDmXVqunBFjZHY6RP</t>
        </is>
      </c>
      <c r="X13" s="1" t="n"/>
      <c r="Y13" s="10" t="n"/>
      <c r="Z13" s="1" t="n"/>
      <c r="AA13" t="inlineStr">
        <is>
          <t>Yes</t>
        </is>
      </c>
      <c r="AC13" t="inlineStr">
        <is>
          <t>https://www.linkedin.com/company/6522826/</t>
        </is>
      </c>
      <c r="AD13" t="inlineStr">
        <is>
          <t>https://www.linkedin.com/company/6522826/</t>
        </is>
      </c>
    </row>
    <row r="14" ht="15.75" customHeight="1">
      <c r="A14" s="6" t="n">
        <v>45195</v>
      </c>
      <c r="B14" s="1" t="inlineStr">
        <is>
          <t>ORG_2014</t>
        </is>
      </c>
      <c r="C14" s="1" t="b">
        <v>1</v>
      </c>
      <c r="D14" s="10" t="inlineStr">
        <is>
          <t>mytalents.ai</t>
        </is>
      </c>
      <c r="E14" s="10" t="inlineStr">
        <is>
          <t>mytalents.ai</t>
        </is>
      </c>
      <c r="F14" t="inlineStr">
        <is>
          <t>mytalents.ai</t>
        </is>
      </c>
      <c r="G14" s="1" t="inlineStr">
        <is>
          <t>Our learning platform empowers employees to become more efficient and effective in their work by teaching them how to use AI tools that can automate time-consuming and repetitive tasks. For example, our platform help employees to automate the creation of presentations, image editing, and meeting transcriptions. By using AI-supported tools, even the least experienced and qualified employees can complete their work up to 55% faster.</t>
        </is>
      </c>
      <c r="H14" s="1" t="inlineStr">
        <is>
          <t>EdTech Austria</t>
        </is>
      </c>
      <c r="I14" s="1" t="inlineStr">
        <is>
          <t>German</t>
        </is>
      </c>
      <c r="J14" s="1" t="inlineStr">
        <is>
          <t>VIENNA</t>
        </is>
      </c>
      <c r="K14" s="1" t="inlineStr">
        <is>
          <t>Austria</t>
        </is>
      </c>
      <c r="L14" s="1" t="inlineStr">
        <is>
          <t>Austria</t>
        </is>
      </c>
      <c r="M14" s="1" t="inlineStr">
        <is>
          <t>6 to 10</t>
        </is>
      </c>
      <c r="N14" s="1" t="inlineStr">
        <is>
          <t>Business to Business, Business to Schools, Business to Consumer, Business to Government</t>
        </is>
      </c>
      <c r="O14" s="1" t="inlineStr">
        <is>
          <t>Corporate Training, Lifelong learning/Adult education</t>
        </is>
      </c>
      <c r="P14" s="1" t="inlineStr">
        <is>
          <t>Student interfacing, System/Administrative</t>
        </is>
      </c>
      <c r="Q14" s="10" t="inlineStr">
        <is>
          <t>Learning Plattform for AI-Tools</t>
        </is>
      </c>
      <c r="R14" t="inlineStr">
        <is>
          <t>Our learning platform offers a comprehensive learning approach. We ensure that all departments in a company - including finance, marketing, sales, development, and administration - learn to effectively use the latest tools.
Basic ChatGPT courses are available to all departments, so that every employee can use the basic functions of this versatile tool. This ensures that ChatGPT is effectively integrated into daily workflows.
In addition, we offer specific training for specific tools tailored to the individual needs of each department. For example, sales teams learn how to use Synthesia for personalized sales videos, while development teams learn how to increase their coding efficiency by up to 80% with Magic.dev.
Marketing teams learn to generate images with Midjourney and optimize their campaigns using AI. For the administration department, we show how to make presentations and documentation more efficient with Gamma.app and how to automate meetings using tl;dv Meetings.
And that's just a small glimpse of what we have to offer. We plan to provide multiple courses for each department, with the goal of increasing employee productivity by 40% while increasing their job satisfaction. Our comprehensive and tailored training enables companies to fully leverage the potential of modern AI tools and gain a competitive advantage.</t>
        </is>
      </c>
      <c r="S14" s="10" t="inlineStr">
        <is>
          <t>https://drive.google.com/uc?export=view&amp;id=1hHmh0ZAqsmkrl_JGY-3IFzOcXoOQEGWZ</t>
        </is>
      </c>
      <c r="T14" t="inlineStr">
        <is>
          <t>https://drive.google.com/uc?export=view&amp;id=1hHmh0ZAqsmkrl_JGY-3IFzOcXoOQEGWZ</t>
        </is>
      </c>
      <c r="U14" s="1" t="inlineStr">
        <is>
          <t>https://drive.google.com/uc?export=view&amp;id=1hHmh0ZAqsmkrl_JGY-3IFzOcXoOQEGWZ</t>
        </is>
      </c>
      <c r="V14" s="1" t="inlineStr">
        <is>
          <t>Unverified</t>
        </is>
      </c>
      <c r="Y14" s="10" t="n"/>
      <c r="Z14" s="1" t="n"/>
      <c r="AA14" t="inlineStr">
        <is>
          <t>Yes</t>
        </is>
      </c>
      <c r="AB14" t="inlineStr">
        <is>
          <t>mytalents.ai</t>
        </is>
      </c>
      <c r="AC14" t="inlineStr">
        <is>
          <t>https://www.linkedin.com/company/mytalents-ai</t>
        </is>
      </c>
      <c r="AD14" t="inlineStr">
        <is>
          <t>https://www.linkedin.com/company/mytalents-ai</t>
        </is>
      </c>
    </row>
    <row r="15" ht="15.75" customHeight="1">
      <c r="A15" s="6" t="n">
        <v>45191</v>
      </c>
      <c r="B15" s="1" t="inlineStr">
        <is>
          <t>ORG_1218</t>
        </is>
      </c>
      <c r="C15" s="1" t="b">
        <v>1</v>
      </c>
      <c r="D15" s="1" t="inlineStr">
        <is>
          <t>Captic</t>
        </is>
      </c>
      <c r="E15" s="10" t="inlineStr">
        <is>
          <t>https://captic.io</t>
        </is>
      </c>
      <c r="F15" t="inlineStr">
        <is>
          <t>captic.io</t>
        </is>
      </c>
      <c r="G15" s="1" t="inlineStr">
        <is>
          <t>Captic’s white-label platform allows organisations to control and scale their own metaverse presences on web. Captic's proprietary tech facilitates the delivery of multiuser and multi-device virtual spaces, events and experiences without the need of client downloads -- just easy-to-share 3D worlds that outperform 5-10 times all known commercial engines on web.</t>
        </is>
      </c>
      <c r="H15" s="1" t="inlineStr">
        <is>
          <t>EdTech Austria</t>
        </is>
      </c>
      <c r="I15" s="1" t="inlineStr">
        <is>
          <t>All</t>
        </is>
      </c>
      <c r="J15" s="1" t="inlineStr">
        <is>
          <t>VIENNA</t>
        </is>
      </c>
      <c r="K15" s="1" t="inlineStr">
        <is>
          <t>Austria</t>
        </is>
      </c>
      <c r="L15" s="1" t="inlineStr">
        <is>
          <t>Austria, Belgium, Denmark, Estonia, France, Germany, Greece, Ireland, Italy, Liechtenstein, Luxembourg, Netherlands, Norway, Poland, Portugal, Spain, Sweden, Switzerland, United Kingdom</t>
        </is>
      </c>
      <c r="M15" s="1" t="inlineStr">
        <is>
          <t>6 to 10</t>
        </is>
      </c>
      <c r="N15" s="1" t="inlineStr">
        <is>
          <t>Business to Business, Business to Schools, Business to Consumer, Business to Government</t>
        </is>
      </c>
      <c r="O15" s="1" t="inlineStr">
        <is>
          <t>Secondary Education, Corporate Training, Lifelong learning/Adult education, Vocational Education and Training (VET), Higher Education</t>
        </is>
      </c>
      <c r="P15" s="1" t="inlineStr">
        <is>
          <t>Student interfacing, Teacher interfacing, System/Administrative</t>
        </is>
      </c>
      <c r="Q15" s="1" t="inlineStr">
        <is>
          <t>White-label Licence</t>
        </is>
      </c>
      <c r="R15" s="10" t="inlineStr">
        <is>
          <t>Our platform provides clients with the possibility to run unlimited multiplayer events on composable, linkable virtual worlds based on web with enhanced levels of performance and stability.
- All server costs, set-up &amp; maintenance on us
- Up to 3,000 Spaces 
- All Spaces feature personalised domains
- Superb multi-streaming tech — in-world spatial audio, screensharing and webcam
- Password-protected rooms and host/admin tools 
And many more features and advanced/optional ones such as game scripting, access to SDK and on-premise private Metaverses for higher security. Contact for more info via hello at captic dot io or visit our website to find out more: captic.io</t>
        </is>
      </c>
      <c r="S15" s="10" t="inlineStr">
        <is>
          <t>Educational Licence</t>
        </is>
      </c>
      <c r="T15" t="inlineStr">
        <is>
          <t>We provide template campuses for Educational institutions so that they have:
- A ready-made campus buildings with different uses and capacities that fit all needs -- from meeting rooms for private gathering to lecture spaces.
- Free access to our licence for 3 months.
- Technical support and onboarding avail. as needed.
Contact for more info via hello at captic dot io or visit our website to find out more: captic.io</t>
        </is>
      </c>
      <c r="U15" s="1" t="inlineStr">
        <is>
          <t>https://drive.google.com/uc?export=view&amp;id=1UIdTm3wOI0rbYT_a7-SBPrcJUJ301zqg</t>
        </is>
      </c>
      <c r="V15" s="1" t="inlineStr">
        <is>
          <t>Unverified</t>
        </is>
      </c>
      <c r="W15" s="1" t="inlineStr">
        <is>
          <t>https://drive.google.com/uc?export=view&amp;id=1UIdTm3wOI0rbYT_a7-SBPrcJUJ301zqg</t>
        </is>
      </c>
      <c r="X15" s="1" t="n"/>
      <c r="Y15" s="10" t="n"/>
      <c r="Z15" s="1" t="n"/>
      <c r="AA15" t="inlineStr">
        <is>
          <t>Yes</t>
        </is>
      </c>
      <c r="AB15" t="inlineStr">
        <is>
          <t>https://twitter.com/capticio</t>
        </is>
      </c>
      <c r="AC15" t="inlineStr">
        <is>
          <t>https://twitter.com/capticio</t>
        </is>
      </c>
      <c r="AD15" t="inlineStr">
        <is>
          <t>https://www.linkedin.com/company/captic-io</t>
        </is>
      </c>
    </row>
    <row r="16" ht="15.75" customHeight="1">
      <c r="A16" s="6" t="n">
        <v>45301</v>
      </c>
      <c r="B16" s="1" t="inlineStr">
        <is>
          <t>ORG_2475</t>
        </is>
      </c>
      <c r="C16" s="1" t="b">
        <v>1</v>
      </c>
      <c r="D16" s="1" t="inlineStr">
        <is>
          <t>Upstrive GmbH</t>
        </is>
      </c>
      <c r="E16" s="10" t="inlineStr">
        <is>
          <t>https://upstrivesystem.com/</t>
        </is>
      </c>
      <c r="F16" t="inlineStr">
        <is>
          <t>upstrivesystem.com</t>
        </is>
      </c>
      <c r="G16" s="1" t="inlineStr">
        <is>
          <t>Upstrive is the ultimate solution for measuring and enhancing student and staff wellbeing and engagement. Our comprehensive platform is thoughtfully designed to cater to all your needs, ensuring that you can effectively manage interventions precisely when and where they are required. With Upstrive, you can expect impactful outcomes for students, staff, and the entire educational institution. Say goodbye to the complexity of wellbeing management and embrace the power of our transformative results.</t>
        </is>
      </c>
      <c r="H16" s="1" t="inlineStr">
        <is>
          <t>EdTech Austria</t>
        </is>
      </c>
      <c r="I16" s="1" t="inlineStr">
        <is>
          <t>German, English</t>
        </is>
      </c>
      <c r="J16" s="1" t="inlineStr">
        <is>
          <t>Salzburg</t>
        </is>
      </c>
      <c r="K16" s="1" t="inlineStr">
        <is>
          <t>Austria</t>
        </is>
      </c>
      <c r="L16" s="1" t="inlineStr">
        <is>
          <t>Austria, Germany, Ireland, United Kingdom</t>
        </is>
      </c>
      <c r="M16" s="1" t="inlineStr">
        <is>
          <t>6 to 10</t>
        </is>
      </c>
      <c r="N16" s="1" t="inlineStr">
        <is>
          <t>Business to Business, Business to Consumer, Business to Government, Business to Schools</t>
        </is>
      </c>
      <c r="O16" s="1" t="inlineStr">
        <is>
          <t>Primary Education, Secondary Education</t>
        </is>
      </c>
      <c r="P16" s="1" t="inlineStr">
        <is>
          <t>System/Administrative, Student interfacing, Teacher interfacing</t>
        </is>
      </c>
      <c r="Q16" t="inlineStr">
        <is>
          <t>Upstrive Education</t>
        </is>
      </c>
      <c r="R16" t="inlineStr">
        <is>
          <t>Upstrive a web and mobile application that allows Schools to support, monitor and measure the wellbeing of their staff and students, quickly and effectively. Our application allows for fast, effective, and targeted wellbeing interventions and provides content so it can be applied with minimal resources.</t>
        </is>
      </c>
      <c r="S16" s="10" t="inlineStr">
        <is>
          <t>https://drive.google.com/uc?export=view&amp;id=1W6T8lVwr8EwmuWUZIqR9zmoFMDEpocza</t>
        </is>
      </c>
      <c r="T16" t="inlineStr">
        <is>
          <t>https://drive.google.com/uc?export=view&amp;id=1W6T8lVwr8EwmuWUZIqR9zmoFMDEpocza</t>
        </is>
      </c>
      <c r="U16" s="1" t="inlineStr">
        <is>
          <t>https://drive.google.com/uc?export=view&amp;id=1W6T8lVwr8EwmuWUZIqR9zmoFMDEpocza</t>
        </is>
      </c>
      <c r="V16" s="1" t="inlineStr">
        <is>
          <t>Unverified</t>
        </is>
      </c>
      <c r="Y16" s="10" t="n"/>
      <c r="Z16" s="1" t="n"/>
      <c r="AA16" t="inlineStr">
        <is>
          <t>Yes</t>
        </is>
      </c>
      <c r="AC16" t="inlineStr">
        <is>
          <t>https://www.linkedin.com/company/upstrive-well-being</t>
        </is>
      </c>
      <c r="AD16" t="inlineStr">
        <is>
          <t>https://www.linkedin.com/company/upstrive-well-being</t>
        </is>
      </c>
    </row>
    <row r="17" ht="15.75" customHeight="1">
      <c r="A17" s="6" t="n">
        <v>45181</v>
      </c>
      <c r="B17" s="1" t="inlineStr">
        <is>
          <t>ORG_2376</t>
        </is>
      </c>
      <c r="C17" s="1" t="b">
        <v>1</v>
      </c>
      <c r="D17" s="1" t="inlineStr">
        <is>
          <t>teamazing</t>
        </is>
      </c>
      <c r="E17" s="10" t="inlineStr">
        <is>
          <t>www.teamazing.com</t>
        </is>
      </c>
      <c r="F17" t="inlineStr">
        <is>
          <t>teamazing.com</t>
        </is>
      </c>
      <c r="G17" s="1" t="inlineStr">
        <is>
          <t>teamazing is an innovative service and IT scaleup in the field of team development, specializing in remote work and gamification. Customers like Google, Microsoft, TikTok and IBM trust in teamazing's solutions.</t>
        </is>
      </c>
      <c r="H17" s="1" t="inlineStr">
        <is>
          <t>EdTech Austria</t>
        </is>
      </c>
      <c r="J17" s="1" t="inlineStr">
        <is>
          <t>Graz</t>
        </is>
      </c>
      <c r="K17" s="1" t="inlineStr">
        <is>
          <t>Austria</t>
        </is>
      </c>
      <c r="L17" s="1" t="inlineStr">
        <is>
          <t>Austria, Belarus, Belgium, Bosnia and Herzegovina, Bulgaria, Croatia, Cyprus, Czechia, Denmark, Estonia, Finland, France, Germany, Greece, Hungary, Iceland, Ireland, Italy, Latvia, Liechtenstein, Lithuania, Luxembourg, Malta, Montenegro, Netherlands, Norway, Poland, Portugal, Romania, Serbia, Slovakia, Slovenia, Spain, Sweden, Switzerland, Turkey, Ukraine, United Kingdom</t>
        </is>
      </c>
      <c r="M17" s="1" t="inlineStr">
        <is>
          <t>11 to 50</t>
        </is>
      </c>
      <c r="N17" s="1" t="inlineStr">
        <is>
          <t>Business to Business</t>
        </is>
      </c>
      <c r="O17" s="1" t="inlineStr">
        <is>
          <t>Higher Education, Corporate Training</t>
        </is>
      </c>
      <c r="P17" s="1" t="inlineStr">
        <is>
          <t>System/Administrative</t>
        </is>
      </c>
      <c r="Q17" s="10" t="inlineStr">
        <is>
          <t>Online Team Building</t>
        </is>
      </c>
      <c r="R17" s="10" t="inlineStr">
        <is>
          <t>We build your team. You play. ♥️
We create extraordinary Virtual Team Building Events to celebrate team culture. Be part of the Spaceship-Crew, travel the world in our Team Travel Quiz, or master the mini-games in the Online Team Challenge.</t>
        </is>
      </c>
      <c r="S17" s="10" t="inlineStr">
        <is>
          <t>Remote Workspace</t>
        </is>
      </c>
      <c r="T17" t="inlineStr">
        <is>
          <t>Use Remote or Hybrid Work to your advantage and implement proven tactics to make it natural. It is not just about the tools, it’s about how and when you use them. Especially in an online context, there is a need for a well-running remote system. Together, we find and implement bullet-proof solutions from and for industry experts.
Evaluation: Together we examine your current state and potential improvements.
Advisory: We advise and consult on the improvements and plan the next steps.
Set-Up: We take the hassle and get everything ready depending on your needs.
Implementation: We roll out needed solutions and make them fit.
Acceptance: We bring acceptance to your employees and guide them.
Feedback: We measure what matters, adapt and improve.</t>
        </is>
      </c>
      <c r="U17" s="1" t="inlineStr">
        <is>
          <t>https://drive.google.com/uc?export=view&amp;id=19swaHVvHb3WCDVuIiIn7Kp016RE0o_Sc</t>
        </is>
      </c>
      <c r="V17" s="1" t="inlineStr">
        <is>
          <t>Unverified</t>
        </is>
      </c>
      <c r="W17" s="1" t="inlineStr">
        <is>
          <t>https://drive.google.com/uc?export=view&amp;id=19swaHVvHb3WCDVuIiIn7Kp016RE0o_Sc</t>
        </is>
      </c>
      <c r="X17" s="1" t="n"/>
      <c r="Y17" s="10" t="n"/>
      <c r="Z17" s="1" t="n"/>
      <c r="AA17" t="inlineStr">
        <is>
          <t>Yes</t>
        </is>
      </c>
      <c r="AB17" t="inlineStr">
        <is>
          <t>https://www.instagram.com/teamazing.events/</t>
        </is>
      </c>
      <c r="AC17" t="inlineStr">
        <is>
          <t>https://twitter.com/teamazing_com</t>
        </is>
      </c>
      <c r="AD17" t="inlineStr">
        <is>
          <t>https://www.linkedin.com/company/teamazing-gmbh</t>
        </is>
      </c>
    </row>
    <row r="18" ht="15.75" customHeight="1">
      <c r="A18" s="6" t="n">
        <v>45181</v>
      </c>
      <c r="B18" s="1" t="inlineStr">
        <is>
          <t>ORG_1618</t>
        </is>
      </c>
      <c r="C18" s="1" t="b">
        <v>1</v>
      </c>
      <c r="D18" s="1" t="inlineStr">
        <is>
          <t>GeoGebra GmbH</t>
        </is>
      </c>
      <c r="E18" s="10" t="inlineStr">
        <is>
          <t>https://www.geogebra.org/</t>
        </is>
      </c>
      <c r="F18" t="inlineStr">
        <is>
          <t>geogebra.org</t>
        </is>
      </c>
      <c r="G18" s="1" t="inlineStr">
        <is>
          <t>GeoGebra is a dynamic mathematics software that offers innovative and engaging tools for teaching and learning mathematics. With its user-friendly interface and extensive features, GeoGebra empowers students and educators to explore and visualize mathematical concepts in a more interactive and intuitive way.
GeoGebra's products range from the classic GeoGebra Graphing Calculator to the advanced GeoGebra Math Apps, which include Geometry, Algebra, 3D Calculator, and more. These tools are available for desktop, tablet, and mobile devices, making it easy for eyerone to access and use them anytime, anywhere.
GeoGebra is trusted by millions of users around the world, from K-12 schools to universities and beyond. Its comprehensive and versatile suite of products has been used in various settings, from traditional classrooms to remote learning environments.</t>
        </is>
      </c>
      <c r="H18" s="1" t="inlineStr">
        <is>
          <t>I'm not part of any EdTech association</t>
        </is>
      </c>
      <c r="J18" s="1" t="inlineStr">
        <is>
          <t>Linz</t>
        </is>
      </c>
      <c r="K18" s="1" t="inlineStr">
        <is>
          <t>Austria</t>
        </is>
      </c>
      <c r="L18" s="1" t="inlineStr">
        <is>
          <t>Andorra, Austria, Belgium, Bosnia and Herzegovina, Bulgaria, Croatia, Cyprus, Czechia, Denmark, Finland, France, Germany, Hungary, Ireland, Italy, Kazakhstan, Lithuania, Luxembourg, North Macedonia, Norway, Poland, Portugal, Romania, Russia, Serbia, Slovenia, Spain, Sweden, Switzerland, Turkey, United Kingdom</t>
        </is>
      </c>
      <c r="M18" s="1" t="inlineStr">
        <is>
          <t>11 to 50</t>
        </is>
      </c>
      <c r="N18" s="1" t="inlineStr">
        <is>
          <t>Business to Business</t>
        </is>
      </c>
      <c r="O18" s="1" t="inlineStr">
        <is>
          <t>Primary Education, Secondary Education, Lifelong learning/Adult education</t>
        </is>
      </c>
      <c r="P18" s="1" t="inlineStr">
        <is>
          <t>Teacher interfacing, System/Administrative</t>
        </is>
      </c>
      <c r="S18" t="inlineStr">
        <is>
          <t>https://drive.google.com/uc?export=view&amp;id=1sjPEoqb7PgiNAYPPz44P1ZXCykQXm9r2</t>
        </is>
      </c>
      <c r="T18" t="inlineStr">
        <is>
          <t>https://drive.google.com/uc?export=view&amp;id=1sjPEoqb7PgiNAYPPz44P1ZXCykQXm9r2</t>
        </is>
      </c>
      <c r="U18" t="inlineStr">
        <is>
          <t>https://drive.google.com/uc?export=view&amp;id=1sjPEoqb7PgiNAYPPz44P1ZXCykQXm9r2</t>
        </is>
      </c>
      <c r="V18" t="inlineStr">
        <is>
          <t>Unverified</t>
        </is>
      </c>
      <c r="Y18" s="10" t="n"/>
      <c r="Z18" s="1" t="n"/>
      <c r="AA18" t="inlineStr">
        <is>
          <t>No</t>
        </is>
      </c>
    </row>
    <row r="19" ht="15.75" customHeight="1">
      <c r="A19" s="6" t="n">
        <v>45181</v>
      </c>
      <c r="B19" s="1" t="inlineStr">
        <is>
          <t>ORG_2360</t>
        </is>
      </c>
      <c r="C19" s="1" t="b">
        <v>1</v>
      </c>
      <c r="D19" s="1" t="inlineStr">
        <is>
          <t>Synergetics Education</t>
        </is>
      </c>
      <c r="E19" s="10" t="inlineStr">
        <is>
          <t>https://synergetics.us</t>
        </is>
      </c>
      <c r="F19" t="inlineStr">
        <is>
          <t>synergetics.us</t>
        </is>
      </c>
      <c r="G19" s="1" t="inlineStr">
        <is>
          <t>Synergetics Education creates a dynamic flow between content, language, technology, and impact so that 'thinking' systems emerge synergistically to provide value as each human actor in the network emerges in conscious 'thought.' As a result, we open new ways of financing and measuring education, support various economic segments, use smart contract and distributed ledger technology to synergize various parts of education into a greater whole.</t>
        </is>
      </c>
      <c r="H19" s="1" t="inlineStr">
        <is>
          <t>I'm not part of any EdTech association</t>
        </is>
      </c>
      <c r="J19" s="1" t="inlineStr">
        <is>
          <t>Vienna</t>
        </is>
      </c>
      <c r="K19" s="1" t="inlineStr">
        <is>
          <t>Austria</t>
        </is>
      </c>
      <c r="L19" s="1" t="inlineStr">
        <is>
          <t>Austria, Belgium, France, Germany, Italy, Lithuania, Malta, Netherlands, Poland, Serbia, Spain, United Kingdom</t>
        </is>
      </c>
      <c r="M19" s="1" t="inlineStr">
        <is>
          <t>0 to 10</t>
        </is>
      </c>
      <c r="N19" s="1" t="inlineStr">
        <is>
          <t>Business to Business, Business to Government</t>
        </is>
      </c>
      <c r="O19" s="1" t="inlineStr">
        <is>
          <t>Corporate Training, Lifelong learning/Adult education</t>
        </is>
      </c>
      <c r="P19" s="1" t="inlineStr">
        <is>
          <t>Student interfacing, System/Administrative</t>
        </is>
      </c>
      <c r="S19" s="1" t="inlineStr">
        <is>
          <t>https://drive.google.com/uc?export=view&amp;id=1yN8Yrn7LtfYhqQudK2RC_Q9QESOLmIkJ</t>
        </is>
      </c>
      <c r="T19" t="inlineStr">
        <is>
          <t>https://drive.google.com/uc?export=view&amp;id=1yN8Yrn7LtfYhqQudK2RC_Q9QESOLmIkJ</t>
        </is>
      </c>
      <c r="U19" s="1" t="inlineStr">
        <is>
          <t>https://drive.google.com/uc?export=view&amp;id=1yN8Yrn7LtfYhqQudK2RC_Q9QESOLmIkJ</t>
        </is>
      </c>
      <c r="V19" s="1" t="inlineStr">
        <is>
          <t>Unverified</t>
        </is>
      </c>
      <c r="W19" s="1" t="inlineStr">
        <is>
          <t>https://drive.google.com/uc?export=view&amp;id=1yN8Yrn7LtfYhqQudK2RC_Q9QESOLmIkJ</t>
        </is>
      </c>
      <c r="X19" s="1" t="n"/>
      <c r="Y19" s="10" t="n"/>
      <c r="Z19" s="1" t="n"/>
      <c r="AA19" t="inlineStr">
        <is>
          <t>No</t>
        </is>
      </c>
    </row>
    <row r="20" ht="15.75" customHeight="1">
      <c r="A20" s="6" t="n">
        <v>45181</v>
      </c>
      <c r="B20" s="1" t="inlineStr">
        <is>
          <t>ORG_1521</t>
        </is>
      </c>
      <c r="C20" s="1" t="b">
        <v>1</v>
      </c>
      <c r="D20" s="1" t="inlineStr">
        <is>
          <t>eTutee</t>
        </is>
      </c>
      <c r="E20" s="10" t="inlineStr">
        <is>
          <t>http://etutee.eu</t>
        </is>
      </c>
      <c r="F20" t="inlineStr">
        <is>
          <t>etutee.eu</t>
        </is>
      </c>
      <c r="G20" s="1" t="inlineStr">
        <is>
          <t>We are an online tutoring company specialized in personalized tutoring for our customers.</t>
        </is>
      </c>
      <c r="H20" s="1" t="inlineStr">
        <is>
          <t>I'm not part of any EdTech association</t>
        </is>
      </c>
      <c r="J20" s="1" t="inlineStr">
        <is>
          <t>Graz</t>
        </is>
      </c>
      <c r="K20" s="1" t="inlineStr">
        <is>
          <t>Austria</t>
        </is>
      </c>
      <c r="L20" s="1" t="inlineStr">
        <is>
          <t>Austria, Croatia, Slovenia</t>
        </is>
      </c>
      <c r="M20" s="1" t="inlineStr">
        <is>
          <t>0 to 10</t>
        </is>
      </c>
      <c r="N20" s="1" t="inlineStr">
        <is>
          <t>Business to Business, Business to Consumer</t>
        </is>
      </c>
      <c r="O20" s="1" t="inlineStr">
        <is>
          <t>Primary Education, Secondary Education, Higher Education, Corporate Training</t>
        </is>
      </c>
      <c r="P20" s="1" t="inlineStr">
        <is>
          <t>System/Administrative, Student interfacing</t>
        </is>
      </c>
      <c r="Q20" s="1" t="n"/>
      <c r="S20" s="1" t="inlineStr">
        <is>
          <t>https://drive.google.com/uc?export=view&amp;id=1QY2kDuDqae0K8W4vr5ifz1-7Zs5qoGh7</t>
        </is>
      </c>
      <c r="T20" t="inlineStr">
        <is>
          <t>https://drive.google.com/uc?export=view&amp;id=1QY2kDuDqae0K8W4vr5ifz1-7Zs5qoGh7</t>
        </is>
      </c>
      <c r="U20" s="1" t="inlineStr">
        <is>
          <t>https://drive.google.com/uc?export=view&amp;id=1QY2kDuDqae0K8W4vr5ifz1-7Zs5qoGh7</t>
        </is>
      </c>
      <c r="V20" s="1" t="inlineStr">
        <is>
          <t>Unverified</t>
        </is>
      </c>
      <c r="W20" s="1" t="inlineStr">
        <is>
          <t>https://drive.google.com/uc?export=view&amp;id=1QY2kDuDqae0K8W4vr5ifz1-7Zs5qoGh7</t>
        </is>
      </c>
      <c r="X20" s="1" t="n"/>
      <c r="Y20" s="10" t="n"/>
      <c r="Z20" s="1" t="n"/>
      <c r="AA20" t="inlineStr">
        <is>
          <t>No</t>
        </is>
      </c>
    </row>
    <row r="21" ht="15.75" customHeight="1">
      <c r="A21" s="6" t="n">
        <v>45181</v>
      </c>
      <c r="B21" s="1" t="inlineStr">
        <is>
          <t>ORG_2252</t>
        </is>
      </c>
      <c r="C21" s="1" t="b">
        <v>1</v>
      </c>
      <c r="D21" s="1" t="inlineStr">
        <is>
          <t>skillbest</t>
        </is>
      </c>
      <c r="E21" s="10" t="inlineStr">
        <is>
          <t>https://skillbest.com/</t>
        </is>
      </c>
      <c r="F21" t="inlineStr">
        <is>
          <t>skillbest.com</t>
        </is>
      </c>
      <c r="G21" s="1" t="inlineStr">
        <is>
          <t>Thoroughly learned instead of just participated!
We are an Austrian e-learning company with the focus on individual course development to put the learning success in the foreground. Whatever trainings area you want to cover, we deliver you the best package. Here you will receive technical and didactic know-how that will lead to your perfect e-learning product.</t>
        </is>
      </c>
      <c r="H21" s="1" t="inlineStr">
        <is>
          <t>EdTech Austria</t>
        </is>
      </c>
      <c r="I21" s="1" t="n"/>
      <c r="J21" s="1" t="inlineStr">
        <is>
          <t>GRAZ</t>
        </is>
      </c>
      <c r="K21" s="1" t="inlineStr">
        <is>
          <t>Austria</t>
        </is>
      </c>
      <c r="L21" s="1" t="inlineStr">
        <is>
          <t>Austria, Croatia, Finland, France, Germany, Hungary, Italy, Norway, Poland, Portugal, Slovenia, Spain, Sweden, Switzerland, United Kingdom</t>
        </is>
      </c>
      <c r="M21" s="1" t="inlineStr">
        <is>
          <t>0 to 10</t>
        </is>
      </c>
      <c r="N21" s="1" t="inlineStr">
        <is>
          <t>Business to Business, Business to Schools</t>
        </is>
      </c>
      <c r="O21" s="1" t="inlineStr">
        <is>
          <t>Corporate Training, Lifelong learning/Adult education</t>
        </is>
      </c>
      <c r="P21" s="1" t="inlineStr">
        <is>
          <t>Student interfacing, System/Administrative</t>
        </is>
      </c>
      <c r="Q21" t="inlineStr">
        <is>
          <t>Interactive learning videos</t>
        </is>
      </c>
      <c r="R21" t="inlineStr">
        <is>
          <t>With skillvid you use an e-learning format that can simulate real situations. The learning content is presented in the form of an interview and is perfect for training courses that focus on social skills – such as sales training or negotiation skills.</t>
        </is>
      </c>
      <c r="S21" s="10" t="inlineStr">
        <is>
          <t>Digital factory and company presentations</t>
        </is>
      </c>
      <c r="T21" t="inlineStr">
        <is>
          <t>Whether you are a global player or have a corporate location; With a combination of different media, skilltour enables you not only to present your company in the best possible way to newcomers, but also to your customers. Start the big tour!</t>
        </is>
      </c>
      <c r="U21" s="1" t="inlineStr">
        <is>
          <t>https://drive.google.com/uc?export=view&amp;id=1Hn3ZnqEZa2Bw3qfxP5c2Kr3SYAZkdmOe</t>
        </is>
      </c>
      <c r="V21" s="1" t="inlineStr">
        <is>
          <t>Unverified</t>
        </is>
      </c>
      <c r="W21" s="1" t="inlineStr">
        <is>
          <t>https://drive.google.com/uc?export=view&amp;id=1Hn3ZnqEZa2Bw3qfxP5c2Kr3SYAZkdmOe</t>
        </is>
      </c>
      <c r="X21" s="1" t="n"/>
      <c r="Y21" s="10" t="n"/>
      <c r="Z21" s="1" t="n"/>
      <c r="AA21" t="inlineStr">
        <is>
          <t>Yes</t>
        </is>
      </c>
      <c r="AC21" t="inlineStr">
        <is>
          <t>https://www.linkedin.com/company/skillbest/</t>
        </is>
      </c>
      <c r="AD21" t="inlineStr">
        <is>
          <t>https://www.linkedin.com/company/skillbest/</t>
        </is>
      </c>
    </row>
    <row r="22" ht="15.75" customHeight="1">
      <c r="A22" s="6" t="n">
        <v>45181</v>
      </c>
      <c r="B22" s="1" t="inlineStr">
        <is>
          <t>ORG_2030</t>
        </is>
      </c>
      <c r="C22" s="1" t="b">
        <v>1</v>
      </c>
      <c r="D22" s="1" t="inlineStr">
        <is>
          <t>NeuKurs Microlearning</t>
        </is>
      </c>
      <c r="E22" s="10" t="inlineStr">
        <is>
          <t>www.neukurs.com</t>
        </is>
      </c>
      <c r="F22" t="inlineStr">
        <is>
          <t>neukurs.com</t>
        </is>
      </c>
      <c r="G22" s="1" t="inlineStr">
        <is>
          <t>NeuKurs - the microlearning company 
NeuKurs activates your knowledge for effective trainings and powerful sales. 
NeuKurs delivers methodically and didactically optimal trainings for your target group: microlearning videos, audios and on high quality paper.
Our products
LMS Content in Articulate Rise or Storyline
Content library with 90+ ready-to-use eLearnings
Microlearning workshops for internal knowledge building
Software for easy and fast hosting of your content</t>
        </is>
      </c>
      <c r="H22" s="1" t="inlineStr">
        <is>
          <t>EdTech Austria</t>
        </is>
      </c>
      <c r="J22" s="1" t="inlineStr">
        <is>
          <t>VIENNA</t>
        </is>
      </c>
      <c r="K22" s="1" t="inlineStr">
        <is>
          <t>Austria</t>
        </is>
      </c>
      <c r="L22" s="1" t="inlineStr">
        <is>
          <t>Austria, Czechia, Germany, Poland, Switzerland</t>
        </is>
      </c>
      <c r="M22" s="1" t="inlineStr">
        <is>
          <t>0 to 10</t>
        </is>
      </c>
      <c r="N22" s="1" t="inlineStr">
        <is>
          <t>Business to Business, Business to Consumer, Business to Government, Business to Schools</t>
        </is>
      </c>
      <c r="O22" s="1" t="inlineStr">
        <is>
          <t>Higher Education, Corporate Training, Lifelong learning/Adult education</t>
        </is>
      </c>
      <c r="P22" s="1" t="inlineStr">
        <is>
          <t>Teacher interfacing, System/Administrative</t>
        </is>
      </c>
      <c r="Q22" s="10" t="inlineStr">
        <is>
          <t>eLearning courses</t>
        </is>
      </c>
      <c r="R22" t="inlineStr">
        <is>
          <t>Learning videos from top experts
Choose from more than 2,000 microlearnings in different forms: Learning and explainer videos, illustrations, texts, podcasts, and transfer materials.
The high-quality online trainings can be obtained as a license for your LMS or directly via our online learning platform.
On request, you can receive all content as a finished Scorm 1.2 package, including didactic preparation.</t>
        </is>
      </c>
      <c r="S22" s="10" t="inlineStr">
        <is>
          <t>Content Design</t>
        </is>
      </c>
      <c r="T22" t="inlineStr">
        <is>
          <t>Didactic microlearnings transform content into attractive knowledge nuggets. 
We activate contents with storytelling, memory anchors, attention stimuli and many more tools. This is how we make training attractive and effective.
Microlearning Video, Audio, Podcast</t>
        </is>
      </c>
      <c r="U22" s="1" t="inlineStr">
        <is>
          <t>https://drive.google.com/uc?export=view&amp;id=1DX0gooIYeIEei_UM52AtLhBtxUMQC6-4</t>
        </is>
      </c>
      <c r="V22" s="1" t="inlineStr">
        <is>
          <t>Unverified</t>
        </is>
      </c>
      <c r="W22" s="1" t="inlineStr">
        <is>
          <t>https://drive.google.com/uc?export=view&amp;id=1DX0gooIYeIEei_UM52AtLhBtxUMQC6-4</t>
        </is>
      </c>
      <c r="X22" s="1" t="n"/>
      <c r="Y22" s="10" t="n"/>
      <c r="Z22" s="1" t="n"/>
      <c r="AA22" t="inlineStr">
        <is>
          <t>Yes</t>
        </is>
      </c>
      <c r="AB22" t="inlineStr">
        <is>
          <t>https://www.instagram.com/neukurs/?hl=de</t>
        </is>
      </c>
      <c r="AC22" t="inlineStr">
        <is>
          <t>https://www.linkedin.com/company/neukurs/</t>
        </is>
      </c>
      <c r="AD22" t="inlineStr">
        <is>
          <t>https://www.linkedin.com/company/neukurs/</t>
        </is>
      </c>
    </row>
    <row r="23" ht="15.75" customHeight="1">
      <c r="A23" s="6" t="n">
        <v>45248</v>
      </c>
      <c r="B23" s="1" t="inlineStr">
        <is>
          <t>ORG_1404</t>
        </is>
      </c>
      <c r="C23" s="1" t="b">
        <v>1</v>
      </c>
      <c r="D23" s="1" t="inlineStr">
        <is>
          <t>Edenauts</t>
        </is>
      </c>
      <c r="E23" s="10" t="inlineStr">
        <is>
          <t>https://game.edenauts.com</t>
        </is>
      </c>
      <c r="F23" t="inlineStr">
        <is>
          <t>game.edenauts.com</t>
        </is>
      </c>
      <c r="G23" s="1" t="inlineStr">
        <is>
          <t>"Edenauts - An Odyssey of Wisdom" is an innovative educational game that blends space exploration with deep philosophical inquiry. Our game is designed to engage players in a narrative-driven adventure where they must survive a cataclysmic event on Earth and venture into space to forge a new future for humanity. By integrating game mechanics with epistemological concepts, we aim to promote critical thinking, collaboration, and the development of shared values.</t>
        </is>
      </c>
      <c r="H23" s="1" t="inlineStr">
        <is>
          <t>I'm not part of any EdTech association</t>
        </is>
      </c>
      <c r="I23" s="1" t="inlineStr">
        <is>
          <t>English</t>
        </is>
      </c>
      <c r="J23" s="1" t="inlineStr">
        <is>
          <t>Salzburg</t>
        </is>
      </c>
      <c r="K23" s="1" t="inlineStr">
        <is>
          <t>Austria</t>
        </is>
      </c>
      <c r="L23" s="1" t="inlineStr">
        <is>
          <t>Austria</t>
        </is>
      </c>
      <c r="M23" s="1" t="inlineStr">
        <is>
          <t>0 to 2</t>
        </is>
      </c>
      <c r="N23" s="1" t="inlineStr">
        <is>
          <t>Business to Consumer</t>
        </is>
      </c>
      <c r="O23" s="1" t="inlineStr">
        <is>
          <t>Lifelong learning/Adult education</t>
        </is>
      </c>
      <c r="P23" s="1" t="inlineStr">
        <is>
          <t>System/Administrative, Student interfacing</t>
        </is>
      </c>
      <c r="Q23" t="inlineStr">
        <is>
          <t>Edenauts</t>
        </is>
      </c>
      <c r="R23" t="inlineStr">
        <is>
          <t>"Edenauts - An Odyssey of Wisdom" is an educational space exploration game that merges philosophical inquiry with interactive learning. Players embark on a space adventure, forming a crew to develop a collective philosophy and engage in strategic battles, promoting critical thinking, collaboration, and shared values through a blend of real-world actions and game mechanics based on Jean Piaget's theories. This game aims to foster a community of learners, exploring AI ethics and human morality in a dynamic, game-based environment.</t>
        </is>
      </c>
      <c r="S23" t="inlineStr">
        <is>
          <t>https://drive.google.com/uc?export=view&amp;id=17vtbrwasu-9HF31FD0Ppqx1RlOSiuqXy</t>
        </is>
      </c>
      <c r="T23" t="inlineStr">
        <is>
          <t>https://drive.google.com/uc?export=view&amp;id=17vtbrwasu-9HF31FD0Ppqx1RlOSiuqXy</t>
        </is>
      </c>
      <c r="U23" s="1" t="inlineStr">
        <is>
          <t>https://drive.google.com/uc?export=view&amp;id=17vtbrwasu-9HF31FD0Ppqx1RlOSiuqXy</t>
        </is>
      </c>
      <c r="V23" s="1" t="inlineStr">
        <is>
          <t>Unverified</t>
        </is>
      </c>
      <c r="Y23" s="10" t="n"/>
      <c r="Z23" s="1" t="n"/>
      <c r="AA23" t="inlineStr">
        <is>
          <t>No</t>
        </is>
      </c>
    </row>
    <row r="24" ht="15.75" customHeight="1">
      <c r="A24" s="6" t="n">
        <v>45181</v>
      </c>
      <c r="B24" s="1" t="inlineStr">
        <is>
          <t>ORG_1580</t>
        </is>
      </c>
      <c r="C24" s="1" t="b">
        <v>1</v>
      </c>
      <c r="D24" s="1" t="inlineStr">
        <is>
          <t>FoxEducation Services SAS</t>
        </is>
      </c>
      <c r="E24" s="10" t="inlineStr">
        <is>
          <t>https://foxeducation.com/fr</t>
        </is>
      </c>
      <c r="F24" t="inlineStr">
        <is>
          <t>foxeducation.com/fr</t>
        </is>
      </c>
      <c r="G24" s="1" t="inlineStr">
        <is>
          <t>FoxEducation helps every educational institution taking the next step into the digital world. As a reliable partner to thousands of schools, daycare centers, boards and municipalities, we support your digitisation at every stage.</t>
        </is>
      </c>
      <c r="H24" s="1" t="inlineStr">
        <is>
          <t>EdTech France</t>
        </is>
      </c>
      <c r="J24" s="1" t="inlineStr">
        <is>
          <t>Vienna</t>
        </is>
      </c>
      <c r="K24" s="1" t="inlineStr">
        <is>
          <t>Austria</t>
        </is>
      </c>
      <c r="L24" s="1" t="inlineStr">
        <is>
          <t>Austria, France, Germany, Italy, Spain, Switzerland, Turkey</t>
        </is>
      </c>
      <c r="M24" s="1" t="inlineStr">
        <is>
          <t>0 to 10</t>
        </is>
      </c>
      <c r="N24" s="1" t="inlineStr">
        <is>
          <t>Business to Business, Business to Government</t>
        </is>
      </c>
      <c r="O24" s="1" t="inlineStr">
        <is>
          <t>Early childhood development (0-5 years), Primary Education, Secondary Education, Higher Education</t>
        </is>
      </c>
      <c r="P24" s="1" t="inlineStr">
        <is>
          <t>Teacher interfacing</t>
        </is>
      </c>
      <c r="Q24" s="10" t="inlineStr">
        <is>
          <t>SchoolFox</t>
        </is>
      </c>
      <c r="R24" t="inlineStr">
        <is>
          <t>SchoolFox is an integrated messenger, organiser and LMS. With file storage, group chats and video lessons. For all school types and age groups. This is how school works from anywhere!</t>
        </is>
      </c>
      <c r="S24" s="10" t="inlineStr">
        <is>
          <t>KidsFox</t>
        </is>
      </c>
      <c r="T24" t="inlineStr">
        <is>
          <t>The Daycare-Messenger 3 in 1: Messenger, digital assistant and organisation. With cloud storage, video conference &amp; group chats. Especially for daycare centers and kindergartens.</t>
        </is>
      </c>
      <c r="U24" s="1" t="inlineStr">
        <is>
          <t>https://drive.google.com/uc?export=view&amp;id=1q_3SDTgatc_qWNB_MCxUNABrcAe9dBjz</t>
        </is>
      </c>
      <c r="V24" s="1" t="inlineStr">
        <is>
          <t>Unverified</t>
        </is>
      </c>
      <c r="W24" s="1" t="inlineStr">
        <is>
          <t>https://drive.google.com/uc?export=view&amp;id=1q_3SDTgatc_qWNB_MCxUNABrcAe9dBjz</t>
        </is>
      </c>
      <c r="X24" s="1" t="n"/>
      <c r="Y24" s="10" t="n"/>
      <c r="Z24" s="1" t="n"/>
      <c r="AA24" t="inlineStr">
        <is>
          <t>Yes</t>
        </is>
      </c>
      <c r="AB24" t="inlineStr">
        <is>
          <t>https://www.instagram.com/foxeducation_fr/</t>
        </is>
      </c>
      <c r="AC24" t="inlineStr">
        <is>
          <t>https://www.linkedin.com/company/foxeducation-france/</t>
        </is>
      </c>
      <c r="AD24" t="inlineStr">
        <is>
          <t>https://www.linkedin.com/company/foxeducation-france/</t>
        </is>
      </c>
    </row>
    <row r="25" ht="15.75" customHeight="1">
      <c r="A25" s="6" t="n">
        <v>45181</v>
      </c>
      <c r="B25" s="1" t="inlineStr">
        <is>
          <t>ORG_2233</t>
        </is>
      </c>
      <c r="C25" s="1" t="b">
        <v>1</v>
      </c>
      <c r="D25" s="1" t="inlineStr">
        <is>
          <t>ShareLMS</t>
        </is>
      </c>
      <c r="E25" s="10" t="inlineStr">
        <is>
          <t>https://www.sharelms.com</t>
        </is>
      </c>
      <c r="F25" t="inlineStr">
        <is>
          <t>sharelms.com</t>
        </is>
      </c>
      <c r="G25" s="1" t="inlineStr">
        <is>
          <t>ShareLMS is a next generation lms with innovative modules-made in austria. In Curriculator national and international experts develop and evaluate online a curriculum and can create for activated results together courses with a lot of specific functions. With new curriculator you can also evaluate job descriptions, skills or (political) campaigns. In Clustermodule organizations, schools, universities or companies can built together educational clusters with different roles for users in different instances. For more details and all integrated functions and modules pls. visit our homepage.</t>
        </is>
      </c>
      <c r="H25" s="1" t="inlineStr">
        <is>
          <t>I'm not part of any EdTech association</t>
        </is>
      </c>
      <c r="J25" s="1" t="inlineStr">
        <is>
          <t>VIENNA</t>
        </is>
      </c>
      <c r="K25" s="1" t="inlineStr">
        <is>
          <t>Austria</t>
        </is>
      </c>
      <c r="L25" s="1" t="inlineStr">
        <is>
          <t>Austria</t>
        </is>
      </c>
      <c r="M25" s="1" t="inlineStr">
        <is>
          <t>0 to 10</t>
        </is>
      </c>
      <c r="N25" s="1" t="inlineStr">
        <is>
          <t>Business to Government, Business to Schools</t>
        </is>
      </c>
      <c r="O25" s="1" t="inlineStr">
        <is>
          <t>Secondary Education, Higher Education, Corporate Training, Lifelong learning/Adult education</t>
        </is>
      </c>
      <c r="P25" s="1" t="inlineStr">
        <is>
          <t>Student interfacing, Teacher interfacing, System/Administrative</t>
        </is>
      </c>
      <c r="Q25" s="1" t="n"/>
      <c r="R25" s="1" t="n"/>
      <c r="S25" s="1" t="inlineStr">
        <is>
          <t>https://drive.google.com/uc?export=view&amp;id=1VFsBa-nQCPhfA_JZKlWRG3wvEG59EOIl</t>
        </is>
      </c>
      <c r="T25" t="inlineStr">
        <is>
          <t>https://drive.google.com/uc?export=view&amp;id=1VFsBa-nQCPhfA_JZKlWRG3wvEG59EOIl</t>
        </is>
      </c>
      <c r="U25" s="1" t="inlineStr">
        <is>
          <t>https://drive.google.com/uc?export=view&amp;id=1VFsBa-nQCPhfA_JZKlWRG3wvEG59EOIl</t>
        </is>
      </c>
      <c r="V25" s="1" t="inlineStr">
        <is>
          <t>Unverified</t>
        </is>
      </c>
      <c r="Y25" s="10" t="n"/>
      <c r="Z25" s="1" t="n"/>
      <c r="AA25" t="inlineStr">
        <is>
          <t>No</t>
        </is>
      </c>
    </row>
    <row r="26" ht="15.75" customHeight="1">
      <c r="A26" s="6" t="n">
        <v>45181</v>
      </c>
      <c r="B26" s="1" t="inlineStr">
        <is>
          <t>ORG_2486</t>
        </is>
      </c>
      <c r="C26" s="1" t="b">
        <v>1</v>
      </c>
      <c r="D26" s="1" t="inlineStr">
        <is>
          <t>Veritas</t>
        </is>
      </c>
      <c r="E26" s="10" t="inlineStr">
        <is>
          <t>www.veritas.at</t>
        </is>
      </c>
      <c r="F26" t="inlineStr">
        <is>
          <t>veritas.at</t>
        </is>
      </c>
      <c r="G26" s="1" t="inlineStr">
        <is>
          <t>VERITAS is Austria's largest educational publisher and at the same time a valuable part of a strong international education group. With high-quality, innovative and practice-oriented teaching and learning products, we support teachers, students and parents in achieving the best possible learning success. Our digital portfolio includes products such as E-Book PLUS, VERITAS Mediathek App, VERA or the VERITAS easy App.</t>
        </is>
      </c>
      <c r="H26" s="1" t="inlineStr">
        <is>
          <t>EdTech Austria</t>
        </is>
      </c>
      <c r="J26" s="1" t="inlineStr">
        <is>
          <t>LINZ</t>
        </is>
      </c>
      <c r="K26" s="1" t="inlineStr">
        <is>
          <t>Austria</t>
        </is>
      </c>
      <c r="L26" s="1" t="inlineStr">
        <is>
          <t>Austria</t>
        </is>
      </c>
      <c r="M26" s="1" t="inlineStr">
        <is>
          <t>100+</t>
        </is>
      </c>
      <c r="N26" s="1" t="inlineStr">
        <is>
          <t>Business to Consumer</t>
        </is>
      </c>
      <c r="O26" s="1" t="inlineStr">
        <is>
          <t>Primary Education, Secondary Education</t>
        </is>
      </c>
      <c r="P26" s="1" t="inlineStr">
        <is>
          <t>System/Administrative, Student interfacing, Teacher interfacing</t>
        </is>
      </c>
      <c r="Q26" t="inlineStr">
        <is>
          <t>E-Book PLUS</t>
        </is>
      </c>
      <c r="R26" t="inlineStr">
        <is>
          <t>Digital textbook, enhanced with digital exercises and assessments.</t>
        </is>
      </c>
      <c r="S26" s="1" t="inlineStr">
        <is>
          <t>VERA</t>
        </is>
      </c>
      <c r="T26" t="inlineStr">
        <is>
          <t>Digital platform that enables teachers to generate and individually combine different assignments for assessments or tests.</t>
        </is>
      </c>
      <c r="U26" s="1" t="inlineStr">
        <is>
          <t>https://drive.google.com/uc?export=view&amp;id=1LTMtc24WebgNhkVQ2QEN8BCCgK4tL_dV</t>
        </is>
      </c>
      <c r="V26" s="1" t="inlineStr">
        <is>
          <t>Unverified</t>
        </is>
      </c>
      <c r="W26" s="1" t="inlineStr">
        <is>
          <t>https://drive.google.com/uc?export=view&amp;id=1LTMtc24WebgNhkVQ2QEN8BCCgK4tL_dV</t>
        </is>
      </c>
      <c r="X26" s="1" t="n"/>
      <c r="Y26" s="10" t="n"/>
      <c r="Z26" s="1" t="n"/>
      <c r="AA26" t="inlineStr">
        <is>
          <t>No</t>
        </is>
      </c>
    </row>
    <row r="27" ht="15.75" customHeight="1">
      <c r="A27" s="6" t="n">
        <v>45181</v>
      </c>
      <c r="B27" s="1" t="inlineStr">
        <is>
          <t>ORG_2152</t>
        </is>
      </c>
      <c r="C27" s="1" t="b">
        <v>1</v>
      </c>
      <c r="D27" s="1" t="inlineStr">
        <is>
          <t>Raccoon Dynamics GmbH</t>
        </is>
      </c>
      <c r="E27" s="10" t="inlineStr">
        <is>
          <t>https://www.teachis.net</t>
        </is>
      </c>
      <c r="F27" t="inlineStr">
        <is>
          <t>teachis.net</t>
        </is>
      </c>
      <c r="G27" s="1" t="inlineStr">
        <is>
          <t>Raccoon Dynamics offers services and productions in the education technology area. Our goal is to help teachers of all kind to lower the time spent on administrative task and focus on their core competence: The education of future generations.</t>
        </is>
      </c>
      <c r="H27" s="1" t="inlineStr">
        <is>
          <t>EdTech Austria</t>
        </is>
      </c>
      <c r="J27" s="1" t="inlineStr">
        <is>
          <t>LINZ</t>
        </is>
      </c>
      <c r="K27" s="1" t="inlineStr">
        <is>
          <t>Austria</t>
        </is>
      </c>
      <c r="L27" s="1" t="inlineStr">
        <is>
          <t>Austria, Germany</t>
        </is>
      </c>
      <c r="M27" s="1" t="inlineStr">
        <is>
          <t>0 to 10</t>
        </is>
      </c>
      <c r="N27" s="1" t="inlineStr">
        <is>
          <t>Business to Business, Business to Government</t>
        </is>
      </c>
      <c r="O27" s="1" t="inlineStr">
        <is>
          <t>Primary Education, Secondary Education, Higher Education</t>
        </is>
      </c>
      <c r="P27" s="1" t="inlineStr">
        <is>
          <t>Teacher interfacing, System/Administrative</t>
        </is>
      </c>
      <c r="Q27" s="10" t="inlineStr">
        <is>
          <t>TEACHIS</t>
        </is>
      </c>
      <c r="R27" s="10" t="inlineStr">
        <is>
          <t>With TEACHIS, teachers can manage their entire work such as lesson planning and class management. They can write their full annual schedule as well as the daily schedule and take notes and grades of students while teaching the lesson. All information can be used to have an up-to-date view on the level of proficiency of their students and use in scenarios like parent-teacher interviews.</t>
        </is>
      </c>
      <c r="S27" s="10" t="inlineStr">
        <is>
          <t>https://drive.google.com/uc?export=view&amp;id=1XQ9jeYSQMNWPVGfy63hYCc4mxb9PXNll</t>
        </is>
      </c>
      <c r="T27" t="inlineStr">
        <is>
          <t>https://drive.google.com/uc?export=view&amp;id=1XQ9jeYSQMNWPVGfy63hYCc4mxb9PXNll</t>
        </is>
      </c>
      <c r="U27" s="1" t="inlineStr">
        <is>
          <t>https://drive.google.com/uc?export=view&amp;id=1XQ9jeYSQMNWPVGfy63hYCc4mxb9PXNll</t>
        </is>
      </c>
      <c r="V27" s="1" t="inlineStr">
        <is>
          <t>Unverified</t>
        </is>
      </c>
      <c r="Y27" s="10" t="n"/>
      <c r="Z27" s="1" t="n"/>
      <c r="AA27" t="inlineStr">
        <is>
          <t>Yes</t>
        </is>
      </c>
      <c r="AB27" t="inlineStr">
        <is>
          <t>https://www.instagram.com/teachisnet</t>
        </is>
      </c>
      <c r="AC27" t="inlineStr">
        <is>
          <t>https://twitter.com/TeachisNet</t>
        </is>
      </c>
      <c r="AD27" t="inlineStr">
        <is>
          <t>https://www.linkedin.com/company/teachis/</t>
        </is>
      </c>
    </row>
    <row r="28" ht="15.75" customHeight="1">
      <c r="A28" s="6" t="n">
        <v>45181</v>
      </c>
      <c r="B28" s="1" t="inlineStr">
        <is>
          <t>ORG_2560</t>
        </is>
      </c>
      <c r="C28" s="1" t="b">
        <v>1</v>
      </c>
      <c r="D28" s="1" t="inlineStr">
        <is>
          <t>XRCONSOLE</t>
        </is>
      </c>
      <c r="E28" s="10" t="inlineStr">
        <is>
          <t>www.xrconsole.net</t>
        </is>
      </c>
      <c r="F28" t="inlineStr">
        <is>
          <t>xrconsole.net</t>
        </is>
      </c>
      <c r="G28" s="1" t="inlineStr">
        <is>
          <t>XRCONSOLE develops immersive learning and training concepts for companies and educational institutions. With the synergy of innovative training methodology and state of the art virtual reality, we are reshaping the future of training.</t>
        </is>
      </c>
      <c r="H28" s="1" t="inlineStr">
        <is>
          <t>EdTech Austria</t>
        </is>
      </c>
      <c r="J28" s="1" t="inlineStr">
        <is>
          <t>GRAZ</t>
        </is>
      </c>
      <c r="K28" s="1" t="inlineStr">
        <is>
          <t>Austria</t>
        </is>
      </c>
      <c r="L28" s="1" t="inlineStr">
        <is>
          <t>Austria, Germany, Switzerland</t>
        </is>
      </c>
      <c r="M28" s="1" t="inlineStr">
        <is>
          <t>0 to 10</t>
        </is>
      </c>
      <c r="N28" s="1" t="inlineStr">
        <is>
          <t>Business to Schools</t>
        </is>
      </c>
      <c r="O28" s="1" t="inlineStr">
        <is>
          <t>Corporate Training</t>
        </is>
      </c>
      <c r="P28" s="1" t="inlineStr">
        <is>
          <t>Student interfacing, Teacher interfacing, System/Administrative</t>
        </is>
      </c>
      <c r="Q28" t="inlineStr">
        <is>
          <t>Holistic immersive learning and training concepts</t>
        </is>
      </c>
      <c r="R28" t="inlineStr">
        <is>
          <t>The focus is on experience-based training. Learning content is experienced instead of just being read or heard. In the virtual training world, people perform interaction actions just as they do in the real world, activating the same psychological and physiological areas of the brain. Training using XR technology leads to real and measurable performance and contributes significantly to more effective and efficient learning outcomes.</t>
        </is>
      </c>
      <c r="S28" s="10" t="inlineStr">
        <is>
          <t>https://drive.google.com/uc?export=view&amp;id=1FNlObN3rntGIE_wLr9hXRWcjDrhrHak2</t>
        </is>
      </c>
      <c r="T28" t="inlineStr">
        <is>
          <t>https://drive.google.com/uc?export=view&amp;id=1FNlObN3rntGIE_wLr9hXRWcjDrhrHak2</t>
        </is>
      </c>
      <c r="U28" s="1" t="inlineStr">
        <is>
          <t>https://drive.google.com/uc?export=view&amp;id=1FNlObN3rntGIE_wLr9hXRWcjDrhrHak2</t>
        </is>
      </c>
      <c r="V28" s="1" t="inlineStr">
        <is>
          <t>Unverified</t>
        </is>
      </c>
      <c r="Y28" s="10" t="n"/>
      <c r="Z28" s="1" t="n"/>
      <c r="AA28" t="inlineStr">
        <is>
          <t>Yes</t>
        </is>
      </c>
      <c r="AC28" t="inlineStr">
        <is>
          <t>https://www.linkedin.com/company/xrconsole</t>
        </is>
      </c>
      <c r="AD28" t="inlineStr">
        <is>
          <t>https://www.linkedin.com/company/xrconsole</t>
        </is>
      </c>
    </row>
    <row r="29" ht="15.75" customHeight="1">
      <c r="A29" s="6" t="n">
        <v>45181</v>
      </c>
      <c r="B29" s="1" t="inlineStr">
        <is>
          <t>ORG_1305</t>
        </is>
      </c>
      <c r="C29" s="1" t="b">
        <v>1</v>
      </c>
      <c r="D29" s="1" t="inlineStr">
        <is>
          <t>courseticket</t>
        </is>
      </c>
      <c r="E29" s="10" t="inlineStr">
        <is>
          <t>https://join.courseticket.com</t>
        </is>
      </c>
      <c r="F29" t="inlineStr">
        <is>
          <t>join.courseticket.com</t>
        </is>
      </c>
      <c r="G29" s="1" t="inlineStr">
        <is>
          <t>Building the next generation of Learning Experience Platforms: The first customizable white label platform that enables "Business-to-Employee", "Business-to-Customer" &amp; "Business-to-Business-to-Employee" booking processes and allows "Self-driven", "Supervised" &amp; "Collaborative" learning experiences.
Serving international clients with highly customizable next-generation L&amp;D platforms as SaaS or white labeled. Focusing on R&amp;D in skills alignment &amp; artificial intelligence and predictive analytics for next-generation learning platforms with e-commerce capabilities.</t>
        </is>
      </c>
      <c r="H29" s="1" t="inlineStr">
        <is>
          <t>EdTech Austria</t>
        </is>
      </c>
      <c r="J29" s="1" t="inlineStr">
        <is>
          <t>Liechtensteinstraße 111-115</t>
        </is>
      </c>
      <c r="K29" s="1" t="inlineStr">
        <is>
          <t>Austria</t>
        </is>
      </c>
      <c r="L29" s="1" t="inlineStr">
        <is>
          <t>Austria, Germany, Spain, Switzerland, United Kingdom</t>
        </is>
      </c>
      <c r="M29" s="1" t="inlineStr">
        <is>
          <t>11 to 50</t>
        </is>
      </c>
      <c r="N29" s="1" t="inlineStr">
        <is>
          <t>Business to Business, Business to Consumer</t>
        </is>
      </c>
      <c r="O29" s="1" t="inlineStr">
        <is>
          <t>Corporate Training, Lifelong learning/Adult education</t>
        </is>
      </c>
      <c r="P29" s="1" t="inlineStr">
        <is>
          <t>System/Administrative</t>
        </is>
      </c>
      <c r="Q29" t="inlineStr">
        <is>
          <t>customizable LXP for B2C, B2E &amp; B2B2E</t>
        </is>
      </c>
      <c r="R29" t="inlineStr">
        <is>
          <t>Building the next generation of Learning Experience Platforms: The first customizable white label platform that enables "Business-to-Employee", "Business-to-Customer" &amp; "Business-to-Business-to-Employee" booking processes and allows "Self-driven", "Supervised" &amp; "Collaborative" learning experiences.</t>
        </is>
      </c>
      <c r="S29" s="10" t="inlineStr">
        <is>
          <t>https://drive.google.com/uc?export=view&amp;id=1E7_a2TFwuEiwZQCppHPJYOnjJupGZQ47</t>
        </is>
      </c>
      <c r="T29" t="inlineStr">
        <is>
          <t>https://drive.google.com/uc?export=view&amp;id=1E7_a2TFwuEiwZQCppHPJYOnjJupGZQ47</t>
        </is>
      </c>
      <c r="U29" s="1" t="inlineStr">
        <is>
          <t>https://drive.google.com/uc?export=view&amp;id=1E7_a2TFwuEiwZQCppHPJYOnjJupGZQ47</t>
        </is>
      </c>
      <c r="V29" s="1" t="inlineStr">
        <is>
          <t>Unverified</t>
        </is>
      </c>
      <c r="Y29" s="10" t="n"/>
      <c r="Z29" s="1" t="n"/>
      <c r="AA29" t="inlineStr">
        <is>
          <t>Yes</t>
        </is>
      </c>
      <c r="AC29" t="inlineStr">
        <is>
          <t>https://www.linkedin.com/company/courseticket-com</t>
        </is>
      </c>
      <c r="AD29" t="inlineStr">
        <is>
          <t>https://www.linkedin.com/company/courseticket-com</t>
        </is>
      </c>
    </row>
    <row r="30" ht="15.75" customHeight="1">
      <c r="A30" s="6" t="n">
        <v>45181</v>
      </c>
      <c r="B30" s="1" t="inlineStr">
        <is>
          <t>ORG_1171</t>
        </is>
      </c>
      <c r="C30" s="1" t="b">
        <v>1</v>
      </c>
      <c r="D30" s="1" t="inlineStr">
        <is>
          <t>bizExaminer</t>
        </is>
      </c>
      <c r="E30" s="10" t="inlineStr">
        <is>
          <t>www.bizexaminer.com</t>
        </is>
      </c>
      <c r="F30" t="inlineStr">
        <is>
          <t>bizexaminer.com</t>
        </is>
      </c>
      <c r="G30" s="1" t="inlineStr">
        <is>
          <t>Manage and execute exams with bizExaminer, a software solution developed in Austria.
Workforce, higher education institutions, certification providers and public institutions are our clients in Europe, USA, Africa and India.</t>
        </is>
      </c>
      <c r="H30" s="1" t="inlineStr">
        <is>
          <t>EdTech Austria</t>
        </is>
      </c>
      <c r="J30" s="1" t="inlineStr">
        <is>
          <t>VIENNA</t>
        </is>
      </c>
      <c r="K30" s="1" t="inlineStr">
        <is>
          <t>Austria</t>
        </is>
      </c>
      <c r="L30" s="1" t="inlineStr">
        <is>
          <t>Austria, Belgium, Croatia, Czechia, Denmark, Finland, France, Germany, Greece, Hungary, Ireland, Italy, Monaco, Netherlands, Norway, Poland, Portugal, Slovakia, Slovenia, Spain, Sweden, Switzerland, Turkey, United Kingdom</t>
        </is>
      </c>
      <c r="M30" s="1" t="inlineStr">
        <is>
          <t>11 to 50</t>
        </is>
      </c>
      <c r="N30" s="1" t="inlineStr">
        <is>
          <t>Business to Business</t>
        </is>
      </c>
      <c r="O30" s="1" t="inlineStr">
        <is>
          <t>Secondary Education, Higher Education, Corporate Training, Lifelong learning/Adult education</t>
        </is>
      </c>
      <c r="P30" s="1" t="inlineStr">
        <is>
          <t>System/Administrative</t>
        </is>
      </c>
      <c r="Q30" s="1" t="inlineStr">
        <is>
          <t>bizExaminer</t>
        </is>
      </c>
      <c r="R30" t="inlineStr">
        <is>
          <t>Software solution available as onDemand or onPremise to manage and execute exams. 24 question types, highly customizeable, complex workflow management, very robust execution and much much more.</t>
        </is>
      </c>
      <c r="S30" s="10" t="inlineStr">
        <is>
          <t>https://drive.google.com/uc?export=view&amp;id=1dtutgcB5phIZGSNFjxYvziqprm__qwTd</t>
        </is>
      </c>
      <c r="T30" t="inlineStr">
        <is>
          <t>https://drive.google.com/uc?export=view&amp;id=1dtutgcB5phIZGSNFjxYvziqprm__qwTd</t>
        </is>
      </c>
      <c r="U30" s="1" t="inlineStr">
        <is>
          <t>https://drive.google.com/uc?export=view&amp;id=1dtutgcB5phIZGSNFjxYvziqprm__qwTd</t>
        </is>
      </c>
      <c r="V30" s="1" t="inlineStr">
        <is>
          <t>Unverified</t>
        </is>
      </c>
      <c r="W30" s="1" t="inlineStr">
        <is>
          <t>https://drive.google.com/uc?export=view&amp;id=1dtutgcB5phIZGSNFjxYvziqprm__qwTd</t>
        </is>
      </c>
      <c r="X30" s="1" t="n"/>
      <c r="Y30" s="10" t="n"/>
      <c r="Z30" s="1" t="n"/>
      <c r="AA30" t="inlineStr">
        <is>
          <t>Yes</t>
        </is>
      </c>
      <c r="AC30" t="inlineStr">
        <is>
          <t>https://www.linkedin.com/company/18919892/</t>
        </is>
      </c>
      <c r="AD30" t="inlineStr">
        <is>
          <t>https://www.linkedin.com/company/18919892/</t>
        </is>
      </c>
    </row>
    <row r="31" ht="15.75" customHeight="1">
      <c r="A31" s="6" t="n">
        <v>45181</v>
      </c>
      <c r="B31" s="1" t="inlineStr">
        <is>
          <t>ORG_1377</t>
        </is>
      </c>
      <c r="C31" s="1" t="b">
        <v>1</v>
      </c>
      <c r="D31" s="1" t="inlineStr">
        <is>
          <t>Dotbite</t>
        </is>
      </c>
      <c r="E31" s="10" t="inlineStr">
        <is>
          <t>www.dotbite.at</t>
        </is>
      </c>
      <c r="F31" t="inlineStr">
        <is>
          <t>dotbite.at</t>
        </is>
      </c>
      <c r="G31" s="1" t="inlineStr">
        <is>
          <t>Dotbite is a collective of passionate software engineers, creative designers, digital natives, innovative thinkers, and inspiring product owners who thrive in the digital world. We specialize in scalable EdTech solutions for large amounts of data, fast infrastructure, and a user experience made for humans.</t>
        </is>
      </c>
      <c r="H31" s="1" t="inlineStr">
        <is>
          <t>EdTech Austria</t>
        </is>
      </c>
      <c r="J31" s="1" t="inlineStr">
        <is>
          <t>Vienna</t>
        </is>
      </c>
      <c r="K31" s="1" t="inlineStr">
        <is>
          <t>Austria</t>
        </is>
      </c>
      <c r="L31" s="1" t="inlineStr">
        <is>
          <t>Austria, Germany, Switzerland</t>
        </is>
      </c>
      <c r="M31" s="1" t="inlineStr">
        <is>
          <t>11 to 50</t>
        </is>
      </c>
      <c r="N31" s="1" t="inlineStr">
        <is>
          <t>Business to Business</t>
        </is>
      </c>
      <c r="O31" s="1" t="inlineStr">
        <is>
          <t>Higher Education</t>
        </is>
      </c>
      <c r="P31" s="1" t="inlineStr">
        <is>
          <t>Student interfacing, System/Administrative</t>
        </is>
      </c>
      <c r="S31" t="inlineStr">
        <is>
          <t>https://drive.google.com/uc?export=view&amp;id=14hbTScBNlVPFVPqIi1M61DMnbJdsZ4iN</t>
        </is>
      </c>
      <c r="T31" t="inlineStr">
        <is>
          <t>https://drive.google.com/uc?export=view&amp;id=14hbTScBNlVPFVPqIi1M61DMnbJdsZ4iN</t>
        </is>
      </c>
      <c r="U31" t="inlineStr">
        <is>
          <t>https://drive.google.com/uc?export=view&amp;id=14hbTScBNlVPFVPqIi1M61DMnbJdsZ4iN</t>
        </is>
      </c>
      <c r="V31" t="inlineStr">
        <is>
          <t>Unverified</t>
        </is>
      </c>
      <c r="Y31" s="10" t="n"/>
      <c r="Z31" s="1" t="n"/>
      <c r="AA31" t="inlineStr">
        <is>
          <t>No</t>
        </is>
      </c>
    </row>
    <row r="32" ht="15.75" customHeight="1">
      <c r="A32" s="6" t="n">
        <v>45679</v>
      </c>
      <c r="B32" s="1" t="inlineStr">
        <is>
          <t>ORG_1579</t>
        </is>
      </c>
      <c r="C32" s="1" t="b">
        <v>1</v>
      </c>
      <c r="D32" s="1" t="inlineStr">
        <is>
          <t>Fox Education</t>
        </is>
      </c>
      <c r="E32" s="10" t="inlineStr">
        <is>
          <t>https://foxeducation.com/</t>
        </is>
      </c>
      <c r="F32" t="inlineStr">
        <is>
          <t>foxeducation.com</t>
        </is>
      </c>
      <c r="G32" s="1" t="inlineStr">
        <is>
          <t>FoxEducation helps every educational institution taking the next step into the digital world. As a reliable partner to thousands of schools, daycare centers, boards and municipalities, we support your digitisation at every stage.</t>
        </is>
      </c>
      <c r="H32" s="1" t="inlineStr">
        <is>
          <t>I'm not part of any EdTech association</t>
        </is>
      </c>
      <c r="J32" s="1" t="inlineStr">
        <is>
          <t>Wien</t>
        </is>
      </c>
      <c r="K32" s="1" t="inlineStr">
        <is>
          <t>Austria</t>
        </is>
      </c>
      <c r="L32" s="1" t="inlineStr">
        <is>
          <t>Austria, Belgium, France, Germany, Italy, Spain, Switzerland, Turkey</t>
        </is>
      </c>
      <c r="M32" s="1" t="inlineStr">
        <is>
          <t>51 to 100</t>
        </is>
      </c>
      <c r="N32" s="1" t="inlineStr">
        <is>
          <t>Business to Business</t>
        </is>
      </c>
      <c r="O32" s="1" t="inlineStr">
        <is>
          <t>Early childhood development (0-5 years), Primary Education, Secondary Education</t>
        </is>
      </c>
      <c r="P32" s="1" t="inlineStr">
        <is>
          <t>System/Administrative, Student interfacing, Teacher interfacing</t>
        </is>
      </c>
      <c r="Q32" s="10" t="inlineStr">
        <is>
          <t>SchoolFox</t>
        </is>
      </c>
      <c r="R32" t="inlineStr">
        <is>
          <t>SchoolFox is an integrated messenger, organiser and LMS.
With file storage, group chats and video lessons. For all school types and age groups. This is how school works from anywhere!</t>
        </is>
      </c>
      <c r="S32" s="10" t="inlineStr">
        <is>
          <t>KidsFox</t>
        </is>
      </c>
      <c r="T32" t="inlineStr">
        <is>
          <t>The Daycare-Messenger
3 in 1: Messenger, digital assistant and organisation. With cloud storage, video conference &amp; group chats. Especially for daycare centers and kindergartens.</t>
        </is>
      </c>
      <c r="U32" s="1" t="inlineStr">
        <is>
          <t>https://drive.google.com/uc?export=view&amp;id=1ykvgwsRTkJKB1TRdhRNy9v1TVafzC9ad</t>
        </is>
      </c>
      <c r="V32" s="1" t="inlineStr">
        <is>
          <t>Verified</t>
        </is>
      </c>
      <c r="W32" s="1" t="inlineStr">
        <is>
          <t>https://drive.google.com/uc?export=view&amp;id=1ykvgwsRTkJKB1TRdhRNy9v1TVafzC9ad</t>
        </is>
      </c>
      <c r="X32" s="1" t="n"/>
      <c r="Y32" s="10" t="n"/>
      <c r="Z32" s="1" t="n"/>
      <c r="AA32" t="inlineStr">
        <is>
          <t>Yes</t>
        </is>
      </c>
      <c r="AB32" t="inlineStr">
        <is>
          <t>https://www.instagram.com/foxeducation_dach/</t>
        </is>
      </c>
      <c r="AC32" t="inlineStr">
        <is>
          <t>https://at.linkedin.com/company/schoolfox</t>
        </is>
      </c>
      <c r="AD32" t="inlineStr">
        <is>
          <t>https://at.linkedin.com/company/schoolfox</t>
        </is>
      </c>
    </row>
    <row r="33" ht="15.75" customHeight="1">
      <c r="A33" s="6" t="n">
        <v>45181</v>
      </c>
      <c r="B33" s="1" t="inlineStr">
        <is>
          <t>ORG_1332</t>
        </is>
      </c>
      <c r="C33" s="1" t="b">
        <v>1</v>
      </c>
      <c r="D33" s="1" t="inlineStr">
        <is>
          <t>DCCS</t>
        </is>
      </c>
      <c r="E33" s="10" t="inlineStr">
        <is>
          <t>https://dccs-edu.at/</t>
        </is>
      </c>
      <c r="F33" t="inlineStr">
        <is>
          <t>dccs-edu.at</t>
        </is>
      </c>
      <c r="G33" s="1" t="inlineStr">
        <is>
          <t>DCCS IT solutions are tailored to the specific needs of educational institutions and take into account the pedagogical and organizational requirements of the everyday school life.
We accompany schools in every step of the way - from the concept to the implementation and to the every day support.</t>
        </is>
      </c>
      <c r="H33" s="1" t="inlineStr">
        <is>
          <t>EdTech Austria</t>
        </is>
      </c>
      <c r="J33" s="1" t="inlineStr">
        <is>
          <t>GRAZ</t>
        </is>
      </c>
      <c r="K33" s="1" t="inlineStr">
        <is>
          <t>Austria</t>
        </is>
      </c>
      <c r="L33" s="1" t="inlineStr">
        <is>
          <t>Austria</t>
        </is>
      </c>
      <c r="M33" s="1" t="inlineStr">
        <is>
          <t>100+</t>
        </is>
      </c>
      <c r="N33" s="1" t="inlineStr">
        <is>
          <t>Business to Business</t>
        </is>
      </c>
      <c r="O33" s="1" t="inlineStr">
        <is>
          <t>Early childhood development (0-5 years), Primary Education, Secondary Education, Higher Education, Corporate Training</t>
        </is>
      </c>
      <c r="P33" s="1" t="inlineStr">
        <is>
          <t>Student interfacing, Teacher interfacing, System/Administrative</t>
        </is>
      </c>
      <c r="Q33" s="1" t="n"/>
      <c r="S33" t="inlineStr">
        <is>
          <t>https://drive.google.com/uc?export=view&amp;id=1BPQztl38z9iZDNXwiQiL_pFQhtSWKzX2</t>
        </is>
      </c>
      <c r="T33" t="inlineStr">
        <is>
          <t>https://drive.google.com/uc?export=view&amp;id=1BPQztl38z9iZDNXwiQiL_pFQhtSWKzX2</t>
        </is>
      </c>
      <c r="U33" s="1" t="inlineStr">
        <is>
          <t>https://drive.google.com/uc?export=view&amp;id=1BPQztl38z9iZDNXwiQiL_pFQhtSWKzX2</t>
        </is>
      </c>
      <c r="V33" s="1" t="inlineStr">
        <is>
          <t>Unverified</t>
        </is>
      </c>
      <c r="Y33" s="10" t="n"/>
      <c r="Z33" s="1" t="n"/>
      <c r="AA33" t="inlineStr">
        <is>
          <t>No</t>
        </is>
      </c>
    </row>
    <row r="34" ht="15.75" customHeight="1">
      <c r="A34" s="6" t="n">
        <v>45181</v>
      </c>
      <c r="B34" s="1" t="inlineStr">
        <is>
          <t>ORG_1436</t>
        </is>
      </c>
      <c r="C34" s="1" t="b">
        <v>1</v>
      </c>
      <c r="D34" s="1" t="inlineStr">
        <is>
          <t>educom</t>
        </is>
      </c>
      <c r="E34" s="10" t="inlineStr">
        <is>
          <t>https://www.educom.at/</t>
        </is>
      </c>
      <c r="F34" t="inlineStr">
        <is>
          <t>educom.at</t>
        </is>
      </c>
      <c r="G34" s="1" t="inlineStr">
        <is>
          <t>educom - Austria's first educational mobile operator for pupils, students and teachers!
educom builds with its unbeatable cell phone and internet plans as well as the free e-learning initiative, the basis of our mission: We are committed at all levels to affordable, and in the best case free, access to education. With our loyalty program - our educoins - you can pay your cell phone bill and much more, you get the latest hardware with the best price-performance ratio at our edustore, find free goodies in our edubags and get the cheapest access to our partners' products with our edudeals. Around all this we build our educlub community - Viva la educación!</t>
        </is>
      </c>
      <c r="H34" s="1" t="inlineStr">
        <is>
          <t>EdTech Austria</t>
        </is>
      </c>
      <c r="I34" s="1" t="n"/>
      <c r="J34" s="1" t="inlineStr">
        <is>
          <t>Vienna</t>
        </is>
      </c>
      <c r="K34" s="1" t="inlineStr">
        <is>
          <t>Austria</t>
        </is>
      </c>
      <c r="L34" s="1" t="inlineStr">
        <is>
          <t>Austria</t>
        </is>
      </c>
      <c r="M34" s="1" t="inlineStr">
        <is>
          <t>11 to 50</t>
        </is>
      </c>
      <c r="N34" s="1" t="inlineStr">
        <is>
          <t>Business to Business, Business to Consumer</t>
        </is>
      </c>
      <c r="O34" s="1" t="inlineStr">
        <is>
          <t>Secondary Education, Higher Education</t>
        </is>
      </c>
      <c r="P34" s="1" t="inlineStr">
        <is>
          <t>System/Administrative, Student interfacing, Teacher interfacing</t>
        </is>
      </c>
      <c r="Q34" s="10" t="inlineStr">
        <is>
          <t>mobile phone contract with free e-learning</t>
        </is>
      </c>
      <c r="R34" s="1" t="inlineStr">
        <is>
          <t>educom offers mobile and internet plans for the educational sector. Additionally, for every plan our customers benefit from our free e-learning initiative, where no data is being deducted from their datavolume. All e-learning websites/services/apps, which are listed on free-e-learning.at, can be therefore used for free in Austria!</t>
        </is>
      </c>
      <c r="S34" s="10" t="n"/>
      <c r="U34" s="1" t="n"/>
      <c r="V34" s="1" t="inlineStr">
        <is>
          <t>Unverified</t>
        </is>
      </c>
      <c r="Y34" s="1" t="n"/>
      <c r="Z34" s="1" t="n"/>
      <c r="AA34" t="inlineStr">
        <is>
          <t>Yes</t>
        </is>
      </c>
      <c r="AB34" t="inlineStr">
        <is>
          <t>https://www.instagram.com/educom.at/</t>
        </is>
      </c>
      <c r="AC34" t="inlineStr">
        <is>
          <t>https://at.linkedin.com/company/educom-at</t>
        </is>
      </c>
      <c r="AD34" t="inlineStr">
        <is>
          <t>https://at.linkedin.com/company/educom-at</t>
        </is>
      </c>
    </row>
    <row r="35" ht="15.75" customHeight="1">
      <c r="A35" s="6" t="n">
        <v>45181</v>
      </c>
      <c r="B35" s="1" t="inlineStr">
        <is>
          <t>ORG_2166</t>
        </is>
      </c>
      <c r="C35" s="1" t="b">
        <v>1</v>
      </c>
      <c r="D35" s="1" t="inlineStr">
        <is>
          <t>READY FOR RED</t>
        </is>
      </c>
      <c r="E35" s="10" t="inlineStr">
        <is>
          <t>https://www.readyforred.com/</t>
        </is>
      </c>
      <c r="F35" t="inlineStr">
        <is>
          <t>readyforred.com</t>
        </is>
      </c>
      <c r="G35" s="1" t="inlineStr">
        <is>
          <t>erdbeerwoche is the first social business in Austria specializing in menstruation. It was founded to break the taboo concerning menstruation and to convey necessary knowledge and a positive attitude towards the subject.
Its digital education program READY FOR RED educates teenagers between 10 and 16 years about the menstrual cycle and period products in an interactive way.
In 4 levels READY FOR RED provides the youngsters with over 50 interactive and diverse educational games and videos to help them approach the otherwise rather awkward subject in a playful and creative way. The platform aims to spread wide-ranging information on the subject of menstruation amongst teenagers.
Teachers can use the platform as a free resource in their classes in order to support sexual health education. So far, more than 1.000 schools are using our platform and over 80.000 teenagers have been educated about menstruation through READY FOR RED.</t>
        </is>
      </c>
      <c r="H35" s="1" t="inlineStr">
        <is>
          <t>EdTech Austria</t>
        </is>
      </c>
      <c r="J35" s="1" t="inlineStr">
        <is>
          <t>VIENNA</t>
        </is>
      </c>
      <c r="K35" s="1" t="inlineStr">
        <is>
          <t>Austria</t>
        </is>
      </c>
      <c r="L35" s="1" t="inlineStr">
        <is>
          <t>Austria, Germany</t>
        </is>
      </c>
      <c r="M35" s="1" t="inlineStr">
        <is>
          <t>0 to 10</t>
        </is>
      </c>
      <c r="N35" s="1" t="inlineStr">
        <is>
          <t>Business to Business, Business to Consumer, Business to Schools</t>
        </is>
      </c>
      <c r="O35" s="1" t="inlineStr">
        <is>
          <t>Secondary Education</t>
        </is>
      </c>
      <c r="P35" s="1" t="inlineStr">
        <is>
          <t>Student interfacing, Teacher interfacing</t>
        </is>
      </c>
      <c r="Q35" s="10" t="inlineStr">
        <is>
          <t>READY FOR RED</t>
        </is>
      </c>
      <c r="R35" t="inlineStr">
        <is>
          <t>The digital education program READY FOR RED educates teenagers between 10 and 16 years about the menstrual cycle and period products in an interactive way.
In 4 levels READY FOR RED provides the youngsters with over 50 interactive and diverse educational games and videos to help them approach the otherwise rather awkward subject in a playful and creative way. The platform aims to spread wide-ranging information on the subject of menstruation amongst teenagers.</t>
        </is>
      </c>
      <c r="S35" s="1" t="inlineStr">
        <is>
          <t>https://drive.google.com/uc?export=view&amp;id=1sp0ZYfzfMeCQSgRadItFh_B0vtcD3Z1j</t>
        </is>
      </c>
      <c r="T35" t="inlineStr">
        <is>
          <t>https://drive.google.com/uc?export=view&amp;id=1sp0ZYfzfMeCQSgRadItFh_B0vtcD3Z1j</t>
        </is>
      </c>
      <c r="U35" s="1" t="inlineStr">
        <is>
          <t>https://drive.google.com/uc?export=view&amp;id=1sp0ZYfzfMeCQSgRadItFh_B0vtcD3Z1j</t>
        </is>
      </c>
      <c r="V35" s="1" t="inlineStr">
        <is>
          <t>Unverified</t>
        </is>
      </c>
      <c r="W35" s="1" t="inlineStr">
        <is>
          <t>https://drive.google.com/uc?export=view&amp;id=1sp0ZYfzfMeCQSgRadItFh_B0vtcD3Z1j</t>
        </is>
      </c>
      <c r="X35" s="1" t="n"/>
      <c r="Y35" s="10" t="n"/>
      <c r="Z35" s="1" t="n"/>
      <c r="AA35" t="inlineStr">
        <is>
          <t>Yes</t>
        </is>
      </c>
      <c r="AB35" t="inlineStr">
        <is>
          <t>https://www.instagram.com/erdbeerwoche_/</t>
        </is>
      </c>
    </row>
    <row r="36" ht="15.75" customHeight="1">
      <c r="A36" s="6" t="n">
        <v>45182</v>
      </c>
      <c r="B36" s="1" t="inlineStr">
        <is>
          <t>ORG_1227</t>
        </is>
      </c>
      <c r="C36" s="1" t="b">
        <v>1</v>
      </c>
      <c r="D36" s="1" t="inlineStr">
        <is>
          <t>chabaDoo GmbH</t>
        </is>
      </c>
      <c r="E36" s="10" t="inlineStr">
        <is>
          <t>www.chabadoo.com</t>
        </is>
      </c>
      <c r="F36" t="inlineStr">
        <is>
          <t>chabadoo.com</t>
        </is>
      </c>
      <c r="G36" s="1" t="inlineStr">
        <is>
          <t>chabaDoo offers an individual, responsible, lifelong learning plattform.
It is the marketplace for reusable microlearning content (in Form of open educational ressource).</t>
        </is>
      </c>
      <c r="H36" s="1" t="inlineStr">
        <is>
          <t>EdTech Austria</t>
        </is>
      </c>
      <c r="I36" s="1" t="inlineStr">
        <is>
          <t>German, English</t>
        </is>
      </c>
      <c r="J36" s="1" t="inlineStr">
        <is>
          <t>Herzogsdorf</t>
        </is>
      </c>
      <c r="K36" s="1" t="inlineStr">
        <is>
          <t>Austria</t>
        </is>
      </c>
      <c r="L36" s="1" t="inlineStr">
        <is>
          <t>Austria, Germany, Switzerland</t>
        </is>
      </c>
      <c r="M36" s="1" t="inlineStr">
        <is>
          <t>3 to 5</t>
        </is>
      </c>
      <c r="N36" s="1" t="inlineStr">
        <is>
          <t>Business to Business</t>
        </is>
      </c>
      <c r="O36" s="1" t="inlineStr">
        <is>
          <t>Primary Education, Secondary Education, Corporate Training, Lifelong learning/Adult education, Vocational Education and Training (VET), Higher Education</t>
        </is>
      </c>
      <c r="P36" s="1" t="inlineStr">
        <is>
          <t>System/Administrative, Student interfacing, Teacher interfacing</t>
        </is>
      </c>
      <c r="Q36" s="10" t="inlineStr">
        <is>
          <t>chabaDoo Plattform</t>
        </is>
      </c>
      <c r="R36" s="1" t="inlineStr">
        <is>
          <t>It is the marketplace for reusable microlearning content (as open educational ressource).</t>
        </is>
      </c>
      <c r="S36" s="10" t="inlineStr">
        <is>
          <t>https://drive.google.com/uc?export=view&amp;id=1XhmU4Qfi53OasTFeA5WzwAil4nDt6jXv</t>
        </is>
      </c>
      <c r="T36" t="inlineStr">
        <is>
          <t>https://drive.google.com/uc?export=view&amp;id=1XhmU4Qfi53OasTFeA5WzwAil4nDt6jXv</t>
        </is>
      </c>
      <c r="U36" s="1" t="inlineStr">
        <is>
          <t>https://drive.google.com/uc?export=view&amp;id=1XhmU4Qfi53OasTFeA5WzwAil4nDt6jXv</t>
        </is>
      </c>
      <c r="V36" s="1" t="inlineStr">
        <is>
          <t>Unverified</t>
        </is>
      </c>
      <c r="W36" s="1" t="inlineStr">
        <is>
          <t>https://drive.google.com/uc?export=view&amp;id=1XhmU4Qfi53OasTFeA5WzwAil4nDt6jXv</t>
        </is>
      </c>
      <c r="X36" s="1" t="n"/>
      <c r="Y36" s="10" t="n"/>
      <c r="Z36" s="1" t="n"/>
      <c r="AA36" t="inlineStr">
        <is>
          <t>Yes</t>
        </is>
      </c>
      <c r="AB36" t="inlineStr">
        <is>
          <t>https://www.instagram.com/chabadoo_elearning/</t>
        </is>
      </c>
      <c r="AC36" t="inlineStr">
        <is>
          <t>chabaDoo GmbH</t>
        </is>
      </c>
      <c r="AD36" t="inlineStr">
        <is>
          <t>https://www.linkedin.com/company/chabadoo</t>
        </is>
      </c>
    </row>
    <row r="37" ht="12.5" customHeight="1">
      <c r="A37" s="6" t="n">
        <v>45181</v>
      </c>
      <c r="B37" s="1" t="inlineStr">
        <is>
          <t>ORG_2500</t>
        </is>
      </c>
      <c r="C37" s="1" t="b">
        <v>1</v>
      </c>
      <c r="D37" s="1" t="inlineStr">
        <is>
          <t>Vision Education</t>
        </is>
      </c>
      <c r="E37" s="10" t="inlineStr">
        <is>
          <t>www.learnmatch.com</t>
        </is>
      </c>
      <c r="F37" t="inlineStr">
        <is>
          <t>learnmatch.com</t>
        </is>
      </c>
      <c r="G37" s="1" t="inlineStr">
        <is>
          <t>Mobile language learning solutions for B2B and B2C. Language learning App "LearnMatch" for up to 8 learning languages with different sponsor- and premium-models globally. 
"LearnMatch Business" as a customised mobile language learning app for the corporate market with different specific industry-solutions available.
SaaS-solutions for bigger clients.</t>
        </is>
      </c>
      <c r="H37" s="1" t="inlineStr">
        <is>
          <t>EdTech Austria</t>
        </is>
      </c>
      <c r="I37" s="1" t="n"/>
      <c r="J37" s="1" t="inlineStr">
        <is>
          <t>Vienna</t>
        </is>
      </c>
      <c r="K37" s="1" t="inlineStr">
        <is>
          <t>Austria</t>
        </is>
      </c>
      <c r="L37" s="1" t="inlineStr">
        <is>
          <t>Austria, Bosnia and Herzegovina, Bulgaria, Croatia, Czechia, France, Germany, Greece, Hungary, Italy, Malta, Poland, Portugal, Romania, Russia, Slovakia, Slovenia, Spain, Sweden, Switzerland, Turkey, United Kingdom</t>
        </is>
      </c>
      <c r="M37" s="1" t="inlineStr">
        <is>
          <t>0 to 10</t>
        </is>
      </c>
      <c r="N37" s="1" t="inlineStr">
        <is>
          <t>Business to Schools</t>
        </is>
      </c>
      <c r="O37" s="1" t="inlineStr">
        <is>
          <t>Primary Education, Secondary Education, Corporate Training, Lifelong learning/Adult education</t>
        </is>
      </c>
      <c r="P37" s="1" t="inlineStr">
        <is>
          <t>System/Administrative, Student interfacing, Teacher interfacing</t>
        </is>
      </c>
      <c r="Q37" t="inlineStr">
        <is>
          <t>LearnMatch</t>
        </is>
      </c>
      <c r="R37" s="1" t="inlineStr">
        <is>
          <t>LearnMatch is a native mobile vocabulary trainer for iOS and Android with more than 35 native languages and 7 learning languages. LearnMatch supports a playful way of learning with lots of gamification elements and unique features, like "LiveMatch"</t>
        </is>
      </c>
      <c r="S37" s="10" t="inlineStr">
        <is>
          <t>LearnMatch Business</t>
        </is>
      </c>
      <c r="T37" t="inlineStr">
        <is>
          <t>LearnMatch Business is a native mobile vocabulary trainer for iOS and Android for corporate customers supporting the language learning programs for employees. Its unique features are available in combination with fully customisable industry-specific and company-specific coursebooks.</t>
        </is>
      </c>
      <c r="U37" s="1" t="inlineStr">
        <is>
          <t>https://drive.google.com/uc?export=view&amp;id=1-0lZ4gMZAUKZ-peL7fBS4rQZFZdT_1Zl</t>
        </is>
      </c>
      <c r="V37" s="1" t="inlineStr">
        <is>
          <t>Unverified</t>
        </is>
      </c>
      <c r="W37" s="1" t="inlineStr">
        <is>
          <t>https://drive.google.com/uc?export=view&amp;id=1-0lZ4gMZAUKZ-peL7fBS4rQZFZdT_1Zl</t>
        </is>
      </c>
      <c r="X37" s="1" t="n"/>
      <c r="Y37" s="10" t="n"/>
      <c r="Z37" s="1" t="n"/>
      <c r="AA37" t="inlineStr">
        <is>
          <t>Yes</t>
        </is>
      </c>
      <c r="AC37" t="inlineStr">
        <is>
          <t>https://www.linkedin.com/company/11433216/</t>
        </is>
      </c>
      <c r="AD37" t="inlineStr">
        <is>
          <t>https://www.linkedin.com/company/11433216/</t>
        </is>
      </c>
    </row>
    <row r="38" ht="12.5" customHeight="1">
      <c r="A38" s="6" t="n">
        <v>45182</v>
      </c>
      <c r="B38" s="1" t="inlineStr">
        <is>
          <t>ORG_1853</t>
        </is>
      </c>
      <c r="C38" s="1" t="b">
        <v>1</v>
      </c>
      <c r="D38" s="1" t="inlineStr">
        <is>
          <t>LernFamilie Nachhilfe Österreich</t>
        </is>
      </c>
      <c r="E38" s="10" t="inlineStr">
        <is>
          <t>https://lernfamilie.at/</t>
        </is>
      </c>
      <c r="F38" t="inlineStr">
        <is>
          <t>lernfamilie.at</t>
        </is>
      </c>
      <c r="G38" s="1" t="inlineStr">
        <is>
          <t>LernFamilie ist eines der modernsten Nachhilfeinstitute in Österreich mit dem Ziel, „Lebenslanges Lernen“ positiv zu vermitteln.
Die Nachhilfelehrer bieten Nachhhilfe zu Hause, in einem LernFamilie Nachhilfeinsitut und auch Online-Nachhilfe an.
Die individuelle Schülernachhilfe findet dabei im Einzelunterricht statt.
Die Schüler und Eltern wird in einem Erstgespräch ein idealer Nachhilfelehrer gesucht und empfohlen. Anschließend wird nach dem Lernplan gearbeitet um das gewünschte Ziel zu erreichen.
Für jeden Schüler wird ein Schülerbogen angelegt, in dem der gelernte Unterrichtsstoff, die Lernerfolge und noch vorhandene Wissenslücken vom Lernbetreuer protokolliert werden.
Der Support der LernFamilie betreut dabei laufend die Schüler und Studenten in der Nachhilfe und steht mit Rat und Tat zu Seite.</t>
        </is>
      </c>
      <c r="H38" s="1" t="inlineStr">
        <is>
          <t>EdTech Austria</t>
        </is>
      </c>
      <c r="I38" s="1" t="inlineStr">
        <is>
          <t>German</t>
        </is>
      </c>
      <c r="J38" s="1" t="inlineStr">
        <is>
          <t>WIEN</t>
        </is>
      </c>
      <c r="K38" s="1" t="inlineStr">
        <is>
          <t>Austria</t>
        </is>
      </c>
      <c r="L38" s="1" t="inlineStr">
        <is>
          <t>Austria, Germany</t>
        </is>
      </c>
      <c r="M38" s="1" t="inlineStr">
        <is>
          <t>0 to 2</t>
        </is>
      </c>
      <c r="N38" s="1" t="inlineStr">
        <is>
          <t>Business to Business, Business to Consumer</t>
        </is>
      </c>
      <c r="O38" s="1" t="inlineStr">
        <is>
          <t>Early childhood development (0-5 years), Primary Education, Secondary Education, Corporate Training, Lifelong learning/Adult education, Vocational Education and Training (VET), Higher Education</t>
        </is>
      </c>
      <c r="P38" s="1" t="inlineStr">
        <is>
          <t>System/Administrative, Student interfacing, Teacher interfacing</t>
        </is>
      </c>
      <c r="Q38" s="10" t="inlineStr">
        <is>
          <t>private Nachhilfe zu Hause</t>
        </is>
      </c>
      <c r="R38" s="10" t="inlineStr">
        <is>
          <t>Unsere Nachhilfelehrer bieten auch Nachhilfe zu Hause an. Der Unterricht findet in der gewohnten Umgebung des Schülers statt. Hausbesuche wird in allen Hauptstädten angeboten.</t>
        </is>
      </c>
      <c r="S38" s="10" t="inlineStr">
        <is>
          <t>Nahchilfe im Nachhilfeinstitut</t>
        </is>
      </c>
      <c r="T38" t="inlineStr">
        <is>
          <t>In einigen Hauptstädten bieten wir auch Nachhilfe im Nachhilfeinstitut oder Lernräumlichkeiten an. Das Lerninstitut ist dabei modern eingerichtet und mit Equipment ausgestattet wie man es auch aus der Schule kennt.</t>
        </is>
      </c>
      <c r="U38" s="1" t="inlineStr">
        <is>
          <t>https://drive.google.com/uc?export=view&amp;id=1Y-F33F2SJzlWQXyojY8mF-kWr56kts2e</t>
        </is>
      </c>
      <c r="V38" s="1" t="inlineStr">
        <is>
          <t>Unverified</t>
        </is>
      </c>
      <c r="W38" s="1" t="inlineStr">
        <is>
          <t>https://drive.google.com/uc?export=view&amp;id=1Y-F33F2SJzlWQXyojY8mF-kWr56kts2e</t>
        </is>
      </c>
      <c r="X38" s="1" t="n"/>
      <c r="Y38" s="10" t="n"/>
      <c r="Z38" s="1" t="n"/>
      <c r="AA38" t="inlineStr">
        <is>
          <t>Yes</t>
        </is>
      </c>
      <c r="AB38" t="inlineStr">
        <is>
          <t>https://www.instagram.com/lernfamilie/</t>
        </is>
      </c>
      <c r="AC38" t="inlineStr">
        <is>
          <t>https://twitter.com/LernFamilie/</t>
        </is>
      </c>
      <c r="AD38" t="inlineStr">
        <is>
          <t>https://lernfamilie.at/nachhilfeinstitut/online/</t>
        </is>
      </c>
    </row>
    <row r="39" ht="12.5" customHeight="1">
      <c r="A39" s="6" t="n">
        <v>45192</v>
      </c>
      <c r="B39" s="1" t="inlineStr">
        <is>
          <t>ORG_2480</t>
        </is>
      </c>
      <c r="C39" s="1" t="b">
        <v>1</v>
      </c>
      <c r="D39" s="10" t="inlineStr">
        <is>
          <t>uugot.it</t>
        </is>
      </c>
      <c r="E39" s="10" t="inlineStr">
        <is>
          <t>www.uugot.it</t>
        </is>
      </c>
      <c r="F39" t="inlineStr">
        <is>
          <t>uugot.it</t>
        </is>
      </c>
      <c r="G39" s="1" t="inlineStr">
        <is>
          <t>uugot.it - learning languages while watching TV: Interactive subtitles are added to any video content - language learners click on words they do not understand and instantly get a translation displayed. By doing that uugot.it tears down language barriers, enables equality, inclusion and helps to overcome obstacles during the integration process, in school, lectures, trainings... 
To maximize the impact we have created a learning platform and adapted uugot.it for schools and educational institutions to maximize the impact: uugot.it sCOOLing. Nominated and awarded multiple times, we help pupils with other mother tongues to follow the lessons like their native classmates. This relieves teachers, as they will not need to explain certain terms to pupils with different linguistic backgrounds. Therefore, the pupils gain confidence as uugot.it helps them overcome language barriers.</t>
        </is>
      </c>
      <c r="H39" s="1" t="inlineStr">
        <is>
          <t>EdTech Austria</t>
        </is>
      </c>
      <c r="I39" s="1" t="inlineStr">
        <is>
          <t>German, English</t>
        </is>
      </c>
      <c r="J39" s="1" t="inlineStr">
        <is>
          <t>Vienna</t>
        </is>
      </c>
      <c r="K39" s="1" t="inlineStr">
        <is>
          <t>Austria</t>
        </is>
      </c>
      <c r="L39" s="1" t="inlineStr">
        <is>
          <t>Austria</t>
        </is>
      </c>
      <c r="M39" s="1" t="inlineStr">
        <is>
          <t>0 to 2</t>
        </is>
      </c>
      <c r="N39" s="1" t="inlineStr">
        <is>
          <t>Business to Schools</t>
        </is>
      </c>
      <c r="O39" s="1" t="inlineStr">
        <is>
          <t>Secondary Education, Corporate Training, Lifelong learning/Adult education</t>
        </is>
      </c>
      <c r="P39" s="1" t="inlineStr">
        <is>
          <t>System/Administrative, Student interfacing, Teacher interfacing</t>
        </is>
      </c>
      <c r="Q39" t="inlineStr">
        <is>
          <t>uugot.it TV</t>
        </is>
      </c>
      <c r="R39" s="10" t="inlineStr">
        <is>
          <t>Users can stream daily broadcasts with interactive same language subtitles. The program ranges from news, local broadcasts to documentaries, comedy &amp; talkshows to kids related content series and films. Clicked words will be stored on an individual basis. The service is currently free for the user.</t>
        </is>
      </c>
      <c r="S39" s="10" t="inlineStr">
        <is>
          <t>uugot.it sCOOLing</t>
        </is>
      </c>
      <c r="T39" t="inlineStr">
        <is>
          <t>The learning platform for schools and educational institutions with a huge library of available videos, some of them with didactic materials. uugot.it sCOOLing brings additional features like content management system, trackable learning progress, gamification or worksheets and multiple choice tasks.</t>
        </is>
      </c>
      <c r="U39" s="1" t="inlineStr">
        <is>
          <t>https://drive.google.com/uc?export=view&amp;id=1dx_lckXUR1DsidocERH5VR2EGbz4X4Z_</t>
        </is>
      </c>
      <c r="V39" s="1" t="inlineStr">
        <is>
          <t>Unverified</t>
        </is>
      </c>
      <c r="W39" s="1" t="inlineStr">
        <is>
          <t>https://drive.google.com/uc?export=view&amp;id=1dx_lckXUR1DsidocERH5VR2EGbz4X4Z_</t>
        </is>
      </c>
      <c r="X39" s="1" t="n"/>
      <c r="Y39" s="10" t="n"/>
      <c r="Z39" s="1" t="n"/>
      <c r="AA39" t="inlineStr">
        <is>
          <t>Yes</t>
        </is>
      </c>
      <c r="AB39" t="inlineStr">
        <is>
          <t>https://twitter.com/uugot_it</t>
        </is>
      </c>
      <c r="AC39" t="inlineStr">
        <is>
          <t>https://twitter.com/uugot_it</t>
        </is>
      </c>
      <c r="AD39" t="inlineStr">
        <is>
          <t>https://www.linkedin.com/company/uugot-it</t>
        </is>
      </c>
    </row>
    <row r="40" ht="12.5" customHeight="1">
      <c r="A40" s="6" t="n">
        <v>45181</v>
      </c>
      <c r="B40" s="1" t="inlineStr">
        <is>
          <t>ORG_1766</t>
        </is>
      </c>
      <c r="C40" s="1" t="b">
        <v>1</v>
      </c>
      <c r="D40" s="1" t="inlineStr">
        <is>
          <t>KE-Learning: Research Analytics Courses</t>
        </is>
      </c>
      <c r="E40" s="10" t="inlineStr">
        <is>
          <t>https://www.kondeor.at/de/portfolio/aus-und-weiterbildung/marktforschungskurse/</t>
        </is>
      </c>
      <c r="F40" t="inlineStr">
        <is>
          <t>kondeor.at/de/portfolio/aus-und-weiterbildung/marktforschungskurse</t>
        </is>
      </c>
      <c r="G40" s="1" t="inlineStr">
        <is>
          <t>Kondeor provides the market knowledge that is essential for sound decision-making. In doing so, we primarily rely on primary collected data and their comprehensive analysis - also using state-of-the-art statistical methods.
Particularly in the field of tourism research, we repeatedly devote ourselves to problems that are close to basic tourism research.
Our many years of experience with projects and with academic market research training also form the basis for our online market research courses.</t>
        </is>
      </c>
      <c r="H40" s="1" t="inlineStr">
        <is>
          <t>EdTech Austria</t>
        </is>
      </c>
      <c r="J40" s="1" t="inlineStr">
        <is>
          <t>EUGENDORF</t>
        </is>
      </c>
      <c r="K40" s="1" t="inlineStr">
        <is>
          <t>Austria</t>
        </is>
      </c>
      <c r="L40" s="1" t="inlineStr">
        <is>
          <t>Austria, Germany, Italy, Switzerland</t>
        </is>
      </c>
      <c r="M40" s="1" t="inlineStr">
        <is>
          <t>0 to 10</t>
        </is>
      </c>
      <c r="N40" s="1" t="inlineStr">
        <is>
          <t>Business to Business, Business to Consumer, Business to Schools</t>
        </is>
      </c>
      <c r="O40" s="1" t="inlineStr">
        <is>
          <t>Higher Education, Corporate Training, Lifelong learning/Adult education</t>
        </is>
      </c>
      <c r="P40" s="1" t="inlineStr">
        <is>
          <t>Student interfacing, Teacher interfacing, System/Administrative</t>
        </is>
      </c>
      <c r="Q40" t="inlineStr">
        <is>
          <t>Research Analytics Courses</t>
        </is>
      </c>
      <c r="R40" s="10" t="inlineStr">
        <is>
          <t>KE-Learning offers online courses on the subject of market research. These are used as part of training courses, seminars and courses in companies and organizations as well as courses at universities. In addition, there is a Research Analytics certificate course and a Research Analytics self-study course.</t>
        </is>
      </c>
      <c r="S40" s="10" t="inlineStr">
        <is>
          <t>https://drive.google.com/uc?export=view&amp;id=15aecDF6p63MQgQjoKim1fmM6NOrLqap7</t>
        </is>
      </c>
      <c r="T40" t="inlineStr">
        <is>
          <t>https://drive.google.com/uc?export=view&amp;id=15aecDF6p63MQgQjoKim1fmM6NOrLqap7</t>
        </is>
      </c>
      <c r="U40" s="1" t="inlineStr">
        <is>
          <t>https://drive.google.com/uc?export=view&amp;id=15aecDF6p63MQgQjoKim1fmM6NOrLqap7</t>
        </is>
      </c>
      <c r="V40" s="1" t="inlineStr">
        <is>
          <t>Unverified</t>
        </is>
      </c>
      <c r="Y40" s="10" t="n"/>
      <c r="Z40" s="1" t="n"/>
      <c r="AA40" t="inlineStr">
        <is>
          <t>Yes</t>
        </is>
      </c>
      <c r="AB40" t="inlineStr">
        <is>
          <t>https://twitter.com/kondeor</t>
        </is>
      </c>
      <c r="AC40" t="inlineStr">
        <is>
          <t>https://twitter.com/kondeor</t>
        </is>
      </c>
      <c r="AD40" t="inlineStr">
        <is>
          <t>https://www.linkedin.com/in/kepplinger/</t>
        </is>
      </c>
    </row>
    <row r="41" ht="12.5" customHeight="1">
      <c r="A41" s="6" t="n">
        <v>45181</v>
      </c>
      <c r="B41" s="1" t="inlineStr">
        <is>
          <t>ORG_2081</t>
        </is>
      </c>
      <c r="C41" s="1" t="b">
        <v>1</v>
      </c>
      <c r="D41" s="1" t="inlineStr">
        <is>
          <t>ovos</t>
        </is>
      </c>
      <c r="E41" s="10" t="inlineStr">
        <is>
          <t>https://ovos.at/en/</t>
        </is>
      </c>
      <c r="F41" t="inlineStr">
        <is>
          <t>ovos.at/en</t>
        </is>
      </c>
      <c r="G41" s="1" t="inlineStr">
        <is>
          <t>The Vienna-based studio ovos uses game technology and design to create playful experiences that both engage &amp; educate users. Ever since we started, we have been convinced that having fun is the best way for people to learn. 
Ovos was founded in 2004 and creates training applications, Serious Games and gamified online services.</t>
        </is>
      </c>
      <c r="H41" s="1" t="inlineStr">
        <is>
          <t>EdTech Austria</t>
        </is>
      </c>
      <c r="J41" s="1" t="inlineStr">
        <is>
          <t>Vienna</t>
        </is>
      </c>
      <c r="K41" s="1" t="inlineStr">
        <is>
          <t>Austria</t>
        </is>
      </c>
      <c r="L41" s="1" t="inlineStr">
        <is>
          <t>Austria, Germany, Switzerland</t>
        </is>
      </c>
      <c r="M41" s="1" t="inlineStr">
        <is>
          <t>11 to 50</t>
        </is>
      </c>
      <c r="N41" s="1" t="inlineStr">
        <is>
          <t>Business to Business, Business to Government, Business to Schools</t>
        </is>
      </c>
      <c r="O41" s="1" t="inlineStr">
        <is>
          <t>Secondary Education, Higher Education, Corporate Training, Lifelong learning/Adult education</t>
        </is>
      </c>
      <c r="P41" s="1" t="inlineStr">
        <is>
          <t>System/Administrative</t>
        </is>
      </c>
      <c r="S41" t="inlineStr">
        <is>
          <t>https://drive.google.com/uc?export=view&amp;id=149yM4qSBX5oPD2QRBAL05Cjxn5LY4Aqg</t>
        </is>
      </c>
      <c r="T41" t="inlineStr">
        <is>
          <t>https://drive.google.com/uc?export=view&amp;id=149yM4qSBX5oPD2QRBAL05Cjxn5LY4Aqg</t>
        </is>
      </c>
      <c r="U41" t="inlineStr">
        <is>
          <t>https://drive.google.com/uc?export=view&amp;id=149yM4qSBX5oPD2QRBAL05Cjxn5LY4Aqg</t>
        </is>
      </c>
      <c r="V41" t="inlineStr">
        <is>
          <t>Unverified</t>
        </is>
      </c>
      <c r="Y41" s="10" t="n"/>
      <c r="Z41" s="1" t="n"/>
      <c r="AA41" t="inlineStr">
        <is>
          <t>No</t>
        </is>
      </c>
    </row>
    <row r="42" ht="12.5" customHeight="1">
      <c r="A42" s="6" t="n">
        <v>45181</v>
      </c>
      <c r="B42" s="1" t="inlineStr">
        <is>
          <t>ORG_2313</t>
        </is>
      </c>
      <c r="C42" s="1" t="b">
        <v>1</v>
      </c>
      <c r="D42" s="1" t="inlineStr">
        <is>
          <t>Spürnasenecke GmbH</t>
        </is>
      </c>
      <c r="E42" s="10" t="inlineStr">
        <is>
          <t>https://www.spuernasenecke.com/</t>
        </is>
      </c>
      <c r="F42" t="inlineStr">
        <is>
          <t>spuernasenecke.com</t>
        </is>
      </c>
      <c r="G42" s="1" t="inlineStr">
        <is>
          <t>The "Spürnasenecke" is an institution for research and experimentation with children in preschool. It includes specially developed furniture, a wide variety of research utensils from the MINT area (science, technology, engineering, and mathematics) as well as ongoing training and network meetings with the educators.
She arouses interest in STEM subjects, recognizes and promotes talent early on and supports children, to become young specialists in science, technology, engineering and mathematics.
Elli, the expedition squirrel, and Hansi, her rabbit friend, accompany the children on their research adventures.</t>
        </is>
      </c>
      <c r="H42" s="1" t="inlineStr">
        <is>
          <t>I'm not part of any EdTech association</t>
        </is>
      </c>
      <c r="I42" s="1" t="n"/>
      <c r="J42" s="1" t="inlineStr">
        <is>
          <t>SALZBURG</t>
        </is>
      </c>
      <c r="K42" s="1" t="inlineStr">
        <is>
          <t>Austria</t>
        </is>
      </c>
      <c r="L42" s="1" t="inlineStr">
        <is>
          <t>Austria, Germany, Switzerland</t>
        </is>
      </c>
      <c r="M42" s="1" t="inlineStr">
        <is>
          <t>0 to 10</t>
        </is>
      </c>
      <c r="N42" s="1" t="inlineStr">
        <is>
          <t>Business to Government, Business to Schools</t>
        </is>
      </c>
      <c r="O42" s="1" t="inlineStr">
        <is>
          <t>Early childhood development (0-5 years), Primary Education</t>
        </is>
      </c>
      <c r="P42" s="1" t="inlineStr">
        <is>
          <t>System/Administrative</t>
        </is>
      </c>
      <c r="Q42" s="1" t="n"/>
      <c r="R42" s="1" t="n"/>
      <c r="S42" s="1" t="n"/>
      <c r="U42" s="1" t="n"/>
      <c r="V42" s="1" t="inlineStr">
        <is>
          <t>Unverified</t>
        </is>
      </c>
      <c r="W42" s="1" t="n"/>
      <c r="X42" s="1" t="n"/>
      <c r="Y42" s="1" t="n"/>
      <c r="Z42" s="1" t="n"/>
      <c r="AA42" t="inlineStr">
        <is>
          <t>No</t>
        </is>
      </c>
    </row>
    <row r="43" ht="12.5" customHeight="1">
      <c r="A43" s="6" t="n">
        <v>45181</v>
      </c>
      <c r="B43" s="1" t="inlineStr">
        <is>
          <t>ORG_2472</t>
        </is>
      </c>
      <c r="C43" s="1" t="b">
        <v>1</v>
      </c>
      <c r="D43" s="1" t="inlineStr">
        <is>
          <t>Untis</t>
        </is>
      </c>
      <c r="E43" s="10" t="inlineStr">
        <is>
          <t>www.untis.at</t>
        </is>
      </c>
      <c r="F43" t="inlineStr">
        <is>
          <t>untis.at</t>
        </is>
      </c>
      <c r="G43" s="1" t="inlineStr">
        <is>
          <t>Untis creates timetables with the click of a button for more than 26.000 school worldwide. Among our product suite you find tools for substitution scheduling, room booking, class register, communication and many more...</t>
        </is>
      </c>
      <c r="H43" s="1" t="inlineStr">
        <is>
          <t>I'm not part of any EdTech association</t>
        </is>
      </c>
      <c r="J43" s="1" t="inlineStr">
        <is>
          <t>Stockerau</t>
        </is>
      </c>
      <c r="K43" s="1" t="inlineStr">
        <is>
          <t>Austria</t>
        </is>
      </c>
      <c r="L43" s="1" t="inlineStr">
        <is>
          <t>Austria, Belgium, Bosnia and Herzegovina, Croatia, Denmark, Estonia, Finland, Germany, Ireland, Italy, Liechtenstein, Lithuania, Luxembourg, Netherlands, Norway, Portugal, Romania, Spain, Sweden, Switzerland</t>
        </is>
      </c>
      <c r="M43" s="1" t="inlineStr">
        <is>
          <t>100+</t>
        </is>
      </c>
      <c r="N43" s="1" t="inlineStr">
        <is>
          <t>Business to Schools</t>
        </is>
      </c>
      <c r="O43" s="1" t="inlineStr">
        <is>
          <t>Primary Education, Secondary Education, Higher Education</t>
        </is>
      </c>
      <c r="P43" s="1" t="inlineStr">
        <is>
          <t>System/Administrative, Student interfacing, Teacher interfacing</t>
        </is>
      </c>
      <c r="Q43" s="1" t="n"/>
      <c r="R43" s="1" t="n"/>
      <c r="S43" s="1" t="inlineStr">
        <is>
          <t>https://drive.google.com/uc?export=view&amp;id=1tTgCwOtIBd-WISdDO0cFGJ-sdhIC5FK7</t>
        </is>
      </c>
      <c r="T43" t="inlineStr">
        <is>
          <t>https://drive.google.com/uc?export=view&amp;id=1tTgCwOtIBd-WISdDO0cFGJ-sdhIC5FK7</t>
        </is>
      </c>
      <c r="U43" s="1" t="inlineStr">
        <is>
          <t>https://drive.google.com/uc?export=view&amp;id=1tTgCwOtIBd-WISdDO0cFGJ-sdhIC5FK7</t>
        </is>
      </c>
      <c r="V43" s="1" t="inlineStr">
        <is>
          <t>Unverified</t>
        </is>
      </c>
      <c r="Y43" s="10" t="n"/>
      <c r="Z43" s="1" t="n"/>
      <c r="AA43" t="inlineStr">
        <is>
          <t>No</t>
        </is>
      </c>
    </row>
    <row r="44" ht="12.5" customHeight="1">
      <c r="A44" s="6" t="n">
        <v>45679</v>
      </c>
      <c r="B44" s="1" t="inlineStr">
        <is>
          <t>ORG_1516</t>
        </is>
      </c>
      <c r="C44" s="1" t="b">
        <v>1</v>
      </c>
      <c r="D44" s="1" t="inlineStr">
        <is>
          <t>eSquirrel</t>
        </is>
      </c>
      <c r="E44" s="10" t="inlineStr">
        <is>
          <t>www.eSquirrel.com</t>
        </is>
      </c>
      <c r="F44" t="inlineStr">
        <is>
          <t>esquirrel.com</t>
        </is>
      </c>
      <c r="G44" s="1" t="inlineStr">
        <is>
          <t>eSquirrel is a learning experience platform designed for smartphones that offers valuable digital learning content for existing textbooks or your own learning materials. eSquirrel takes on the hassle of correcting homework, simplifies tests and motivates students to learn via gamification throughout the whole school year. It saves publishers time and money by providing them a validated, certified and affordable digital add-on to their textbooks.</t>
        </is>
      </c>
      <c r="H44" s="1" t="inlineStr">
        <is>
          <t>EdTech Austria, EDUvation</t>
        </is>
      </c>
      <c r="I44" s="1" t="inlineStr">
        <is>
          <t>German, English, French, Spanish, Ukrainian, Hungarian</t>
        </is>
      </c>
      <c r="J44" s="1" t="inlineStr">
        <is>
          <t>VIENNA</t>
        </is>
      </c>
      <c r="K44" s="1" t="inlineStr">
        <is>
          <t>Austria</t>
        </is>
      </c>
      <c r="L44" s="1" t="inlineStr">
        <is>
          <t>Austria, Czechia, France, Germany, Hungary, Italy, Liechtenstein, Luxembourg, Romania, Slovakia, Switzerland, Turkey, Ukraine, United Kingdom</t>
        </is>
      </c>
      <c r="M44" s="1" t="inlineStr">
        <is>
          <t>11 to 50</t>
        </is>
      </c>
      <c r="N44" s="1" t="inlineStr">
        <is>
          <t>Business to Business, Business to Consumer, Business to Government, Business to Schools</t>
        </is>
      </c>
      <c r="O44" s="1" t="inlineStr">
        <is>
          <t>Primary Education, Secondary Education, Corporate Training, Lifelong learning/Adult education, Vocational Education and Training (VET), Higher Education</t>
        </is>
      </c>
      <c r="P44" s="1" t="inlineStr">
        <is>
          <t>Student interfacing, Teacher interfacing, System/Administrative</t>
        </is>
      </c>
      <c r="Q44" s="10" t="inlineStr">
        <is>
          <t>eSquirrel</t>
        </is>
      </c>
      <c r="R44" s="10" t="inlineStr">
        <is>
          <t>eSquirrel turns any smartphone into a learning fascination!
Well suited for textbooks in schools or learning materials for employees - eSquirrel inspires learners, and simplifies teaching, training, and onboarding. 
Experience exciting quests, 1-click analysis of homework and training exercises, quizzes and learning analytics - completely available offline.</t>
        </is>
      </c>
      <c r="S44" s="10" t="inlineStr">
        <is>
          <t>eSquirrel business</t>
        </is>
      </c>
      <c r="T44" t="inlineStr">
        <is>
          <t>With eSquirrel, companies bring new employees onboard efficiently and for the long term. With a learning app tailored to individual onboarding materials, newcomers can be integrated into the company faster and better. Long-time employees benefit from subject-specific and mobile-optimised training opportunities.</t>
        </is>
      </c>
      <c r="U44" s="1" t="inlineStr">
        <is>
          <t>https://drive.google.com/uc?export=view&amp;id=1j7oIooMD7COCTlXxIaeXerlBJUggNYVU</t>
        </is>
      </c>
      <c r="V44" s="1" t="inlineStr">
        <is>
          <t>Verified</t>
        </is>
      </c>
      <c r="W44" s="1" t="inlineStr">
        <is>
          <t>https://drive.google.com/uc?export=view&amp;id=1j7oIooMD7COCTlXxIaeXerlBJUggNYVU</t>
        </is>
      </c>
      <c r="X44" s="1" t="n"/>
      <c r="Y44" s="10" t="n"/>
      <c r="Z44" s="1" t="n"/>
      <c r="AA44" t="inlineStr">
        <is>
          <t>Yes</t>
        </is>
      </c>
      <c r="AB44" t="inlineStr">
        <is>
          <t>https://www.instagram.com/esquirrelapp/</t>
        </is>
      </c>
      <c r="AC44" t="inlineStr">
        <is>
          <t>https://twitter.com/esquirrelapp</t>
        </is>
      </c>
      <c r="AD44" t="inlineStr">
        <is>
          <t>https://www.linkedin.com/company/esquirrel/</t>
        </is>
      </c>
    </row>
    <row r="45" ht="12.5" customHeight="1">
      <c r="A45" s="6" t="n">
        <v>45181</v>
      </c>
      <c r="B45" s="1" t="inlineStr">
        <is>
          <t>ORG_1102</t>
        </is>
      </c>
      <c r="C45" s="1" t="b">
        <v>1</v>
      </c>
      <c r="D45" s="1" t="inlineStr">
        <is>
          <t>Artivive</t>
        </is>
      </c>
      <c r="E45" s="10" t="inlineStr">
        <is>
          <t>https://artivive.com/</t>
        </is>
      </c>
      <c r="F45" t="inlineStr">
        <is>
          <t>artivive.com</t>
        </is>
      </c>
      <c r="G45" s="1" t="inlineStr">
        <is>
          <t>Artivive is an AR tool that allows artists to create new dimensions of art by linking classical with digital art. The digital layer opens doors to a whole new world of possibilities. Artists can take visitors on a journey through time, explain what lies underneath, enhance the art with animations, or show how the artworks were made. 125,000 users are creating artworks with Artivive and are having exhibitions in 92 countries. For museums, exhibitions, galleries, and other art institutions Artivive offers a new and innovative way for the audience to interact with exhibitions. Visitors only have to use their smartphones or tablets in order to experience the layer of augmented reality.</t>
        </is>
      </c>
      <c r="H45" s="1" t="inlineStr">
        <is>
          <t>EdTech Austria</t>
        </is>
      </c>
      <c r="J45" s="1" t="inlineStr">
        <is>
          <t>Vienna</t>
        </is>
      </c>
      <c r="K45" s="1" t="inlineStr">
        <is>
          <t>Austria</t>
        </is>
      </c>
      <c r="L4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45" s="1" t="inlineStr">
        <is>
          <t>11 to 50</t>
        </is>
      </c>
      <c r="N45" s="1" t="inlineStr">
        <is>
          <t>Business to Business</t>
        </is>
      </c>
      <c r="O45" s="1" t="inlineStr">
        <is>
          <t>Early childhood development (0-5 years), Primary Education, Secondary Education, Higher Education, Corporate Training, Lifelong learning/Adult education</t>
        </is>
      </c>
      <c r="P45" s="1" t="inlineStr">
        <is>
          <t>System/Administrative, Student interfacing, Teacher interfacing</t>
        </is>
      </c>
      <c r="Q45" s="10" t="inlineStr">
        <is>
          <t>Artivive App</t>
        </is>
      </c>
      <c r="R45" s="10" t="inlineStr">
        <is>
          <t>Artivive is an easy-to-use, affordable tool for creating Augmented Reality Art. Whether you are a beginner or expert, Artivive welcomes users of every artistic level.To start creating, you need register for an Artivive account. This will give you access to our content management system called Bridge by Artivive.
We work with museums, galleries, festivals, and designers to present tailored solutions to individual problems. For them, Artivive provides a reliable, fast, and scalable infrastructure for the best experience for their visitors, prolonging visitation time, thus increasing emotional bonding. In addition, Artivive creates digital content, organizes workshops, and proposes artists for collaborations.</t>
        </is>
      </c>
      <c r="S45" s="10" t="inlineStr">
        <is>
          <t>https://drive.google.com/uc?export=view&amp;id=1_-TdzL8HNcwYMRN8js9pXwwbfBa8sxXH</t>
        </is>
      </c>
      <c r="T45" t="inlineStr">
        <is>
          <t>https://drive.google.com/uc?export=view&amp;id=1_-TdzL8HNcwYMRN8js9pXwwbfBa8sxXH</t>
        </is>
      </c>
      <c r="U45" s="1" t="inlineStr">
        <is>
          <t>https://drive.google.com/uc?export=view&amp;id=1_-TdzL8HNcwYMRN8js9pXwwbfBa8sxXH</t>
        </is>
      </c>
      <c r="V45" s="1" t="inlineStr">
        <is>
          <t>Unverified</t>
        </is>
      </c>
      <c r="Y45" s="10" t="n"/>
      <c r="Z45" s="1" t="n"/>
      <c r="AA45" t="inlineStr">
        <is>
          <t>Yes</t>
        </is>
      </c>
      <c r="AB45" t="inlineStr">
        <is>
          <t>https://www.instagram.com/artiviveapp/</t>
        </is>
      </c>
      <c r="AC45" t="inlineStr">
        <is>
          <t>https://twitter.com/ArtiviveApp</t>
        </is>
      </c>
      <c r="AD45" t="inlineStr">
        <is>
          <t>https://www.linkedin.com/company/artivive/</t>
        </is>
      </c>
    </row>
    <row r="46" ht="12.5" customHeight="1">
      <c r="A46" s="6" t="n">
        <v>45181</v>
      </c>
      <c r="B46" s="1" t="inlineStr">
        <is>
          <t>ORG_2312</t>
        </is>
      </c>
      <c r="C46" s="1" t="b">
        <v>1</v>
      </c>
      <c r="D46" s="1" t="inlineStr">
        <is>
          <t>sproof</t>
        </is>
      </c>
      <c r="E46" s="10" t="inlineStr">
        <is>
          <t>https://sproof.io</t>
        </is>
      </c>
      <c r="F46" t="inlineStr">
        <is>
          <t>sproof.io</t>
        </is>
      </c>
      <c r="G46" s="1" t="inlineStr">
        <is>
          <t>Whether contracts, certificates or delivery bills – countless documents are waiting to be verified, certified or signed every day. Not only to save paper, but also to make these important processes faster and, above all, more secure, entrepreneurs Clemens Brunner, Fabian Knirsch and Erich Höpoldseder founded the Salzburg-based startup sproof in 2019. Their application “sproof sign” is currently used, for example, to digitally sign annual reports from schools, exam results, certificates and complete degrees from universities.
The tool is particularly popular for distance learning students, who can use it to obtain the final document without much hassle. Other use cases can also be found in university administration – for example, to conclude contracts with partner organizations. In addition, sproof is used to digitize and digitally sign work, internship or vocational training certificates from institutes and organizations. This contributes to sustainability and brings security to the transmission of digital documents.</t>
        </is>
      </c>
      <c r="H46" s="1" t="inlineStr">
        <is>
          <t>EdTech Austria</t>
        </is>
      </c>
      <c r="J46" s="1" t="inlineStr">
        <is>
          <t>PUCH BEI HALLEIN</t>
        </is>
      </c>
      <c r="K46" s="1" t="inlineStr">
        <is>
          <t>Austria</t>
        </is>
      </c>
      <c r="L46" s="1" t="inlineStr">
        <is>
          <t>Austria, Germany</t>
        </is>
      </c>
      <c r="M46" s="1" t="inlineStr">
        <is>
          <t>11 to 50</t>
        </is>
      </c>
      <c r="N46" s="1" t="inlineStr">
        <is>
          <t>Business to Consumer, Business to Government, Business to Schools</t>
        </is>
      </c>
      <c r="O46" s="1" t="inlineStr">
        <is>
          <t>Secondary Education, Corporate Training, Lifelong learning/Adult education</t>
        </is>
      </c>
      <c r="P46" s="1" t="inlineStr">
        <is>
          <t>System/Administrative</t>
        </is>
      </c>
      <c r="Q46" s="1" t="inlineStr">
        <is>
          <t>sproof sign</t>
        </is>
      </c>
      <c r="R46" s="1" t="inlineStr">
        <is>
          <t>The cloud-based application sproof sign couldn’t be simpler: Upload a document, sign it, assign a signature, and send it on as needed. At present, it is not only growing fast, but is also developing rapidly. The mission is still clear – sproof is one the way to becoming Europe’s most secure digital signature. Indeed, the application meets all the prescribed requirements for legally binding digital signatures according to the current eIDAS regulation. In general, the following also applies: “Qualified digital signatures are legally equivalent to handwritten signatures. What’s more, the services are hosted via European servers, so the offerings are all also DSGVO-compliant.</t>
        </is>
      </c>
      <c r="S46" s="10" t="inlineStr">
        <is>
          <t>https://drive.google.com/uc?export=view&amp;id=1UOop4R32NgNdfohuWNkiWTrjzmCwUZGw</t>
        </is>
      </c>
      <c r="T46" t="inlineStr">
        <is>
          <t>https://drive.google.com/uc?export=view&amp;id=1UOop4R32NgNdfohuWNkiWTrjzmCwUZGw</t>
        </is>
      </c>
      <c r="U46" s="1" t="inlineStr">
        <is>
          <t>https://drive.google.com/uc?export=view&amp;id=1UOop4R32NgNdfohuWNkiWTrjzmCwUZGw</t>
        </is>
      </c>
      <c r="V46" s="1" t="inlineStr">
        <is>
          <t>Unverified</t>
        </is>
      </c>
      <c r="W46" s="1" t="inlineStr">
        <is>
          <t>https://drive.google.com/uc?export=view&amp;id=1UOop4R32NgNdfohuWNkiWTrjzmCwUZGw</t>
        </is>
      </c>
      <c r="X46" s="1" t="n"/>
      <c r="Y46" s="10" t="n"/>
      <c r="Z46" s="1" t="n"/>
      <c r="AA46" t="inlineStr">
        <is>
          <t>Yes</t>
        </is>
      </c>
      <c r="AB46" t="inlineStr">
        <is>
          <t>sproof GmbH</t>
        </is>
      </c>
      <c r="AC46" t="inlineStr">
        <is>
          <t>sproof GmbH</t>
        </is>
      </c>
      <c r="AD46" t="inlineStr">
        <is>
          <t>www.linkedin.com/company/sproof</t>
        </is>
      </c>
    </row>
    <row r="47" ht="12.5" customHeight="1">
      <c r="A47" s="6" t="n">
        <v>45181</v>
      </c>
      <c r="B47" s="1" t="inlineStr">
        <is>
          <t>ORG_1094</t>
        </is>
      </c>
      <c r="C47" s="1" t="b">
        <v>1</v>
      </c>
      <c r="D47" s="1" t="inlineStr">
        <is>
          <t>Areeka</t>
        </is>
      </c>
      <c r="E47" s="10" t="inlineStr">
        <is>
          <t>https://areeka.net</t>
        </is>
      </c>
      <c r="F47" t="inlineStr">
        <is>
          <t>areeka.net</t>
        </is>
      </c>
      <c r="G47" s="1" t="inlineStr">
        <is>
          <t>Areeka is an innovative Augmented Reality (AR) application revolutionizing the Education market for Publishers, Companies and Private users. Our platform enhances student engagement with their learning material allowing them to grasp concepts better, and also learn anytime and anywhere from their smartphones. Areeka also serves as an integrated Fun and Interactive Learning platform comprising a Wide Database of customizable 3D models, an E-commerce online shop for easy purchase of material, and offers an Easy-To-Use Web based AR platform.</t>
        </is>
      </c>
      <c r="H47" s="1" t="inlineStr">
        <is>
          <t>I'm not part of any EdTech association</t>
        </is>
      </c>
      <c r="J47" s="1" t="inlineStr">
        <is>
          <t>VIENNA</t>
        </is>
      </c>
      <c r="K47" s="1" t="inlineStr">
        <is>
          <t>Austria</t>
        </is>
      </c>
      <c r="L47" s="1" t="inlineStr">
        <is>
          <t>Armenia, Austria, Czechia, France, Germany, Italy, Liechtenstein, Poland, Russia, Switzerland, United Kingdom</t>
        </is>
      </c>
      <c r="M47" s="1" t="inlineStr">
        <is>
          <t>0 to 10</t>
        </is>
      </c>
      <c r="N47" s="1" t="inlineStr">
        <is>
          <t>Business to Business</t>
        </is>
      </c>
      <c r="O47" s="1" t="inlineStr">
        <is>
          <t>Early childhood development (0-5 years), Primary Education, Secondary Education, Lifelong learning/Adult education</t>
        </is>
      </c>
      <c r="P47" s="1" t="inlineStr">
        <is>
          <t>System/Administrative, Student interfacing, Teacher interfacing</t>
        </is>
      </c>
      <c r="Q47" s="1" t="n"/>
      <c r="R47" s="1" t="n"/>
      <c r="S47" s="1" t="inlineStr">
        <is>
          <t>https://drive.google.com/uc?export=view&amp;id=1e3FvGcHIv9khtbOKZDb4kOBpw4AcO_lr</t>
        </is>
      </c>
      <c r="T47" t="inlineStr">
        <is>
          <t>https://drive.google.com/uc?export=view&amp;id=1e3FvGcHIv9khtbOKZDb4kOBpw4AcO_lr</t>
        </is>
      </c>
      <c r="U47" s="1" t="inlineStr">
        <is>
          <t>https://drive.google.com/uc?export=view&amp;id=1e3FvGcHIv9khtbOKZDb4kOBpw4AcO_lr</t>
        </is>
      </c>
      <c r="V47" s="1" t="inlineStr">
        <is>
          <t>Unverified</t>
        </is>
      </c>
      <c r="Y47" s="10" t="n"/>
      <c r="Z47" s="1" t="n"/>
      <c r="AA47" t="inlineStr">
        <is>
          <t>No</t>
        </is>
      </c>
    </row>
    <row r="48" ht="12.5" customHeight="1">
      <c r="A48" s="6" t="n">
        <v>45181</v>
      </c>
      <c r="B48" s="1" t="inlineStr">
        <is>
          <t>ORG_1251</t>
        </is>
      </c>
      <c r="C48" s="1" t="b">
        <v>1</v>
      </c>
      <c r="D48" s="1" t="inlineStr">
        <is>
          <t>Classninjas</t>
        </is>
      </c>
      <c r="E48" s="10" t="inlineStr">
        <is>
          <t>https://www.classninjas.com/</t>
        </is>
      </c>
      <c r="F48" t="inlineStr">
        <is>
          <t>classninjas.com</t>
        </is>
      </c>
      <c r="G48" s="1" t="inlineStr">
        <is>
          <t>Classninjas aims to provide the best education content in mathematics on relevant digital platforms. Our company offers a wide variety of math content on TikTok, YouTube, Instagram and on a mobile app, both for iOS and Android.</t>
        </is>
      </c>
      <c r="H48" s="1" t="inlineStr">
        <is>
          <t>I'm not part of any EdTech association</t>
        </is>
      </c>
      <c r="J48" s="1" t="inlineStr">
        <is>
          <t>VIENNA</t>
        </is>
      </c>
      <c r="K48" s="1" t="inlineStr">
        <is>
          <t>Austria</t>
        </is>
      </c>
      <c r="L48" s="1" t="inlineStr">
        <is>
          <t>Austria, Germany, Switzerland</t>
        </is>
      </c>
      <c r="M48" s="1" t="inlineStr">
        <is>
          <t>0 to 10</t>
        </is>
      </c>
      <c r="N48" s="1" t="inlineStr">
        <is>
          <t>Business to Business</t>
        </is>
      </c>
      <c r="O48" s="1" t="inlineStr">
        <is>
          <t>Secondary Education</t>
        </is>
      </c>
      <c r="P48" s="1" t="inlineStr">
        <is>
          <t>Student interfacing, Teacher interfacing, System/Administrative</t>
        </is>
      </c>
      <c r="Q48" s="1" t="inlineStr">
        <is>
          <t>Classninjas App</t>
        </is>
      </c>
      <c r="R48" t="inlineStr">
        <is>
          <t>Math learning app that allows watching learning videos, doing quizzes and simulating tests from NMS/AHS-Unterstufe to A-levels. Entire app is free for parents and students and available a homework tool for teachers for a yearly fee.</t>
        </is>
      </c>
      <c r="S48" s="10" t="inlineStr">
        <is>
          <t>Social Media</t>
        </is>
      </c>
      <c r="T48" t="inlineStr">
        <is>
          <t>We offer entertaining and educational content on TikTok, YouTube and Instagram on an almost daily routine. All of our social media platforms combined reach 500.000 students on average per month.</t>
        </is>
      </c>
      <c r="U48" s="1" t="inlineStr">
        <is>
          <t>https://drive.google.com/uc?export=view&amp;id=1qColL1Ml0T535yc1xwANJoJnsUXZ_RKF</t>
        </is>
      </c>
      <c r="V48" s="1" t="inlineStr">
        <is>
          <t>Unverified</t>
        </is>
      </c>
      <c r="W48" s="1" t="inlineStr">
        <is>
          <t>https://drive.google.com/uc?export=view&amp;id=1qColL1Ml0T535yc1xwANJoJnsUXZ_RKF</t>
        </is>
      </c>
      <c r="X48" s="1" t="n"/>
      <c r="Y48" s="10" t="n"/>
      <c r="Z48" s="1" t="n"/>
      <c r="AA48" t="inlineStr">
        <is>
          <t>Yes</t>
        </is>
      </c>
      <c r="AB48" t="inlineStr">
        <is>
          <t>classninjas</t>
        </is>
      </c>
      <c r="AC48" t="inlineStr">
        <is>
          <t>https://www.linkedin.com/company/classninjas/</t>
        </is>
      </c>
      <c r="AD48" t="inlineStr">
        <is>
          <t>https://www.linkedin.com/company/classninjas/</t>
        </is>
      </c>
    </row>
    <row r="49" ht="12.5" customHeight="1">
      <c r="A49" s="6" t="n">
        <v>45181</v>
      </c>
      <c r="B49" s="1" t="inlineStr">
        <is>
          <t>ORG_1636</t>
        </is>
      </c>
      <c r="C49" s="1" t="b">
        <v>1</v>
      </c>
      <c r="D49" s="1" t="inlineStr">
        <is>
          <t>GoStudent</t>
        </is>
      </c>
      <c r="E49" s="10" t="inlineStr">
        <is>
          <t>www.gostudent.org</t>
        </is>
      </c>
      <c r="F49" t="inlineStr">
        <is>
          <t>gostudent.org</t>
        </is>
      </c>
      <c r="G49" s="1" t="inlineStr">
        <is>
          <t>GoStudent is one of the world’s leading tutoring providers and education platforms. Founded in Vienna, Austria, in 2016 by Felix Ohswald (CEO) and Gregor Müller (COO), the venture-backed unicorn has raised more than €675m from investors including Prosus, Left Lane Capital and SoftBank Vision Fund 2. Believing the future of education is hybrid, GoStudent has expanded its offering over the past two years with the acquisition of three EdTech companies - Seneca Learning, Tus Media and Fox Education - and offline tutoring business, Studienkreis. Together, these companies aim to unite the best of the online and offline world to unlock every child’s potential. Across its portfolio, GoStudent employs more than 1,500 staff and supports more than 11 million families each month.</t>
        </is>
      </c>
      <c r="H49" s="1" t="inlineStr">
        <is>
          <t>EdTech Austria</t>
        </is>
      </c>
      <c r="I49" s="1" t="n"/>
      <c r="J49" s="1" t="inlineStr">
        <is>
          <t>VIENNA</t>
        </is>
      </c>
      <c r="K49" s="1" t="inlineStr">
        <is>
          <t>Austria</t>
        </is>
      </c>
      <c r="L49" s="1" t="inlineStr">
        <is>
          <t>Austria, Belgium, France, Germany, Greece, Ireland, Italy, Luxembourg, Netherlands, Spain, Switzerland, Turkey, United Kingdom</t>
        </is>
      </c>
      <c r="M49" s="1" t="inlineStr">
        <is>
          <t>500+</t>
        </is>
      </c>
      <c r="N49" s="1" t="inlineStr">
        <is>
          <t>Business to Business, Business to Consumer, Business to Government, Business to Schools</t>
        </is>
      </c>
      <c r="O49" s="1" t="inlineStr">
        <is>
          <t>Primary Education</t>
        </is>
      </c>
      <c r="P49" s="1" t="inlineStr">
        <is>
          <t>System/Administrative, Student interfacing</t>
        </is>
      </c>
      <c r="Q49" s="10" t="inlineStr">
        <is>
          <t>GoStudent</t>
        </is>
      </c>
      <c r="R49" s="10" t="inlineStr">
        <is>
          <t>GoStudent facilitates 1:1 video-based tuition, with lessons taking place within the company’s custom-made virtual classroom, GoClass. Aimed at students aged 6-18, GoStudent offers personalised support for more than 30 school subjects. Believing the right student-tutor match is crucial to academic success, GoStudent pairs tutors with students based on their learning style and needs.
Lessons are booked via the GoStudent platform. This can be accessed using a computer (Web App) or a mobile device (Mobile App). Students and tutors interact live in GoClass, which features integrated functions such as a whiteboard and the option to share a screen and edit documents together. Documents and work in progress can be saved to each child’s virtual workspace to be revisited at a later date.
Currently, more than 23,000 self-employed tutors offer their services via GoClass. In order to offer their services via the GoStudent platform, tutors undergo a rigorous selection process, involving a subject matter test, demonstration of teaching ability and background check.</t>
        </is>
      </c>
      <c r="S49" s="10" t="inlineStr">
        <is>
          <t>https://drive.google.com/uc?export=view&amp;id=1ZcMYf4OPYAAb7Su3QzoA3S63ejEFsWjw</t>
        </is>
      </c>
      <c r="T49" t="inlineStr">
        <is>
          <t>https://drive.google.com/uc?export=view&amp;id=1ZcMYf4OPYAAb7Su3QzoA3S63ejEFsWjw</t>
        </is>
      </c>
      <c r="U49" s="1" t="inlineStr">
        <is>
          <t>https://drive.google.com/uc?export=view&amp;id=1ZcMYf4OPYAAb7Su3QzoA3S63ejEFsWjw</t>
        </is>
      </c>
      <c r="V49" s="1" t="inlineStr">
        <is>
          <t>Unverified</t>
        </is>
      </c>
      <c r="W49" s="1" t="inlineStr">
        <is>
          <t>https://drive.google.com/uc?export=view&amp;id=1ZcMYf4OPYAAb7Su3QzoA3S63ejEFsWjw</t>
        </is>
      </c>
      <c r="X49" s="1" t="n"/>
      <c r="Y49" s="10" t="n"/>
      <c r="Z49" s="1" t="n"/>
      <c r="AA49" t="inlineStr">
        <is>
          <t>Yes</t>
        </is>
      </c>
      <c r="AB49" t="inlineStr">
        <is>
          <t>https://www.instagram.com/gostudent_life</t>
        </is>
      </c>
      <c r="AC49" t="inlineStr">
        <is>
          <t>https://twitter.com/gostudent1</t>
        </is>
      </c>
      <c r="AD49" t="inlineStr">
        <is>
          <t>https://www.linkedin.com/company/gostudent-gmbh</t>
        </is>
      </c>
    </row>
    <row r="50" ht="12.5" customHeight="1">
      <c r="A50" s="6" t="n">
        <v>45181</v>
      </c>
      <c r="B50" s="1" t="inlineStr">
        <is>
          <t>ORG_1818</t>
        </is>
      </c>
      <c r="C50" s="1" t="b">
        <v>1</v>
      </c>
      <c r="D50" s="1" t="inlineStr">
        <is>
          <t>LawStar</t>
        </is>
      </c>
      <c r="E50" s="10" t="inlineStr">
        <is>
          <t>www.lawstar.at</t>
        </is>
      </c>
      <c r="F50" t="inlineStr">
        <is>
          <t>lawstar.at</t>
        </is>
      </c>
      <c r="G50" s="1" t="inlineStr">
        <is>
          <t>LawStar is a platform and service which offers students and others to prepare for exam, test and overall to educate and extend their knowledge and skills in the fields of law, tax and economics with video courses and webinars.
Additionally its a community based platform offering daily law and tax news, access to governments law database (RIS) and other feature as quizzes etc.</t>
        </is>
      </c>
      <c r="H50" s="1" t="inlineStr">
        <is>
          <t>I'm not part of any EdTech association</t>
        </is>
      </c>
      <c r="J50" s="1" t="inlineStr">
        <is>
          <t>Vienna</t>
        </is>
      </c>
      <c r="K50" s="1" t="inlineStr">
        <is>
          <t>Austria</t>
        </is>
      </c>
      <c r="L50" s="1" t="inlineStr">
        <is>
          <t>Austria</t>
        </is>
      </c>
      <c r="M50" s="1" t="inlineStr">
        <is>
          <t>0 to 10</t>
        </is>
      </c>
      <c r="N50" s="1" t="inlineStr">
        <is>
          <t>Business to Business, Business to Government</t>
        </is>
      </c>
      <c r="O50" s="1" t="inlineStr">
        <is>
          <t>Higher Education, Corporate Training, Lifelong learning/Adult education</t>
        </is>
      </c>
      <c r="P50" s="1" t="inlineStr">
        <is>
          <t>Student interfacing, System/Administrative</t>
        </is>
      </c>
      <c r="Q50" s="1" t="n"/>
      <c r="R50" s="1" t="n"/>
      <c r="S50" s="1" t="inlineStr">
        <is>
          <t>https://drive.google.com/uc?export=view&amp;id=1P2GVMc3kitRyEuwnimfored0CbyyPwF8</t>
        </is>
      </c>
      <c r="T50" t="inlineStr">
        <is>
          <t>https://drive.google.com/uc?export=view&amp;id=1P2GVMc3kitRyEuwnimfored0CbyyPwF8</t>
        </is>
      </c>
      <c r="U50" s="1" t="inlineStr">
        <is>
          <t>https://drive.google.com/uc?export=view&amp;id=1P2GVMc3kitRyEuwnimfored0CbyyPwF8</t>
        </is>
      </c>
      <c r="V50" s="1" t="inlineStr">
        <is>
          <t>Unverified</t>
        </is>
      </c>
      <c r="W50" s="1" t="inlineStr">
        <is>
          <t>https://drive.google.com/uc?export=view&amp;id=1P2GVMc3kitRyEuwnimfored0CbyyPwF8</t>
        </is>
      </c>
      <c r="X50" s="1" t="n"/>
      <c r="Y50" s="10" t="n"/>
      <c r="Z50" s="1" t="n"/>
      <c r="AA50" t="inlineStr">
        <is>
          <t>No</t>
        </is>
      </c>
    </row>
    <row r="51" ht="12.5" customHeight="1">
      <c r="A51" s="6" t="n">
        <v>45493</v>
      </c>
      <c r="B51" s="1" t="inlineStr">
        <is>
          <t>ORG_1527</t>
        </is>
      </c>
      <c r="C51" s="1" t="b">
        <v>1</v>
      </c>
      <c r="D51" s="1" t="inlineStr">
        <is>
          <t>everyone codes</t>
        </is>
      </c>
      <c r="E51" s="10" t="inlineStr">
        <is>
          <t>https://everyonecodes.io/</t>
        </is>
      </c>
      <c r="F51" t="inlineStr">
        <is>
          <t>everyonecodes.io</t>
        </is>
      </c>
      <c r="G51" s="1" t="inlineStr">
        <is>
          <t>Our mission is to help people start a better professional future in the field of IT.</t>
        </is>
      </c>
      <c r="H51" s="1" t="inlineStr">
        <is>
          <t>EdTech Austria</t>
        </is>
      </c>
      <c r="I51" s="1" t="inlineStr">
        <is>
          <t>English</t>
        </is>
      </c>
      <c r="J51" s="1" t="inlineStr">
        <is>
          <t>VIENNA</t>
        </is>
      </c>
      <c r="K51" s="1" t="inlineStr">
        <is>
          <t>Austria</t>
        </is>
      </c>
      <c r="L51" s="1" t="inlineStr">
        <is>
          <t>Austria</t>
        </is>
      </c>
      <c r="M51" s="1" t="inlineStr">
        <is>
          <t>6 to 10</t>
        </is>
      </c>
      <c r="N51" s="1" t="inlineStr">
        <is>
          <t>Business to Business</t>
        </is>
      </c>
      <c r="O51" s="1" t="inlineStr">
        <is>
          <t>Corporate Training, Lifelong learning/Adult education</t>
        </is>
      </c>
      <c r="P51" s="1" t="inlineStr">
        <is>
          <t>Student interfacing</t>
        </is>
      </c>
      <c r="Q51" s="1" t="inlineStr">
        <is>
          <t>full-time programmes</t>
        </is>
      </c>
      <c r="R51" s="1" t="inlineStr">
        <is>
          <t>We offer different programmes to help people to start a better professional future.
All details see on the website: https://everyonecodes.io</t>
        </is>
      </c>
      <c r="S51" s="10" t="inlineStr">
        <is>
          <t>short-term workshops</t>
        </is>
      </c>
      <c r="T51" t="inlineStr">
        <is>
          <t>We offer short-term programmes to aquire different skills and knowledge.
All details see on the website: https://everyonecodes.io</t>
        </is>
      </c>
      <c r="U51" s="1" t="inlineStr">
        <is>
          <t>https://drive.google.com/uc?export=view&amp;id=192mk0iNtChldVg6kvO3cwrdf7HY1snVY</t>
        </is>
      </c>
      <c r="V51" s="1" t="inlineStr">
        <is>
          <t>Unverified</t>
        </is>
      </c>
      <c r="W51" s="1" t="inlineStr">
        <is>
          <t>https://drive.google.com/uc?export=view&amp;id=192mk0iNtChldVg6kvO3cwrdf7HY1snVY</t>
        </is>
      </c>
      <c r="X51" s="1" t="n"/>
      <c r="Y51" s="10" t="n"/>
      <c r="Z51" s="1" t="n"/>
      <c r="AA51" t="inlineStr">
        <is>
          <t>Yes</t>
        </is>
      </c>
      <c r="AC51" t="inlineStr">
        <is>
          <t>https://www.linkedin.com/company/everyonecodes</t>
        </is>
      </c>
      <c r="AD51" t="inlineStr">
        <is>
          <t>https://www.linkedin.com/company/everyonecodes</t>
        </is>
      </c>
    </row>
    <row r="52" ht="12.5" customHeight="1">
      <c r="A52" s="6" t="n">
        <v>45300</v>
      </c>
      <c r="B52" s="1" t="inlineStr">
        <is>
          <t>ORG_1474</t>
        </is>
      </c>
      <c r="C52" s="1" t="b">
        <v>1</v>
      </c>
      <c r="D52" s="1" t="inlineStr">
        <is>
          <t>EGOS! the education company</t>
        </is>
      </c>
      <c r="E52" s="10" t="inlineStr">
        <is>
          <t>https://www.egos.co.at/</t>
        </is>
      </c>
      <c r="F52" t="inlineStr">
        <is>
          <t>egos.co.at</t>
        </is>
      </c>
      <c r="G52" s="1" t="inlineStr">
        <is>
          <t>EGOS! unterstützt seit über 30 Jahren Unternehmen um ihre MitarbeiterInnen bei der persönlichen und fachlichen Weiterentwicklung in den Bereichen Digitalisierung, Informationstechnologie sowie Personal und Organisationsentwicklung zu unterstützen. Unsere Passion ist Technologien für Menschen optimal nutzbar zu machen und damit die Effizienz Ihrer Arbeit zu steigern. Wir bieten dafür Beratung, Dienstleistungen sowie analoge und digitale Bildungslösungen an. Das Angebot umfasst Seminare, Webinare, Workshops, Lehrgänge, Coaching, Consulting, Zertifizierungen, E-Learning-Kurse, Lern-Management-Systeme und die Individualentwicklung von E-Learning Lösungen. Wir decken dabei ein Spektrum von der Ausbildung einzelner TeilnehmerInnen bis hin zu internationalen Qualifizierungsprojekten in vielen Sprachen und Ländern der Welt ab.</t>
        </is>
      </c>
      <c r="H52" s="1" t="inlineStr">
        <is>
          <t>EdTech Austria</t>
        </is>
      </c>
      <c r="J52" s="1" t="inlineStr">
        <is>
          <t>Innsbruck</t>
        </is>
      </c>
      <c r="K52" s="1" t="inlineStr">
        <is>
          <t>Austria</t>
        </is>
      </c>
      <c r="L52" s="1" t="inlineStr">
        <is>
          <t>Austria, France, Germany, Italy, Liechtenstein, Switzerland, United Kingdom</t>
        </is>
      </c>
      <c r="M52" s="1" t="inlineStr">
        <is>
          <t>11 to 50</t>
        </is>
      </c>
      <c r="N52" s="1" t="inlineStr">
        <is>
          <t>Business to Business</t>
        </is>
      </c>
      <c r="O52" s="1" t="inlineStr">
        <is>
          <t>Corporate Training, Lifelong learning/Adult education</t>
        </is>
      </c>
      <c r="P52" s="1" t="inlineStr">
        <is>
          <t>Teacher interfacing, Student interfacing, System/Administrative</t>
        </is>
      </c>
      <c r="Q52" s="1" t="inlineStr">
        <is>
          <t>IT-Seminare</t>
        </is>
      </c>
      <c r="R52" s="1" t="inlineStr">
        <is>
          <t>https://www.egos.co.at/seminare/alle/alle</t>
        </is>
      </c>
      <c r="S52" s="1" t="inlineStr">
        <is>
          <t>Lernsoftware</t>
        </is>
      </c>
      <c r="T52" t="inlineStr">
        <is>
          <t>https://www.egos.co.at/elearning/lernsoftware</t>
        </is>
      </c>
      <c r="U52" s="1" t="inlineStr">
        <is>
          <t>https://drive.google.com/uc?export=view&amp;id=1xblqNMVF63cD4JMua2QFSHZXLWMngBj3</t>
        </is>
      </c>
      <c r="V52" s="10" t="inlineStr">
        <is>
          <t>Unverified</t>
        </is>
      </c>
      <c r="W52" s="1" t="inlineStr">
        <is>
          <t>https://drive.google.com/uc?export=view&amp;id=1xblqNMVF63cD4JMua2QFSHZXLWMngBj3</t>
        </is>
      </c>
      <c r="X52" s="10" t="n"/>
      <c r="Y52" s="10" t="n"/>
      <c r="Z52" s="1" t="n"/>
      <c r="AA52" t="inlineStr">
        <is>
          <t>Yes</t>
        </is>
      </c>
      <c r="AB52" t="inlineStr">
        <is>
          <t>egos.education</t>
        </is>
      </c>
      <c r="AC52" t="inlineStr">
        <is>
          <t>EGOS GmbH</t>
        </is>
      </c>
      <c r="AD52" t="inlineStr">
        <is>
          <t>egos-the-education-company</t>
        </is>
      </c>
    </row>
    <row r="53" ht="12.5" customHeight="1">
      <c r="A53" s="6" t="n">
        <v>45300</v>
      </c>
      <c r="B53" s="1" t="inlineStr">
        <is>
          <t>ORG_2482</t>
        </is>
      </c>
      <c r="C53" s="1" t="b">
        <v>1</v>
      </c>
      <c r="D53" s="1" t="inlineStr">
        <is>
          <t>VARS</t>
        </is>
      </c>
      <c r="E53" s="10" t="inlineStr">
        <is>
          <t>https://www.vars.at/</t>
        </is>
      </c>
      <c r="F53" t="inlineStr">
        <is>
          <t>vars.at</t>
        </is>
      </c>
      <c r="G53" s="1" t="inlineStr">
        <is>
          <t>We are a Viennese startup pioneering in the development of virtual and augmented reality software. We help educational institutions and organisations in the cultural mediation area take advantage of immersive technologies. At VARS we offer the development of digital solutions that transcend our physical world so that everyone can benefit from them. As winners of the World Summit Awards 2020, among other awards, we create immersive and innovative digital solutions with high impact for users. All this, combined with the talent and professionalism of our team, creates an explosion of satisfying results for our clients.</t>
        </is>
      </c>
      <c r="H53" s="1" t="inlineStr">
        <is>
          <t>EdTech Austria</t>
        </is>
      </c>
      <c r="J53" s="1" t="inlineStr">
        <is>
          <t>Vienna</t>
        </is>
      </c>
      <c r="K53" s="1" t="inlineStr">
        <is>
          <t>Austria</t>
        </is>
      </c>
      <c r="L53" s="1" t="inlineStr">
        <is>
          <t>Austria, Germany, Netherlands, Spain</t>
        </is>
      </c>
      <c r="M53" s="1" t="inlineStr">
        <is>
          <t>0 to 10</t>
        </is>
      </c>
      <c r="N53" s="1" t="inlineStr">
        <is>
          <t>Business to Schools</t>
        </is>
      </c>
      <c r="O53" s="1" t="inlineStr">
        <is>
          <t>Higher Education, Corporate Training, Lifelong learning/Adult education</t>
        </is>
      </c>
      <c r="P53" s="1" t="inlineStr">
        <is>
          <t>System/Administrative</t>
        </is>
      </c>
      <c r="Q53" s="10" t="inlineStr">
        <is>
          <t>AR &amp; VR Experiences</t>
        </is>
      </c>
      <c r="R53" s="10" t="inlineStr">
        <is>
          <t>VARS stands for Virtual and Augmented Reality Studio, we are specialized in XR App design and development. Being XR is a term that refers to both VR and AR. 
Developing high-quality XR content and experience for innovative projects is our passion. Thanks to our experience, networking, research, and development, we are always up-to-date with the latest immersive technology trends. This enables us to offer you innovative solutions to create amazing XR experiences. XR experiences that can be made of mobile applications, PC programs, or social media effects, among others. By leveraging our passion for creating digital content and experiences, we help businesses take advantage of these immersive technologies.</t>
        </is>
      </c>
      <c r="S53" s="10" t="inlineStr">
        <is>
          <t>https://drive.google.com/uc?export=view&amp;id=14WuffxMAuUyZPf62hFz4Gk7rNUJYnu5p</t>
        </is>
      </c>
      <c r="T53" t="inlineStr">
        <is>
          <t>https://drive.google.com/uc?export=view&amp;id=14WuffxMAuUyZPf62hFz4Gk7rNUJYnu5p</t>
        </is>
      </c>
      <c r="U53" s="1" t="inlineStr">
        <is>
          <t>https://drive.google.com/uc?export=view&amp;id=14WuffxMAuUyZPf62hFz4Gk7rNUJYnu5p</t>
        </is>
      </c>
      <c r="V53" s="1" t="inlineStr">
        <is>
          <t>Unverified</t>
        </is>
      </c>
      <c r="Y53" s="10" t="n"/>
      <c r="Z53" s="1" t="n"/>
      <c r="AA53" t="inlineStr">
        <is>
          <t>Yes</t>
        </is>
      </c>
      <c r="AB53" t="inlineStr">
        <is>
          <t>https://www.instagram.com/vr_ar_vienna/?hl=en</t>
        </is>
      </c>
      <c r="AC53" t="inlineStr">
        <is>
          <t>https://twitter.com/vars_at</t>
        </is>
      </c>
      <c r="AD53" t="inlineStr">
        <is>
          <t>https://www.linkedin.com/company/vars-vienna/?viewAsMember=true</t>
        </is>
      </c>
    </row>
    <row r="54" ht="12.5" customHeight="1">
      <c r="A54" s="6" t="n">
        <v>45300</v>
      </c>
      <c r="B54" s="1" t="inlineStr">
        <is>
          <t>ORG_2191</t>
        </is>
      </c>
      <c r="C54" s="1" t="b">
        <v>1</v>
      </c>
      <c r="D54" s="1" t="inlineStr">
        <is>
          <t>RoboManiac</t>
        </is>
      </c>
      <c r="E54" s="10" t="inlineStr">
        <is>
          <t>www.robomaniac.at</t>
        </is>
      </c>
      <c r="F54" t="inlineStr">
        <is>
          <t>robomaniac.at</t>
        </is>
      </c>
      <c r="G54" s="1" t="inlineStr">
        <is>
          <t>We are company specialized on STEM education for children in the age of 5-17 years</t>
        </is>
      </c>
      <c r="H54" s="1" t="inlineStr">
        <is>
          <t>EdTech Austria</t>
        </is>
      </c>
      <c r="J54" s="1" t="inlineStr">
        <is>
          <t>Arztgasse</t>
        </is>
      </c>
      <c r="K54" s="1" t="inlineStr">
        <is>
          <t>Austria</t>
        </is>
      </c>
      <c r="L54" s="1" t="inlineStr">
        <is>
          <t>Austria</t>
        </is>
      </c>
      <c r="M54" s="1" t="inlineStr">
        <is>
          <t>0 to 10</t>
        </is>
      </c>
      <c r="N54" s="1" t="inlineStr">
        <is>
          <t>Business to Business, Business to Consumer</t>
        </is>
      </c>
      <c r="O54" s="1" t="inlineStr">
        <is>
          <t>Primary Education, Secondary Education</t>
        </is>
      </c>
      <c r="P54" s="1" t="inlineStr">
        <is>
          <t>System/Administrative, Student interfacing, Teacher interfacing</t>
        </is>
      </c>
      <c r="Q54" s="1" t="inlineStr">
        <is>
          <t>STEM Workshops and Training</t>
        </is>
      </c>
      <c r="R54" s="1" t="inlineStr">
        <is>
          <t>We provide STEM workshops and training for kids in the age of 5-16 in following areas:
- Programming (Java, Python, C#)
- Game Development (Unity, Scratch)
- Robotics 
- Architecture
- Artificial Intelligence</t>
        </is>
      </c>
      <c r="S54" s="10" t="inlineStr">
        <is>
          <t>https://drive.google.com/uc?export=view&amp;id=1lt_KIEIzlpHdpTh2LVLJe-Iytltj0Vwn</t>
        </is>
      </c>
      <c r="T54" t="inlineStr">
        <is>
          <t>https://drive.google.com/uc?export=view&amp;id=1lt_KIEIzlpHdpTh2LVLJe-Iytltj0Vwn</t>
        </is>
      </c>
      <c r="U54" s="1" t="inlineStr">
        <is>
          <t>https://drive.google.com/uc?export=view&amp;id=1lt_KIEIzlpHdpTh2LVLJe-Iytltj0Vwn</t>
        </is>
      </c>
      <c r="V54" s="1" t="inlineStr">
        <is>
          <t>Unverified</t>
        </is>
      </c>
      <c r="W54" s="1" t="inlineStr">
        <is>
          <t>https://drive.google.com/uc?export=view&amp;id=1lt_KIEIzlpHdpTh2LVLJe-Iytltj0Vwn</t>
        </is>
      </c>
      <c r="X54" s="1" t="n"/>
      <c r="Y54" s="10" t="n"/>
      <c r="Z54" s="1" t="n"/>
      <c r="AA54" t="inlineStr">
        <is>
          <t>Yes</t>
        </is>
      </c>
      <c r="AB54" t="inlineStr">
        <is>
          <t>RoboManiac</t>
        </is>
      </c>
      <c r="AC54" t="inlineStr">
        <is>
          <t>RoboManiac</t>
        </is>
      </c>
      <c r="AD54" t="inlineStr">
        <is>
          <t>https://www.linkedin.com/company/robomaniac/</t>
        </is>
      </c>
    </row>
    <row r="55" ht="12.5" customHeight="1">
      <c r="A55" s="6" t="n">
        <v>45300</v>
      </c>
      <c r="B55" s="1" t="inlineStr">
        <is>
          <t>ORG_1029</t>
        </is>
      </c>
      <c r="C55" s="1" t="b">
        <v>1</v>
      </c>
      <c r="D55" s="1" t="inlineStr">
        <is>
          <t>ACP eduWERK</t>
        </is>
      </c>
      <c r="E55" s="10" t="inlineStr">
        <is>
          <t>https://eduwerk.acp.at</t>
        </is>
      </c>
      <c r="F55" t="inlineStr">
        <is>
          <t>eduwerk.acp.at</t>
        </is>
      </c>
      <c r="G55" s="1" t="inlineStr">
        <is>
          <t>ACP eduWERK - digital education made easy! The Viennese IT company was founded in 2014 and has since been supporting schools and educational institutions in introducing digital media into the classroom. ACP eduWERK is considered the leading provider of education solutions and has already supported more than 350 schools throughout Austria on their way to digital educational institutions.
The product range extends from the edu-iPad to edu-Mac (Apple) to the edu-Book365 (Microsoft) and edu-Chromebook (Google). ACP eduWERK offers tailor-made solutions, an overall educational concept and support with financing issues. Our vision is to provide every student with up-to-date education and thus make our children fit for the challenges of the future!</t>
        </is>
      </c>
      <c r="H55" s="1" t="inlineStr">
        <is>
          <t>EdTech Austria</t>
        </is>
      </c>
      <c r="J55" s="1" t="inlineStr">
        <is>
          <t>VIENNA</t>
        </is>
      </c>
      <c r="K55" s="1" t="inlineStr">
        <is>
          <t>Austria</t>
        </is>
      </c>
      <c r="L55" s="1" t="inlineStr">
        <is>
          <t>Austria, Germany</t>
        </is>
      </c>
      <c r="M55" s="1" t="inlineStr">
        <is>
          <t>11 to 50</t>
        </is>
      </c>
      <c r="N55" s="1" t="inlineStr">
        <is>
          <t>Business to Business</t>
        </is>
      </c>
      <c r="O55" s="1" t="inlineStr">
        <is>
          <t>Primary Education, Secondary Education, Higher Education</t>
        </is>
      </c>
      <c r="P55" s="1" t="inlineStr">
        <is>
          <t>System/Administrative, Student interfacing, Teacher interfacing</t>
        </is>
      </c>
      <c r="Q55" s="10" t="inlineStr">
        <is>
          <t>Digital education</t>
        </is>
      </c>
      <c r="R55" t="inlineStr">
        <is>
          <t>With the digital learning devices from ACP eduWERK, educators always receive an overall concept for digital education that has been thought through to the end. At the beginning of every journey into the digital classroom, there is always the question of the needs of each individual teacher.</t>
        </is>
      </c>
      <c r="S55" t="inlineStr">
        <is>
          <t>https://drive.google.com/uc?export=view&amp;id=1q3ou6J9cU8RCPI97w0ecNrZMxwKxqzr4</t>
        </is>
      </c>
      <c r="T55" t="inlineStr">
        <is>
          <t>https://drive.google.com/uc?export=view&amp;id=1q3ou6J9cU8RCPI97w0ecNrZMxwKxqzr4</t>
        </is>
      </c>
      <c r="U55" s="1" t="inlineStr">
        <is>
          <t>https://drive.google.com/uc?export=view&amp;id=1q3ou6J9cU8RCPI97w0ecNrZMxwKxqzr4</t>
        </is>
      </c>
      <c r="V55" s="1" t="inlineStr">
        <is>
          <t>Unverified</t>
        </is>
      </c>
      <c r="Y55" s="10" t="n"/>
      <c r="Z55" s="1" t="n"/>
      <c r="AA55" t="inlineStr">
        <is>
          <t>Yes</t>
        </is>
      </c>
      <c r="AB55" t="inlineStr">
        <is>
          <t>https://www.instagram.com/acp_eduwerk/</t>
        </is>
      </c>
    </row>
    <row r="56" ht="12.5" customHeight="1">
      <c r="A56" s="6" t="n">
        <v>45300</v>
      </c>
      <c r="B56" s="1" t="inlineStr">
        <is>
          <t>ORG_1758</t>
        </is>
      </c>
      <c r="C56" s="1" t="b">
        <v>1</v>
      </c>
      <c r="D56" s="1" t="inlineStr">
        <is>
          <t>Junge Römer</t>
        </is>
      </c>
      <c r="E56" s="10" t="inlineStr">
        <is>
          <t>https://www.jungeroemer.net</t>
        </is>
      </c>
      <c r="F56" t="inlineStr">
        <is>
          <t>jungeroemer.net</t>
        </is>
      </c>
      <c r="G56" s="1" t="inlineStr">
        <is>
          <t>Junge Römer develops XR content for innovative brands.
We tell our customers' stories through virtual experiences that are 
meaningful and fun. The audience is always at the center of our work. 
Armed with the latest technology and a feel for the right content at the 
right time, we help the industry and large companies to transfer their 
brands, products, and messages into the metaverse.
We produce content for the following categories:
Virtual Reality / Augmented Reality / Immersive Video / Web XR</t>
        </is>
      </c>
      <c r="H56" s="1" t="inlineStr">
        <is>
          <t>EdTech Austria</t>
        </is>
      </c>
      <c r="I56" s="1" t="n"/>
      <c r="J56" s="1" t="inlineStr">
        <is>
          <t>Vienna</t>
        </is>
      </c>
      <c r="K56" s="1" t="inlineStr">
        <is>
          <t>Austria</t>
        </is>
      </c>
      <c r="L56" s="1" t="inlineStr">
        <is>
          <t>Austria, Germany, Italy, Liechtenstein, Slovenia, Switzerland, United Kingdom</t>
        </is>
      </c>
      <c r="M56" s="1" t="inlineStr">
        <is>
          <t>0 to 10</t>
        </is>
      </c>
      <c r="N56" s="1" t="inlineStr">
        <is>
          <t>Business to Business, Business to Consumer, Business to Government, Business to Schools</t>
        </is>
      </c>
      <c r="O56" s="1" t="inlineStr">
        <is>
          <t>Corporate Training</t>
        </is>
      </c>
      <c r="P56" s="1" t="inlineStr">
        <is>
          <t>Student interfacing, System/Administrative</t>
        </is>
      </c>
      <c r="Q56" s="10" t="inlineStr">
        <is>
          <t>Virtual Reality Training</t>
        </is>
      </c>
      <c r="R56" s="10" t="inlineStr">
        <is>
          <t>Seeing means understanding. After all, we humans are very fixated on visual perception. VR makes learning and training situations more efficient, safer, and, above all, more memorable. We virtualize complex learning experiences by turning them into interactive stories that are memorable and help viewers gain important soft skills. 
This fusion of memorable narratives with modern technology creates promising opportunities, both for interactive seminars and training, as well as for content campaigns designed to share know-how.</t>
        </is>
      </c>
      <c r="S56" s="10" t="inlineStr">
        <is>
          <t>Augmented Reality Training</t>
        </is>
      </c>
      <c r="T56" t="inlineStr">
        <is>
          <t>The ability to place virtual objects, characters, buildings, and items in a real-world setting allows an entirely new experience. AR fulfills the dreams of filmmakers, game designers, and marketing experts, who are now finally able to merge their content with the personal environments of their target audience. However, the same applies for AR: The full potential of the technology can only be exploited with the perfect story at the right time.
AR opens up several new ways to entertain and engage with the audience. Beyond that, however, there is a multitude of other applications: AR can be used, for instance, to transform the living area of the target group into a personalized showroom. The perfect place to present and subsequently sell products of all kinds. The ultimate sales and educational tools can be developed on the foundation of AR.</t>
        </is>
      </c>
      <c r="U56" s="1" t="inlineStr">
        <is>
          <t>https://drive.google.com/uc?export=view&amp;id=1LTOFtAyz5LfA0RCiLu2Ee0h_U2oa28Av</t>
        </is>
      </c>
      <c r="V56" s="1" t="inlineStr">
        <is>
          <t>Unverified</t>
        </is>
      </c>
      <c r="W56" s="1" t="inlineStr">
        <is>
          <t>https://drive.google.com/uc?export=view&amp;id=1LTOFtAyz5LfA0RCiLu2Ee0h_U2oa28Av</t>
        </is>
      </c>
      <c r="X56" s="1" t="n"/>
      <c r="Y56" s="10" t="n"/>
      <c r="Z56" s="1" t="n"/>
      <c r="AA56" t="inlineStr">
        <is>
          <t>Yes</t>
        </is>
      </c>
      <c r="AB56" t="inlineStr">
        <is>
          <t>https://www.instagram.com/jungeroemerwien/</t>
        </is>
      </c>
      <c r="AC56" t="inlineStr">
        <is>
          <t>https://twitter.com/jungeroemerwien</t>
        </is>
      </c>
      <c r="AD56" t="inlineStr">
        <is>
          <t>https://www.linkedin.com/company/jungeroemer-gmbh/</t>
        </is>
      </c>
    </row>
    <row r="57" ht="12.5" customHeight="1">
      <c r="A57" s="6" t="n">
        <v>45300</v>
      </c>
      <c r="B57" s="1" t="inlineStr">
        <is>
          <t>ORG_2344</t>
        </is>
      </c>
      <c r="C57" s="1" t="b">
        <v>1</v>
      </c>
      <c r="D57" s="1" t="inlineStr">
        <is>
          <t>Studyly</t>
        </is>
      </c>
      <c r="E57" s="10" t="inlineStr">
        <is>
          <t>www.studyly.com</t>
        </is>
      </c>
      <c r="F57" t="inlineStr">
        <is>
          <t>studyly.com</t>
        </is>
      </c>
      <c r="G57" s="1" t="inlineStr">
        <is>
          <t>Studyly is a startup that specializes in the development of intelligent and adaptive learning systems.</t>
        </is>
      </c>
      <c r="H57" s="1" t="inlineStr">
        <is>
          <t>EdTech Austria</t>
        </is>
      </c>
      <c r="I57" s="1" t="n"/>
      <c r="J57" s="1" t="inlineStr">
        <is>
          <t>VIENNA</t>
        </is>
      </c>
      <c r="K57" s="1" t="inlineStr">
        <is>
          <t>Austria</t>
        </is>
      </c>
      <c r="L57" s="1" t="inlineStr">
        <is>
          <t>Austria, Germany</t>
        </is>
      </c>
      <c r="M57" s="1" t="inlineStr">
        <is>
          <t>11 to 50</t>
        </is>
      </c>
      <c r="N57" s="1" t="inlineStr">
        <is>
          <t>Business to Consumer, Business to Government, Business to Schools</t>
        </is>
      </c>
      <c r="O57" s="1" t="inlineStr">
        <is>
          <t>Secondary Education</t>
        </is>
      </c>
      <c r="P57" s="1" t="inlineStr">
        <is>
          <t>Student interfacing, Teacher interfacing</t>
        </is>
      </c>
      <c r="Q57" s="1" t="inlineStr">
        <is>
          <t>Studyly</t>
        </is>
      </c>
      <c r="R57" t="inlineStr">
        <is>
          <t>Studyly is an e-learning platform on which secondary school students can learn and practice math online. The content and exercises provided are meticulously tailored to the individual needs of each students. Artificial intelligence recognizes their respective strengths and weaknesses and thus precisely adapts the learning input.</t>
        </is>
      </c>
      <c r="S57" s="1" t="inlineStr">
        <is>
          <t>https://drive.google.com/uc?export=view&amp;id=1V8MVoREM-RxXOR7KbjtpIi5wo3HoL4JO</t>
        </is>
      </c>
      <c r="T57" t="inlineStr">
        <is>
          <t>https://drive.google.com/uc?export=view&amp;id=1V8MVoREM-RxXOR7KbjtpIi5wo3HoL4JO</t>
        </is>
      </c>
      <c r="U57" s="1" t="inlineStr">
        <is>
          <t>https://drive.google.com/uc?export=view&amp;id=1V8MVoREM-RxXOR7KbjtpIi5wo3HoL4JO</t>
        </is>
      </c>
      <c r="V57" s="1" t="inlineStr">
        <is>
          <t>Unverified</t>
        </is>
      </c>
      <c r="W57" s="1" t="inlineStr">
        <is>
          <t>https://drive.google.com/uc?export=view&amp;id=1V8MVoREM-RxXOR7KbjtpIi5wo3HoL4JO</t>
        </is>
      </c>
      <c r="X57" s="1" t="n"/>
      <c r="Y57" s="10" t="n"/>
      <c r="Z57" s="1" t="n"/>
      <c r="AA57" t="inlineStr">
        <is>
          <t>Yes</t>
        </is>
      </c>
      <c r="AB57" t="inlineStr">
        <is>
          <t>@studyly_at</t>
        </is>
      </c>
    </row>
    <row r="58" ht="12.5" customHeight="1">
      <c r="A58" s="6" t="n">
        <v>45238</v>
      </c>
      <c r="B58" s="1" t="inlineStr">
        <is>
          <t>ORG_2338</t>
        </is>
      </c>
      <c r="C58" s="1" t="b">
        <v>1</v>
      </c>
      <c r="D58" s="1" t="inlineStr">
        <is>
          <t>Studo</t>
        </is>
      </c>
      <c r="E58" s="10" t="inlineStr">
        <is>
          <t>https://studo.com/en/</t>
        </is>
      </c>
      <c r="F58" t="inlineStr">
        <is>
          <t>studo.com/en</t>
        </is>
      </c>
      <c r="G58" s="1" t="inlineStr">
        <is>
          <t>As a supporter and partner, Studo develops digital solutions for universities. These solutions have an inclusive and holistic approach and help universities to push ahead with digitisation. We develop on request of the university and in cooperation with the university's own IT department or in the course of research projects.</t>
        </is>
      </c>
      <c r="H58" s="1" t="inlineStr">
        <is>
          <t>EdTech Austria</t>
        </is>
      </c>
      <c r="I58" s="1" t="inlineStr">
        <is>
          <t>English, German, Slovenian</t>
        </is>
      </c>
      <c r="J58" s="1" t="inlineStr">
        <is>
          <t>Graz</t>
        </is>
      </c>
      <c r="K58" s="1" t="inlineStr">
        <is>
          <t>Austria</t>
        </is>
      </c>
      <c r="L58" s="1" t="inlineStr">
        <is>
          <t>Austria, Germany, Slovenia, Switzerland</t>
        </is>
      </c>
      <c r="M58" s="1" t="inlineStr">
        <is>
          <t>11 to 50</t>
        </is>
      </c>
      <c r="N58" s="1" t="inlineStr">
        <is>
          <t>Business to Business, Business to Government, Business to Schools</t>
        </is>
      </c>
      <c r="O58" s="1" t="inlineStr">
        <is>
          <t>Higher Education</t>
        </is>
      </c>
      <c r="P58" s="1" t="inlineStr">
        <is>
          <t>Student interfacing, Teacher interfacing</t>
        </is>
      </c>
      <c r="Q58" s="10" t="inlineStr">
        <is>
          <t>Studo App</t>
        </is>
      </c>
      <c r="R58" s="10" t="inlineStr">
        <is>
          <t>This mobile application, available for Android and iOS, was developed for students to make their daily study life easier. Numerous functions such as mail client, calendar, chat, wiki or newsfeed ensure tens of thousands of satisfied users* in Europe. The app is basically used by students, but can be individualised and optimised by universities or university-related institutions on request.</t>
        </is>
      </c>
      <c r="S58" s="10" t="inlineStr">
        <is>
          <t>Digital Attendance List</t>
        </is>
      </c>
      <c r="T58" t="inlineStr">
        <is>
          <t>With the digital attendance list, universities can reduce administrative work and offer their administrative staff, teachers and students a modern service for recording attendance in courses. The 100 % GDPR-compliant solution provides an overview of attendance times in real time – both for employees of your university and individually for your students.</t>
        </is>
      </c>
      <c r="U58" s="1" t="inlineStr">
        <is>
          <t>https://drive.google.com/uc?export=view&amp;id=1rLQ7gOj9Dc630z6hPEWNld0LmI2kdwB5</t>
        </is>
      </c>
      <c r="V58" s="1" t="inlineStr">
        <is>
          <t>Unverified</t>
        </is>
      </c>
      <c r="W58" s="1" t="inlineStr">
        <is>
          <t>https://drive.google.com/uc?export=view&amp;id=1rLQ7gOj9Dc630z6hPEWNld0LmI2kdwB5</t>
        </is>
      </c>
      <c r="X58" s="1" t="n"/>
      <c r="Y58" s="10" t="n"/>
      <c r="Z58" s="1" t="n"/>
      <c r="AA58" t="inlineStr">
        <is>
          <t>Yes</t>
        </is>
      </c>
      <c r="AB58" t="inlineStr">
        <is>
          <t>https://www.instagram.com/studoapp/</t>
        </is>
      </c>
      <c r="AC58" t="inlineStr">
        <is>
          <t>https://twitter.com/studoapp</t>
        </is>
      </c>
      <c r="AD58" t="inlineStr">
        <is>
          <t>https://www.linkedin.com/company/studo-app</t>
        </is>
      </c>
    </row>
    <row r="59" ht="12.5" customHeight="1">
      <c r="A59" s="6" t="n">
        <v>45199</v>
      </c>
      <c r="B59" s="1" t="inlineStr">
        <is>
          <t>ORG_1927</t>
        </is>
      </c>
      <c r="C59" s="1" t="b">
        <v>1</v>
      </c>
      <c r="D59" s="1" t="inlineStr">
        <is>
          <t>MathArena</t>
        </is>
      </c>
      <c r="E59" s="10" t="inlineStr">
        <is>
          <t>https://www.matharena.net/</t>
        </is>
      </c>
      <c r="F59" t="inlineStr">
        <is>
          <t>matharena.net</t>
        </is>
      </c>
      <c r="G59" s="1" t="inlineStr">
        <is>
          <t>MathArena combines playful learning in mathematics with adaptive task difficulties in the form of an application. It allows flexible training without pen and paper and is motivating to use. All this is supported by mini-games and reward mechanisms, supported with the latest findings from learning psychology and enables thus differentiated learning for each individual.</t>
        </is>
      </c>
      <c r="H59" s="1" t="inlineStr">
        <is>
          <t>EdTech Austria</t>
        </is>
      </c>
      <c r="I59" s="1" t="inlineStr">
        <is>
          <t>German, English</t>
        </is>
      </c>
      <c r="J59" s="1" t="inlineStr">
        <is>
          <t>Hohenzell</t>
        </is>
      </c>
      <c r="K59" s="1" t="inlineStr">
        <is>
          <t>Austria</t>
        </is>
      </c>
      <c r="L59" s="1" t="inlineStr">
        <is>
          <t>Austria, Croatia, Germany, Kosovo, Liechtenstein, Montenegro, Serbia, Switzerland, Turkey, United Kingdom</t>
        </is>
      </c>
      <c r="M59" s="1" t="inlineStr">
        <is>
          <t>6 to 10</t>
        </is>
      </c>
      <c r="N59" s="1" t="inlineStr">
        <is>
          <t>Business to Business, Business to Government</t>
        </is>
      </c>
      <c r="O59" s="1" t="inlineStr">
        <is>
          <t>Primary Education, Secondary Education, Lifelong learning/Adult education, Higher Education</t>
        </is>
      </c>
      <c r="P59" s="1" t="inlineStr">
        <is>
          <t>System/Administrative, Student interfacing, Teacher interfacing</t>
        </is>
      </c>
      <c r="Q59" s="10" t="inlineStr">
        <is>
          <t>MathArena Junior</t>
        </is>
      </c>
      <c r="R59" t="inlineStr">
        <is>
          <t>Learning. Math. Playfully.
MathArena Classic is your opportunity to practice mathematics flexibly anytime and anywhere. It allows students from the 9th grade (from Secondary Level II) to learn flexibly and conveniently directly from their smartphone – whether in class or during leisure time.
Quiz yourself on a wealth of math knowledge from 20 subject areas. Choose from 16 topics across four different subject areas, from numbers to geometry.</t>
        </is>
      </c>
      <c r="S59" s="10" t="inlineStr">
        <is>
          <t>MathArena Classic</t>
        </is>
      </c>
      <c r="T59" t="inlineStr">
        <is>
          <t>Learning. Math. Playfully.
The MathArena Classic is your chance to work on your math skills when you’re on the go - that means anywhere and anytime you feel like it! Prepare yourself for the A-Levels or any kind of higher-level math tests in a fun way by using our multiple-choice mode where your learning progress will also be summarized and the difficulty of questions will automatically adjust to your ability.
The explanation at the bottom of every question will help you with anything unclear, or you can simply contact us using the Feedback-Function where you will get additional help or a personal answer from our MathArena team.</t>
        </is>
      </c>
      <c r="U59" s="1" t="inlineStr">
        <is>
          <t>https://drive.google.com/uc?export=view&amp;id=1UTiovnQvPEPyUN3vBn7jZGxixPzyXgdf</t>
        </is>
      </c>
      <c r="V59" s="1" t="inlineStr">
        <is>
          <t>Unverified</t>
        </is>
      </c>
      <c r="W59" s="1" t="inlineStr">
        <is>
          <t>https://drive.google.com/uc?export=view&amp;id=1UTiovnQvPEPyUN3vBn7jZGxixPzyXgdf</t>
        </is>
      </c>
      <c r="X59" s="1" t="n"/>
      <c r="Y59" s="10" t="n"/>
      <c r="Z59" s="1" t="n"/>
      <c r="AA59" t="inlineStr">
        <is>
          <t>Yes</t>
        </is>
      </c>
      <c r="AB59" t="inlineStr">
        <is>
          <t>https://www.instagram.com/mathearena/?hl=de</t>
        </is>
      </c>
      <c r="AC59" t="inlineStr">
        <is>
          <t>https://www.linkedin.com/company/mathearena</t>
        </is>
      </c>
      <c r="AD59" t="inlineStr">
        <is>
          <t>https://www.linkedin.com/company/mathearena</t>
        </is>
      </c>
    </row>
    <row r="60" ht="12.5" customHeight="1">
      <c r="A60" s="6" t="n">
        <v>45300</v>
      </c>
      <c r="B60" s="1" t="inlineStr">
        <is>
          <t>ORG_1284</t>
        </is>
      </c>
      <c r="C60" s="1" t="b">
        <v>1</v>
      </c>
      <c r="D60" s="1" t="inlineStr">
        <is>
          <t>common sense - eLearning &amp; training consultants GmbH</t>
        </is>
      </c>
      <c r="E60" s="10" t="inlineStr">
        <is>
          <t>www.common-sense.at</t>
        </is>
      </c>
      <c r="F60" t="inlineStr">
        <is>
          <t>common-sense.at</t>
        </is>
      </c>
      <c r="G60" s="1" t="inlineStr">
        <is>
          <t>common sense offers eLearning services for corporates, non-profits and for international organizations. We bring training directly to the workplace, connecting experience, theory and practice. We recognize existing parameters and adapt our eLearning projects and products to provide sustainable solutions.</t>
        </is>
      </c>
      <c r="H60" s="1" t="inlineStr">
        <is>
          <t>EdTech Austria</t>
        </is>
      </c>
      <c r="I60" s="1" t="n"/>
      <c r="J60" s="1" t="inlineStr">
        <is>
          <t>VIENNA</t>
        </is>
      </c>
      <c r="K60" s="1" t="inlineStr">
        <is>
          <t>Austria</t>
        </is>
      </c>
      <c r="L60" s="1" t="inlineStr">
        <is>
          <t>Andorra, Armenia, Austria, Azerbaijan, Belgium, France, Georgia, Germany, Italy, Kazakhstan, Luxembourg, Netherlands, Romania, Switzerland, United Kingdom</t>
        </is>
      </c>
      <c r="M60" s="1" t="inlineStr">
        <is>
          <t>11 to 50</t>
        </is>
      </c>
      <c r="N60" s="1" t="inlineStr">
        <is>
          <t>Business to Business, Business to Consumer, Business to Government, Business to Schools</t>
        </is>
      </c>
      <c r="O60" s="1" t="inlineStr">
        <is>
          <t>Secondary Education, Higher Education, Corporate Training, Lifelong learning/Adult education</t>
        </is>
      </c>
      <c r="P60" s="1" t="inlineStr">
        <is>
          <t>System/Administrative, Student interfacing, Teacher interfacing</t>
        </is>
      </c>
      <c r="Q60" s="1" t="inlineStr">
        <is>
          <t>Content Development</t>
        </is>
      </c>
      <c r="R60" s="1" t="inlineStr">
        <is>
          <t>We prepare online training content to be instructionally sound, diverse and media compatible, as web-based training, micro learning module or mobile application.</t>
        </is>
      </c>
      <c r="S60" s="10" t="inlineStr">
        <is>
          <t>Digital Learning Consulting</t>
        </is>
      </c>
      <c r="T60" t="inlineStr">
        <is>
          <t>In consultancy, we focus on strategy, instructional design and the learning individual.</t>
        </is>
      </c>
      <c r="U60" s="1" t="inlineStr">
        <is>
          <t>https://drive.google.com/uc?export=view&amp;id=1Hq2j5oSVvUpfUO6aY5TLi-roBlGQTIyN</t>
        </is>
      </c>
      <c r="V60" s="1" t="inlineStr">
        <is>
          <t>Unverified</t>
        </is>
      </c>
      <c r="W60" s="1" t="inlineStr">
        <is>
          <t>https://drive.google.com/uc?export=view&amp;id=1Hq2j5oSVvUpfUO6aY5TLi-roBlGQTIyN</t>
        </is>
      </c>
      <c r="X60" s="1" t="n"/>
      <c r="Y60" s="10" t="n"/>
      <c r="Z60" s="1" t="n"/>
      <c r="AA60" t="inlineStr">
        <is>
          <t>Yes</t>
        </is>
      </c>
      <c r="AB60" t="inlineStr">
        <is>
          <t>common sense - eLearning &amp; training consultants GmbH</t>
        </is>
      </c>
      <c r="AC60" t="inlineStr">
        <is>
          <t>common sense - eLearning &amp; training consultants GmbH</t>
        </is>
      </c>
      <c r="AD60" t="inlineStr">
        <is>
          <t>https://www.linkedin.com/company/common-sense-elearning-&amp;-training-consultants</t>
        </is>
      </c>
    </row>
    <row r="61" ht="12.5" customHeight="1">
      <c r="A61" s="6" t="n">
        <v>45300</v>
      </c>
      <c r="B61" s="1" t="inlineStr">
        <is>
          <t>ORG_1392</t>
        </is>
      </c>
      <c r="C61" s="1" t="b">
        <v>1</v>
      </c>
      <c r="D61" s="1" t="inlineStr">
        <is>
          <t>Easybusiness Wirtschaftstraining online</t>
        </is>
      </c>
      <c r="E61" s="10" t="inlineStr">
        <is>
          <t>https://www.easy-business.cc/e-learning</t>
        </is>
      </c>
      <c r="F61" t="inlineStr">
        <is>
          <t>easy-business.cc/e-learning</t>
        </is>
      </c>
      <c r="G61" s="1" t="inlineStr">
        <is>
          <t>Easybusiness Wirtschaftstraining online has revolutionized the world of business education. It has been on the market for 24 years and is therefore a pioneer of e-learning and blended learning. With over 300,000 learners from hundreds of companies, schools, universities and VET the award-winning e-learning program "Easybusiness" is Europe's most successful learning software on the subject of "business administration". Enthusiastic feedback from all target groups: from students to managers in companies. It´s the official exam preparation program for obtaining the European Business Certificates from EBC*L. Available in 8 languages: German, English, Polish, Italian, Turkish, Hungarian, Slovenian, Czech)</t>
        </is>
      </c>
      <c r="H61" s="1" t="inlineStr">
        <is>
          <t>EdTech Austria</t>
        </is>
      </c>
      <c r="I61" s="1" t="n"/>
      <c r="J61" s="1" t="inlineStr">
        <is>
          <t>VIENNA</t>
        </is>
      </c>
      <c r="K61" s="1" t="inlineStr">
        <is>
          <t>Austria</t>
        </is>
      </c>
      <c r="L61" s="1" t="inlineStr">
        <is>
          <t>Austria, Croatia, Czechia, Germany, Hungary, Italy, Netherlands, Poland, Spain, Switzerland</t>
        </is>
      </c>
      <c r="M61" s="1" t="inlineStr">
        <is>
          <t>0 to 10</t>
        </is>
      </c>
      <c r="N61" s="1" t="inlineStr">
        <is>
          <t>Business to Business, Business to Consumer, Business to Government, Business to Schools</t>
        </is>
      </c>
      <c r="O61" s="1" t="inlineStr">
        <is>
          <t>Secondary Education, Higher Education, Corporate Training, Lifelong learning/Adult education</t>
        </is>
      </c>
      <c r="P61" s="1" t="inlineStr">
        <is>
          <t>Student interfacing, Teacher interfacing, System/Administrative</t>
        </is>
      </c>
      <c r="Q61" s="1" t="inlineStr">
        <is>
          <t>E-Learning "Business Administration and Management"</t>
        </is>
      </c>
      <c r="R61" t="inlineStr">
        <is>
          <t>Easybusiness Wirtschaftstraining online has revolutionized the world of business education. It has been on the market for 24 years and is therefore a pioneer of e-learning and blended learning. With over 300,000 learners from hundreds of companies, schools, universities and VET the award-winning e-learning program "Easybusiness" is Europe's most successful learning software on the subject of "business administration". Enthusiastic feedback from all target groups: from students to managers in companies. It´s the official exam preparation program for obtaining the European Business Certificates from EBC*L. Available in 8 languages: German, English, Polish, Italian, Turkish, Hungarian, Slovenian, Czech)</t>
        </is>
      </c>
      <c r="S61" s="1" t="inlineStr">
        <is>
          <t>E-Learning "Commercial English"</t>
        </is>
      </c>
      <c r="T61" t="inlineStr">
        <is>
          <t>With this learning program, even people without any previous knowledge can acquire the essential business knowledge in English, which is required in international business life: 
Topics: accounting, cost accounting, ratios, business law</t>
        </is>
      </c>
      <c r="U61" s="1" t="inlineStr">
        <is>
          <t>https://drive.google.com/uc?export=view&amp;id=1uVHtDu1BXSP-1dpNzSWAgVHVF5KwsNKc</t>
        </is>
      </c>
      <c r="V61" s="1" t="inlineStr">
        <is>
          <t>Unverified</t>
        </is>
      </c>
      <c r="W61" s="1" t="inlineStr">
        <is>
          <t>https://drive.google.com/uc?export=view&amp;id=1uVHtDu1BXSP-1dpNzSWAgVHVF5KwsNKc</t>
        </is>
      </c>
      <c r="X61" s="1" t="n"/>
      <c r="Y61" s="10" t="n"/>
      <c r="Z61" s="1" t="n"/>
      <c r="AA61" t="inlineStr">
        <is>
          <t>No</t>
        </is>
      </c>
    </row>
    <row r="62" ht="12.5" customHeight="1">
      <c r="A62" s="6" t="n">
        <v>45300</v>
      </c>
      <c r="B62" s="1" t="inlineStr">
        <is>
          <t>ORG_1546</t>
        </is>
      </c>
      <c r="C62" s="1" t="b">
        <v>1</v>
      </c>
      <c r="D62" s="1" t="inlineStr">
        <is>
          <t>eyeLearn</t>
        </is>
      </c>
      <c r="E62" s="10" t="inlineStr">
        <is>
          <t>https://www.eyeLearn.at</t>
        </is>
      </c>
      <c r="F62" t="inlineStr">
        <is>
          <t>eyelearn.at</t>
        </is>
      </c>
      <c r="G62" s="1" t="inlineStr">
        <is>
          <t>eyeLearn ist eine digitale Lernplattform, welche sich in 2 Bereiche gliedert, den Schul- und den Kursbereich.
Mit unseren Kursen kannst Du dich zu Themen wie, Microsoft Office, ECDL/ICDL, digitalen Tools, beruflichen Themen, Online-Marketing oder sonstigen Themen weiterbilden! Zusätzlich kannst Du dein Wissen bei den jeweiligen Prüfungen unter Beweis stellen, und, bei Erfolg, Dein eyeLearn-Zertifikat für Deinen Lebenslauf abholen!
Für Schüler*innen bietet eyeLearn genau die Inhalte, die sie jetzt gerade in ihrer Schule, ihrem Jahrgang und ihrem Fach lernen oder lernen werden.</t>
        </is>
      </c>
      <c r="H62" s="1" t="inlineStr">
        <is>
          <t>EdTech Austria</t>
        </is>
      </c>
      <c r="I62" s="1" t="inlineStr">
        <is>
          <t>German</t>
        </is>
      </c>
      <c r="J62" s="1" t="inlineStr">
        <is>
          <t>Gmunden</t>
        </is>
      </c>
      <c r="K62" s="1" t="inlineStr">
        <is>
          <t>Austria</t>
        </is>
      </c>
      <c r="L62" s="1" t="inlineStr">
        <is>
          <t>Austria, Germany, Liechtenstein, Switzerland</t>
        </is>
      </c>
      <c r="M62" s="1" t="inlineStr">
        <is>
          <t>0 to 2</t>
        </is>
      </c>
      <c r="N62" s="1" t="inlineStr">
        <is>
          <t>Business to Business, Business to Government, Business to Schools</t>
        </is>
      </c>
      <c r="O62" s="1" t="inlineStr">
        <is>
          <t>Primary Education, Secondary Education, Corporate Training, Lifelong learning/Adult education, Vocational Education and Training (VET), Higher Education</t>
        </is>
      </c>
      <c r="P62" s="1" t="inlineStr">
        <is>
          <t>System/Administrative, Student interfacing, Teacher interfacing</t>
        </is>
      </c>
      <c r="Q62" s="10" t="inlineStr">
        <is>
          <t>Kursbibliothek</t>
        </is>
      </c>
      <c r="R62" s="1" t="inlineStr">
        <is>
          <t>Mit unseren Kursen kannst Du dich zu Themen wie, Microsoft Office, ECDL/ICDL, digitalen Tools, beruflichen Themen, Online-Marketing oder sonstigen Themen weiterbilden! Zusätzlich kannst Du dein Wissen bei den jeweiligen Prüfungen unter Beweis stellen, und, bei Erfolg, Dein eyeLearn-Zertifikat für Deinen Lebenslauf abholen!</t>
        </is>
      </c>
      <c r="S62" s="10" t="inlineStr">
        <is>
          <t>Schulbereich</t>
        </is>
      </c>
      <c r="T62" t="inlineStr">
        <is>
          <t>Für Schüler*innen bietet eyeLearn genau die Inhalte, die sie jetzt gerade in ihrer Schule, ihrem Jahrgang und ihrem Fach lernen oder lernen werden.</t>
        </is>
      </c>
      <c r="U62" s="1" t="inlineStr">
        <is>
          <t>https://drive.google.com/uc?export=view&amp;id=1dbiTReU4JCwGtk6ShEyY4vDzcr8HXiYC</t>
        </is>
      </c>
      <c r="V62" s="1" t="inlineStr">
        <is>
          <t>Unverified</t>
        </is>
      </c>
      <c r="W62" s="1" t="inlineStr">
        <is>
          <t>https://drive.google.com/uc?export=view&amp;id=1dbiTReU4JCwGtk6ShEyY4vDzcr8HXiYC</t>
        </is>
      </c>
      <c r="X62" s="1" t="n"/>
      <c r="Y62" s="10" t="n"/>
      <c r="Z62" s="1" t="n"/>
      <c r="AA62" t="inlineStr">
        <is>
          <t>Yes</t>
        </is>
      </c>
      <c r="AB62" t="inlineStr">
        <is>
          <t>https://www.instagram.com/eyelearn_/</t>
        </is>
      </c>
      <c r="AC62" t="inlineStr">
        <is>
          <t>https://www.linkedin.com/company/eyelearn-gmbh/</t>
        </is>
      </c>
      <c r="AD62" t="inlineStr">
        <is>
          <t>https://www.linkedin.com/company/eyelearn-gmbh/</t>
        </is>
      </c>
    </row>
    <row r="63" ht="12.5" customHeight="1">
      <c r="A63" s="6" t="n">
        <v>45238</v>
      </c>
      <c r="B63" s="1" t="inlineStr">
        <is>
          <t>ORG_1090</t>
        </is>
      </c>
      <c r="C63" s="1" t="b">
        <v>1</v>
      </c>
      <c r="D63" s="1" t="inlineStr">
        <is>
          <t>ArchäoNOW</t>
        </is>
      </c>
      <c r="E63" s="10" t="inlineStr">
        <is>
          <t>www.archaeo-now.com</t>
        </is>
      </c>
      <c r="F63" t="inlineStr">
        <is>
          <t>archaeo-now.com</t>
        </is>
      </c>
      <c r="G63" s="1" t="inlineStr">
        <is>
          <t>Cultural education &amp; learning. Quiz races. Augmented Reality. ArchäoNOW stands for interactive and innovative quizzes and treasure hunts, for knowledge transfer and new technologies to explore Vienna's inner city (and beyond). By doing so, history becomes tangible and can be experienced. ArchäoNOW awakens the spirit of discovery and revolutionises the way knowledge and cultural heritage are conveyed. The team relies on good storytelling, game-based learning methods and innovative technologies. ArchäoNOW offers customised concepts and individual solutions within the framework of the Experience Studio.
With its expertise, ArchäoNOW is one of the world's pioneers in the field of playful cultural education combined with augmented and virtual reality. The team wants to give participants access to specific content in the cognitive field. Augmented and virtual reality allow people to fully engage with the environment and the objects within it, while receiving relevant visual and audio content. On an emotional level, ArchäoNOW is about making knowledge and culture transfer a vivid, surprising, creative and entertaining experience.</t>
        </is>
      </c>
      <c r="H63" s="1" t="inlineStr">
        <is>
          <t>EdTech Austria</t>
        </is>
      </c>
      <c r="I63" s="1" t="inlineStr">
        <is>
          <t>German, English</t>
        </is>
      </c>
      <c r="J63" s="1" t="inlineStr">
        <is>
          <t>Wien</t>
        </is>
      </c>
      <c r="K63" s="1" t="inlineStr">
        <is>
          <t>Austria</t>
        </is>
      </c>
      <c r="L63" s="1" t="inlineStr">
        <is>
          <t>Austria</t>
        </is>
      </c>
      <c r="M63" s="1" t="inlineStr">
        <is>
          <t>0 to 2</t>
        </is>
      </c>
      <c r="N63" s="1" t="inlineStr">
        <is>
          <t>Business to Business</t>
        </is>
      </c>
      <c r="O63" s="1" t="inlineStr">
        <is>
          <t>Lifelong learning/Adult education</t>
        </is>
      </c>
      <c r="P63" s="1" t="inlineStr">
        <is>
          <t>System/Administrative, Student interfacing, Teacher interfacing</t>
        </is>
      </c>
      <c r="Q63" s="10" t="inlineStr">
        <is>
          <t>Escape the Hofburg</t>
        </is>
      </c>
      <c r="R63" t="inlineStr">
        <is>
          <t>Immerse yourself in a world full of tricky puzzles that have to be solved with virtual and augmented reality. Face the encrypted tasks in the Hofburg Vienna, a maze and gloomy catacombs await you. 
You will receive special smartphones, a map, a puzzle sheet and a bag with mysterious clues and equipment. Through the smartphones' display, ArchäoNOW opens a window into imperial Vienna.
As a team you go on a treasure hunt. Everything needed to master the game is provided on site.
Along the way, you will learn a lot of interesting facts about the Hofburg, its inhabitants and its architectural history. Because: every detail of the game's history hides true historical backgrounds and facts.</t>
        </is>
      </c>
      <c r="S63" s="10" t="inlineStr">
        <is>
          <t>The Augmented Reality Tour</t>
        </is>
      </c>
      <c r="T63" t="inlineStr">
        <is>
          <t>Resurrect lost buildings, solve a historical murder case and follow in Mozart's footsteps on our interactive treasure hunt. On this tour, it is possible for the first time to experience Vienna's city center with the help of state-of-the-art augmented reality technology.</t>
        </is>
      </c>
      <c r="U63" s="1" t="n"/>
      <c r="V63" s="1" t="inlineStr">
        <is>
          <t>Unverified</t>
        </is>
      </c>
      <c r="W63" s="1" t="n"/>
      <c r="X63" s="1" t="n"/>
      <c r="Z63" s="1" t="n"/>
      <c r="AA63" t="inlineStr">
        <is>
          <t>Yes</t>
        </is>
      </c>
      <c r="AB63" t="inlineStr">
        <is>
          <t>https://www.instagram.com/archaeonow/</t>
        </is>
      </c>
      <c r="AC63" t="inlineStr">
        <is>
          <t>https://www.linkedin.com/company/archaeonow</t>
        </is>
      </c>
      <c r="AD63" t="inlineStr">
        <is>
          <t>https://www.linkedin.com/company/archaeonow</t>
        </is>
      </c>
    </row>
    <row r="64" ht="12.5" customHeight="1">
      <c r="A64" s="6" t="n">
        <v>45181</v>
      </c>
      <c r="B64" s="1" t="inlineStr">
        <is>
          <t>ORG_1135</t>
        </is>
      </c>
      <c r="C64" s="1" t="b">
        <v>1</v>
      </c>
      <c r="D64" s="1" t="inlineStr">
        <is>
          <t>Bacco Software Systems</t>
        </is>
      </c>
      <c r="E64" s="10" t="inlineStr">
        <is>
          <t>https://www.accento.app</t>
        </is>
      </c>
      <c r="F64" t="inlineStr">
        <is>
          <t>accento.app</t>
        </is>
      </c>
      <c r="G64" s="1" t="inlineStr">
        <is>
          <t>The goal of Bacco is to develop the Accento educational software, which will significantly improve the world of sound artists.
Musicians spend predominantly most of their time practising, not performing, so we want to revolutionize the quality of that practice time.
Accento will transform the value of personal practice time and teacher lessons: Music students will finally have fun practising and develop tremendous learning speed with Accento.</t>
        </is>
      </c>
      <c r="H64" s="1" t="inlineStr">
        <is>
          <t>EdTech Austria</t>
        </is>
      </c>
      <c r="I64" s="1" t="inlineStr">
        <is>
          <t>German, English, Spanish, Korean, Chinese, French, Danish</t>
        </is>
      </c>
      <c r="J64" s="1" t="inlineStr">
        <is>
          <t>SALZBURG</t>
        </is>
      </c>
      <c r="K64" s="1" t="inlineStr">
        <is>
          <t>Austria</t>
        </is>
      </c>
      <c r="L64" s="1" t="inlineStr">
        <is>
          <t>Andorra, Austria, Belgium, Bosnia and Herzegovina, Bulgaria, Croatia, Cyprus, Czechia, Denmark, Estonia, Finland, France, Germany, Greece, Hungary, Iceland, Ireland, Italy, Kosovo, Latvia, Liechtenstein, Lithuania, Luxembourg, Malta, Moldova, Monaco, Montenegro, Netherlands, Norway, Poland, Portugal, Romania, San Marino, Slovakia, Slovenia, Spain, Sweden, Switzerland, Turkey, Ukraine, United Kingdom</t>
        </is>
      </c>
      <c r="M64" s="1" t="inlineStr">
        <is>
          <t>3 to 5</t>
        </is>
      </c>
      <c r="N64" s="1" t="inlineStr">
        <is>
          <t>Business to Business, Business to Consumer</t>
        </is>
      </c>
      <c r="O64" s="1" t="inlineStr">
        <is>
          <t>Primary Education, Secondary Education, Lifelong learning/Adult education, Vocational Education and Training (VET)</t>
        </is>
      </c>
      <c r="P64" s="1" t="inlineStr">
        <is>
          <t>System/Administrative, Student interfacing, Teacher interfacing</t>
        </is>
      </c>
      <c r="Q64" t="inlineStr">
        <is>
          <t>Accento Music Assistant</t>
        </is>
      </c>
      <c r="R64" s="10" t="inlineStr">
        <is>
          <t>Accento not only supports and encourages the practice process. Meanwhile, it also promotes the joy of playing an instrument!
The advanced system, in combination with the outstanding frequency recognition algorithm, provides an optimal training progress for students. For this purpose, it analyses what was played and compares it with the piece. After that, specially tailored exercises created by music educators are compiled.
These pieces are integrated with learning concepts and perfectly coordinated with each other. They are also combined with different levels of difficulty and different musical styles.
In effect, the exercises are adapted exactly to the needs of the musician. This method leads to successful level-adapted training without demanding too much from the student.</t>
        </is>
      </c>
      <c r="S64" s="10" t="inlineStr">
        <is>
          <t>https://drive.google.com/uc?export=view&amp;id=19XZ0KipXO_51Tb6ojZ13DTogUG6eJecc</t>
        </is>
      </c>
      <c r="T64" t="inlineStr">
        <is>
          <t>https://drive.google.com/uc?export=view&amp;id=19XZ0KipXO_51Tb6ojZ13DTogUG6eJecc</t>
        </is>
      </c>
      <c r="U64" s="1" t="inlineStr">
        <is>
          <t>https://drive.google.com/uc?export=view&amp;id=19XZ0KipXO_51Tb6ojZ13DTogUG6eJecc</t>
        </is>
      </c>
      <c r="V64" s="1" t="inlineStr">
        <is>
          <t>Unverified</t>
        </is>
      </c>
      <c r="Y64" s="10" t="n"/>
      <c r="Z64" s="1" t="n"/>
      <c r="AA64" t="inlineStr">
        <is>
          <t>Yes</t>
        </is>
      </c>
      <c r="AB64" t="inlineStr">
        <is>
          <t>https://twitter.com/AccentoApp</t>
        </is>
      </c>
      <c r="AC64" t="inlineStr">
        <is>
          <t>https://twitter.com/AccentoApp</t>
        </is>
      </c>
      <c r="AD64" t="inlineStr">
        <is>
          <t>https://www.linkedin.com/company/bacco-software-systems</t>
        </is>
      </c>
    </row>
    <row r="65" ht="12.5" customHeight="1">
      <c r="A65" s="6" t="n">
        <v>45894</v>
      </c>
      <c r="B65" s="1" t="inlineStr">
        <is>
          <t>ORG_2658</t>
        </is>
      </c>
      <c r="C65" s="1" t="b">
        <v>1</v>
      </c>
      <c r="D65" s="1" t="inlineStr">
        <is>
          <t>NINEFEB Technical Documentation GmbH</t>
        </is>
      </c>
      <c r="E65" s="10" t="inlineStr">
        <is>
          <t>www.ninefeb.com</t>
        </is>
      </c>
      <c r="F65" t="inlineStr">
        <is>
          <t>ninefeb.com</t>
        </is>
      </c>
      <c r="G65" s="1" t="inlineStr">
        <is>
          <t>We are drafting eLearning and consulting eLearning for machinery, automotive, aviation, railway</t>
        </is>
      </c>
      <c r="H65" s="1" t="inlineStr">
        <is>
          <t>EdTech Austria</t>
        </is>
      </c>
      <c r="I65" s="1" t="inlineStr">
        <is>
          <t>English, German</t>
        </is>
      </c>
      <c r="J65" s="1" t="inlineStr">
        <is>
          <t>Vienna</t>
        </is>
      </c>
      <c r="K65" s="1" t="inlineStr">
        <is>
          <t>Austria</t>
        </is>
      </c>
      <c r="L65" s="1" t="inlineStr">
        <is>
          <t>Austria, Germany, United Kingdom, Switzerland</t>
        </is>
      </c>
      <c r="M65" s="1" t="inlineStr">
        <is>
          <t>Medium (50-250 FTE employees)</t>
        </is>
      </c>
      <c r="N65" s="1" t="inlineStr">
        <is>
          <t>Business to Business</t>
        </is>
      </c>
      <c r="O65" s="1" t="inlineStr">
        <is>
          <t>Corporate Training</t>
        </is>
      </c>
      <c r="P65" s="1" t="inlineStr">
        <is>
          <t>Other</t>
        </is>
      </c>
      <c r="Q65" t="inlineStr">
        <is>
          <t>drafting educationally sound eLearnings</t>
        </is>
      </c>
      <c r="R65" t="inlineStr">
        <is>
          <t>conceptualizing instructional paths</t>
        </is>
      </c>
      <c r="S65" t="inlineStr">
        <is>
          <t>AR/VR environments with learning analytics</t>
        </is>
      </c>
      <c r="T65" t="inlineStr">
        <is>
          <t>https://drive.google.com/uc?export=view&amp;id=1qGWZsyCai52rhZbM-MP3xLMqtBUW95Hf</t>
        </is>
      </c>
      <c r="U65" s="1" t="inlineStr">
        <is>
          <t>https://drive.google.com/uc?export=view&amp;id=1qGWZsyCai52rhZbM-MP3xLMqtBUW95Hf</t>
        </is>
      </c>
      <c r="V65" s="1" t="inlineStr">
        <is>
          <t>Verified</t>
        </is>
      </c>
      <c r="W65" s="1" t="inlineStr">
        <is>
          <t>Collaborations between EdTech organisations</t>
        </is>
      </c>
      <c r="X65" t="inlineStr">
        <is>
          <t>For-profit company</t>
        </is>
      </c>
      <c r="Y65" s="10" t="b">
        <v>1</v>
      </c>
      <c r="Z65" s="1" t="b">
        <v>0</v>
      </c>
      <c r="AA65" s="1" t="inlineStr">
        <is>
          <t>No</t>
        </is>
      </c>
      <c r="AB65" s="1" t="n"/>
      <c r="AC65" s="1" t="n"/>
      <c r="AD65" s="1" t="n"/>
    </row>
  </sheetData>
  <autoFilter ref="A1:AC1000"/>
  <hyperlinks>
    <hyperlink xmlns:r="http://schemas.openxmlformats.org/officeDocument/2006/relationships" ref="E2" r:id="rId1"/>
    <hyperlink xmlns:r="http://schemas.openxmlformats.org/officeDocument/2006/relationships" ref="P2" r:id="rId2"/>
    <hyperlink xmlns:r="http://schemas.openxmlformats.org/officeDocument/2006/relationships" ref="R2" r:id="rId3"/>
    <hyperlink xmlns:r="http://schemas.openxmlformats.org/officeDocument/2006/relationships" ref="W2" r:id="rId4"/>
    <hyperlink xmlns:r="http://schemas.openxmlformats.org/officeDocument/2006/relationships" ref="AC2" r:id="rId5"/>
    <hyperlink xmlns:r="http://schemas.openxmlformats.org/officeDocument/2006/relationships" ref="D3" r:id="rId6"/>
    <hyperlink xmlns:r="http://schemas.openxmlformats.org/officeDocument/2006/relationships" ref="E3" r:id="rId7"/>
    <hyperlink xmlns:r="http://schemas.openxmlformats.org/officeDocument/2006/relationships" ref="R3" r:id="rId8"/>
    <hyperlink xmlns:r="http://schemas.openxmlformats.org/officeDocument/2006/relationships" ref="S3" r:id="rId9"/>
    <hyperlink xmlns:r="http://schemas.openxmlformats.org/officeDocument/2006/relationships" ref="W3" r:id="rId10"/>
    <hyperlink xmlns:r="http://schemas.openxmlformats.org/officeDocument/2006/relationships" ref="P4" r:id="rId11"/>
    <hyperlink xmlns:r="http://schemas.openxmlformats.org/officeDocument/2006/relationships" ref="R4" r:id="rId12"/>
    <hyperlink xmlns:r="http://schemas.openxmlformats.org/officeDocument/2006/relationships" ref="W4" r:id="rId13"/>
    <hyperlink xmlns:r="http://schemas.openxmlformats.org/officeDocument/2006/relationships" ref="AC4" r:id="rId14"/>
    <hyperlink xmlns:r="http://schemas.openxmlformats.org/officeDocument/2006/relationships" ref="E5" r:id="rId15"/>
    <hyperlink xmlns:r="http://schemas.openxmlformats.org/officeDocument/2006/relationships" ref="W5" r:id="rId16"/>
    <hyperlink xmlns:r="http://schemas.openxmlformats.org/officeDocument/2006/relationships" ref="E6" r:id="rId17"/>
    <hyperlink xmlns:r="http://schemas.openxmlformats.org/officeDocument/2006/relationships" ref="W6" r:id="rId18"/>
    <hyperlink xmlns:r="http://schemas.openxmlformats.org/officeDocument/2006/relationships" ref="E7" r:id="rId19"/>
    <hyperlink xmlns:r="http://schemas.openxmlformats.org/officeDocument/2006/relationships" ref="R7" r:id="rId20"/>
    <hyperlink xmlns:r="http://schemas.openxmlformats.org/officeDocument/2006/relationships" ref="W7" r:id="rId21"/>
    <hyperlink xmlns:r="http://schemas.openxmlformats.org/officeDocument/2006/relationships" ref="E8" r:id="rId22"/>
    <hyperlink xmlns:r="http://schemas.openxmlformats.org/officeDocument/2006/relationships" ref="R8" r:id="rId23"/>
    <hyperlink xmlns:r="http://schemas.openxmlformats.org/officeDocument/2006/relationships" ref="AC8" r:id="rId24"/>
    <hyperlink xmlns:r="http://schemas.openxmlformats.org/officeDocument/2006/relationships" ref="E9" r:id="rId25"/>
    <hyperlink xmlns:r="http://schemas.openxmlformats.org/officeDocument/2006/relationships" ref="R9" r:id="rId26"/>
    <hyperlink xmlns:r="http://schemas.openxmlformats.org/officeDocument/2006/relationships" ref="E10" r:id="rId27"/>
    <hyperlink xmlns:r="http://schemas.openxmlformats.org/officeDocument/2006/relationships" ref="E11" r:id="rId28"/>
    <hyperlink xmlns:r="http://schemas.openxmlformats.org/officeDocument/2006/relationships" ref="R11" r:id="rId29"/>
    <hyperlink xmlns:r="http://schemas.openxmlformats.org/officeDocument/2006/relationships" ref="W11" r:id="rId30"/>
    <hyperlink xmlns:r="http://schemas.openxmlformats.org/officeDocument/2006/relationships" ref="E12" r:id="rId31"/>
    <hyperlink xmlns:r="http://schemas.openxmlformats.org/officeDocument/2006/relationships" ref="P12" r:id="rId32"/>
    <hyperlink xmlns:r="http://schemas.openxmlformats.org/officeDocument/2006/relationships" ref="R12" r:id="rId33"/>
    <hyperlink xmlns:r="http://schemas.openxmlformats.org/officeDocument/2006/relationships" ref="E13" r:id="rId34"/>
    <hyperlink xmlns:r="http://schemas.openxmlformats.org/officeDocument/2006/relationships" ref="R13" r:id="rId35"/>
    <hyperlink xmlns:r="http://schemas.openxmlformats.org/officeDocument/2006/relationships" ref="W13" r:id="rId36"/>
    <hyperlink xmlns:r="http://schemas.openxmlformats.org/officeDocument/2006/relationships" ref="D14" r:id="rId37"/>
    <hyperlink xmlns:r="http://schemas.openxmlformats.org/officeDocument/2006/relationships" ref="E14" r:id="rId38"/>
    <hyperlink xmlns:r="http://schemas.openxmlformats.org/officeDocument/2006/relationships" ref="P14" r:id="rId39"/>
    <hyperlink xmlns:r="http://schemas.openxmlformats.org/officeDocument/2006/relationships" ref="R14" r:id="rId40"/>
    <hyperlink xmlns:r="http://schemas.openxmlformats.org/officeDocument/2006/relationships" ref="E15" r:id="rId41"/>
    <hyperlink xmlns:r="http://schemas.openxmlformats.org/officeDocument/2006/relationships" ref="Q15" r:id="rId42"/>
    <hyperlink xmlns:r="http://schemas.openxmlformats.org/officeDocument/2006/relationships" ref="R15" r:id="rId43"/>
    <hyperlink xmlns:r="http://schemas.openxmlformats.org/officeDocument/2006/relationships" ref="W15" r:id="rId44"/>
    <hyperlink xmlns:r="http://schemas.openxmlformats.org/officeDocument/2006/relationships" ref="E16" r:id="rId45"/>
    <hyperlink xmlns:r="http://schemas.openxmlformats.org/officeDocument/2006/relationships" ref="R16" r:id="rId46"/>
    <hyperlink xmlns:r="http://schemas.openxmlformats.org/officeDocument/2006/relationships" ref="E17" r:id="rId47"/>
    <hyperlink xmlns:r="http://schemas.openxmlformats.org/officeDocument/2006/relationships" ref="P17" r:id="rId48"/>
    <hyperlink xmlns:r="http://schemas.openxmlformats.org/officeDocument/2006/relationships" ref="Q17" r:id="rId49"/>
    <hyperlink xmlns:r="http://schemas.openxmlformats.org/officeDocument/2006/relationships" ref="R17" r:id="rId50"/>
    <hyperlink xmlns:r="http://schemas.openxmlformats.org/officeDocument/2006/relationships" ref="W17" r:id="rId51"/>
    <hyperlink xmlns:r="http://schemas.openxmlformats.org/officeDocument/2006/relationships" ref="E18" r:id="rId52"/>
    <hyperlink xmlns:r="http://schemas.openxmlformats.org/officeDocument/2006/relationships" ref="E19" r:id="rId53"/>
    <hyperlink xmlns:r="http://schemas.openxmlformats.org/officeDocument/2006/relationships" ref="W19" r:id="rId54"/>
    <hyperlink xmlns:r="http://schemas.openxmlformats.org/officeDocument/2006/relationships" ref="E20" r:id="rId55"/>
    <hyperlink xmlns:r="http://schemas.openxmlformats.org/officeDocument/2006/relationships" ref="W20" r:id="rId56"/>
    <hyperlink xmlns:r="http://schemas.openxmlformats.org/officeDocument/2006/relationships" ref="E21" r:id="rId57"/>
    <hyperlink xmlns:r="http://schemas.openxmlformats.org/officeDocument/2006/relationships" ref="R21" r:id="rId58"/>
    <hyperlink xmlns:r="http://schemas.openxmlformats.org/officeDocument/2006/relationships" ref="W21" r:id="rId59"/>
    <hyperlink xmlns:r="http://schemas.openxmlformats.org/officeDocument/2006/relationships" ref="E22" r:id="rId60"/>
    <hyperlink xmlns:r="http://schemas.openxmlformats.org/officeDocument/2006/relationships" ref="P22" r:id="rId61"/>
    <hyperlink xmlns:r="http://schemas.openxmlformats.org/officeDocument/2006/relationships" ref="R22" r:id="rId62"/>
    <hyperlink xmlns:r="http://schemas.openxmlformats.org/officeDocument/2006/relationships" ref="W22" r:id="rId63"/>
    <hyperlink xmlns:r="http://schemas.openxmlformats.org/officeDocument/2006/relationships" ref="E23" r:id="rId64"/>
    <hyperlink xmlns:r="http://schemas.openxmlformats.org/officeDocument/2006/relationships" ref="E24" r:id="rId65"/>
    <hyperlink xmlns:r="http://schemas.openxmlformats.org/officeDocument/2006/relationships" ref="P24" r:id="rId66"/>
    <hyperlink xmlns:r="http://schemas.openxmlformats.org/officeDocument/2006/relationships" ref="R24" r:id="rId67"/>
    <hyperlink xmlns:r="http://schemas.openxmlformats.org/officeDocument/2006/relationships" ref="W24" r:id="rId68"/>
    <hyperlink xmlns:r="http://schemas.openxmlformats.org/officeDocument/2006/relationships" ref="E25" r:id="rId69"/>
    <hyperlink xmlns:r="http://schemas.openxmlformats.org/officeDocument/2006/relationships" ref="E26" r:id="rId70"/>
    <hyperlink xmlns:r="http://schemas.openxmlformats.org/officeDocument/2006/relationships" ref="W26" r:id="rId71"/>
    <hyperlink xmlns:r="http://schemas.openxmlformats.org/officeDocument/2006/relationships" ref="E27" r:id="rId72"/>
    <hyperlink xmlns:r="http://schemas.openxmlformats.org/officeDocument/2006/relationships" ref="P27" r:id="rId73"/>
    <hyperlink xmlns:r="http://schemas.openxmlformats.org/officeDocument/2006/relationships" ref="Q27" r:id="rId74"/>
    <hyperlink xmlns:r="http://schemas.openxmlformats.org/officeDocument/2006/relationships" ref="R27" r:id="rId75"/>
    <hyperlink xmlns:r="http://schemas.openxmlformats.org/officeDocument/2006/relationships" ref="E28" r:id="rId76"/>
    <hyperlink xmlns:r="http://schemas.openxmlformats.org/officeDocument/2006/relationships" ref="R28" r:id="rId77"/>
    <hyperlink xmlns:r="http://schemas.openxmlformats.org/officeDocument/2006/relationships" ref="E29" r:id="rId78"/>
    <hyperlink xmlns:r="http://schemas.openxmlformats.org/officeDocument/2006/relationships" ref="R29" r:id="rId79"/>
    <hyperlink xmlns:r="http://schemas.openxmlformats.org/officeDocument/2006/relationships" ref="E30" r:id="rId80"/>
    <hyperlink xmlns:r="http://schemas.openxmlformats.org/officeDocument/2006/relationships" ref="R30" r:id="rId81"/>
    <hyperlink xmlns:r="http://schemas.openxmlformats.org/officeDocument/2006/relationships" ref="W30" r:id="rId82"/>
    <hyperlink xmlns:r="http://schemas.openxmlformats.org/officeDocument/2006/relationships" ref="E31" r:id="rId83"/>
    <hyperlink xmlns:r="http://schemas.openxmlformats.org/officeDocument/2006/relationships" ref="E32" r:id="rId84"/>
    <hyperlink xmlns:r="http://schemas.openxmlformats.org/officeDocument/2006/relationships" ref="P32" r:id="rId85"/>
    <hyperlink xmlns:r="http://schemas.openxmlformats.org/officeDocument/2006/relationships" ref="R32" r:id="rId86"/>
    <hyperlink xmlns:r="http://schemas.openxmlformats.org/officeDocument/2006/relationships" ref="W32" r:id="rId87"/>
    <hyperlink xmlns:r="http://schemas.openxmlformats.org/officeDocument/2006/relationships" ref="E33" r:id="rId88"/>
    <hyperlink xmlns:r="http://schemas.openxmlformats.org/officeDocument/2006/relationships" ref="E34" r:id="rId89"/>
    <hyperlink xmlns:r="http://schemas.openxmlformats.org/officeDocument/2006/relationships" ref="P34" r:id="rId90"/>
    <hyperlink xmlns:r="http://schemas.openxmlformats.org/officeDocument/2006/relationships" ref="R34" r:id="rId91"/>
    <hyperlink xmlns:r="http://schemas.openxmlformats.org/officeDocument/2006/relationships" ref="E35" r:id="rId92"/>
    <hyperlink xmlns:r="http://schemas.openxmlformats.org/officeDocument/2006/relationships" ref="P35" r:id="rId93"/>
    <hyperlink xmlns:r="http://schemas.openxmlformats.org/officeDocument/2006/relationships" ref="W35" r:id="rId94"/>
    <hyperlink xmlns:r="http://schemas.openxmlformats.org/officeDocument/2006/relationships" ref="E36" r:id="rId95"/>
    <hyperlink xmlns:r="http://schemas.openxmlformats.org/officeDocument/2006/relationships" ref="P36" r:id="rId96"/>
    <hyperlink xmlns:r="http://schemas.openxmlformats.org/officeDocument/2006/relationships" ref="R36" r:id="rId97"/>
    <hyperlink xmlns:r="http://schemas.openxmlformats.org/officeDocument/2006/relationships" ref="W36" r:id="rId98"/>
    <hyperlink xmlns:r="http://schemas.openxmlformats.org/officeDocument/2006/relationships" ref="E37" r:id="rId99"/>
    <hyperlink xmlns:r="http://schemas.openxmlformats.org/officeDocument/2006/relationships" ref="R37" r:id="rId100"/>
    <hyperlink xmlns:r="http://schemas.openxmlformats.org/officeDocument/2006/relationships" ref="W37" r:id="rId101"/>
    <hyperlink xmlns:r="http://schemas.openxmlformats.org/officeDocument/2006/relationships" ref="E38" r:id="rId102"/>
    <hyperlink xmlns:r="http://schemas.openxmlformats.org/officeDocument/2006/relationships" ref="P38" r:id="rId103"/>
    <hyperlink xmlns:r="http://schemas.openxmlformats.org/officeDocument/2006/relationships" ref="Q38" r:id="rId104"/>
    <hyperlink xmlns:r="http://schemas.openxmlformats.org/officeDocument/2006/relationships" ref="R38" r:id="rId105"/>
    <hyperlink xmlns:r="http://schemas.openxmlformats.org/officeDocument/2006/relationships" ref="W38" r:id="rId106"/>
    <hyperlink xmlns:r="http://schemas.openxmlformats.org/officeDocument/2006/relationships" ref="D39" r:id="rId107"/>
    <hyperlink xmlns:r="http://schemas.openxmlformats.org/officeDocument/2006/relationships" ref="E39" r:id="rId108"/>
    <hyperlink xmlns:r="http://schemas.openxmlformats.org/officeDocument/2006/relationships" ref="Q39" r:id="rId109"/>
    <hyperlink xmlns:r="http://schemas.openxmlformats.org/officeDocument/2006/relationships" ref="R39" r:id="rId110"/>
    <hyperlink xmlns:r="http://schemas.openxmlformats.org/officeDocument/2006/relationships" ref="W39" r:id="rId111"/>
    <hyperlink xmlns:r="http://schemas.openxmlformats.org/officeDocument/2006/relationships" ref="E40" r:id="rId112"/>
    <hyperlink xmlns:r="http://schemas.openxmlformats.org/officeDocument/2006/relationships" ref="Q40" r:id="rId113"/>
    <hyperlink xmlns:r="http://schemas.openxmlformats.org/officeDocument/2006/relationships" ref="R40" r:id="rId114"/>
    <hyperlink xmlns:r="http://schemas.openxmlformats.org/officeDocument/2006/relationships" ref="E41" r:id="rId115"/>
    <hyperlink xmlns:r="http://schemas.openxmlformats.org/officeDocument/2006/relationships" ref="E42" r:id="rId116"/>
    <hyperlink xmlns:r="http://schemas.openxmlformats.org/officeDocument/2006/relationships" ref="E43" r:id="rId117"/>
    <hyperlink xmlns:r="http://schemas.openxmlformats.org/officeDocument/2006/relationships" ref="E44" r:id="rId118"/>
    <hyperlink xmlns:r="http://schemas.openxmlformats.org/officeDocument/2006/relationships" ref="P44" r:id="rId119"/>
    <hyperlink xmlns:r="http://schemas.openxmlformats.org/officeDocument/2006/relationships" ref="Q44" r:id="rId120"/>
    <hyperlink xmlns:r="http://schemas.openxmlformats.org/officeDocument/2006/relationships" ref="R44" r:id="rId121"/>
    <hyperlink xmlns:r="http://schemas.openxmlformats.org/officeDocument/2006/relationships" ref="W44" r:id="rId122"/>
    <hyperlink xmlns:r="http://schemas.openxmlformats.org/officeDocument/2006/relationships" ref="E45" r:id="rId123"/>
    <hyperlink xmlns:r="http://schemas.openxmlformats.org/officeDocument/2006/relationships" ref="P45" r:id="rId124"/>
    <hyperlink xmlns:r="http://schemas.openxmlformats.org/officeDocument/2006/relationships" ref="Q45" r:id="rId125"/>
    <hyperlink xmlns:r="http://schemas.openxmlformats.org/officeDocument/2006/relationships" ref="R45" r:id="rId126"/>
    <hyperlink xmlns:r="http://schemas.openxmlformats.org/officeDocument/2006/relationships" ref="E46" r:id="rId127"/>
    <hyperlink xmlns:r="http://schemas.openxmlformats.org/officeDocument/2006/relationships" ref="R46" r:id="rId128"/>
    <hyperlink xmlns:r="http://schemas.openxmlformats.org/officeDocument/2006/relationships" ref="W46" r:id="rId129"/>
    <hyperlink xmlns:r="http://schemas.openxmlformats.org/officeDocument/2006/relationships" ref="E47" r:id="rId130"/>
    <hyperlink xmlns:r="http://schemas.openxmlformats.org/officeDocument/2006/relationships" ref="E48" r:id="rId131"/>
    <hyperlink xmlns:r="http://schemas.openxmlformats.org/officeDocument/2006/relationships" ref="R48" r:id="rId132"/>
    <hyperlink xmlns:r="http://schemas.openxmlformats.org/officeDocument/2006/relationships" ref="W48" r:id="rId133"/>
    <hyperlink xmlns:r="http://schemas.openxmlformats.org/officeDocument/2006/relationships" ref="E49" r:id="rId134"/>
    <hyperlink xmlns:r="http://schemas.openxmlformats.org/officeDocument/2006/relationships" ref="P49" r:id="rId135"/>
    <hyperlink xmlns:r="http://schemas.openxmlformats.org/officeDocument/2006/relationships" ref="Q49" r:id="rId136"/>
    <hyperlink xmlns:r="http://schemas.openxmlformats.org/officeDocument/2006/relationships" ref="R49" r:id="rId137"/>
    <hyperlink xmlns:r="http://schemas.openxmlformats.org/officeDocument/2006/relationships" ref="W49" r:id="rId138"/>
    <hyperlink xmlns:r="http://schemas.openxmlformats.org/officeDocument/2006/relationships" ref="E50" r:id="rId139"/>
    <hyperlink xmlns:r="http://schemas.openxmlformats.org/officeDocument/2006/relationships" ref="W50" r:id="rId140"/>
    <hyperlink xmlns:r="http://schemas.openxmlformats.org/officeDocument/2006/relationships" ref="E51" r:id="rId141"/>
    <hyperlink xmlns:r="http://schemas.openxmlformats.org/officeDocument/2006/relationships" ref="R51" r:id="rId142"/>
    <hyperlink xmlns:r="http://schemas.openxmlformats.org/officeDocument/2006/relationships" ref="W51" r:id="rId143"/>
    <hyperlink xmlns:r="http://schemas.openxmlformats.org/officeDocument/2006/relationships" ref="E52" r:id="rId144"/>
    <hyperlink xmlns:r="http://schemas.openxmlformats.org/officeDocument/2006/relationships" ref="T52" r:id="rId145"/>
    <hyperlink xmlns:r="http://schemas.openxmlformats.org/officeDocument/2006/relationships" ref="V52" r:id="rId146"/>
    <hyperlink xmlns:r="http://schemas.openxmlformats.org/officeDocument/2006/relationships" ref="W52" r:id="rId147"/>
    <hyperlink xmlns:r="http://schemas.openxmlformats.org/officeDocument/2006/relationships" ref="E53" r:id="rId148"/>
    <hyperlink xmlns:r="http://schemas.openxmlformats.org/officeDocument/2006/relationships" ref="P53" r:id="rId149"/>
    <hyperlink xmlns:r="http://schemas.openxmlformats.org/officeDocument/2006/relationships" ref="Q53" r:id="rId150"/>
    <hyperlink xmlns:r="http://schemas.openxmlformats.org/officeDocument/2006/relationships" ref="R53" r:id="rId151"/>
    <hyperlink xmlns:r="http://schemas.openxmlformats.org/officeDocument/2006/relationships" ref="E54" r:id="rId152"/>
    <hyperlink xmlns:r="http://schemas.openxmlformats.org/officeDocument/2006/relationships" ref="R54" r:id="rId153"/>
    <hyperlink xmlns:r="http://schemas.openxmlformats.org/officeDocument/2006/relationships" ref="W54" r:id="rId154"/>
    <hyperlink xmlns:r="http://schemas.openxmlformats.org/officeDocument/2006/relationships" ref="E55" r:id="rId155"/>
    <hyperlink xmlns:r="http://schemas.openxmlformats.org/officeDocument/2006/relationships" ref="P55" r:id="rId156"/>
    <hyperlink xmlns:r="http://schemas.openxmlformats.org/officeDocument/2006/relationships" ref="E56" r:id="rId157"/>
    <hyperlink xmlns:r="http://schemas.openxmlformats.org/officeDocument/2006/relationships" ref="P56" r:id="rId158"/>
    <hyperlink xmlns:r="http://schemas.openxmlformats.org/officeDocument/2006/relationships" ref="Q56" r:id="rId159"/>
    <hyperlink xmlns:r="http://schemas.openxmlformats.org/officeDocument/2006/relationships" ref="R56" r:id="rId160"/>
    <hyperlink xmlns:r="http://schemas.openxmlformats.org/officeDocument/2006/relationships" ref="W56" r:id="rId161"/>
    <hyperlink xmlns:r="http://schemas.openxmlformats.org/officeDocument/2006/relationships" ref="E57" r:id="rId162"/>
    <hyperlink xmlns:r="http://schemas.openxmlformats.org/officeDocument/2006/relationships" ref="W57" r:id="rId163"/>
    <hyperlink xmlns:r="http://schemas.openxmlformats.org/officeDocument/2006/relationships" ref="E58" r:id="rId164"/>
    <hyperlink xmlns:r="http://schemas.openxmlformats.org/officeDocument/2006/relationships" ref="P58" r:id="rId165"/>
    <hyperlink xmlns:r="http://schemas.openxmlformats.org/officeDocument/2006/relationships" ref="Q58" r:id="rId166"/>
    <hyperlink xmlns:r="http://schemas.openxmlformats.org/officeDocument/2006/relationships" ref="R58" r:id="rId167"/>
    <hyperlink xmlns:r="http://schemas.openxmlformats.org/officeDocument/2006/relationships" ref="W58" r:id="rId168"/>
    <hyperlink xmlns:r="http://schemas.openxmlformats.org/officeDocument/2006/relationships" ref="E59" r:id="rId169"/>
    <hyperlink xmlns:r="http://schemas.openxmlformats.org/officeDocument/2006/relationships" ref="P59" r:id="rId170"/>
    <hyperlink xmlns:r="http://schemas.openxmlformats.org/officeDocument/2006/relationships" ref="R59" r:id="rId171"/>
    <hyperlink xmlns:r="http://schemas.openxmlformats.org/officeDocument/2006/relationships" ref="W59" r:id="rId172"/>
    <hyperlink xmlns:r="http://schemas.openxmlformats.org/officeDocument/2006/relationships" ref="E60" r:id="rId173"/>
    <hyperlink xmlns:r="http://schemas.openxmlformats.org/officeDocument/2006/relationships" ref="R60" r:id="rId174"/>
    <hyperlink xmlns:r="http://schemas.openxmlformats.org/officeDocument/2006/relationships" ref="W60" r:id="rId175"/>
    <hyperlink xmlns:r="http://schemas.openxmlformats.org/officeDocument/2006/relationships" ref="E61" r:id="rId176"/>
    <hyperlink xmlns:r="http://schemas.openxmlformats.org/officeDocument/2006/relationships" ref="W61" r:id="rId177"/>
    <hyperlink xmlns:r="http://schemas.openxmlformats.org/officeDocument/2006/relationships" ref="E62" r:id="rId178"/>
    <hyperlink xmlns:r="http://schemas.openxmlformats.org/officeDocument/2006/relationships" ref="P62" r:id="rId179"/>
    <hyperlink xmlns:r="http://schemas.openxmlformats.org/officeDocument/2006/relationships" ref="R62" r:id="rId180"/>
    <hyperlink xmlns:r="http://schemas.openxmlformats.org/officeDocument/2006/relationships" ref="W62" r:id="rId181"/>
    <hyperlink xmlns:r="http://schemas.openxmlformats.org/officeDocument/2006/relationships" ref="E63" r:id="rId182"/>
    <hyperlink xmlns:r="http://schemas.openxmlformats.org/officeDocument/2006/relationships" ref="P63" r:id="rId183"/>
    <hyperlink xmlns:r="http://schemas.openxmlformats.org/officeDocument/2006/relationships" ref="R63" r:id="rId184"/>
    <hyperlink xmlns:r="http://schemas.openxmlformats.org/officeDocument/2006/relationships" ref="E64" r:id="rId185"/>
    <hyperlink xmlns:r="http://schemas.openxmlformats.org/officeDocument/2006/relationships" ref="Q64" r:id="rId186"/>
    <hyperlink xmlns:r="http://schemas.openxmlformats.org/officeDocument/2006/relationships" ref="R64" r:id="rId187"/>
    <hyperlink xmlns:r="http://schemas.openxmlformats.org/officeDocument/2006/relationships" ref="E65" r:id="rId188"/>
    <hyperlink xmlns:r="http://schemas.openxmlformats.org/officeDocument/2006/relationships" ref="W65" r:id="rId189"/>
  </hyperlink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E70"/>
  <sheetViews>
    <sheetView workbookViewId="0">
      <selection activeCell="I1" sqref="I1:J1048576"/>
    </sheetView>
  </sheetViews>
  <sheetFormatPr baseColWidth="8" defaultColWidth="12.6328125" defaultRowHeight="15.75" customHeight="1"/>
  <sheetData>
    <row r="1" ht="15.75" customHeight="1">
      <c r="A1" s="1" t="inlineStr">
        <is>
          <t>last_update_date</t>
        </is>
      </c>
      <c r="B1" s="1" t="inlineStr">
        <is>
          <t>org_id</t>
        </is>
      </c>
      <c r="C1" s="1" t="inlineStr">
        <is>
          <t>is_current</t>
        </is>
      </c>
      <c r="D1" s="1" t="inlineStr">
        <is>
          <t>public_name</t>
        </is>
      </c>
      <c r="E1" s="1" t="inlineStr">
        <is>
          <t>website</t>
        </is>
      </c>
      <c r="F1" t="inlineStr">
        <is>
          <t>website_standardized</t>
        </is>
      </c>
      <c r="G1" s="1" t="inlineStr">
        <is>
          <t>org_desc</t>
        </is>
      </c>
      <c r="H1" s="1" t="inlineStr">
        <is>
          <t>member_association</t>
        </is>
      </c>
      <c r="I1" s="1" t="inlineStr">
        <is>
          <t>product_language</t>
        </is>
      </c>
      <c r="J1" s="1" t="inlineStr">
        <is>
          <t>city</t>
        </is>
      </c>
      <c r="K1" s="1" t="inlineStr">
        <is>
          <t>country</t>
        </is>
      </c>
      <c r="L1" s="1" t="inlineStr">
        <is>
          <t>sell_countries</t>
        </is>
      </c>
      <c r="M1" s="1" t="inlineStr">
        <is>
          <t>employees_number</t>
        </is>
      </c>
      <c r="N1" s="1" t="inlineStr">
        <is>
          <t>business_model</t>
        </is>
      </c>
      <c r="O1" s="1" t="inlineStr">
        <is>
          <t>market_segments</t>
        </is>
      </c>
      <c r="P1" s="1" t="inlineStr">
        <is>
          <t>target_audience</t>
        </is>
      </c>
      <c r="Q1" s="1" t="inlineStr">
        <is>
          <t>product_1_name</t>
        </is>
      </c>
      <c r="R1" s="1" t="inlineStr">
        <is>
          <t>product_1_desc</t>
        </is>
      </c>
      <c r="S1" s="1" t="inlineStr">
        <is>
          <t>product_2_name</t>
        </is>
      </c>
      <c r="T1" t="inlineStr">
        <is>
          <t>product_2_desc</t>
        </is>
      </c>
      <c r="U1" s="1" t="inlineStr">
        <is>
          <t>WeMap_URL</t>
        </is>
      </c>
      <c r="V1" s="1" t="inlineStr">
        <is>
          <t>verified</t>
        </is>
      </c>
      <c r="W1" s="1" t="inlineStr">
        <is>
          <t>partnerships</t>
        </is>
      </c>
      <c r="X1" s="1" t="inlineStr">
        <is>
          <t>profit_status</t>
        </is>
      </c>
      <c r="Y1" s="1" t="inlineStr">
        <is>
          <t>edu_settings</t>
        </is>
      </c>
      <c r="Z1" s="1" t="inlineStr">
        <is>
          <t>edu_content</t>
        </is>
      </c>
      <c r="AA1" s="1" t="inlineStr">
        <is>
          <t>socials_available</t>
        </is>
      </c>
      <c r="AB1" s="1" t="inlineStr">
        <is>
          <t>socials_insta</t>
        </is>
      </c>
      <c r="AC1" s="1" t="inlineStr">
        <is>
          <t>socials_x</t>
        </is>
      </c>
      <c r="AD1" s="1" t="inlineStr">
        <is>
          <t>socials_linkedin</t>
        </is>
      </c>
      <c r="AE1" s="1" t="inlineStr">
        <is>
          <t>facebook</t>
        </is>
      </c>
    </row>
    <row r="2" ht="15.75" customHeight="1">
      <c r="A2" s="6" t="n">
        <v>45894</v>
      </c>
      <c r="B2" s="1" t="inlineStr">
        <is>
          <t>ORG_2657</t>
        </is>
      </c>
      <c r="C2" s="1" t="b">
        <v>1</v>
      </c>
      <c r="D2" s="1" t="inlineStr">
        <is>
          <t>Dokimazo</t>
        </is>
      </c>
      <c r="E2" s="10" t="inlineStr">
        <is>
          <t>www.dokimazo.io</t>
        </is>
      </c>
      <c r="F2" t="inlineStr">
        <is>
          <t>dokimazo.io</t>
        </is>
      </c>
      <c r="G2" s="1" t="inlineStr">
        <is>
          <t>Dokimazo is a new EdTech startup that aims to transform skills into a universal currency. Thanks to an AI-based Skill Wallet, individuals, training providers, and organisations can easily define development goals, collect learning evidence and certificates, and document their development over time In April 2025, a jury of experts and investors at the Innovation Training Summit in Rome awarded Dokimazo "Startup of the Year".</t>
        </is>
      </c>
      <c r="H2" s="1" t="inlineStr">
        <is>
          <t>EdTech Italia</t>
        </is>
      </c>
      <c r="I2" s="1" t="inlineStr">
        <is>
          <t>Italian, English</t>
        </is>
      </c>
      <c r="J2" s="1" t="inlineStr">
        <is>
          <t>Milan</t>
        </is>
      </c>
      <c r="K2" s="1" t="inlineStr">
        <is>
          <t>Italy</t>
        </is>
      </c>
      <c r="L2" s="1" t="inlineStr">
        <is>
          <t>Italy</t>
        </is>
      </c>
      <c r="M2" s="1" t="inlineStr">
        <is>
          <t>Micro (1-9 FTE employees)</t>
        </is>
      </c>
      <c r="N2" s="1" t="inlineStr">
        <is>
          <t>Business to Business, Business to Consumer, Business to Schools</t>
        </is>
      </c>
      <c r="O2" s="1" t="inlineStr">
        <is>
          <t>Higher Education, Vocational Education and Training (VET), Corporate Training, Lifelong learning/Adult education</t>
        </is>
      </c>
      <c r="P2" s="1" t="inlineStr">
        <is>
          <t>System/Administrative, Teacher interfacing, Student interfacing</t>
        </is>
      </c>
      <c r="Q2" s="1" t="inlineStr">
        <is>
          <t>Dokimazo for organisations</t>
        </is>
      </c>
      <c r="R2" t="inlineStr">
        <is>
          <t>Our innovative tool is a Skill Wallet to turn skills into tangible value with the aid of Dokipilot, our AI Assistant. 
Organisations can quickly create skills and job roles and assign them to the employees in their Skill Wallets, validate and monitor them.</t>
        </is>
      </c>
      <c r="S2" s="10" t="inlineStr">
        <is>
          <t>Dokimazo for training providers</t>
        </is>
      </c>
      <c r="T2" t="inlineStr">
        <is>
          <t>Our innovative tool is a Skill Wallet to turn skill into tangible value with the aid of Dokipilot, our AI Assistant. 
Training providers can quickly extract target skills from syllabi and course descriptions, assign them to students, and validate them in the students' Skill Wallets.</t>
        </is>
      </c>
      <c r="U2" s="1" t="inlineStr">
        <is>
          <t>https://drive.google.com/uc?export=view&amp;id=1l6XrvSusnNphymMofSdddulF5Vn7h67V</t>
        </is>
      </c>
      <c r="V2" s="1" t="inlineStr">
        <is>
          <t>Verified</t>
        </is>
      </c>
      <c r="W2" s="1" t="inlineStr">
        <is>
          <t>Collaborations between EdTech organisations, Project consortium building, Public-private partnerships, Industry-academia partnerships, Other</t>
        </is>
      </c>
      <c r="X2" s="1" t="inlineStr">
        <is>
          <t>For-profit company</t>
        </is>
      </c>
      <c r="Y2" s="10" t="b">
        <v>1</v>
      </c>
      <c r="Z2" s="1" t="b">
        <v>1</v>
      </c>
      <c r="AA2" s="1" t="inlineStr">
        <is>
          <t>Yes</t>
        </is>
      </c>
      <c r="AB2" s="1" t="n"/>
      <c r="AC2" s="1" t="inlineStr">
        <is>
          <t>https://www.linkedin.com/company/dokimazo</t>
        </is>
      </c>
      <c r="AD2" s="1" t="inlineStr">
        <is>
          <t>https://www.linkedin.com/company/dokimazo</t>
        </is>
      </c>
      <c r="AE2" s="1" t="n"/>
    </row>
    <row r="3" ht="15.75" customHeight="1">
      <c r="A3" s="6" t="n">
        <v>45893</v>
      </c>
      <c r="B3" s="1" t="inlineStr">
        <is>
          <t>ORG_2653</t>
        </is>
      </c>
      <c r="C3" s="1" t="b">
        <v>1</v>
      </c>
      <c r="D3" s="1" t="inlineStr">
        <is>
          <t>IMPROOVO 12 S.R.L. SOCIETÀ BENEFIT</t>
        </is>
      </c>
      <c r="E3" s="10" t="inlineStr">
        <is>
          <t>www.improovo.com</t>
        </is>
      </c>
      <c r="F3" t="inlineStr">
        <is>
          <t>improovo.com</t>
        </is>
      </c>
      <c r="G3" s="1" t="inlineStr">
        <is>
          <t>Improovo is an online, crowdsourced platform that helps companies quickly and affordably find, compare, and select corporate training providers tailored to their needs.</t>
        </is>
      </c>
      <c r="H3" s="1" t="inlineStr">
        <is>
          <t>EdTech Italia</t>
        </is>
      </c>
      <c r="I3" s="1" t="inlineStr">
        <is>
          <t>Italian</t>
        </is>
      </c>
      <c r="J3" s="1" t="inlineStr">
        <is>
          <t>Lugo (RA)</t>
        </is>
      </c>
      <c r="K3" s="1" t="inlineStr">
        <is>
          <t>Italy</t>
        </is>
      </c>
      <c r="L3" s="1" t="inlineStr">
        <is>
          <t>Italy</t>
        </is>
      </c>
      <c r="M3" s="1" t="inlineStr">
        <is>
          <t>Micro (1-9 FTE employees)</t>
        </is>
      </c>
      <c r="N3" s="1" t="inlineStr">
        <is>
          <t>Business to Business, Business to Consumer</t>
        </is>
      </c>
      <c r="O3" s="1" t="inlineStr">
        <is>
          <t>Corporate Training, Lifelong learning/Adult education</t>
        </is>
      </c>
      <c r="P3" s="1" t="inlineStr">
        <is>
          <t>Other</t>
        </is>
      </c>
      <c r="Q3" s="1" t="inlineStr">
        <is>
          <t>Improovo</t>
        </is>
      </c>
      <c r="R3" t="inlineStr">
        <is>
          <t>Improovo is an online, crowdsourced platform that helps companies quickly and affordably find, compare, and select corporate training providers tailored to their needs.</t>
        </is>
      </c>
      <c r="S3" s="10" t="inlineStr">
        <is>
          <t>https://drive.google.com/uc?export=view&amp;id=1LSWaFU_g62NZWmAm_Prsev9HdkJS11uP</t>
        </is>
      </c>
      <c r="T3" t="inlineStr">
        <is>
          <t>https://drive.google.com/uc?export=view&amp;id=1LSWaFU_g62NZWmAm_Prsev9HdkJS11uP</t>
        </is>
      </c>
      <c r="U3" s="1" t="inlineStr">
        <is>
          <t>https://drive.google.com/uc?export=view&amp;id=1LSWaFU_g62NZWmAm_Prsev9HdkJS11uP</t>
        </is>
      </c>
      <c r="V3" s="1" t="inlineStr">
        <is>
          <t>Verified</t>
        </is>
      </c>
      <c r="W3" t="inlineStr">
        <is>
          <t>Collaborations between EdTech organisations, Project consortium building</t>
        </is>
      </c>
      <c r="X3" t="inlineStr">
        <is>
          <t>For-profit company</t>
        </is>
      </c>
      <c r="Y3" s="10" t="b">
        <v>1</v>
      </c>
      <c r="Z3" s="1" t="b">
        <v>1</v>
      </c>
      <c r="AA3" s="1" t="inlineStr">
        <is>
          <t>Yes</t>
        </is>
      </c>
      <c r="AB3" s="1" t="n"/>
      <c r="AC3" s="1" t="inlineStr">
        <is>
          <t>https://www.linkedin.com/company/improovo</t>
        </is>
      </c>
      <c r="AD3" s="1" t="inlineStr">
        <is>
          <t>https://www.linkedin.com/company/improovo</t>
        </is>
      </c>
      <c r="AE3" s="1" t="n"/>
    </row>
    <row r="4" ht="15.75" customHeight="1">
      <c r="A4" s="6" t="n">
        <v>45889</v>
      </c>
      <c r="B4" s="1" t="inlineStr">
        <is>
          <t>ORG_1099</t>
        </is>
      </c>
      <c r="C4" s="1" t="b">
        <v>1</v>
      </c>
      <c r="D4" s="1" t="inlineStr">
        <is>
          <t>ArtCentrica</t>
        </is>
      </c>
      <c r="E4" s="10" t="inlineStr">
        <is>
          <t>https://www.artcentrica.com</t>
        </is>
      </c>
      <c r="F4" t="inlineStr">
        <is>
          <t>artcentrica.com</t>
        </is>
      </c>
      <c r="G4" s="1" t="inlineStr">
        <is>
          <t>ArtCentrica is the EdTech/CultTech startup that revolutionizes how art is taught, learned and appreciated and the learning of other disciplines through art. ArtCentrica is a spin off of Centrica https://www.centrica.it an early mover in the intersection of art, education, and innovation. ArtCentrica EDU is a cloud application with more than 8,000 artworks, from 21 global museums (Uffizi Galleries, Brera, MET, ,...) with images up to 10 GigaPixel. With ArtCentrica Platform we design customised projects, like «The Greatest Wildlife Photographs» for National Geographic. ArtCentrica is introducing a unique educational tool where human and artificial intelligence converge to create interactive multimedia narratives: AI ArtCentrica Stories, like in "Renaissance and the Silk Road" https://stories.art.centrica.it/shared/9QNQ5hsxGANbbetE https://tinyurl.com/3dnzxv5z</t>
        </is>
      </c>
      <c r="H4" s="1" t="inlineStr">
        <is>
          <t>EdTech Italia</t>
        </is>
      </c>
      <c r="I4" s="1" t="inlineStr">
        <is>
          <t>English, Italian, French, Spanish, Portuguese, German</t>
        </is>
      </c>
      <c r="J4" s="1" t="inlineStr">
        <is>
          <t>Florence</t>
        </is>
      </c>
      <c r="K4" s="1" t="inlineStr">
        <is>
          <t>Italy</t>
        </is>
      </c>
      <c r="L4" s="1" t="inlineStr">
        <is>
          <t>France, Germany, Italy, United Kingdom, Switzerland</t>
        </is>
      </c>
      <c r="M4" s="1" t="inlineStr">
        <is>
          <t>Micro (1-9 FTE employees)</t>
        </is>
      </c>
      <c r="N4" s="1" t="inlineStr">
        <is>
          <t>Business to Business, Business to Government, Business to Schools</t>
        </is>
      </c>
      <c r="O4" s="1" t="inlineStr">
        <is>
          <t>Secondary Education, Primary Education, Higher Education, Lifelong learning/Adult education</t>
        </is>
      </c>
      <c r="P4" s="1" t="inlineStr">
        <is>
          <t>Student interfacing, Teacher interfacing</t>
        </is>
      </c>
      <c r="Q4" s="10" t="inlineStr">
        <is>
          <t>ArtCentrica EDU</t>
        </is>
      </c>
      <c r="R4" t="inlineStr">
        <is>
          <t>ArtCentrica EDU is a cloud application with more than 8,000 artworks, from 21 global museums (Uffizi Galleries, Brera, MET,...) with images up to 10 GigaPixel for each artwork. Through the lens of art, it aims to provide students with essential soft skills to tackle today’s and tomorrow challenges.</t>
        </is>
      </c>
      <c r="S4" s="10" t="inlineStr">
        <is>
          <t>AI ArtCentrica Stories</t>
        </is>
      </c>
      <c r="T4" t="inlineStr">
        <is>
          <t>A unique educational tool where human and artificial intelligence converge to create interactive multimedia narratives centred around works of art, like in "Renaissance and the Silk Road" https://stories.art.centrica.it/shared/9QNQ5hsxGANbbetE</t>
        </is>
      </c>
      <c r="U4" s="1" t="inlineStr">
        <is>
          <t>https://drive.google.com/uc?export=view&amp;id=1YtvHoKbpSptFCweYTXU_tUzyyCYwAur0</t>
        </is>
      </c>
      <c r="V4" s="1" t="inlineStr">
        <is>
          <t>Verified</t>
        </is>
      </c>
      <c r="W4" s="1" t="inlineStr">
        <is>
          <t>Collaborations between EdTech organisations, Public-private partnerships, Industry-academia partnerships</t>
        </is>
      </c>
      <c r="X4" s="1" t="inlineStr">
        <is>
          <t>For-profit company</t>
        </is>
      </c>
      <c r="Y4" s="10" t="b">
        <v>1</v>
      </c>
      <c r="Z4" s="1" t="b">
        <v>1</v>
      </c>
      <c r="AA4" s="1" t="inlineStr">
        <is>
          <t>Yes</t>
        </is>
      </c>
      <c r="AB4" s="1" t="inlineStr">
        <is>
          <t>https://www.instagram.com/artcentrica/</t>
        </is>
      </c>
      <c r="AC4" s="1" t="inlineStr">
        <is>
          <t>https://www.linkedin.com/company/artcentrica</t>
        </is>
      </c>
      <c r="AD4" s="1" t="inlineStr">
        <is>
          <t>https://www.linkedin.com/company/artcentrica</t>
        </is>
      </c>
      <c r="AE4" s="10" t="inlineStr">
        <is>
          <t>https://www.facebook.com/ArtCentricaEDU</t>
        </is>
      </c>
    </row>
    <row r="5" ht="15.75" customHeight="1">
      <c r="A5" s="6" t="n">
        <v>45889</v>
      </c>
      <c r="B5" s="1" t="inlineStr">
        <is>
          <t>ORG_1058</t>
        </is>
      </c>
      <c r="C5" s="1" t="b">
        <v>1</v>
      </c>
      <c r="D5" s="1" t="inlineStr">
        <is>
          <t>Alteredu</t>
        </is>
      </c>
      <c r="E5" s="10" t="inlineStr">
        <is>
          <t>Www.alteredu.it</t>
        </is>
      </c>
      <c r="F5" t="inlineStr">
        <is>
          <t>alteredu.it</t>
        </is>
      </c>
      <c r="G5" s="1" t="inlineStr">
        <is>
          <t>Alteredu is an innovative EdTech company and the largest certified online course platform in Italy, offering over 600 accredited training programs. Our courses are certified by the Italian Ministry of Education (MIUR) and recognized by ICEP, ensuring participants gain formal and professional qualifications valid across Europe.  We specialize in e-learning solutions for both B2B and B2C markets, helping companies upskill their workforce and individuals reskill to improve employability. Our cutting-edge platform integrates a Virtual AI Tutor, which personalizes the learning journey, provides real-time feedback, and ensures high engagement through interactive learning.  Key Strengths: 	•	Certified online courses with ISO 9001:2015 quality standards. 	•	AI-driven personalization of training paths. 	•	Expertise in reskilling and upskilling for the modern workforce. 	•	Proven track record in developing tailored e-learning modules for diverse industries. 	•	Strong engagement in EU initiatives such as the Digital Skills and Jobs Coalition, the European Association of Distance Learning (EADL), and the European SME Alliance.  Impact: During the COVID-19 pandemic, Alteredu supported Italy’s Digital Solidarity initiative by offering over 50 certified courses free of charge, demonstrating our commitment to inclusivity and lifelong learning.  European Projects: Alteredu is an active partner in Erasmus+ and Horizon Europe projects, with experience in areas such as digital transformation in education, cybersecurity training (AI-SHIELD), NFT competences for the creative sector (NFT4Work), and AI &amp; coding in schools (AI-COSMIC)</t>
        </is>
      </c>
      <c r="H5" s="1" t="inlineStr">
        <is>
          <t>EdTech Italia</t>
        </is>
      </c>
      <c r="I5" s="1" t="n"/>
      <c r="J5" s="1" t="inlineStr">
        <is>
          <t>Terranova da Sibari</t>
        </is>
      </c>
      <c r="K5" s="1" t="inlineStr">
        <is>
          <t>Italy</t>
        </is>
      </c>
      <c r="L5" s="1" t="n"/>
      <c r="M5" s="1" t="inlineStr">
        <is>
          <t>Small (10-49 FTE employees)</t>
        </is>
      </c>
      <c r="N5" s="1" t="inlineStr">
        <is>
          <t>Business to Business, Business to Consumer, Business to Government, Business to Schools</t>
        </is>
      </c>
      <c r="O5" s="1" t="inlineStr">
        <is>
          <t>Lifelong learning/Adult education, Corporate Training, Vocational Education and Training (VET)</t>
        </is>
      </c>
      <c r="P5" s="1" t="inlineStr">
        <is>
          <t>Teacher interfacing</t>
        </is>
      </c>
      <c r="Q5" s="1" t="inlineStr">
        <is>
          <t>Mandatory training for companies</t>
        </is>
      </c>
      <c r="R5" t="inlineStr">
        <is>
          <t>Mandatory Corporate Training (Health &amp; Safety, Compliance, Privacy, etc.)
Alteredu transforms traditional mandatory training into an engaging digital learning experience. Through short video modules, interactive quizzes, and an AI-powered Virtual Tutor, employees are guided in realistic scenarios th</t>
        </is>
      </c>
      <c r="S5" s="1" t="inlineStr">
        <is>
          <t>https://drive.google.com/uc?export=view&amp;id=15fECYvvE62nx_hSNDXX-eIQccg0DrTWp</t>
        </is>
      </c>
      <c r="T5" t="inlineStr">
        <is>
          <t>https://drive.google.com/uc?export=view&amp;id=15fECYvvE62nx_hSNDXX-eIQccg0DrTWp</t>
        </is>
      </c>
      <c r="U5" s="1" t="inlineStr">
        <is>
          <t>https://drive.google.com/uc?export=view&amp;id=15fECYvvE62nx_hSNDXX-eIQccg0DrTWp</t>
        </is>
      </c>
      <c r="V5" s="1" t="inlineStr">
        <is>
          <t>Verified</t>
        </is>
      </c>
      <c r="W5" s="1" t="inlineStr">
        <is>
          <t>Project consortium building, Public-private partnerships</t>
        </is>
      </c>
      <c r="X5" s="1" t="inlineStr">
        <is>
          <t>For-profit company</t>
        </is>
      </c>
      <c r="Y5" s="10" t="b">
        <v>1</v>
      </c>
      <c r="Z5" s="1" t="n"/>
      <c r="AA5" s="1" t="inlineStr">
        <is>
          <t>No</t>
        </is>
      </c>
      <c r="AB5" s="1" t="n"/>
      <c r="AC5" s="1" t="n"/>
      <c r="AD5" s="1" t="n"/>
      <c r="AE5" s="1" t="n"/>
    </row>
    <row r="6" ht="15.75" customHeight="1">
      <c r="A6" s="6" t="n">
        <v>45889</v>
      </c>
      <c r="B6" s="1" t="inlineStr">
        <is>
          <t>ORG_1213</t>
        </is>
      </c>
      <c r="C6" s="1" t="b">
        <v>1</v>
      </c>
      <c r="D6" s="1" t="inlineStr">
        <is>
          <t>CampuStore</t>
        </is>
      </c>
      <c r="E6" s="10" t="inlineStr">
        <is>
          <t>www.campustore.it</t>
        </is>
      </c>
      <c r="F6" t="inlineStr">
        <is>
          <t>campustore.it</t>
        </is>
      </c>
      <c r="G6" s="1" t="inlineStr">
        <is>
          <t>CampuStore is a benefit company and an Italian family business, leader in the education market, which for 30 years has created innovative educational projects for schools, teachers and other players in the education sector. It manages the largest e-commerce dedicated to schools in Italy based on the best brands of the industry.   Over the past years CampuStore has started developing its own solutions such as Miri, the unique immersive classroom for schools developed with Giunti Scuola. Since its foundation, it has developed innovative projects for learning environments, complete and designed for schools of different levels, "turnkey" ideas, which include furniture, technologies, STEM and other educational tools and even high-quality "hands-on" training courses for teachers, school managers, school staff. The courses are provided by IFE Academy, a training body recognized by the Ministry, which also offers many free services to support the educational community. CampuStore was the first company to bring STEM and educational robotics to Italy, and today has the largest catalog of educational robotics and STEAM in Europe. Over time, it has spread articles that have changed the way of teaching, such as LIM, interactive monitors and unique and characterizing furnishings and is particularly associated with educational robotics, edtech, STEAM and digital innovation. With a constantly updated general catalog  dedicated to various subjects often released based on ministerial news, CampuStore today is configured as the point of reference for purchases by schools relating to tenders and big funds.</t>
        </is>
      </c>
      <c r="H6" s="1" t="inlineStr">
        <is>
          <t>I'm not part of any EdTech association</t>
        </is>
      </c>
      <c r="I6" s="1" t="inlineStr">
        <is>
          <t>English, German, Italian, Spanish</t>
        </is>
      </c>
      <c r="J6" s="1" t="inlineStr">
        <is>
          <t>Bassano del Grappa</t>
        </is>
      </c>
      <c r="K6" s="1" t="inlineStr">
        <is>
          <t>Italy</t>
        </is>
      </c>
      <c r="L6" s="1" t="inlineStr">
        <is>
          <t>Italy, Spain, Germany</t>
        </is>
      </c>
      <c r="M6" s="1" t="inlineStr">
        <is>
          <t>Small (10-49 FTE employees)</t>
        </is>
      </c>
      <c r="N6" s="1" t="inlineStr">
        <is>
          <t>Business to Business, Business to Consumer, Business to Schools, Business to Government</t>
        </is>
      </c>
      <c r="O6" s="1" t="inlineStr">
        <is>
          <t>Early childhood development (0-5 years), Primary Education, Secondary Education, Vocational Education and Training (VET), Higher Education, Special Education</t>
        </is>
      </c>
      <c r="P6" s="1" t="inlineStr">
        <is>
          <t>Student interfacing, Teacher interfacing, System/Administrative</t>
        </is>
      </c>
      <c r="Q6" s="10" t="inlineStr">
        <is>
          <t>Miri - THE immersive room</t>
        </is>
      </c>
      <c r="R6" t="inlineStr">
        <is>
          <t>Miri is an immersive classroom is a physical environment that allows users to access to digital content in a new way. Miri is the first real immersive room specifically developed for schools. It's a new media.</t>
        </is>
      </c>
      <c r="S6" s="1" t="inlineStr">
        <is>
          <t>CarrellONE</t>
        </is>
      </c>
      <c r="T6" t="inlineStr">
        <is>
          <t>CarrellONE is STEAM on the move: a scientific lab on wheels.
Born for the schools needs, perfect for MakerSpaces and museums.
Sustainable and made with receicle material.
It can host several tools as 3D printers, laser cutters, microscopes, and powers all of them.</t>
        </is>
      </c>
      <c r="U6" s="1" t="inlineStr">
        <is>
          <t>https://drive.google.com/uc?export=view&amp;id=1MqDQw_vI1Gpg7WGZyUfK0z7c2wze2CN0</t>
        </is>
      </c>
      <c r="V6" s="1" t="inlineStr">
        <is>
          <t>Verified</t>
        </is>
      </c>
      <c r="W6" s="1" t="inlineStr">
        <is>
          <t>Collaborations between EdTech organisations, Project consortium building</t>
        </is>
      </c>
      <c r="X6" s="1" t="inlineStr">
        <is>
          <t>For-profit company</t>
        </is>
      </c>
      <c r="Y6" s="10" t="b">
        <v>1</v>
      </c>
      <c r="Z6" s="1" t="b">
        <v>1</v>
      </c>
      <c r="AA6" s="1" t="inlineStr">
        <is>
          <t>Yes</t>
        </is>
      </c>
      <c r="AB6" s="1" t="inlineStr">
        <is>
          <t>https://www.instagram.com/campustore.it/</t>
        </is>
      </c>
      <c r="AC6" s="1" t="inlineStr">
        <is>
          <t>https://www.facebook.com/CampuStoreIT</t>
        </is>
      </c>
      <c r="AD6" s="1" t="n"/>
      <c r="AE6" s="10" t="inlineStr">
        <is>
          <t>https://www.facebook.com/CampuStoreIT</t>
        </is>
      </c>
    </row>
    <row r="7" ht="15.75" customHeight="1">
      <c r="A7" s="6" t="n">
        <v>45862</v>
      </c>
      <c r="B7" s="1" t="inlineStr">
        <is>
          <t>ORG_2617</t>
        </is>
      </c>
      <c r="C7" s="1" t="b">
        <v>1</v>
      </c>
      <c r="D7" s="1" t="inlineStr">
        <is>
          <t>GAMS  Platform</t>
        </is>
      </c>
      <c r="E7" s="10" t="inlineStr">
        <is>
          <t>gamsplatform.com</t>
        </is>
      </c>
      <c r="F7" t="inlineStr">
        <is>
          <t>gamsplatform.com</t>
        </is>
      </c>
      <c r="G7" s="1" t="inlineStr">
        <is>
          <t>Want more enagement on your corporate trainings? GAMS Platform enables challenge based learning that your employees will love like a video game for their upskilling Want to find the right talent? GAMS Platform makes skill assessments efficient and bias-free and lets you find the right match.</t>
        </is>
      </c>
      <c r="H7" s="1" t="inlineStr">
        <is>
          <t>EdTech Italia</t>
        </is>
      </c>
      <c r="I7" s="1" t="inlineStr">
        <is>
          <t>English, Italian</t>
        </is>
      </c>
      <c r="J7" s="1" t="inlineStr">
        <is>
          <t>ROME</t>
        </is>
      </c>
      <c r="K7" s="1" t="inlineStr">
        <is>
          <t>Italy</t>
        </is>
      </c>
      <c r="L7" s="1" t="inlineStr">
        <is>
          <t>Albania, Belarus, Bulgaria, Czechia, Finland, Greece, Ireland, Latvia, Luxembourg, Monaco, North Macedonia, Portugal, Slovakia, Sweden, Ukraine, Andorra, Belgium, Austria, Bosnia and Herzegovina, Croatia, Republic of Cyprus, Denmark, Estonia, France, Germany, Hungary, Kosovo, Liechtenstein, Italy, Lithuania, Malta, Moldova, Montenegro, Netherlands, Norway, Poland, Romania, San Marino, Slovenia, Spain, Switzerland, United Kingdom, Turkey</t>
        </is>
      </c>
      <c r="M7" s="1" t="inlineStr">
        <is>
          <t>Micro (1-9 FTE employees)</t>
        </is>
      </c>
      <c r="N7" s="1" t="inlineStr">
        <is>
          <t>Business to Business, Business to Schools</t>
        </is>
      </c>
      <c r="O7" s="1" t="inlineStr">
        <is>
          <t>Lifelong learning/Adult education, Corporate Training, Higher Education</t>
        </is>
      </c>
      <c r="P7" s="1" t="inlineStr">
        <is>
          <t>Student interfacing, Teacher interfacing, System/Administrative</t>
        </is>
      </c>
      <c r="Q7" s="10" t="inlineStr">
        <is>
          <t>Challenge based learning and skill assessment</t>
        </is>
      </c>
      <c r="S7" s="10" t="inlineStr">
        <is>
          <t>https://drive.google.com/uc?export=view&amp;id=1F_A5P5S2_zwTQaXCzAJN9bxRyiPi-0nb</t>
        </is>
      </c>
      <c r="T7" t="inlineStr">
        <is>
          <t>https://drive.google.com/uc?export=view&amp;id=1F_A5P5S2_zwTQaXCzAJN9bxRyiPi-0nb</t>
        </is>
      </c>
      <c r="U7" s="1" t="inlineStr">
        <is>
          <t>https://drive.google.com/uc?export=view&amp;id=1F_A5P5S2_zwTQaXCzAJN9bxRyiPi-0nb</t>
        </is>
      </c>
      <c r="V7" s="1" t="inlineStr">
        <is>
          <t>Verified</t>
        </is>
      </c>
      <c r="W7" s="1" t="inlineStr">
        <is>
          <t>Public-private partnerships, Industry-academia partnerships</t>
        </is>
      </c>
      <c r="X7" s="1" t="inlineStr">
        <is>
          <t>For-profit company</t>
        </is>
      </c>
      <c r="Y7" s="10" t="b">
        <v>1</v>
      </c>
      <c r="Z7" s="1" t="b">
        <v>1</v>
      </c>
      <c r="AA7" s="1" t="inlineStr">
        <is>
          <t>Yes</t>
        </is>
      </c>
      <c r="AB7" s="1" t="inlineStr">
        <is>
          <t>https://www.instagram.com/GAMSPlatform/</t>
        </is>
      </c>
      <c r="AC7" s="1" t="inlineStr">
        <is>
          <t>https://it.linkedin.com/company/gamsplatform</t>
        </is>
      </c>
      <c r="AD7" s="1" t="inlineStr">
        <is>
          <t>https://it.linkedin.com/company/gamsplatform</t>
        </is>
      </c>
      <c r="AE7" s="10" t="inlineStr">
        <is>
          <t>https://www.facebook.com/GAMSPlatform/</t>
        </is>
      </c>
    </row>
    <row r="8" ht="15.75" customHeight="1">
      <c r="A8" s="6" t="n">
        <v>45839</v>
      </c>
      <c r="B8" s="1" t="inlineStr">
        <is>
          <t>ORG_2353</t>
        </is>
      </c>
      <c r="C8" s="1" t="b">
        <v>1</v>
      </c>
      <c r="D8" s="1" t="inlineStr">
        <is>
          <t>SusyDiario</t>
        </is>
      </c>
      <c r="E8" s="10" t="inlineStr">
        <is>
          <t>https://www.susydiario.it</t>
        </is>
      </c>
      <c r="F8" t="inlineStr">
        <is>
          <t>susydiario.it</t>
        </is>
      </c>
      <c r="G8" s="1" t="inlineStr">
        <is>
          <t>I am a simple "educated" (trained? technological? Psyco-technological?) volunteer</t>
        </is>
      </c>
      <c r="H8" s="1" t="inlineStr">
        <is>
          <t>I'm not part of any EdTech association</t>
        </is>
      </c>
      <c r="I8" s="1" t="inlineStr">
        <is>
          <t>English, Italian</t>
        </is>
      </c>
      <c r="J8" s="1" t="inlineStr">
        <is>
          <t>Treviso</t>
        </is>
      </c>
      <c r="K8" s="1" t="inlineStr">
        <is>
          <t>Italy</t>
        </is>
      </c>
      <c r="L8" s="1" t="inlineStr">
        <is>
          <t>Albania, Andorra, Austria, Bosnia and Herzegovina, Belgium, Belarus, Bulgaria, Croatia, Republic of Cyprus, Estonia, Denmark, Czechia, Finland, France, Germany, Iceland, Hungary, Greece, Kosovo, Ireland, Latvia, Liechtenstein, Lithuania, Moldova, Malta, Luxembourg, Monaco, Montenegro, Netherlands, Poland, Norway, North Macedonia, Portugal, Romania, San Marino, Spain, Slovenia, Slovakia, Sweden, Switzerland, Turkey, United Kingdom, Ukraine</t>
        </is>
      </c>
      <c r="M8" s="1" t="inlineStr">
        <is>
          <t>Solo entrepreneur</t>
        </is>
      </c>
      <c r="N8" s="1" t="inlineStr">
        <is>
          <t>Business to Schools</t>
        </is>
      </c>
      <c r="O8" s="1" t="inlineStr">
        <is>
          <t>Early childhood development (0-5 years), Primary Education</t>
        </is>
      </c>
      <c r="P8" s="1" t="inlineStr">
        <is>
          <t>Student interfacing, Teacher interfacing</t>
        </is>
      </c>
      <c r="Q8" s="1" t="inlineStr">
        <is>
          <t>SusyDiario</t>
        </is>
      </c>
      <c r="R8" t="inlineStr">
        <is>
          <t>SusyDiario is the only interactive online teaching platform designed specifically for use in primary schools. In a protected environment, free from any tracking. Available and under the control of the teacher. And free</t>
        </is>
      </c>
      <c r="S8" s="1" t="n"/>
      <c r="U8" s="1" t="n"/>
      <c r="V8" s="1" t="inlineStr">
        <is>
          <t>Verified</t>
        </is>
      </c>
      <c r="W8" s="1" t="inlineStr">
        <is>
          <t>Collaborations between EdTech organisations, Public-private partnerships</t>
        </is>
      </c>
      <c r="X8" s="1" t="inlineStr">
        <is>
          <t>Non-profit organisation</t>
        </is>
      </c>
      <c r="Y8" t="b">
        <v>1</v>
      </c>
      <c r="Z8" s="1" t="b">
        <v>1</v>
      </c>
      <c r="AA8" s="1" t="inlineStr">
        <is>
          <t>No</t>
        </is>
      </c>
      <c r="AB8" s="1" t="n"/>
      <c r="AC8" s="1" t="n"/>
      <c r="AD8" s="1" t="n"/>
    </row>
    <row r="9" ht="15.75" customHeight="1">
      <c r="A9" s="6" t="n">
        <v>45839</v>
      </c>
      <c r="B9" s="1" t="inlineStr">
        <is>
          <t>ORG_1576</t>
        </is>
      </c>
      <c r="C9" s="1" t="b">
        <v>1</v>
      </c>
      <c r="D9" s="1" t="inlineStr">
        <is>
          <t>Fortissimo Education</t>
        </is>
      </c>
      <c r="E9" s="1" t="inlineStr">
        <is>
          <t>www.fortissimo.education/en</t>
        </is>
      </c>
      <c r="F9" t="inlineStr">
        <is>
          <t>fortissimo.education/en</t>
        </is>
      </c>
      <c r="G9" s="1" t="inlineStr">
        <is>
          <t>Complete digital solutions for music education.</t>
        </is>
      </c>
      <c r="H9" s="1" t="inlineStr">
        <is>
          <t>EdTech Italia</t>
        </is>
      </c>
      <c r="I9" s="1" t="inlineStr">
        <is>
          <t>English, German, French, Italian, Spanish</t>
        </is>
      </c>
      <c r="J9" s="1" t="n"/>
      <c r="K9" s="1" t="inlineStr">
        <is>
          <t>Italy</t>
        </is>
      </c>
      <c r="L9" s="1" t="inlineStr">
        <is>
          <t>Slovenia, Ukraine, Spain, France, Germany, Italy, Croatia, Austria, Lithuania, Poland, Portugal, United Kingdom</t>
        </is>
      </c>
      <c r="M9" s="1" t="inlineStr">
        <is>
          <t>Micro (1-9 FTE employees)</t>
        </is>
      </c>
      <c r="N9" s="1" t="inlineStr">
        <is>
          <t>Business to Business, Business to Consumer, Business to Government, Business to Schools</t>
        </is>
      </c>
      <c r="O9" s="1" t="inlineStr">
        <is>
          <t>Primary Education</t>
        </is>
      </c>
      <c r="P9" s="1" t="inlineStr">
        <is>
          <t>Teacher interfacing, Student interfacing</t>
        </is>
      </c>
      <c r="Q9" s="10" t="inlineStr">
        <is>
          <t>Fortissimo Teachers' Suite</t>
        </is>
      </c>
      <c r="R9" t="inlineStr">
        <is>
          <t>Teacher’s Suite includes ready-to-use lesson series that save you time and provide step-by-step guidance in teaching classical music to kids aged 6–14.</t>
        </is>
      </c>
      <c r="S9" s="10" t="inlineStr">
        <is>
          <t>Fortissimo Kids' App</t>
        </is>
      </c>
      <c r="T9" t="inlineStr">
        <is>
          <t>The Fortissimo Kids’ App offers interactive games to help you introduce your child to classical music, instruments, iconic masterpieces, and legendary composers.
No experience in classical music is needed - r children aged 6 - 10 can enjoy it independently.</t>
        </is>
      </c>
      <c r="U9" s="1" t="n"/>
      <c r="V9" s="1" t="inlineStr">
        <is>
          <t>Verified</t>
        </is>
      </c>
      <c r="W9" s="1" t="inlineStr">
        <is>
          <t>Collaborations between EdTech organisations, Public-private partnerships, Industry-academia partnerships, Project consortium building</t>
        </is>
      </c>
      <c r="X9" s="1" t="inlineStr">
        <is>
          <t>For-profit company</t>
        </is>
      </c>
      <c r="Y9" t="b">
        <v>1</v>
      </c>
      <c r="Z9" s="1" t="b">
        <v>1</v>
      </c>
      <c r="AA9" s="1" t="inlineStr">
        <is>
          <t>Yes</t>
        </is>
      </c>
      <c r="AB9" s="1" t="inlineStr">
        <is>
          <t>https://www.instagram.com/fortissimo.education</t>
        </is>
      </c>
      <c r="AC9" s="1" t="inlineStr">
        <is>
          <t>https://www.linkedin.com/company/fortissimo</t>
        </is>
      </c>
      <c r="AD9" s="1" t="inlineStr">
        <is>
          <t>https://www.linkedin.com/company/fortissimo</t>
        </is>
      </c>
      <c r="AE9" s="10" t="inlineStr">
        <is>
          <t>https://www.facebook.com/p/Fortissimo</t>
        </is>
      </c>
    </row>
    <row r="10" ht="15.75" customHeight="1">
      <c r="A10" s="6" t="n">
        <v>45839</v>
      </c>
      <c r="B10" s="1" t="inlineStr">
        <is>
          <t>ORG_1548</t>
        </is>
      </c>
      <c r="C10" s="1" t="b">
        <v>1</v>
      </c>
      <c r="D10" s="1" t="inlineStr">
        <is>
          <t>FABA</t>
        </is>
      </c>
      <c r="E10" s="10" t="inlineStr">
        <is>
          <t>http://www.myfaba.com/</t>
        </is>
      </c>
      <c r="F10" t="inlineStr">
        <is>
          <t>myfaba.com</t>
        </is>
      </c>
      <c r="G10" s="1" t="inlineStr">
        <is>
          <t>FABA is a screen-free edutainment platform for children aged 0–10, combining storytelling and audio to support learning and imagination. We help kids grow through fun, safe, and educational content enjoyed by families across Europe.</t>
        </is>
      </c>
      <c r="H10" s="1" t="inlineStr">
        <is>
          <t>EdTech Italia</t>
        </is>
      </c>
      <c r="I10" s="1" t="inlineStr">
        <is>
          <t>English, French, Spanish, Italian, Catalan</t>
        </is>
      </c>
      <c r="J10" s="1" t="inlineStr">
        <is>
          <t>Treviso</t>
        </is>
      </c>
      <c r="K10" s="1" t="inlineStr">
        <is>
          <t>Italy</t>
        </is>
      </c>
      <c r="L10" s="1" t="inlineStr">
        <is>
          <t>France, Germany, Italy, Netherlands, Spain, San Marino, Belgium, Austria</t>
        </is>
      </c>
      <c r="M10" s="1" t="inlineStr">
        <is>
          <t>Small (10-49 FTE employees)</t>
        </is>
      </c>
      <c r="N10" s="1" t="inlineStr">
        <is>
          <t>Business to Consumer, Business to Schools, Business to Business</t>
        </is>
      </c>
      <c r="O10" s="1" t="inlineStr">
        <is>
          <t>Early childhood development (0-5 years)</t>
        </is>
      </c>
      <c r="P10" s="1" t="inlineStr">
        <is>
          <t>Student interfacing</t>
        </is>
      </c>
      <c r="Q10" s="1" t="inlineStr">
        <is>
          <t>FABA Storyteller</t>
        </is>
      </c>
      <c r="R10" t="inlineStr">
        <is>
          <t>A screen-free audio device designed for children aged 0–10 that plays stories, songs, and routines through tactile audio figurines, promoting safe and independent listening.</t>
        </is>
      </c>
      <c r="S10" s="10" t="inlineStr">
        <is>
          <t>FABA Audio Content</t>
        </is>
      </c>
      <c r="T10" t="inlineStr">
        <is>
          <t>A curated library of audio stories, songs, and educational content—developed with experts and categorized by age and skill—to support children’s growth and imagination.</t>
        </is>
      </c>
      <c r="U10" s="1" t="n"/>
      <c r="V10" s="1" t="inlineStr">
        <is>
          <t>Verified</t>
        </is>
      </c>
      <c r="W10" s="1" t="inlineStr">
        <is>
          <t>Collaborations between EdTech organisations, Project consortium building, Public-private partnerships, Industry-academia partnerships</t>
        </is>
      </c>
      <c r="X10" s="1" t="inlineStr">
        <is>
          <t>For-profit company</t>
        </is>
      </c>
      <c r="Y10" s="1" t="b">
        <v>0</v>
      </c>
      <c r="Z10" s="1" t="b">
        <v>1</v>
      </c>
      <c r="AA10" s="1" t="inlineStr">
        <is>
          <t>Yes</t>
        </is>
      </c>
      <c r="AB10" s="1" t="n"/>
      <c r="AC10" s="1" t="inlineStr">
        <is>
          <t>https://www.linkedin.com/company/faba</t>
        </is>
      </c>
      <c r="AD10" s="1" t="inlineStr">
        <is>
          <t>https://www.linkedin.com/company/faba</t>
        </is>
      </c>
    </row>
    <row r="11" ht="15.75" customHeight="1">
      <c r="A11" s="6" t="n">
        <v>45839</v>
      </c>
      <c r="B11" s="1" t="inlineStr">
        <is>
          <t>ORG_2208</t>
        </is>
      </c>
      <c r="C11" s="1" t="b">
        <v>1</v>
      </c>
      <c r="D11" s="1" t="inlineStr">
        <is>
          <t>SceneSnap</t>
        </is>
      </c>
      <c r="E11" s="10" t="inlineStr">
        <is>
          <t>https://scenesnap.co/</t>
        </is>
      </c>
      <c r="F11" t="inlineStr">
        <is>
          <t>scenesnap.co</t>
        </is>
      </c>
      <c r="G11" s="1" t="inlineStr">
        <is>
          <t>SceneSnap turns passive learning materials into interactive, AI-powered learning experiences. Used in universities and companies, SceneSnap helps learners engage faster, retain more, and access content in a way that fits their daily habits.</t>
        </is>
      </c>
      <c r="H11" s="1" t="inlineStr">
        <is>
          <t>I'm not part of any EdTech association</t>
        </is>
      </c>
      <c r="I11" s="1" t="inlineStr">
        <is>
          <t>English, German, Italian, French, Spanish, Other</t>
        </is>
      </c>
      <c r="J11" s="1" t="inlineStr">
        <is>
          <t>Milan</t>
        </is>
      </c>
      <c r="K11" s="1" t="inlineStr">
        <is>
          <t>Italy</t>
        </is>
      </c>
      <c r="L11" s="1" t="n"/>
      <c r="M11" s="1" t="inlineStr">
        <is>
          <t>Micro (1-9 FTE employees)</t>
        </is>
      </c>
      <c r="N11" s="1" t="inlineStr">
        <is>
          <t>Business to Consumer, Business to Business, Business to Government, Business to Schools</t>
        </is>
      </c>
      <c r="O11" s="1" t="inlineStr">
        <is>
          <t>Higher Education, Corporate Training</t>
        </is>
      </c>
      <c r="P11" s="1" t="inlineStr">
        <is>
          <t>Student interfacing, Teacher interfacing, System/Administrative</t>
        </is>
      </c>
      <c r="Q11" s="1" t="inlineStr">
        <is>
          <t>SceneSnap Platform</t>
        </is>
      </c>
      <c r="R11" t="inlineStr">
        <is>
          <t>An AI-powered learning platform that transforms passive content, videos, PDFs, and SOPs into interactive, personalized learning assets. Features include summaries, flashcards, mind maps, quizzes, and a conversational AI tutor.</t>
        </is>
      </c>
      <c r="S11" s="10" t="inlineStr">
        <is>
          <t>The Repeater (AI Tutor)</t>
        </is>
      </c>
      <c r="T11" t="inlineStr">
        <is>
          <t>An interactive AI tutor that helps students understand course content through conversation. It can generate tailored explanations, slides, and videos in real time based on the user’s questions and learning needs.</t>
        </is>
      </c>
      <c r="U11" s="1" t="n"/>
      <c r="V11" s="1" t="inlineStr">
        <is>
          <t>Verified</t>
        </is>
      </c>
      <c r="W11" s="1" t="inlineStr">
        <is>
          <t>Public-private partnerships, Industry-academia partnerships, Project consortium building, Collaborations between EdTech organisations</t>
        </is>
      </c>
      <c r="X11" s="1" t="inlineStr">
        <is>
          <t>For-profit company</t>
        </is>
      </c>
      <c r="Y11" s="1" t="b">
        <v>1</v>
      </c>
      <c r="Z11" s="1" t="b">
        <v>1</v>
      </c>
      <c r="AA11" s="1" t="inlineStr">
        <is>
          <t>Yes</t>
        </is>
      </c>
      <c r="AB11" s="1" t="n"/>
      <c r="AC11" s="1" t="inlineStr">
        <is>
          <t>https://www.linkedin.com/company/scenesnap/</t>
        </is>
      </c>
      <c r="AD11" s="1" t="inlineStr">
        <is>
          <t>https://www.linkedin.com/company/scenesnap/</t>
        </is>
      </c>
    </row>
    <row r="12" ht="15.75" customHeight="1">
      <c r="A12" s="6" t="n">
        <v>45839</v>
      </c>
      <c r="B12" s="1" t="inlineStr">
        <is>
          <t>ORG_1365</t>
        </is>
      </c>
      <c r="C12" s="1" t="b">
        <v>1</v>
      </c>
      <c r="D12" s="1" t="inlineStr">
        <is>
          <t>Discentis</t>
        </is>
      </c>
      <c r="E12" s="10" t="inlineStr">
        <is>
          <t>https://discentis.it/</t>
        </is>
      </c>
      <c r="F12" t="inlineStr">
        <is>
          <t>discentis.it</t>
        </is>
      </c>
      <c r="G12" s="1" t="inlineStr">
        <is>
          <t>Discentis is an Italian EdTech initiative dedicated to transforming education through community-driven innovation. At its core, Discentis fosters a vibrant ecosystem of teachers, educators, and school leaders by combining hands-on professional development with a strong sense of belonging. Through workshops, peer-learning formats, and a growing online platform, Discentis empowers educators to experiment, connect, and co-design new approaches to teaching and learning.</t>
        </is>
      </c>
      <c r="H12" s="1" t="inlineStr">
        <is>
          <t>EdTech Italia</t>
        </is>
      </c>
      <c r="I12" s="1" t="inlineStr">
        <is>
          <t>Italian</t>
        </is>
      </c>
      <c r="J12" s="1" t="inlineStr">
        <is>
          <t>Turin</t>
        </is>
      </c>
      <c r="K12" s="1" t="inlineStr">
        <is>
          <t>Italy</t>
        </is>
      </c>
      <c r="L12" s="1" t="inlineStr">
        <is>
          <t>Italy</t>
        </is>
      </c>
      <c r="M12" s="1" t="inlineStr">
        <is>
          <t>Small (10-49 FTE employees)</t>
        </is>
      </c>
      <c r="N12" s="1" t="inlineStr">
        <is>
          <t>Business to Consumer, Business to Government</t>
        </is>
      </c>
      <c r="O12" s="1" t="inlineStr">
        <is>
          <t>Early childhood development (0-5 years), Primary Education, Secondary Education</t>
        </is>
      </c>
      <c r="P12" s="1" t="inlineStr">
        <is>
          <t>Teacher interfacing</t>
        </is>
      </c>
      <c r="Q12" s="10" t="inlineStr">
        <is>
          <t>Discentis Community Membership</t>
        </is>
      </c>
      <c r="R12" t="inlineStr">
        <is>
          <t>A subscription-based membership that gives educators access to an active community of peers, exclusive resources, live sessions, and collaborative opportunities to share and grow innovative teaching practices.</t>
        </is>
      </c>
      <c r="S12" s="10" t="inlineStr">
        <is>
          <t>Teacher Training Courses</t>
        </is>
      </c>
      <c r="T12" t="inlineStr">
        <is>
          <t>Practical and engaging courses focused on innovative didactic methodologies, such as storytelling, game-based learning, and project-based learning — designed to inspire and support real change in everyday classroom practice.</t>
        </is>
      </c>
      <c r="U12" s="1" t="n"/>
      <c r="V12" s="1" t="inlineStr">
        <is>
          <t>Verified</t>
        </is>
      </c>
      <c r="W12" s="1" t="inlineStr">
        <is>
          <t>Collaborations between EdTech organisations, Project consortium building, Public-private partnerships, Industry-academia partnerships</t>
        </is>
      </c>
      <c r="X12" s="1" t="inlineStr">
        <is>
          <t>For-profit company</t>
        </is>
      </c>
      <c r="Y12" s="1" t="b">
        <v>1</v>
      </c>
      <c r="Z12" s="1" t="b">
        <v>1</v>
      </c>
      <c r="AA12" s="1" t="inlineStr">
        <is>
          <t>Yes</t>
        </is>
      </c>
      <c r="AB12" s="1" t="inlineStr">
        <is>
          <t>https://www.instagram.com/discentis.it/</t>
        </is>
      </c>
      <c r="AC12" s="1" t="inlineStr">
        <is>
          <t>https://www.linkedin.com/company/discentis/</t>
        </is>
      </c>
      <c r="AD12" s="1" t="inlineStr">
        <is>
          <t>https://www.linkedin.com/company/discentis/</t>
        </is>
      </c>
    </row>
    <row r="13" ht="15.75" customHeight="1">
      <c r="A13" s="6" t="n">
        <v>45839</v>
      </c>
      <c r="B13" s="1" t="inlineStr">
        <is>
          <t>ORG_1507</t>
        </is>
      </c>
      <c r="C13" s="1" t="b">
        <v>1</v>
      </c>
      <c r="D13" s="1" t="inlineStr">
        <is>
          <t>Equal Education Srl</t>
        </is>
      </c>
      <c r="E13" s="10" t="inlineStr">
        <is>
          <t>www.equalmate.it</t>
        </is>
      </c>
      <c r="F13" t="inlineStr">
        <is>
          <t>equalmate.it</t>
        </is>
      </c>
      <c r="G13" s="1" t="inlineStr">
        <is>
          <t>Equal Education develops AI-powered tutoring technology that helps students master STEM subjects through personalized, step-by-step guidance while providing teachers with learning analytics to identify knowledge gaps, all powered by proprietary deterministic algorithms ensuring accuracy</t>
        </is>
      </c>
      <c r="H13" s="1" t="inlineStr">
        <is>
          <t>EdTech Italia</t>
        </is>
      </c>
      <c r="I13" s="1" t="inlineStr">
        <is>
          <t>All</t>
        </is>
      </c>
      <c r="J13" s="1" t="inlineStr">
        <is>
          <t>Collegno</t>
        </is>
      </c>
      <c r="K13" s="1" t="inlineStr">
        <is>
          <t>Italy</t>
        </is>
      </c>
      <c r="L13" s="1" t="inlineStr">
        <is>
          <t>Italy, Ghana</t>
        </is>
      </c>
      <c r="M13" s="1" t="inlineStr">
        <is>
          <t>Micro (1-9 FTE employees)</t>
        </is>
      </c>
      <c r="N13" s="1" t="inlineStr">
        <is>
          <t>Business to Schools, Business to Consumer</t>
        </is>
      </c>
      <c r="O13" s="1" t="inlineStr">
        <is>
          <t>Secondary Education</t>
        </is>
      </c>
      <c r="P13" s="1" t="inlineStr">
        <is>
          <t>Student interfacing, Teacher interfacing</t>
        </is>
      </c>
      <c r="Q13" s="1" t="inlineStr">
        <is>
          <t>Equal</t>
        </is>
      </c>
      <c r="R13" t="inlineStr">
        <is>
          <t>Equal is an AI-powered tutoring platform that helps students master math through personalized, step-by-step guidance with a challenge-based approach. It provides teachers with learning analytics to identify knowledge gaps, while proprietary deterministic algorithms ensure AI accuracy</t>
        </is>
      </c>
      <c r="S13" s="1" t="n"/>
      <c r="U13" s="1" t="n"/>
      <c r="V13" s="1" t="inlineStr">
        <is>
          <t>Verified</t>
        </is>
      </c>
      <c r="W13" s="1" t="inlineStr">
        <is>
          <t>Public-private partnerships</t>
        </is>
      </c>
      <c r="X13" s="1" t="inlineStr">
        <is>
          <t>For-profit company</t>
        </is>
      </c>
      <c r="Y13" s="1" t="b">
        <v>1</v>
      </c>
      <c r="Z13" s="1" t="b">
        <v>1</v>
      </c>
      <c r="AA13" s="1" t="inlineStr">
        <is>
          <t>No</t>
        </is>
      </c>
      <c r="AB13" s="1" t="n"/>
      <c r="AC13" s="1" t="n"/>
      <c r="AD13" s="1" t="n"/>
    </row>
    <row r="14" ht="15.75" customHeight="1">
      <c r="A14" s="6" t="n">
        <v>45539</v>
      </c>
      <c r="B14" s="1" t="inlineStr">
        <is>
          <t>ORG_2349</t>
        </is>
      </c>
      <c r="C14" s="1" t="b">
        <v>1</v>
      </c>
      <c r="D14" s="1" t="inlineStr">
        <is>
          <t>SupeFlat Math</t>
        </is>
      </c>
      <c r="E14" s="10" t="inlineStr">
        <is>
          <t>www.matematcasuperpiatta.it/en</t>
        </is>
      </c>
      <c r="F14" t="inlineStr">
        <is>
          <t>matematcasuperpiatta.it/en</t>
        </is>
      </c>
      <c r="G14" s="1" t="inlineStr">
        <is>
          <t>Video game based methodology for teaching Math in primary and middle school (8-13)</t>
        </is>
      </c>
      <c r="H14" s="1" t="inlineStr">
        <is>
          <t>EdTech Italia</t>
        </is>
      </c>
      <c r="I14" s="1" t="inlineStr">
        <is>
          <t>Italian</t>
        </is>
      </c>
      <c r="J14" s="1" t="inlineStr">
        <is>
          <t>Roma</t>
        </is>
      </c>
      <c r="K14" s="1" t="inlineStr">
        <is>
          <t>Italy</t>
        </is>
      </c>
      <c r="L14" s="1" t="inlineStr">
        <is>
          <t>Italy, Switzerland</t>
        </is>
      </c>
      <c r="M14" s="1" t="inlineStr">
        <is>
          <t>0 to 2</t>
        </is>
      </c>
      <c r="N14" s="1" t="inlineStr">
        <is>
          <t>Business to Business, Business to Schools, Business to Government</t>
        </is>
      </c>
      <c r="O14" s="1" t="inlineStr">
        <is>
          <t>Primary Education, Secondary Education</t>
        </is>
      </c>
      <c r="P14" s="1" t="inlineStr">
        <is>
          <t>Student interfacing, Teacher interfacing</t>
        </is>
      </c>
      <c r="Q14" s="10" t="inlineStr">
        <is>
          <t>Matematica Superpiatta</t>
        </is>
      </c>
      <c r="R14" t="inlineStr">
        <is>
          <t>A videogame with integrated methodology for teaching Math</t>
        </is>
      </c>
      <c r="S14" s="10" t="inlineStr">
        <is>
          <t>https://drive.google.com/uc?export=view&amp;id=1iQlptGSiUdAY0yMZ5XqAV8Y4WOUPuvaj</t>
        </is>
      </c>
      <c r="T14" t="inlineStr">
        <is>
          <t>https://drive.google.com/uc?export=view&amp;id=1iQlptGSiUdAY0yMZ5XqAV8Y4WOUPuvaj</t>
        </is>
      </c>
      <c r="U14" s="1" t="inlineStr">
        <is>
          <t>https://drive.google.com/uc?export=view&amp;id=1iQlptGSiUdAY0yMZ5XqAV8Y4WOUPuvaj</t>
        </is>
      </c>
      <c r="V14" s="1" t="inlineStr">
        <is>
          <t>Verified</t>
        </is>
      </c>
      <c r="W14" s="1" t="inlineStr">
        <is>
          <t>https://drive.google.com/uc?export=view&amp;id=1iQlptGSiUdAY0yMZ5XqAV8Y4WOUPuvaj</t>
        </is>
      </c>
      <c r="X14" s="1" t="n"/>
      <c r="Y14" s="10" t="n"/>
      <c r="Z14" s="1" t="n"/>
      <c r="AA14" t="inlineStr">
        <is>
          <t>Yes</t>
        </is>
      </c>
      <c r="AB14" t="inlineStr">
        <is>
          <t>https://www.instagram.com/matematica.superpiatta/</t>
        </is>
      </c>
      <c r="AC14" t="inlineStr">
        <is>
          <t>https://www.linkedin.com/company/90944851</t>
        </is>
      </c>
      <c r="AD14" t="inlineStr">
        <is>
          <t>https://www.linkedin.com/company/90944851</t>
        </is>
      </c>
    </row>
    <row r="15" ht="15.75" customHeight="1">
      <c r="A15" s="6" t="n">
        <v>45482</v>
      </c>
      <c r="B15" s="1" t="inlineStr">
        <is>
          <t>ORG_1445</t>
        </is>
      </c>
      <c r="C15" s="1" t="b">
        <v>1</v>
      </c>
      <c r="D15" s="1" t="inlineStr">
        <is>
          <t>Edulia</t>
        </is>
      </c>
      <c r="E15" s="10" t="inlineStr">
        <is>
          <t>https://edulia.it/company/</t>
        </is>
      </c>
      <c r="F15" t="inlineStr">
        <is>
          <t>edulia.it/company</t>
        </is>
      </c>
      <c r="G15" s="1" t="inlineStr">
        <is>
          <t>Edulia is born from Treccani's knowledge to accompany you on your journey towards the future. Whether you are studying or entering the job market, Edulia offers easy and intuitive tools and quality content to tackle the challenges of today and tomorrow.
As an ed-tech hub for formal and informal education, Edulia provides solutions for schools and their teachers, as well as for young people, disseminating knowledge, skills, and insights for the contemporary world.
With an original, cross-disciplinary, accessible, and certified educational offer, its goal is to actively contribute to the culture in our country and to promote the education and guidance of young people and young adults.</t>
        </is>
      </c>
      <c r="H15" s="1" t="inlineStr">
        <is>
          <t>EdTech Italia</t>
        </is>
      </c>
      <c r="I15" s="1" t="inlineStr">
        <is>
          <t>Italian</t>
        </is>
      </c>
      <c r="J15" s="1" t="inlineStr">
        <is>
          <t>PIAZZA DELL'ENCICLOPEDIA ITALIANA 4</t>
        </is>
      </c>
      <c r="K15" s="1" t="inlineStr">
        <is>
          <t>Italy</t>
        </is>
      </c>
      <c r="L15" s="1" t="inlineStr">
        <is>
          <t>Italy</t>
        </is>
      </c>
      <c r="M15" s="1" t="inlineStr">
        <is>
          <t>11 to 50</t>
        </is>
      </c>
      <c r="N15" s="1" t="inlineStr">
        <is>
          <t>Business to Business, Business to Schools, Business to Consumer</t>
        </is>
      </c>
      <c r="O15" s="1" t="inlineStr">
        <is>
          <t>Secondary Education, Corporate Training, Lifelong learning/Adult education</t>
        </is>
      </c>
      <c r="P15" s="1" t="inlineStr">
        <is>
          <t>Student interfacing, Teacher interfacing, System/Administrative</t>
        </is>
      </c>
      <c r="Q15" s="1" t="inlineStr">
        <is>
          <t>Edulia Masterclass</t>
        </is>
      </c>
      <c r="R15" t="inlineStr">
        <is>
          <t>Edulia Masterclass is the portal dedicated to those who always want to learn something new.
Our courses are designed for beginners, the curious, scholars, enthusiasts, and dreamers.
The topics range from A to Z: from business to writing, marketing to personal growth, including art, sports, music, and photography.
https://edulia.it/</t>
        </is>
      </c>
      <c r="S15" s="10" t="inlineStr">
        <is>
          <t>Edulia Treccani Scuola</t>
        </is>
      </c>
      <c r="T15" t="inlineStr">
        <is>
          <t>Under the Edulia Treccani Scuola brand, Edulia operates in the education sector: an original, cross-disciplinary, accessible, and certified educational offer to actively contribute to building a new vision of culture in Italy, using digital tools and quality content to bring innovation in teaching and meet the needs of the entire educational community. Edulia Treccani Scuola offers tools for learning for teachers (InPratica) and students (InClasse).
https://scuola.edulia.it/</t>
        </is>
      </c>
      <c r="U15" s="1" t="inlineStr">
        <is>
          <t>https://drive.google.com/uc?export=view&amp;id=1TZOr6Iw9uQt6xALwF3Fh--g9WCsMR5VR</t>
        </is>
      </c>
      <c r="V15" s="1" t="inlineStr">
        <is>
          <t>Unverified</t>
        </is>
      </c>
      <c r="W15" s="1" t="inlineStr">
        <is>
          <t>https://drive.google.com/uc?export=view&amp;id=1TZOr6Iw9uQt6xALwF3Fh--g9WCsMR5VR</t>
        </is>
      </c>
      <c r="X15" s="1" t="n"/>
      <c r="Y15" s="10" t="n"/>
      <c r="Z15" s="1" t="n"/>
      <c r="AA15" t="inlineStr">
        <is>
          <t>Yes</t>
        </is>
      </c>
      <c r="AB15" t="inlineStr">
        <is>
          <t>@Edulia_TreccaniScuola</t>
        </is>
      </c>
      <c r="AC15" t="inlineStr">
        <is>
          <t>https://www.linkedin.com/company/eduliatreccani</t>
        </is>
      </c>
      <c r="AD15" t="inlineStr">
        <is>
          <t>https://www.linkedin.com/company/eduliatreccani</t>
        </is>
      </c>
    </row>
    <row r="16" ht="15.75" customHeight="1">
      <c r="A16" s="6" t="n">
        <v>45467</v>
      </c>
      <c r="B16" s="1" t="inlineStr">
        <is>
          <t>ORG_1535</t>
        </is>
      </c>
      <c r="C16" s="1" t="b">
        <v>1</v>
      </c>
      <c r="D16" s="1" t="inlineStr">
        <is>
          <t>eWorking</t>
        </is>
      </c>
      <c r="E16" s="10" t="inlineStr">
        <is>
          <t>eworking.it</t>
        </is>
      </c>
      <c r="F16" t="inlineStr">
        <is>
          <t>eworking.it</t>
        </is>
      </c>
      <c r="G16" s="1" t="inlineStr">
        <is>
          <t>Adaptive learning experience platform based on NeLP® (Neuroscientific Learning Pattern) that improve adult learning rate through brain-friendly designed content; powered by artificial intelligence for real time adaptivity and dynamic learning measurement and evaluation.</t>
        </is>
      </c>
      <c r="H16" s="1" t="inlineStr">
        <is>
          <t>EdTech Italia</t>
        </is>
      </c>
      <c r="I16" s="1" t="inlineStr">
        <is>
          <t>English, French, Polish, Indian</t>
        </is>
      </c>
      <c r="J16" s="1" t="inlineStr">
        <is>
          <t>PESCARA</t>
        </is>
      </c>
      <c r="K16" s="1" t="inlineStr">
        <is>
          <t>Italy</t>
        </is>
      </c>
      <c r="L16" s="1" t="inlineStr">
        <is>
          <t>Italy</t>
        </is>
      </c>
      <c r="M16" s="1" t="inlineStr">
        <is>
          <t>0 to 2</t>
        </is>
      </c>
      <c r="N16" s="1" t="inlineStr">
        <is>
          <t>Business to Business, Business to Schools, Business to Consumer, Business to Government</t>
        </is>
      </c>
      <c r="O16" s="1" t="inlineStr">
        <is>
          <t>Corporate Training, Lifelong learning/Adult education</t>
        </is>
      </c>
      <c r="P16" s="1" t="inlineStr">
        <is>
          <t>System/Administrative, Student interfacing</t>
        </is>
      </c>
      <c r="Q16" s="10" t="inlineStr">
        <is>
          <t>NeLP®</t>
        </is>
      </c>
      <c r="R16" t="inlineStr">
        <is>
          <t>NeLP® (Neuroscientifc Learning Pattern) is a learning design methodology that allows to create brain-friendly educational content.</t>
        </is>
      </c>
      <c r="S16" s="10" t="inlineStr">
        <is>
          <t>NeLPx</t>
        </is>
      </c>
      <c r="T16" t="inlineStr">
        <is>
          <t>NeLPx is the LXP (Learning Experience Platform) based on NeLP®: it's a real time adaptive platform for each user, powered by A.I.</t>
        </is>
      </c>
      <c r="U16" s="1" t="inlineStr">
        <is>
          <t>https://drive.google.com/uc?export=view&amp;id=13qNKJfXDG2UBpRQF-FV-xMKaVYU4KrOx</t>
        </is>
      </c>
      <c r="V16" s="1" t="inlineStr">
        <is>
          <t>Unverified</t>
        </is>
      </c>
      <c r="W16" s="1" t="inlineStr">
        <is>
          <t>https://drive.google.com/uc?export=view&amp;id=13qNKJfXDG2UBpRQF-FV-xMKaVYU4KrOx</t>
        </is>
      </c>
      <c r="X16" s="1" t="n"/>
      <c r="Y16" s="10" t="n"/>
      <c r="Z16" s="1" t="n"/>
      <c r="AA16" t="inlineStr">
        <is>
          <t>Yes</t>
        </is>
      </c>
      <c r="AB16" t="inlineStr">
        <is>
          <t>https://www.instagram.com/eworking.it/</t>
        </is>
      </c>
      <c r="AC16" t="inlineStr">
        <is>
          <t>https://www.linkedin.com/company/eworking/</t>
        </is>
      </c>
      <c r="AD16" t="inlineStr">
        <is>
          <t>https://www.linkedin.com/company/eworking/</t>
        </is>
      </c>
    </row>
    <row r="17" ht="15.75" customHeight="1">
      <c r="A17" s="6" t="n">
        <v>45428</v>
      </c>
      <c r="B17" s="1" t="inlineStr">
        <is>
          <t>ORG_1607</t>
        </is>
      </c>
      <c r="C17" s="1" t="b">
        <v>1</v>
      </c>
      <c r="D17" s="1" t="inlineStr">
        <is>
          <t>GAMS Platform</t>
        </is>
      </c>
      <c r="E17" s="10" t="inlineStr">
        <is>
          <t>https://gamsplatform.com</t>
        </is>
      </c>
      <c r="F17" t="inlineStr">
        <is>
          <t>gamsplatform.com</t>
        </is>
      </c>
      <c r="G17" s="1" t="inlineStr">
        <is>
          <t>GAMS Platform enables Challenge Based Learning &amp; Skill Assessment and
developed the Profile Scorecard, a dynamic certification accredited by the
European Union to validate digital skills during the trainings and be helpful for
recruiters to find the right talent</t>
        </is>
      </c>
      <c r="H17" s="1" t="inlineStr">
        <is>
          <t>EdTech Italia</t>
        </is>
      </c>
      <c r="I17" s="1" t="inlineStr">
        <is>
          <t>English, Italia</t>
        </is>
      </c>
      <c r="J17" s="1" t="inlineStr">
        <is>
          <t>ROME</t>
        </is>
      </c>
      <c r="K17" s="1" t="inlineStr">
        <is>
          <t>Italy</t>
        </is>
      </c>
      <c r="L17" s="1" t="inlineStr">
        <is>
          <t>Finland, France, Germany, Italy, Netherlands, Poland, Spain, Switzerland, United Kingdom</t>
        </is>
      </c>
      <c r="M17" s="1" t="inlineStr">
        <is>
          <t>11 to 50</t>
        </is>
      </c>
      <c r="N17" s="1" t="inlineStr">
        <is>
          <t>Business to Business, Business to Schools, Business to Consumer</t>
        </is>
      </c>
      <c r="O17" s="1" t="inlineStr">
        <is>
          <t>Corporate Training, Lifelong learning/Adult education</t>
        </is>
      </c>
      <c r="P17" s="1" t="inlineStr">
        <is>
          <t>Student interfacing, Teacher interfacing, System/Administrative</t>
        </is>
      </c>
      <c r="Q17" s="10" t="inlineStr">
        <is>
          <t>GAMS Training Licences and Services</t>
        </is>
      </c>
      <c r="R17" t="inlineStr">
        <is>
          <t>Complete training with hands-on practice using GAMS Platform. It caters to synchronous and asynchronous learning for various courses like digital marketing, Excel, analytics, project management, cybersecurity, and coding. Students receive a Profile Scorecard validating their skills after completing challenges and training.</t>
        </is>
      </c>
      <c r="S17" s="10" t="inlineStr">
        <is>
          <t>GAMS Excel for Everyone</t>
        </is>
      </c>
      <c r="T17" t="inlineStr">
        <is>
          <t>Excel training with a unique method of learning via challenges direcly by using the platform.
Works for both synchronous and asynchronous training depending on the academy needs.</t>
        </is>
      </c>
      <c r="U17" s="1" t="inlineStr">
        <is>
          <t>https://drive.google.com/uc?export=view&amp;id=1i1-mMnEgGLU3pXOkVVLruKtD8j2x6nxl</t>
        </is>
      </c>
      <c r="V17" s="1" t="inlineStr">
        <is>
          <t>Unverified</t>
        </is>
      </c>
      <c r="W17" s="1" t="inlineStr">
        <is>
          <t>https://drive.google.com/uc?export=view&amp;id=1i1-mMnEgGLU3pXOkVVLruKtD8j2x6nxl</t>
        </is>
      </c>
      <c r="X17" s="1" t="n"/>
      <c r="Y17" s="10" t="n"/>
      <c r="Z17" s="1" t="n"/>
      <c r="AA17" t="inlineStr">
        <is>
          <t>Yes</t>
        </is>
      </c>
      <c r="AB17" t="inlineStr">
        <is>
          <t>https://www.instagram.com/gamsplatform</t>
        </is>
      </c>
      <c r="AC17" t="inlineStr">
        <is>
          <t>https://www.linkedin.com/company/gamsplatform/</t>
        </is>
      </c>
      <c r="AD17" t="inlineStr">
        <is>
          <t>https://www.linkedin.com/company/gamsplatform/</t>
        </is>
      </c>
    </row>
    <row r="18" ht="15.75" customHeight="1">
      <c r="A18" s="6" t="n">
        <v>45420</v>
      </c>
      <c r="B18" s="1" t="inlineStr">
        <is>
          <t>ORG_1345</t>
        </is>
      </c>
      <c r="C18" s="1" t="b">
        <v>1</v>
      </c>
      <c r="D18" s="1" t="inlineStr">
        <is>
          <t>DIBS</t>
        </is>
      </c>
      <c r="E18" s="10" t="inlineStr">
        <is>
          <t>www.dibs-school.com</t>
        </is>
      </c>
      <c r="F18" t="inlineStr">
        <is>
          <t>dibs-school.com</t>
        </is>
      </c>
      <c r="G18" s="1" t="inlineStr">
        <is>
          <t>A new way to shape and improve the value of education (up to 18).DIBS is the first reality to propose a new educational model that si able to help students and companies to discover the best educational path and able to enhance their talens and skills. Our model is based on the collaboration with teachers and schools in order to create, share and adapt education contents to learners's needs thanks to our AI Platform. A tool to create, share, find and adapt educational's content and programs using the most modern technologies with and olistic view.</t>
        </is>
      </c>
      <c r="H18" s="1" t="inlineStr">
        <is>
          <t>EdTech Italia</t>
        </is>
      </c>
      <c r="I18" s="1" t="inlineStr">
        <is>
          <t>Italian</t>
        </is>
      </c>
      <c r="J18" s="1" t="inlineStr">
        <is>
          <t>COMO</t>
        </is>
      </c>
      <c r="K18" s="1" t="inlineStr">
        <is>
          <t>Italy</t>
        </is>
      </c>
      <c r="L18" s="1" t="inlineStr">
        <is>
          <t>Italy</t>
        </is>
      </c>
      <c r="M18" s="1" t="inlineStr">
        <is>
          <t>0 to 2</t>
        </is>
      </c>
      <c r="N18" s="1" t="inlineStr">
        <is>
          <t>Business to Business, Business to Consumer, Business to Schools</t>
        </is>
      </c>
      <c r="O18" s="1" t="inlineStr">
        <is>
          <t>Corporate Training, Lifelong learning/Adult education</t>
        </is>
      </c>
      <c r="P18" s="1" t="inlineStr">
        <is>
          <t>Student interfacing, Teacher interfacing, System/Administrative</t>
        </is>
      </c>
      <c r="Q18" s="1" t="inlineStr">
        <is>
          <t>DIBS AI platform</t>
        </is>
      </c>
      <c r="R18" t="inlineStr">
        <is>
          <t>DIBS platform offers personalized learning paths and an AI reccomandation engine to suggest relevant skills. DIBS partenered with teachers and schools to provide content and certifications.</t>
        </is>
      </c>
      <c r="S18" s="1" t="inlineStr">
        <is>
          <t>CDD</t>
        </is>
      </c>
      <c r="T18" t="inlineStr">
        <is>
          <t>is a didattics CPQ</t>
        </is>
      </c>
      <c r="U18" s="1" t="inlineStr">
        <is>
          <t>https://drive.google.com/uc?export=view&amp;id=1enyRbrKQ8mYyOnjJnl_hm6APAsdZEP_s</t>
        </is>
      </c>
      <c r="V18" s="1" t="inlineStr">
        <is>
          <t>Unverified</t>
        </is>
      </c>
      <c r="W18" s="1" t="inlineStr">
        <is>
          <t>https://drive.google.com/uc?export=view&amp;id=1enyRbrKQ8mYyOnjJnl_hm6APAsdZEP_s</t>
        </is>
      </c>
      <c r="X18" s="1" t="n"/>
      <c r="Y18" s="10" t="n"/>
      <c r="Z18" s="1" t="n"/>
      <c r="AA18" t="inlineStr">
        <is>
          <t>No</t>
        </is>
      </c>
    </row>
    <row r="19" ht="15.75" customHeight="1">
      <c r="A19" s="6" t="n">
        <v>45312</v>
      </c>
      <c r="B19" s="1" t="inlineStr">
        <is>
          <t>ORG_1815</t>
        </is>
      </c>
      <c r="C19" s="1" t="b">
        <v>1</v>
      </c>
      <c r="D19" s="1" t="inlineStr">
        <is>
          <t>Lascò</t>
        </is>
      </c>
      <c r="E19" s="10" t="inlineStr">
        <is>
          <t>www.lasco.io</t>
        </is>
      </c>
      <c r="F19" t="inlineStr">
        <is>
          <t>lasco.io</t>
        </is>
      </c>
      <c r="G19" s="1" t="inlineStr">
        <is>
          <t>Lascò is a knowledge innovation studio, founded in 2013. 
We are an innovative pmi. We accompany companies, people and organizations on paths of innovation and digital transformation. We firmly believe in the power of the knowledge triangle: in every project we integrate Research, Innovation and Capacity building to generate new knowledge and solutions.</t>
        </is>
      </c>
      <c r="H19" s="1" t="inlineStr">
        <is>
          <t>I'm not part of any EdTech association</t>
        </is>
      </c>
      <c r="I19" s="1" t="inlineStr">
        <is>
          <t>English</t>
        </is>
      </c>
      <c r="J19" s="1" t="inlineStr">
        <is>
          <t>CASERTA</t>
        </is>
      </c>
      <c r="K19" s="1" t="inlineStr">
        <is>
          <t>Italy</t>
        </is>
      </c>
      <c r="L19" s="1" t="inlineStr">
        <is>
          <t>Italy</t>
        </is>
      </c>
      <c r="M19" s="1" t="inlineStr">
        <is>
          <t>6 to 10</t>
        </is>
      </c>
      <c r="N19" s="1" t="inlineStr">
        <is>
          <t>Business to Business, Business to Schools</t>
        </is>
      </c>
      <c r="O19" s="1" t="inlineStr">
        <is>
          <t>Corporate Training, Lifelong learning/Adult education, Vocational Education and Training (VET)</t>
        </is>
      </c>
      <c r="P19" s="1" t="inlineStr">
        <is>
          <t>Student interfacing, Teacher interfacing, System/Administrative</t>
        </is>
      </c>
      <c r="Q19" s="1" t="inlineStr">
        <is>
          <t>GOT IT</t>
        </is>
      </c>
      <c r="R19" s="1" t="inlineStr">
        <is>
          <t>An Ai based platform to enhance your skills in project and innovation management, soft skills, life skills, entrepreneurship, green skills and digital skills in an engaging and effective way.</t>
        </is>
      </c>
      <c r="S19" s="10" t="inlineStr">
        <is>
          <t>https://drive.google.com/uc?export=view&amp;id=1G2gqzAuU_dScdYSSFvsyDeCBtDu7n2L7</t>
        </is>
      </c>
      <c r="T19" t="inlineStr">
        <is>
          <t>https://drive.google.com/uc?export=view&amp;id=1G2gqzAuU_dScdYSSFvsyDeCBtDu7n2L7</t>
        </is>
      </c>
      <c r="U19" s="1" t="inlineStr">
        <is>
          <t>https://drive.google.com/uc?export=view&amp;id=1G2gqzAuU_dScdYSSFvsyDeCBtDu7n2L7</t>
        </is>
      </c>
      <c r="V19" s="1" t="inlineStr">
        <is>
          <t>Unverified</t>
        </is>
      </c>
      <c r="Y19" s="10" t="n"/>
      <c r="Z19" s="1" t="n"/>
      <c r="AA19" t="inlineStr">
        <is>
          <t>Yes</t>
        </is>
      </c>
      <c r="AC19" t="inlineStr">
        <is>
          <t>https://www.linkedin.com/company/lascosrl/</t>
        </is>
      </c>
      <c r="AD19" t="inlineStr">
        <is>
          <t>https://www.linkedin.com/company/lascosrl/</t>
        </is>
      </c>
    </row>
    <row r="20" ht="15.75" customHeight="1">
      <c r="A20" s="6" t="n">
        <v>45260</v>
      </c>
      <c r="B20" s="1" t="inlineStr">
        <is>
          <t>ORG_2529</t>
        </is>
      </c>
      <c r="C20" s="1" t="b">
        <v>1</v>
      </c>
      <c r="D20" s="1" t="inlineStr">
        <is>
          <t>WhoTeach</t>
        </is>
      </c>
      <c r="E20" s="10" t="inlineStr">
        <is>
          <t>https://www.whoteach.it/en/</t>
        </is>
      </c>
      <c r="F20" t="inlineStr">
        <is>
          <t>whoteach.it/en</t>
        </is>
      </c>
      <c r="G20" s="1" t="inlineStr">
        <is>
          <t>AITECH4T is an innovative startup aimed at developing AI-based Recommender Systems for heterogeneous business and industrial applications and Big Data analysis. The company is about 2 years old and has a professional team formed by experts and researchers coming from ICT academic background with specializations in artificial intelligence and big data analysis.
One of our main scopes is to develop and commercialize the AI-based recommendation engine of the digital platform WhoTeach: a B2B Intelligent Digital Learning Platform that helps training and education institutions as well as HR managers to create high-quality online courses through an Artificial Intelligent engine.</t>
        </is>
      </c>
      <c r="H20" s="1" t="inlineStr">
        <is>
          <t>EdTech Italia</t>
        </is>
      </c>
      <c r="I20" s="1" t="inlineStr">
        <is>
          <t>Italian, English</t>
        </is>
      </c>
      <c r="J20" s="1" t="inlineStr">
        <is>
          <t>MILAN</t>
        </is>
      </c>
      <c r="K20" s="1" t="inlineStr">
        <is>
          <t>Italy</t>
        </is>
      </c>
      <c r="L20" s="1" t="inlineStr">
        <is>
          <t>Italy</t>
        </is>
      </c>
      <c r="M20" s="1" t="inlineStr">
        <is>
          <t>6 to 10</t>
        </is>
      </c>
      <c r="N20" s="1" t="inlineStr">
        <is>
          <t>Business to Business, Business to Schools</t>
        </is>
      </c>
      <c r="O20" s="1" t="inlineStr">
        <is>
          <t>Corporate Training, Lifelong learning/Adult education, Higher Education</t>
        </is>
      </c>
      <c r="P20" s="1" t="inlineStr">
        <is>
          <t>System/Administrative</t>
        </is>
      </c>
      <c r="Q20" s="1" t="inlineStr">
        <is>
          <t>WhoTeach</t>
        </is>
      </c>
      <c r="R20" t="inlineStr">
        <is>
          <t>WhoTeach is a B2B intelligent digital learning platform based on Artificial Intelligence to support training and education institutions as well as HR managers to create high-quality online courses thanks to an artificial intelligent engine. It is composed of four different modules: Learning management system, Live Rooms, WhoTeach AI, Social e-portfolio.</t>
        </is>
      </c>
      <c r="S20" s="10" t="inlineStr">
        <is>
          <t>https://drive.google.com/uc?export=view&amp;id=1Z27e4wiFEJLxIT-3KG5wc3YVpLh2wP8X</t>
        </is>
      </c>
      <c r="T20" t="inlineStr">
        <is>
          <t>https://drive.google.com/uc?export=view&amp;id=1Z27e4wiFEJLxIT-3KG5wc3YVpLh2wP8X</t>
        </is>
      </c>
      <c r="U20" s="1" t="inlineStr">
        <is>
          <t>https://drive.google.com/uc?export=view&amp;id=1Z27e4wiFEJLxIT-3KG5wc3YVpLh2wP8X</t>
        </is>
      </c>
      <c r="V20" s="1" t="inlineStr">
        <is>
          <t>Unverified</t>
        </is>
      </c>
      <c r="Y20" s="10" t="n"/>
      <c r="Z20" s="1" t="n"/>
      <c r="AA20" t="inlineStr">
        <is>
          <t>Yes</t>
        </is>
      </c>
      <c r="AC20" t="inlineStr">
        <is>
          <t>https://www.linkedin.com/company/whoteach-it/mycompany/</t>
        </is>
      </c>
      <c r="AD20" t="inlineStr">
        <is>
          <t>https://www.linkedin.com/company/whoteach-it/mycompany/</t>
        </is>
      </c>
    </row>
    <row r="21" ht="15.75" customHeight="1">
      <c r="A21" s="6" t="n">
        <v>45246</v>
      </c>
      <c r="B21" s="1" t="inlineStr">
        <is>
          <t>ORG_1443</t>
        </is>
      </c>
      <c r="C21" s="1" t="b">
        <v>1</v>
      </c>
      <c r="D21" s="1" t="inlineStr">
        <is>
          <t>Edulab</t>
        </is>
      </c>
      <c r="E21" s="10" t="inlineStr">
        <is>
          <t>https://edulab.work</t>
        </is>
      </c>
      <c r="F21" t="inlineStr">
        <is>
          <t>edulab.work</t>
        </is>
      </c>
      <c r="G21" s="1" t="inlineStr">
        <is>
          <t>Edulab è uno spazio per l'apprendimento situato a Scorzè(VE) con una forte inclinazione digitale. L'ambito è lo sviluppo di percorsi, LO e attività per lo sviluppo delle competenze attraverso il Human Capital Management. Siamo aperti al dialogo con aziende, istituzioni, partner e communities in tutta Europa.</t>
        </is>
      </c>
      <c r="H21" s="1" t="inlineStr">
        <is>
          <t>I'm not part of any EdTech association</t>
        </is>
      </c>
      <c r="J21" s="1" t="inlineStr">
        <is>
          <t>SCORZÈ</t>
        </is>
      </c>
      <c r="K21" s="1" t="inlineStr">
        <is>
          <t>Italy</t>
        </is>
      </c>
      <c r="L21" s="1" t="inlineStr">
        <is>
          <t>Italy</t>
        </is>
      </c>
      <c r="M21" s="1" t="inlineStr">
        <is>
          <t>0 to 2</t>
        </is>
      </c>
      <c r="N21" s="1" t="inlineStr">
        <is>
          <t>Business to Business, Business to Schools, Business to Consumer, Business to Government</t>
        </is>
      </c>
      <c r="O21" s="1" t="inlineStr">
        <is>
          <t>Secondary Education, Corporate Training, Lifelong learning/Adult education</t>
        </is>
      </c>
      <c r="P21" s="1" t="inlineStr">
        <is>
          <t>Student interfacing, Teacher interfacing, System/Administrative</t>
        </is>
      </c>
      <c r="Q21" s="1" t="n"/>
      <c r="S21" s="1" t="inlineStr">
        <is>
          <t>https://drive.google.com/uc?export=view&amp;id=1IeLO4HBlM5UFJDTGISayJJaZmIITL5O-</t>
        </is>
      </c>
      <c r="T21" t="inlineStr">
        <is>
          <t>https://drive.google.com/uc?export=view&amp;id=1IeLO4HBlM5UFJDTGISayJJaZmIITL5O-</t>
        </is>
      </c>
      <c r="U21" s="1" t="inlineStr">
        <is>
          <t>https://drive.google.com/uc?export=view&amp;id=1IeLO4HBlM5UFJDTGISayJJaZmIITL5O-</t>
        </is>
      </c>
      <c r="V21" s="1" t="inlineStr">
        <is>
          <t>Unverified</t>
        </is>
      </c>
      <c r="Y21" s="10" t="n"/>
      <c r="Z21" s="1" t="n"/>
      <c r="AA21" t="inlineStr">
        <is>
          <t>No</t>
        </is>
      </c>
    </row>
    <row r="22" ht="15.75" customHeight="1">
      <c r="A22" s="6" t="n">
        <v>45412</v>
      </c>
      <c r="B22" s="1" t="inlineStr">
        <is>
          <t>ORG_2291</t>
        </is>
      </c>
      <c r="C22" s="1" t="b">
        <v>1</v>
      </c>
      <c r="D22" s="1" t="inlineStr">
        <is>
          <t>Solion</t>
        </is>
      </c>
      <c r="E22" s="10" t="inlineStr">
        <is>
          <t>www.solion.it</t>
        </is>
      </c>
      <c r="F22" t="inlineStr">
        <is>
          <t>solion.it</t>
        </is>
      </c>
      <c r="G22" s="1" t="inlineStr">
        <is>
          <t>Solion is the first portal in Italy that is modernizing the way students and families choose the best schools and universities and the way institutions build their future classrooms. We believe that it shouldn't be difficult to find the best institution and course of study, so our mission is to make it easy, transparent and free. Solion is the trusted partner of colleges and universities, helping them streamline operations, increase brand awareness and achieve their enrollment goals. Solion fosters informed decision-making and continues to be dedicated to improving and simplifying the educational pathway for all through new technologies.</t>
        </is>
      </c>
      <c r="H22" s="1" t="inlineStr">
        <is>
          <t>EdTech Italia</t>
        </is>
      </c>
      <c r="I22" s="1" t="inlineStr">
        <is>
          <t>Italian</t>
        </is>
      </c>
      <c r="J22" s="1" t="inlineStr">
        <is>
          <t>NAPOLI</t>
        </is>
      </c>
      <c r="K22" s="1" t="inlineStr">
        <is>
          <t>Italy</t>
        </is>
      </c>
      <c r="L22" s="1" t="inlineStr">
        <is>
          <t>Italy</t>
        </is>
      </c>
      <c r="M22" s="1" t="inlineStr">
        <is>
          <t>3 to 5</t>
        </is>
      </c>
      <c r="N22" s="1" t="inlineStr">
        <is>
          <t>Business to Business, Business to Consumer, Business to Government</t>
        </is>
      </c>
      <c r="O22" s="1" t="inlineStr">
        <is>
          <t>Early childhood development (0-5 years), Primary Education, Secondary Education, Lifelong learning/Adult education, Vocational Education and Training (VET), Higher Education</t>
        </is>
      </c>
      <c r="P22" s="1" t="inlineStr">
        <is>
          <t>System/Administrative, Student interfacing, Teacher interfacing</t>
        </is>
      </c>
      <c r="Q22" s="10" t="n"/>
      <c r="S22" s="10" t="inlineStr">
        <is>
          <t>https://drive.google.com/uc?export=view&amp;id=1tAWEyGEvnqjBEa0joButTPJgr3EYYg6d</t>
        </is>
      </c>
      <c r="T22" t="inlineStr">
        <is>
          <t>https://drive.google.com/uc?export=view&amp;id=1tAWEyGEvnqjBEa0joButTPJgr3EYYg6d</t>
        </is>
      </c>
      <c r="U22" t="inlineStr">
        <is>
          <t>https://drive.google.com/uc?export=view&amp;id=1tAWEyGEvnqjBEa0joButTPJgr3EYYg6d</t>
        </is>
      </c>
      <c r="V22" t="inlineStr">
        <is>
          <t>Unverified</t>
        </is>
      </c>
      <c r="Y22" s="10" t="n"/>
      <c r="Z22" s="1" t="n"/>
      <c r="AA22" t="inlineStr">
        <is>
          <t>Yes</t>
        </is>
      </c>
      <c r="AB22" t="inlineStr">
        <is>
          <t>https://www.instagram.com/solion.it/</t>
        </is>
      </c>
      <c r="AC22" t="inlineStr">
        <is>
          <t>https://www.linkedin.com/company/solion/?viewAsMember=true</t>
        </is>
      </c>
      <c r="AD22" t="inlineStr">
        <is>
          <t>https://www.linkedin.com/company/solion/?viewAsMember=true</t>
        </is>
      </c>
    </row>
    <row r="23" ht="15.75" customHeight="1">
      <c r="A23" s="6" t="n">
        <v>45181</v>
      </c>
      <c r="B23" s="1" t="inlineStr">
        <is>
          <t>ORG_1621</t>
        </is>
      </c>
      <c r="C23" s="1" t="b">
        <v>1</v>
      </c>
      <c r="D23" s="1" t="inlineStr">
        <is>
          <t>Gility</t>
        </is>
      </c>
      <c r="E23" s="10" t="inlineStr">
        <is>
          <t>www.gility.it</t>
        </is>
      </c>
      <c r="F23" t="inlineStr">
        <is>
          <t>gility.it</t>
        </is>
      </c>
      <c r="G23" s="1" t="inlineStr">
        <is>
          <t>Gility is the education technology founded by BPER and CDP Venture Capital focused on upskilling and reskilling of Italian small medium enterprises.</t>
        </is>
      </c>
      <c r="H23" s="1" t="inlineStr">
        <is>
          <t>EdTech Italia, edtechstation</t>
        </is>
      </c>
      <c r="J23" s="1" t="inlineStr">
        <is>
          <t>MILANO</t>
        </is>
      </c>
      <c r="K23" s="1" t="inlineStr">
        <is>
          <t>Italy</t>
        </is>
      </c>
      <c r="L23" s="1" t="inlineStr">
        <is>
          <t>Italy</t>
        </is>
      </c>
      <c r="M23" s="1" t="inlineStr">
        <is>
          <t>0 to 10</t>
        </is>
      </c>
      <c r="N23" s="1" t="inlineStr">
        <is>
          <t>Business to Business, Business to Consumer</t>
        </is>
      </c>
      <c r="O23" s="1" t="inlineStr">
        <is>
          <t>Corporate Training</t>
        </is>
      </c>
      <c r="P23" s="1" t="inlineStr">
        <is>
          <t>System/Administrative</t>
        </is>
      </c>
      <c r="Q23" s="1" t="inlineStr">
        <is>
          <t>Gility</t>
        </is>
      </c>
      <c r="R23" s="1" t="inlineStr">
        <is>
          <t>Digital Learning Platform aimed at upskilling and reskilling of SMEs employees</t>
        </is>
      </c>
      <c r="S23" s="10" t="inlineStr">
        <is>
          <t>https://drive.google.com/uc?export=view&amp;id=11F5SD1J0H2Gegp816nHzTfnQhjUuiGU2</t>
        </is>
      </c>
      <c r="T23" t="inlineStr">
        <is>
          <t>https://drive.google.com/uc?export=view&amp;id=11F5SD1J0H2Gegp816nHzTfnQhjUuiGU2</t>
        </is>
      </c>
      <c r="U23" s="1" t="inlineStr">
        <is>
          <t>https://drive.google.com/uc?export=view&amp;id=11F5SD1J0H2Gegp816nHzTfnQhjUuiGU2</t>
        </is>
      </c>
      <c r="V23" s="1" t="inlineStr">
        <is>
          <t>Unverified</t>
        </is>
      </c>
      <c r="Y23" s="10" t="n"/>
      <c r="Z23" s="1" t="n"/>
      <c r="AA23" t="inlineStr">
        <is>
          <t>Yes</t>
        </is>
      </c>
      <c r="AB23" t="inlineStr">
        <is>
          <t>Società di Reskilling s.r.l</t>
        </is>
      </c>
      <c r="AC23" t="inlineStr">
        <is>
          <t>Società di Reskilling s.r.l</t>
        </is>
      </c>
      <c r="AD23" t="inlineStr">
        <is>
          <t>https://www.linkedin.com/company/gility-italia/</t>
        </is>
      </c>
    </row>
    <row r="24" ht="15.75" customHeight="1">
      <c r="A24" s="6" t="n">
        <v>45181</v>
      </c>
      <c r="B24" s="1" t="inlineStr">
        <is>
          <t>ORG_2153</t>
        </is>
      </c>
      <c r="C24" s="1" t="b">
        <v>1</v>
      </c>
      <c r="D24" s="1" t="inlineStr">
        <is>
          <t>RADICAL HR</t>
        </is>
      </c>
      <c r="E24" s="10" t="inlineStr">
        <is>
          <t>https://radicalhr.it/</t>
        </is>
      </c>
      <c r="F24" t="inlineStr">
        <is>
          <t>radicalhr.it</t>
        </is>
      </c>
      <c r="G24" s="1" t="inlineStr">
        <is>
          <t>RADICAL HR is the new perspective on the future of work, the enabler of HR and organizations to drive and accelerate the people transformation.
RADICAL HR is the first Italian edtech company fully dedicated to the corporate learning strategy.
We design the future of work together!</t>
        </is>
      </c>
      <c r="H24" s="1" t="inlineStr">
        <is>
          <t>EdTech Italia</t>
        </is>
      </c>
      <c r="J24" s="1" t="inlineStr">
        <is>
          <t>Milan</t>
        </is>
      </c>
      <c r="K24" s="1" t="inlineStr">
        <is>
          <t>Italy</t>
        </is>
      </c>
      <c r="L24" s="1" t="inlineStr">
        <is>
          <t>Italy</t>
        </is>
      </c>
      <c r="M24" s="1" t="inlineStr">
        <is>
          <t>11 to 50</t>
        </is>
      </c>
      <c r="N24" s="1" t="inlineStr">
        <is>
          <t>Business to Business, Business to Consumer</t>
        </is>
      </c>
      <c r="O24" s="1" t="inlineStr">
        <is>
          <t>Corporate Training, Lifelong learning/Adult education</t>
        </is>
      </c>
      <c r="P24" s="1" t="inlineStr">
        <is>
          <t>System/Administrative, Student interfacing</t>
        </is>
      </c>
      <c r="Q24" s="10" t="n"/>
      <c r="S24" s="10" t="inlineStr">
        <is>
          <t>https://drive.google.com/uc?export=view&amp;id=15ywo_F2QF6oy5jvXPf0W5yN_1ihPwwQT</t>
        </is>
      </c>
      <c r="T24" t="inlineStr">
        <is>
          <t>https://drive.google.com/uc?export=view&amp;id=15ywo_F2QF6oy5jvXPf0W5yN_1ihPwwQT</t>
        </is>
      </c>
      <c r="U24" t="inlineStr">
        <is>
          <t>https://drive.google.com/uc?export=view&amp;id=15ywo_F2QF6oy5jvXPf0W5yN_1ihPwwQT</t>
        </is>
      </c>
      <c r="V24" t="inlineStr">
        <is>
          <t>Unverified</t>
        </is>
      </c>
      <c r="Y24" s="10" t="n"/>
      <c r="Z24" s="1" t="n"/>
      <c r="AA24" t="inlineStr">
        <is>
          <t>Yes</t>
        </is>
      </c>
      <c r="AB24" t="inlineStr">
        <is>
          <t>https://www.instagram.com/radical_hr/</t>
        </is>
      </c>
      <c r="AC24" t="inlineStr">
        <is>
          <t>https://www.linkedin.com/school/radicalhr/?viewAsMember=true</t>
        </is>
      </c>
      <c r="AD24" t="inlineStr">
        <is>
          <t>https://www.linkedin.com/school/radicalhr/?viewAsMember=true</t>
        </is>
      </c>
    </row>
    <row r="25" ht="15.75" customHeight="1">
      <c r="A25" s="6" t="n">
        <v>45181</v>
      </c>
      <c r="B25" s="1" t="inlineStr">
        <is>
          <t>ORG_2333</t>
        </is>
      </c>
      <c r="C25" s="1" t="b">
        <v>1</v>
      </c>
      <c r="D25" s="1" t="inlineStr">
        <is>
          <t>StudentLINK</t>
        </is>
      </c>
      <c r="E25" s="10" t="inlineStr">
        <is>
          <t>www.studentlink.it</t>
        </is>
      </c>
      <c r="F25" t="inlineStr">
        <is>
          <t>studentlink.it</t>
        </is>
      </c>
      <c r="G25" s="1" t="inlineStr">
        <is>
          <t>StudentLINK is identified as an aggregator of services and functions useful to the student in order to speed up the integration process and have all the information he or she needs, instantly, finding a real point of reference.</t>
        </is>
      </c>
      <c r="H25" s="1" t="inlineStr">
        <is>
          <t>EdTech Italia</t>
        </is>
      </c>
      <c r="J25" s="1" t="inlineStr">
        <is>
          <t>LEGNANO</t>
        </is>
      </c>
      <c r="K25" s="1" t="inlineStr">
        <is>
          <t>Italy</t>
        </is>
      </c>
      <c r="L25" s="1" t="inlineStr">
        <is>
          <t>Italy</t>
        </is>
      </c>
      <c r="M25" s="1" t="inlineStr">
        <is>
          <t>0 to 10</t>
        </is>
      </c>
      <c r="N25" s="1" t="inlineStr">
        <is>
          <t>Business to Business, Business to Consumer, Business to Government, Business to Schools</t>
        </is>
      </c>
      <c r="O25" s="1" t="inlineStr">
        <is>
          <t>Secondary Education, Higher Education</t>
        </is>
      </c>
      <c r="P25" s="1" t="inlineStr">
        <is>
          <t>Student interfacing, System/Administrative</t>
        </is>
      </c>
      <c r="Q25" s="10" t="inlineStr">
        <is>
          <t>StudentLINK</t>
        </is>
      </c>
      <c r="R25" t="inlineStr">
        <is>
          <t>StudentLINK is a social network that aims to go to meet the needs and requirements that characterize the student from entry to exit from the university world. The main features are:
o Content Dashboard
o Free Sharing of Learning Materials
o Tutoring and Support
o Real Estate Network and Interactive Map
o Car Pooling
o Social Events
o Alumni Section</t>
        </is>
      </c>
      <c r="S25" s="10" t="inlineStr">
        <is>
          <t>https://drive.google.com/uc?export=view&amp;id=1Q_s-CMGEQWUlgcRM2GpSqqCb-EILYK-L</t>
        </is>
      </c>
      <c r="T25" t="inlineStr">
        <is>
          <t>https://drive.google.com/uc?export=view&amp;id=1Q_s-CMGEQWUlgcRM2GpSqqCb-EILYK-L</t>
        </is>
      </c>
      <c r="U25" s="1" t="inlineStr">
        <is>
          <t>https://drive.google.com/uc?export=view&amp;id=1Q_s-CMGEQWUlgcRM2GpSqqCb-EILYK-L</t>
        </is>
      </c>
      <c r="V25" s="1" t="inlineStr">
        <is>
          <t>Unverified</t>
        </is>
      </c>
      <c r="Y25" s="10" t="n"/>
      <c r="Z25" s="1" t="n"/>
      <c r="AA25" t="inlineStr">
        <is>
          <t>Yes</t>
        </is>
      </c>
      <c r="AB25" t="inlineStr">
        <is>
          <t>https://www.instagram.com/studentlink_ita/</t>
        </is>
      </c>
      <c r="AC25" t="inlineStr">
        <is>
          <t>https://www.linkedin.com/company/studentlinkita/?viewAsMember=true</t>
        </is>
      </c>
      <c r="AD25" t="inlineStr">
        <is>
          <t>https://www.linkedin.com/company/studentlinkita/?viewAsMember=true</t>
        </is>
      </c>
    </row>
    <row r="26" ht="15.75" customHeight="1">
      <c r="A26" s="6" t="n">
        <v>45181</v>
      </c>
      <c r="B26" s="1" t="inlineStr">
        <is>
          <t>ORG_1089</t>
        </is>
      </c>
      <c r="C26" s="1" t="b">
        <v>1</v>
      </c>
      <c r="D26" s="1" t="inlineStr">
        <is>
          <t>ARCADIA</t>
        </is>
      </c>
      <c r="E26" s="10" t="inlineStr">
        <is>
          <t>https://arcadia-consulting.it/</t>
        </is>
      </c>
      <c r="F26" t="inlineStr">
        <is>
          <t>arcadia-consulting.it</t>
        </is>
      </c>
      <c r="G26" s="1" t="inlineStr">
        <is>
          <t>Arcadia help organizations to improve learning and evaluation processes by creating engaging digital experiences.
Arcadia mixes methodologies and technologies to design better end to end digital experiences managed in unique platform environment (LXP) in which each user will play simulators, app, games, interactive videos, VR experiences.</t>
        </is>
      </c>
      <c r="H26" s="1" t="inlineStr">
        <is>
          <t>I'm not part of any EdTech association</t>
        </is>
      </c>
      <c r="J26" s="1" t="inlineStr">
        <is>
          <t>CITTADELLA</t>
        </is>
      </c>
      <c r="K26" s="1" t="inlineStr">
        <is>
          <t>Italy</t>
        </is>
      </c>
      <c r="L26" s="1" t="inlineStr">
        <is>
          <t>Italy</t>
        </is>
      </c>
      <c r="M26" s="1" t="inlineStr">
        <is>
          <t>0 to 10</t>
        </is>
      </c>
      <c r="N26" s="1" t="inlineStr">
        <is>
          <t>Business to Business</t>
        </is>
      </c>
      <c r="O26" s="1" t="inlineStr">
        <is>
          <t>Corporate Training, Lifelong learning/Adult education</t>
        </is>
      </c>
      <c r="P26" s="1" t="inlineStr">
        <is>
          <t>Teacher interfacing, Student interfacing, System/Administrative</t>
        </is>
      </c>
      <c r="S26" t="inlineStr">
        <is>
          <t>https://drive.google.com/uc?export=view&amp;id=1odQl3-pFyacJEPlOcjRF1JbyQaaeIQ3A</t>
        </is>
      </c>
      <c r="T26" t="inlineStr">
        <is>
          <t>https://drive.google.com/uc?export=view&amp;id=1odQl3-pFyacJEPlOcjRF1JbyQaaeIQ3A</t>
        </is>
      </c>
      <c r="U26" t="inlineStr">
        <is>
          <t>https://drive.google.com/uc?export=view&amp;id=1odQl3-pFyacJEPlOcjRF1JbyQaaeIQ3A</t>
        </is>
      </c>
      <c r="V26" t="inlineStr">
        <is>
          <t>Unverified</t>
        </is>
      </c>
      <c r="Y26" s="10" t="n"/>
      <c r="Z26" s="1" t="n"/>
      <c r="AA26" t="inlineStr">
        <is>
          <t>No</t>
        </is>
      </c>
    </row>
    <row r="27" ht="15.75" customHeight="1">
      <c r="A27" s="6" t="n">
        <v>45181</v>
      </c>
      <c r="B27" s="1" t="inlineStr">
        <is>
          <t>ORG_2290</t>
        </is>
      </c>
      <c r="C27" s="1" t="b">
        <v>1</v>
      </c>
      <c r="D27" s="1" t="inlineStr">
        <is>
          <t>Soges | Consulenza e Formazione</t>
        </is>
      </c>
      <c r="E27" s="10" t="inlineStr">
        <is>
          <t>https://sogesnetwork.eu/</t>
        </is>
      </c>
      <c r="F27" t="inlineStr">
        <is>
          <t>sogesnetwork.eu</t>
        </is>
      </c>
      <c r="G27" s="1" t="inlineStr">
        <is>
          <t>In SOGES we work alongside companies, organizations and institutions to finalize their development plans.
Our goal is to help organizations grow and evolve, through innovative, customized, sustainable and measurable solutions, to face the challenges of tomorrow.
Since "the individual at the center" is our creed, each consultancy or training intervention is designed and implemented starting from the people who work in the compa</t>
        </is>
      </c>
      <c r="H27" s="1" t="inlineStr">
        <is>
          <t>I'm not part of any EdTech association</t>
        </is>
      </c>
      <c r="J27" s="1" t="inlineStr">
        <is>
          <t>Torino</t>
        </is>
      </c>
      <c r="K27" s="1" t="inlineStr">
        <is>
          <t>Italy</t>
        </is>
      </c>
      <c r="L27" s="1" t="inlineStr">
        <is>
          <t>Italy</t>
        </is>
      </c>
      <c r="M27" s="1" t="inlineStr">
        <is>
          <t>11 to 50</t>
        </is>
      </c>
      <c r="N27" s="1" t="inlineStr">
        <is>
          <t>Business to Consumer</t>
        </is>
      </c>
      <c r="O27" s="1" t="inlineStr">
        <is>
          <t>Corporate Training</t>
        </is>
      </c>
      <c r="P27" s="1" t="inlineStr">
        <is>
          <t>Teacher interfacing, Student interfacing, System/Administrative</t>
        </is>
      </c>
      <c r="S27" t="inlineStr">
        <is>
          <t>https://drive.google.com/uc?export=view&amp;id=10nzIiK-mEFwatKQAbcN-XUC6xdpu1q8f</t>
        </is>
      </c>
      <c r="T27" t="inlineStr">
        <is>
          <t>https://drive.google.com/uc?export=view&amp;id=10nzIiK-mEFwatKQAbcN-XUC6xdpu1q8f</t>
        </is>
      </c>
      <c r="U27" t="inlineStr">
        <is>
          <t>https://drive.google.com/uc?export=view&amp;id=10nzIiK-mEFwatKQAbcN-XUC6xdpu1q8f</t>
        </is>
      </c>
      <c r="V27" t="inlineStr">
        <is>
          <t>Unverified</t>
        </is>
      </c>
      <c r="Y27" s="10" t="n"/>
      <c r="Z27" s="1" t="n"/>
      <c r="AA27" t="inlineStr">
        <is>
          <t>No</t>
        </is>
      </c>
    </row>
    <row r="28" ht="15.75" customHeight="1">
      <c r="A28" s="6" t="n">
        <v>45181</v>
      </c>
      <c r="B28" s="1" t="inlineStr">
        <is>
          <t>ORG_2281</t>
        </is>
      </c>
      <c r="C28" s="1" t="b">
        <v>1</v>
      </c>
      <c r="D28" s="1" t="inlineStr">
        <is>
          <t>Smartmicrooptics srl</t>
        </is>
      </c>
      <c r="E28" s="10" t="inlineStr">
        <is>
          <t>www.smartmicrooptics.com</t>
        </is>
      </c>
      <c r="F28" t="inlineStr">
        <is>
          <t>smartmicrooptics.com</t>
        </is>
      </c>
      <c r="G28" s="1" t="inlineStr">
        <is>
          <t>SmartMicroOptics develops and manufactures mini-lenses and optical systems to transform any smartphone and tablet into portable macro cameras or digital microscopes. Our mission is to give anyone the tools to explore the micro-world.</t>
        </is>
      </c>
      <c r="H28" s="1" t="inlineStr">
        <is>
          <t>I'm not part of any EdTech association</t>
        </is>
      </c>
      <c r="J28" s="1" t="inlineStr">
        <is>
          <t>GENOVA</t>
        </is>
      </c>
      <c r="K28" s="1" t="inlineStr">
        <is>
          <t>Italy</t>
        </is>
      </c>
      <c r="L28" s="1" t="inlineStr">
        <is>
          <t>Denmark, France, Germany, Italy, Luxembourg, Netherlands, Spain, Sweden, Switzerland, United Kingdom</t>
        </is>
      </c>
      <c r="M28" s="1" t="inlineStr">
        <is>
          <t>0 to 10</t>
        </is>
      </c>
      <c r="N28" s="1" t="inlineStr">
        <is>
          <t>Business to Consumer, Business to Government, Business to Schools</t>
        </is>
      </c>
      <c r="O28" s="1" t="inlineStr">
        <is>
          <t>Secondary Education, Higher Education</t>
        </is>
      </c>
      <c r="P28" s="1" t="inlineStr">
        <is>
          <t>System/Administrative, Teacher interfacing</t>
        </is>
      </c>
      <c r="S28" s="1" t="inlineStr">
        <is>
          <t>https://drive.google.com/uc?export=view&amp;id=1VJk6Cntf237suTTIvMcMfwmdEnCEBniD</t>
        </is>
      </c>
      <c r="T28" t="inlineStr">
        <is>
          <t>https://drive.google.com/uc?export=view&amp;id=1VJk6Cntf237suTTIvMcMfwmdEnCEBniD</t>
        </is>
      </c>
      <c r="U28" s="1" t="inlineStr">
        <is>
          <t>https://drive.google.com/uc?export=view&amp;id=1VJk6Cntf237suTTIvMcMfwmdEnCEBniD</t>
        </is>
      </c>
      <c r="V28" s="1" t="inlineStr">
        <is>
          <t>Unverified</t>
        </is>
      </c>
      <c r="W28" s="1" t="inlineStr">
        <is>
          <t>https://drive.google.com/uc?export=view&amp;id=1VJk6Cntf237suTTIvMcMfwmdEnCEBniD</t>
        </is>
      </c>
      <c r="X28" s="1" t="n"/>
      <c r="Y28" s="10" t="n"/>
      <c r="Z28" s="1" t="n"/>
      <c r="AA28" t="inlineStr">
        <is>
          <t>No</t>
        </is>
      </c>
    </row>
    <row r="29" ht="15.75" customHeight="1">
      <c r="A29" s="6" t="n">
        <v>45181</v>
      </c>
      <c r="B29" s="1" t="inlineStr">
        <is>
          <t>ORG_2439</t>
        </is>
      </c>
      <c r="C29" s="1" t="b">
        <v>1</v>
      </c>
      <c r="D29" s="1" t="inlineStr">
        <is>
          <t>Tutored</t>
        </is>
      </c>
      <c r="E29" s="10" t="inlineStr">
        <is>
          <t>tutored.me</t>
        </is>
      </c>
      <c r="F29" t="inlineStr">
        <is>
          <t>tutored.me</t>
        </is>
      </c>
      <c r="G29" s="1" t="inlineStr">
        <is>
          <t>Tutored is a two-sided platform where students and recent graduates meet companies and achieve their professional ambitions. 
In Italy, many students access to tutored for two main reasons:
Applying for job offers aligned with their study path that the tutored algorithm suggests; 
Taking part in “Online Experiences” organized by companies.
With online experiences developed by Tutored, students can meet companies’ young employees to understand how they work, which technology they use, and get to know tips to start their career in that specific industry or role.</t>
        </is>
      </c>
      <c r="H29" s="1" t="inlineStr">
        <is>
          <t>I'm not part of any EdTech association</t>
        </is>
      </c>
      <c r="J29" s="1" t="inlineStr">
        <is>
          <t>MILAN</t>
        </is>
      </c>
      <c r="K29" s="1" t="inlineStr">
        <is>
          <t>Italy</t>
        </is>
      </c>
      <c r="L29" s="1" t="inlineStr">
        <is>
          <t>Italy, United Kingdom</t>
        </is>
      </c>
      <c r="M29" s="1" t="inlineStr">
        <is>
          <t>11 to 50</t>
        </is>
      </c>
      <c r="N29" s="1" t="inlineStr">
        <is>
          <t>Business to Government, Business to Schools</t>
        </is>
      </c>
      <c r="O29" s="1" t="inlineStr">
        <is>
          <t>Higher Education, Corporate Training</t>
        </is>
      </c>
      <c r="P29" s="1" t="inlineStr">
        <is>
          <t>Student interfacing, System/Administrative</t>
        </is>
      </c>
      <c r="S29" s="1" t="inlineStr">
        <is>
          <t>https://drive.google.com/uc?export=view&amp;id=1O9ew02Zks5fDtiDlgxXrLoUloQKl0MUG</t>
        </is>
      </c>
      <c r="T29" t="inlineStr">
        <is>
          <t>https://drive.google.com/uc?export=view&amp;id=1O9ew02Zks5fDtiDlgxXrLoUloQKl0MUG</t>
        </is>
      </c>
      <c r="U29" s="1" t="inlineStr">
        <is>
          <t>https://drive.google.com/uc?export=view&amp;id=1O9ew02Zks5fDtiDlgxXrLoUloQKl0MUG</t>
        </is>
      </c>
      <c r="V29" s="1" t="inlineStr">
        <is>
          <t>Unverified</t>
        </is>
      </c>
      <c r="Y29" s="10" t="n"/>
      <c r="Z29" s="1" t="n"/>
      <c r="AA29" t="inlineStr">
        <is>
          <t>No</t>
        </is>
      </c>
    </row>
    <row r="30" ht="15.75" customHeight="1">
      <c r="A30" s="6" t="n">
        <v>45181</v>
      </c>
      <c r="B30" s="1" t="inlineStr">
        <is>
          <t>ORG_2442</t>
        </is>
      </c>
      <c r="C30" s="1" t="b">
        <v>1</v>
      </c>
      <c r="D30" s="1" t="inlineStr">
        <is>
          <t>Tutornow</t>
        </is>
      </c>
      <c r="E30" s="10" t="inlineStr">
        <is>
          <t>www.tutornow.it</t>
        </is>
      </c>
      <c r="F30" t="inlineStr">
        <is>
          <t>tutornow.it</t>
        </is>
      </c>
      <c r="G30" s="1" t="inlineStr">
        <is>
          <t>Online private tutoring platform for students of all ages</t>
        </is>
      </c>
      <c r="H30" s="1" t="inlineStr">
        <is>
          <t>I'm not part of any EdTech association</t>
        </is>
      </c>
      <c r="J30" s="1" t="inlineStr">
        <is>
          <t>Lomazzo</t>
        </is>
      </c>
      <c r="K30" s="1" t="inlineStr">
        <is>
          <t>Italy</t>
        </is>
      </c>
      <c r="L30" s="1" t="inlineStr">
        <is>
          <t>Italy</t>
        </is>
      </c>
      <c r="M30" s="1" t="inlineStr">
        <is>
          <t>0 to 10</t>
        </is>
      </c>
      <c r="N30" s="1" t="inlineStr">
        <is>
          <t>Business to Government, Business to Schools</t>
        </is>
      </c>
      <c r="O30" s="1" t="inlineStr">
        <is>
          <t>Primary Education, Secondary Education, Higher Education</t>
        </is>
      </c>
      <c r="P30" s="1" t="inlineStr">
        <is>
          <t>System/Administrative, Student interfacing</t>
        </is>
      </c>
      <c r="Q30" s="1" t="n"/>
      <c r="S30" s="1" t="inlineStr">
        <is>
          <t>https://drive.google.com/uc?export=view&amp;id=1NYzd_HBKXjoDHoLnPlwpHp5dFWHIvpNX</t>
        </is>
      </c>
      <c r="T30" t="inlineStr">
        <is>
          <t>https://drive.google.com/uc?export=view&amp;id=1NYzd_HBKXjoDHoLnPlwpHp5dFWHIvpNX</t>
        </is>
      </c>
      <c r="U30" s="1" t="inlineStr">
        <is>
          <t>https://drive.google.com/uc?export=view&amp;id=1NYzd_HBKXjoDHoLnPlwpHp5dFWHIvpNX</t>
        </is>
      </c>
      <c r="V30" s="1" t="inlineStr">
        <is>
          <t>Unverified</t>
        </is>
      </c>
      <c r="W30" s="1" t="inlineStr">
        <is>
          <t>https://drive.google.com/uc?export=view&amp;id=1NYzd_HBKXjoDHoLnPlwpHp5dFWHIvpNX</t>
        </is>
      </c>
      <c r="X30" s="1" t="n"/>
      <c r="Y30" s="10" t="n"/>
      <c r="Z30" s="1" t="n"/>
      <c r="AA30" t="inlineStr">
        <is>
          <t>No</t>
        </is>
      </c>
    </row>
    <row r="31" ht="15.75" customHeight="1">
      <c r="A31" s="6" t="n">
        <v>45181</v>
      </c>
      <c r="B31" s="1" t="inlineStr">
        <is>
          <t>ORG_1074</t>
        </is>
      </c>
      <c r="C31" s="1" t="b">
        <v>1</v>
      </c>
      <c r="D31" s="1" t="inlineStr">
        <is>
          <t>Another Brick</t>
        </is>
      </c>
      <c r="E31" s="10" t="inlineStr">
        <is>
          <t>www.anotherbrick.it</t>
        </is>
      </c>
      <c r="F31" t="inlineStr">
        <is>
          <t>anotherbrick.it</t>
        </is>
      </c>
      <c r="G31" s="1" t="inlineStr">
        <is>
          <t>BUILD YOUR LIFE
One brick at a time, we help people unleash their talent and become a change maker. Another Brick offers an innovative cloud solution to create engagement, improve the candidate and employee experience and drive change processes for both companies and individuals. Engagement is a booster for education, self improvement, and well-being.</t>
        </is>
      </c>
      <c r="H31" s="1" t="inlineStr">
        <is>
          <t>I'm not part of any EdTech association</t>
        </is>
      </c>
      <c r="J31" s="1" t="inlineStr">
        <is>
          <t>ASSAGO (MI)</t>
        </is>
      </c>
      <c r="K31" s="1" t="inlineStr">
        <is>
          <t>Italy</t>
        </is>
      </c>
      <c r="L31" s="1" t="inlineStr">
        <is>
          <t>Italy, Luxembourg</t>
        </is>
      </c>
      <c r="M31" s="1" t="inlineStr">
        <is>
          <t>0 to 10</t>
        </is>
      </c>
      <c r="N31" s="1" t="inlineStr">
        <is>
          <t>Business to Business</t>
        </is>
      </c>
      <c r="O31" s="1" t="inlineStr">
        <is>
          <t>Corporate Training</t>
        </is>
      </c>
      <c r="P31" s="1" t="inlineStr">
        <is>
          <t>Student interfacing, Teacher interfacing, System/Administrative</t>
        </is>
      </c>
      <c r="S31" t="inlineStr">
        <is>
          <t>https://drive.google.com/uc?export=view&amp;id=1lJcZijyT6A_gqItY6mBSdShQtXeeE1pz</t>
        </is>
      </c>
      <c r="T31" t="inlineStr">
        <is>
          <t>https://drive.google.com/uc?export=view&amp;id=1lJcZijyT6A_gqItY6mBSdShQtXeeE1pz</t>
        </is>
      </c>
      <c r="U31" t="inlineStr">
        <is>
          <t>https://drive.google.com/uc?export=view&amp;id=1lJcZijyT6A_gqItY6mBSdShQtXeeE1pz</t>
        </is>
      </c>
      <c r="V31" t="inlineStr">
        <is>
          <t>Unverified</t>
        </is>
      </c>
      <c r="Y31" s="10" t="n"/>
      <c r="Z31" s="1" t="n"/>
      <c r="AA31" t="inlineStr">
        <is>
          <t>No</t>
        </is>
      </c>
    </row>
    <row r="32" ht="15.75" customHeight="1">
      <c r="A32" s="6" t="n">
        <v>45181</v>
      </c>
      <c r="B32" s="1" t="inlineStr">
        <is>
          <t>ORG_1444</t>
        </is>
      </c>
      <c r="C32" s="1" t="b">
        <v>1</v>
      </c>
      <c r="D32" s="1" t="inlineStr">
        <is>
          <t>Edulai</t>
        </is>
      </c>
      <c r="E32" s="10" t="inlineStr">
        <is>
          <t>www.edulai.com</t>
        </is>
      </c>
      <c r="F32" t="inlineStr">
        <is>
          <t>edulai.com</t>
        </is>
      </c>
      <c r="G32" s="1" t="inlineStr">
        <is>
          <t>Assessing and developing skills for the job market of the future
Edulai is Platform offering a 360° support service to companies, head huntings and universities for measuring and developing candidates, workers and students' skills</t>
        </is>
      </c>
      <c r="H32" s="1" t="inlineStr">
        <is>
          <t>EdTech Italia</t>
        </is>
      </c>
      <c r="J32" s="1" t="inlineStr">
        <is>
          <t>Busto Arsizio (VA)</t>
        </is>
      </c>
      <c r="K32" s="1" t="inlineStr">
        <is>
          <t>Italy</t>
        </is>
      </c>
      <c r="L32" s="1" t="inlineStr">
        <is>
          <t>Italy</t>
        </is>
      </c>
      <c r="M32" s="1" t="inlineStr">
        <is>
          <t>0 to 10</t>
        </is>
      </c>
      <c r="N32" s="1" t="inlineStr">
        <is>
          <t>Business to Business, Business to Consumer</t>
        </is>
      </c>
      <c r="O32" s="1" t="inlineStr">
        <is>
          <t>Higher Education, Corporate Training, Lifelong learning/Adult education</t>
        </is>
      </c>
      <c r="P32" s="1" t="inlineStr">
        <is>
          <t>Teacher interfacing, Student interfacing, System/Administrative</t>
        </is>
      </c>
      <c r="Q32" t="inlineStr">
        <is>
          <t>Edulai Skills Checker</t>
        </is>
      </c>
      <c r="R32" t="inlineStr">
        <is>
          <t>Edulai Skills Checker measures in real time, the skills required nowadays by the labour market. The assessment is performed on individual workers, students and it comprise a range of 45+ skills and sub-skills, plus analytics on the results of skills assessments performed, inside a specific company/institution</t>
        </is>
      </c>
      <c r="S32" s="10" t="inlineStr">
        <is>
          <t>Edulai Intelligent Library</t>
        </is>
      </c>
      <c r="T32" t="inlineStr">
        <is>
          <t>An Intelligent online tool that suggests users high quality selected content for skills improvement, based on individuals' current and potential level.</t>
        </is>
      </c>
      <c r="U32" s="1" t="inlineStr">
        <is>
          <t>https://drive.google.com/uc?export=view&amp;id=1MZcWK6cYNPu312bSWVJNQolzvZJl3gPb</t>
        </is>
      </c>
      <c r="V32" s="1" t="inlineStr">
        <is>
          <t>Unverified</t>
        </is>
      </c>
      <c r="W32" s="1" t="inlineStr">
        <is>
          <t>https://drive.google.com/uc?export=view&amp;id=1MZcWK6cYNPu312bSWVJNQolzvZJl3gPb</t>
        </is>
      </c>
      <c r="X32" s="1" t="n"/>
      <c r="Y32" s="10" t="n"/>
      <c r="Z32" s="1" t="n"/>
      <c r="AA32" t="inlineStr">
        <is>
          <t>Yes</t>
        </is>
      </c>
      <c r="AC32" t="inlineStr">
        <is>
          <t>https://www.linkedin.com/company/edulai/?viewAsMember=true</t>
        </is>
      </c>
      <c r="AD32" t="inlineStr">
        <is>
          <t>https://www.linkedin.com/company/edulai/?viewAsMember=true</t>
        </is>
      </c>
    </row>
    <row r="33" ht="15.75" customHeight="1">
      <c r="A33" s="6" t="n">
        <v>45181</v>
      </c>
      <c r="B33" s="1" t="inlineStr">
        <is>
          <t>ORG_1603</t>
        </is>
      </c>
      <c r="C33" s="1" t="b">
        <v>1</v>
      </c>
      <c r="D33" s="1" t="inlineStr">
        <is>
          <t>gamedoo</t>
        </is>
      </c>
      <c r="E33" s="10" t="inlineStr">
        <is>
          <t>https://www.gamedoo.it</t>
        </is>
      </c>
      <c r="F33" t="inlineStr">
        <is>
          <t>gamedoo.it</t>
        </is>
      </c>
      <c r="G33" s="1" t="inlineStr">
        <is>
          <t>Gamedoo provides learning experiences and learning games with an education theme, through a video game platform.
Video games are designed according to the rules of the serious game and allow users to learn according to game mechanics and dynamics that are inspired by topics and educational content.
Gamedoo is part of OperaLogica's innovative ecosystem.</t>
        </is>
      </c>
      <c r="H33" s="1" t="inlineStr">
        <is>
          <t>I'm not part of any EdTech association</t>
        </is>
      </c>
      <c r="J33" s="1" t="inlineStr">
        <is>
          <t>GARBAGNATE MILANESE</t>
        </is>
      </c>
      <c r="K33" s="1" t="inlineStr">
        <is>
          <t>Italy</t>
        </is>
      </c>
      <c r="L33" s="1" t="inlineStr">
        <is>
          <t>Italy, Spain, Switzerland, United Kingdom</t>
        </is>
      </c>
      <c r="M33" s="1" t="inlineStr">
        <is>
          <t>0 to 10</t>
        </is>
      </c>
      <c r="N33" s="1" t="inlineStr">
        <is>
          <t>Business to Business, Business to Consumer, Business to Government, Business to Schools</t>
        </is>
      </c>
      <c r="O33" s="1" t="inlineStr">
        <is>
          <t>Secondary Education, Corporate Training, Lifelong learning/Adult education</t>
        </is>
      </c>
      <c r="P33" s="1" t="inlineStr">
        <is>
          <t>Student interfacing, Teacher interfacing, System/Administrative</t>
        </is>
      </c>
      <c r="Q33" t="inlineStr">
        <is>
          <t>gamedoo</t>
        </is>
      </c>
      <c r="R33" t="inlineStr">
        <is>
          <t>Gamedoo builds digital and interactive learning paths for both schools and companies, where the result is not just fun, but the acquisition of skills and knowledge that can be measured on a personal level. The platform collects educational content and then proceeds to the design of the game dynamics in a context of competitive, collaborative and narrative game design.</t>
        </is>
      </c>
      <c r="S33" s="10" t="inlineStr">
        <is>
          <t>https://drive.google.com/uc?export=view&amp;id=1xjVYpE8jPDaqO1QnCHXKY9SvC2SvzFVa</t>
        </is>
      </c>
      <c r="T33" t="inlineStr">
        <is>
          <t>https://drive.google.com/uc?export=view&amp;id=1xjVYpE8jPDaqO1QnCHXKY9SvC2SvzFVa</t>
        </is>
      </c>
      <c r="U33" s="1" t="inlineStr">
        <is>
          <t>https://drive.google.com/uc?export=view&amp;id=1xjVYpE8jPDaqO1QnCHXKY9SvC2SvzFVa</t>
        </is>
      </c>
      <c r="V33" s="1" t="inlineStr">
        <is>
          <t>Unverified</t>
        </is>
      </c>
      <c r="Y33" s="10" t="n"/>
      <c r="Z33" s="1" t="n"/>
      <c r="AA33" t="inlineStr">
        <is>
          <t>Yes</t>
        </is>
      </c>
      <c r="AC33" t="inlineStr">
        <is>
          <t>https://www.linkedin.com/company/gamedoo</t>
        </is>
      </c>
      <c r="AD33" t="inlineStr">
        <is>
          <t>https://www.linkedin.com/company/gamedoo</t>
        </is>
      </c>
    </row>
    <row r="34" ht="15.75" customHeight="1">
      <c r="A34" s="6" t="n">
        <v>45181</v>
      </c>
      <c r="B34" s="1" t="inlineStr">
        <is>
          <t>ORG_1655</t>
        </is>
      </c>
      <c r="C34" s="1" t="b">
        <v>1</v>
      </c>
      <c r="D34" s="1" t="inlineStr">
        <is>
          <t>H4Young</t>
        </is>
      </c>
      <c r="E34" s="10" t="inlineStr">
        <is>
          <t>www.h4young.it</t>
        </is>
      </c>
      <c r="F34" t="inlineStr">
        <is>
          <t>h4young.it</t>
        </is>
      </c>
      <c r="G34" s="1" t="inlineStr">
        <is>
          <t>H4Young is a space where every young person can find multiple opportunities to discover their own value, cultivate their passions and reach their goals.
The project aims to assist the youngest generations during the process of looking for a new study or before choosing the most suitable work experience. Resources and instruments are organised to offer qualified help and valid guidance. Through a variety of tools users can enter into a personalised path leading into suggested choice of learning and profession for their future.
H4Young is a HUB that works mainly in 3 directions: helping YOUNG PEOPLE, organising projects with SCHOOLS and functioning as a bridge between COMPANY , Schools and young people.</t>
        </is>
      </c>
      <c r="H34" s="1" t="inlineStr">
        <is>
          <t>I'm not part of any EdTech association</t>
        </is>
      </c>
      <c r="J34" s="1" t="inlineStr">
        <is>
          <t>Pordenone</t>
        </is>
      </c>
      <c r="K34" s="1" t="inlineStr">
        <is>
          <t>Italy</t>
        </is>
      </c>
      <c r="L34" s="1" t="inlineStr">
        <is>
          <t>Italy, Spain</t>
        </is>
      </c>
      <c r="M34" s="1" t="inlineStr">
        <is>
          <t>0 to 10</t>
        </is>
      </c>
      <c r="N34" s="1" t="inlineStr">
        <is>
          <t>Business to Business, Business to Consumer, Business to Schools</t>
        </is>
      </c>
      <c r="O34" s="1" t="inlineStr">
        <is>
          <t>Secondary Education, Higher Education, Corporate Training, Lifelong learning/Adult education</t>
        </is>
      </c>
      <c r="P34" s="1" t="inlineStr">
        <is>
          <t>Student interfacing, Teacher interfacing, System/Administrative</t>
        </is>
      </c>
      <c r="Q34" s="1" t="inlineStr">
        <is>
          <t>To Young People</t>
        </is>
      </c>
      <c r="R34" t="inlineStr">
        <is>
          <t>Our site offers different tests to value their skills and attitudes which lead than into courses, videos, books and guidance from mentors. 
The instruments and resources are design for youth which with to enter into the right carreer, project development of creating a new business
We also offers service as Career coaching</t>
        </is>
      </c>
      <c r="S34" s="10" t="inlineStr">
        <is>
          <t>To School</t>
        </is>
      </c>
      <c r="T34" t="inlineStr">
        <is>
          <t>We offer partnership for 
- Hackaton with challenges from companies
- Creativity Camp
- Career guidance projects
- Organization of projects that bring together young people and businesses
- Training courses to learn robotics</t>
        </is>
      </c>
      <c r="U34" s="1" t="inlineStr">
        <is>
          <t>https://drive.google.com/uc?export=view&amp;id=1fLoaUuARhF5hJMgNySGm5ze6zpPr2Uvj</t>
        </is>
      </c>
      <c r="V34" s="1" t="inlineStr">
        <is>
          <t>Unverified</t>
        </is>
      </c>
      <c r="W34" s="1" t="inlineStr">
        <is>
          <t>https://drive.google.com/uc?export=view&amp;id=1fLoaUuARhF5hJMgNySGm5ze6zpPr2Uvj</t>
        </is>
      </c>
      <c r="X34" s="1" t="n"/>
      <c r="Y34" s="10" t="n"/>
      <c r="Z34" s="1" t="n"/>
      <c r="AA34" t="inlineStr">
        <is>
          <t>Yes</t>
        </is>
      </c>
      <c r="AB34" t="inlineStr">
        <is>
          <t>@h4young_it</t>
        </is>
      </c>
      <c r="AC34" t="inlineStr">
        <is>
          <t>https://www.linkedin.com/company/h4young</t>
        </is>
      </c>
      <c r="AD34" t="inlineStr">
        <is>
          <t>https://www.linkedin.com/company/h4young</t>
        </is>
      </c>
    </row>
    <row r="35" ht="15.75" customHeight="1">
      <c r="A35" s="6" t="n">
        <v>45181</v>
      </c>
      <c r="B35" s="1" t="inlineStr">
        <is>
          <t>ORG_1707</t>
        </is>
      </c>
      <c r="C35" s="1" t="b">
        <v>1</v>
      </c>
      <c r="D35" s="1" t="inlineStr">
        <is>
          <t>IeXa Academy</t>
        </is>
      </c>
      <c r="E35" s="10" t="inlineStr">
        <is>
          <t>https://www.iexa.it/</t>
        </is>
      </c>
      <c r="F35" t="inlineStr">
        <is>
          <t>iexa.it</t>
        </is>
      </c>
      <c r="G35" s="1" t="inlineStr">
        <is>
          <t>Today there are tons of online resources to learn and grow but most people don't complete the courses they sign up for. It's necessary to strengthen the model with 1-t-1 tutoring and chort based learning services. Sintropy Platform (by IeXa Academy) is a marketplace that in a sustainable, scalable and open way will allow everyone to complete their growth paths!
Our mission is Democratize Techcnical Learning for everyone through the Sintropy Network Platform that disintermediates the traditional supply chains of "Learning Market" and directly connects those who want to offer their skills with those who need to learn.
All the Colearning centers distributed throughout Italy and Europe that wish to join this network will also be connected to the platform.
Sintropy is a Phygital project. A network platform and a series of physical "Colearning Spaces" distributed to host students online and offer value-added services for students.</t>
        </is>
      </c>
      <c r="H35" s="1" t="inlineStr">
        <is>
          <t>I'm not part of any EdTech association</t>
        </is>
      </c>
      <c r="J35" s="1" t="inlineStr">
        <is>
          <t>ROME</t>
        </is>
      </c>
      <c r="K35" s="1" t="inlineStr">
        <is>
          <t>Italy</t>
        </is>
      </c>
      <c r="L35" s="1" t="inlineStr">
        <is>
          <t>Italy</t>
        </is>
      </c>
      <c r="M35" s="1" t="inlineStr">
        <is>
          <t>0 to 10</t>
        </is>
      </c>
      <c r="N35" s="1" t="inlineStr">
        <is>
          <t>Business to Business, Business to Consumer, Business to Schools</t>
        </is>
      </c>
      <c r="O35" s="1" t="inlineStr">
        <is>
          <t>Higher Education, Corporate Training, Lifelong learning/Adult education</t>
        </is>
      </c>
      <c r="P35" s="1" t="inlineStr">
        <is>
          <t>System/Administrative, Student interfacing, Teacher interfacing</t>
        </is>
      </c>
      <c r="Q35" s="1" t="n"/>
      <c r="S35" s="1" t="inlineStr">
        <is>
          <t>https://drive.google.com/uc?export=view&amp;id=14lMi8IvIfDpc-U1HSyr850-cIRi2ZF0g</t>
        </is>
      </c>
      <c r="T35" t="inlineStr">
        <is>
          <t>https://drive.google.com/uc?export=view&amp;id=14lMi8IvIfDpc-U1HSyr850-cIRi2ZF0g</t>
        </is>
      </c>
      <c r="U35" s="1" t="inlineStr">
        <is>
          <t>https://drive.google.com/uc?export=view&amp;id=14lMi8IvIfDpc-U1HSyr850-cIRi2ZF0g</t>
        </is>
      </c>
      <c r="V35" s="1" t="inlineStr">
        <is>
          <t>Unverified</t>
        </is>
      </c>
      <c r="Y35" s="10" t="n"/>
      <c r="Z35" s="1" t="n"/>
      <c r="AA35" t="inlineStr">
        <is>
          <t>No</t>
        </is>
      </c>
    </row>
    <row r="36" ht="15.75" customHeight="1">
      <c r="A36" s="6" t="n">
        <v>45181</v>
      </c>
      <c r="B36" s="1" t="inlineStr">
        <is>
          <t>ORG_1824</t>
        </is>
      </c>
      <c r="C36" s="1" t="b">
        <v>1</v>
      </c>
      <c r="D36" s="1" t="inlineStr">
        <is>
          <t>Learn More</t>
        </is>
      </c>
      <c r="E36" s="1" t="inlineStr">
        <is>
          <t>www.learn-more.eu</t>
        </is>
      </c>
      <c r="F36" t="inlineStr">
        <is>
          <t>learn-more.eu</t>
        </is>
      </c>
      <c r="G36" s="1" t="inlineStr">
        <is>
          <t>Learn More is a research and innovation centre focusing on education and learning. Our clients include the World Bank, the UN, Save the Children, the European Commission and a wide range of EdTech players.</t>
        </is>
      </c>
      <c r="H36" s="1" t="inlineStr">
        <is>
          <t>I'm not part of any EdTech association</t>
        </is>
      </c>
      <c r="J36" s="1" t="inlineStr">
        <is>
          <t>MILAN</t>
        </is>
      </c>
      <c r="K36" s="1" t="inlineStr">
        <is>
          <t>Italy</t>
        </is>
      </c>
      <c r="L36" s="1" t="inlineStr">
        <is>
          <t>Belgium, France, Germany, Greece, Ireland, Italy, Netherlands, Poland, Spain, Ukraine, United Kingdom</t>
        </is>
      </c>
      <c r="M36" s="1" t="inlineStr">
        <is>
          <t>0 to 10</t>
        </is>
      </c>
      <c r="N36" s="1" t="inlineStr">
        <is>
          <t>Business to Business, Business to Government, Business to Schools</t>
        </is>
      </c>
      <c r="O36" s="1" t="inlineStr">
        <is>
          <t>Early childhood development (0-5 years), Primary Education, Secondary Education, Lifelong learning/Adult education</t>
        </is>
      </c>
      <c r="P36" s="1" t="inlineStr">
        <is>
          <t>Teacher interfacing, System/Administrative</t>
        </is>
      </c>
      <c r="Q36" t="inlineStr">
        <is>
          <t>Docenti Zen</t>
        </is>
      </c>
      <c r="R36" t="inlineStr">
        <is>
          <t>Learn More's Online Community of Practice for teachers.</t>
        </is>
      </c>
      <c r="S36" s="10" t="inlineStr">
        <is>
          <t>https://drive.google.com/uc?export=view&amp;id=1qvdpm26fbOQ2XTHvWJlKI8FqVmfeFeMc</t>
        </is>
      </c>
      <c r="T36" t="inlineStr">
        <is>
          <t>https://drive.google.com/uc?export=view&amp;id=1qvdpm26fbOQ2XTHvWJlKI8FqVmfeFeMc</t>
        </is>
      </c>
      <c r="U36" s="1" t="inlineStr">
        <is>
          <t>https://drive.google.com/uc?export=view&amp;id=1qvdpm26fbOQ2XTHvWJlKI8FqVmfeFeMc</t>
        </is>
      </c>
      <c r="V36" s="1" t="inlineStr">
        <is>
          <t>Unverified</t>
        </is>
      </c>
      <c r="W36" s="1" t="inlineStr">
        <is>
          <t>https://drive.google.com/uc?export=view&amp;id=1qvdpm26fbOQ2XTHvWJlKI8FqVmfeFeMc</t>
        </is>
      </c>
      <c r="X36" s="1" t="n"/>
      <c r="Y36" s="10" t="n"/>
      <c r="Z36" s="1" t="n"/>
      <c r="AA36" t="inlineStr">
        <is>
          <t>Yes</t>
        </is>
      </c>
      <c r="AC36" t="inlineStr">
        <is>
          <t>https://www.linkedin.com/company/learnmore</t>
        </is>
      </c>
      <c r="AD36" t="inlineStr">
        <is>
          <t>https://www.linkedin.com/company/learnmore</t>
        </is>
      </c>
    </row>
    <row r="37" ht="12.5" customHeight="1">
      <c r="A37" s="6" t="n">
        <v>45181</v>
      </c>
      <c r="B37" s="1" t="inlineStr">
        <is>
          <t>ORG_2317</t>
        </is>
      </c>
      <c r="C37" s="1" t="b">
        <v>1</v>
      </c>
      <c r="D37" s="1" t="inlineStr">
        <is>
          <t>start2impact | B Corp</t>
        </is>
      </c>
      <c r="E37" s="10" t="inlineStr">
        <is>
          <t>https://www.start2impact.com/</t>
        </is>
      </c>
      <c r="F37" t="inlineStr">
        <is>
          <t>start2impact.com</t>
        </is>
      </c>
      <c r="G37" s="1" t="inlineStr">
        <is>
          <t>Our mission is to inspire and train young talents to find their own path and make a positive impact on people's lives and on the planet thanks to their digital skills.
Start2impact is an online training school about digital professions where students introduce themselves to companies thanks to a Practical Projects Portfolio with which they show theirs skills.</t>
        </is>
      </c>
      <c r="H37" s="1" t="inlineStr">
        <is>
          <t>I'm not part of any EdTech association</t>
        </is>
      </c>
      <c r="J37" s="1" t="inlineStr">
        <is>
          <t>RIETI</t>
        </is>
      </c>
      <c r="K37" s="1" t="inlineStr">
        <is>
          <t>Italy</t>
        </is>
      </c>
      <c r="L37" s="1" t="inlineStr">
        <is>
          <t>Italy</t>
        </is>
      </c>
      <c r="M37" s="1" t="inlineStr">
        <is>
          <t>11 to 50</t>
        </is>
      </c>
      <c r="N37" s="1" t="inlineStr">
        <is>
          <t>Business to Consumer, Business to Schools</t>
        </is>
      </c>
      <c r="O37" s="1" t="inlineStr">
        <is>
          <t>Higher Education, Lifelong learning/Adult education</t>
        </is>
      </c>
      <c r="P37" s="1" t="inlineStr">
        <is>
          <t>Student interfacing</t>
        </is>
      </c>
      <c r="S37" t="inlineStr">
        <is>
          <t>https://drive.google.com/uc?export=view&amp;id=1jEbBvhLEFTFmQQcyn8D-bJWKTlunt6Ua</t>
        </is>
      </c>
      <c r="T37" t="inlineStr">
        <is>
          <t>https://drive.google.com/uc?export=view&amp;id=1jEbBvhLEFTFmQQcyn8D-bJWKTlunt6Ua</t>
        </is>
      </c>
      <c r="U37" t="inlineStr">
        <is>
          <t>https://drive.google.com/uc?export=view&amp;id=1jEbBvhLEFTFmQQcyn8D-bJWKTlunt6Ua</t>
        </is>
      </c>
      <c r="V37" t="inlineStr">
        <is>
          <t>Unverified</t>
        </is>
      </c>
      <c r="Y37" s="10" t="n"/>
      <c r="Z37" s="1" t="n"/>
      <c r="AA37" t="inlineStr">
        <is>
          <t>No</t>
        </is>
      </c>
    </row>
    <row r="38" ht="12.5" customHeight="1">
      <c r="A38" s="6" t="n">
        <v>45181</v>
      </c>
      <c r="B38" s="1" t="inlineStr">
        <is>
          <t>ORG_2479</t>
        </is>
      </c>
      <c r="C38" s="1" t="b">
        <v>1</v>
      </c>
      <c r="D38" s="1" t="inlineStr">
        <is>
          <t>Usophy</t>
        </is>
      </c>
      <c r="E38" s="10" t="inlineStr">
        <is>
          <t>https://usophy.com/</t>
        </is>
      </c>
      <c r="F38" t="inlineStr">
        <is>
          <t>usophy.com</t>
        </is>
      </c>
      <c r="G38" s="1" t="inlineStr">
        <is>
          <t>Usophy is an education technology company that offers ebooks subscription through e-learning platforms.
Usophy, where eBooks are loved by kids as cartoons, and learners exceed their knowledge with the best authors in the world.</t>
        </is>
      </c>
      <c r="H38" s="1" t="inlineStr">
        <is>
          <t>EdTech Italia</t>
        </is>
      </c>
      <c r="J38" s="1" t="inlineStr">
        <is>
          <t>TORINO</t>
        </is>
      </c>
      <c r="K38" s="1" t="inlineStr">
        <is>
          <t>Italy</t>
        </is>
      </c>
      <c r="L38" s="1" t="inlineStr">
        <is>
          <t>Italy</t>
        </is>
      </c>
      <c r="M38" s="1" t="inlineStr">
        <is>
          <t>0 to 10</t>
        </is>
      </c>
      <c r="N38" s="1" t="inlineStr">
        <is>
          <t>Business to Government, Business to Schools</t>
        </is>
      </c>
      <c r="O38" s="1" t="inlineStr">
        <is>
          <t>Early childhood development (0-5 years), Primary Education, Higher Education, Corporate Training, Lifelong learning/Adult education</t>
        </is>
      </c>
      <c r="P38" s="1" t="inlineStr">
        <is>
          <t>System/Administrative, Student interfacing, Teacher interfacing</t>
        </is>
      </c>
      <c r="Q38" s="10" t="inlineStr">
        <is>
          <t>Usophy</t>
        </is>
      </c>
      <c r="R38" t="inlineStr">
        <is>
          <t>Usophy.com offers an over-the-top subscription to learning ebooks featuring titles from publishers like Hoepli, Utet DeAgostini to name a few.
We also provide the University's digital library service at the Pegaso Online University, therefore to +100,000 students.</t>
        </is>
      </c>
      <c r="S38" s="10" t="inlineStr">
        <is>
          <t>Usophy Kids</t>
        </is>
      </c>
      <c r="T38" t="inlineStr">
        <is>
          <t>Usophy Kids is the reading and learning app for children under 12. 
It offers unlimited access to +10000 of ebooks, audiobooks and educational content from +25 leading publishers worldwide!
We provide books and videos on various topics such as adventure, animals, science etc and we support pupils reading with tools like Read-to-me and Dictionary Look Up.
Our Mission?
To spark children curiosity and build their reading confidence :)</t>
        </is>
      </c>
      <c r="U38" s="1" t="inlineStr">
        <is>
          <t>https://drive.google.com/uc?export=view&amp;id=1dBnQ0FmUzBP-laXDtmtfx5dtXuUlMKvc</t>
        </is>
      </c>
      <c r="V38" s="1" t="inlineStr">
        <is>
          <t>Unverified</t>
        </is>
      </c>
      <c r="W38" s="1" t="inlineStr">
        <is>
          <t>https://drive.google.com/uc?export=view&amp;id=1dBnQ0FmUzBP-laXDtmtfx5dtXuUlMKvc</t>
        </is>
      </c>
      <c r="X38" s="1" t="n"/>
      <c r="Y38" s="10" t="n"/>
      <c r="Z38" s="1" t="n"/>
      <c r="AA38" t="inlineStr">
        <is>
          <t>Yes</t>
        </is>
      </c>
      <c r="AB38" t="inlineStr">
        <is>
          <t>https://www.instagram.com/usophy_books/</t>
        </is>
      </c>
      <c r="AC38" t="inlineStr">
        <is>
          <t>https://www.linkedin.com/company/usophy</t>
        </is>
      </c>
      <c r="AD38" t="inlineStr">
        <is>
          <t>https://www.linkedin.com/company/usophy</t>
        </is>
      </c>
    </row>
    <row r="39" ht="12.5" customHeight="1">
      <c r="A39" s="6" t="n">
        <v>45181</v>
      </c>
      <c r="B39" s="1" t="inlineStr">
        <is>
          <t>ORG_2530</t>
        </is>
      </c>
      <c r="C39" s="1" t="b">
        <v>1</v>
      </c>
      <c r="D39" s="1" t="inlineStr">
        <is>
          <t>Wibo</t>
        </is>
      </c>
      <c r="E39" s="10" t="inlineStr">
        <is>
          <t>https://wibo.app</t>
        </is>
      </c>
      <c r="F39" t="inlineStr">
        <is>
          <t>wibo.app</t>
        </is>
      </c>
      <c r="G39" s="1" t="inlineStr">
        <is>
          <t>Wibo makes corporate education a memorable experience.
Wibo is the platform that makes corporate education fun, memorable and interactive through micro-learning, gamification and meaningfull meetings.
We are a learner centric company, focused on improving talents development and engagement adopting cutting edge technology.
We mixed the best innovative education solutions to create Wibo Experiences, cohort-based learning and team building experiences for talent development, social learning and engagement.</t>
        </is>
      </c>
      <c r="H39" s="1" t="inlineStr">
        <is>
          <t>I'm not part of any EdTech association</t>
        </is>
      </c>
      <c r="J39" s="1" t="inlineStr">
        <is>
          <t>TORINO</t>
        </is>
      </c>
      <c r="K39" s="1" t="inlineStr">
        <is>
          <t>Italy</t>
        </is>
      </c>
      <c r="L39" s="1" t="inlineStr">
        <is>
          <t>Italy</t>
        </is>
      </c>
      <c r="M39" s="1" t="inlineStr">
        <is>
          <t>0 to 10</t>
        </is>
      </c>
      <c r="N39" s="1" t="inlineStr">
        <is>
          <t>Business to Schools</t>
        </is>
      </c>
      <c r="O39" s="1" t="inlineStr">
        <is>
          <t>Corporate Training, Lifelong learning/Adult education</t>
        </is>
      </c>
      <c r="P39" s="1" t="inlineStr">
        <is>
          <t>Student interfacing, System/Administrative</t>
        </is>
      </c>
      <c r="Q39" s="10" t="inlineStr">
        <is>
          <t>Wibo Experience</t>
        </is>
      </c>
      <c r="R39" t="inlineStr">
        <is>
          <t>Customizable, mobile-first, cohort-based learning experiences with contents from the best learning providers.</t>
        </is>
      </c>
      <c r="S39" s="10" t="inlineStr">
        <is>
          <t>https://drive.google.com/uc?export=view&amp;id=1OAe2L3Xn1xHCy5KMWQsykLWYXs92J1vv</t>
        </is>
      </c>
      <c r="T39" t="inlineStr">
        <is>
          <t>https://drive.google.com/uc?export=view&amp;id=1OAe2L3Xn1xHCy5KMWQsykLWYXs92J1vv</t>
        </is>
      </c>
      <c r="U39" s="1" t="inlineStr">
        <is>
          <t>https://drive.google.com/uc?export=view&amp;id=1OAe2L3Xn1xHCy5KMWQsykLWYXs92J1vv</t>
        </is>
      </c>
      <c r="V39" s="1" t="inlineStr">
        <is>
          <t>Unverified</t>
        </is>
      </c>
      <c r="Y39" s="10" t="n"/>
      <c r="Z39" s="1" t="n"/>
      <c r="AA39" t="inlineStr">
        <is>
          <t>Yes</t>
        </is>
      </c>
      <c r="AB39" t="inlineStr">
        <is>
          <t>https://www.instagram.com/wibo.family/</t>
        </is>
      </c>
      <c r="AC39" t="inlineStr">
        <is>
          <t>https://www.linkedin.com/company/wiboapp/</t>
        </is>
      </c>
      <c r="AD39" t="inlineStr">
        <is>
          <t>https://www.linkedin.com/company/wiboapp/</t>
        </is>
      </c>
    </row>
    <row r="40" ht="12.5" customHeight="1">
      <c r="A40" s="6" t="n">
        <v>45181</v>
      </c>
      <c r="B40" s="1" t="inlineStr">
        <is>
          <t>ORG_2545</t>
        </is>
      </c>
      <c r="C40" s="1" t="b">
        <v>1</v>
      </c>
      <c r="D40" s="1" t="inlineStr">
        <is>
          <t>Wonderful Education</t>
        </is>
      </c>
      <c r="E40" s="10" t="inlineStr">
        <is>
          <t>https://www.wef.education/</t>
        </is>
      </c>
      <c r="F40" t="inlineStr">
        <is>
          <t>wef.education</t>
        </is>
      </c>
      <c r="G40" s="1" t="inlineStr">
        <is>
          <t>We research, design, develop and accelerate technologically-rich and socially-impactful educational experiences, across a variety of formats and targets.
We employ a range of tech-centered approaches, including machine learning, NLP, educational data mining and open hardware, to generate effective learning processes on core 21st century skills. Those include language L1 learning, sustainability education, mathematical thinking and arts' education.</t>
        </is>
      </c>
      <c r="H40" s="1" t="inlineStr">
        <is>
          <t>EdTech Italia</t>
        </is>
      </c>
      <c r="J40" s="1" t="inlineStr">
        <is>
          <t>Modena</t>
        </is>
      </c>
      <c r="K40" s="1" t="inlineStr">
        <is>
          <t>Italy</t>
        </is>
      </c>
      <c r="L40" s="1" t="inlineStr">
        <is>
          <t>Italy</t>
        </is>
      </c>
      <c r="M40" s="1" t="inlineStr">
        <is>
          <t>11 to 50</t>
        </is>
      </c>
      <c r="N40" s="1" t="inlineStr">
        <is>
          <t>Business to Schools</t>
        </is>
      </c>
      <c r="O40" s="1" t="inlineStr">
        <is>
          <t>Primary Education, Secondary Education, Higher Education, Corporate Training, Lifelong learning/Adult education</t>
        </is>
      </c>
      <c r="P40" s="1" t="inlineStr">
        <is>
          <t>System/Administrative, Student interfacing, Teacher interfacing</t>
        </is>
      </c>
      <c r="Q40" t="inlineStr">
        <is>
          <t>LINDA</t>
        </is>
      </c>
      <c r="R40" t="inlineStr">
        <is>
          <t>LINDA is a digital platform designed to improve language L1 skills for lower and upper secondary school students and to offer automated linguistic and pedagogic support to language L1 and civic education teachers.
It is designed around state-of-the-art cognitive linguistics research rooted in NLP/NLU models based on open source computational linguistics AI, aligned to state-of-the-art pedagogical research on language L1 didactics.</t>
        </is>
      </c>
      <c r="S40" s="10" t="inlineStr">
        <is>
          <t>Pinxit: Augmented Arts</t>
        </is>
      </c>
      <c r="T40" t="inlineStr">
        <is>
          <t>Pinxit is a digitally-augmented experience for enhancing and innovating arts education.
It is based on: a digital platform allowing users to interact with Gigapixed HD arts images (powered by HaltaDefinizione) through a set of interactive tools; a new STEAM methodology rooted in an innovative learning scenario bank; a 3d printed HD replica of famous paintings.</t>
        </is>
      </c>
      <c r="U40" s="1" t="inlineStr">
        <is>
          <t>https://drive.google.com/uc?export=view&amp;id=1u_ilA_MMlH_8XOOoUrxXAxw81xb5AfUv</t>
        </is>
      </c>
      <c r="V40" s="1" t="inlineStr">
        <is>
          <t>Unverified</t>
        </is>
      </c>
      <c r="W40" s="1" t="inlineStr">
        <is>
          <t>https://drive.google.com/uc?export=view&amp;id=1u_ilA_MMlH_8XOOoUrxXAxw81xb5AfUv</t>
        </is>
      </c>
      <c r="X40" s="1" t="n"/>
      <c r="Y40" s="10" t="n"/>
      <c r="Z40" s="1" t="n"/>
      <c r="AA40" t="inlineStr">
        <is>
          <t>Yes</t>
        </is>
      </c>
      <c r="AC40" t="inlineStr">
        <is>
          <t>https://it.linkedin.com/company/wonderfuleducation</t>
        </is>
      </c>
      <c r="AD40" t="inlineStr">
        <is>
          <t>https://it.linkedin.com/company/wonderfuleducation</t>
        </is>
      </c>
    </row>
    <row r="41" ht="12.5" customHeight="1">
      <c r="A41" s="6" t="n">
        <v>45181</v>
      </c>
      <c r="B41" s="1" t="inlineStr">
        <is>
          <t>ORG_1050</t>
        </is>
      </c>
      <c r="C41" s="1" t="b">
        <v>1</v>
      </c>
      <c r="D41" s="1" t="inlineStr">
        <is>
          <t>Algor Education</t>
        </is>
      </c>
      <c r="E41" s="10" t="inlineStr">
        <is>
          <t>https://www.algoreducation.com</t>
        </is>
      </c>
      <c r="F41" t="inlineStr">
        <is>
          <t>algoreducation.com</t>
        </is>
      </c>
      <c r="G41" s="1" t="inlineStr">
        <is>
          <t>Algor Lab is an Italian startup based in Turin. Our mission is to improve students' learning through our AI tools applied on text. Our product is Algor Education, a digital platform made of several tools for making learning more stimulating, collaborative and inclusive, particularly for students with Specific Learning Disorders. Algor Maps is its first web application where students and educators can create, personalize and share concept and mind maps on a digital multimedia whiteboard starting from text documents with the help of our NLP tools for automatic synthesis and concepts extraction. Algor Lab is initially addressing B2C Italian EdTech market with a SaaS freemium model. We are incubated in I3P, we raised €180k from CDI and collaborate with Italian Dyslexia Association.</t>
        </is>
      </c>
      <c r="H41" s="1" t="inlineStr">
        <is>
          <t>EdTech Italia</t>
        </is>
      </c>
      <c r="J41" s="1" t="inlineStr">
        <is>
          <t>TORINO</t>
        </is>
      </c>
      <c r="K41" s="1" t="inlineStr">
        <is>
          <t>Italy</t>
        </is>
      </c>
      <c r="L41" s="1" t="inlineStr">
        <is>
          <t>Italy</t>
        </is>
      </c>
      <c r="M41" s="1" t="inlineStr">
        <is>
          <t>0 to 10</t>
        </is>
      </c>
      <c r="N41" s="1" t="inlineStr">
        <is>
          <t>Business to Business</t>
        </is>
      </c>
      <c r="O41" s="1" t="inlineStr">
        <is>
          <t>Primary Education, Secondary Education, Higher Education, Lifelong learning/Adult education</t>
        </is>
      </c>
      <c r="P41" s="1" t="inlineStr">
        <is>
          <t>Student interfacing, Teacher interfacing</t>
        </is>
      </c>
      <c r="S41" t="inlineStr">
        <is>
          <t>https://drive.google.com/uc?export=view&amp;id=1nCgMiupgH6gzSJbHvg0x5KpUQ_i6v3II</t>
        </is>
      </c>
      <c r="T41" t="inlineStr">
        <is>
          <t>https://drive.google.com/uc?export=view&amp;id=1nCgMiupgH6gzSJbHvg0x5KpUQ_i6v3II</t>
        </is>
      </c>
      <c r="U41" t="inlineStr">
        <is>
          <t>https://drive.google.com/uc?export=view&amp;id=1nCgMiupgH6gzSJbHvg0x5KpUQ_i6v3II</t>
        </is>
      </c>
      <c r="V41" t="inlineStr">
        <is>
          <t>Unverified</t>
        </is>
      </c>
      <c r="Y41" s="10" t="n"/>
      <c r="Z41" s="1" t="n"/>
      <c r="AA41" t="inlineStr">
        <is>
          <t>No</t>
        </is>
      </c>
    </row>
    <row r="42" ht="12.5" customHeight="1">
      <c r="A42" s="6" t="n">
        <v>45181</v>
      </c>
      <c r="B42" s="1" t="inlineStr">
        <is>
          <t>ORG_1160</t>
        </is>
      </c>
      <c r="C42" s="1" t="b">
        <v>1</v>
      </c>
      <c r="D42" s="1" t="inlineStr">
        <is>
          <t>BEYOND THE BOX</t>
        </is>
      </c>
      <c r="E42" s="10" t="inlineStr">
        <is>
          <t>https://beyondthebox.it</t>
        </is>
      </c>
      <c r="F42" t="inlineStr">
        <is>
          <t>beyondthebox.it</t>
        </is>
      </c>
      <c r="G42" s="1" t="inlineStr">
        <is>
          <t>BEYOND THE BOX is the subscription-based skills platform for enterprises that harnesses the power of artificial intelligence to match the professional requests of employees with the right experts and connects them, over one-to-one video calls of 20 or 40 minutes, to get support for their daily challenges and learn through interaction.
We will become the first Italian EdTech company that makes accessible to all enterprises the skills they need to grow.</t>
        </is>
      </c>
      <c r="H42" s="1" t="inlineStr">
        <is>
          <t>EdTech Italia</t>
        </is>
      </c>
      <c r="J42" s="1" t="inlineStr">
        <is>
          <t>MILAN</t>
        </is>
      </c>
      <c r="K42" s="1" t="inlineStr">
        <is>
          <t>Italy</t>
        </is>
      </c>
      <c r="L42" s="1" t="inlineStr">
        <is>
          <t>Italy</t>
        </is>
      </c>
      <c r="M42" s="1" t="inlineStr">
        <is>
          <t>0 to 10</t>
        </is>
      </c>
      <c r="N42" s="1" t="inlineStr">
        <is>
          <t>Business to Business, Business to Consumer</t>
        </is>
      </c>
      <c r="O42" s="1" t="inlineStr">
        <is>
          <t>Corporate Training</t>
        </is>
      </c>
      <c r="P42" s="1" t="inlineStr">
        <is>
          <t>System/Administrative</t>
        </is>
      </c>
      <c r="Q42" s="10" t="inlineStr">
        <is>
          <t>/BeyondTheBox</t>
        </is>
      </c>
      <c r="R42" t="inlineStr">
        <is>
          <t>/BeyondTheBox is a web-based platform for employees: they get 360° support and practical advice easily and worry-free with one subscription that gives them access to unlimited sessions with thousands of experts.
How it works:
1) Employees simply type their requests
2) Our AI matches the request with the skills of our experts
3) Employees book a 20/40 min meeting
4) They meet in 1:1 video call on the platform</t>
        </is>
      </c>
      <c r="S42" s="10" t="inlineStr">
        <is>
          <t>https://drive.google.com/uc?export=view&amp;id=1eAOStAsEFJzYvdYASrhiWfIeSKuj4Vp-</t>
        </is>
      </c>
      <c r="T42" t="inlineStr">
        <is>
          <t>https://drive.google.com/uc?export=view&amp;id=1eAOStAsEFJzYvdYASrhiWfIeSKuj4Vp-</t>
        </is>
      </c>
      <c r="U42" s="1" t="inlineStr">
        <is>
          <t>https://drive.google.com/uc?export=view&amp;id=1eAOStAsEFJzYvdYASrhiWfIeSKuj4Vp-</t>
        </is>
      </c>
      <c r="V42" s="1" t="inlineStr">
        <is>
          <t>Unverified</t>
        </is>
      </c>
      <c r="Y42" s="10" t="n"/>
      <c r="Z42" s="1" t="n"/>
      <c r="AA42" t="inlineStr">
        <is>
          <t>Yes</t>
        </is>
      </c>
      <c r="AB42" t="inlineStr">
        <is>
          <t>https://www.instagram.com/_beyondthebox_/</t>
        </is>
      </c>
      <c r="AC42" t="inlineStr">
        <is>
          <t>https://www.linkedin.com/company/sharingcompetencies/?viewAsMember=true</t>
        </is>
      </c>
      <c r="AD42" t="inlineStr">
        <is>
          <t>https://www.linkedin.com/company/sharingcompetencies/?viewAsMember=true</t>
        </is>
      </c>
    </row>
    <row r="43" ht="12.5" customHeight="1">
      <c r="A43" s="6" t="n">
        <v>45181</v>
      </c>
      <c r="B43" s="1" t="inlineStr">
        <is>
          <t>ORG_1872</t>
        </is>
      </c>
      <c r="C43" s="1" t="b">
        <v>1</v>
      </c>
      <c r="D43" s="1" t="inlineStr">
        <is>
          <t>Lifeed</t>
        </is>
      </c>
      <c r="E43" s="10" t="inlineStr">
        <is>
          <t>https://lifeed.io/en/</t>
        </is>
      </c>
      <c r="F43" t="inlineStr">
        <is>
          <t>lifeed.io/en</t>
        </is>
      </c>
      <c r="G43" s="1" t="inlineStr">
        <is>
          <t>Lifeed® by LBV is the Education Technology company that has been creating innovative solutions for the development and sustainability of human capital since 2015. Through a proprietary learning method, Life Based Learning®, Lifeed® transforms life transitions and care relationships into opportunities of learning and development of soft skills, which increase up to 35%. Cited by McKinsey &amp; Company as one of the 10 most innovative and inclusive reskilling initiatives in the world, the Lifeed® digital platform is now used by over 30,000 people in 80 companies. Lifeed® is also the first and only Italian company among the 16 rapidly growing disruptive and innovative companies selected by Unreasonable Group to join the Unreasonable Future community, the international program created to help co-plan the future of the world of work.</t>
        </is>
      </c>
      <c r="H43" s="1" t="inlineStr">
        <is>
          <t>I'm not part of any EdTech association</t>
        </is>
      </c>
      <c r="J43" s="1" t="inlineStr">
        <is>
          <t>MILAN</t>
        </is>
      </c>
      <c r="K43" s="1" t="inlineStr">
        <is>
          <t>Italy</t>
        </is>
      </c>
      <c r="L43" s="1" t="inlineStr">
        <is>
          <t>Italy, United Kingdom</t>
        </is>
      </c>
      <c r="M43" s="1" t="inlineStr">
        <is>
          <t>11 to 50</t>
        </is>
      </c>
      <c r="N43" s="1" t="inlineStr">
        <is>
          <t>Business to Business, Business to Government, Business to Schools</t>
        </is>
      </c>
      <c r="O43" s="1" t="inlineStr">
        <is>
          <t>Corporate Training, Lifelong learning/Adult education</t>
        </is>
      </c>
      <c r="P43" s="1" t="inlineStr">
        <is>
          <t>System/Administrative, Student interfacing</t>
        </is>
      </c>
      <c r="S43" t="inlineStr">
        <is>
          <t>https://drive.google.com/uc?export=view&amp;id=14yaaUe2PSEVHUwQi8Zo7gTqTJPpns8xT</t>
        </is>
      </c>
      <c r="T43" t="inlineStr">
        <is>
          <t>https://drive.google.com/uc?export=view&amp;id=14yaaUe2PSEVHUwQi8Zo7gTqTJPpns8xT</t>
        </is>
      </c>
      <c r="U43" t="inlineStr">
        <is>
          <t>https://drive.google.com/uc?export=view&amp;id=14yaaUe2PSEVHUwQi8Zo7gTqTJPpns8xT</t>
        </is>
      </c>
      <c r="V43" t="inlineStr">
        <is>
          <t>Unverified</t>
        </is>
      </c>
      <c r="Y43" s="10" t="n"/>
      <c r="Z43" s="1" t="n"/>
      <c r="AA43" t="inlineStr">
        <is>
          <t>No</t>
        </is>
      </c>
    </row>
    <row r="44" ht="12.5" customHeight="1">
      <c r="A44" s="6" t="n">
        <v>45181</v>
      </c>
      <c r="B44" s="1" t="inlineStr">
        <is>
          <t>ORG_2314</t>
        </is>
      </c>
      <c r="C44" s="1" t="b">
        <v>1</v>
      </c>
      <c r="D44" s="1" t="inlineStr">
        <is>
          <t>SPX Lab</t>
        </is>
      </c>
      <c r="E44" s="10" t="inlineStr">
        <is>
          <t>https://www.spxlab.com/</t>
        </is>
      </c>
      <c r="F44" t="inlineStr">
        <is>
          <t>spxlab.com</t>
        </is>
      </c>
      <c r="G44" s="1" t="inlineStr">
        <is>
          <t>SPX Lab is a laboratory of digital technologies and creativity that experiments and produces products, services and solutions in the field of educational, software development, marketing automation and smart forniture. In SPX Lab we develop innovative technologies in order to meet the needs of people and companies, applying Agile Methodology and User Experience Design for the digital transformation. SPX Lab wants to demonstrate how to react to changes by absorbing new needs and building together with its customers those experiences that have not yet been imagined, through experimentation, communication and dissemination thanks to networking of excellence and new media. SPX Lab is a limited company based in Italy, connected to the world.</t>
        </is>
      </c>
      <c r="H44" s="1" t="inlineStr">
        <is>
          <t>I'm not part of any EdTech association</t>
        </is>
      </c>
      <c r="J44" s="1" t="inlineStr">
        <is>
          <t>GENOVA</t>
        </is>
      </c>
      <c r="K44" s="1" t="inlineStr">
        <is>
          <t>Italy</t>
        </is>
      </c>
      <c r="L44" s="1" t="inlineStr">
        <is>
          <t>Italy</t>
        </is>
      </c>
      <c r="M44" s="1" t="inlineStr">
        <is>
          <t>11 to 50</t>
        </is>
      </c>
      <c r="N44" s="1" t="inlineStr">
        <is>
          <t>Business to Consumer, Business to Government, Business to Schools</t>
        </is>
      </c>
      <c r="O44" s="1" t="inlineStr">
        <is>
          <t>Primary Education, Secondary Education, Higher Education, Corporate Training, Lifelong learning/Adult education</t>
        </is>
      </c>
      <c r="P44" s="1" t="inlineStr">
        <is>
          <t>Student interfacing, Teacher interfacing, System/Administrative</t>
        </is>
      </c>
      <c r="Q44" s="1" t="n"/>
      <c r="R44" s="1" t="n"/>
      <c r="S44" s="1" t="inlineStr">
        <is>
          <t>https://drive.google.com/uc?export=view&amp;id=1uKSlqxsQEZ1vOH19B0FaL48UwEOAvWBs</t>
        </is>
      </c>
      <c r="T44" t="inlineStr">
        <is>
          <t>https://drive.google.com/uc?export=view&amp;id=1uKSlqxsQEZ1vOH19B0FaL48UwEOAvWBs</t>
        </is>
      </c>
      <c r="U44" s="1" t="inlineStr">
        <is>
          <t>https://drive.google.com/uc?export=view&amp;id=1uKSlqxsQEZ1vOH19B0FaL48UwEOAvWBs</t>
        </is>
      </c>
      <c r="V44" s="1" t="inlineStr">
        <is>
          <t>Unverified</t>
        </is>
      </c>
      <c r="W44" s="1" t="inlineStr">
        <is>
          <t>https://drive.google.com/uc?export=view&amp;id=1uKSlqxsQEZ1vOH19B0FaL48UwEOAvWBs</t>
        </is>
      </c>
      <c r="X44" s="1" t="n"/>
      <c r="Y44" s="10" t="n"/>
      <c r="Z44" s="1" t="n"/>
      <c r="AA44" t="inlineStr">
        <is>
          <t>No</t>
        </is>
      </c>
    </row>
    <row r="45" ht="12.5" customHeight="1">
      <c r="A45" s="6" t="n">
        <v>45181</v>
      </c>
      <c r="B45" s="1" t="inlineStr">
        <is>
          <t>ORG_1207</t>
        </is>
      </c>
      <c r="C45" s="1" t="b">
        <v>1</v>
      </c>
      <c r="D45" s="1" t="inlineStr">
        <is>
          <t>C&amp;C Spa</t>
        </is>
      </c>
      <c r="E45" s="10" t="inlineStr">
        <is>
          <t>www.cec.com</t>
        </is>
      </c>
      <c r="F45" t="inlineStr">
        <is>
          <t>cec.com</t>
        </is>
      </c>
      <c r="G45" s="1" t="inlineStr">
        <is>
          <t>C&amp;C è un’azienda italiana leader nella fornitura di tecnologia e servizi all’avanguardia che opera in 54 sedi tra Italia e Francia.
Dal 2006, C&amp;C lavora con Apple per garantire qualità e servizi ai propri clienti: dalla formazione alla consulenza per privati, studenti, docenti, professionisti e aziende, e conta 48 Centri di Assistenza Autorizzata Apple in Europa.
prima azienda in Italia e fra le prime otto in Europa per penetrazione dei prodotti Apple nella scuola e per i risultati conseguiti con i progetti Education - è stato conferito il riconoscimento di Apple Authorised Education Specialist per aver favorito l’innovazione didattica attraverso l’utilizzo della tecnologia Apple a supporto dell’apprendimento.</t>
        </is>
      </c>
      <c r="H45" s="1" t="inlineStr">
        <is>
          <t>I'm not part of any EdTech association</t>
        </is>
      </c>
      <c r="J45" s="1" t="inlineStr">
        <is>
          <t>BARI</t>
        </is>
      </c>
      <c r="K45" s="1" t="inlineStr">
        <is>
          <t>Italy</t>
        </is>
      </c>
      <c r="L45" s="1" t="inlineStr">
        <is>
          <t>France, Italy</t>
        </is>
      </c>
      <c r="M45" s="1" t="inlineStr">
        <is>
          <t>100+</t>
        </is>
      </c>
      <c r="N45" s="1" t="inlineStr">
        <is>
          <t>Business to Business</t>
        </is>
      </c>
      <c r="O45" s="1" t="inlineStr">
        <is>
          <t>Early childhood development (0-5 years), Primary Education, Secondary Education, Higher Education, Corporate Training, Lifelong learning/Adult education</t>
        </is>
      </c>
      <c r="P45" s="1" t="inlineStr">
        <is>
          <t>Student interfacing, Teacher interfacing, System/Administrative</t>
        </is>
      </c>
      <c r="S45" t="inlineStr">
        <is>
          <t>https://drive.google.com/uc?export=view&amp;id=1PUV195jj5VHdsX86t6Pmu28V3H4GiJ4Z</t>
        </is>
      </c>
      <c r="T45" t="inlineStr">
        <is>
          <t>https://drive.google.com/uc?export=view&amp;id=1PUV195jj5VHdsX86t6Pmu28V3H4GiJ4Z</t>
        </is>
      </c>
      <c r="U45" t="inlineStr">
        <is>
          <t>https://drive.google.com/uc?export=view&amp;id=1PUV195jj5VHdsX86t6Pmu28V3H4GiJ4Z</t>
        </is>
      </c>
      <c r="V45" t="inlineStr">
        <is>
          <t>Unverified</t>
        </is>
      </c>
      <c r="Y45" s="10" t="n"/>
      <c r="Z45" s="1" t="n"/>
      <c r="AA45" t="inlineStr">
        <is>
          <t>No</t>
        </is>
      </c>
    </row>
    <row r="46" ht="12.5" customHeight="1">
      <c r="A46" s="6" t="n">
        <v>45181</v>
      </c>
      <c r="B46" s="1" t="inlineStr">
        <is>
          <t>ORG_1062</t>
        </is>
      </c>
      <c r="C46" s="1" t="b">
        <v>1</v>
      </c>
      <c r="D46" s="1" t="inlineStr">
        <is>
          <t>Altri fiumi</t>
        </is>
      </c>
      <c r="E46" s="10" t="inlineStr">
        <is>
          <t>https://altrifiumi.com/</t>
        </is>
      </c>
      <c r="F46" t="inlineStr">
        <is>
          <t>altrifiumi.com</t>
        </is>
      </c>
      <c r="G46" s="1" t="inlineStr">
        <is>
          <t>We design universes. We are a network which combines design, technology and innovation consultancy. Our job is to help organizations to conceive and to deliver experiences that people want. Our aim is to build up new and innovative ways of doing business.
We expand universes. We tailor our services and solutions to the needs of every customer, developing integrated, out-of-the-box, innovative and disruptive solutions. We follow analytical methodologies and processes in order to guarantee the effectiveness of our projects.
We help organizations to design. Book, Interaction, Games, Information, Web and Apps, Digital tools.
We make use of data visualization and illustration to enhance the comprehension and enjoyment of your contents.</t>
        </is>
      </c>
      <c r="H46" s="1" t="inlineStr">
        <is>
          <t>I'm not part of any EdTech association</t>
        </is>
      </c>
      <c r="J46" s="1" t="inlineStr">
        <is>
          <t>TREZZO SULL'ADDA, MILANO</t>
        </is>
      </c>
      <c r="K46" s="1" t="inlineStr">
        <is>
          <t>Italy</t>
        </is>
      </c>
      <c r="L46" s="1" t="inlineStr">
        <is>
          <t>Italy</t>
        </is>
      </c>
      <c r="M46" s="1" t="inlineStr">
        <is>
          <t>11 to 50</t>
        </is>
      </c>
      <c r="N46" s="1" t="inlineStr">
        <is>
          <t>Business to Business</t>
        </is>
      </c>
      <c r="O46" s="1" t="inlineStr">
        <is>
          <t>Early childhood development (0-5 years), Primary Education, Secondary Education, Higher Education, Corporate Training, Lifelong learning/Adult education</t>
        </is>
      </c>
      <c r="P46" s="1" t="inlineStr">
        <is>
          <t>Student interfacing, Teacher interfacing, System/Administrative</t>
        </is>
      </c>
      <c r="S46" t="inlineStr">
        <is>
          <t>https://drive.google.com/uc?export=view&amp;id=1eVPKvX4rFBGdpsV_nVFgQLD7-IW_MxbQ</t>
        </is>
      </c>
      <c r="T46" t="inlineStr">
        <is>
          <t>https://drive.google.com/uc?export=view&amp;id=1eVPKvX4rFBGdpsV_nVFgQLD7-IW_MxbQ</t>
        </is>
      </c>
      <c r="U46" t="inlineStr">
        <is>
          <t>https://drive.google.com/uc?export=view&amp;id=1eVPKvX4rFBGdpsV_nVFgQLD7-IW_MxbQ</t>
        </is>
      </c>
      <c r="V46" t="inlineStr">
        <is>
          <t>Unverified</t>
        </is>
      </c>
      <c r="Y46" s="10" t="n"/>
      <c r="Z46" s="1" t="n"/>
      <c r="AA46" t="inlineStr">
        <is>
          <t>No</t>
        </is>
      </c>
    </row>
    <row r="47" ht="12.5" customHeight="1">
      <c r="A47" s="6" t="n">
        <v>45181</v>
      </c>
      <c r="B47" s="1" t="inlineStr">
        <is>
          <t>ORG_1124</t>
        </is>
      </c>
      <c r="C47" s="1" t="b">
        <v>1</v>
      </c>
      <c r="D47" s="1" t="inlineStr">
        <is>
          <t>Aulab</t>
        </is>
      </c>
      <c r="E47" s="10" t="inlineStr">
        <is>
          <t>aulab.it/</t>
        </is>
      </c>
      <c r="F47" t="inlineStr">
        <is>
          <t>aulab.it</t>
        </is>
      </c>
      <c r="G47" s="1" t="inlineStr">
        <is>
          <t>Aulab is the first Italian Coding Factory active since 2014 in training and
software development sector. With our courses we train resources in the
IT sector to be placed in companies looking for staff.
We are also a software house, where many students have the opportunity
to put into practice what they have learned during our courses.
Aulab Hackademy, our main product, is an intensive full-time online course which allows to acquire the skills necessary to write code and start a
new professional career as a web developer.</t>
        </is>
      </c>
      <c r="H47" s="1" t="inlineStr">
        <is>
          <t>I'm not part of any EdTech association</t>
        </is>
      </c>
      <c r="J47" s="1" t="inlineStr">
        <is>
          <t>Bari</t>
        </is>
      </c>
      <c r="K47" s="1" t="inlineStr">
        <is>
          <t>Italy</t>
        </is>
      </c>
      <c r="L47" s="1" t="inlineStr">
        <is>
          <t>Italy, Spain</t>
        </is>
      </c>
      <c r="M47" s="1" t="inlineStr">
        <is>
          <t>11 to 50</t>
        </is>
      </c>
      <c r="N47" s="1" t="inlineStr">
        <is>
          <t>Business to Business</t>
        </is>
      </c>
      <c r="O47" s="1" t="inlineStr">
        <is>
          <t>Higher Education, Corporate Training, Lifelong learning/Adult education</t>
        </is>
      </c>
      <c r="P47" s="1" t="inlineStr">
        <is>
          <t>Student interfacing, Teacher interfacing, System/Administrative</t>
        </is>
      </c>
      <c r="Q47" s="1" t="n"/>
      <c r="R47" s="1" t="n"/>
      <c r="S47" s="1" t="n"/>
      <c r="U47" s="1" t="n"/>
      <c r="V47" s="1" t="inlineStr">
        <is>
          <t>Unverified</t>
        </is>
      </c>
      <c r="Z47" s="1" t="n"/>
      <c r="AA47" t="inlineStr">
        <is>
          <t>No</t>
        </is>
      </c>
    </row>
    <row r="48" ht="12.5" customHeight="1">
      <c r="A48" s="6" t="n">
        <v>45181</v>
      </c>
      <c r="B48" s="1" t="inlineStr">
        <is>
          <t>ORG_1558</t>
        </is>
      </c>
      <c r="C48" s="1" t="b">
        <v>1</v>
      </c>
      <c r="D48" s="1" t="inlineStr">
        <is>
          <t>Feed Their Minds</t>
        </is>
      </c>
      <c r="E48" s="10" t="inlineStr">
        <is>
          <t>www.feedtheirminds.com</t>
        </is>
      </c>
      <c r="F48" t="inlineStr">
        <is>
          <t>feedtheirminds.com</t>
        </is>
      </c>
      <c r="G48" s="1" t="inlineStr">
        <is>
          <t>Feed Their Minds is the ICT company that aims to develop everyone's potential. The experience gained with gifted children has led us to value divergent thinking, through the training of teachers and parents and the creation of ICT games and solutions for children that involve them both in the family and at school.</t>
        </is>
      </c>
      <c r="H48" s="1" t="inlineStr">
        <is>
          <t>EdTech Italia</t>
        </is>
      </c>
      <c r="J48" s="1" t="inlineStr">
        <is>
          <t>DAVERIO</t>
        </is>
      </c>
      <c r="K48" s="1" t="inlineStr">
        <is>
          <t>Italy</t>
        </is>
      </c>
      <c r="L48" s="1" t="inlineStr">
        <is>
          <t>Italy</t>
        </is>
      </c>
      <c r="M48" s="1" t="inlineStr">
        <is>
          <t>0 to 10</t>
        </is>
      </c>
      <c r="N48" s="1" t="inlineStr">
        <is>
          <t>Business to Business</t>
        </is>
      </c>
      <c r="O48" s="1" t="inlineStr">
        <is>
          <t>Early childhood development (0-5 years), Primary Education, Lifelong learning/Adult education</t>
        </is>
      </c>
      <c r="P48" s="1" t="inlineStr">
        <is>
          <t>System/Administrative, Student interfacing, Teacher interfacing</t>
        </is>
      </c>
      <c r="Q48" s="10" t="inlineStr">
        <is>
          <t>Feed Their Minds Screening</t>
        </is>
      </c>
      <c r="R48" s="1" t="inlineStr">
        <is>
          <t>Screening for gifted children at school and at home. It is based on 36 question destinated to parents and teachers. It is based on studies made by Labtalento Pavia University</t>
        </is>
      </c>
      <c r="S48" s="10" t="inlineStr">
        <is>
          <t>Feed Their Minds training</t>
        </is>
      </c>
      <c r="T48" t="inlineStr">
        <is>
          <t>We also offer training for parents and teachers about giftedness and about divergent thinking development. This training is distributed by our partners Rizzoli and Mondadori education and it has the certification of Italian Ministery of Instruction</t>
        </is>
      </c>
      <c r="U48" s="1" t="inlineStr">
        <is>
          <t>https://drive.google.com/uc?export=view&amp;id=19nE234U2T_wjywyQ42JQkTheNgpTpvsX</t>
        </is>
      </c>
      <c r="V48" s="1" t="inlineStr">
        <is>
          <t>Unverified</t>
        </is>
      </c>
      <c r="W48" s="1" t="inlineStr">
        <is>
          <t>https://drive.google.com/uc?export=view&amp;id=19nE234U2T_wjywyQ42JQkTheNgpTpvsX</t>
        </is>
      </c>
      <c r="X48" s="1" t="n"/>
      <c r="Y48" s="10" t="n"/>
      <c r="Z48" s="1" t="n"/>
      <c r="AA48" t="inlineStr">
        <is>
          <t>Yes</t>
        </is>
      </c>
      <c r="AB48" t="inlineStr">
        <is>
          <t>https://www.instagram.com/feed_their_minds/</t>
        </is>
      </c>
      <c r="AC48" t="inlineStr">
        <is>
          <t>Lombardia</t>
        </is>
      </c>
      <c r="AD48" t="inlineStr">
        <is>
          <t>https://www.linkedin.com/company/72175751/admin/</t>
        </is>
      </c>
    </row>
    <row r="49" ht="12.5" customHeight="1">
      <c r="A49" s="6" t="n">
        <v>45181</v>
      </c>
      <c r="B49" s="1" t="inlineStr">
        <is>
          <t>ORG_1920</t>
        </is>
      </c>
      <c r="C49" s="1" t="b">
        <v>1</v>
      </c>
      <c r="D49" s="1" t="inlineStr">
        <is>
          <t>Marshmallow Games</t>
        </is>
      </c>
      <c r="E49" s="10" t="inlineStr">
        <is>
          <t>www.marshmallow-games.com</t>
        </is>
      </c>
      <c r="F49" t="inlineStr">
        <is>
          <t>marshmallow-games.com</t>
        </is>
      </c>
      <c r="G49" s="1" t="inlineStr">
        <is>
          <t>Marshmallow Games is an Italian edtech company that designs and develops educational apps for kids that help them learn in a fun way mixing storytelling with game. Most of our apps were featured on the Apple App Store worldwide passing 2M downloads.
Our flagship app, Smart Tales, is a collection of interactive tales and games to let preschoolers approach STEM (Science, Technology, Engineering and Math) while having fun. Smart tales is the only app that uses storytelling to let kids approach STEM. Each episode takes time to explain a scientific topic in the context of social issues that children will encounter in real life.</t>
        </is>
      </c>
      <c r="H49" s="1" t="inlineStr">
        <is>
          <t>I'm not part of any EdTech association</t>
        </is>
      </c>
      <c r="J49" s="1" t="inlineStr">
        <is>
          <t>Bari</t>
        </is>
      </c>
      <c r="K49" s="1" t="inlineStr">
        <is>
          <t>Italy</t>
        </is>
      </c>
      <c r="L4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49" s="1" t="inlineStr">
        <is>
          <t>11 to 50</t>
        </is>
      </c>
      <c r="N49" s="1" t="inlineStr">
        <is>
          <t>Business to Business, Business to Consumer, Business to Schools</t>
        </is>
      </c>
      <c r="O49" s="1" t="inlineStr">
        <is>
          <t>Early childhood development (0-5 years), Primary Education</t>
        </is>
      </c>
      <c r="P49" s="1" t="inlineStr">
        <is>
          <t>System/Administrative, Student interfacing</t>
        </is>
      </c>
      <c r="S49" t="inlineStr">
        <is>
          <t>https://drive.google.com/uc?export=view&amp;id=1ysUqfmQggAvfVH48LH5yVy2pexegM-cQ</t>
        </is>
      </c>
      <c r="T49" t="inlineStr">
        <is>
          <t>https://drive.google.com/uc?export=view&amp;id=1ysUqfmQggAvfVH48LH5yVy2pexegM-cQ</t>
        </is>
      </c>
      <c r="U49" t="inlineStr">
        <is>
          <t>https://drive.google.com/uc?export=view&amp;id=1ysUqfmQggAvfVH48LH5yVy2pexegM-cQ</t>
        </is>
      </c>
      <c r="V49" t="inlineStr">
        <is>
          <t>Unverified</t>
        </is>
      </c>
      <c r="Y49" s="10" t="n"/>
      <c r="Z49" s="1" t="n"/>
      <c r="AA49" t="inlineStr">
        <is>
          <t>No</t>
        </is>
      </c>
    </row>
    <row r="50" ht="12.5" customHeight="1">
      <c r="A50" s="6" t="n">
        <v>45181</v>
      </c>
      <c r="B50" s="1" t="inlineStr">
        <is>
          <t>ORG_2366</t>
        </is>
      </c>
      <c r="C50" s="1" t="b">
        <v>1</v>
      </c>
      <c r="D50" s="1" t="inlineStr">
        <is>
          <t>tal&amp;dev</t>
        </is>
      </c>
      <c r="E50" s="10" t="inlineStr">
        <is>
          <t>https://www.talanddev.com</t>
        </is>
      </c>
      <c r="F50" t="inlineStr">
        <is>
          <t>talanddev.com</t>
        </is>
      </c>
      <c r="G50" s="1" t="inlineStr">
        <is>
          <t>We provide career insights to young graduates and working professionals as well as tools for self assessment and career direction. Our engaged network of senior executives, university professors and business leaders around the world further contributes to our educational blogs.</t>
        </is>
      </c>
      <c r="H50" s="1" t="inlineStr">
        <is>
          <t>I'm not part of any EdTech association</t>
        </is>
      </c>
      <c r="J50" s="1" t="inlineStr">
        <is>
          <t>Milano</t>
        </is>
      </c>
      <c r="K50" s="1" t="inlineStr">
        <is>
          <t>Italy</t>
        </is>
      </c>
      <c r="L50" s="1" t="inlineStr">
        <is>
          <t>Austria, Belgium, Denmark, France, Germany, Italy, Poland, Portugal, United Kingdom</t>
        </is>
      </c>
      <c r="M50" s="1" t="inlineStr">
        <is>
          <t>0 to 10</t>
        </is>
      </c>
      <c r="N50" s="1" t="inlineStr">
        <is>
          <t>Business to Business, Business to Schools</t>
        </is>
      </c>
      <c r="O50" s="1" t="inlineStr">
        <is>
          <t>Corporate Training</t>
        </is>
      </c>
      <c r="P50" s="1" t="inlineStr">
        <is>
          <t>System/Administrative, Student interfacing</t>
        </is>
      </c>
      <c r="S50" t="inlineStr">
        <is>
          <t>https://drive.google.com/uc?export=view&amp;id=1uTk_qyJPZMFsWiW-vLD_vg1Kptk13cOo</t>
        </is>
      </c>
      <c r="T50" t="inlineStr">
        <is>
          <t>https://drive.google.com/uc?export=view&amp;id=1uTk_qyJPZMFsWiW-vLD_vg1Kptk13cOo</t>
        </is>
      </c>
      <c r="U50" t="inlineStr">
        <is>
          <t>https://drive.google.com/uc?export=view&amp;id=1uTk_qyJPZMFsWiW-vLD_vg1Kptk13cOo</t>
        </is>
      </c>
      <c r="V50" t="inlineStr">
        <is>
          <t>Unverified</t>
        </is>
      </c>
      <c r="Y50" s="10" t="n"/>
      <c r="Z50" s="1" t="n"/>
      <c r="AA50" t="inlineStr">
        <is>
          <t>No</t>
        </is>
      </c>
    </row>
    <row r="51" ht="12.5" customHeight="1">
      <c r="A51" s="6" t="n">
        <v>45181</v>
      </c>
      <c r="B51" s="1" t="inlineStr">
        <is>
          <t>ORG_2524</t>
        </is>
      </c>
      <c r="C51" s="1" t="b">
        <v>1</v>
      </c>
      <c r="D51" s="1" t="inlineStr">
        <is>
          <t>WeSchool</t>
        </is>
      </c>
      <c r="E51" s="10" t="inlineStr">
        <is>
          <t>https://www.weschool.com/en</t>
        </is>
      </c>
      <c r="F51" t="inlineStr">
        <is>
          <t>weschool.com/en</t>
        </is>
      </c>
      <c r="G51" s="1" t="inlineStr">
        <is>
          <t>At WeSchool, we’re on a mission to ensure learning never stops by empowering educators and students with a more inclusive, collaborative, and engaging way of learning.</t>
        </is>
      </c>
      <c r="H51" s="1" t="inlineStr">
        <is>
          <t>I'm not part of any EdTech association</t>
        </is>
      </c>
      <c r="J51" s="1" t="inlineStr">
        <is>
          <t>MILAN</t>
        </is>
      </c>
      <c r="K51" s="1" t="inlineStr">
        <is>
          <t>Italy</t>
        </is>
      </c>
      <c r="L51" s="1" t="inlineStr">
        <is>
          <t>Albania, Italy</t>
        </is>
      </c>
      <c r="M51" s="1" t="inlineStr">
        <is>
          <t>11 to 50</t>
        </is>
      </c>
      <c r="N51" s="1" t="inlineStr">
        <is>
          <t>Business to Schools</t>
        </is>
      </c>
      <c r="O51" s="1" t="inlineStr">
        <is>
          <t>Primary Education, Secondary Education, Higher Education, Corporate Training, Lifelong learning/Adult education</t>
        </is>
      </c>
      <c r="P51" s="1" t="inlineStr">
        <is>
          <t>Student interfacing, Teacher interfacing, System/Administrative</t>
        </is>
      </c>
      <c r="Q51" s="10" t="inlineStr">
        <is>
          <t>The Platform</t>
        </is>
      </c>
      <c r="R51" s="10" t="inlineStr">
        <is>
          <t>The WeSchool platform helps teachers and trainers find a flexible and safe space where students have the confidence to collaborate, exchange opinions, foster and test their creativity and skills.
With our tools, educators can put contemporary learning methodologies into practise – such as the flipped classroom or challenge-based learning – and build the best learning path for their students’ growth. Asynchronous assignments paired with synchronous sessions for single students or project groups help engage beyond time and space, creating a truly blended education system.</t>
        </is>
      </c>
      <c r="S51" s="10" t="n"/>
      <c r="U51" s="1" t="n"/>
      <c r="V51" s="1" t="inlineStr">
        <is>
          <t>Unverified</t>
        </is>
      </c>
      <c r="Y51" s="1" t="n"/>
      <c r="Z51" s="1" t="n"/>
      <c r="AA51" t="inlineStr">
        <is>
          <t>Yes</t>
        </is>
      </c>
      <c r="AB51" t="inlineStr">
        <is>
          <t>https://www.instagram.com/weschool_it/</t>
        </is>
      </c>
      <c r="AC51" t="inlineStr">
        <is>
          <t>https://twitter.com/_weschool</t>
        </is>
      </c>
      <c r="AD51" t="inlineStr">
        <is>
          <t>https://www.linkedin.com/company/weschool</t>
        </is>
      </c>
    </row>
    <row r="52" ht="12.5" customHeight="1">
      <c r="A52" s="6" t="n">
        <v>45182</v>
      </c>
      <c r="B52" s="1" t="inlineStr">
        <is>
          <t>ORG_1082</t>
        </is>
      </c>
      <c r="C52" s="1" t="b">
        <v>1</v>
      </c>
      <c r="D52" s="1" t="inlineStr">
        <is>
          <t>ApiS - Amore per il Sapere</t>
        </is>
      </c>
      <c r="E52" s="10" t="inlineStr">
        <is>
          <t>https://www.amoreperilsapere.it/</t>
        </is>
      </c>
      <c r="F52" t="inlineStr">
        <is>
          <t>amoreperilsapere.it</t>
        </is>
      </c>
      <c r="G52" s="1" t="inlineStr">
        <is>
          <t>Amore per il Sapere (Love for the knowledge / Philo-sophia) is an italian association that develops educational projects from teachers to teachers and students.
The aim is to generate new ways of learning thanks to institutional, accademic and business partners.</t>
        </is>
      </c>
      <c r="H52" s="1" t="inlineStr">
        <is>
          <t>I'm not part of any EdTech association</t>
        </is>
      </c>
      <c r="J52" s="1" t="inlineStr">
        <is>
          <t>BOLOGNA</t>
        </is>
      </c>
      <c r="K52" s="1" t="inlineStr">
        <is>
          <t>Italy</t>
        </is>
      </c>
      <c r="L52" s="1" t="inlineStr">
        <is>
          <t>Italy</t>
        </is>
      </c>
      <c r="M52" s="1" t="inlineStr">
        <is>
          <t>0 to 2</t>
        </is>
      </c>
      <c r="N52" s="1" t="inlineStr">
        <is>
          <t>Business to Business</t>
        </is>
      </c>
      <c r="O52" s="1" t="inlineStr">
        <is>
          <t>Primary Education, Secondary Education, Corporate Training</t>
        </is>
      </c>
      <c r="P52" s="1" t="inlineStr">
        <is>
          <t>System/Administrative, Student interfacing, Teacher interfacing</t>
        </is>
      </c>
      <c r="Q52" t="inlineStr">
        <is>
          <t>Romanae Disputationes</t>
        </is>
      </c>
      <c r="R52" t="inlineStr">
        <is>
          <t>Concorso nazionale di filosofia per scuole superiori. Da oltre 10 anni innoviamo il modo di insegnare e vivere la filosofia in Italia attraverso la collaborazione con il mondo accademico e un approccio tematico e coinvolgente per gli studenti.</t>
        </is>
      </c>
      <c r="S52" t="inlineStr">
        <is>
          <t>Cosmopolites</t>
        </is>
      </c>
      <c r="T52" t="inlineStr">
        <is>
          <t>Percorsi innovativi di educazione civica volti a un apprendimento attivo e partecipato secondo la metodologia del design thinking.</t>
        </is>
      </c>
      <c r="U52" s="1" t="inlineStr">
        <is>
          <t>https://drive.google.com/uc?export=view&amp;id=1uDcnOcMJaHRE3ftchN0h8L9waL3OFkt6</t>
        </is>
      </c>
      <c r="V52" s="1" t="inlineStr">
        <is>
          <t>Unverified</t>
        </is>
      </c>
      <c r="W52" s="1" t="inlineStr">
        <is>
          <t>https://drive.google.com/uc?export=view&amp;id=1uDcnOcMJaHRE3ftchN0h8L9waL3OFkt6</t>
        </is>
      </c>
      <c r="X52" s="1" t="n"/>
      <c r="Y52" s="10" t="n"/>
      <c r="Z52" s="1" t="n"/>
      <c r="AA52" t="inlineStr">
        <is>
          <t>No</t>
        </is>
      </c>
    </row>
    <row r="53" ht="12.5" customHeight="1">
      <c r="A53" s="6" t="n">
        <v>45181</v>
      </c>
      <c r="B53" s="1" t="inlineStr">
        <is>
          <t>ORG_1021</t>
        </is>
      </c>
      <c r="C53" s="1" t="b">
        <v>1</v>
      </c>
      <c r="D53" s="1" t="inlineStr">
        <is>
          <t>Abstract Technology</t>
        </is>
      </c>
      <c r="E53" s="10" t="inlineStr">
        <is>
          <t>https://abstract-technology.com/</t>
        </is>
      </c>
      <c r="F53" t="inlineStr">
        <is>
          <t>abstract-technology.com</t>
        </is>
      </c>
      <c r="G53" s="1" t="inlineStr">
        <is>
          <t>Abstract Technology is a digital agency that selects, designs and personalizes cutting edge open source software solutions. From conception, to development, to implementation, we develop individual and customized digital solutions for our customers and familiarize their employees with the new software. We develop innovative and individual digital solutions for educational institutions and we are professional and official service partner of Open edX® and PLONE.</t>
        </is>
      </c>
      <c r="H53" s="1" t="inlineStr">
        <is>
          <t>I'm not part of any EdTech association</t>
        </is>
      </c>
      <c r="J53" s="1" t="inlineStr">
        <is>
          <t>Milan</t>
        </is>
      </c>
      <c r="K53" s="1" t="inlineStr">
        <is>
          <t>Italy</t>
        </is>
      </c>
      <c r="L53" s="1" t="inlineStr">
        <is>
          <t>Germany, Italy</t>
        </is>
      </c>
      <c r="M53" s="1" t="inlineStr">
        <is>
          <t>0 to 10</t>
        </is>
      </c>
      <c r="N53" s="1" t="inlineStr">
        <is>
          <t>Business to Business</t>
        </is>
      </c>
      <c r="O53" s="1" t="inlineStr">
        <is>
          <t>Higher Education, Corporate Training, Lifelong learning/Adult education</t>
        </is>
      </c>
      <c r="P53" s="1" t="inlineStr">
        <is>
          <t>Student interfacing, System/Administrative</t>
        </is>
      </c>
      <c r="V53" t="inlineStr">
        <is>
          <t>Unverified</t>
        </is>
      </c>
      <c r="Y53" s="1" t="n"/>
      <c r="Z53" s="1" t="n"/>
      <c r="AA53" t="inlineStr">
        <is>
          <t>No</t>
        </is>
      </c>
    </row>
    <row r="54" ht="12.5" customHeight="1">
      <c r="A54" s="6" t="n">
        <v>45181</v>
      </c>
      <c r="B54" s="1" t="inlineStr">
        <is>
          <t>ORG_1371</t>
        </is>
      </c>
      <c r="C54" s="1" t="b">
        <v>1</v>
      </c>
      <c r="D54" s="1" t="inlineStr">
        <is>
          <t>Docsity</t>
        </is>
      </c>
      <c r="E54" s="10" t="inlineStr">
        <is>
          <t>https://www.docsity.com</t>
        </is>
      </c>
      <c r="F54" t="inlineStr">
        <is>
          <t>docsity.com</t>
        </is>
      </c>
      <c r="G54" s="1" t="inlineStr">
        <is>
          <t>At Docsity we help students to effectively learn and prepare for their exams through high quality study resources, both proprietary and crowd-sourced.
As part of our mission, we also help students connect with the best study opportunities worldwide.</t>
        </is>
      </c>
      <c r="H54" s="1" t="inlineStr">
        <is>
          <t>I'm not part of any EdTech association</t>
        </is>
      </c>
      <c r="J54" s="1" t="inlineStr">
        <is>
          <t>Torino</t>
        </is>
      </c>
      <c r="K54" s="1" t="inlineStr">
        <is>
          <t>Italy</t>
        </is>
      </c>
      <c r="L54" s="1" t="inlineStr">
        <is>
          <t>France, Germany, Italy, Poland, Portugal, Russia, Serbia, Spain, Switzerland</t>
        </is>
      </c>
      <c r="M54" s="1" t="inlineStr">
        <is>
          <t>51 to 100</t>
        </is>
      </c>
      <c r="N54" s="1" t="inlineStr">
        <is>
          <t>Business to Business</t>
        </is>
      </c>
      <c r="O54" s="1" t="inlineStr">
        <is>
          <t>Higher Education, Lifelong learning/Adult education</t>
        </is>
      </c>
      <c r="P54" s="1" t="inlineStr">
        <is>
          <t>Student interfacing</t>
        </is>
      </c>
      <c r="S54" t="inlineStr">
        <is>
          <t>https://drive.google.com/uc?export=view&amp;id=1w22Va9WYBnhGKivKrRUb8C0jllWQpiNQ</t>
        </is>
      </c>
      <c r="T54" t="inlineStr">
        <is>
          <t>https://drive.google.com/uc?export=view&amp;id=1w22Va9WYBnhGKivKrRUb8C0jllWQpiNQ</t>
        </is>
      </c>
      <c r="U54" t="inlineStr">
        <is>
          <t>https://drive.google.com/uc?export=view&amp;id=1w22Va9WYBnhGKivKrRUb8C0jllWQpiNQ</t>
        </is>
      </c>
      <c r="V54" t="inlineStr">
        <is>
          <t>Unverified</t>
        </is>
      </c>
      <c r="Y54" s="10" t="n"/>
      <c r="Z54" s="1" t="n"/>
      <c r="AA54" t="inlineStr">
        <is>
          <t>No</t>
        </is>
      </c>
    </row>
    <row r="55" ht="12.5" customHeight="1">
      <c r="A55" s="6" t="n">
        <v>45181</v>
      </c>
      <c r="B55" s="1" t="inlineStr">
        <is>
          <t>ORG_1502</t>
        </is>
      </c>
      <c r="C55" s="1" t="b">
        <v>1</v>
      </c>
      <c r="D55" s="1" t="inlineStr">
        <is>
          <t>Enzima12</t>
        </is>
      </c>
      <c r="E55" s="10" t="inlineStr">
        <is>
          <t>https://www.enzima12.com/home-enzima12</t>
        </is>
      </c>
      <c r="F55" t="inlineStr">
        <is>
          <t>enzima12.com/home-enzima12</t>
        </is>
      </c>
      <c r="G55" s="1" t="inlineStr">
        <is>
          <t>Enzima12 is a company builder that researches, develops, tests and implements new technological solutions related to the world of work and training.
To date it has three projects to its credit:
SCRIBA: an application that allows to easily design, manage and report distance learning, in compliance with the regulations of the Italian Interprofessional Funds.
&gt; https://scriba.tech
Forma42: a laboratory for the development of digital projects designed specifically for companies working in the world of training and employment services.
&gt; https://www.forma42.it
Formatori Italiani: a digital platform active throughout Italy, which aims to connect companies and trainers, giving both parties the opportunity to get to know each other, collaborate and review each other.
&gt; https://www.formatoriitaliani.com</t>
        </is>
      </c>
      <c r="H55" s="1" t="inlineStr">
        <is>
          <t>I'm not part of any EdTech association</t>
        </is>
      </c>
      <c r="I55" s="1" t="n"/>
      <c r="J55" s="1" t="inlineStr">
        <is>
          <t>MILANO</t>
        </is>
      </c>
      <c r="K55" s="1" t="inlineStr">
        <is>
          <t>Italy</t>
        </is>
      </c>
      <c r="L55" s="1" t="inlineStr">
        <is>
          <t>Italy</t>
        </is>
      </c>
      <c r="M55" s="1" t="inlineStr">
        <is>
          <t>0 to 10</t>
        </is>
      </c>
      <c r="N55" s="1" t="inlineStr">
        <is>
          <t>Business to Business, Business to Consumer, Business to Government, Business to Schools</t>
        </is>
      </c>
      <c r="O55" s="1" t="inlineStr">
        <is>
          <t>Corporate Training</t>
        </is>
      </c>
      <c r="P55" s="1" t="inlineStr">
        <is>
          <t>Teacher interfacing, Student interfacing, System/Administrative</t>
        </is>
      </c>
      <c r="Q55" s="1" t="n"/>
      <c r="S55" s="1" t="inlineStr">
        <is>
          <t>https://drive.google.com/uc?export=view&amp;id=18GZqFcjfZQbp02K-gHONI5uHu8O_F2p2</t>
        </is>
      </c>
      <c r="T55" t="inlineStr">
        <is>
          <t>https://drive.google.com/uc?export=view&amp;id=18GZqFcjfZQbp02K-gHONI5uHu8O_F2p2</t>
        </is>
      </c>
      <c r="U55" s="1" t="inlineStr">
        <is>
          <t>https://drive.google.com/uc?export=view&amp;id=18GZqFcjfZQbp02K-gHONI5uHu8O_F2p2</t>
        </is>
      </c>
      <c r="V55" s="1" t="inlineStr">
        <is>
          <t>Unverified</t>
        </is>
      </c>
      <c r="Y55" s="10" t="n"/>
      <c r="Z55" s="1" t="n"/>
      <c r="AA55" t="inlineStr">
        <is>
          <t>No</t>
        </is>
      </c>
    </row>
    <row r="56" ht="12.5" customHeight="1">
      <c r="A56" s="6" t="n">
        <v>45181</v>
      </c>
      <c r="B56" s="1" t="inlineStr">
        <is>
          <t>ORG_1652</t>
        </is>
      </c>
      <c r="C56" s="1" t="b">
        <v>1</v>
      </c>
      <c r="D56" s="1" t="inlineStr">
        <is>
          <t>Guilds42 APS</t>
        </is>
      </c>
      <c r="E56" s="10" t="inlineStr">
        <is>
          <t>https://www.guilds42.com/</t>
        </is>
      </c>
      <c r="F56" t="inlineStr">
        <is>
          <t>guilds42.com</t>
        </is>
      </c>
      <c r="G56" s="1" t="inlineStr">
        <is>
          <t>Guilds42 is an online "Learn &amp; Hire" platform which bind together and federate Learning Objects, native and third party's content from external platforms through a framework that allows our frontend fruition of external content (APIs). The Platform tracks and monitor each user's learning experience and usage, collating data, performing and validating Certification tests even on behalf of external platforms such as Google, Hubspot, SAP, Salesforce, Kaggle etc, profiling and offering dashboards to users. A further layer of reinforced Learning are Project Works commissioned by paying SMEs. This layer provides further data, certifying and assigning scores &amp; ratings to each users performing; further Certifying and profiling skills (hard &amp; soft skills) to be added onto dashboards (and offering data to SMEs and recruiters in Premium subscription).</t>
        </is>
      </c>
      <c r="H56" s="1" t="inlineStr">
        <is>
          <t>I'm not part of any EdTech association</t>
        </is>
      </c>
      <c r="J56" s="1" t="inlineStr">
        <is>
          <t>TORINO</t>
        </is>
      </c>
      <c r="K56" s="1" t="inlineStr">
        <is>
          <t>Italy</t>
        </is>
      </c>
      <c r="L56" s="1" t="inlineStr">
        <is>
          <t>Albania, Austria, Belgium, Bulgaria, Croatia, Cyprus, Czechia, Denmark, Estonia, Finland, France, Georgia, Germany, Hungary, Iceland, Ireland, Italy, Latvia, Liechtenstein, Lithuania, Malta, Netherlands, Norway, Poland, Portugal, Romania, Slovakia, Slovenia, Spain, Sweden, Switzerland, Turkey, Ukraine, United Kingdom</t>
        </is>
      </c>
      <c r="M56" s="1" t="inlineStr">
        <is>
          <t>0 to 10</t>
        </is>
      </c>
      <c r="N56" s="1" t="inlineStr">
        <is>
          <t>Business to Business, Business to Government</t>
        </is>
      </c>
      <c r="O56" s="1" t="inlineStr">
        <is>
          <t>Primary Education, Secondary Education, Higher Education, Corporate Training, Lifelong learning/Adult education</t>
        </is>
      </c>
      <c r="P56" s="1" t="inlineStr">
        <is>
          <t>Student interfacing, System/Administrative</t>
        </is>
      </c>
      <c r="Q56" s="1" t="n"/>
      <c r="R56" s="1" t="n"/>
      <c r="S56" s="1" t="inlineStr">
        <is>
          <t>https://drive.google.com/uc?export=view&amp;id=1cyqxkHlMBWUyzpqaKUmxdfeUeU6O4Ina</t>
        </is>
      </c>
      <c r="T56" t="inlineStr">
        <is>
          <t>https://drive.google.com/uc?export=view&amp;id=1cyqxkHlMBWUyzpqaKUmxdfeUeU6O4Ina</t>
        </is>
      </c>
      <c r="U56" s="1" t="inlineStr">
        <is>
          <t>https://drive.google.com/uc?export=view&amp;id=1cyqxkHlMBWUyzpqaKUmxdfeUeU6O4Ina</t>
        </is>
      </c>
      <c r="V56" s="1" t="inlineStr">
        <is>
          <t>Unverified</t>
        </is>
      </c>
      <c r="W56" s="1" t="inlineStr">
        <is>
          <t>https://drive.google.com/uc?export=view&amp;id=1cyqxkHlMBWUyzpqaKUmxdfeUeU6O4Ina</t>
        </is>
      </c>
      <c r="X56" s="1" t="n"/>
      <c r="Y56" s="10" t="n"/>
      <c r="Z56" s="1" t="n"/>
      <c r="AA56" t="inlineStr">
        <is>
          <t>No</t>
        </is>
      </c>
    </row>
    <row r="57" ht="12.5" customHeight="1">
      <c r="A57" s="6" t="n">
        <v>45181</v>
      </c>
      <c r="B57" s="1" t="inlineStr">
        <is>
          <t>ORG_2141</t>
        </is>
      </c>
      <c r="C57" s="1" t="b">
        <v>1</v>
      </c>
      <c r="D57" s="10" t="inlineStr">
        <is>
          <t>Quaestiones.com</t>
        </is>
      </c>
      <c r="E57" s="10" t="inlineStr">
        <is>
          <t>www.quaestiones.com</t>
        </is>
      </c>
      <c r="F57" t="inlineStr">
        <is>
          <t>quaestiones.com</t>
        </is>
      </c>
      <c r="G57" s="1" t="inlineStr">
        <is>
          <t>Quaestiones is the platform that, since 2000, has been collecting questions, notes and feedbacks of Lecturers, useful in preparing university exams. The goal of quaestiones has always been to break down the barriers that hinder access to training and knowledge and it does so through digital tools.
At the center of the quaestiones project are the students: more than 450K members who share their materials and their experiences, continuing to grow a db of timely information, cataloged by course and teacher.
The technology that is the basis of the project allows us to carry out our mission with the tutoring section, close to launch, and the streaming courses of teachers and partner platforms, always keeping the needs and requirements of students in the foreground, constantly " questioned "by our team.</t>
        </is>
      </c>
      <c r="H57" s="1" t="inlineStr">
        <is>
          <t>I'm not part of any EdTech association</t>
        </is>
      </c>
      <c r="J57" s="1" t="inlineStr">
        <is>
          <t>ROME</t>
        </is>
      </c>
      <c r="K57" s="1" t="inlineStr">
        <is>
          <t>Italy</t>
        </is>
      </c>
      <c r="L57" s="1" t="inlineStr">
        <is>
          <t>Italy</t>
        </is>
      </c>
      <c r="M57" s="1" t="inlineStr">
        <is>
          <t>0 to 10</t>
        </is>
      </c>
      <c r="N57" s="1" t="inlineStr">
        <is>
          <t>Business to Consumer</t>
        </is>
      </c>
      <c r="O57" s="1" t="inlineStr">
        <is>
          <t>Secondary Education, Higher Education</t>
        </is>
      </c>
      <c r="P57" s="1" t="inlineStr">
        <is>
          <t>Student interfacing, Teacher interfacing</t>
        </is>
      </c>
      <c r="Q57" s="1" t="n"/>
      <c r="S57" s="1" t="inlineStr">
        <is>
          <t>https://drive.google.com/uc?export=view&amp;id=1Ax8xlb8ujECvfwfEi9oDqx0pCOtV-25W</t>
        </is>
      </c>
      <c r="T57" t="inlineStr">
        <is>
          <t>https://drive.google.com/uc?export=view&amp;id=1Ax8xlb8ujECvfwfEi9oDqx0pCOtV-25W</t>
        </is>
      </c>
      <c r="U57" s="1" t="inlineStr">
        <is>
          <t>https://drive.google.com/uc?export=view&amp;id=1Ax8xlb8ujECvfwfEi9oDqx0pCOtV-25W</t>
        </is>
      </c>
      <c r="V57" s="1" t="inlineStr">
        <is>
          <t>Unverified</t>
        </is>
      </c>
      <c r="Y57" s="10" t="n"/>
      <c r="Z57" s="1" t="n"/>
      <c r="AA57" t="inlineStr">
        <is>
          <t>No</t>
        </is>
      </c>
    </row>
    <row r="58" ht="12.5" customHeight="1">
      <c r="A58" s="6" t="n">
        <v>45181</v>
      </c>
      <c r="B58" s="1" t="inlineStr">
        <is>
          <t>ORG_1202</t>
        </is>
      </c>
      <c r="C58" s="1" t="b">
        <v>1</v>
      </c>
      <c r="D58" s="1" t="inlineStr">
        <is>
          <t>bSmart Labs</t>
        </is>
      </c>
      <c r="E58" s="10" t="inlineStr">
        <is>
          <t>www.bsmartlabs.com</t>
        </is>
      </c>
      <c r="F58" t="inlineStr">
        <is>
          <t>bsmartlabs.com</t>
        </is>
      </c>
      <c r="G58" s="1" t="inlineStr">
        <is>
          <t>We have created the first educational ecosystem for teaching and learning in Italy, later white-labelled in many different countries. Designed to provide schools, teachers, students and families with educational services and content, bSmart is a platform rich in resources and tools to make learning and teaching in the digital world an effective, simple and innovative experience.
LIBRARY: In a single library, thousands of resources to be personalised and used directly on both bSmart and third party LMS and available on any device, online and offline.
TOOLS: Tools to create content: notes, vocal notes, maps, tests, lessons and presentations.
VIRTUAL CLASSROOM: With our collaboration environments and tools teachers manage learning events and calendars, share content within the class and send personal messages.
ONLINE TUTORING AND COACHING: Expert tutors available for personal and focused support via videoconference and chat on a handy online platform.</t>
        </is>
      </c>
      <c r="H58" s="1" t="inlineStr">
        <is>
          <t>I'm not part of any EdTech association, EdTech Italia</t>
        </is>
      </c>
      <c r="J58" s="1" t="inlineStr">
        <is>
          <t>VAREDO</t>
        </is>
      </c>
      <c r="K58" s="1" t="inlineStr">
        <is>
          <t>Italy</t>
        </is>
      </c>
      <c r="L58"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58" s="1" t="inlineStr">
        <is>
          <t>11 to 50</t>
        </is>
      </c>
      <c r="N58" s="1" t="inlineStr">
        <is>
          <t>Business to Business</t>
        </is>
      </c>
      <c r="O58" s="1" t="inlineStr">
        <is>
          <t>Primary Education, Secondary Education, Higher Education</t>
        </is>
      </c>
      <c r="P58" s="1" t="inlineStr">
        <is>
          <t>System/Administrative, Student interfacing, Teacher interfacing</t>
        </is>
      </c>
      <c r="R58" s="1" t="n"/>
      <c r="S58" s="1" t="inlineStr">
        <is>
          <t>https://drive.google.com/uc?export=view&amp;id=1AnYa065fnserEze0s9ml1AUPJmi2phTQ</t>
        </is>
      </c>
      <c r="T58" t="inlineStr">
        <is>
          <t>https://drive.google.com/uc?export=view&amp;id=1AnYa065fnserEze0s9ml1AUPJmi2phTQ</t>
        </is>
      </c>
      <c r="U58" s="1" t="inlineStr">
        <is>
          <t>https://drive.google.com/uc?export=view&amp;id=1AnYa065fnserEze0s9ml1AUPJmi2phTQ</t>
        </is>
      </c>
      <c r="V58" s="1" t="inlineStr">
        <is>
          <t>Unverified</t>
        </is>
      </c>
      <c r="Y58" s="10" t="n"/>
      <c r="Z58" s="1" t="n"/>
      <c r="AA58" t="inlineStr">
        <is>
          <t>No</t>
        </is>
      </c>
    </row>
    <row r="59" ht="12.5" customHeight="1">
      <c r="A59" s="6" t="n">
        <v>45181</v>
      </c>
      <c r="B59" s="1" t="inlineStr">
        <is>
          <t>ORG_1593</t>
        </is>
      </c>
      <c r="C59" s="1" t="b">
        <v>1</v>
      </c>
      <c r="D59" s="1" t="inlineStr">
        <is>
          <t>FunniFin</t>
        </is>
      </c>
      <c r="E59" s="10" t="inlineStr">
        <is>
          <t>https://www.funnifin.com/</t>
        </is>
      </c>
      <c r="F59" t="inlineStr">
        <is>
          <t>funnifin.com</t>
        </is>
      </c>
      <c r="G59" s="1" t="inlineStr">
        <is>
          <t>Financial education tool as a service for financial institutions, fintech companies and banks. FunniFin improves your client's financial literacy and enhance customer loyalty.
FunniFin is also your trusted financial wellness platform, dedicated to empowering employees to make informed and confident financial choices. We collaborate closely with employers to address the number one concern that employees bring to the workplace: their financial well-being.
Our mission is to make financial education funny and accessible for everyone.</t>
        </is>
      </c>
      <c r="H59" s="1" t="inlineStr">
        <is>
          <t>EdTech Italia</t>
        </is>
      </c>
      <c r="I59" s="1" t="inlineStr">
        <is>
          <t>Italian, English</t>
        </is>
      </c>
      <c r="J59" s="1" t="inlineStr">
        <is>
          <t>FLORENCE</t>
        </is>
      </c>
      <c r="K59" s="1" t="inlineStr">
        <is>
          <t>Italy</t>
        </is>
      </c>
      <c r="L59" s="1" t="inlineStr">
        <is>
          <t>Denmark, Finland, Italy, Sweden, United Kingdom</t>
        </is>
      </c>
      <c r="M59" s="1" t="inlineStr">
        <is>
          <t>3 to 5</t>
        </is>
      </c>
      <c r="N59" s="1" t="inlineStr">
        <is>
          <t>Business to Business, Business to Consumer, Business to Government, Business to Schools</t>
        </is>
      </c>
      <c r="O59" s="1" t="inlineStr">
        <is>
          <t>Corporate Training, Lifelong learning/Adult education</t>
        </is>
      </c>
      <c r="P59" s="1" t="inlineStr">
        <is>
          <t>System/Administrative</t>
        </is>
      </c>
      <c r="Q59" s="10" t="inlineStr">
        <is>
          <t>FunniFin</t>
        </is>
      </c>
      <c r="R59" t="inlineStr">
        <is>
          <t>Financial education tool as a service for financial institutions, fintech companies and banks. FunniFin improves your client's financial literacy and enhance customer loyalty.
FunniFin is also your trusted financial wellness platform, dedicated to empowering employees to make informed and confident financial choices. We collaborate closely with employers to address the number one concern that employees bring to the workplace: their financial well-being.
Our mission is to make financial education funny and accessible for everyone.</t>
        </is>
      </c>
      <c r="S59" s="10" t="inlineStr">
        <is>
          <t>https://drive.google.com/uc?export=view&amp;id=1teAsuFWEpm3Uk29BFk140S5AigUEdQBU</t>
        </is>
      </c>
      <c r="T59" t="inlineStr">
        <is>
          <t>https://drive.google.com/uc?export=view&amp;id=1teAsuFWEpm3Uk29BFk140S5AigUEdQBU</t>
        </is>
      </c>
      <c r="U59" s="1" t="inlineStr">
        <is>
          <t>https://drive.google.com/uc?export=view&amp;id=1teAsuFWEpm3Uk29BFk140S5AigUEdQBU</t>
        </is>
      </c>
      <c r="V59" s="1" t="inlineStr">
        <is>
          <t>Unverified</t>
        </is>
      </c>
      <c r="Y59" s="10" t="n"/>
      <c r="Z59" s="1" t="n"/>
      <c r="AA59" t="inlineStr">
        <is>
          <t>Yes</t>
        </is>
      </c>
      <c r="AB59" t="inlineStr">
        <is>
          <t>https://instagram.com/funnifin_app?igshid=MzRlODBiNWFlZA==</t>
        </is>
      </c>
      <c r="AC59" t="inlineStr">
        <is>
          <t>https://www.linkedin.com/company/funnifin/?viewAsMember=true</t>
        </is>
      </c>
      <c r="AD59" t="inlineStr">
        <is>
          <t>https://www.linkedin.com/company/funnifin/?viewAsMember=true</t>
        </is>
      </c>
    </row>
    <row r="60" ht="12.5" customHeight="1">
      <c r="A60" s="6" t="n">
        <v>45181</v>
      </c>
      <c r="B60" s="1" t="inlineStr">
        <is>
          <t>ORG_2211</t>
        </is>
      </c>
      <c r="C60" s="1" t="b">
        <v>1</v>
      </c>
      <c r="D60" s="1" t="inlineStr">
        <is>
          <t>Schoolr</t>
        </is>
      </c>
      <c r="E60" s="10" t="inlineStr">
        <is>
          <t>https://schoolr.net/it</t>
        </is>
      </c>
      <c r="F60" t="inlineStr">
        <is>
          <t>schoolr.net/it</t>
        </is>
      </c>
      <c r="G60" s="1" t="inlineStr">
        <is>
          <t>Schoolr is an online teaching platform for conducting live lessons and courses from quality and selected tutors to all students, from elementary schools to university. To date, we have over 5,000 qualified tutors and over 20,000 students.</t>
        </is>
      </c>
      <c r="H60" s="1" t="inlineStr">
        <is>
          <t>EdTech Italia</t>
        </is>
      </c>
      <c r="J60" s="1" t="inlineStr">
        <is>
          <t>Firenze</t>
        </is>
      </c>
      <c r="K60" s="1" t="inlineStr">
        <is>
          <t>Italy</t>
        </is>
      </c>
      <c r="L60" s="1" t="inlineStr">
        <is>
          <t>Italy</t>
        </is>
      </c>
      <c r="M60" s="1" t="inlineStr">
        <is>
          <t>0 to 10</t>
        </is>
      </c>
      <c r="N60" s="1" t="inlineStr">
        <is>
          <t>Business to Consumer</t>
        </is>
      </c>
      <c r="O60" s="1" t="inlineStr">
        <is>
          <t>Primary Education, Secondary Education, Higher Education</t>
        </is>
      </c>
      <c r="P60" s="1" t="inlineStr">
        <is>
          <t>System/Administrative, Student interfacing, Teacher interfacing</t>
        </is>
      </c>
      <c r="Q60" s="10" t="inlineStr">
        <is>
          <t>Schoolr Lesson</t>
        </is>
      </c>
      <c r="R60" s="10" t="inlineStr">
        <is>
          <t>Online lessons with qualified tutors.</t>
        </is>
      </c>
      <c r="S60" s="10" t="inlineStr">
        <is>
          <t>Schoolr Program</t>
        </is>
      </c>
      <c r="T60" t="inlineStr">
        <is>
          <t>Dedicated online courses and specific and personalized programs for each individual student.</t>
        </is>
      </c>
      <c r="U60" s="1" t="inlineStr">
        <is>
          <t>https://drive.google.com/uc?export=view&amp;id=10HfIkY9FC-lenOAg1xioEJ7rHrOkyjlV</t>
        </is>
      </c>
      <c r="V60" s="1" t="inlineStr">
        <is>
          <t>Unverified</t>
        </is>
      </c>
      <c r="W60" s="1" t="inlineStr">
        <is>
          <t>https://drive.google.com/uc?export=view&amp;id=10HfIkY9FC-lenOAg1xioEJ7rHrOkyjlV</t>
        </is>
      </c>
      <c r="X60" s="1" t="n"/>
      <c r="Y60" s="10" t="n"/>
      <c r="Z60" s="1" t="n"/>
      <c r="AA60" t="inlineStr">
        <is>
          <t>Yes</t>
        </is>
      </c>
      <c r="AB60" t="inlineStr">
        <is>
          <t>https://www.instagram.com/schoolrhq/</t>
        </is>
      </c>
      <c r="AC60" t="inlineStr">
        <is>
          <t>https://twitter.com/SchoolrHQ</t>
        </is>
      </c>
      <c r="AD60" t="inlineStr">
        <is>
          <t>https://www.linkedin.com/company/schoolr/</t>
        </is>
      </c>
    </row>
    <row r="61" ht="12.5" customHeight="1">
      <c r="A61" s="6" t="n">
        <v>45181</v>
      </c>
      <c r="B61" s="1" t="inlineStr">
        <is>
          <t>ORG_1057</t>
        </is>
      </c>
      <c r="C61" s="1" t="b">
        <v>1</v>
      </c>
      <c r="D61" s="1" t="inlineStr">
        <is>
          <t>Alteredu</t>
        </is>
      </c>
      <c r="E61" s="10" t="inlineStr">
        <is>
          <t>www.alteredu.it</t>
        </is>
      </c>
      <c r="F61" t="inlineStr">
        <is>
          <t>alteredu.it</t>
        </is>
      </c>
      <c r="G61" s="1" t="inlineStr">
        <is>
          <t>The First and Largest platform of online certified courses in Italy.
When trying to buy a book people usually look for it on Amazon, knowing they can find that book on it, isn't it? 
Well, we want that when they need a certified online course, they know that on Alteredu they can find it and, moreover, if they are not set yet with a specific idea, we can help them!
Our goal is for Alteredu to become the #1 reference platform for certified online courses in Italy (and not only).</t>
        </is>
      </c>
      <c r="H61" s="1" t="inlineStr">
        <is>
          <t>EdTech Italia</t>
        </is>
      </c>
      <c r="J61" s="1" t="inlineStr">
        <is>
          <t>TERRANOVA DA SIBARI</t>
        </is>
      </c>
      <c r="K61" s="1" t="inlineStr">
        <is>
          <t>Italy</t>
        </is>
      </c>
      <c r="L61" s="1" t="inlineStr">
        <is>
          <t>Italy</t>
        </is>
      </c>
      <c r="M61" s="1" t="inlineStr">
        <is>
          <t>11 to 50</t>
        </is>
      </c>
      <c r="N61" s="1" t="inlineStr">
        <is>
          <t>Business to Business</t>
        </is>
      </c>
      <c r="O61" s="1" t="inlineStr">
        <is>
          <t>Corporate Training, Lifelong learning/Adult education</t>
        </is>
      </c>
      <c r="P61" s="1" t="inlineStr">
        <is>
          <t>Teacher interfacing, System/Administrative, Student interfacing</t>
        </is>
      </c>
      <c r="Q61" s="10" t="inlineStr">
        <is>
          <t>Certified Courses</t>
        </is>
      </c>
      <c r="R61" t="inlineStr">
        <is>
          <t>More than 600 online certified courses on www.alteredu.it</t>
        </is>
      </c>
      <c r="S61" s="10" t="inlineStr">
        <is>
          <t>https://drive.google.com/uc?export=view&amp;id=1bmUU4AfeT64l2Rq26L3nxHbTkPZKKnBP</t>
        </is>
      </c>
      <c r="T61" t="inlineStr">
        <is>
          <t>https://drive.google.com/uc?export=view&amp;id=1bmUU4AfeT64l2Rq26L3nxHbTkPZKKnBP</t>
        </is>
      </c>
      <c r="U61" s="1" t="inlineStr">
        <is>
          <t>https://drive.google.com/uc?export=view&amp;id=1bmUU4AfeT64l2Rq26L3nxHbTkPZKKnBP</t>
        </is>
      </c>
      <c r="V61" s="1" t="inlineStr">
        <is>
          <t>Unverified</t>
        </is>
      </c>
      <c r="Y61" s="10" t="n"/>
      <c r="Z61" s="1" t="n"/>
      <c r="AA61" t="inlineStr">
        <is>
          <t>Yes</t>
        </is>
      </c>
      <c r="AB61" t="inlineStr">
        <is>
          <t>https://www.instagram.com/alteredu.it/</t>
        </is>
      </c>
      <c r="AC61" t="inlineStr">
        <is>
          <t>https://www.linkedin.com/company/alteredu</t>
        </is>
      </c>
      <c r="AD61" t="inlineStr">
        <is>
          <t>https://www.linkedin.com/company/alteredu</t>
        </is>
      </c>
    </row>
    <row r="62" ht="12.5" customHeight="1">
      <c r="A62" s="6" t="n">
        <v>45181</v>
      </c>
      <c r="B62" s="1" t="inlineStr">
        <is>
          <t>ORG_1781</t>
        </is>
      </c>
      <c r="C62" s="1" t="b">
        <v>1</v>
      </c>
      <c r="D62" s="1" t="inlineStr">
        <is>
          <t>Kjuicer</t>
        </is>
      </c>
      <c r="E62" s="10" t="inlineStr">
        <is>
          <t>https://kjuicer.com</t>
        </is>
      </c>
      <c r="F62" t="inlineStr">
        <is>
          <t>kjuicer.com</t>
        </is>
      </c>
      <c r="G62" s="1" t="inlineStr">
        <is>
          <t>Doubling learning speed and creating texts that can be read and explored up to 10 time faster.</t>
        </is>
      </c>
      <c r="H62" s="1" t="inlineStr">
        <is>
          <t>EdTech Italia</t>
        </is>
      </c>
      <c r="J62" s="1" t="inlineStr">
        <is>
          <t>Milan</t>
        </is>
      </c>
      <c r="K62" s="1" t="inlineStr">
        <is>
          <t>Italy</t>
        </is>
      </c>
      <c r="L62" s="1" t="inlineStr">
        <is>
          <t>Italy</t>
        </is>
      </c>
      <c r="M62" s="1" t="inlineStr">
        <is>
          <t>0 to 10</t>
        </is>
      </c>
      <c r="N62" s="1" t="inlineStr">
        <is>
          <t>Business to Business, Business to Consumer, Business to Government, Business to Schools</t>
        </is>
      </c>
      <c r="O62" s="1" t="inlineStr">
        <is>
          <t>Secondary Education, Higher Education, Corporate Training, Lifelong learning/Adult education</t>
        </is>
      </c>
      <c r="P62" s="1" t="inlineStr">
        <is>
          <t>Student interfacing, Teacher interfacing, System/Administrative</t>
        </is>
      </c>
      <c r="Q62" s="1" t="inlineStr">
        <is>
          <t>Kjuicer</t>
        </is>
      </c>
      <c r="R62" s="10" t="inlineStr">
        <is>
          <t>With Kjuicer:
- Students can learn twice as fast from their digital texts,
- Teachers and institutions can offer up to 5 times more content to their audiences.</t>
        </is>
      </c>
      <c r="S62" s="10" t="inlineStr">
        <is>
          <t>https://drive.google.com/uc?export=view&amp;id=1iHy94ihTeZQeW_yBVB8Z5GHtJ2mYB9wc</t>
        </is>
      </c>
      <c r="T62" t="inlineStr">
        <is>
          <t>https://drive.google.com/uc?export=view&amp;id=1iHy94ihTeZQeW_yBVB8Z5GHtJ2mYB9wc</t>
        </is>
      </c>
      <c r="U62" s="1" t="inlineStr">
        <is>
          <t>https://drive.google.com/uc?export=view&amp;id=1iHy94ihTeZQeW_yBVB8Z5GHtJ2mYB9wc</t>
        </is>
      </c>
      <c r="V62" s="1" t="inlineStr">
        <is>
          <t>Unverified</t>
        </is>
      </c>
      <c r="Y62" s="10" t="n"/>
      <c r="Z62" s="1" t="n"/>
      <c r="AA62" t="inlineStr">
        <is>
          <t>Yes</t>
        </is>
      </c>
      <c r="AB62" t="inlineStr">
        <is>
          <t>https://twitter.com/KnowledgeJuicer</t>
        </is>
      </c>
      <c r="AC62" t="inlineStr">
        <is>
          <t>https://twitter.com/KnowledgeJuicer</t>
        </is>
      </c>
      <c r="AD62" t="inlineStr">
        <is>
          <t>https://www.linkedin.com/company/10288288</t>
        </is>
      </c>
    </row>
    <row r="63" ht="12.5" customHeight="1">
      <c r="A63" s="6" t="n">
        <v>45181</v>
      </c>
      <c r="B63" s="1" t="inlineStr">
        <is>
          <t>ORG_1909</t>
        </is>
      </c>
      <c r="C63" s="1" t="b">
        <v>1</v>
      </c>
      <c r="D63" s="1" t="inlineStr">
        <is>
          <t>Maker Camp</t>
        </is>
      </c>
      <c r="E63" s="10" t="inlineStr">
        <is>
          <t>https://www.makercamp.it</t>
        </is>
      </c>
      <c r="F63" t="inlineStr">
        <is>
          <t>makercamp.it</t>
        </is>
      </c>
      <c r="G63" s="1" t="inlineStr">
        <is>
          <t>The company Maker Camp is strongly specialized in the enhancement of the skills of the XXI century - ability to solve complex problems, critical thinking, creativity, collaboration with others - through the use of new technologies and in particular of educational video games, integrating everything with the "analog" tradition.
It is the promoter of national and international contests for cultural and institutional places with which it involves the school population and the educating community with a view to participation from the grass roots to the cultural contents themselves and, also through elements of gamification, promotes the territory of interest.</t>
        </is>
      </c>
      <c r="H63" s="1" t="inlineStr">
        <is>
          <t>I'm not part of any EdTech association</t>
        </is>
      </c>
      <c r="I63" s="1" t="n"/>
      <c r="J63" s="1" t="inlineStr">
        <is>
          <t>APRILIA</t>
        </is>
      </c>
      <c r="K63" s="1" t="inlineStr">
        <is>
          <t>Italy</t>
        </is>
      </c>
      <c r="L63" s="1" t="inlineStr">
        <is>
          <t>Italy</t>
        </is>
      </c>
      <c r="M63" s="1" t="inlineStr">
        <is>
          <t>0 to 10</t>
        </is>
      </c>
      <c r="N63" s="1" t="inlineStr">
        <is>
          <t>Business to Business, Business to Consumer, Business to Schools</t>
        </is>
      </c>
      <c r="O63" s="1" t="inlineStr">
        <is>
          <t>Primary Education, Secondary Education, Higher Education, Corporate Training, Lifelong learning/Adult education</t>
        </is>
      </c>
      <c r="P63" s="1" t="inlineStr">
        <is>
          <t>System/Administrative, Student interfacing, Teacher interfacing</t>
        </is>
      </c>
      <c r="Q63" s="1" t="n"/>
      <c r="R63" s="1" t="n"/>
      <c r="S63" s="1" t="inlineStr">
        <is>
          <t>https://drive.google.com/uc?export=view&amp;id=1L1-YzOVHTOMSWyQWcZ0daqekwbk2-aQG</t>
        </is>
      </c>
      <c r="T63" t="inlineStr">
        <is>
          <t>https://drive.google.com/uc?export=view&amp;id=1L1-YzOVHTOMSWyQWcZ0daqekwbk2-aQG</t>
        </is>
      </c>
      <c r="U63" s="1" t="inlineStr">
        <is>
          <t>https://drive.google.com/uc?export=view&amp;id=1L1-YzOVHTOMSWyQWcZ0daqekwbk2-aQG</t>
        </is>
      </c>
      <c r="V63" s="1" t="inlineStr">
        <is>
          <t>Unverified</t>
        </is>
      </c>
      <c r="W63" s="1" t="inlineStr">
        <is>
          <t>https://drive.google.com/uc?export=view&amp;id=1L1-YzOVHTOMSWyQWcZ0daqekwbk2-aQG</t>
        </is>
      </c>
      <c r="X63" s="1" t="n"/>
      <c r="Y63" s="10" t="n"/>
      <c r="Z63" s="1" t="n"/>
      <c r="AA63" t="inlineStr">
        <is>
          <t>No</t>
        </is>
      </c>
    </row>
    <row r="64" ht="12.5" customHeight="1">
      <c r="A64" s="6" t="n">
        <v>45181</v>
      </c>
      <c r="B64" s="1" t="inlineStr">
        <is>
          <t>ORG_2539</t>
        </is>
      </c>
      <c r="C64" s="1" t="b">
        <v>1</v>
      </c>
      <c r="D64" s="1" t="inlineStr">
        <is>
          <t>Wisepath Srl</t>
        </is>
      </c>
      <c r="E64" s="10" t="inlineStr">
        <is>
          <t>https://www.wisepath.ai/</t>
        </is>
      </c>
      <c r="F64" t="inlineStr">
        <is>
          <t>wisepath.ai</t>
        </is>
      </c>
      <c r="G64" s="1" t="inlineStr">
        <is>
          <t>Wisepath is a Human Centric AI Platform for Soft-Skills Development</t>
        </is>
      </c>
      <c r="H64" s="1" t="inlineStr">
        <is>
          <t>I'm not part of any EdTech association</t>
        </is>
      </c>
      <c r="I64" s="1" t="n"/>
      <c r="J64" s="1" t="inlineStr">
        <is>
          <t>Rovereto</t>
        </is>
      </c>
      <c r="K64" s="1" t="inlineStr">
        <is>
          <t>Italy</t>
        </is>
      </c>
      <c r="L64" s="1" t="inlineStr">
        <is>
          <t>Italy</t>
        </is>
      </c>
      <c r="M64" s="1" t="inlineStr">
        <is>
          <t>0 to 10</t>
        </is>
      </c>
      <c r="N64" s="1" t="inlineStr">
        <is>
          <t>Business to Government, Business to Schools</t>
        </is>
      </c>
      <c r="O64" s="1" t="inlineStr">
        <is>
          <t>Higher Education, Corporate Training</t>
        </is>
      </c>
      <c r="P64" s="1" t="inlineStr">
        <is>
          <t>Student interfacing, System/Administrative</t>
        </is>
      </c>
      <c r="Q64" s="1" t="inlineStr">
        <is>
          <t>Wisepath V1</t>
        </is>
      </c>
      <c r="R64" t="inlineStr">
        <is>
          <t>- 18-29yo, following the continuum of students &amp; professionals to be upskilled
- Wisepath Cycle: Discover (Assessment tools) - Plan (define professional objectives) - Learn (access to contents) - Connect (use our social network to allow a 3 level interaction: peer-tp-peer, expert, mentors.
- Fill the gap of like-skills, which impact twice the hard-skills in career paths.</t>
        </is>
      </c>
      <c r="S64" s="10" t="inlineStr">
        <is>
          <t>https://drive.google.com/uc?export=view&amp;id=1SciQqwd3YGqSf_PAKBCu6Ao_ZYyUZDPK</t>
        </is>
      </c>
      <c r="T64" t="inlineStr">
        <is>
          <t>https://drive.google.com/uc?export=view&amp;id=1SciQqwd3YGqSf_PAKBCu6Ao_ZYyUZDPK</t>
        </is>
      </c>
      <c r="U64" s="1" t="inlineStr">
        <is>
          <t>https://drive.google.com/uc?export=view&amp;id=1SciQqwd3YGqSf_PAKBCu6Ao_ZYyUZDPK</t>
        </is>
      </c>
      <c r="V64" s="1" t="inlineStr">
        <is>
          <t>Unverified</t>
        </is>
      </c>
      <c r="W64" s="1" t="inlineStr">
        <is>
          <t>https://drive.google.com/uc?export=view&amp;id=1SciQqwd3YGqSf_PAKBCu6Ao_ZYyUZDPK</t>
        </is>
      </c>
      <c r="X64" s="1" t="n"/>
      <c r="Y64" s="10" t="n"/>
      <c r="Z64" s="1" t="n"/>
      <c r="AA64" t="inlineStr">
        <is>
          <t>Yes</t>
        </is>
      </c>
      <c r="AC64" t="inlineStr">
        <is>
          <t>https://www.linkedin.com/company/79811623/admin/</t>
        </is>
      </c>
      <c r="AD64" t="inlineStr">
        <is>
          <t>https://www.linkedin.com/company/79811623/admin/</t>
        </is>
      </c>
    </row>
    <row r="65" ht="12.5" customHeight="1">
      <c r="A65" s="6" t="n">
        <v>45181</v>
      </c>
      <c r="B65" s="1" t="inlineStr">
        <is>
          <t>ORG_1325</t>
        </is>
      </c>
      <c r="C65" s="1" t="b">
        <v>1</v>
      </c>
      <c r="D65" s="1" t="inlineStr">
        <is>
          <t>D.D. INTERNATIONAL srl - Programma Doppio Diploma</t>
        </is>
      </c>
      <c r="E65" s="10" t="inlineStr">
        <is>
          <t>www.materdoppiodiploma.it</t>
        </is>
      </c>
      <c r="F65" t="inlineStr">
        <is>
          <t>materdoppiodiploma.it</t>
        </is>
      </c>
      <c r="G65" s="1" t="inlineStr">
        <is>
          <t>The Dual Diploma Program - Mater Academy allows students around the world to earn a US High School Diploma while simultaneously completing high school in their country of origin. The purpose is to provide an additional competitive advantage to these students by fostering the development of self-directed and responsible 21st century life-long learners through the thoughtful use of interactive, media-rich educational opportunities in a flexible, student-centered, virtual learning environment.</t>
        </is>
      </c>
      <c r="H65" s="1" t="inlineStr">
        <is>
          <t>I'm not part of any EdTech association</t>
        </is>
      </c>
      <c r="J65" s="1" t="inlineStr">
        <is>
          <t>VERONA</t>
        </is>
      </c>
      <c r="K65" s="1" t="inlineStr">
        <is>
          <t>Italy</t>
        </is>
      </c>
      <c r="L65" s="1" t="inlineStr">
        <is>
          <t>Austria, Italy</t>
        </is>
      </c>
      <c r="M65" s="1" t="inlineStr">
        <is>
          <t>0 to 10</t>
        </is>
      </c>
      <c r="N65" s="1" t="inlineStr">
        <is>
          <t>Business to Business</t>
        </is>
      </c>
      <c r="O65" s="1" t="inlineStr">
        <is>
          <t>Secondary Education</t>
        </is>
      </c>
      <c r="P65" s="1" t="inlineStr">
        <is>
          <t>System/Administrative, Student interfacing, Teacher interfacing</t>
        </is>
      </c>
      <c r="Q65" s="1" t="inlineStr">
        <is>
          <t>Programma Doppio Diploma Italia-USA Mater Academy</t>
        </is>
      </c>
      <c r="R65" t="inlineStr">
        <is>
          <t>The Dual Diploma Program - Mater Academy allows students around the world to earn a US High School Diploma while simultaneously completing high school in their country of origin. The purpose is to provide an additional competitive advantage to these students by fostering the development of self-directed and responsible 21st century life-long learners through the thoughtful use of interactive, media-rich educational opportunities in a flexible, student-centered, virtual learning environment.</t>
        </is>
      </c>
      <c r="S65" s="1" t="inlineStr">
        <is>
          <t>https://drive.google.com/uc?export=view&amp;id=1LlR2LOyAudD4-PexIkGLcnfH3sqGaZvA</t>
        </is>
      </c>
      <c r="T65" t="inlineStr">
        <is>
          <t>https://drive.google.com/uc?export=view&amp;id=1LlR2LOyAudD4-PexIkGLcnfH3sqGaZvA</t>
        </is>
      </c>
      <c r="U65" s="1" t="inlineStr">
        <is>
          <t>https://drive.google.com/uc?export=view&amp;id=1LlR2LOyAudD4-PexIkGLcnfH3sqGaZvA</t>
        </is>
      </c>
      <c r="V65" s="1" t="inlineStr">
        <is>
          <t>Unverified</t>
        </is>
      </c>
      <c r="W65" s="1" t="inlineStr">
        <is>
          <t>https://drive.google.com/uc?export=view&amp;id=1LlR2LOyAudD4-PexIkGLcnfH3sqGaZvA</t>
        </is>
      </c>
      <c r="X65" s="1" t="n"/>
      <c r="Y65" s="10" t="n"/>
      <c r="Z65" s="1" t="n"/>
      <c r="AA65" t="inlineStr">
        <is>
          <t>Yes</t>
        </is>
      </c>
      <c r="AB65" t="inlineStr">
        <is>
          <t>doppio.diploma</t>
        </is>
      </c>
    </row>
    <row r="66" ht="12.5" customHeight="1">
      <c r="A66" s="6" t="n">
        <v>45181</v>
      </c>
      <c r="B66" s="1" t="inlineStr">
        <is>
          <t>ORG_1369</t>
        </is>
      </c>
      <c r="C66" s="1" t="b">
        <v>1</v>
      </c>
      <c r="D66" s="1" t="inlineStr">
        <is>
          <t>Docendum®</t>
        </is>
      </c>
      <c r="E66" s="10" t="inlineStr">
        <is>
          <t>www.docendum.it</t>
        </is>
      </c>
      <c r="F66" t="inlineStr">
        <is>
          <t>docendum.it</t>
        </is>
      </c>
      <c r="G66" s="1" t="inlineStr">
        <is>
          <t>Docendum is the Italian leader in coding, robotics and digital citizenship training in schools.</t>
        </is>
      </c>
      <c r="H66" s="1" t="inlineStr">
        <is>
          <t>EdTech Italia</t>
        </is>
      </c>
      <c r="I66" s="1" t="n"/>
      <c r="J66" s="1" t="inlineStr">
        <is>
          <t>Roma</t>
        </is>
      </c>
      <c r="K66" s="1" t="inlineStr">
        <is>
          <t>Italy</t>
        </is>
      </c>
      <c r="L66" s="1" t="inlineStr">
        <is>
          <t>Italy</t>
        </is>
      </c>
      <c r="M66" s="1" t="inlineStr">
        <is>
          <t>0 to 10</t>
        </is>
      </c>
      <c r="N66" s="1" t="inlineStr">
        <is>
          <t>Business to Business, Business to Consumer</t>
        </is>
      </c>
      <c r="O66" s="1" t="inlineStr">
        <is>
          <t>Primary Education, Secondary Education, Lifelong learning/Adult education</t>
        </is>
      </c>
      <c r="P66" s="1" t="inlineStr">
        <is>
          <t>System/Administrative, Student interfacing, Teacher interfacing</t>
        </is>
      </c>
      <c r="Q66" s="10" t="inlineStr">
        <is>
          <t>Coding in schools</t>
        </is>
      </c>
      <c r="R66" s="1" t="inlineStr">
        <is>
          <t>We teach coding in Italian schools. With more than 15,000 pupils trained in coding, we are the industry leader.</t>
        </is>
      </c>
      <c r="S66" s="10" t="inlineStr">
        <is>
          <t>https://drive.google.com/uc?export=view&amp;id=1ebK1zFh7dTJzTbCVy3VhL6rj5HU7Vo5r</t>
        </is>
      </c>
      <c r="T66" t="inlineStr">
        <is>
          <t>https://drive.google.com/uc?export=view&amp;id=1ebK1zFh7dTJzTbCVy3VhL6rj5HU7Vo5r</t>
        </is>
      </c>
      <c r="U66" s="1" t="inlineStr">
        <is>
          <t>https://drive.google.com/uc?export=view&amp;id=1ebK1zFh7dTJzTbCVy3VhL6rj5HU7Vo5r</t>
        </is>
      </c>
      <c r="V66" s="1" t="inlineStr">
        <is>
          <t>Unverified</t>
        </is>
      </c>
      <c r="W66" s="1" t="inlineStr">
        <is>
          <t>https://drive.google.com/uc?export=view&amp;id=1ebK1zFh7dTJzTbCVy3VhL6rj5HU7Vo5r</t>
        </is>
      </c>
      <c r="X66" s="1" t="n"/>
      <c r="Y66" s="10" t="n"/>
      <c r="Z66" s="1" t="n"/>
      <c r="AA66" t="inlineStr">
        <is>
          <t>Yes</t>
        </is>
      </c>
      <c r="AB66" t="inlineStr">
        <is>
          <t>https://www.instagram.com/docendum/</t>
        </is>
      </c>
      <c r="AC66" t="inlineStr">
        <is>
          <t>Docendum srl</t>
        </is>
      </c>
      <c r="AD66" t="inlineStr">
        <is>
          <t>https://www.linkedin.com/company/10153088/</t>
        </is>
      </c>
    </row>
    <row r="67" ht="12.5" customHeight="1">
      <c r="A67" s="6" t="n">
        <v>45181</v>
      </c>
      <c r="B67" s="1" t="inlineStr">
        <is>
          <t>ORG_2057</t>
        </is>
      </c>
      <c r="C67" s="1" t="b">
        <v>1</v>
      </c>
      <c r="D67" s="1" t="inlineStr">
        <is>
          <t>OfCourseMe</t>
        </is>
      </c>
      <c r="E67" s="10" t="inlineStr">
        <is>
          <t>https://ofcourse.me/</t>
        </is>
      </c>
      <c r="F67" t="inlineStr">
        <is>
          <t>ofcourse.me</t>
        </is>
      </c>
      <c r="G67" s="1" t="inlineStr">
        <is>
          <t>OfCourseMe's Mission is to help organizations create lifelong learners. 
We achieve this by creating curated pathways on demand for our customers and helping LnD managers promote them internally. 
Over 500k employees from companies like Vodafone, Sky, UniCredit, Eni, Generali already use our solution.</t>
        </is>
      </c>
      <c r="H67" s="1" t="inlineStr">
        <is>
          <t>EdTech Finland</t>
        </is>
      </c>
      <c r="I67" s="1" t="inlineStr">
        <is>
          <t>Italian, English, French, Spanish, German, Polish, Russian, Portuguese, Czech, Slovakian, Serbian</t>
        </is>
      </c>
      <c r="J67" s="1" t="inlineStr">
        <is>
          <t>MONZA</t>
        </is>
      </c>
      <c r="K67" s="1" t="inlineStr">
        <is>
          <t>Italy</t>
        </is>
      </c>
      <c r="L67" s="1" t="inlineStr">
        <is>
          <t>Italy</t>
        </is>
      </c>
      <c r="M67" s="1" t="inlineStr">
        <is>
          <t>11 to 50</t>
        </is>
      </c>
      <c r="N67" s="1" t="inlineStr">
        <is>
          <t>Business to Business, Business to Government, Business to Schools</t>
        </is>
      </c>
      <c r="O67" s="1" t="inlineStr">
        <is>
          <t>Corporate Training, Lifelong learning/Adult education</t>
        </is>
      </c>
      <c r="P67" s="1" t="inlineStr">
        <is>
          <t>System/Administrative, Student interfacing</t>
        </is>
      </c>
      <c r="Q67" s="1" t="inlineStr">
        <is>
          <t>Content curation as-a-service</t>
        </is>
      </c>
      <c r="R67" s="10" t="inlineStr">
        <is>
          <t>Creation of on demand curated pathways for our customers, leveraging over 2 mln learning assets from over 1k providers in over 20 languages.</t>
        </is>
      </c>
      <c r="S67" s="10" t="inlineStr">
        <is>
          <t>SkillMe</t>
        </is>
      </c>
      <c r="T67" t="inlineStr">
        <is>
          <t>AI powered content tagging engine which associated any content catalogue to any proprietary skill taxonomy, in order to deliver skill-based recommendations at scale.</t>
        </is>
      </c>
      <c r="U67" s="1" t="inlineStr">
        <is>
          <t>https://drive.google.com/uc?export=view&amp;id=15iM05Bj7uP4drIB-p5gzQJdRZYnZFIgz</t>
        </is>
      </c>
      <c r="V67" s="1" t="inlineStr">
        <is>
          <t>Unverified</t>
        </is>
      </c>
      <c r="W67" s="1" t="inlineStr">
        <is>
          <t>https://drive.google.com/uc?export=view&amp;id=15iM05Bj7uP4drIB-p5gzQJdRZYnZFIgz</t>
        </is>
      </c>
      <c r="X67" s="1" t="n"/>
      <c r="Y67" s="10" t="n"/>
      <c r="Z67" s="1" t="n"/>
      <c r="AA67" s="1" t="inlineStr">
        <is>
          <t>Yes</t>
        </is>
      </c>
      <c r="AB67" s="1" t="inlineStr">
        <is>
          <t>Black Swan srl - OfCourseMe</t>
        </is>
      </c>
      <c r="AC67" s="1" t="inlineStr">
        <is>
          <t>https://twitter.com/Of_Course_Me</t>
        </is>
      </c>
      <c r="AD67" t="inlineStr">
        <is>
          <t>https://www.linkedin.com/company/ofcourseme-official/mycompany/?viewAsMember=true</t>
        </is>
      </c>
    </row>
    <row r="68" ht="12.5" customHeight="1">
      <c r="A68" s="6" t="n">
        <v>45300</v>
      </c>
      <c r="B68" s="1" t="inlineStr">
        <is>
          <t>ORG_2280</t>
        </is>
      </c>
      <c r="C68" s="1" t="b">
        <v>1</v>
      </c>
      <c r="D68" s="1" t="inlineStr">
        <is>
          <t>Smarthink</t>
        </is>
      </c>
      <c r="E68" s="10" t="inlineStr">
        <is>
          <t>https://it.edulai.com/smarthink</t>
        </is>
      </c>
      <c r="F68" t="inlineStr">
        <is>
          <t>it.edulai.com/smarthink</t>
        </is>
      </c>
      <c r="G68" s="1" t="inlineStr">
        <is>
          <t>Smarthink is aimed at developing workers' skills required by the marketplace of the future through the use of technologies. Smarthink designs special e-learning training and consultancy services, on smart and remote working, soft skills and workers wellbeing and wellness</t>
        </is>
      </c>
      <c r="H68" s="1" t="inlineStr">
        <is>
          <t>EdTech Italia</t>
        </is>
      </c>
      <c r="I68" s="1" t="inlineStr">
        <is>
          <t>Italian, English</t>
        </is>
      </c>
      <c r="J68" s="1" t="inlineStr">
        <is>
          <t>BUSTO ARSIZIO (VA)</t>
        </is>
      </c>
      <c r="K68" s="1" t="inlineStr">
        <is>
          <t>Italy</t>
        </is>
      </c>
      <c r="L68" s="1" t="inlineStr">
        <is>
          <t>Italy</t>
        </is>
      </c>
      <c r="M68" s="1" t="inlineStr">
        <is>
          <t>0 to 2</t>
        </is>
      </c>
      <c r="N68" s="1" t="inlineStr">
        <is>
          <t>Business to Consumer</t>
        </is>
      </c>
      <c r="O68" s="1" t="inlineStr">
        <is>
          <t>Corporate Training, Lifelong learning/Adult education, Vocational Education and Training (VET), Higher Education</t>
        </is>
      </c>
      <c r="P68" s="1" t="inlineStr">
        <is>
          <t>System/Administrative, Student interfacing</t>
        </is>
      </c>
      <c r="Q68" s="1" t="inlineStr">
        <is>
          <t>Edulai Skills Checker &amp; Critical thinking assessment</t>
        </is>
      </c>
      <c r="R68" t="inlineStr">
        <is>
          <t>Edulai Skills checker® measures the skills required nowadays by the labour market to workers (soft skills, remote working skills, sale skills etc.). The Skills Checker assess in real time, the competencies of individuals and it describes what needs to be improved. The tool is flexible enough to assess new skills according with the requests
Edulai assess in a special way, also a specific skill: the critical thinking one, now also through the implementation of generative AI in Edulai tool.</t>
        </is>
      </c>
      <c r="S68" s="10" t="inlineStr">
        <is>
          <t>Edulai Intelligent Library</t>
        </is>
      </c>
      <c r="T68" t="inlineStr">
        <is>
          <t>Edulai Intelligent Library is an online tool that suggests users high quality selected content on skills for improvement, based on their current and potential level.
The users are also able to modify, evaluate and add new resources to the system, which will become their intelligent content identifier on the internet.</t>
        </is>
      </c>
      <c r="U68" s="1" t="inlineStr">
        <is>
          <t>https://drive.google.com/uc?export=view&amp;id=1Mk4iTIkF5xTPkmkc9gvgKgVcKDRjcrbr</t>
        </is>
      </c>
      <c r="V68" s="1" t="inlineStr">
        <is>
          <t>Unverified</t>
        </is>
      </c>
      <c r="W68" s="1" t="inlineStr">
        <is>
          <t>https://drive.google.com/uc?export=view&amp;id=1Mk4iTIkF5xTPkmkc9gvgKgVcKDRjcrbr</t>
        </is>
      </c>
      <c r="X68" s="1" t="n"/>
      <c r="Y68" s="10" t="n"/>
      <c r="Z68" s="1" t="n"/>
      <c r="AA68" s="1" t="inlineStr">
        <is>
          <t>Yes</t>
        </is>
      </c>
      <c r="AB68" s="1" t="inlineStr">
        <is>
          <t>n/a</t>
        </is>
      </c>
      <c r="AC68" s="1" t="inlineStr">
        <is>
          <t>https://www.linkedin.com/company/edulai/posts/?feedView=all&amp;viewAsMember=true</t>
        </is>
      </c>
      <c r="AD68" s="1" t="inlineStr">
        <is>
          <t>https://www.linkedin.com/company/edulai/posts/?feedView=all&amp;viewAsMember=true</t>
        </is>
      </c>
      <c r="AE68" s="1" t="n"/>
    </row>
    <row r="69" ht="12.5" customHeight="1">
      <c r="A69" s="6" t="n">
        <v>45300</v>
      </c>
      <c r="B69" s="1" t="inlineStr">
        <is>
          <t>ORG_2249</t>
        </is>
      </c>
      <c r="C69" s="1" t="b">
        <v>1</v>
      </c>
      <c r="D69" s="1" t="inlineStr">
        <is>
          <t>SiriusGame</t>
        </is>
      </c>
      <c r="E69" s="10" t="inlineStr">
        <is>
          <t>www.siriusgame.it</t>
        </is>
      </c>
      <c r="F69" t="inlineStr">
        <is>
          <t>siriusgame.it</t>
        </is>
      </c>
      <c r="G69" s="1" t="inlineStr">
        <is>
          <t>SiriusGame is a gamified app that supports the teaching and learning of humanities subjects in K-12, within the framework of Global Citizenship Education.
At the moment we offer Latin for the Italian education system.</t>
        </is>
      </c>
      <c r="H69" s="1" t="inlineStr">
        <is>
          <t>EdTech Italia</t>
        </is>
      </c>
      <c r="J69" s="1" t="inlineStr">
        <is>
          <t>Verona</t>
        </is>
      </c>
      <c r="K69" s="1" t="inlineStr">
        <is>
          <t>Italy</t>
        </is>
      </c>
      <c r="L69" s="1" t="inlineStr">
        <is>
          <t>Italy</t>
        </is>
      </c>
      <c r="M69" s="1" t="inlineStr">
        <is>
          <t>0 to 10</t>
        </is>
      </c>
      <c r="N69" s="1" t="inlineStr">
        <is>
          <t>Business to Business, Business to Government, Business to Schools</t>
        </is>
      </c>
      <c r="O69" s="1" t="inlineStr">
        <is>
          <t>Secondary Education</t>
        </is>
      </c>
      <c r="P69" s="1" t="inlineStr">
        <is>
          <t>Student interfacing, Teacher interfacing</t>
        </is>
      </c>
      <c r="Q69" s="10" t="inlineStr">
        <is>
          <t>SiriusGame App</t>
        </is>
      </c>
      <c r="R69" t="inlineStr">
        <is>
          <t>Allows students to embark on a gamified adventure, face daily quests, challenge their peers and share content they created.</t>
        </is>
      </c>
      <c r="S69" s="10" t="inlineStr">
        <is>
          <t>SiriusGame Webapp</t>
        </is>
      </c>
      <c r="T69" t="inlineStr">
        <is>
          <t>Allows teachers to monitor the progress of their students, and create personalized exercises and flashcards in order to create a unique learning experience for their students.</t>
        </is>
      </c>
      <c r="U69" s="1" t="inlineStr">
        <is>
          <t>https://drive.google.com/uc?export=view&amp;id=1j4FCMTkSCnYCcps7VWF8AXVyu7SQKcUB</t>
        </is>
      </c>
      <c r="V69" s="1" t="inlineStr">
        <is>
          <t>Unverified</t>
        </is>
      </c>
      <c r="W69" s="1" t="inlineStr">
        <is>
          <t>https://drive.google.com/uc?export=view&amp;id=1j4FCMTkSCnYCcps7VWF8AXVyu7SQKcUB</t>
        </is>
      </c>
      <c r="X69" s="1" t="n"/>
      <c r="Y69" s="10" t="n"/>
      <c r="Z69" s="1" t="n"/>
      <c r="AA69" t="inlineStr">
        <is>
          <t>Yes</t>
        </is>
      </c>
      <c r="AB69" t="inlineStr">
        <is>
          <t>https://www.instagram.com/siriusgame_/?hl=en</t>
        </is>
      </c>
      <c r="AC69" t="inlineStr">
        <is>
          <t>https://www.linkedin.com/company/siriusgame</t>
        </is>
      </c>
      <c r="AD69" t="inlineStr">
        <is>
          <t>https://www.linkedin.com/company/siriusgame</t>
        </is>
      </c>
    </row>
    <row r="70" ht="12.5" customHeight="1">
      <c r="A70" s="6" t="n">
        <v>45238</v>
      </c>
      <c r="B70" s="1" t="inlineStr">
        <is>
          <t>ORG_2556</t>
        </is>
      </c>
      <c r="C70" s="1" t="b">
        <v>1</v>
      </c>
      <c r="D70" s="1" t="inlineStr">
        <is>
          <t>Wyblo</t>
        </is>
      </c>
      <c r="E70" s="10" t="inlineStr">
        <is>
          <t>www.wyblo.com</t>
        </is>
      </c>
      <c r="F70" t="inlineStr">
        <is>
          <t>wyblo.com</t>
        </is>
      </c>
      <c r="G70" s="1" t="inlineStr">
        <is>
          <t>The all-in-one learning experience platform that education and training program managers can use to oversee the entire course journey. Wyblo platform transforms feedback into accessible data and provides real-time analytics about course performance into centralized dashboards with different access levels for every stakeholder; we make it easier to improve and ensure the quality of your courses.
At Wyblo, our mission is to transform data and analytics into modes of social interaction that impact the educational and professional training world.</t>
        </is>
      </c>
      <c r="H70" s="1" t="inlineStr">
        <is>
          <t>EdTech Italia</t>
        </is>
      </c>
      <c r="I70" s="1" t="inlineStr">
        <is>
          <t>Italian, English</t>
        </is>
      </c>
      <c r="J70" s="1" t="inlineStr">
        <is>
          <t>BORGO SAN DALMAZZO</t>
        </is>
      </c>
      <c r="K70" s="1" t="inlineStr">
        <is>
          <t>Italy</t>
        </is>
      </c>
      <c r="L70" s="1" t="inlineStr">
        <is>
          <t>Italy, United Kingdom</t>
        </is>
      </c>
      <c r="M70" s="1" t="inlineStr">
        <is>
          <t>3 to 5</t>
        </is>
      </c>
      <c r="N70" s="1" t="inlineStr">
        <is>
          <t>Business to Consumer, Business to Schools</t>
        </is>
      </c>
      <c r="O70" s="1" t="inlineStr">
        <is>
          <t>Corporate Training, Lifelong learning/Adult education, Vocational Education and Training (VET)</t>
        </is>
      </c>
      <c r="P70" s="1" t="inlineStr">
        <is>
          <t>System/Administrative, Student interfacing</t>
        </is>
      </c>
      <c r="Q70" s="10" t="inlineStr">
        <is>
          <t>Wyblo for training companies</t>
        </is>
      </c>
      <c r="R70" t="inlineStr">
        <is>
          <t>Creating an impactful training experience can be difficult when there are registration emails to be sent, surveys to be managed, and files to share, together with analytics.
Wyblo solves this problem by automating and centralizing all organizational data onto one platform while creating the analytics trainers need to create successful training moments.
Video demo: https://youtu.be/Y6PUkEiXKBg</t>
        </is>
      </c>
      <c r="S70" s="10" t="inlineStr">
        <is>
          <t>Wyblo for webinars</t>
        </is>
      </c>
      <c r="T70" t="inlineStr">
        <is>
          <t>Managing a webinar requires putting together several parts: the creation of the event, the registration, the emailing, the hosting platform, the feedback.
With Wyblo you have an all-in-one platform to simply manage your webinars from registration to feedback.
Video demo: https://youtu.be/5n2Kgxzv3BY</t>
        </is>
      </c>
      <c r="U70" s="1" t="inlineStr">
        <is>
          <t>https://drive.google.com/uc?export=view&amp;id=1haqq3swoWn7OZ4SZs1XrGW9u7LMgJQdF</t>
        </is>
      </c>
      <c r="V70" s="1" t="inlineStr">
        <is>
          <t>Unverified</t>
        </is>
      </c>
      <c r="W70" s="1" t="inlineStr">
        <is>
          <t>https://drive.google.com/uc?export=view&amp;id=1haqq3swoWn7OZ4SZs1XrGW9u7LMgJQdF</t>
        </is>
      </c>
      <c r="X70" s="1" t="n"/>
      <c r="Y70" s="10" t="n"/>
      <c r="Z70" s="1" t="n"/>
      <c r="AA70" t="inlineStr">
        <is>
          <t>Yes</t>
        </is>
      </c>
      <c r="AB70" t="inlineStr">
        <is>
          <t>https://www.instagram.com/lifeatwyblo/</t>
        </is>
      </c>
      <c r="AC70" t="inlineStr">
        <is>
          <t>https://www.linkedin.com/company/wyblo</t>
        </is>
      </c>
      <c r="AD70" t="inlineStr">
        <is>
          <t>https://www.linkedin.com/company/wyblo</t>
        </is>
      </c>
    </row>
  </sheetData>
  <hyperlinks>
    <hyperlink xmlns:r="http://schemas.openxmlformats.org/officeDocument/2006/relationships" ref="E2" r:id="rId1"/>
    <hyperlink xmlns:r="http://schemas.openxmlformats.org/officeDocument/2006/relationships" ref="R2" r:id="rId2"/>
    <hyperlink xmlns:r="http://schemas.openxmlformats.org/officeDocument/2006/relationships" ref="W2" r:id="rId3"/>
    <hyperlink xmlns:r="http://schemas.openxmlformats.org/officeDocument/2006/relationships" ref="E3" r:id="rId4"/>
    <hyperlink xmlns:r="http://schemas.openxmlformats.org/officeDocument/2006/relationships" ref="R3" r:id="rId5"/>
    <hyperlink xmlns:r="http://schemas.openxmlformats.org/officeDocument/2006/relationships" ref="W3" r:id="rId6"/>
    <hyperlink xmlns:r="http://schemas.openxmlformats.org/officeDocument/2006/relationships" ref="E4" r:id="rId7"/>
    <hyperlink xmlns:r="http://schemas.openxmlformats.org/officeDocument/2006/relationships" ref="P4" r:id="rId8"/>
    <hyperlink xmlns:r="http://schemas.openxmlformats.org/officeDocument/2006/relationships" ref="R4" r:id="rId9"/>
    <hyperlink xmlns:r="http://schemas.openxmlformats.org/officeDocument/2006/relationships" ref="W4" r:id="rId10"/>
    <hyperlink xmlns:r="http://schemas.openxmlformats.org/officeDocument/2006/relationships" ref="AC4" r:id="rId11"/>
    <hyperlink xmlns:r="http://schemas.openxmlformats.org/officeDocument/2006/relationships" ref="E5" r:id="rId12"/>
    <hyperlink xmlns:r="http://schemas.openxmlformats.org/officeDocument/2006/relationships" ref="W5" r:id="rId13"/>
    <hyperlink xmlns:r="http://schemas.openxmlformats.org/officeDocument/2006/relationships" ref="E6" r:id="rId14"/>
    <hyperlink xmlns:r="http://schemas.openxmlformats.org/officeDocument/2006/relationships" ref="P6" r:id="rId15"/>
    <hyperlink xmlns:r="http://schemas.openxmlformats.org/officeDocument/2006/relationships" ref="W6" r:id="rId16"/>
    <hyperlink xmlns:r="http://schemas.openxmlformats.org/officeDocument/2006/relationships" ref="AC6" r:id="rId17"/>
    <hyperlink xmlns:r="http://schemas.openxmlformats.org/officeDocument/2006/relationships" ref="E7" r:id="rId18"/>
    <hyperlink xmlns:r="http://schemas.openxmlformats.org/officeDocument/2006/relationships" ref="P7" r:id="rId19"/>
    <hyperlink xmlns:r="http://schemas.openxmlformats.org/officeDocument/2006/relationships" ref="W7" r:id="rId20"/>
    <hyperlink xmlns:r="http://schemas.openxmlformats.org/officeDocument/2006/relationships" ref="AC7" r:id="rId21"/>
    <hyperlink xmlns:r="http://schemas.openxmlformats.org/officeDocument/2006/relationships" ref="E8" r:id="rId22"/>
    <hyperlink xmlns:r="http://schemas.openxmlformats.org/officeDocument/2006/relationships" ref="P9" r:id="rId23"/>
    <hyperlink xmlns:r="http://schemas.openxmlformats.org/officeDocument/2006/relationships" ref="R9" r:id="rId24"/>
    <hyperlink xmlns:r="http://schemas.openxmlformats.org/officeDocument/2006/relationships" ref="AC9" r:id="rId25"/>
    <hyperlink xmlns:r="http://schemas.openxmlformats.org/officeDocument/2006/relationships" ref="E10" r:id="rId26"/>
    <hyperlink xmlns:r="http://schemas.openxmlformats.org/officeDocument/2006/relationships" ref="R10" r:id="rId27"/>
    <hyperlink xmlns:r="http://schemas.openxmlformats.org/officeDocument/2006/relationships" ref="E11" r:id="rId28"/>
    <hyperlink xmlns:r="http://schemas.openxmlformats.org/officeDocument/2006/relationships" ref="R11" r:id="rId29"/>
    <hyperlink xmlns:r="http://schemas.openxmlformats.org/officeDocument/2006/relationships" ref="E12" r:id="rId30"/>
    <hyperlink xmlns:r="http://schemas.openxmlformats.org/officeDocument/2006/relationships" ref="P12" r:id="rId31"/>
    <hyperlink xmlns:r="http://schemas.openxmlformats.org/officeDocument/2006/relationships" ref="R12" r:id="rId32"/>
    <hyperlink xmlns:r="http://schemas.openxmlformats.org/officeDocument/2006/relationships" ref="E13" r:id="rId33"/>
    <hyperlink xmlns:r="http://schemas.openxmlformats.org/officeDocument/2006/relationships" ref="E14" r:id="rId34"/>
    <hyperlink xmlns:r="http://schemas.openxmlformats.org/officeDocument/2006/relationships" ref="P14" r:id="rId35"/>
    <hyperlink xmlns:r="http://schemas.openxmlformats.org/officeDocument/2006/relationships" ref="R14" r:id="rId36"/>
    <hyperlink xmlns:r="http://schemas.openxmlformats.org/officeDocument/2006/relationships" ref="W14" r:id="rId37"/>
    <hyperlink xmlns:r="http://schemas.openxmlformats.org/officeDocument/2006/relationships" ref="E15" r:id="rId38"/>
    <hyperlink xmlns:r="http://schemas.openxmlformats.org/officeDocument/2006/relationships" ref="R15" r:id="rId39"/>
    <hyperlink xmlns:r="http://schemas.openxmlformats.org/officeDocument/2006/relationships" ref="W15" r:id="rId40"/>
    <hyperlink xmlns:r="http://schemas.openxmlformats.org/officeDocument/2006/relationships" ref="E16" r:id="rId41"/>
    <hyperlink xmlns:r="http://schemas.openxmlformats.org/officeDocument/2006/relationships" ref="P16" r:id="rId42"/>
    <hyperlink xmlns:r="http://schemas.openxmlformats.org/officeDocument/2006/relationships" ref="R16" r:id="rId43"/>
    <hyperlink xmlns:r="http://schemas.openxmlformats.org/officeDocument/2006/relationships" ref="W16" r:id="rId44"/>
    <hyperlink xmlns:r="http://schemas.openxmlformats.org/officeDocument/2006/relationships" ref="E17" r:id="rId45"/>
    <hyperlink xmlns:r="http://schemas.openxmlformats.org/officeDocument/2006/relationships" ref="P17" r:id="rId46"/>
    <hyperlink xmlns:r="http://schemas.openxmlformats.org/officeDocument/2006/relationships" ref="R17" r:id="rId47"/>
    <hyperlink xmlns:r="http://schemas.openxmlformats.org/officeDocument/2006/relationships" ref="W17" r:id="rId48"/>
    <hyperlink xmlns:r="http://schemas.openxmlformats.org/officeDocument/2006/relationships" ref="E18" r:id="rId49"/>
    <hyperlink xmlns:r="http://schemas.openxmlformats.org/officeDocument/2006/relationships" ref="W18" r:id="rId50"/>
    <hyperlink xmlns:r="http://schemas.openxmlformats.org/officeDocument/2006/relationships" ref="E19" r:id="rId51"/>
    <hyperlink xmlns:r="http://schemas.openxmlformats.org/officeDocument/2006/relationships" ref="R19" r:id="rId52"/>
    <hyperlink xmlns:r="http://schemas.openxmlformats.org/officeDocument/2006/relationships" ref="E20" r:id="rId53"/>
    <hyperlink xmlns:r="http://schemas.openxmlformats.org/officeDocument/2006/relationships" ref="R20" r:id="rId54"/>
    <hyperlink xmlns:r="http://schemas.openxmlformats.org/officeDocument/2006/relationships" ref="E21" r:id="rId55"/>
    <hyperlink xmlns:r="http://schemas.openxmlformats.org/officeDocument/2006/relationships" ref="E22" r:id="rId56"/>
    <hyperlink xmlns:r="http://schemas.openxmlformats.org/officeDocument/2006/relationships" ref="P22" r:id="rId57"/>
    <hyperlink xmlns:r="http://schemas.openxmlformats.org/officeDocument/2006/relationships" ref="E23" r:id="rId58"/>
    <hyperlink xmlns:r="http://schemas.openxmlformats.org/officeDocument/2006/relationships" ref="R23" r:id="rId59"/>
    <hyperlink xmlns:r="http://schemas.openxmlformats.org/officeDocument/2006/relationships" ref="E24" r:id="rId60"/>
    <hyperlink xmlns:r="http://schemas.openxmlformats.org/officeDocument/2006/relationships" ref="P24" r:id="rId61"/>
    <hyperlink xmlns:r="http://schemas.openxmlformats.org/officeDocument/2006/relationships" ref="E25" r:id="rId62"/>
    <hyperlink xmlns:r="http://schemas.openxmlformats.org/officeDocument/2006/relationships" ref="P25" r:id="rId63"/>
    <hyperlink xmlns:r="http://schemas.openxmlformats.org/officeDocument/2006/relationships" ref="R25" r:id="rId64"/>
    <hyperlink xmlns:r="http://schemas.openxmlformats.org/officeDocument/2006/relationships" ref="E26" r:id="rId65"/>
    <hyperlink xmlns:r="http://schemas.openxmlformats.org/officeDocument/2006/relationships" ref="E27" r:id="rId66"/>
    <hyperlink xmlns:r="http://schemas.openxmlformats.org/officeDocument/2006/relationships" ref="E28" r:id="rId67"/>
    <hyperlink xmlns:r="http://schemas.openxmlformats.org/officeDocument/2006/relationships" ref="W28" r:id="rId68"/>
    <hyperlink xmlns:r="http://schemas.openxmlformats.org/officeDocument/2006/relationships" ref="E29" r:id="rId69"/>
    <hyperlink xmlns:r="http://schemas.openxmlformats.org/officeDocument/2006/relationships" ref="E30" r:id="rId70"/>
    <hyperlink xmlns:r="http://schemas.openxmlformats.org/officeDocument/2006/relationships" ref="W30" r:id="rId71"/>
    <hyperlink xmlns:r="http://schemas.openxmlformats.org/officeDocument/2006/relationships" ref="E31" r:id="rId72"/>
    <hyperlink xmlns:r="http://schemas.openxmlformats.org/officeDocument/2006/relationships" ref="E32" r:id="rId73"/>
    <hyperlink xmlns:r="http://schemas.openxmlformats.org/officeDocument/2006/relationships" ref="R32" r:id="rId74"/>
    <hyperlink xmlns:r="http://schemas.openxmlformats.org/officeDocument/2006/relationships" ref="W32" r:id="rId75"/>
    <hyperlink xmlns:r="http://schemas.openxmlformats.org/officeDocument/2006/relationships" ref="E33" r:id="rId76"/>
    <hyperlink xmlns:r="http://schemas.openxmlformats.org/officeDocument/2006/relationships" ref="R33" r:id="rId77"/>
    <hyperlink xmlns:r="http://schemas.openxmlformats.org/officeDocument/2006/relationships" ref="E34" r:id="rId78"/>
    <hyperlink xmlns:r="http://schemas.openxmlformats.org/officeDocument/2006/relationships" ref="R34" r:id="rId79"/>
    <hyperlink xmlns:r="http://schemas.openxmlformats.org/officeDocument/2006/relationships" ref="W34" r:id="rId80"/>
    <hyperlink xmlns:r="http://schemas.openxmlformats.org/officeDocument/2006/relationships" ref="E35" r:id="rId81"/>
    <hyperlink xmlns:r="http://schemas.openxmlformats.org/officeDocument/2006/relationships" ref="R36" r:id="rId82"/>
    <hyperlink xmlns:r="http://schemas.openxmlformats.org/officeDocument/2006/relationships" ref="W36" r:id="rId83"/>
    <hyperlink xmlns:r="http://schemas.openxmlformats.org/officeDocument/2006/relationships" ref="E37" r:id="rId84"/>
    <hyperlink xmlns:r="http://schemas.openxmlformats.org/officeDocument/2006/relationships" ref="E38" r:id="rId85"/>
    <hyperlink xmlns:r="http://schemas.openxmlformats.org/officeDocument/2006/relationships" ref="P38" r:id="rId86"/>
    <hyperlink xmlns:r="http://schemas.openxmlformats.org/officeDocument/2006/relationships" ref="R38" r:id="rId87"/>
    <hyperlink xmlns:r="http://schemas.openxmlformats.org/officeDocument/2006/relationships" ref="W38" r:id="rId88"/>
    <hyperlink xmlns:r="http://schemas.openxmlformats.org/officeDocument/2006/relationships" ref="E39" r:id="rId89"/>
    <hyperlink xmlns:r="http://schemas.openxmlformats.org/officeDocument/2006/relationships" ref="P39" r:id="rId90"/>
    <hyperlink xmlns:r="http://schemas.openxmlformats.org/officeDocument/2006/relationships" ref="R39" r:id="rId91"/>
    <hyperlink xmlns:r="http://schemas.openxmlformats.org/officeDocument/2006/relationships" ref="E40" r:id="rId92"/>
    <hyperlink xmlns:r="http://schemas.openxmlformats.org/officeDocument/2006/relationships" ref="R40" r:id="rId93"/>
    <hyperlink xmlns:r="http://schemas.openxmlformats.org/officeDocument/2006/relationships" ref="W40" r:id="rId94"/>
    <hyperlink xmlns:r="http://schemas.openxmlformats.org/officeDocument/2006/relationships" ref="E41" r:id="rId95"/>
    <hyperlink xmlns:r="http://schemas.openxmlformats.org/officeDocument/2006/relationships" ref="E42" r:id="rId96"/>
    <hyperlink xmlns:r="http://schemas.openxmlformats.org/officeDocument/2006/relationships" ref="P42" r:id="rId97"/>
    <hyperlink xmlns:r="http://schemas.openxmlformats.org/officeDocument/2006/relationships" ref="R42" r:id="rId98"/>
    <hyperlink xmlns:r="http://schemas.openxmlformats.org/officeDocument/2006/relationships" ref="E43" r:id="rId99"/>
    <hyperlink xmlns:r="http://schemas.openxmlformats.org/officeDocument/2006/relationships" ref="E44" r:id="rId100"/>
    <hyperlink xmlns:r="http://schemas.openxmlformats.org/officeDocument/2006/relationships" ref="W44" r:id="rId101"/>
    <hyperlink xmlns:r="http://schemas.openxmlformats.org/officeDocument/2006/relationships" ref="E45" r:id="rId102"/>
    <hyperlink xmlns:r="http://schemas.openxmlformats.org/officeDocument/2006/relationships" ref="E46" r:id="rId103"/>
    <hyperlink xmlns:r="http://schemas.openxmlformats.org/officeDocument/2006/relationships" ref="E47" r:id="rId104"/>
    <hyperlink xmlns:r="http://schemas.openxmlformats.org/officeDocument/2006/relationships" ref="E48" r:id="rId105"/>
    <hyperlink xmlns:r="http://schemas.openxmlformats.org/officeDocument/2006/relationships" ref="P48" r:id="rId106"/>
    <hyperlink xmlns:r="http://schemas.openxmlformats.org/officeDocument/2006/relationships" ref="R48" r:id="rId107"/>
    <hyperlink xmlns:r="http://schemas.openxmlformats.org/officeDocument/2006/relationships" ref="W48" r:id="rId108"/>
    <hyperlink xmlns:r="http://schemas.openxmlformats.org/officeDocument/2006/relationships" ref="E49" r:id="rId109"/>
    <hyperlink xmlns:r="http://schemas.openxmlformats.org/officeDocument/2006/relationships" ref="E50" r:id="rId110"/>
    <hyperlink xmlns:r="http://schemas.openxmlformats.org/officeDocument/2006/relationships" ref="E51" r:id="rId111"/>
    <hyperlink xmlns:r="http://schemas.openxmlformats.org/officeDocument/2006/relationships" ref="P51" r:id="rId112"/>
    <hyperlink xmlns:r="http://schemas.openxmlformats.org/officeDocument/2006/relationships" ref="Q51" r:id="rId113"/>
    <hyperlink xmlns:r="http://schemas.openxmlformats.org/officeDocument/2006/relationships" ref="R51" r:id="rId114"/>
    <hyperlink xmlns:r="http://schemas.openxmlformats.org/officeDocument/2006/relationships" ref="E52" r:id="rId115"/>
    <hyperlink xmlns:r="http://schemas.openxmlformats.org/officeDocument/2006/relationships" ref="W52" r:id="rId116"/>
    <hyperlink xmlns:r="http://schemas.openxmlformats.org/officeDocument/2006/relationships" ref="E53" r:id="rId117"/>
    <hyperlink xmlns:r="http://schemas.openxmlformats.org/officeDocument/2006/relationships" ref="E54" r:id="rId118"/>
    <hyperlink xmlns:r="http://schemas.openxmlformats.org/officeDocument/2006/relationships" ref="E55" r:id="rId119"/>
    <hyperlink xmlns:r="http://schemas.openxmlformats.org/officeDocument/2006/relationships" ref="E56" r:id="rId120"/>
    <hyperlink xmlns:r="http://schemas.openxmlformats.org/officeDocument/2006/relationships" ref="W56" r:id="rId121"/>
    <hyperlink xmlns:r="http://schemas.openxmlformats.org/officeDocument/2006/relationships" ref="D57" r:id="rId122"/>
    <hyperlink xmlns:r="http://schemas.openxmlformats.org/officeDocument/2006/relationships" ref="E57" r:id="rId123"/>
    <hyperlink xmlns:r="http://schemas.openxmlformats.org/officeDocument/2006/relationships" ref="E58" r:id="rId124"/>
    <hyperlink xmlns:r="http://schemas.openxmlformats.org/officeDocument/2006/relationships" ref="E59" r:id="rId125"/>
    <hyperlink xmlns:r="http://schemas.openxmlformats.org/officeDocument/2006/relationships" ref="P59" r:id="rId126"/>
    <hyperlink xmlns:r="http://schemas.openxmlformats.org/officeDocument/2006/relationships" ref="R59" r:id="rId127"/>
    <hyperlink xmlns:r="http://schemas.openxmlformats.org/officeDocument/2006/relationships" ref="E60" r:id="rId128"/>
    <hyperlink xmlns:r="http://schemas.openxmlformats.org/officeDocument/2006/relationships" ref="P60" r:id="rId129"/>
    <hyperlink xmlns:r="http://schemas.openxmlformats.org/officeDocument/2006/relationships" ref="Q60" r:id="rId130"/>
    <hyperlink xmlns:r="http://schemas.openxmlformats.org/officeDocument/2006/relationships" ref="R60" r:id="rId131"/>
    <hyperlink xmlns:r="http://schemas.openxmlformats.org/officeDocument/2006/relationships" ref="W60" r:id="rId132"/>
    <hyperlink xmlns:r="http://schemas.openxmlformats.org/officeDocument/2006/relationships" ref="E61" r:id="rId133"/>
    <hyperlink xmlns:r="http://schemas.openxmlformats.org/officeDocument/2006/relationships" ref="P61" r:id="rId134"/>
    <hyperlink xmlns:r="http://schemas.openxmlformats.org/officeDocument/2006/relationships" ref="R61" r:id="rId135"/>
    <hyperlink xmlns:r="http://schemas.openxmlformats.org/officeDocument/2006/relationships" ref="E62" r:id="rId136"/>
    <hyperlink xmlns:r="http://schemas.openxmlformats.org/officeDocument/2006/relationships" ref="Q62" r:id="rId137"/>
    <hyperlink xmlns:r="http://schemas.openxmlformats.org/officeDocument/2006/relationships" ref="R62" r:id="rId138"/>
    <hyperlink xmlns:r="http://schemas.openxmlformats.org/officeDocument/2006/relationships" ref="E63" r:id="rId139"/>
    <hyperlink xmlns:r="http://schemas.openxmlformats.org/officeDocument/2006/relationships" ref="W63" r:id="rId140"/>
    <hyperlink xmlns:r="http://schemas.openxmlformats.org/officeDocument/2006/relationships" ref="E64" r:id="rId141"/>
    <hyperlink xmlns:r="http://schemas.openxmlformats.org/officeDocument/2006/relationships" ref="R64" r:id="rId142"/>
    <hyperlink xmlns:r="http://schemas.openxmlformats.org/officeDocument/2006/relationships" ref="W64" r:id="rId143"/>
    <hyperlink xmlns:r="http://schemas.openxmlformats.org/officeDocument/2006/relationships" ref="E65" r:id="rId144"/>
    <hyperlink xmlns:r="http://schemas.openxmlformats.org/officeDocument/2006/relationships" ref="W65" r:id="rId145"/>
    <hyperlink xmlns:r="http://schemas.openxmlformats.org/officeDocument/2006/relationships" ref="E66" r:id="rId146"/>
    <hyperlink xmlns:r="http://schemas.openxmlformats.org/officeDocument/2006/relationships" ref="P66" r:id="rId147"/>
    <hyperlink xmlns:r="http://schemas.openxmlformats.org/officeDocument/2006/relationships" ref="R66" r:id="rId148"/>
    <hyperlink xmlns:r="http://schemas.openxmlformats.org/officeDocument/2006/relationships" ref="W66" r:id="rId149"/>
    <hyperlink xmlns:r="http://schemas.openxmlformats.org/officeDocument/2006/relationships" ref="E67" r:id="rId150"/>
    <hyperlink xmlns:r="http://schemas.openxmlformats.org/officeDocument/2006/relationships" ref="Q67" r:id="rId151"/>
    <hyperlink xmlns:r="http://schemas.openxmlformats.org/officeDocument/2006/relationships" ref="R67" r:id="rId152"/>
    <hyperlink xmlns:r="http://schemas.openxmlformats.org/officeDocument/2006/relationships" ref="W67" r:id="rId153"/>
    <hyperlink xmlns:r="http://schemas.openxmlformats.org/officeDocument/2006/relationships" ref="E68" r:id="rId154"/>
    <hyperlink xmlns:r="http://schemas.openxmlformats.org/officeDocument/2006/relationships" ref="R68" r:id="rId155"/>
    <hyperlink xmlns:r="http://schemas.openxmlformats.org/officeDocument/2006/relationships" ref="W68" r:id="rId156"/>
    <hyperlink xmlns:r="http://schemas.openxmlformats.org/officeDocument/2006/relationships" ref="E69" r:id="rId157"/>
    <hyperlink xmlns:r="http://schemas.openxmlformats.org/officeDocument/2006/relationships" ref="P69" r:id="rId158"/>
    <hyperlink xmlns:r="http://schemas.openxmlformats.org/officeDocument/2006/relationships" ref="R69" r:id="rId159"/>
    <hyperlink xmlns:r="http://schemas.openxmlformats.org/officeDocument/2006/relationships" ref="W69" r:id="rId160"/>
    <hyperlink xmlns:r="http://schemas.openxmlformats.org/officeDocument/2006/relationships" ref="E70" r:id="rId161"/>
    <hyperlink xmlns:r="http://schemas.openxmlformats.org/officeDocument/2006/relationships" ref="P70" r:id="rId162"/>
    <hyperlink xmlns:r="http://schemas.openxmlformats.org/officeDocument/2006/relationships" ref="R70" r:id="rId163"/>
    <hyperlink xmlns:r="http://schemas.openxmlformats.org/officeDocument/2006/relationships" ref="W70" r:id="rId164"/>
  </hyperlink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E274"/>
  <sheetViews>
    <sheetView workbookViewId="0">
      <selection activeCell="I1" sqref="I1:J1048576"/>
    </sheetView>
  </sheetViews>
  <sheetFormatPr baseColWidth="8" defaultColWidth="12.6328125" defaultRowHeight="15.75" customHeight="1"/>
  <sheetData>
    <row r="1" ht="15.75" customHeight="1">
      <c r="A1" s="1" t="inlineStr">
        <is>
          <t>last_update_date</t>
        </is>
      </c>
      <c r="B1" s="1" t="inlineStr">
        <is>
          <t>org_id</t>
        </is>
      </c>
      <c r="C1" s="1" t="inlineStr">
        <is>
          <t>is_current</t>
        </is>
      </c>
      <c r="D1" s="1" t="inlineStr">
        <is>
          <t>public_name</t>
        </is>
      </c>
      <c r="E1" s="1" t="inlineStr">
        <is>
          <t>website</t>
        </is>
      </c>
      <c r="F1" t="inlineStr">
        <is>
          <t>website_standardized</t>
        </is>
      </c>
      <c r="G1" s="1" t="inlineStr">
        <is>
          <t>org_desc</t>
        </is>
      </c>
      <c r="H1" s="1" t="inlineStr">
        <is>
          <t>member_association</t>
        </is>
      </c>
      <c r="I1" s="1" t="inlineStr">
        <is>
          <t>product_language</t>
        </is>
      </c>
      <c r="J1" s="1" t="inlineStr">
        <is>
          <t>city</t>
        </is>
      </c>
      <c r="K1" s="1" t="inlineStr">
        <is>
          <t>country</t>
        </is>
      </c>
      <c r="L1" s="1" t="inlineStr">
        <is>
          <t>sell_countries</t>
        </is>
      </c>
      <c r="M1" s="1" t="inlineStr">
        <is>
          <t>employees_number</t>
        </is>
      </c>
      <c r="N1" s="1" t="inlineStr">
        <is>
          <t>business_model</t>
        </is>
      </c>
      <c r="O1" s="1" t="inlineStr">
        <is>
          <t>market_segments</t>
        </is>
      </c>
      <c r="P1" s="1" t="inlineStr">
        <is>
          <t>target_audience</t>
        </is>
      </c>
      <c r="Q1" s="1" t="inlineStr">
        <is>
          <t>product_1_name</t>
        </is>
      </c>
      <c r="R1" s="1" t="inlineStr">
        <is>
          <t>product_1_desc</t>
        </is>
      </c>
      <c r="S1" s="1" t="inlineStr">
        <is>
          <t>product_2_name</t>
        </is>
      </c>
      <c r="T1" t="inlineStr">
        <is>
          <t>product_2_desc</t>
        </is>
      </c>
      <c r="U1" s="1" t="inlineStr">
        <is>
          <t>WeMap_URL</t>
        </is>
      </c>
      <c r="V1" s="1" t="inlineStr">
        <is>
          <t>verified</t>
        </is>
      </c>
      <c r="W1" s="1" t="inlineStr">
        <is>
          <t>partnerships</t>
        </is>
      </c>
      <c r="X1" s="1" t="inlineStr">
        <is>
          <t>profit_status</t>
        </is>
      </c>
      <c r="Y1" s="1" t="inlineStr">
        <is>
          <t>edu_settings</t>
        </is>
      </c>
      <c r="Z1" s="1" t="inlineStr">
        <is>
          <t>edu_content</t>
        </is>
      </c>
      <c r="AA1" s="1" t="inlineStr">
        <is>
          <t>socials_available</t>
        </is>
      </c>
      <c r="AB1" s="1" t="inlineStr">
        <is>
          <t>socials_insta</t>
        </is>
      </c>
      <c r="AC1" s="1" t="inlineStr">
        <is>
          <t>socials_x</t>
        </is>
      </c>
      <c r="AD1" s="1" t="inlineStr">
        <is>
          <t>socials_linkedin</t>
        </is>
      </c>
      <c r="AE1" s="1" t="inlineStr">
        <is>
          <t>facebook</t>
        </is>
      </c>
    </row>
    <row r="2" ht="15.75" customHeight="1">
      <c r="A2" s="6" t="n">
        <v>45893</v>
      </c>
      <c r="B2" s="1" t="inlineStr">
        <is>
          <t>ORG_1628</t>
        </is>
      </c>
      <c r="C2" s="1" t="b">
        <v>1</v>
      </c>
      <c r="D2" s="1" t="inlineStr">
        <is>
          <t>GlobalExam</t>
        </is>
      </c>
      <c r="E2" s="10" t="inlineStr">
        <is>
          <t>www.global-exam.com</t>
        </is>
      </c>
      <c r="F2" t="inlineStr">
        <is>
          <t>global-exam.com</t>
        </is>
      </c>
      <c r="G2" s="1" t="inlineStr">
        <is>
          <t>GlobalExam Founded in 2013 and based in Paris, GlobalExam empowers lifelong employability through innovative online language training. With over 800 B2B partners and more than 3 million learners worldwide, the platform offers adaptive level assessments, preparation for 38 official certifications in 6 languages, professional English courses by skill and industry, and live lessons with certified native teachers.  GlobalExam’s personalized learning paths are designed to tackle the global challenge of language proficiency, helping learners progress effectively and companies overcome recruitment barriers. Its mission is clear: to give everyone the confidence and tools to acquire the skills they need to thrive at every stage of life</t>
        </is>
      </c>
      <c r="H2" s="1" t="inlineStr">
        <is>
          <t>EdTech France</t>
        </is>
      </c>
      <c r="I2" s="1" t="inlineStr">
        <is>
          <t>English, French, German, Italian, Spanish</t>
        </is>
      </c>
      <c r="J2" s="1" t="inlineStr">
        <is>
          <t>paris</t>
        </is>
      </c>
      <c r="K2" s="1" t="inlineStr">
        <is>
          <t>France</t>
        </is>
      </c>
      <c r="L2" s="1" t="inlineStr">
        <is>
          <t>Belgium, France, Germany, Italy, Spain, Monaco, Luxembourg, Poland</t>
        </is>
      </c>
      <c r="M2" s="1" t="inlineStr">
        <is>
          <t>Medium (50-250 FTE employees)</t>
        </is>
      </c>
      <c r="N2" s="1" t="inlineStr">
        <is>
          <t>Business to Schools, Business to Consumer, Business to Business, Business to Government</t>
        </is>
      </c>
      <c r="O2" s="1" t="inlineStr">
        <is>
          <t>Higher Education, Corporate Training, Lifelong learning/Adult education</t>
        </is>
      </c>
      <c r="P2" s="1" t="inlineStr">
        <is>
          <t>Student interfacing, Teacher interfacing, System/Administrative</t>
        </is>
      </c>
      <c r="Q2" t="inlineStr">
        <is>
          <t>Eval</t>
        </is>
      </c>
      <c r="R2" t="inlineStr">
        <is>
          <t>Adaptive CEFR level tests that quickly assess learners’ language proficiency with precision.</t>
        </is>
      </c>
      <c r="S2" s="10" t="inlineStr">
        <is>
          <t>Learn</t>
        </is>
      </c>
      <c r="T2" t="inlineStr">
        <is>
          <t>A complete online training solution combining general courses, business English, certification preparation, and live lessons with native teachers, personalized to each learner’s goals.</t>
        </is>
      </c>
      <c r="U2" s="1" t="inlineStr">
        <is>
          <t>https://drive.google.com/uc?export=view&amp;id=1m34zCDVjTuvNNAlvXK9eJvYVzVn2eaWi</t>
        </is>
      </c>
      <c r="V2" s="1" t="inlineStr">
        <is>
          <t>Verified</t>
        </is>
      </c>
      <c r="W2" s="1" t="inlineStr">
        <is>
          <t>Collaborations between EdTech organisations, Project consortium building, Industry-academia partnerships</t>
        </is>
      </c>
      <c r="X2" s="1" t="inlineStr">
        <is>
          <t>For-profit company</t>
        </is>
      </c>
      <c r="Y2" s="10" t="b">
        <v>1</v>
      </c>
      <c r="Z2" s="1" t="b">
        <v>1</v>
      </c>
      <c r="AA2" s="1" t="inlineStr">
        <is>
          <t>Yes</t>
        </is>
      </c>
      <c r="AB2" s="1" t="n"/>
      <c r="AC2" s="1" t="inlineStr">
        <is>
          <t>https://www.linkedin.com/company/global-exam/</t>
        </is>
      </c>
      <c r="AD2" s="1" t="inlineStr">
        <is>
          <t>https://www.linkedin.com/company/global-exam/</t>
        </is>
      </c>
    </row>
    <row r="3" ht="15.75" customHeight="1">
      <c r="A3" s="6" t="n">
        <v>45891</v>
      </c>
      <c r="B3" s="1" t="inlineStr">
        <is>
          <t>ORG_1229</t>
        </is>
      </c>
      <c r="C3" s="1" t="b">
        <v>1</v>
      </c>
      <c r="D3" s="1" t="inlineStr">
        <is>
          <t>ChallengeMe</t>
        </is>
      </c>
      <c r="E3" s="1" t="inlineStr">
        <is>
          <t>www.challengeme.online</t>
        </is>
      </c>
      <c r="F3" t="inlineStr">
        <is>
          <t>challengeme.online</t>
        </is>
      </c>
      <c r="G3" s="1" t="inlineStr">
        <is>
          <t>ChallengeMe is an innovative learning and assessment platform dedicated to higher education. It helps teachers engage students through peer review, self-assessment, and collaborative feedback, enriched with AI-powered assistants. Flexible and easy to integrate into LMS (Moodle, Blackboard, Brightspace, etc.), ChallengeMe supports more than 100 universities and business schools in Europe and North America. More than just an assessment tool, it fosters student engagement, critical thinking, and continuous improvement while saving time for educators.</t>
        </is>
      </c>
      <c r="H3" s="1" t="inlineStr">
        <is>
          <t>EdTech France</t>
        </is>
      </c>
      <c r="I3" s="1" t="inlineStr">
        <is>
          <t>English, French, Italian, Spanish</t>
        </is>
      </c>
      <c r="J3" s="1" t="inlineStr">
        <is>
          <t>Montpellier</t>
        </is>
      </c>
      <c r="K3" s="1" t="inlineStr">
        <is>
          <t>France</t>
        </is>
      </c>
      <c r="L3" s="1" t="inlineStr">
        <is>
          <t>Belgium, France, Italy, Monaco, Luxembourg, Spain, Switzerland</t>
        </is>
      </c>
      <c r="M3" s="1" t="inlineStr">
        <is>
          <t>Small (10-49 FTE employees)</t>
        </is>
      </c>
      <c r="N3" s="1" t="inlineStr">
        <is>
          <t>Business to Business, Business to Schools</t>
        </is>
      </c>
      <c r="O3" s="1" t="inlineStr">
        <is>
          <t>Higher Education, Corporate Training</t>
        </is>
      </c>
      <c r="P3" s="1" t="inlineStr">
        <is>
          <t>Student interfacing, Teacher interfacing, System/Administrative</t>
        </is>
      </c>
      <c r="Q3" t="inlineStr">
        <is>
          <t>ChallengeMe</t>
        </is>
      </c>
      <c r="R3" t="inlineStr">
        <is>
          <t>ChallengeMe is a collaborative learning and assessment platform for higher education, combining peer review, self-assessment, and AI-powered feedback to engage students and save time for educators.</t>
        </is>
      </c>
      <c r="S3" s="10" t="inlineStr">
        <is>
          <t>https://drive.google.com/uc?export=view&amp;id=17JwJJioEu5YypSKT2TU-1YXN8IQxLIS9</t>
        </is>
      </c>
      <c r="T3" t="inlineStr">
        <is>
          <t>https://drive.google.com/uc?export=view&amp;id=17JwJJioEu5YypSKT2TU-1YXN8IQxLIS9</t>
        </is>
      </c>
      <c r="U3" s="1" t="inlineStr">
        <is>
          <t>https://drive.google.com/uc?export=view&amp;id=17JwJJioEu5YypSKT2TU-1YXN8IQxLIS9</t>
        </is>
      </c>
      <c r="V3" s="1" t="inlineStr">
        <is>
          <t>Verified</t>
        </is>
      </c>
      <c r="W3" t="inlineStr">
        <is>
          <t>Project consortium building, Public-private partnerships</t>
        </is>
      </c>
      <c r="X3" t="inlineStr">
        <is>
          <t>For-profit company</t>
        </is>
      </c>
      <c r="Y3" s="10" t="b">
        <v>1</v>
      </c>
      <c r="Z3" s="1" t="b">
        <v>1</v>
      </c>
      <c r="AA3" s="1" t="inlineStr">
        <is>
          <t>Yes</t>
        </is>
      </c>
      <c r="AB3" s="1" t="n"/>
      <c r="AC3" s="1" t="inlineStr">
        <is>
          <t>https://fr.linkedin.com/company/challengemesup</t>
        </is>
      </c>
      <c r="AD3" s="1" t="inlineStr">
        <is>
          <t>https://fr.linkedin.com/company/challengemesup</t>
        </is>
      </c>
    </row>
    <row r="4" ht="15.75" customHeight="1">
      <c r="A4" s="6" t="n">
        <v>45891</v>
      </c>
      <c r="B4" s="1" t="inlineStr">
        <is>
          <t>ORG_2450</t>
        </is>
      </c>
      <c r="C4" s="1" t="b">
        <v>1</v>
      </c>
      <c r="D4" s="1" t="inlineStr">
        <is>
          <t>Ubeeko</t>
        </is>
      </c>
      <c r="E4" s="10" t="inlineStr">
        <is>
          <t>https://ubeeko.com</t>
        </is>
      </c>
      <c r="F4" t="inlineStr">
        <is>
          <t>ubeeko.com</t>
        </is>
      </c>
      <c r="G4" s="1" t="inlineStr">
        <is>
          <t>Development of the HFactory learning platform</t>
        </is>
      </c>
      <c r="H4" s="1" t="inlineStr">
        <is>
          <t>I'm not part of any EdTech association</t>
        </is>
      </c>
      <c r="I4" s="1" t="inlineStr">
        <is>
          <t>French, English</t>
        </is>
      </c>
      <c r="J4" s="1" t="inlineStr">
        <is>
          <t>Fontainebleau</t>
        </is>
      </c>
      <c r="K4" s="1" t="inlineStr">
        <is>
          <t>France</t>
        </is>
      </c>
      <c r="L4" s="1" t="inlineStr">
        <is>
          <t>Switzerland, Germany, Spain, Netherlands, Belgium, France, Italy</t>
        </is>
      </c>
      <c r="M4" s="1" t="inlineStr">
        <is>
          <t>Micro (1-9 FTE employees)</t>
        </is>
      </c>
      <c r="N4" s="1" t="inlineStr">
        <is>
          <t>Business to Business</t>
        </is>
      </c>
      <c r="O4" s="1" t="inlineStr">
        <is>
          <t>Higher Education, Corporate Training, Lifelong learning/Adult education</t>
        </is>
      </c>
      <c r="P4" s="1" t="inlineStr">
        <is>
          <t>Student interfacing, Teacher interfacing, System/Administrative</t>
        </is>
      </c>
      <c r="Q4" t="inlineStr">
        <is>
          <t>HFactory</t>
        </is>
      </c>
      <c r="R4" t="inlineStr">
        <is>
          <t>Hybrid pedagogy platform for Higher education, Executive education and Lifelong learning</t>
        </is>
      </c>
      <c r="S4" s="10" t="inlineStr">
        <is>
          <t>https://drive.google.com/uc?export=view&amp;id=12GhYpnmV3gizaXgo-COIuYi-17b7BxLC</t>
        </is>
      </c>
      <c r="T4" t="inlineStr">
        <is>
          <t>https://drive.google.com/uc?export=view&amp;id=12GhYpnmV3gizaXgo-COIuYi-17b7BxLC</t>
        </is>
      </c>
      <c r="U4" s="1" t="inlineStr">
        <is>
          <t>https://drive.google.com/uc?export=view&amp;id=12GhYpnmV3gizaXgo-COIuYi-17b7BxLC</t>
        </is>
      </c>
      <c r="V4" s="1" t="inlineStr">
        <is>
          <t>Verified</t>
        </is>
      </c>
      <c r="W4" t="inlineStr">
        <is>
          <t>Industry-academia partnerships, Other</t>
        </is>
      </c>
      <c r="X4" t="inlineStr">
        <is>
          <t>For-profit company</t>
        </is>
      </c>
      <c r="Y4" s="10" t="b">
        <v>1</v>
      </c>
      <c r="Z4" s="1" t="b">
        <v>1</v>
      </c>
      <c r="AA4" s="1" t="inlineStr">
        <is>
          <t>Yes</t>
        </is>
      </c>
      <c r="AB4" s="1" t="n"/>
      <c r="AC4" s="1" t="inlineStr">
        <is>
          <t>https://linkedin.com/company/ubeeko</t>
        </is>
      </c>
      <c r="AD4" s="1" t="inlineStr">
        <is>
          <t>https://linkedin.com/company/ubeeko</t>
        </is>
      </c>
    </row>
    <row r="5" ht="15.75" customHeight="1">
      <c r="A5" s="6" t="n">
        <v>45890</v>
      </c>
      <c r="B5" s="1" t="inlineStr">
        <is>
          <t>ORG_2647</t>
        </is>
      </c>
      <c r="C5" s="1" t="b">
        <v>1</v>
      </c>
      <c r="D5" s="1" t="inlineStr">
        <is>
          <t>Scéalprod - Scéal studio</t>
        </is>
      </c>
      <c r="E5" s="10" t="inlineStr">
        <is>
          <t>https://scealprod.fr</t>
        </is>
      </c>
      <c r="F5" t="inlineStr">
        <is>
          <t>scealprod.fr</t>
        </is>
      </c>
      <c r="G5" s="1" t="inlineStr">
        <is>
          <t>Scéal Studio, the story creation platform that motivates writing among 10-18-year-olds. The platform offers integrated tools that facilitate the writing and editing of documentary or narrative projects, as well as literary support through writing workshops or videoconferences.</t>
        </is>
      </c>
      <c r="H5" s="1" t="inlineStr">
        <is>
          <t>EdTech France</t>
        </is>
      </c>
      <c r="I5" s="1" t="inlineStr">
        <is>
          <t>English, French, Spanish, German, Italian</t>
        </is>
      </c>
      <c r="J5" s="1" t="inlineStr">
        <is>
          <t>Bordeaux</t>
        </is>
      </c>
      <c r="K5" s="1" t="inlineStr">
        <is>
          <t>France</t>
        </is>
      </c>
      <c r="L5" s="1" t="inlineStr">
        <is>
          <t>Belgium, Germany, Spain, United Kingdom, France, Italy</t>
        </is>
      </c>
      <c r="M5" s="1" t="inlineStr">
        <is>
          <t>Micro (1-9 FTE employees)</t>
        </is>
      </c>
      <c r="N5" s="1" t="inlineStr">
        <is>
          <t>Business to Schools, Business to Consumer</t>
        </is>
      </c>
      <c r="O5" s="1" t="inlineStr">
        <is>
          <t>Vocational Education and Training (VET), Secondary Education, Lifelong learning/Adult education</t>
        </is>
      </c>
      <c r="P5" s="1" t="inlineStr">
        <is>
          <t>Student interfacing, Teacher interfacing</t>
        </is>
      </c>
      <c r="Q5" s="10" t="inlineStr">
        <is>
          <t>Subscription to Scéal Studio for educational institutions</t>
        </is>
      </c>
      <c r="R5" t="inlineStr">
        <is>
          <t>Access to the playful-educational writing platform Scéal Studio for schools. Work independently on writing projects with the class.  Personalized writing spaces for students, teacher management interface, access to all editors (script, layout, editing).</t>
        </is>
      </c>
      <c r="S5" s="10" t="inlineStr">
        <is>
          <t>Writing workshop with facilitator</t>
        </is>
      </c>
      <c r="T5" t="inlineStr">
        <is>
          <t>Create a learning event focused on a specific topic from the program. The writing workshop allows adolescents' creativity to be expressed within a group setting. The service includes the presence of a facilitator and the use of the online tool Scéal Studio.</t>
        </is>
      </c>
      <c r="U5" s="1" t="inlineStr">
        <is>
          <t>https://drive.google.com/uc?export=view&amp;id=1FG8CD8w8MhntuwRn3BAZIQNA-F_cgyJs</t>
        </is>
      </c>
      <c r="V5" s="1" t="inlineStr">
        <is>
          <t>Verified</t>
        </is>
      </c>
      <c r="W5" s="1" t="inlineStr">
        <is>
          <t>Collaborations between EdTech organisations, Project consortium building, Public-private partnerships</t>
        </is>
      </c>
      <c r="X5" s="1" t="inlineStr">
        <is>
          <t>For-profit company</t>
        </is>
      </c>
      <c r="Y5" s="10" t="b">
        <v>1</v>
      </c>
      <c r="Z5" s="1" t="b">
        <v>1</v>
      </c>
      <c r="AA5" s="1" t="inlineStr">
        <is>
          <t>Yes</t>
        </is>
      </c>
      <c r="AB5" s="1" t="inlineStr">
        <is>
          <t>https://www.instagram.com/scealprod.fr</t>
        </is>
      </c>
      <c r="AC5" s="1" t="inlineStr">
        <is>
          <t>https://www.linkedin.com/in/hugues-avit-callaud/</t>
        </is>
      </c>
      <c r="AD5" s="1" t="inlineStr">
        <is>
          <t>https://www.linkedin.com/in/hugues-avit-callaud/</t>
        </is>
      </c>
      <c r="AE5" s="10" t="inlineStr">
        <is>
          <t>https://www.facebook.com/scealstudio</t>
        </is>
      </c>
    </row>
    <row r="6" ht="15.75" customHeight="1">
      <c r="A6" s="6" t="n">
        <v>45889</v>
      </c>
      <c r="B6" s="1" t="inlineStr">
        <is>
          <t>ORG_1901</t>
        </is>
      </c>
      <c r="C6" s="1" t="b">
        <v>1</v>
      </c>
      <c r="D6" s="1" t="inlineStr">
        <is>
          <t>Magma</t>
        </is>
      </c>
      <c r="E6" s="10" t="inlineStr">
        <is>
          <t>https://magma.app/</t>
        </is>
      </c>
      <c r="F6" t="inlineStr">
        <is>
          <t>magma.app</t>
        </is>
      </c>
      <c r="G6" s="1" t="inlineStr">
        <is>
          <t>Magma is an ambassador engagement platform that helps schools, universities, and companies activate their communities. With Magma, organisations can launch tailored actions—such as content creation, reviews, referrals, challenges, or events—and track their impact in real time. By turning students and alumni into active ambassadors, Magma drives visibility, recruitment, and long-term loyalty.</t>
        </is>
      </c>
      <c r="H6" s="1" t="inlineStr">
        <is>
          <t>EdTech France</t>
        </is>
      </c>
      <c r="I6" s="1" t="inlineStr">
        <is>
          <t>English, French, Spanish, German, Italian, Portuguese</t>
        </is>
      </c>
      <c r="J6" s="1" t="inlineStr">
        <is>
          <t>Paris</t>
        </is>
      </c>
      <c r="K6" s="1" t="inlineStr">
        <is>
          <t>France</t>
        </is>
      </c>
      <c r="L6" s="1" t="inlineStr">
        <is>
          <t>Austria, Belgium, France, Germany, Italy, Ireland, Netherlands, Portugal, Spain, United Kingdom</t>
        </is>
      </c>
      <c r="M6" s="1" t="inlineStr">
        <is>
          <t>Small (10-49 FTE employees)</t>
        </is>
      </c>
      <c r="N6" s="1" t="inlineStr">
        <is>
          <t>Business to Business</t>
        </is>
      </c>
      <c r="O6" s="1" t="inlineStr">
        <is>
          <t>Higher Education, Vocational Education and Training (VET), Lifelong learning/Adult education, Corporate Training</t>
        </is>
      </c>
      <c r="P6" s="1" t="inlineStr">
        <is>
          <t>Student interfacing, Other</t>
        </is>
      </c>
      <c r="Q6" s="10" t="inlineStr">
        <is>
          <t>Magma Platform</t>
        </is>
      </c>
      <c r="R6" t="inlineStr">
        <is>
          <t>A SaaS platform that enables schools, universities, and companies to activate their communities through ambassador programs. It allows organisations to launch actions such as content creation, reviews, referrals, challenges, and events—all trackable in real time.</t>
        </is>
      </c>
      <c r="S6" s="10" t="inlineStr">
        <is>
          <t>Ambassador Engagement Services</t>
        </is>
      </c>
      <c r="T6" t="inlineStr">
        <is>
          <t>Tailored support and strategy to design, launch, and scale ambassador programs. From defining profiles and engagement plans to setting up rewards and automations, we help organisations maximise impact and long-term loyalty.</t>
        </is>
      </c>
      <c r="U6" s="1" t="inlineStr">
        <is>
          <t>https://drive.google.com/uc?export=view&amp;id=18YC9a1B3Qq2QWEZm4wDKCD_Vf5kdnS7H</t>
        </is>
      </c>
      <c r="V6" s="1" t="inlineStr">
        <is>
          <t>Verified</t>
        </is>
      </c>
      <c r="W6" s="1" t="inlineStr">
        <is>
          <t>Collaborations between EdTech organisations</t>
        </is>
      </c>
      <c r="X6" s="1" t="inlineStr">
        <is>
          <t>For-profit company</t>
        </is>
      </c>
      <c r="Y6" s="10" t="b">
        <v>0</v>
      </c>
      <c r="Z6" s="1" t="b">
        <v>0</v>
      </c>
      <c r="AA6" s="1" t="inlineStr">
        <is>
          <t>Yes</t>
        </is>
      </c>
      <c r="AB6" s="1" t="inlineStr">
        <is>
          <t>https://www.instagram.com/insidemagma/</t>
        </is>
      </c>
      <c r="AC6" s="1" t="inlineStr">
        <is>
          <t>https://www.linkedin.com/company/magmaapp/</t>
        </is>
      </c>
      <c r="AD6" s="1" t="inlineStr">
        <is>
          <t>https://www.linkedin.com/company/magmaapp/</t>
        </is>
      </c>
    </row>
    <row r="7" ht="15.75" customHeight="1">
      <c r="A7" s="6" t="n">
        <v>45889</v>
      </c>
      <c r="B7" s="1" t="inlineStr">
        <is>
          <t>ORG_1968</t>
        </is>
      </c>
      <c r="C7" s="1" t="b">
        <v>1</v>
      </c>
      <c r="D7" s="1" t="inlineStr">
        <is>
          <t>MIMBUS</t>
        </is>
      </c>
      <c r="E7" s="10" t="inlineStr">
        <is>
          <t>www.mimbus.com</t>
        </is>
      </c>
      <c r="F7" t="inlineStr">
        <is>
          <t>mimbus.com</t>
        </is>
      </c>
      <c r="G7" s="1" t="inlineStr">
        <is>
          <t>Mimbus creates and deploys immersive training solutions for skilled trade schools and training centres.</t>
        </is>
      </c>
      <c r="H7" s="1" t="inlineStr">
        <is>
          <t>EdTech France</t>
        </is>
      </c>
      <c r="I7" s="1" t="inlineStr">
        <is>
          <t>English, French, Spanish, German</t>
        </is>
      </c>
      <c r="J7" s="1" t="inlineStr">
        <is>
          <t>Toulouse</t>
        </is>
      </c>
      <c r="K7" s="1" t="inlineStr">
        <is>
          <t>France</t>
        </is>
      </c>
      <c r="L7" s="1" t="inlineStr">
        <is>
          <t>Belgium, Denmark, Estonia, Finland, France, Germany, Greece, Hungary, Italy, Luxembourg, Norway, Poland, Portugal, Romania, Spain, Sweden, Switzerland, Turkey, Ukraine, United Kingdom</t>
        </is>
      </c>
      <c r="M7" s="1" t="inlineStr">
        <is>
          <t>Small (10-49 FTE employees)</t>
        </is>
      </c>
      <c r="N7" s="1" t="inlineStr">
        <is>
          <t>Business to Business</t>
        </is>
      </c>
      <c r="O7" s="1" t="inlineStr">
        <is>
          <t>Secondary Education, Vocational Education and Training (VET), Lifelong learning/Adult education, Corporate Training</t>
        </is>
      </c>
      <c r="P7" s="1" t="inlineStr">
        <is>
          <t>Student interfacing, Teacher interfacing</t>
        </is>
      </c>
      <c r="Q7" t="inlineStr">
        <is>
          <t>Mimbus Discover</t>
        </is>
      </c>
      <c r="R7" t="inlineStr">
        <is>
          <t>Career Exploration solution using Stand Alone XR headsets</t>
        </is>
      </c>
      <c r="S7" t="inlineStr">
        <is>
          <t>Mimbus Construction</t>
        </is>
      </c>
      <c r="T7" t="inlineStr">
        <is>
          <t>XR Training for construction industry workforce</t>
        </is>
      </c>
      <c r="U7" s="1" t="inlineStr">
        <is>
          <t>https://drive.google.com/uc?export=view&amp;id=1I5zW4Dd8VyabeRw2_Fi5OJvvUdNMTQ41</t>
        </is>
      </c>
      <c r="V7" s="1" t="inlineStr">
        <is>
          <t>Verified</t>
        </is>
      </c>
      <c r="W7" s="1" t="inlineStr">
        <is>
          <t>Collaborations between EdTech organisations, Project consortium building, Public-private partnerships, Industry-academia partnerships</t>
        </is>
      </c>
      <c r="X7" s="1" t="inlineStr">
        <is>
          <t>For-profit company</t>
        </is>
      </c>
      <c r="Y7" s="10" t="b">
        <v>1</v>
      </c>
      <c r="Z7" s="1" t="b">
        <v>1</v>
      </c>
      <c r="AA7" s="1" t="inlineStr">
        <is>
          <t>No</t>
        </is>
      </c>
      <c r="AB7" s="1" t="n"/>
      <c r="AC7" s="1" t="n"/>
      <c r="AD7" s="1" t="n"/>
    </row>
    <row r="8" ht="15.75" customHeight="1">
      <c r="A8" s="6" t="n">
        <v>45889</v>
      </c>
      <c r="B8" s="1" t="inlineStr">
        <is>
          <t>ORG_2638</t>
        </is>
      </c>
      <c r="C8" s="1" t="b">
        <v>1</v>
      </c>
      <c r="D8" s="1" t="inlineStr">
        <is>
          <t>BASIC-X</t>
        </is>
      </c>
      <c r="E8" s="10" t="inlineStr">
        <is>
          <t>https://www.ludo-vic.com</t>
        </is>
      </c>
      <c r="F8" t="inlineStr">
        <is>
          <t>ludo-vic.com</t>
        </is>
      </c>
      <c r="G8" s="1" t="inlineStr">
        <is>
          <t>We build multilingual educational apps that "break the wall of words" by giving the instructions needed to acquire a given concept ( a new language for instance), orally in the learner's mother tongue</t>
        </is>
      </c>
      <c r="H8" s="1" t="inlineStr">
        <is>
          <t>I'm not part of any EdTech association</t>
        </is>
      </c>
      <c r="I8" s="1" t="inlineStr">
        <is>
          <t>English, German, Portuguese, French, Bulgarian, Spanish, Dutch, Romanian, Ukrainian</t>
        </is>
      </c>
      <c r="J8" s="1" t="inlineStr">
        <is>
          <t>STRASBOURG</t>
        </is>
      </c>
      <c r="K8" s="1" t="inlineStr">
        <is>
          <t>France</t>
        </is>
      </c>
      <c r="L8" s="1" t="inlineStr">
        <is>
          <t>Albania, Andorra, Austria, Bosnia and Herzegovina, Belgium, Belarus, Bulgaria, Croatia, Republic of Cyprus, Estonia, Denmark, Czechia, Finland, Greece, Ireland, Latvia, Luxembourg, Malta, Liechtenstein, Italy, Hungary, France, Germany, Iceland, Kosovo, Lithuania, Moldova, Netherlands, Poland, San Marino, Spain, Slovenia, Romania, Norway, Montenegro, Monaco, North Macedonia, Portugal, Slovakia, Sweden, Ukraine, Switzerland, United Kingdom, Turkey, world</t>
        </is>
      </c>
      <c r="M8" s="1" t="inlineStr">
        <is>
          <t>Micro (1-9 FTE employees)</t>
        </is>
      </c>
      <c r="N8" s="1" t="inlineStr">
        <is>
          <t>Business to Business, Business to Consumer, Business to Government, Business to Schools</t>
        </is>
      </c>
      <c r="O8" s="1" t="inlineStr">
        <is>
          <t>Lifelong learning/Adult education, Primary Education, Secondary Education, Vocational Education and Training (VET)</t>
        </is>
      </c>
      <c r="P8" s="1" t="inlineStr">
        <is>
          <t>Student interfacing, Teacher interfacing</t>
        </is>
      </c>
      <c r="Q8" t="inlineStr">
        <is>
          <t>Basic-Français</t>
        </is>
      </c>
      <c r="R8" t="inlineStr">
        <is>
          <t>This App enables the autonomous acquisition of the Basics of French upto level A1 of the CEFRL in 25 languages to date, through 2463 instructions in 70 lessons regrouped in 22 modules.</t>
        </is>
      </c>
      <c r="S8" s="10" t="inlineStr">
        <is>
          <t>https://drive.google.com/uc?export=view&amp;id=1_ngIySarFNZUMAFisHM1K-t8CRMoipoZ</t>
        </is>
      </c>
      <c r="T8" t="inlineStr">
        <is>
          <t>https://drive.google.com/uc?export=view&amp;id=1_ngIySarFNZUMAFisHM1K-t8CRMoipoZ</t>
        </is>
      </c>
      <c r="U8" s="1" t="inlineStr">
        <is>
          <t>https://drive.google.com/uc?export=view&amp;id=1_ngIySarFNZUMAFisHM1K-t8CRMoipoZ</t>
        </is>
      </c>
      <c r="V8" s="1" t="inlineStr">
        <is>
          <t>Verified</t>
        </is>
      </c>
      <c r="W8" t="inlineStr">
        <is>
          <t>Collaborations between EdTech organisations, Project consortium building, Public-private partnerships, Industry-academia partnerships</t>
        </is>
      </c>
      <c r="X8" t="inlineStr">
        <is>
          <t>For-profit company</t>
        </is>
      </c>
      <c r="Y8" s="10" t="b">
        <v>0</v>
      </c>
      <c r="Z8" s="1" t="b">
        <v>1</v>
      </c>
      <c r="AA8" s="1" t="inlineStr">
        <is>
          <t>Yes</t>
        </is>
      </c>
      <c r="AB8" s="1" t="n"/>
      <c r="AC8" s="1" t="inlineStr">
        <is>
          <t>https://www.linkedin.com/company/ludo-vic/?originalSubdomain=fr</t>
        </is>
      </c>
      <c r="AD8" s="1" t="inlineStr">
        <is>
          <t>https://www.linkedin.com/company/ludo-vic/?originalSubdomain=fr</t>
        </is>
      </c>
    </row>
    <row r="9" ht="15.75" customHeight="1">
      <c r="A9" s="6" t="n">
        <v>45889</v>
      </c>
      <c r="B9" s="1" t="inlineStr">
        <is>
          <t>ORG_2235</t>
        </is>
      </c>
      <c r="C9" s="1" t="b">
        <v>1</v>
      </c>
      <c r="D9" s="1" t="inlineStr">
        <is>
          <t>Short Edition</t>
        </is>
      </c>
      <c r="E9" s="10" t="inlineStr">
        <is>
          <t>https://short-edition.com/en/</t>
        </is>
      </c>
      <c r="F9" t="inlineStr">
        <is>
          <t>short-edition.com/en</t>
        </is>
      </c>
      <c r="G9" s="1" t="inlineStr">
        <is>
          <t>Short Édition revolutionizes reading and writing by making short literature instantly accessible anywhere. Through our unique Short Story Dispensers and digital platforms, we deliver bite-sized stories, poems, and comics directly into schools, libraries, and public spaces—sparking literary curiosity and creativity for all ages. Our engaging, interactive solutions empower communities and educators to inspire a love of reading and creative expression in just a few minutes a day.</t>
        </is>
      </c>
      <c r="H9" s="1" t="inlineStr">
        <is>
          <t>AFINEF, EdTech France</t>
        </is>
      </c>
      <c r="I9" s="1" t="inlineStr">
        <is>
          <t>English, French, Spanish, German, Italian, Dutch</t>
        </is>
      </c>
      <c r="J9" s="1" t="inlineStr">
        <is>
          <t>Paris</t>
        </is>
      </c>
      <c r="K9" s="1" t="inlineStr">
        <is>
          <t>France</t>
        </is>
      </c>
      <c r="L9" s="1" t="inlineStr">
        <is>
          <t>Belgium, France, United Kingdom, Germany, Switzerland, Netherlands, Luxembourg, Ireland, Malta</t>
        </is>
      </c>
      <c r="M9" s="1" t="inlineStr">
        <is>
          <t>Small (10-49 FTE employees)</t>
        </is>
      </c>
      <c r="N9" s="1" t="inlineStr">
        <is>
          <t>Business to Business</t>
        </is>
      </c>
      <c r="O9" s="1" t="inlineStr">
        <is>
          <t>Primary Education, Secondary Education, Higher Education</t>
        </is>
      </c>
      <c r="P9" s="1" t="inlineStr">
        <is>
          <t>Student interfacing, Teacher interfacing</t>
        </is>
      </c>
      <c r="Q9" s="1" t="inlineStr">
        <is>
          <t>Short Story Dispenser</t>
        </is>
      </c>
      <c r="R9" t="inlineStr">
        <is>
          <t>Short Story Dispensers are innovative kiosks that deliver free one-, three-, or five-minute stories at the push of a button. Installed in cities worldwide, they turn waiting time into reading time, connect communities across cultures, and showcase local writers to millions of readers.</t>
        </is>
      </c>
      <c r="S9" s="10" t="inlineStr">
        <is>
          <t>Short Story Cube</t>
        </is>
      </c>
      <c r="T9" t="inlineStr">
        <is>
          <t>The Short Story Cube is a portable, affordable student engagement tool for teachers and librarians on the go. It delivers short fiction on eco-friendly paper to boost reading for fun while teaching creative thinking and analysis.</t>
        </is>
      </c>
      <c r="U9" s="1" t="inlineStr">
        <is>
          <t>https://drive.google.com/uc?export=view&amp;id=1jwlI1Lx0JqqiTuHmcMtZ3_HG89g08B6M</t>
        </is>
      </c>
      <c r="V9" s="1" t="inlineStr">
        <is>
          <t>Verified</t>
        </is>
      </c>
      <c r="W9" s="1" t="inlineStr">
        <is>
          <t>Project consortium building, Collaborations between EdTech organisations, Public-private partnerships, Industry-academia partnerships</t>
        </is>
      </c>
      <c r="X9" s="1" t="inlineStr">
        <is>
          <t>For-profit company</t>
        </is>
      </c>
      <c r="Y9" s="10" t="b">
        <v>1</v>
      </c>
      <c r="Z9" s="1" t="b">
        <v>1</v>
      </c>
      <c r="AA9" s="1" t="inlineStr">
        <is>
          <t>Yes</t>
        </is>
      </c>
      <c r="AB9" s="1" t="inlineStr">
        <is>
          <t>@shortedition</t>
        </is>
      </c>
      <c r="AC9" s="1" t="inlineStr">
        <is>
          <t>https://www.linkedin.com/company/shortedition/</t>
        </is>
      </c>
      <c r="AD9" s="1" t="inlineStr">
        <is>
          <t>https://www.linkedin.com/company/shortedition/</t>
        </is>
      </c>
      <c r="AE9" s="1" t="inlineStr">
        <is>
          <t>@ShortEdition</t>
        </is>
      </c>
    </row>
    <row r="10" ht="15.75" customHeight="1">
      <c r="A10" s="6" t="n">
        <v>45889</v>
      </c>
      <c r="B10" s="1" t="inlineStr">
        <is>
          <t>ORG_2636</t>
        </is>
      </c>
      <c r="C10" s="1" t="b">
        <v>1</v>
      </c>
      <c r="D10" s="1" t="inlineStr">
        <is>
          <t>EMRAUDE</t>
        </is>
      </c>
      <c r="E10" s="10" t="inlineStr">
        <is>
          <t>www.emraude.com</t>
        </is>
      </c>
      <c r="F10" t="inlineStr">
        <is>
          <t>emraude.com</t>
        </is>
      </c>
      <c r="G10" s="1" t="inlineStr">
        <is>
          <t>We design gamify learning solutions that merge storytelling, micro learning, and adaptive learning into engaging digital journeys. Our expertise spans open world adventures, 3D experiences, and WebGL development, complemented by 2D illustrations, motion design, and micro interactions. We create gamified quizzes, custom avatars, and leaderboards to boost motivation, while ensuring compatibility with SCORM, Rise, Storyline, and webapps. Our learning paths integrate mobile learning, hybrid, and classroom formats, enhanced by AI learning and enhanced data analytics.</t>
        </is>
      </c>
      <c r="H10" s="1" t="inlineStr">
        <is>
          <t>EdTech France</t>
        </is>
      </c>
      <c r="I10" s="1" t="inlineStr">
        <is>
          <t>English, German, Portuguese, Czech, Finnish, Irish, Maltese, Slovak, Ukrainian, Catalan, Slovenian, Polish, Latvian, Greek, Italian, French, Bulgarian, Danish, Spanish, Dutch, Croatian, Estonian, Hungarian, Lithuanian, Romanian, Swedish, Basque</t>
        </is>
      </c>
      <c r="J10" s="1" t="inlineStr">
        <is>
          <t>Paris</t>
        </is>
      </c>
      <c r="K10" s="1" t="inlineStr">
        <is>
          <t>France</t>
        </is>
      </c>
      <c r="M10" s="1" t="inlineStr">
        <is>
          <t>Medium (50-250 FTE employees)</t>
        </is>
      </c>
      <c r="N10" s="1" t="inlineStr">
        <is>
          <t>Business to Business</t>
        </is>
      </c>
      <c r="O10" s="1" t="inlineStr">
        <is>
          <t>Corporate Training</t>
        </is>
      </c>
      <c r="P10" s="1" t="inlineStr">
        <is>
          <t>Other, System/Administrative</t>
        </is>
      </c>
      <c r="S10" s="10" t="inlineStr">
        <is>
          <t>https://drive.google.com/uc?export=view&amp;id=13ofQrWW3m0jZuNl40tybQmeDvTkOmcF-</t>
        </is>
      </c>
      <c r="T10" t="inlineStr">
        <is>
          <t>https://drive.google.com/uc?export=view&amp;id=13ofQrWW3m0jZuNl40tybQmeDvTkOmcF-</t>
        </is>
      </c>
      <c r="U10" t="inlineStr">
        <is>
          <t>https://drive.google.com/uc?export=view&amp;id=13ofQrWW3m0jZuNl40tybQmeDvTkOmcF-</t>
        </is>
      </c>
      <c r="V10" t="inlineStr">
        <is>
          <t>Verified</t>
        </is>
      </c>
      <c r="W10" t="inlineStr">
        <is>
          <t>Collaborations between EdTech organisations</t>
        </is>
      </c>
      <c r="X10" t="inlineStr">
        <is>
          <t>For-profit company</t>
        </is>
      </c>
      <c r="Y10" s="10" t="b">
        <v>1</v>
      </c>
      <c r="Z10" s="1" t="b">
        <v>1</v>
      </c>
      <c r="AA10" s="1" t="inlineStr">
        <is>
          <t>Yes</t>
        </is>
      </c>
      <c r="AB10" s="1" t="n"/>
      <c r="AC10" s="1" t="inlineStr">
        <is>
          <t>https://fr.linkedin.com/company/emraudeagency</t>
        </is>
      </c>
      <c r="AD10" s="1" t="inlineStr">
        <is>
          <t>https://fr.linkedin.com/company/emraudeagency</t>
        </is>
      </c>
    </row>
    <row r="11" ht="15.75" customHeight="1">
      <c r="A11" s="6" t="n">
        <v>45889</v>
      </c>
      <c r="B11" s="1" t="inlineStr">
        <is>
          <t>ORG_1273</t>
        </is>
      </c>
      <c r="C11" s="1" t="b">
        <v>1</v>
      </c>
      <c r="D11" s="1" t="inlineStr">
        <is>
          <t>Coding Park</t>
        </is>
      </c>
      <c r="E11" s="10" t="inlineStr">
        <is>
          <t>www.codingpark.io/en</t>
        </is>
      </c>
      <c r="F11" t="inlineStr">
        <is>
          <t>codingpark.io/en</t>
        </is>
      </c>
      <c r="G11" s="1" t="inlineStr">
        <is>
          <t>Coding Park is a French EdTech company offering a gamified platform to teach computer science to children and teenagers aged 7–18. We provide progressive coding journeys with Blockly, pseudocode, and Python, featuring automatic progress tracking and interactive tutorials. Our hands-on platform empowers students to create video games and web projects (HTML/CSS), making it a unique solution for both schools and families.</t>
        </is>
      </c>
      <c r="H11" s="1" t="inlineStr">
        <is>
          <t>EdTech France</t>
        </is>
      </c>
      <c r="I11" s="1" t="inlineStr">
        <is>
          <t>English, French</t>
        </is>
      </c>
      <c r="J11" s="1" t="inlineStr">
        <is>
          <t>Paris</t>
        </is>
      </c>
      <c r="K11" s="1" t="inlineStr">
        <is>
          <t>France</t>
        </is>
      </c>
      <c r="L11" s="1" t="inlineStr">
        <is>
          <t>France, United Kingdom, Belgium</t>
        </is>
      </c>
      <c r="M11" s="1" t="inlineStr">
        <is>
          <t>Micro (1-9 FTE employees)</t>
        </is>
      </c>
      <c r="N11" s="1" t="inlineStr">
        <is>
          <t>Business to Consumer, Business to Business, Business to Government, Business to Schools</t>
        </is>
      </c>
      <c r="O11" s="1" t="inlineStr">
        <is>
          <t>Primary Education, Secondary Education, Higher Education</t>
        </is>
      </c>
      <c r="P11" s="1" t="inlineStr">
        <is>
          <t>Student interfacing, Teacher interfacing</t>
        </is>
      </c>
      <c r="Q11" s="10" t="inlineStr">
        <is>
          <t>Coding Park School</t>
        </is>
      </c>
      <c r="R11" s="10" t="inlineStr">
        <is>
          <t>A classroom-ready platform for teaching computer science in primary and secondary schools. Includes the gamified Golden Quest, a teacher dashboard for student monitoring, ready-to-use resources, and curriculum-aligned content. Available via annual school plans (Club, Classroom, or Custom).</t>
        </is>
      </c>
      <c r="S11" s="10" t="inlineStr">
        <is>
          <t>Coding Park Academy</t>
        </is>
      </c>
      <c r="T11" t="inlineStr">
        <is>
          <t>A professional browser-based coding environment for teens and high school students. Supports Python (with Pygame), HTML/CSS, and JavaScript, with instant game rendering and live web preview. Includes built-in tutorials, real-time activity tracking, and isolated student workspaces.</t>
        </is>
      </c>
      <c r="U11" s="1" t="inlineStr">
        <is>
          <t>https://drive.google.com/uc?export=view&amp;id=1sduAWNqCWBa8mIxWzgE76I0WZD-WMwmh</t>
        </is>
      </c>
      <c r="V11" s="1" t="inlineStr">
        <is>
          <t>Verified</t>
        </is>
      </c>
      <c r="W11" s="1" t="inlineStr">
        <is>
          <t>Collaborations between EdTech organisations, Industry-academia partnerships, Public-private partnerships, Project consortium building</t>
        </is>
      </c>
      <c r="X11" s="1" t="inlineStr">
        <is>
          <t>For-profit company</t>
        </is>
      </c>
      <c r="Y11" s="10" t="b">
        <v>1</v>
      </c>
      <c r="Z11" s="1" t="b">
        <v>1</v>
      </c>
      <c r="AA11" s="1" t="inlineStr">
        <is>
          <t>Yes</t>
        </is>
      </c>
      <c r="AB11" s="1" t="inlineStr">
        <is>
          <t>https://www.instagram.com/coding.park/</t>
        </is>
      </c>
      <c r="AC11" s="1" t="inlineStr">
        <is>
          <t>https://x.com/codingpark</t>
        </is>
      </c>
      <c r="AD11" s="1" t="inlineStr">
        <is>
          <t>https://www.linkedin.com/company/codingpark</t>
        </is>
      </c>
      <c r="AE11" s="10" t="inlineStr">
        <is>
          <t>https://www.facebook.com/codingpark</t>
        </is>
      </c>
    </row>
    <row r="12" ht="15.75" customHeight="1">
      <c r="A12" s="6" t="n">
        <v>45889</v>
      </c>
      <c r="B12" s="1" t="inlineStr">
        <is>
          <t>ORG_1161</t>
        </is>
      </c>
      <c r="C12" s="1" t="b">
        <v>1</v>
      </c>
      <c r="D12" s="1" t="inlineStr">
        <is>
          <t>Beyond Words</t>
        </is>
      </c>
      <c r="E12" s="10" t="inlineStr">
        <is>
          <t>https://www.beyond-words-vr.com</t>
        </is>
      </c>
      <c r="F12" t="inlineStr">
        <is>
          <t>beyond-words-vr.com</t>
        </is>
      </c>
      <c r="G12" s="1" t="inlineStr">
        <is>
          <t>Beyond Words is a French EdTech company pioneering AI-driven language learning through immersive 360° video and voice technology. Its solutions combine human-centered AI, phoneme-based speech recognition, and interactive scenarios to make language acquisition more accessible and effective for schools and enterprises worldwide.</t>
        </is>
      </c>
      <c r="H12" s="1" t="inlineStr">
        <is>
          <t>AFINEF</t>
        </is>
      </c>
      <c r="I12" s="1" t="inlineStr">
        <is>
          <t>English, German, Portuguese, Finnish, Czech, French, Italian, Danish, Greek, Latvian, Polish, Bulgarian, Slovenian, Spanish, Dutch, Croatian, Estonian, Hungarian, Lithuanian, Romanian, Swedish</t>
        </is>
      </c>
      <c r="J12" s="1" t="inlineStr">
        <is>
          <t>Montpellier</t>
        </is>
      </c>
      <c r="K12" s="1" t="inlineStr">
        <is>
          <t>France</t>
        </is>
      </c>
      <c r="L12" s="1" t="inlineStr">
        <is>
          <t>Latvia, Sweden, France, Belgium, Germany, Netherlands, Spain, Italy</t>
        </is>
      </c>
      <c r="M12" s="1" t="inlineStr">
        <is>
          <t>Micro (1-9 FTE employees)</t>
        </is>
      </c>
      <c r="N12" s="1" t="inlineStr">
        <is>
          <t>Business to Business, Business to Government, Business to Schools</t>
        </is>
      </c>
      <c r="O12" s="1" t="inlineStr">
        <is>
          <t>Secondary Education, Vocational Education and Training (VET), Higher Education, Corporate Training, Lifelong learning/Adult education</t>
        </is>
      </c>
      <c r="P12" s="1" t="inlineStr">
        <is>
          <t>Student interfacing, Teacher interfacing, System/Administrative</t>
        </is>
      </c>
      <c r="Q12" s="1" t="inlineStr">
        <is>
          <t>Beyond Words</t>
        </is>
      </c>
      <c r="R12" t="inlineStr">
        <is>
          <t>An AI-powered language learning platform combining immersive 360° video, real-time voice interaction, and phoneme-level feedback to help learners practice speaking and improve fluency in authentic, contextual scenarios.</t>
        </is>
      </c>
      <c r="S12" s="10" t="inlineStr">
        <is>
          <t>https://drive.google.com/uc?export=view&amp;id=1Ub6xdMbyHW9gJ3cK5QHGSGkGeGeTBpoC</t>
        </is>
      </c>
      <c r="T12" t="inlineStr">
        <is>
          <t>https://drive.google.com/uc?export=view&amp;id=1Ub6xdMbyHW9gJ3cK5QHGSGkGeGeTBpoC</t>
        </is>
      </c>
      <c r="U12" s="1" t="inlineStr">
        <is>
          <t>https://drive.google.com/uc?export=view&amp;id=1Ub6xdMbyHW9gJ3cK5QHGSGkGeGeTBpoC</t>
        </is>
      </c>
      <c r="V12" s="1" t="inlineStr">
        <is>
          <t>Verified</t>
        </is>
      </c>
      <c r="W12" t="inlineStr">
        <is>
          <t>Collaborations between EdTech organisations, Project consortium building, Public-private partnerships, Industry-academia partnerships</t>
        </is>
      </c>
      <c r="X12" t="inlineStr">
        <is>
          <t>For-profit company</t>
        </is>
      </c>
      <c r="Y12" s="10" t="b">
        <v>1</v>
      </c>
      <c r="Z12" s="1" t="b">
        <v>1</v>
      </c>
      <c r="AA12" s="1" t="inlineStr">
        <is>
          <t>Yes</t>
        </is>
      </c>
      <c r="AB12" s="1" t="inlineStr">
        <is>
          <t>beyond words VR</t>
        </is>
      </c>
      <c r="AC12" s="1" t="inlineStr">
        <is>
          <t>https://www.linkedin.com/company/103495283</t>
        </is>
      </c>
      <c r="AD12" s="1" t="inlineStr">
        <is>
          <t>https://www.linkedin.com/company/103495283</t>
        </is>
      </c>
    </row>
    <row r="13" ht="15.75" customHeight="1">
      <c r="A13" s="6" t="n">
        <v>45859</v>
      </c>
      <c r="B13" s="1" t="inlineStr">
        <is>
          <t>ORG_2503</t>
        </is>
      </c>
      <c r="C13" s="1" t="b">
        <v>1</v>
      </c>
      <c r="D13" s="1" t="inlineStr">
        <is>
          <t>Vittascience</t>
        </is>
      </c>
      <c r="E13" s="10" t="inlineStr">
        <is>
          <t>https://vittascience.com/</t>
        </is>
      </c>
      <c r="F13" t="inlineStr">
        <is>
          <t>vittascience.com</t>
        </is>
      </c>
      <c r="G13" s="1" t="inlineStr">
        <is>
          <t>Founded in 2018, Vittascience designs digital tools to teach programming, algorithms and artificial intelligence in schools. Its ambition is to make digital learning accessible to all, by stimulating user curiosity and offering innovative, turnkey solutions.</t>
        </is>
      </c>
      <c r="H13" s="1" t="inlineStr">
        <is>
          <t>AFINEF, EdTech France</t>
        </is>
      </c>
      <c r="I13" s="1" t="inlineStr">
        <is>
          <t>English, French, Italian, Spanish</t>
        </is>
      </c>
      <c r="J13" s="1" t="inlineStr">
        <is>
          <t>Paris</t>
        </is>
      </c>
      <c r="K13" s="1" t="inlineStr">
        <is>
          <t>France</t>
        </is>
      </c>
      <c r="L13" s="1" t="inlineStr">
        <is>
          <t>Albania, Andorra, Austria, Bosnia and Herzegovina, Belgium, Belarus, Bulgaria, Croatia, Republic of Cyprus, Estonia, Denmark, Czechia, Finland, France, Germany, Iceland, Hungary, Greece, Ireland, Italy, Kosovo, Lithuania, Liechtenstein, Latvia, Luxembourg, Malta, Moldova, Monaco, Montenegro, Netherlands, Poland, Norway, North Macedonia, Portugal, Romania, San Marino, Slovakia, Slovenia, Spain, Turkey, Switzerland, Sweden, Ukraine, United Kingdom</t>
        </is>
      </c>
      <c r="M13" s="1" t="inlineStr">
        <is>
          <t>Small (10-49 FTE employees)</t>
        </is>
      </c>
      <c r="N13" s="1" t="inlineStr">
        <is>
          <t>Business to Business, Business to Schools, Business to Government</t>
        </is>
      </c>
      <c r="O13" s="1" t="inlineStr">
        <is>
          <t>Primary Education, Secondary Education</t>
        </is>
      </c>
      <c r="P13" s="1" t="inlineStr">
        <is>
          <t>Student interfacing, Teacher interfacing</t>
        </is>
      </c>
      <c r="Q13" t="inlineStr">
        <is>
          <t>Programming interface with bi-directional translation</t>
        </is>
      </c>
      <c r="R13" t="inlineStr">
        <is>
          <t>Vittascience empowers STEM education with coding interfaces, featuring a bi-directional translation (blocks ↔ text) for inclusion and accessibility. This features enabling blocks to be automatically translated into text and vice versa, it's bridges the accessibility gap of block-based programming.</t>
        </is>
      </c>
      <c r="S13" t="inlineStr">
        <is>
          <t>Artificial intelligence learning interface</t>
        </is>
      </c>
      <c r="T13" t="inlineStr">
        <is>
          <t>Interactive Artificial Intelligence (AI) teaching tools aim to “open the black box” of complex models. These tools enable students and teachers to visualize and understand LLM training processes, thus promoting in-depth learning of AI fundamentals.</t>
        </is>
      </c>
      <c r="U13" s="1" t="inlineStr">
        <is>
          <t>https://drive.google.com/uc?export=view&amp;id=1s4dUBrdKBYzXviTJIfizi3OcYvwmznnh</t>
        </is>
      </c>
      <c r="V13" s="1" t="inlineStr">
        <is>
          <t>Verified</t>
        </is>
      </c>
      <c r="W13" s="1" t="inlineStr">
        <is>
          <t>Collaborations between EdTech organisations, Project consortium building, Public-private partnerships, Industry-academia partnerships</t>
        </is>
      </c>
      <c r="X13" s="1" t="inlineStr">
        <is>
          <t>For-profit company</t>
        </is>
      </c>
      <c r="Y13" s="10" t="b">
        <v>1</v>
      </c>
      <c r="Z13" s="1" t="b">
        <v>1</v>
      </c>
      <c r="AA13" s="1" t="inlineStr">
        <is>
          <t>No</t>
        </is>
      </c>
      <c r="AB13" s="1" t="n"/>
      <c r="AC13" s="1" t="n"/>
      <c r="AD13" s="1" t="n"/>
    </row>
    <row r="14" ht="15.75" customHeight="1">
      <c r="A14" s="6" t="n">
        <v>45855</v>
      </c>
      <c r="B14" s="1" t="inlineStr">
        <is>
          <t>ORG_1973</t>
        </is>
      </c>
      <c r="C14" s="1" t="b">
        <v>1</v>
      </c>
      <c r="D14" s="1" t="inlineStr">
        <is>
          <t>MOBiDYS</t>
        </is>
      </c>
      <c r="E14" s="10" t="inlineStr">
        <is>
          <t>https://www.mobidys.com/</t>
        </is>
      </c>
      <c r="F14" t="inlineStr">
        <is>
          <t>mobidys.com</t>
        </is>
      </c>
      <c r="G14" s="1" t="inlineStr">
        <is>
          <t>Thanks to the power of research and digital technology, MOBiDYS gives people the power to read by adapting existing books into FROG versions, which are 100% accessible to all types of readers. MOBiDYS offers the SONDO digital library for schools, with a catalog that meets teachers' programs.</t>
        </is>
      </c>
      <c r="H14" s="1" t="inlineStr">
        <is>
          <t>AFINEF</t>
        </is>
      </c>
      <c r="I14" s="1" t="inlineStr">
        <is>
          <t>French</t>
        </is>
      </c>
      <c r="J14" s="1" t="inlineStr">
        <is>
          <t>Nantes</t>
        </is>
      </c>
      <c r="K14" s="1" t="inlineStr">
        <is>
          <t>France</t>
        </is>
      </c>
      <c r="L14" s="1" t="inlineStr">
        <is>
          <t>Belgium, France</t>
        </is>
      </c>
      <c r="M14" s="1" t="inlineStr">
        <is>
          <t>Small (10-49 FTE employees)</t>
        </is>
      </c>
      <c r="N14" s="1" t="inlineStr">
        <is>
          <t>Business to Business, Business to Government</t>
        </is>
      </c>
      <c r="O14" s="1" t="inlineStr">
        <is>
          <t>Primary Education, Secondary Education, Special Education</t>
        </is>
      </c>
      <c r="P14" s="1" t="inlineStr">
        <is>
          <t>Student interfacing, Teacher interfacing</t>
        </is>
      </c>
      <c r="Q14" t="inlineStr">
        <is>
          <t>SONDO</t>
        </is>
      </c>
      <c r="R14" t="inlineStr">
        <is>
          <t>SONDO is designed for all students—whether avid readers or those who struggle. The digital library offers a wide selection of classical and contemporary literature, aligned with teaching practices. All titles are available in the customizable FROG format, which includes built-in reading tools.</t>
        </is>
      </c>
      <c r="S14" t="inlineStr">
        <is>
          <t>BibliOdyssée</t>
        </is>
      </c>
      <c r="T14" t="inlineStr">
        <is>
          <t>BibliOdyssée offers access to over 100 titles of children’s and young adult literature, both classic and contemporary, to help young readers engage with books. Designed specifically for libraries, BibliOdyssée uses the FROG format, which integrates a full range of reading support tools.</t>
        </is>
      </c>
      <c r="U14" s="1" t="inlineStr">
        <is>
          <t>https://drive.google.com/uc?export=view&amp;id=1MeI4x-m8gyZKfSnJMXiXVIA7fLzipoJc</t>
        </is>
      </c>
      <c r="V14" s="1" t="inlineStr">
        <is>
          <t>Verified</t>
        </is>
      </c>
      <c r="W14" s="1" t="inlineStr">
        <is>
          <t>Collaborations between EdTech organisations, Public-private partnerships</t>
        </is>
      </c>
      <c r="X14" s="1" t="inlineStr">
        <is>
          <t>For-profit company</t>
        </is>
      </c>
      <c r="Y14" s="10" t="b">
        <v>1</v>
      </c>
      <c r="Z14" s="1" t="b">
        <v>1</v>
      </c>
      <c r="AA14" s="1" t="inlineStr">
        <is>
          <t>No</t>
        </is>
      </c>
      <c r="AB14" s="1" t="n"/>
      <c r="AC14" s="1" t="n"/>
      <c r="AD14" s="1" t="n"/>
    </row>
    <row r="15" ht="15.75" customHeight="1">
      <c r="A15" s="6" t="n">
        <v>45854</v>
      </c>
      <c r="B15" s="1" t="inlineStr">
        <is>
          <t>ORG_1899</t>
        </is>
      </c>
      <c r="C15" s="1" t="b">
        <v>1</v>
      </c>
      <c r="D15" s="1" t="inlineStr">
        <is>
          <t>Madmagz</t>
        </is>
      </c>
      <c r="E15" s="10" t="inlineStr">
        <is>
          <t>https://madmagz.com</t>
        </is>
      </c>
      <c r="F15" t="inlineStr">
        <is>
          <t>madmagz.com</t>
        </is>
      </c>
      <c r="G15" s="1" t="inlineStr">
        <is>
          <t>Madmagz is a user-friendly, collaborative tool for creating school newspapers—such as school journals, presentations, travel logs, or eTwinning projects.</t>
        </is>
      </c>
      <c r="H15" s="1" t="inlineStr">
        <is>
          <t>AFINEF</t>
        </is>
      </c>
      <c r="I15" s="1" t="inlineStr">
        <is>
          <t>English, French</t>
        </is>
      </c>
      <c r="J15" s="1" t="inlineStr">
        <is>
          <t>Paris</t>
        </is>
      </c>
      <c r="K15" s="1" t="inlineStr">
        <is>
          <t>France</t>
        </is>
      </c>
      <c r="L15" s="1" t="inlineStr">
        <is>
          <t>Albania, Andorra, Belarus, Belgium, Bosnia and Herzegovina, Austria, Republic of Cyprus, Croatia, Bulgaria, Czechia, Denmark, Estonia, Germany, France, Finland, Greece, Hungary, Iceland, Kosovo, Italy, Ireland, Latvia, Liechtenstein, Lithuania, Moldova, Malta, Luxembourg, Monaco, Montenegro, Netherlands, Poland, Norway, North Macedonia, Portugal, Slovakia, Sweden, Ukraine, United Kingdom, Switzerland, Slovenia, Romania, San Marino, Spain, Turkey</t>
        </is>
      </c>
      <c r="M15" s="1" t="inlineStr">
        <is>
          <t>Micro (1-9 FTE employees)</t>
        </is>
      </c>
      <c r="N15" s="1" t="inlineStr">
        <is>
          <t>Business to Consumer, Business to Schools, Business to Business, Business to Government</t>
        </is>
      </c>
      <c r="O15" s="1" t="inlineStr">
        <is>
          <t>Primary Education, Secondary Education, Vocational Education and Training (VET), Higher Education, Special Education, Lifelong learning/Adult education, Corporate Training, Other, Early childhood development (0-5 years)</t>
        </is>
      </c>
      <c r="P15" s="1" t="inlineStr">
        <is>
          <t>Student interfacing, Teacher interfacing</t>
        </is>
      </c>
      <c r="Q15" s="10" t="inlineStr">
        <is>
          <t>Madmagz</t>
        </is>
      </c>
      <c r="R15" s="10" t="inlineStr">
        <is>
          <t>Madmagz is a user-friendly, collaborative software for creating school newspapers—such as school journals, presentations, travel logs, or eTwinning projects.</t>
        </is>
      </c>
      <c r="S15" s="10" t="inlineStr">
        <is>
          <t>https://drive.google.com/uc?export=view&amp;id=1FJIWR9LmUM8N4YxuB61JBlNHJFYCwOph</t>
        </is>
      </c>
      <c r="T15" t="inlineStr">
        <is>
          <t>https://drive.google.com/uc?export=view&amp;id=1FJIWR9LmUM8N4YxuB61JBlNHJFYCwOph</t>
        </is>
      </c>
      <c r="U15" s="1" t="inlineStr">
        <is>
          <t>https://drive.google.com/uc?export=view&amp;id=1FJIWR9LmUM8N4YxuB61JBlNHJFYCwOph</t>
        </is>
      </c>
      <c r="V15" s="1" t="inlineStr">
        <is>
          <t>Verified</t>
        </is>
      </c>
      <c r="W15" t="inlineStr">
        <is>
          <t>Collaborations between EdTech organisations, Public-private partnerships, Industry-academia partnerships, Other</t>
        </is>
      </c>
      <c r="X15" t="inlineStr">
        <is>
          <t>For-profit company</t>
        </is>
      </c>
      <c r="Y15" s="10" t="b">
        <v>1</v>
      </c>
      <c r="Z15" s="1" t="b">
        <v>0</v>
      </c>
      <c r="AA15" s="1" t="inlineStr">
        <is>
          <t>Yes</t>
        </is>
      </c>
      <c r="AB15" s="1" t="inlineStr">
        <is>
          <t>https://www.instagram.com/madmagz.live/</t>
        </is>
      </c>
      <c r="AC15" s="1" t="inlineStr">
        <is>
          <t>https://x.com/madmagz</t>
        </is>
      </c>
      <c r="AD15" s="1" t="inlineStr">
        <is>
          <t>https://www.linkedin.com/company/949712</t>
        </is>
      </c>
    </row>
    <row r="16" ht="15.75" customHeight="1">
      <c r="A16" s="6" t="n">
        <v>45849</v>
      </c>
      <c r="B16" s="1" t="inlineStr">
        <is>
          <t>ORG_2604</t>
        </is>
      </c>
      <c r="C16" s="1" t="b">
        <v>1</v>
      </c>
      <c r="D16" s="1" t="inlineStr">
        <is>
          <t>EdCortex</t>
        </is>
      </c>
      <c r="E16" s="10" t="inlineStr">
        <is>
          <t>https://www.edcortex.com/</t>
        </is>
      </c>
      <c r="F16" t="inlineStr">
        <is>
          <t>edcortex.com</t>
        </is>
      </c>
      <c r="G16" s="1" t="inlineStr">
        <is>
          <t>At EdCortex we are an EdTech startup with a team of Neuroscientists, providing B2B Cognitive Profiling and Neuro-adaptive personalization solutions to the EdTech and the HR sector</t>
        </is>
      </c>
      <c r="H16" s="1" t="inlineStr">
        <is>
          <t>EdTech France</t>
        </is>
      </c>
      <c r="I16" s="1" t="inlineStr">
        <is>
          <t>English</t>
        </is>
      </c>
      <c r="J16" s="1" t="inlineStr">
        <is>
          <t>Paris</t>
        </is>
      </c>
      <c r="K16" s="1" t="inlineStr">
        <is>
          <t>France</t>
        </is>
      </c>
      <c r="L16" s="1" t="inlineStr">
        <is>
          <t>France, Italy</t>
        </is>
      </c>
      <c r="M16" s="1" t="inlineStr">
        <is>
          <t>Micro (1-9 FTE employees)</t>
        </is>
      </c>
      <c r="N16" s="1" t="inlineStr">
        <is>
          <t>Business to Business, Business to Government</t>
        </is>
      </c>
      <c r="O16" s="1" t="inlineStr">
        <is>
          <t>Early childhood development (0-5 years), Higher Education, Corporate Training, Lifelong learning/Adult education, Special Education, Vocational Education and Training (VET)</t>
        </is>
      </c>
      <c r="P16" s="1" t="inlineStr">
        <is>
          <t>Student interfacing, System/Administrative</t>
        </is>
      </c>
      <c r="Q16" t="inlineStr">
        <is>
          <t>EdCortex Recommender Engine</t>
        </is>
      </c>
      <c r="R16" t="inlineStr">
        <is>
          <t>Through a seamless integration, powering Learning Platforms with the latest Cognitive Models and Cognitive-specific modulations</t>
        </is>
      </c>
      <c r="S16" s="10" t="inlineStr">
        <is>
          <t>EdCortex Hub</t>
        </is>
      </c>
      <c r="T16" t="inlineStr">
        <is>
          <t>Providing Corporate and Academic Learning based on the latest Cognitive Profiling techniques</t>
        </is>
      </c>
      <c r="U16" s="1" t="inlineStr">
        <is>
          <t>https://drive.google.com/uc?export=view&amp;id=1QYCY1FiwZbZ6CoiFXQviCoy9nSxXDXCq</t>
        </is>
      </c>
      <c r="V16" s="1" t="inlineStr">
        <is>
          <t>Verified</t>
        </is>
      </c>
      <c r="W16" s="1" t="inlineStr">
        <is>
          <t>Collaborations between EdTech organisations, Public-private partnerships, Industry-academia partnerships</t>
        </is>
      </c>
      <c r="X16" s="1" t="inlineStr">
        <is>
          <t>For-profit company</t>
        </is>
      </c>
      <c r="Y16" s="10" t="b">
        <v>1</v>
      </c>
      <c r="Z16" s="1" t="b">
        <v>1</v>
      </c>
      <c r="AA16" s="1" t="inlineStr">
        <is>
          <t>Yes</t>
        </is>
      </c>
      <c r="AB16" s="1" t="n"/>
      <c r="AC16" s="1" t="inlineStr">
        <is>
          <t>https://www.linkedin.com/company/edcortex/?viewAsMember=true</t>
        </is>
      </c>
      <c r="AD16" s="1" t="inlineStr">
        <is>
          <t>https://www.linkedin.com/company/edcortex/?viewAsMember=true</t>
        </is>
      </c>
    </row>
    <row r="17" ht="15.75" customHeight="1">
      <c r="A17" s="6" t="n">
        <v>45847</v>
      </c>
      <c r="B17" s="1" t="inlineStr">
        <is>
          <t>ORG_2595</t>
        </is>
      </c>
      <c r="C17" s="1" t="b">
        <v>1</v>
      </c>
      <c r="D17" s="1" t="inlineStr">
        <is>
          <t>Compilatio</t>
        </is>
      </c>
      <c r="E17" s="10" t="inlineStr">
        <is>
          <t>https://www.compilatio.net/en</t>
        </is>
      </c>
      <c r="F17" t="inlineStr">
        <is>
          <t>compilatio.net/en</t>
        </is>
      </c>
      <c r="G17" s="1" t="inlineStr">
        <is>
          <t>For over 20 years, Compilatio has been committed to a more authentic, more demanding and more creative education. We support educational establishments worldwide with digital tools to detect plagiarism and AI, assess learning and support pedagogical innovation. Our mission: to make authenticity a lever for academic excellence.</t>
        </is>
      </c>
      <c r="H17" s="1" t="inlineStr">
        <is>
          <t>I'm not part of any EdTech association</t>
        </is>
      </c>
      <c r="I17" s="1" t="inlineStr">
        <is>
          <t>English, French, Italian, German, Spanish, Portuguese</t>
        </is>
      </c>
      <c r="J17" s="1" t="inlineStr">
        <is>
          <t>Chavanod</t>
        </is>
      </c>
      <c r="K17" s="1" t="inlineStr">
        <is>
          <t>France</t>
        </is>
      </c>
      <c r="L17" s="1" t="inlineStr">
        <is>
          <t>Germany, France, Monaco, Ireland, Italy, Albania, United Kingdom, Switzerland, Spain, Romania, Belgium</t>
        </is>
      </c>
      <c r="M17" s="1" t="inlineStr">
        <is>
          <t>Medium (50-250 FTE employees)</t>
        </is>
      </c>
      <c r="N17" s="1" t="inlineStr">
        <is>
          <t>Business to Business, Business to Consumer, Business to Government, Business to Schools</t>
        </is>
      </c>
      <c r="O17" s="1" t="inlineStr">
        <is>
          <t>Secondary Education, Higher Education, Corporate Training, Lifelong learning/Adult education, Special Education</t>
        </is>
      </c>
      <c r="P17" s="1" t="inlineStr">
        <is>
          <t>Student interfacing, Teacher interfacing</t>
        </is>
      </c>
      <c r="Q17" t="inlineStr">
        <is>
          <t>Compilatio Magister / Magister+</t>
        </is>
      </c>
      <c r="R17" t="inlineStr">
        <is>
          <t>Plagiarism detection and AI - for teachers
Guide your students towards responsible practices.</t>
        </is>
      </c>
      <c r="S17" s="10" t="inlineStr">
        <is>
          <t>Compilatio Studium</t>
        </is>
      </c>
      <c r="T17" t="inlineStr">
        <is>
          <t>Plagiarism detection and AI - for students
Check your writing before someone does it
for you.</t>
        </is>
      </c>
      <c r="U17" s="1" t="inlineStr">
        <is>
          <t>https://drive.google.com/uc?export=view&amp;id=15ucyQppAtJC6hfnUmxbiWYqUUMQhp7lX</t>
        </is>
      </c>
      <c r="V17" s="1" t="inlineStr">
        <is>
          <t>Verified</t>
        </is>
      </c>
      <c r="W17" s="1" t="inlineStr">
        <is>
          <t>Public-private partnerships, Industry-academia partnerships, Project consortium building, Collaborations between EdTech organisations, Other</t>
        </is>
      </c>
      <c r="X17" s="1" t="inlineStr">
        <is>
          <t>For-profit company</t>
        </is>
      </c>
      <c r="Y17" s="10" t="b">
        <v>1</v>
      </c>
      <c r="Z17" s="1" t="b">
        <v>1</v>
      </c>
      <c r="AA17" s="1" t="inlineStr">
        <is>
          <t>Yes</t>
        </is>
      </c>
      <c r="AB17" s="1" t="n"/>
      <c r="AC17" s="1" t="inlineStr">
        <is>
          <t>https://fr.linkedin.com/company/compilatio</t>
        </is>
      </c>
      <c r="AD17" s="1" t="inlineStr">
        <is>
          <t>https://fr.linkedin.com/company/compilatio</t>
        </is>
      </c>
      <c r="AE17" s="10" t="inlineStr">
        <is>
          <t>https://www.facebook.com/compilatio.net/</t>
        </is>
      </c>
    </row>
    <row r="18" ht="15.75" customHeight="1">
      <c r="A18" s="6" t="n">
        <v>45846</v>
      </c>
      <c r="B18" s="1" t="inlineStr">
        <is>
          <t>ORG_1726</t>
        </is>
      </c>
      <c r="C18" s="1" t="b">
        <v>1</v>
      </c>
      <c r="D18" s="1" t="inlineStr">
        <is>
          <t>Inokufu</t>
        </is>
      </c>
      <c r="E18" s="10" t="inlineStr">
        <is>
          <t>https://www.inokufu.com/</t>
        </is>
      </c>
      <c r="F18" t="inlineStr">
        <is>
          <t>inokufu.com</t>
        </is>
      </c>
      <c r="G18" s="1" t="inlineStr">
        <is>
          <t>At Inokufu, we help organizations deliver personalized and effective training programs to upskill their talents. Using our proprietary technology, we curate and integrate millions of high-quality learning resources tailored to each learner’s goals, needs, and roles. Our solutions empower training teams to provide the right learning activities at the right time, enhancing productivity and fostering career growth. By leveraging AI and promoting seamless data integration, we create scalable, adaptive training solutions that drive measurable results. Partner with us to unlock the full potential of your talents and build a future-ready workforce.</t>
        </is>
      </c>
      <c r="H18" s="1" t="inlineStr">
        <is>
          <t>AFINEF, EdTech France</t>
        </is>
      </c>
      <c r="I18" s="1" t="inlineStr">
        <is>
          <t>English, French</t>
        </is>
      </c>
      <c r="J18" s="1" t="inlineStr">
        <is>
          <t>Lyon</t>
        </is>
      </c>
      <c r="K18" s="1" t="inlineStr">
        <is>
          <t>France</t>
        </is>
      </c>
      <c r="L18" s="1" t="inlineStr">
        <is>
          <t>France, Luxembourg, Belgium, Monaco, Switzerland</t>
        </is>
      </c>
      <c r="M18" s="1" t="inlineStr">
        <is>
          <t>Small (10-49 FTE employees)</t>
        </is>
      </c>
      <c r="N18" s="1" t="inlineStr">
        <is>
          <t>Business to Business, Business to Schools</t>
        </is>
      </c>
      <c r="O18" s="1" t="inlineStr">
        <is>
          <t>Corporate Training, Lifelong learning/Adult education, Higher Education, Vocational Education and Training (VET)</t>
        </is>
      </c>
      <c r="P18" s="1" t="inlineStr">
        <is>
          <t>Student interfacing, Teacher interfacing, System/Administrative</t>
        </is>
      </c>
      <c r="Q18" t="inlineStr">
        <is>
          <t>Totara LMS + LXP + TMS</t>
        </is>
      </c>
      <c r="R18" t="inlineStr">
        <is>
          <t>Inokufu is a partner of Totara, a fully customizable solution designed for businesses that combines a Learning Management System (LMS), a Learning Experience Platform (LXP), and a Talent Management Solution (TMS). Inokufu supports organizations from custom implementation to ongoing support.</t>
        </is>
      </c>
      <c r="S18" s="10" t="inlineStr">
        <is>
          <t>Learning Objects API</t>
        </is>
      </c>
      <c r="T18" t="inlineStr">
        <is>
          <t>The Learning Objects API is a search engine based on our research in NLP and our expertise in the edtech ecosystem. It provides access to a database of over 5 million educational resources. The API can be integrated into various environments (LMS, authoring tools, AI Chatbot).</t>
        </is>
      </c>
      <c r="U18" s="1" t="inlineStr">
        <is>
          <t>https://drive.google.com/uc?export=view&amp;id=1rdcHG-U7xI7377px4SMmXQmfmoFO6UyL</t>
        </is>
      </c>
      <c r="V18" s="1" t="inlineStr">
        <is>
          <t>Verified</t>
        </is>
      </c>
      <c r="W18" s="1" t="inlineStr">
        <is>
          <t>Collaborations between EdTech organisations, Project consortium building, Public-private partnerships</t>
        </is>
      </c>
      <c r="X18" s="1" t="inlineStr">
        <is>
          <t>For-profit company</t>
        </is>
      </c>
      <c r="Y18" s="10" t="b">
        <v>1</v>
      </c>
      <c r="Z18" s="1" t="b">
        <v>1</v>
      </c>
      <c r="AA18" s="1" t="inlineStr">
        <is>
          <t>Yes</t>
        </is>
      </c>
      <c r="AB18" s="1" t="n"/>
      <c r="AC18" s="1" t="inlineStr">
        <is>
          <t>https://www.linkedin.com/company/inokufu/</t>
        </is>
      </c>
      <c r="AD18" s="1" t="inlineStr">
        <is>
          <t>https://www.linkedin.com/company/inokufu/</t>
        </is>
      </c>
    </row>
    <row r="19" ht="15.75" customHeight="1">
      <c r="A19" s="6" t="n">
        <v>45842</v>
      </c>
      <c r="B19" s="1" t="inlineStr">
        <is>
          <t>ORG_1125</t>
        </is>
      </c>
      <c r="C19" s="1" t="b">
        <v>1</v>
      </c>
      <c r="D19" s="1" t="inlineStr">
        <is>
          <t>Authôt</t>
        </is>
      </c>
      <c r="E19" s="10" t="inlineStr">
        <is>
          <t>https://authot.com/</t>
        </is>
      </c>
      <c r="F19" t="inlineStr">
        <is>
          <t>authot.com</t>
        </is>
      </c>
      <c r="G19" s="1" t="inlineStr">
        <is>
          <t>Language Services for Businesses and Public Organisations. Our combination of AI technology and human expertise streamlines transcription, subtitling and translation processes to deliver impeccable results. Free up your time by letting us handle these tasks, so you can focus on what really matters to your business!</t>
        </is>
      </c>
      <c r="H19" s="1" t="inlineStr">
        <is>
          <t>EdTech France</t>
        </is>
      </c>
      <c r="I19" s="1" t="inlineStr">
        <is>
          <t>English, French, Spanish</t>
        </is>
      </c>
      <c r="J19" s="1" t="inlineStr">
        <is>
          <t>Ivry-sur-Seine</t>
        </is>
      </c>
      <c r="K19" s="1" t="inlineStr">
        <is>
          <t>France</t>
        </is>
      </c>
      <c r="L19" s="1" t="inlineStr">
        <is>
          <t>France, Germany, Italy, Spain, United Kingdom, Belgium, Luxembourg</t>
        </is>
      </c>
      <c r="M19" s="1" t="inlineStr">
        <is>
          <t>Small (10-49 FTE employees)</t>
        </is>
      </c>
      <c r="N19" s="1" t="inlineStr">
        <is>
          <t>Business to Business, Business to Government</t>
        </is>
      </c>
      <c r="O19" s="1" t="inlineStr">
        <is>
          <t>Higher Education, Corporate Training</t>
        </is>
      </c>
      <c r="P19" s="1" t="inlineStr">
        <is>
          <t>Other, System/Administrative</t>
        </is>
      </c>
      <c r="Q19" t="inlineStr">
        <is>
          <t>Authôt APP</t>
        </is>
      </c>
      <c r="R19" t="inlineStr">
        <is>
          <t>Save time and ensure accuracy by automating the production of audio transcription and video translation projects.</t>
        </is>
      </c>
      <c r="S19" s="10" t="inlineStr">
        <is>
          <t>Authôt Live</t>
        </is>
      </c>
      <c r="T19" t="inlineStr">
        <is>
          <t>Exchanges become clearer and more accessible thanks to live transcription and translation.</t>
        </is>
      </c>
      <c r="U19" s="1" t="inlineStr">
        <is>
          <t>https://drive.google.com/uc?export=view&amp;id=1rbMWHybJOUWJpEvO6hosVdOwXbbJ0tJN</t>
        </is>
      </c>
      <c r="V19" s="1" t="inlineStr">
        <is>
          <t>Verified</t>
        </is>
      </c>
      <c r="W19" s="1" t="inlineStr">
        <is>
          <t>Public-private partnerships, Collaborations between EdTech organisations</t>
        </is>
      </c>
      <c r="X19" s="1" t="inlineStr">
        <is>
          <t>For-profit company</t>
        </is>
      </c>
      <c r="Y19" s="10" t="b">
        <v>1</v>
      </c>
      <c r="Z19" s="1" t="b">
        <v>1</v>
      </c>
      <c r="AA19" s="1" t="inlineStr">
        <is>
          <t>Yes</t>
        </is>
      </c>
      <c r="AB19" s="1" t="n"/>
      <c r="AC19" s="1" t="inlineStr">
        <is>
          <t>https://www.linkedin.com/company/authot/</t>
        </is>
      </c>
      <c r="AD19" s="1" t="inlineStr">
        <is>
          <t>https://www.linkedin.com/company/authot/</t>
        </is>
      </c>
    </row>
    <row r="20" ht="15.75" customHeight="1">
      <c r="A20" s="6" t="n">
        <v>45841</v>
      </c>
      <c r="B20" s="1" t="inlineStr">
        <is>
          <t>ORG_2588</t>
        </is>
      </c>
      <c r="C20" s="1" t="b">
        <v>1</v>
      </c>
      <c r="D20" s="1" t="inlineStr">
        <is>
          <t>Aimigo</t>
        </is>
      </c>
      <c r="E20" s="1" t="inlineStr">
        <is>
          <t>aimigo.coach</t>
        </is>
      </c>
      <c r="F20" t="inlineStr">
        <is>
          <t>aimigo.coach</t>
        </is>
      </c>
      <c r="G20" s="1" t="inlineStr">
        <is>
          <t>Language learning and higher education coaching service via phone app and online platform</t>
        </is>
      </c>
      <c r="H20" s="1" t="inlineStr">
        <is>
          <t>EdTech France</t>
        </is>
      </c>
      <c r="I20" s="1" t="inlineStr">
        <is>
          <t>English, French, Spanish, Italian, German</t>
        </is>
      </c>
      <c r="J20" s="1" t="inlineStr">
        <is>
          <t>Paris</t>
        </is>
      </c>
      <c r="K20" s="1" t="inlineStr">
        <is>
          <t>France</t>
        </is>
      </c>
      <c r="L20" s="1" t="inlineStr">
        <is>
          <t>Denmark, France, Germany, Greece, Ireland, Monaco, Portugal, Sweden, United Kingdom, Norway, Italy, Netherlands, Spain, Austria, Finland</t>
        </is>
      </c>
      <c r="M20" s="1" t="inlineStr">
        <is>
          <t>Small (10-49 FTE employees)</t>
        </is>
      </c>
      <c r="N20" s="1" t="inlineStr">
        <is>
          <t>Business to Business, Business to Consumer, Business to Schools</t>
        </is>
      </c>
      <c r="O20" s="1" t="inlineStr">
        <is>
          <t>Secondary Education, Higher Education, Corporate Training, Lifelong learning/Adult education</t>
        </is>
      </c>
      <c r="P20" s="1" t="inlineStr">
        <is>
          <t>Student interfacing</t>
        </is>
      </c>
      <c r="Q20" t="inlineStr">
        <is>
          <t>Gymglish Learning Series</t>
        </is>
      </c>
      <c r="R20" t="inlineStr">
        <is>
          <t>Language learning series</t>
        </is>
      </c>
      <c r="S20" t="inlineStr">
        <is>
          <t>Aimigo coach</t>
        </is>
      </c>
      <c r="T20" t="inlineStr">
        <is>
          <t>Language learning and higher education (health studies) coaching service (virtual coaches online)</t>
        </is>
      </c>
      <c r="U20" s="1" t="inlineStr">
        <is>
          <t>https://drive.google.com/uc?export=view&amp;id=1JgIYxzwQjcTfn3_gxYipeyiC67WVYKZe</t>
        </is>
      </c>
      <c r="V20" s="1" t="inlineStr">
        <is>
          <t>Verified</t>
        </is>
      </c>
      <c r="W20" s="1" t="inlineStr">
        <is>
          <t>Collaborations between EdTech organisations, Public-private partnerships, Industry-academia partnerships</t>
        </is>
      </c>
      <c r="X20" s="1" t="inlineStr">
        <is>
          <t>For-profit company</t>
        </is>
      </c>
      <c r="Y20" s="10" t="b">
        <v>1</v>
      </c>
      <c r="Z20" s="1" t="b">
        <v>1</v>
      </c>
      <c r="AA20" s="1" t="inlineStr">
        <is>
          <t>No</t>
        </is>
      </c>
      <c r="AB20" s="1" t="n"/>
      <c r="AC20" s="1" t="n"/>
      <c r="AD20" s="1" t="n"/>
    </row>
    <row r="21" ht="15.75" customHeight="1">
      <c r="A21" s="6" t="n">
        <v>45841</v>
      </c>
      <c r="B21" s="1" t="inlineStr">
        <is>
          <t>ORG_2587</t>
        </is>
      </c>
      <c r="C21" s="1" t="b">
        <v>1</v>
      </c>
      <c r="D21" s="1" t="inlineStr">
        <is>
          <t>FACIL'iti</t>
        </is>
      </c>
      <c r="E21" s="10" t="inlineStr">
        <is>
          <t>https://mydys.app/edu/en/</t>
        </is>
      </c>
      <c r="F21" t="inlineStr">
        <is>
          <t>mydys.app/edu/en</t>
        </is>
      </c>
      <c r="G21" s="1" t="inlineStr">
        <is>
          <t>FACIL'iti develops digital solutions for a more inclusive and accessible world.</t>
        </is>
      </c>
      <c r="H21" s="1" t="inlineStr">
        <is>
          <t>EdTech France</t>
        </is>
      </c>
      <c r="I21" s="1" t="inlineStr">
        <is>
          <t>English, French, Japanese</t>
        </is>
      </c>
      <c r="J21" s="1" t="inlineStr">
        <is>
          <t>Limoges</t>
        </is>
      </c>
      <c r="K21" s="1" t="inlineStr">
        <is>
          <t>France</t>
        </is>
      </c>
      <c r="L21" s="1" t="inlineStr">
        <is>
          <t>Albania, Andorra, Austria, Bosnia and Herzegovina, Belgium, Belarus, Bulgaria, Croatia, Republic of Cyprus, Estonia, Denmark, Czechia, Finland, France, Germany, Iceland, Hungary, Greece, Ireland, Italy, Kosovo, Lithuania, Liechtenstein, Latvia, Luxembourg, Malta, Moldova, Netherlands, Montenegro, Monaco, North Macedonia, Norway, Poland, San Marino, Romania, Portugal, Slovakia, Slovenia, Spain, Turkey, Switzerland, Sweden, Ukraine, United Kingdom</t>
        </is>
      </c>
      <c r="M21" s="1" t="inlineStr">
        <is>
          <t>Small (10-49 FTE employees)</t>
        </is>
      </c>
      <c r="N21" s="1" t="inlineStr">
        <is>
          <t>Business to Business, Business to Consumer, Business to Schools</t>
        </is>
      </c>
      <c r="O21" s="1" t="inlineStr">
        <is>
          <t>Primary Education, Secondary Education, Vocational Education and Training (VET), Higher Education, Corporate Training, Lifelong learning/Adult education, Special Education</t>
        </is>
      </c>
      <c r="P21" s="1" t="inlineStr">
        <is>
          <t>Student interfacing</t>
        </is>
      </c>
      <c r="Q21" s="10" t="inlineStr">
        <is>
          <t>MYdys</t>
        </is>
      </c>
      <c r="R21" s="10" t="inlineStr">
        <is>
          <t>The MYdys app helps better read and understand
printed text</t>
        </is>
      </c>
      <c r="S21" s="10" t="inlineStr">
        <is>
          <t>https://drive.google.com/uc?export=view&amp;id=1fc945MPVyCobf1Rapft7pibp2bFB9GcQ</t>
        </is>
      </c>
      <c r="T21" t="inlineStr">
        <is>
          <t>https://drive.google.com/uc?export=view&amp;id=1fc945MPVyCobf1Rapft7pibp2bFB9GcQ</t>
        </is>
      </c>
      <c r="U21" s="1" t="inlineStr">
        <is>
          <t>https://drive.google.com/uc?export=view&amp;id=1fc945MPVyCobf1Rapft7pibp2bFB9GcQ</t>
        </is>
      </c>
      <c r="V21" s="1" t="inlineStr">
        <is>
          <t>Verified</t>
        </is>
      </c>
      <c r="W21" t="inlineStr">
        <is>
          <t>Industry-academia partnerships, Project consortium building, Public-private partnerships</t>
        </is>
      </c>
      <c r="X21" t="inlineStr">
        <is>
          <t>For-profit company</t>
        </is>
      </c>
      <c r="Y21" s="10" t="b">
        <v>1</v>
      </c>
      <c r="Z21" s="1" t="b">
        <v>1</v>
      </c>
      <c r="AA21" s="1" t="inlineStr">
        <is>
          <t>Yes</t>
        </is>
      </c>
      <c r="AB21" s="1" t="inlineStr">
        <is>
          <t>https://www.instagram.com/facil_iti/</t>
        </is>
      </c>
      <c r="AC21" s="1" t="inlineStr">
        <is>
          <t>https://x.com/facil_iti</t>
        </is>
      </c>
      <c r="AD21" s="1" t="inlineStr">
        <is>
          <t>https://www.linkedin.com/company/facil-iti-france/</t>
        </is>
      </c>
      <c r="AE21" s="10" t="inlineStr">
        <is>
          <t>https://www.facebook.com/solutionfaciliti/</t>
        </is>
      </c>
    </row>
    <row r="22" ht="15.75" customHeight="1">
      <c r="A22" s="6" t="n">
        <v>45841</v>
      </c>
      <c r="B22" s="1" t="inlineStr">
        <is>
          <t>ORG_1072</t>
        </is>
      </c>
      <c r="C22" s="1" t="b">
        <v>1</v>
      </c>
      <c r="D22" s="1" t="inlineStr">
        <is>
          <t>Anemon</t>
        </is>
      </c>
      <c r="E22" s="10" t="inlineStr">
        <is>
          <t>https://anemon.co/</t>
        </is>
      </c>
      <c r="F22" t="inlineStr">
        <is>
          <t>anemon.co</t>
        </is>
      </c>
      <c r="G22" s="1" t="inlineStr">
        <is>
          <t>Anemon is a B2B EdTech solution offering augmented SMS-based learning and engagement experiences that are fast to deploy (within 48 hours), simple to use, and accessible to all everywhere—even without apps or password. It helps organizations train, engage, and upskill employees on key topics such as risk prevention, workplace safety, generative AI, management, and soft skills. Already used by companies like Airbus, Enedis, and Grünenthal, Anemon fits seamlessly into HR, L&amp;D, QHSE, and transformation strategies.</t>
        </is>
      </c>
      <c r="H22" s="1" t="inlineStr">
        <is>
          <t>EdTech France</t>
        </is>
      </c>
      <c r="I22" s="1" t="inlineStr">
        <is>
          <t>English, French, Spanish, Italian, German, Romanian, Polish, Dutch, Portuguese</t>
        </is>
      </c>
      <c r="K22" s="1" t="inlineStr">
        <is>
          <t>France</t>
        </is>
      </c>
      <c r="L22" s="1" t="inlineStr">
        <is>
          <t>France, Netherlands, Switzerland</t>
        </is>
      </c>
      <c r="M22" s="1" t="inlineStr">
        <is>
          <t>Micro (1-9 FTE employees)</t>
        </is>
      </c>
      <c r="N22" s="1" t="inlineStr">
        <is>
          <t>Business to Business</t>
        </is>
      </c>
      <c r="O22" s="1" t="inlineStr">
        <is>
          <t>Corporate Training, Lifelong learning/Adult education</t>
        </is>
      </c>
      <c r="P22" s="1" t="inlineStr">
        <is>
          <t>System/Administrative</t>
        </is>
      </c>
      <c r="Q22" t="inlineStr">
        <is>
          <t>Anemon Tailored Impact</t>
        </is>
      </c>
      <c r="R22" t="inlineStr">
        <is>
          <t>100 % custom SMS-based learning experiences, inspired by academic research from Harvard and Stanford, co-designed with the client to address specific performance, engagement, or transformation needs. Ideal for QHSE, HR, and corporate communication teams looking for impact and measurable results</t>
        </is>
      </c>
      <c r="S22" s="10" t="inlineStr">
        <is>
          <t>Anemon Ready</t>
        </is>
      </c>
      <c r="T22" t="inlineStr">
        <is>
          <t>Ready-to-deploy augmented SMS learning modules covering key workplace topics (safety, RPS, AI per job, soft skills). Inspired by research from Harvard and Stanford, with an average 70% engagement rate, these courses require no platform or login and can be deployed in just 48h for fast</t>
        </is>
      </c>
      <c r="U22" s="1" t="inlineStr">
        <is>
          <t>https://drive.google.com/uc?export=view&amp;id=1vHeUFHnB7iAIMvUrZyZfNtJYuDWvSVEh</t>
        </is>
      </c>
      <c r="V22" s="1" t="inlineStr">
        <is>
          <t>Verified</t>
        </is>
      </c>
      <c r="W22" s="1" t="inlineStr">
        <is>
          <t>Public-private partnerships, Project consortium building, Collaborations between EdTech organisations</t>
        </is>
      </c>
      <c r="X22" s="1" t="inlineStr">
        <is>
          <t>For-profit company</t>
        </is>
      </c>
      <c r="Y22" s="10" t="b">
        <v>0</v>
      </c>
      <c r="Z22" s="1" t="b">
        <v>1</v>
      </c>
      <c r="AA22" s="1" t="inlineStr">
        <is>
          <t>Yes</t>
        </is>
      </c>
      <c r="AB22" s="1" t="n"/>
      <c r="AC22" s="1" t="inlineStr">
        <is>
          <t>https://fr.linkedin.com/company/withanemon</t>
        </is>
      </c>
      <c r="AD22" s="1" t="inlineStr">
        <is>
          <t>https://fr.linkedin.com/company/withanemon</t>
        </is>
      </c>
    </row>
    <row r="23" ht="15.75" customHeight="1">
      <c r="A23" s="6" t="n">
        <v>45840</v>
      </c>
      <c r="B23" s="1" t="inlineStr">
        <is>
          <t>ORG_2200</t>
        </is>
      </c>
      <c r="C23" s="1" t="b">
        <v>1</v>
      </c>
      <c r="D23" s="1" t="inlineStr">
        <is>
          <t>RosarioSIS</t>
        </is>
      </c>
      <c r="E23" s="10" t="inlineStr">
        <is>
          <t>https://www.rosariosis.org</t>
        </is>
      </c>
      <c r="F23" t="inlineStr">
        <is>
          <t>rosariosis.org</t>
        </is>
      </c>
      <c r="G23" s="1" t="inlineStr">
        <is>
          <t>Free &amp; open source Student Information Systm for school management</t>
        </is>
      </c>
      <c r="H23" s="1" t="inlineStr">
        <is>
          <t>I'm not part of any EdTech association</t>
        </is>
      </c>
      <c r="I23" s="1" t="inlineStr">
        <is>
          <t>English, French, Spanish, German, Arabic, Portuguese, Greek, Turkish, Bulgarian</t>
        </is>
      </c>
      <c r="J23" s="1" t="inlineStr">
        <is>
          <t>Villeurbanne</t>
        </is>
      </c>
      <c r="K23" s="1" t="inlineStr">
        <is>
          <t>France</t>
        </is>
      </c>
      <c r="L23" s="1" t="inlineStr">
        <is>
          <t>France, Slovenia, Germany, Greece</t>
        </is>
      </c>
      <c r="M23" s="1" t="inlineStr">
        <is>
          <t>Solo entrepreneur</t>
        </is>
      </c>
      <c r="N23" s="1" t="inlineStr">
        <is>
          <t>Business to Schools, Business to Business</t>
        </is>
      </c>
      <c r="O23" s="1" t="inlineStr">
        <is>
          <t>Primary Education, Secondary Education, Higher Education, Early childhood development (0-5 years)</t>
        </is>
      </c>
      <c r="P23" s="1" t="inlineStr">
        <is>
          <t>Student interfacing, Teacher interfacing, System/Administrative</t>
        </is>
      </c>
      <c r="Q23" t="inlineStr">
        <is>
          <t>RosarioSIS</t>
        </is>
      </c>
      <c r="R23" t="inlineStr">
        <is>
          <t>Student Information System for school management</t>
        </is>
      </c>
      <c r="S23" t="inlineStr">
        <is>
          <t>https://drive.google.com/uc?export=view&amp;id=1oT_Sl7MpAWvx9CMW5Dfi1C3ImWV1vQxE</t>
        </is>
      </c>
      <c r="T23" t="inlineStr">
        <is>
          <t>https://drive.google.com/uc?export=view&amp;id=1oT_Sl7MpAWvx9CMW5Dfi1C3ImWV1vQxE</t>
        </is>
      </c>
      <c r="U23" s="1" t="inlineStr">
        <is>
          <t>https://drive.google.com/uc?export=view&amp;id=1oT_Sl7MpAWvx9CMW5Dfi1C3ImWV1vQxE</t>
        </is>
      </c>
      <c r="V23" s="1" t="inlineStr">
        <is>
          <t>Verified</t>
        </is>
      </c>
      <c r="W23" t="inlineStr">
        <is>
          <t>Collaborations between EdTech organisations, Public-private partnerships</t>
        </is>
      </c>
      <c r="X23" t="inlineStr">
        <is>
          <t>For-profit company</t>
        </is>
      </c>
      <c r="Y23" s="10" t="b">
        <v>1</v>
      </c>
      <c r="Z23" s="1" t="b">
        <v>0</v>
      </c>
      <c r="AA23" s="1" t="inlineStr">
        <is>
          <t>No</t>
        </is>
      </c>
      <c r="AB23" s="1" t="n"/>
      <c r="AC23" s="1" t="n"/>
      <c r="AD23" s="1" t="n"/>
    </row>
    <row r="24" ht="15.75" customHeight="1">
      <c r="A24" s="6" t="n">
        <v>45840</v>
      </c>
      <c r="B24" s="1" t="inlineStr">
        <is>
          <t>ORG_1265</t>
        </is>
      </c>
      <c r="C24" s="1" t="b">
        <v>1</v>
      </c>
      <c r="D24" s="1" t="inlineStr">
        <is>
          <t>Co-gito</t>
        </is>
      </c>
      <c r="E24" s="10" t="inlineStr">
        <is>
          <t>https://co-gito.coml</t>
        </is>
      </c>
      <c r="F24" t="inlineStr">
        <is>
          <t>co-gito.coml</t>
        </is>
      </c>
      <c r="G24" s="1" t="inlineStr">
        <is>
          <t>The most effective training tool thanks to AI and neuroscience.</t>
        </is>
      </c>
      <c r="H24" s="1" t="inlineStr">
        <is>
          <t>EdTech France</t>
        </is>
      </c>
      <c r="I24" s="1" t="inlineStr">
        <is>
          <t>French, English</t>
        </is>
      </c>
      <c r="J24" s="1" t="inlineStr">
        <is>
          <t>Paris</t>
        </is>
      </c>
      <c r="K24" s="1" t="inlineStr">
        <is>
          <t>France</t>
        </is>
      </c>
      <c r="L24" s="1" t="inlineStr">
        <is>
          <t>France</t>
        </is>
      </c>
      <c r="M24" s="1" t="inlineStr">
        <is>
          <t>Micro (1-9 FTE employees)</t>
        </is>
      </c>
      <c r="N24" s="1" t="inlineStr">
        <is>
          <t>Business to Business</t>
        </is>
      </c>
      <c r="O24" s="1" t="inlineStr">
        <is>
          <t>Vocational Education and Training (VET), Higher Education, Corporate Training</t>
        </is>
      </c>
      <c r="P24" s="1" t="inlineStr">
        <is>
          <t>Student interfacing, Teacher interfacing</t>
        </is>
      </c>
      <c r="Q24" t="inlineStr">
        <is>
          <t>Co-gito webapp</t>
        </is>
      </c>
      <c r="R24" t="inlineStr">
        <is>
          <t>Co-gito boosts learning efficiency by applying key neuroscience principles through AI — including spaced repetition, adaptive difficulty, and personalized feedback.
Its intuitive editor lets you build interactive courses in minutes, with advanced analytics to track learner progress and engagement.</t>
        </is>
      </c>
      <c r="S24" s="10" t="inlineStr">
        <is>
          <t>https://drive.google.com/uc?export=view&amp;id=11YmoB_x8Xh0TbjPHSoRb664nIXO_Ur9S</t>
        </is>
      </c>
      <c r="T24" t="inlineStr">
        <is>
          <t>https://drive.google.com/uc?export=view&amp;id=11YmoB_x8Xh0TbjPHSoRb664nIXO_Ur9S</t>
        </is>
      </c>
      <c r="U24" s="1" t="inlineStr">
        <is>
          <t>https://drive.google.com/uc?export=view&amp;id=11YmoB_x8Xh0TbjPHSoRb664nIXO_Ur9S</t>
        </is>
      </c>
      <c r="V24" s="1" t="inlineStr">
        <is>
          <t>Verified</t>
        </is>
      </c>
      <c r="W24" t="inlineStr">
        <is>
          <t>Collaborations between EdTech organisations, Project consortium building, Public-private partnerships, Industry-academia partnerships</t>
        </is>
      </c>
      <c r="X24" t="inlineStr">
        <is>
          <t>For-profit company</t>
        </is>
      </c>
      <c r="Y24" s="10" t="b">
        <v>1</v>
      </c>
      <c r="Z24" s="1" t="b">
        <v>1</v>
      </c>
      <c r="AA24" s="1" t="inlineStr">
        <is>
          <t>Yes</t>
        </is>
      </c>
      <c r="AB24" s="1" t="n"/>
      <c r="AC24" s="1" t="inlineStr">
        <is>
          <t>https://www.linkedin.com/company/co-gito</t>
        </is>
      </c>
      <c r="AD24" s="1" t="inlineStr">
        <is>
          <t>https://www.linkedin.com/company/co-gito</t>
        </is>
      </c>
    </row>
    <row r="25" ht="15.75" customHeight="1">
      <c r="A25" s="6" t="n">
        <v>45840</v>
      </c>
      <c r="B25" s="1" t="inlineStr">
        <is>
          <t>ORG_2576</t>
        </is>
      </c>
      <c r="C25" s="1" t="b">
        <v>1</v>
      </c>
      <c r="D25" s="1" t="inlineStr">
        <is>
          <t>PomeLabs</t>
        </is>
      </c>
      <c r="E25" s="10" t="inlineStr">
        <is>
          <t>https://www.pomelabs.com/</t>
        </is>
      </c>
      <c r="F25" t="inlineStr">
        <is>
          <t>pomelabs.com</t>
        </is>
      </c>
      <c r="G25" s="1" t="inlineStr">
        <is>
          <t>PomeLabs is an edtech startup that designs innovative tools to make learning electronics and computer engineering more practical, engaging, and accessible. We support educational and training institutions with a unique combination of smart, modular hardware and an interactive digital platform, helping educators deliver hands-on, future-ready learning experiences.</t>
        </is>
      </c>
      <c r="H25" s="1" t="inlineStr">
        <is>
          <t>I'm not part of any EdTech association</t>
        </is>
      </c>
      <c r="I25" s="1" t="inlineStr">
        <is>
          <t>English, French</t>
        </is>
      </c>
      <c r="J25" s="1" t="inlineStr">
        <is>
          <t>Paris</t>
        </is>
      </c>
      <c r="K25" s="1" t="inlineStr">
        <is>
          <t>France</t>
        </is>
      </c>
      <c r="L25" s="1" t="inlineStr">
        <is>
          <t>France, Netherlands</t>
        </is>
      </c>
      <c r="M25" s="1" t="inlineStr">
        <is>
          <t>Micro (1-9 FTE employees)</t>
        </is>
      </c>
      <c r="N25" s="1" t="inlineStr">
        <is>
          <t>Business to Business, Business to Consumer</t>
        </is>
      </c>
      <c r="O25" s="1" t="inlineStr">
        <is>
          <t>Secondary Education, Vocational Education and Training (VET), Higher Education, Lifelong learning/Adult education</t>
        </is>
      </c>
      <c r="P25" s="1" t="inlineStr">
        <is>
          <t>Student interfacing, Teacher interfacing</t>
        </is>
      </c>
      <c r="Q25" s="10" t="inlineStr">
        <is>
          <t>PomeLabs + Connect</t>
        </is>
      </c>
      <c r="R25" t="inlineStr">
        <is>
          <t>PomeLabs + Connect is a durable, modular solution with built-in digital twin technology. It makes hands-on learning more accessible and overcomes the limitations of traditional lab equipment to enhance teaching and learning computer engineering.</t>
        </is>
      </c>
      <c r="S25" s="10" t="inlineStr">
        <is>
          <t>https://drive.google.com/uc?export=view&amp;id=1jTenh2OnHwPh3-xtOXPYNR2LStGOerQV</t>
        </is>
      </c>
      <c r="T25" t="inlineStr">
        <is>
          <t>https://drive.google.com/uc?export=view&amp;id=1jTenh2OnHwPh3-xtOXPYNR2LStGOerQV</t>
        </is>
      </c>
      <c r="U25" s="1" t="inlineStr">
        <is>
          <t>https://drive.google.com/uc?export=view&amp;id=1jTenh2OnHwPh3-xtOXPYNR2LStGOerQV</t>
        </is>
      </c>
      <c r="V25" s="1" t="inlineStr">
        <is>
          <t>Verified</t>
        </is>
      </c>
      <c r="W25" t="inlineStr">
        <is>
          <t>Project consortium building, Public-private partnerships</t>
        </is>
      </c>
      <c r="X25" t="inlineStr">
        <is>
          <t>For-profit company</t>
        </is>
      </c>
      <c r="Y25" s="10" t="b">
        <v>1</v>
      </c>
      <c r="Z25" s="1" t="b">
        <v>1</v>
      </c>
      <c r="AA25" s="1" t="inlineStr">
        <is>
          <t>Yes</t>
        </is>
      </c>
      <c r="AB25" s="1" t="inlineStr">
        <is>
          <t>https://www.instagram.com/pome.labs/</t>
        </is>
      </c>
      <c r="AC25" s="1" t="inlineStr">
        <is>
          <t>https://www.linkedin.com/company/pomelabs</t>
        </is>
      </c>
      <c r="AD25" s="1" t="inlineStr">
        <is>
          <t>https://www.linkedin.com/company/pomelabs</t>
        </is>
      </c>
    </row>
    <row r="26" ht="15.75" customHeight="1">
      <c r="A26" s="6" t="n">
        <v>45840</v>
      </c>
      <c r="B26" s="1" t="inlineStr">
        <is>
          <t>ORG_1460</t>
        </is>
      </c>
      <c r="C26" s="1" t="b">
        <v>1</v>
      </c>
      <c r="D26" s="1" t="inlineStr">
        <is>
          <t>Edusign</t>
        </is>
      </c>
      <c r="E26" s="10" t="inlineStr">
        <is>
          <t>https://edusign.com/</t>
        </is>
      </c>
      <c r="F26" t="inlineStr">
        <is>
          <t>edusign.com</t>
        </is>
      </c>
      <c r="G26" s="1" t="inlineStr">
        <is>
          <t>Edusign is the leading EdTech solution that helps schools and training organizations automate their administration while boosting learner engagement through a modern and connected app.</t>
        </is>
      </c>
      <c r="H26" s="1" t="inlineStr">
        <is>
          <t>EdTech France</t>
        </is>
      </c>
      <c r="I26" s="1" t="inlineStr">
        <is>
          <t>French, English, Spanish</t>
        </is>
      </c>
      <c r="J26" s="1" t="inlineStr">
        <is>
          <t>Saint-Germain-en-Laye</t>
        </is>
      </c>
      <c r="K26" s="1" t="inlineStr">
        <is>
          <t>France</t>
        </is>
      </c>
      <c r="L26" s="1" t="inlineStr">
        <is>
          <t>Spain, United Kingdom, Switzerland, France, Germany, Belgium, Luxembourg, Monaco, Netherlands, Latin America, United States of America, Canada</t>
        </is>
      </c>
      <c r="M26" s="1" t="inlineStr">
        <is>
          <t>Medium (50-250 FTE employees)</t>
        </is>
      </c>
      <c r="N26" s="1" t="inlineStr">
        <is>
          <t>Business to Business, Business to Schools</t>
        </is>
      </c>
      <c r="O26" s="1" t="inlineStr">
        <is>
          <t>Higher Education, Corporate Training, Lifelong learning/Adult education, Vocational Education and Training (VET)</t>
        </is>
      </c>
      <c r="P26" s="1" t="inlineStr">
        <is>
          <t>Student interfacing, Teacher interfacing, System/Administrative</t>
        </is>
      </c>
      <c r="Q26" t="inlineStr">
        <is>
          <t>Signing in</t>
        </is>
      </c>
      <c r="R26" t="inlineStr">
        <is>
          <t>Attendance sheets can be signed online remotely or in person. Edusign offers your training centers a solution for every situation and every device with five different signing modes. The solutions are available on any screen and are secure. All your documents can be sent to your learners for signing.</t>
        </is>
      </c>
      <c r="S26" s="10" t="inlineStr">
        <is>
          <t>All-in-one application</t>
        </is>
      </c>
      <c r="T26" t="inlineStr">
        <is>
          <t>Edusign offers a customized application, a ready-to-use mobile solution designed for higher education and training institutions, allowing students to access all of their services (schedules, grades, absences, communications, administrative procedures) from their smartphone or computer. The app, avai</t>
        </is>
      </c>
      <c r="U26" s="1" t="n"/>
      <c r="V26" s="1" t="inlineStr">
        <is>
          <t>Verified</t>
        </is>
      </c>
      <c r="W26" s="1" t="inlineStr">
        <is>
          <t>Collaborations between EdTech organisations</t>
        </is>
      </c>
      <c r="X26" s="1" t="inlineStr">
        <is>
          <t>For-profit company</t>
        </is>
      </c>
      <c r="Y26" t="b">
        <v>1</v>
      </c>
      <c r="Z26" s="1" t="b">
        <v>0</v>
      </c>
      <c r="AA26" s="1" t="inlineStr">
        <is>
          <t>Yes</t>
        </is>
      </c>
      <c r="AB26" s="1" t="n"/>
      <c r="AC26" s="1" t="inlineStr">
        <is>
          <t>https://www.linkedin.com/company/edusign/</t>
        </is>
      </c>
      <c r="AD26" s="1" t="inlineStr">
        <is>
          <t>https://www.linkedin.com/company/edusign/</t>
        </is>
      </c>
    </row>
    <row r="27" ht="15.75" customHeight="1">
      <c r="A27" s="6" t="n">
        <v>45840</v>
      </c>
      <c r="B27" s="1" t="inlineStr">
        <is>
          <t>ORG_1735</t>
        </is>
      </c>
      <c r="C27" s="1" t="b">
        <v>1</v>
      </c>
      <c r="D27" s="1" t="inlineStr">
        <is>
          <t>Intuition RT</t>
        </is>
      </c>
      <c r="E27" s="10" t="inlineStr">
        <is>
          <t>ilorobot.com</t>
        </is>
      </c>
      <c r="F27" t="inlineStr">
        <is>
          <t>ilorobot.com</t>
        </is>
      </c>
      <c r="G27" s="1" t="inlineStr">
        <is>
          <t>Robots for education, helping to develop STEM knowledge from the younger age to engineering level.</t>
        </is>
      </c>
      <c r="H27" s="1" t="inlineStr">
        <is>
          <t>EdTech France</t>
        </is>
      </c>
      <c r="I27" s="1" t="inlineStr">
        <is>
          <t>French, English, Spanish</t>
        </is>
      </c>
      <c r="J27" s="1" t="inlineStr">
        <is>
          <t>Rennes</t>
        </is>
      </c>
      <c r="K27" s="1" t="inlineStr">
        <is>
          <t>France</t>
        </is>
      </c>
      <c r="L27" s="1" t="inlineStr">
        <is>
          <t>France</t>
        </is>
      </c>
      <c r="M27" s="1" t="inlineStr">
        <is>
          <t>Micro (1-9 FTE employees)</t>
        </is>
      </c>
      <c r="N27" s="1" t="inlineStr">
        <is>
          <t>Business to Business, Business to Consumer, Business to Schools, Business to Government</t>
        </is>
      </c>
      <c r="O27" s="1" t="inlineStr">
        <is>
          <t>Early childhood development (0-5 years), Primary Education, Secondary Education, Higher Education, Special Education</t>
        </is>
      </c>
      <c r="P27" s="1" t="inlineStr">
        <is>
          <t>Teacher interfacing, Student interfacing</t>
        </is>
      </c>
      <c r="Q27" t="inlineStr">
        <is>
          <t>ilo robot</t>
        </is>
      </c>
      <c r="R27" t="inlineStr">
        <is>
          <t>ilo is the best tool to develop STEM from zero to hero.</t>
        </is>
      </c>
      <c r="S27" s="10" t="n"/>
      <c r="U27" s="1" t="n"/>
      <c r="V27" s="1" t="inlineStr">
        <is>
          <t>Verified</t>
        </is>
      </c>
      <c r="W27" t="inlineStr">
        <is>
          <t>Project consortium building, Collaborations between EdTech organisations</t>
        </is>
      </c>
      <c r="X27" t="inlineStr">
        <is>
          <t>For-profit company</t>
        </is>
      </c>
      <c r="Y27" t="b">
        <v>1</v>
      </c>
      <c r="Z27" s="1" t="b">
        <v>1</v>
      </c>
      <c r="AA27" s="1" t="inlineStr">
        <is>
          <t>Yes</t>
        </is>
      </c>
      <c r="AB27" s="1" t="n"/>
      <c r="AC27" s="1" t="inlineStr">
        <is>
          <t>https://www.linkedin.com/company/ilorobot/</t>
        </is>
      </c>
      <c r="AD27" s="1" t="inlineStr">
        <is>
          <t>https://www.linkedin.com/company/ilorobot/</t>
        </is>
      </c>
    </row>
    <row r="28" ht="15.75" customHeight="1">
      <c r="A28" s="6" t="n">
        <v>45840</v>
      </c>
      <c r="B28" s="1" t="inlineStr">
        <is>
          <t>ORG_1506</t>
        </is>
      </c>
      <c r="C28" s="1" t="b">
        <v>1</v>
      </c>
      <c r="D28" s="1" t="inlineStr">
        <is>
          <t>Epistemes</t>
        </is>
      </c>
      <c r="E28" s="10" t="inlineStr">
        <is>
          <t>www.epistemes-formation.fr</t>
        </is>
      </c>
      <c r="F28" t="inlineStr">
        <is>
          <t>epistemes-formation.fr</t>
        </is>
      </c>
      <c r="G28" s="1" t="inlineStr">
        <is>
          <t>Epistemes designs educational virtual and immersive (XR) environments that assess and analyze learner behavior through its R&amp;D work in cognitive sciences in partnership with research laboratories.</t>
        </is>
      </c>
      <c r="H28" s="1" t="inlineStr">
        <is>
          <t>EdTech France</t>
        </is>
      </c>
      <c r="I28" s="1" t="inlineStr">
        <is>
          <t>English, German, French, Italian, Spanish</t>
        </is>
      </c>
      <c r="J28" s="1" t="inlineStr">
        <is>
          <t>Bages</t>
        </is>
      </c>
      <c r="K28" s="1" t="inlineStr">
        <is>
          <t>France</t>
        </is>
      </c>
      <c r="L28" s="1" t="inlineStr">
        <is>
          <t>France, Italy, Ireland, Greece, Germany, Luxembourg, Portugal, Spain</t>
        </is>
      </c>
      <c r="M28" s="1" t="inlineStr">
        <is>
          <t>Micro (1-9 FTE employees)</t>
        </is>
      </c>
      <c r="N28" s="1" t="inlineStr">
        <is>
          <t>Business to Business, Business to Government, Business to Schools</t>
        </is>
      </c>
      <c r="O28" s="1" t="inlineStr">
        <is>
          <t>Special Education, Lifelong learning/Adult education, Corporate Training, Higher Education, Vocational Education and Training (VET), Secondary Education</t>
        </is>
      </c>
      <c r="P28" s="1" t="inlineStr">
        <is>
          <t>Student interfacing, Teacher interfacing, System/Administrative</t>
        </is>
      </c>
      <c r="Q28" t="inlineStr">
        <is>
          <t>Virtual reality simulator for repairing electric cars</t>
        </is>
      </c>
      <c r="R28" t="inlineStr">
        <is>
          <t>Epistemes has designed a customized, immersive training program for Norauto France to teach maintenance and repair of electric car cooling systems. The program aims to train 500 mechanics over the next three years.</t>
        </is>
      </c>
      <c r="S28" s="10" t="inlineStr">
        <is>
          <t>Navalia</t>
        </is>
      </c>
      <c r="T28" t="inlineStr">
        <is>
          <t>Epistemes has designed a tailor-made and immersive training program for the University of Perpignan with the aim of training Master's students in archaeology in the recognition of the components of a Roman boat and in its construction using the tools and assembly techniques of the time.</t>
        </is>
      </c>
      <c r="U28" s="1" t="n"/>
      <c r="V28" s="1" t="inlineStr">
        <is>
          <t>Verified</t>
        </is>
      </c>
      <c r="W28" s="1" t="inlineStr">
        <is>
          <t>Collaborations between EdTech organisations, Project consortium building, Public-private partnerships, Industry-academia partnerships</t>
        </is>
      </c>
      <c r="X28" s="1" t="inlineStr">
        <is>
          <t>For-profit company</t>
        </is>
      </c>
      <c r="Y28" t="b">
        <v>1</v>
      </c>
      <c r="Z28" s="1" t="b">
        <v>1</v>
      </c>
      <c r="AA28" s="1" t="inlineStr">
        <is>
          <t>Yes</t>
        </is>
      </c>
      <c r="AB28" s="1" t="n"/>
      <c r="AC28" s="1" t="inlineStr">
        <is>
          <t>https://www.linkedin.com/company/episteme</t>
        </is>
      </c>
      <c r="AD28" s="1" t="inlineStr">
        <is>
          <t>https://www.linkedin.com/company/episteme</t>
        </is>
      </c>
    </row>
    <row r="29" ht="15.75" customHeight="1">
      <c r="A29" s="6" t="n">
        <v>45839</v>
      </c>
      <c r="B29" s="1" t="inlineStr">
        <is>
          <t>ORG_1424</t>
        </is>
      </c>
      <c r="C29" s="1" t="b">
        <v>1</v>
      </c>
      <c r="D29" s="1" t="inlineStr">
        <is>
          <t>Educacode</t>
        </is>
      </c>
      <c r="E29" s="10" t="inlineStr">
        <is>
          <t>www.educacode.com</t>
        </is>
      </c>
      <c r="F29" t="inlineStr">
        <is>
          <t>educacode.com</t>
        </is>
      </c>
      <c r="G29" s="1" t="inlineStr">
        <is>
          <t>Educacode is a French company that designs innovative digital training solutions and e-learning platforms to modernize and democratize education.</t>
        </is>
      </c>
      <c r="H29" s="1" t="inlineStr">
        <is>
          <t>EdTech France</t>
        </is>
      </c>
      <c r="I29" s="1" t="inlineStr">
        <is>
          <t>French</t>
        </is>
      </c>
      <c r="J29" s="1" t="inlineStr">
        <is>
          <t>La Rochelle</t>
        </is>
      </c>
      <c r="K29" s="1" t="inlineStr">
        <is>
          <t>France</t>
        </is>
      </c>
      <c r="L29" s="1" t="inlineStr">
        <is>
          <t>France</t>
        </is>
      </c>
      <c r="M29" s="1" t="inlineStr">
        <is>
          <t>Small (10-49 FTE employees)</t>
        </is>
      </c>
      <c r="N29" s="1" t="inlineStr">
        <is>
          <t>Business to Business</t>
        </is>
      </c>
      <c r="O29" s="1" t="inlineStr">
        <is>
          <t>Corporate Training, Lifelong learning/Adult education</t>
        </is>
      </c>
      <c r="P29" s="1" t="inlineStr">
        <is>
          <t>Student interfacing, Teacher interfacing, System/Administrative</t>
        </is>
      </c>
      <c r="Q29" t="inlineStr">
        <is>
          <t>Codapagos</t>
        </is>
      </c>
      <c r="R29" t="inlineStr">
        <is>
          <t>Codapagos is an innovative hybrid learning solution that combines a mobile app with in-school sessions led by certified instructors, enabling high school students in France to effectively prepare for their driving theory exam through an engaging and accessible approach.</t>
        </is>
      </c>
      <c r="S29" s="10" t="inlineStr">
        <is>
          <t>Codabox</t>
        </is>
      </c>
      <c r="T29" t="inlineStr">
        <is>
          <t>Codabox is a connected edge device designed to digitize and secure road safety training sessions, enabling attendance tracking and activity validation even in areas without internet access.</t>
        </is>
      </c>
      <c r="U29" s="1" t="n"/>
      <c r="V29" s="1" t="inlineStr">
        <is>
          <t>Verified</t>
        </is>
      </c>
      <c r="W29" s="1" t="inlineStr">
        <is>
          <t>Collaborations between EdTech organisations, Project consortium building</t>
        </is>
      </c>
      <c r="X29" s="1" t="inlineStr">
        <is>
          <t>For-profit company</t>
        </is>
      </c>
      <c r="Y29" t="b">
        <v>1</v>
      </c>
      <c r="Z29" s="1" t="b">
        <v>1</v>
      </c>
      <c r="AA29" s="1" t="inlineStr">
        <is>
          <t>Yes</t>
        </is>
      </c>
      <c r="AB29" s="1" t="n"/>
      <c r="AC29" s="1" t="inlineStr">
        <is>
          <t>https://www.linkedin.com/company/educacode</t>
        </is>
      </c>
      <c r="AD29" s="1" t="inlineStr">
        <is>
          <t>https://www.linkedin.com/company/educacode</t>
        </is>
      </c>
    </row>
    <row r="30" ht="15.75" customHeight="1">
      <c r="A30" s="6" t="n">
        <v>45839</v>
      </c>
      <c r="B30" s="1" t="inlineStr">
        <is>
          <t>ORG_2532</t>
        </is>
      </c>
      <c r="C30" s="1" t="b">
        <v>1</v>
      </c>
      <c r="D30" s="1" t="inlineStr">
        <is>
          <t>WiDiD</t>
        </is>
      </c>
      <c r="E30" s="10" t="inlineStr">
        <is>
          <t>https://widid.fr/</t>
        </is>
      </c>
      <c r="F30" t="inlineStr">
        <is>
          <t>widid.fr</t>
        </is>
      </c>
      <c r="G30" s="1" t="inlineStr">
        <is>
          <t>WiDiD is a French EdTech startup that develops immersive training modules using virtual reality and artificial intelligence. Our platform enables learners to acquire soft and technical skills through realistic, self-contained simulations, accessible via a PC or VR headset. WiDiD works with schools, vocational training centers and companies to transform learning experiences in sectors such as agriculture, industry, healthcare and education.</t>
        </is>
      </c>
      <c r="H30" s="1" t="inlineStr">
        <is>
          <t>I'm not part of any EdTech association</t>
        </is>
      </c>
      <c r="I30" s="1" t="inlineStr">
        <is>
          <t>French, Spanish, English, Italian</t>
        </is>
      </c>
      <c r="J30" s="1" t="inlineStr">
        <is>
          <t>TOULOUSE</t>
        </is>
      </c>
      <c r="K30" s="1" t="inlineStr">
        <is>
          <t>France</t>
        </is>
      </c>
      <c r="L30" s="1" t="inlineStr">
        <is>
          <t>France, Switzerland</t>
        </is>
      </c>
      <c r="M30" s="1" t="inlineStr">
        <is>
          <t>Micro (1-9 FTE employees)</t>
        </is>
      </c>
      <c r="N30" s="1" t="inlineStr">
        <is>
          <t>Business to Schools, Business to Business</t>
        </is>
      </c>
      <c r="O30" s="1" t="inlineStr">
        <is>
          <t>Corporate Training, Higher Education, Lifelong learning/Adult education, Vocational Education and Training (VET), Special Education</t>
        </is>
      </c>
      <c r="P30" s="1" t="inlineStr">
        <is>
          <t>Student interfacing, Teacher interfacing</t>
        </is>
      </c>
      <c r="Q30" t="inlineStr">
        <is>
          <t>WiDiD Immersive</t>
        </is>
      </c>
      <c r="R30" t="inlineStr">
        <is>
          <t>WiDiD Immersive is an AI-assisted ILMS offering VR and PC based training for soft and technical skills. It enables progress tracking, content customization and unlimited, safe practice with real-time feedback.</t>
        </is>
      </c>
      <c r="S30" s="10" t="inlineStr">
        <is>
          <t>Dialogue Player &amp; Dialogue Designer</t>
        </is>
      </c>
      <c r="T30" t="inlineStr">
        <is>
          <t>Our no-code tools enable trainers to easily design and deploy exchange-based simulations. The Dialogue Designer enables the intuitive creation of scenarios for any situation, while the Dialogue Player lets learners practice their communication skills in an immersive environment.</t>
        </is>
      </c>
      <c r="U30" s="1" t="n"/>
      <c r="V30" s="1" t="inlineStr">
        <is>
          <t>Verified</t>
        </is>
      </c>
      <c r="W30" s="1" t="inlineStr">
        <is>
          <t>Project consortium building, Industry-academia partnerships, Collaborations between EdTech organisations</t>
        </is>
      </c>
      <c r="X30" s="1" t="inlineStr">
        <is>
          <t>For-profit company</t>
        </is>
      </c>
      <c r="Y30" t="b">
        <v>1</v>
      </c>
      <c r="Z30" s="1" t="b">
        <v>1</v>
      </c>
      <c r="AA30" s="1" t="inlineStr">
        <is>
          <t>Yes</t>
        </is>
      </c>
      <c r="AB30" s="1" t="n"/>
      <c r="AC30" s="1" t="inlineStr">
        <is>
          <t>https://www.linkedin.com/company/11763645/</t>
        </is>
      </c>
      <c r="AD30" s="1" t="inlineStr">
        <is>
          <t>https://www.linkedin.com/company/11763645/</t>
        </is>
      </c>
    </row>
    <row r="31" ht="15.75" customHeight="1">
      <c r="A31" s="6" t="n">
        <v>45839</v>
      </c>
      <c r="B31" s="1" t="inlineStr">
        <is>
          <t>ORG_1299</t>
        </is>
      </c>
      <c r="C31" s="1" t="b">
        <v>1</v>
      </c>
      <c r="D31" s="1" t="inlineStr">
        <is>
          <t>Corolair</t>
        </is>
      </c>
      <c r="E31" s="10" t="inlineStr">
        <is>
          <t>corolair.com</t>
        </is>
      </c>
      <c r="F31" t="inlineStr">
        <is>
          <t>corolair.com</t>
        </is>
      </c>
      <c r="G31" s="1" t="inlineStr">
        <is>
          <t>The student-centric AI assistant for Higher Education</t>
        </is>
      </c>
      <c r="H31" s="1" t="inlineStr">
        <is>
          <t>EdTech France</t>
        </is>
      </c>
      <c r="I31" s="1" t="inlineStr">
        <is>
          <t>English, Spanish, Italian, French, German</t>
        </is>
      </c>
      <c r="J31" s="1" t="inlineStr">
        <is>
          <t>Paris</t>
        </is>
      </c>
      <c r="K31" s="1" t="inlineStr">
        <is>
          <t>France</t>
        </is>
      </c>
      <c r="L31" s="1" t="inlineStr">
        <is>
          <t>France, Spain, Switzerland, United Kingdom, Netherlands, Germany</t>
        </is>
      </c>
      <c r="M31" s="1" t="inlineStr">
        <is>
          <t>Micro (1-9 FTE employees)</t>
        </is>
      </c>
      <c r="N31" s="1" t="inlineStr">
        <is>
          <t>Business to Business</t>
        </is>
      </c>
      <c r="O31" s="1" t="inlineStr">
        <is>
          <t>Higher Education, Vocational Education and Training (VET), Corporate Training, Lifelong learning/Adult education</t>
        </is>
      </c>
      <c r="P31" s="1" t="inlineStr">
        <is>
          <t>Student interfacing, Teacher interfacing, System/Administrative</t>
        </is>
      </c>
      <c r="Q31" t="inlineStr">
        <is>
          <t>Teaching assistant on Moodle</t>
        </is>
      </c>
      <c r="R31" t="inlineStr">
        <is>
          <t>Support students 24/7 on their academic, admin &amp; pro questions</t>
        </is>
      </c>
      <c r="S31" t="inlineStr">
        <is>
          <t>Essay pre-grader</t>
        </is>
      </c>
      <c r="T31" t="inlineStr">
        <is>
          <t>Save up to 10h/week grading student work</t>
        </is>
      </c>
      <c r="U31" s="1" t="n"/>
      <c r="V31" s="1" t="inlineStr">
        <is>
          <t>Verified</t>
        </is>
      </c>
      <c r="W31" s="1" t="inlineStr">
        <is>
          <t>Project consortium building, Public-private partnerships, Industry-academia partnerships, Collaborations between EdTech organisations</t>
        </is>
      </c>
      <c r="X31" s="1" t="inlineStr">
        <is>
          <t>For-profit company</t>
        </is>
      </c>
      <c r="Y31" t="b">
        <v>1</v>
      </c>
      <c r="Z31" s="1" t="b">
        <v>1</v>
      </c>
      <c r="AA31" s="1" t="inlineStr">
        <is>
          <t>No</t>
        </is>
      </c>
      <c r="AB31" s="1" t="n"/>
      <c r="AC31" s="1" t="n"/>
      <c r="AD31" s="1" t="n"/>
    </row>
    <row r="32" ht="15.75" customHeight="1">
      <c r="A32" s="6" t="n">
        <v>45839</v>
      </c>
      <c r="B32" s="1" t="inlineStr">
        <is>
          <t>ORG_2470</t>
        </is>
      </c>
      <c r="C32" s="1" t="b">
        <v>1</v>
      </c>
      <c r="D32" s="1" t="inlineStr">
        <is>
          <t>UNOWHY</t>
        </is>
      </c>
      <c r="E32" s="10" t="inlineStr">
        <is>
          <t>unowhy.com</t>
        </is>
      </c>
      <c r="F32" t="inlineStr">
        <is>
          <t>unowhy.com</t>
        </is>
      </c>
      <c r="G32" s="1" t="inlineStr">
        <is>
          <t>Des solutions numériques complètes au service de la transmission des savoirs</t>
        </is>
      </c>
      <c r="H32" s="1" t="inlineStr">
        <is>
          <t>AFINEF, EdTech France</t>
        </is>
      </c>
      <c r="I32" s="1" t="inlineStr">
        <is>
          <t>French, English</t>
        </is>
      </c>
      <c r="J32" s="1" t="inlineStr">
        <is>
          <t>Neuilly-sur-Seine</t>
        </is>
      </c>
      <c r="K32" s="1" t="inlineStr">
        <is>
          <t>France</t>
        </is>
      </c>
      <c r="L32" s="1" t="inlineStr">
        <is>
          <t>France</t>
        </is>
      </c>
      <c r="M32" s="1" t="inlineStr">
        <is>
          <t>Medium (50-250 FTE employees)</t>
        </is>
      </c>
      <c r="N32" s="1" t="inlineStr">
        <is>
          <t>Business to Government</t>
        </is>
      </c>
      <c r="O32" s="1" t="inlineStr">
        <is>
          <t>Primary Education, Secondary Education, Higher Education</t>
        </is>
      </c>
      <c r="P32" s="1" t="inlineStr">
        <is>
          <t>System/Administrative, Teacher interfacing, Student interfacing</t>
        </is>
      </c>
      <c r="Q32" t="inlineStr">
        <is>
          <t>SQOOL</t>
        </is>
      </c>
      <c r="R32" t="inlineStr">
        <is>
          <t>La solution numérique tout-en-un au service de l'éducation</t>
        </is>
      </c>
      <c r="S32" t="inlineStr">
        <is>
          <t>SQOOL Extend</t>
        </is>
      </c>
      <c r="T32" t="inlineStr">
        <is>
          <t>La première solution de PC virtuels dédiée à l'éducation</t>
        </is>
      </c>
      <c r="U32" s="1" t="n"/>
      <c r="V32" s="1" t="inlineStr">
        <is>
          <t>Verified</t>
        </is>
      </c>
      <c r="W32" s="1" t="inlineStr">
        <is>
          <t>Collaborations between EdTech organisations, Public-private partnerships</t>
        </is>
      </c>
      <c r="X32" s="1" t="inlineStr">
        <is>
          <t>For-profit company</t>
        </is>
      </c>
      <c r="Y32" t="b">
        <v>1</v>
      </c>
      <c r="Z32" s="1" t="b">
        <v>1</v>
      </c>
      <c r="AA32" s="1" t="inlineStr">
        <is>
          <t>No</t>
        </is>
      </c>
      <c r="AB32" s="1" t="n"/>
      <c r="AC32" s="1" t="n"/>
      <c r="AD32" s="1" t="n"/>
    </row>
    <row r="33" ht="15.75" customHeight="1">
      <c r="A33" s="6" t="n">
        <v>45839</v>
      </c>
      <c r="B33" s="1" t="inlineStr">
        <is>
          <t>ORG_1539</t>
        </is>
      </c>
      <c r="C33" s="1" t="b">
        <v>1</v>
      </c>
      <c r="D33" s="1" t="inlineStr">
        <is>
          <t>EXATECH</t>
        </is>
      </c>
      <c r="E33" s="10" t="inlineStr">
        <is>
          <t>https://global.exatech-group.com/</t>
        </is>
      </c>
      <c r="F33" t="inlineStr">
        <is>
          <t>global.exatech-group.com</t>
        </is>
      </c>
      <c r="G33" s="1" t="inlineStr">
        <is>
          <t>The software developed by EXATECH’s digital unit is exclusively dedicated to optimising and securing exams and assessments. Its R&amp;D sector and technologies put EXATECH among France’s most innovative technology companies. EXATECH software is used by most French government departments, top-ranking higher education establishments, prestigious universities and public institutions. In France, EXATECH manages and organizes written and oral exams throughout the year, with up to 50,000 candidates. Abroad, more than 350 higher education institutions use our software. EXATECH also relies on a network of renowned partners to distribute its software internationally.</t>
        </is>
      </c>
      <c r="H33" s="1" t="inlineStr">
        <is>
          <t>EdTech France</t>
        </is>
      </c>
      <c r="I33" s="1" t="inlineStr">
        <is>
          <t>English, French, Spanish, German</t>
        </is>
      </c>
      <c r="J33" s="1" t="inlineStr">
        <is>
          <t>Montpellier</t>
        </is>
      </c>
      <c r="K33" s="1" t="inlineStr">
        <is>
          <t>France</t>
        </is>
      </c>
      <c r="L33" s="1" t="inlineStr">
        <is>
          <t>Albania, Belarus, Bulgaria, Czechia, Finland, Greece, Ireland, Latvia, Luxembourg, Monaco, North Macedonia, Portugal, Slovakia, Sweden, Ukraine, United Kingdom, Switzerland, Slovenia, Romania, Norway, Montenegro, Malta, Liechtenstein, Italy, Hungary, France, Denmark, Croatia, Belgium, Andorra, Austria, Bosnia and Herzegovina, Republic of Cyprus, Estonia, Germany, Iceland, Kosovo, Lithuania, Moldova, Netherlands, Poland, San Marino, Spain, Turkey</t>
        </is>
      </c>
      <c r="M33" s="1" t="inlineStr">
        <is>
          <t>Small (10-49 FTE employees)</t>
        </is>
      </c>
      <c r="N33" s="1" t="inlineStr">
        <is>
          <t>Business to Business, Business to Government, Business to Schools, Business to Consumer</t>
        </is>
      </c>
      <c r="O33" s="1" t="inlineStr">
        <is>
          <t>Higher Education</t>
        </is>
      </c>
      <c r="Q33" t="inlineStr">
        <is>
          <t>Viatique</t>
        </is>
      </c>
      <c r="R33" s="10" t="inlineStr">
        <is>
          <t>The Viatique platform digitizes candidates’ exam papers, renders them anonymous, then instantaneously and securely dispatches them to markers. Viatique revolutionises exam management, reducing organisational costs while also providing unmatched comfort for educational professionals.</t>
        </is>
      </c>
      <c r="S33" s="10" t="n"/>
      <c r="U33" s="1" t="n"/>
      <c r="V33" s="1" t="inlineStr">
        <is>
          <t>Verified</t>
        </is>
      </c>
      <c r="W33" t="inlineStr">
        <is>
          <t>Collaborations between EdTech organisations, Project consortium building, Public-private partnerships</t>
        </is>
      </c>
      <c r="X33" t="inlineStr">
        <is>
          <t>For-profit company</t>
        </is>
      </c>
      <c r="Y33" t="b">
        <v>0</v>
      </c>
      <c r="Z33" s="1" t="b">
        <v>0</v>
      </c>
      <c r="AA33" s="1" t="inlineStr">
        <is>
          <t>Yes</t>
        </is>
      </c>
      <c r="AB33" s="1" t="inlineStr">
        <is>
          <t>https://x.com/exatechgroup;</t>
        </is>
      </c>
      <c r="AC33" s="1" t="inlineStr">
        <is>
          <t>https://x.com/exatechgroup;</t>
        </is>
      </c>
      <c r="AD33" s="1" t="inlineStr">
        <is>
          <t>https://fr.linkedin.com/company/exatech</t>
        </is>
      </c>
    </row>
    <row r="34" ht="15.75" customHeight="1">
      <c r="A34" s="6" t="n">
        <v>45839</v>
      </c>
      <c r="B34" s="1" t="inlineStr">
        <is>
          <t>ORG_1449</t>
        </is>
      </c>
      <c r="C34" s="1" t="b">
        <v>1</v>
      </c>
      <c r="D34" s="1" t="inlineStr">
        <is>
          <t>EduMedia</t>
        </is>
      </c>
      <c r="E34" s="10" t="inlineStr">
        <is>
          <t>https://alec-edu.com</t>
        </is>
      </c>
      <c r="F34" t="inlineStr">
        <is>
          <t>alec-edu.com</t>
        </is>
      </c>
      <c r="G34" s="1" t="inlineStr">
        <is>
          <t>Digital content provider. Web-based . 3 products: edumedia.com, pikado.education and Alec-edu.com,</t>
        </is>
      </c>
      <c r="H34" s="1" t="inlineStr">
        <is>
          <t>AFINEF</t>
        </is>
      </c>
      <c r="I34" s="1" t="inlineStr">
        <is>
          <t>English, German, French, Spanish</t>
        </is>
      </c>
      <c r="J34" s="1" t="inlineStr">
        <is>
          <t>Bordeaux</t>
        </is>
      </c>
      <c r="K34" s="1" t="inlineStr">
        <is>
          <t>France</t>
        </is>
      </c>
      <c r="L34" s="1" t="inlineStr">
        <is>
          <t>Belgium, France, Monaco, Switzerland</t>
        </is>
      </c>
      <c r="M34" s="1" t="inlineStr">
        <is>
          <t>Small (10-49 FTE employees)</t>
        </is>
      </c>
      <c r="N34" s="1" t="inlineStr">
        <is>
          <t>Business to Schools</t>
        </is>
      </c>
      <c r="O34" s="1" t="inlineStr">
        <is>
          <t>Primary Education, Secondary Education, Special Education</t>
        </is>
      </c>
      <c r="P34" s="1" t="inlineStr">
        <is>
          <t>Teacher interfacing</t>
        </is>
      </c>
      <c r="Q34" t="inlineStr">
        <is>
          <t>EduMedia (www.eduMedia.com)</t>
        </is>
      </c>
      <c r="R34" t="inlineStr">
        <is>
          <t>largest collection of interactive simulations for science teachers</t>
        </is>
      </c>
      <c r="S34" t="inlineStr">
        <is>
          <t>Alec (alec-edu.com)</t>
        </is>
      </c>
      <c r="T34" t="inlineStr">
        <is>
          <t>Collection of digital game for learning math and english / math et français/ math y espanol - we also have a third product pikado.education. Collection of free applications for primary school teacher.</t>
        </is>
      </c>
      <c r="U34" s="1" t="n"/>
      <c r="V34" s="1" t="inlineStr">
        <is>
          <t>Verified</t>
        </is>
      </c>
      <c r="W34" s="1" t="n"/>
      <c r="X34" s="1" t="inlineStr">
        <is>
          <t>For-profit company</t>
        </is>
      </c>
      <c r="Y34" t="b">
        <v>1</v>
      </c>
      <c r="Z34" s="1" t="b">
        <v>1</v>
      </c>
      <c r="AA34" t="inlineStr">
        <is>
          <t>No</t>
        </is>
      </c>
      <c r="AB34" s="1" t="n"/>
      <c r="AC34" s="1" t="n"/>
      <c r="AD34" s="1" t="n"/>
    </row>
    <row r="35" ht="15.75" customHeight="1">
      <c r="A35" s="6" t="n">
        <v>45839</v>
      </c>
      <c r="B35" s="1" t="inlineStr">
        <is>
          <t>ORG_1219</t>
        </is>
      </c>
      <c r="C35" s="1" t="b">
        <v>1</v>
      </c>
      <c r="D35" s="1" t="inlineStr">
        <is>
          <t>Cards micro-learning</t>
        </is>
      </c>
      <c r="E35" s="10" t="inlineStr">
        <is>
          <t>https://cards-microlearning.com/</t>
        </is>
      </c>
      <c r="F35" t="inlineStr">
        <is>
          <t>cards-microlearning.com</t>
        </is>
      </c>
      <c r="G35" s="1" t="inlineStr">
        <is>
          <t>Cards is a B2B microlearning platform designed to help organizations anchor essential knowledge through short, high-impact learning experiences. Powered by our proprietary Learning Routine® engine and AI assistant, Cards enables L&amp;D teams, HR leaders, and subject-matter experts to create, automate, and scale microlearning — especially for onboarding, compliance, operational excellence, and continuous upskilling. Cards is used by companies like industries, bank, insurance and retail industries to turn knowledge into action, at scale.</t>
        </is>
      </c>
      <c r="H35" s="1" t="inlineStr">
        <is>
          <t>I'm not part of any EdTech association</t>
        </is>
      </c>
      <c r="I35" s="1" t="inlineStr">
        <is>
          <t>French, English</t>
        </is>
      </c>
      <c r="J35" s="1" t="inlineStr">
        <is>
          <t>Lyon</t>
        </is>
      </c>
      <c r="K35" s="1" t="inlineStr">
        <is>
          <t>France</t>
        </is>
      </c>
      <c r="L35" s="1" t="inlineStr">
        <is>
          <t>Belgium, United Kingdom, Switzerland, Andorra, France, Finland, Germany, Hungary, Greece, Ireland, Italy, Luxembourg, Netherlands, Monaco, Norway, Poland, San Marino, Portugal, Slovakia, Slovenia, Spain, Turkey, Sweden, Moldova, Malta, Liechtenstein, Denmark, Czechia, Bulgaria, Croatia, Republic of Cyprus, Austria, Belarus, Estonia, Iceland, Lithuania, Romania</t>
        </is>
      </c>
      <c r="M35" s="1" t="inlineStr">
        <is>
          <t>Micro (1-9 FTE employees)</t>
        </is>
      </c>
      <c r="N35" s="1" t="inlineStr">
        <is>
          <t>Business to Business</t>
        </is>
      </c>
      <c r="O35" s="1" t="inlineStr">
        <is>
          <t>Corporate Training, Lifelong learning/Adult education</t>
        </is>
      </c>
      <c r="P35" s="1" t="inlineStr">
        <is>
          <t>Student interfacing, Teacher interfacing, System/Administrative</t>
        </is>
      </c>
      <c r="Q35" t="inlineStr">
        <is>
          <t>Cards – Microlearning &amp; Knowledge Anchoring Platform</t>
        </is>
      </c>
      <c r="R35" t="inlineStr">
        <is>
          <t>Cards is a B2B SaaS platform that helps organizations design, automate, and scale short, high-impact learning experiences.
Powered by our Learning Routine® engine and AI assistant, Cards improves knowledge retention through spaced repetition, micro-content, and smart notifications.
Ideal for onboard</t>
        </is>
      </c>
      <c r="S35" s="10" t="inlineStr">
        <is>
          <t>Cards Authoring Tool</t>
        </is>
      </c>
      <c r="T35" t="inlineStr">
        <is>
          <t>The Cards authoring tool allows internal experts and L&amp;D teams to create engaging microlearning modules with ease.
Courses can be delivered through Cards or exported in SCORM format to be used in any LMS.
The tool supports AI-assisted content creation, multilingual versions, and interactive formats.</t>
        </is>
      </c>
      <c r="U35" s="1" t="n"/>
      <c r="V35" s="1" t="inlineStr">
        <is>
          <t>Verified</t>
        </is>
      </c>
      <c r="W35" s="1" t="inlineStr">
        <is>
          <t>Industry-academia partnerships, Collaborations between EdTech organisations</t>
        </is>
      </c>
      <c r="X35" s="1" t="inlineStr">
        <is>
          <t>For-profit company</t>
        </is>
      </c>
      <c r="Y35" t="b">
        <v>1</v>
      </c>
      <c r="Z35" s="1" t="b">
        <v>0</v>
      </c>
      <c r="AA35" s="1" t="inlineStr">
        <is>
          <t>Yes</t>
        </is>
      </c>
      <c r="AB35" s="1" t="n"/>
      <c r="AC35" s="1" t="inlineStr">
        <is>
          <t>https://www.linkedin.com/company/cards</t>
        </is>
      </c>
      <c r="AD35" s="1" t="inlineStr">
        <is>
          <t>https://www.linkedin.com/company/cards</t>
        </is>
      </c>
    </row>
    <row r="36" ht="15.75" customHeight="1">
      <c r="A36" s="6" t="n">
        <v>45506</v>
      </c>
      <c r="B36" s="1" t="inlineStr">
        <is>
          <t>ORG_1996</t>
        </is>
      </c>
      <c r="C36" s="1" t="b">
        <v>1</v>
      </c>
      <c r="D36" s="1" t="inlineStr">
        <is>
          <t>Music Crab</t>
        </is>
      </c>
      <c r="E36" s="10" t="inlineStr">
        <is>
          <t>Music-Crab.com</t>
        </is>
      </c>
      <c r="F36" t="inlineStr">
        <is>
          <t>music-crab.com</t>
        </is>
      </c>
      <c r="G36" s="1" t="inlineStr">
        <is>
          <t>Music Crab app-how to learn to read music notes while's having fun- is downloaded 700 000 times in 200 countries ! Give the chance to all the children into the world to learn to read music through a music game.</t>
        </is>
      </c>
      <c r="H36" s="1" t="inlineStr">
        <is>
          <t>EdTech France</t>
        </is>
      </c>
      <c r="I36" s="1" t="inlineStr">
        <is>
          <t>All</t>
        </is>
      </c>
      <c r="J36" s="1" t="inlineStr">
        <is>
          <t>Paris</t>
        </is>
      </c>
      <c r="K36" s="1" t="inlineStr">
        <is>
          <t>France</t>
        </is>
      </c>
      <c r="L36" s="1" t="inlineStr">
        <is>
          <t>France</t>
        </is>
      </c>
      <c r="M36" s="1" t="inlineStr">
        <is>
          <t>0 to 2</t>
        </is>
      </c>
      <c r="N36" s="1" t="inlineStr">
        <is>
          <t>Business to Schools, Business to Consumer</t>
        </is>
      </c>
      <c r="O36" s="1" t="inlineStr">
        <is>
          <t>Early childhood development (0-5 years), Primary Education, Secondary Education, Vocational Education and Training (VET), Higher Education</t>
        </is>
      </c>
      <c r="P36" s="1" t="inlineStr">
        <is>
          <t>System/Administrative, Student interfacing, Teacher interfacing</t>
        </is>
      </c>
      <c r="Q36" s="1" t="inlineStr">
        <is>
          <t>Music Crab app</t>
        </is>
      </c>
      <c r="R36" s="1" t="n"/>
      <c r="S36" s="1" t="inlineStr">
        <is>
          <t>https://drive.google.com/uc?export=view&amp;id=1QmrwTrHQvRjELUHeOStYw9nzi28tEzMp</t>
        </is>
      </c>
      <c r="T36" t="inlineStr">
        <is>
          <t>https://drive.google.com/uc?export=view&amp;id=1QmrwTrHQvRjELUHeOStYw9nzi28tEzMp</t>
        </is>
      </c>
      <c r="U36" s="1" t="inlineStr">
        <is>
          <t>https://drive.google.com/uc?export=view&amp;id=1QmrwTrHQvRjELUHeOStYw9nzi28tEzMp</t>
        </is>
      </c>
      <c r="V36" t="inlineStr">
        <is>
          <t>Unverified</t>
        </is>
      </c>
      <c r="Y36" s="10" t="n"/>
      <c r="Z36" s="1" t="n"/>
      <c r="AA36" t="inlineStr">
        <is>
          <t>Yes</t>
        </is>
      </c>
      <c r="AB36" t="inlineStr">
        <is>
          <t>MusicCrab</t>
        </is>
      </c>
      <c r="AC36" t="inlineStr">
        <is>
          <t>MusicCrab</t>
        </is>
      </c>
      <c r="AD36" t="inlineStr">
        <is>
          <t>Eric Zorgniotti</t>
        </is>
      </c>
    </row>
    <row r="37" ht="12.5" customHeight="1">
      <c r="A37" s="6" t="n">
        <v>45483</v>
      </c>
      <c r="B37" s="1" t="inlineStr">
        <is>
          <t>ORG_1418</t>
        </is>
      </c>
      <c r="C37" s="1" t="b">
        <v>1</v>
      </c>
      <c r="D37" s="1" t="inlineStr">
        <is>
          <t>edtake</t>
        </is>
      </c>
      <c r="E37" s="10" t="inlineStr">
        <is>
          <t>https://www.edtake.com/en</t>
        </is>
      </c>
      <c r="F37" t="inlineStr">
        <is>
          <t>edtake.com/en</t>
        </is>
      </c>
      <c r="G37" s="1" t="inlineStr">
        <is>
          <t>edtake is a IA platform that helps training manager to creating and producing learning content in few minutes.</t>
        </is>
      </c>
      <c r="H37" s="1" t="inlineStr">
        <is>
          <t>AFINEF, EdTech France</t>
        </is>
      </c>
      <c r="I37" s="1" t="inlineStr">
        <is>
          <t>French, English, German, Portuguese, Spanish, Italian</t>
        </is>
      </c>
      <c r="J37" s="1" t="inlineStr">
        <is>
          <t>TOULOUSE</t>
        </is>
      </c>
      <c r="K37" s="1" t="inlineStr">
        <is>
          <t>France</t>
        </is>
      </c>
      <c r="L37" s="1" t="inlineStr">
        <is>
          <t>Belgium, France, Germany, Portugal, Spain, Switzerland, United Kingdom</t>
        </is>
      </c>
      <c r="M37" s="1" t="inlineStr">
        <is>
          <t>11 to 50</t>
        </is>
      </c>
      <c r="N37" s="1" t="inlineStr">
        <is>
          <t>Business to Schools, Business to Consumer</t>
        </is>
      </c>
      <c r="O37" s="1" t="inlineStr">
        <is>
          <t>Higher Education</t>
        </is>
      </c>
      <c r="P37" s="1" t="inlineStr">
        <is>
          <t>System/Administrative, Student interfacing</t>
        </is>
      </c>
      <c r="Q37" t="inlineStr">
        <is>
          <t>edtake.ai</t>
        </is>
      </c>
      <c r="R37" t="inlineStr">
        <is>
          <t>edtake is the solution which enhances the productivity of training teams through a combination of AI and human expertise with an AI-assisted instructional design and production tool : 
1. Instructional design : Frame and instructional design the basis of your training. AI assists you in quickly creating your objectives, synopses, and sequences. 
2. Production : Generate learning content and activities. From your source documents (PDF, PPT, videos, URLs...), AI produces your content and transforms your media into activities such as multiple-choice questions, interactive videos, and so much more. 
3. Export : Easily export to your LMS and LXP All you have to do is export your modules. Exports: H5P, SCORM (xAPI), Word, HTML, Moodle and Rise360.</t>
        </is>
      </c>
      <c r="S37" s="10" t="inlineStr">
        <is>
          <t>EdTech freelance marketplace</t>
        </is>
      </c>
      <c r="T37" t="inlineStr">
        <is>
          <t>edtake has also a Marketplace of 3000 freelancers with expertise in 80 skills within EdTECH sector.</t>
        </is>
      </c>
      <c r="U37" s="10" t="inlineStr">
        <is>
          <t>https://drive.google.com/uc?export=view&amp;id=1W837jH_PBeQCejmQDYnqrlBsC2vgSvJC</t>
        </is>
      </c>
      <c r="V37" s="1" t="inlineStr">
        <is>
          <t>Unverified</t>
        </is>
      </c>
      <c r="W37" s="1" t="inlineStr">
        <is>
          <t>https://drive.google.com/uc?export=view&amp;id=1W837jH_PBeQCejmQDYnqrlBsC2vgSvJC</t>
        </is>
      </c>
      <c r="X37" s="1" t="n"/>
      <c r="Y37" s="10" t="n"/>
      <c r="Z37" s="1" t="n"/>
      <c r="AA37" t="inlineStr">
        <is>
          <t>Yes</t>
        </is>
      </c>
      <c r="AC37" t="inlineStr">
        <is>
          <t>https://www.linkedin.com/company/edtake</t>
        </is>
      </c>
      <c r="AD37" t="inlineStr">
        <is>
          <t>https://www.linkedin.com/company/edtake</t>
        </is>
      </c>
    </row>
    <row r="38" ht="12.5" customHeight="1">
      <c r="A38" s="6" t="n">
        <v>45469</v>
      </c>
      <c r="B38" s="1" t="inlineStr">
        <is>
          <t>ORG_2006</t>
        </is>
      </c>
      <c r="C38" s="1" t="b">
        <v>1</v>
      </c>
      <c r="D38" s="1" t="inlineStr">
        <is>
          <t>MYdys by FACIL'iti</t>
        </is>
      </c>
      <c r="E38" s="10" t="inlineStr">
        <is>
          <t>https://mydys.app/fr/</t>
        </is>
      </c>
      <c r="F38" t="inlineStr">
        <is>
          <t>mydys.app/fr</t>
        </is>
      </c>
      <c r="G38" s="1" t="inlineStr">
        <is>
          <t>FACIL'iti s’est développée à travers l’idée de proposer un large choix de paramétrages permettant d'adapter l’affichage d’un site internet, en fonction des besoins visuels, gestuels et cognitifs, dans une volonté de rendre l’accès au web égal à tous. Ainsi, chaque internaute rencontrant des difficultés sur internet, peut bénéficier d’une meilleure accessibilité aux sites en activant, selon ses besoins, un ou plusieurs paramétrages. Fort de notre expérience dans l'accessibilité numérique, nous avons souhaité aller plus loin pour accompagner toujours plus de personnes grâce à l'innovation. C'est ainsi qu'est née MYdys, notre application mobile d'aide à la lecture récompensée au CES de Las Vegas.</t>
        </is>
      </c>
      <c r="H38" s="1" t="inlineStr">
        <is>
          <t>EdTech France</t>
        </is>
      </c>
      <c r="I38" s="1" t="inlineStr">
        <is>
          <t>French, English</t>
        </is>
      </c>
      <c r="J38" s="1" t="inlineStr">
        <is>
          <t>LIMOGES</t>
        </is>
      </c>
      <c r="K38" s="1" t="inlineStr">
        <is>
          <t>France</t>
        </is>
      </c>
      <c r="L38" s="1" t="inlineStr">
        <is>
          <t>Belgium, Germany, Spain, Switzerland, United Kingdom</t>
        </is>
      </c>
      <c r="M38" s="1" t="inlineStr">
        <is>
          <t>11 to 50</t>
        </is>
      </c>
      <c r="N38" s="1" t="inlineStr">
        <is>
          <t>Business to Business, Business to Schools, Business to Consumer, Business to Government</t>
        </is>
      </c>
      <c r="O38" s="1" t="inlineStr">
        <is>
          <t>Primary Education, Secondary Education, Corporate Training, Lifelong learning/Adult education, Vocational Education and Training (VET), Higher Education</t>
        </is>
      </c>
      <c r="P38" s="1" t="inlineStr">
        <is>
          <t>System/Administrative, Student interfacing, Teacher interfacing</t>
        </is>
      </c>
      <c r="Q38" s="10" t="inlineStr">
        <is>
          <t>MYdys</t>
        </is>
      </c>
      <c r="R38" s="10" t="inlineStr">
        <is>
          <t>MYdys est une application conçue pour aider tout apprenant dyslexique, enfant ou adulte. Elle les accompagne dans leur vie quotidienne en facilitant la lecture et la compréhension de tous types de textes. 
Prenez un texte en photo (livre, magazine, signalétique, écran d'ordinateur, etc.), il s'adapte instantanément selon les réglages de l’utilisateur (choix de la taille de police, interlignage, espacement des caractères, identification des lettres et des chiffres confusants, lecteur d’écran…).
MYdys est disponible sur iOs et Android et compatible sur tablettes et smartphones.</t>
        </is>
      </c>
      <c r="S38" s="10" t="inlineStr">
        <is>
          <t>https://drive.google.com/uc?export=view&amp;id=1DwKrB6fjFGNMmxGxF89k6T46U5XDWwF8</t>
        </is>
      </c>
      <c r="T38" t="inlineStr">
        <is>
          <t>https://drive.google.com/uc?export=view&amp;id=1DwKrB6fjFGNMmxGxF89k6T46U5XDWwF8</t>
        </is>
      </c>
      <c r="U38" s="1" t="inlineStr">
        <is>
          <t>https://drive.google.com/uc?export=view&amp;id=1DwKrB6fjFGNMmxGxF89k6T46U5XDWwF8</t>
        </is>
      </c>
      <c r="V38" s="1" t="inlineStr">
        <is>
          <t>Unverified</t>
        </is>
      </c>
      <c r="Y38" s="10" t="n"/>
      <c r="Z38" s="1" t="n"/>
      <c r="AA38" t="inlineStr">
        <is>
          <t>Yes</t>
        </is>
      </c>
      <c r="AB38" t="inlineStr">
        <is>
          <t>https://www.instagram.com/facil_iti/</t>
        </is>
      </c>
      <c r="AC38" t="inlineStr">
        <is>
          <t>https://twitter.com/facil_iti</t>
        </is>
      </c>
      <c r="AD38" t="inlineStr">
        <is>
          <t>https://www.linkedin.com/company/facil-iti-france/mycompany/</t>
        </is>
      </c>
    </row>
    <row r="39" ht="12.5" customHeight="1">
      <c r="A39" s="6" t="n">
        <v>45323</v>
      </c>
      <c r="B39" s="1" t="inlineStr">
        <is>
          <t>ORG_1489</t>
        </is>
      </c>
      <c r="C39" s="1" t="b">
        <v>1</v>
      </c>
      <c r="D39" s="1" t="inlineStr">
        <is>
          <t>Emeraude Escape</t>
        </is>
      </c>
      <c r="E39" s="10" t="inlineStr">
        <is>
          <t>www.emeraude-escape.com/en</t>
        </is>
      </c>
      <c r="F39" t="inlineStr">
        <is>
          <t>emeraude-escape.com/en</t>
        </is>
      </c>
      <c r="G39" s="1" t="inlineStr">
        <is>
          <t>Emeraude is a Paris-based creative agency operating worldwide, specialised in creating interactive and immersive digital experiences enriched with game mechanics, for serious game, internal corporate communications, organisational digital transformation, retail education and training for CAC40 and Fortune 500 companies.
Our savoir-faire of 3D/2D and interactive experiments using Three.js/WebGL allows us to create the experiences that can be seamlessly adaptable to various formats: web-based metaverse, escape room, simulation game, hybrid/classroom, microlearning, mobile learning, and Artificial Intelligence/AI-based game.</t>
        </is>
      </c>
      <c r="H39" s="1" t="inlineStr">
        <is>
          <t>EdTech France</t>
        </is>
      </c>
      <c r="I39" s="1" t="inlineStr">
        <is>
          <t>English</t>
        </is>
      </c>
      <c r="J39" s="1" t="inlineStr">
        <is>
          <t>Paris</t>
        </is>
      </c>
      <c r="K39" s="1" t="inlineStr">
        <is>
          <t>France</t>
        </is>
      </c>
      <c r="L39" s="1" t="inlineStr">
        <is>
          <t>Belgium, France, Germany, Italy, Spain, Switzerland, Turkey, United Kingdom</t>
        </is>
      </c>
      <c r="M39" s="1" t="inlineStr">
        <is>
          <t>11 to 50</t>
        </is>
      </c>
      <c r="N39" s="1" t="inlineStr">
        <is>
          <t>Business to Business</t>
        </is>
      </c>
      <c r="O39" s="1" t="inlineStr">
        <is>
          <t>Corporate Training</t>
        </is>
      </c>
      <c r="P39" s="1" t="inlineStr">
        <is>
          <t>System/Administrative</t>
        </is>
      </c>
      <c r="Q39" t="inlineStr">
        <is>
          <t>Bespoke serious game for companies</t>
        </is>
      </c>
      <c r="R39" s="10" t="inlineStr">
        <is>
          <t>- 100% tailor-made / premium
- web-based
- playable on any devices and any browsers
- easily accessible and lightweight - developed on Three.js and Pixi
- available in multiple languages
- can be updated and enriched regularly
- developed in less than 2 months</t>
        </is>
      </c>
      <c r="S39" s="10" t="inlineStr">
        <is>
          <t>Immersive digital experience</t>
        </is>
      </c>
      <c r="T39" t="inlineStr">
        <is>
          <t>- brand activation
- interactive web
- product launch
- marketing campaign
- advertising campaign</t>
        </is>
      </c>
      <c r="U39" s="1" t="inlineStr">
        <is>
          <t>https://drive.google.com/uc?export=view&amp;id=1GIfCjZj49Kfbby7Cj7lbjfyVbC52HUPI</t>
        </is>
      </c>
      <c r="V39" s="1" t="inlineStr">
        <is>
          <t>Unverified</t>
        </is>
      </c>
      <c r="W39" s="1" t="inlineStr">
        <is>
          <t>https://drive.google.com/uc?export=view&amp;id=1GIfCjZj49Kfbby7Cj7lbjfyVbC52HUPI</t>
        </is>
      </c>
      <c r="X39" s="1" t="n"/>
      <c r="Y39" s="10" t="n"/>
      <c r="Z39" s="1" t="n"/>
      <c r="AA39" t="inlineStr">
        <is>
          <t>Yes</t>
        </is>
      </c>
      <c r="AB39" t="inlineStr">
        <is>
          <t>https://twitter.com/EmeraudeEscape</t>
        </is>
      </c>
      <c r="AC39" t="inlineStr">
        <is>
          <t>https://twitter.com/EmeraudeEscape</t>
        </is>
      </c>
      <c r="AD39" t="inlineStr">
        <is>
          <t>https://www.linkedin.com/company/emeraude-escape-game</t>
        </is>
      </c>
    </row>
    <row r="40" ht="12.5" customHeight="1">
      <c r="A40" s="6" t="n">
        <v>45209</v>
      </c>
      <c r="B40" s="1" t="inlineStr">
        <is>
          <t>ORG_1794</t>
        </is>
      </c>
      <c r="C40" s="1" t="b">
        <v>1</v>
      </c>
      <c r="D40" s="1" t="inlineStr">
        <is>
          <t>Kura</t>
        </is>
      </c>
      <c r="E40" s="10" t="inlineStr">
        <is>
          <t>https://www.kura-app.com/</t>
        </is>
      </c>
      <c r="F40" t="inlineStr">
        <is>
          <t>kura-app.com</t>
        </is>
      </c>
      <c r="G40" s="1" t="inlineStr">
        <is>
          <t>A collaborative learning platform to support the deployment of hybrid and online training programs of higher education institutions and training organizations. Kura is built around three strong principles: 1) the learner experience must be integrated, seamless and accessible 2) learning activities and resources must contribute to the development of professional skills3) peer collaboration and collective intelligence are at the heart of the experience.</t>
        </is>
      </c>
      <c r="H40" s="1" t="inlineStr">
        <is>
          <t>I'm not part of any EdTech association</t>
        </is>
      </c>
      <c r="I40" s="1" t="inlineStr">
        <is>
          <t>French</t>
        </is>
      </c>
      <c r="J40" s="1" t="inlineStr">
        <is>
          <t>Rennes</t>
        </is>
      </c>
      <c r="K40" s="1" t="inlineStr">
        <is>
          <t>France</t>
        </is>
      </c>
      <c r="L40" s="1" t="inlineStr">
        <is>
          <t>Belgium, France</t>
        </is>
      </c>
      <c r="M40" s="1" t="inlineStr">
        <is>
          <t>0 to 2</t>
        </is>
      </c>
      <c r="N40" s="1" t="inlineStr">
        <is>
          <t>Business to Business, Business to Schools, Business to Consumer</t>
        </is>
      </c>
      <c r="O40" s="1" t="inlineStr">
        <is>
          <t>Corporate Training, Lifelong learning/Adult education, Vocational Education and Training (VET), Higher Education</t>
        </is>
      </c>
      <c r="P40" s="1" t="inlineStr">
        <is>
          <t>Teacher interfacing, System/Administrative, Student interfacing</t>
        </is>
      </c>
      <c r="S40" s="10" t="inlineStr">
        <is>
          <t>https://drive.google.com/uc?export=view&amp;id=1_Y-ZMPSQ93OhP6SMS5SmzkUFV5A3H8nB</t>
        </is>
      </c>
      <c r="T40" t="inlineStr">
        <is>
          <t>https://drive.google.com/uc?export=view&amp;id=1_Y-ZMPSQ93OhP6SMS5SmzkUFV5A3H8nB</t>
        </is>
      </c>
      <c r="U40" t="inlineStr">
        <is>
          <t>https://drive.google.com/uc?export=view&amp;id=1_Y-ZMPSQ93OhP6SMS5SmzkUFV5A3H8nB</t>
        </is>
      </c>
      <c r="V40" t="inlineStr">
        <is>
          <t>Unverified</t>
        </is>
      </c>
      <c r="Y40" s="10" t="n"/>
      <c r="Z40" s="1" t="n"/>
      <c r="AA40" t="inlineStr">
        <is>
          <t>Yes</t>
        </is>
      </c>
      <c r="AC40" t="inlineStr">
        <is>
          <t>https://www.linkedin.com/company/kura-app/</t>
        </is>
      </c>
      <c r="AD40" t="inlineStr">
        <is>
          <t>https://www.linkedin.com/company/kura-app/</t>
        </is>
      </c>
    </row>
    <row r="41" ht="12.5" customHeight="1">
      <c r="A41" s="6" t="n">
        <v>45209</v>
      </c>
      <c r="B41" s="1" t="inlineStr">
        <is>
          <t>ORG_2010</t>
        </is>
      </c>
      <c r="C41" s="1" t="b">
        <v>1</v>
      </c>
      <c r="D41" s="1" t="inlineStr">
        <is>
          <t>MyScol</t>
        </is>
      </c>
      <c r="E41" s="10" t="inlineStr">
        <is>
          <t>https://myscol.com</t>
        </is>
      </c>
      <c r="F41" t="inlineStr">
        <is>
          <t>myscol.com</t>
        </is>
      </c>
      <c r="G41" s="1" t="inlineStr">
        <is>
          <t>All-in-one software to manage the day-to-day running of your school. Best solution for kindergarten, primary school, secondary school, higher education or private or public training centre.</t>
        </is>
      </c>
      <c r="H41" s="1" t="inlineStr">
        <is>
          <t>EdTech France</t>
        </is>
      </c>
      <c r="I41" s="1" t="inlineStr">
        <is>
          <t>English, French</t>
        </is>
      </c>
      <c r="J41" s="1" t="inlineStr">
        <is>
          <t>La Courneuve</t>
        </is>
      </c>
      <c r="K41" s="1" t="inlineStr">
        <is>
          <t>France</t>
        </is>
      </c>
      <c r="L4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M41" s="1" t="inlineStr">
        <is>
          <t>3 to 5</t>
        </is>
      </c>
      <c r="N41" s="1" t="inlineStr">
        <is>
          <t>Business to Business</t>
        </is>
      </c>
      <c r="O41" s="1" t="inlineStr">
        <is>
          <t>Early childhood development (0-5 years), Primary Education, Secondary Education, Corporate Training, Lifelong learning/Adult education, Vocational Education and Training (VET), Higher Education</t>
        </is>
      </c>
      <c r="P41" s="1" t="inlineStr">
        <is>
          <t>System/Administrative, Student interfacing</t>
        </is>
      </c>
      <c r="Q41" s="10" t="inlineStr">
        <is>
          <t>MyScol</t>
        </is>
      </c>
      <c r="R41" s="10" t="inlineStr">
        <is>
          <t>MyScol, is transforming education with cutting-edge technological solutions. This EdTech platform offers intuitive course management, seamless communication among all stakeholders in education, and personalized student tracking. MyScol aims to elevate the educational experience for schools, teachers, students, and parents. Explore how MyScol is shaping the future of education</t>
        </is>
      </c>
      <c r="S41" s="10" t="inlineStr">
        <is>
          <t>https://drive.google.com/uc?export=view&amp;id=1c42WFAHcbHl_gkrmw7-O3HXwPokOQTZQ</t>
        </is>
      </c>
      <c r="T41" t="inlineStr">
        <is>
          <t>https://drive.google.com/uc?export=view&amp;id=1c42WFAHcbHl_gkrmw7-O3HXwPokOQTZQ</t>
        </is>
      </c>
      <c r="U41" s="1" t="inlineStr">
        <is>
          <t>https://drive.google.com/uc?export=view&amp;id=1c42WFAHcbHl_gkrmw7-O3HXwPokOQTZQ</t>
        </is>
      </c>
      <c r="V41" s="1" t="inlineStr">
        <is>
          <t>Unverified</t>
        </is>
      </c>
      <c r="Y41" s="10" t="n"/>
      <c r="Z41" s="1" t="n"/>
      <c r="AA41" t="inlineStr">
        <is>
          <t>Yes</t>
        </is>
      </c>
      <c r="AB41" t="inlineStr">
        <is>
          <t>https://www.instagram.com/myscol.english/?next=%2F</t>
        </is>
      </c>
      <c r="AC41" t="inlineStr">
        <is>
          <t>https://twitter.com/MyScolOfficiel</t>
        </is>
      </c>
      <c r="AD41" t="inlineStr">
        <is>
          <t>https://www.linkedin.com/showcase/myscol/</t>
        </is>
      </c>
    </row>
    <row r="42" ht="12.5" customHeight="1">
      <c r="A42" s="6" t="n">
        <v>45195</v>
      </c>
      <c r="B42" s="1" t="inlineStr">
        <is>
          <t>ORG_2027</t>
        </is>
      </c>
      <c r="C42" s="1" t="b">
        <v>1</v>
      </c>
      <c r="D42" s="1" t="inlineStr">
        <is>
          <t>NEOMA EdTech accelerator</t>
        </is>
      </c>
      <c r="E42" s="10" t="inlineStr">
        <is>
          <t>https://startuplab.neoma-bs.fr/en/neoma-edtech-accelerator-2/</t>
        </is>
      </c>
      <c r="F42" t="inlineStr">
        <is>
          <t>startuplab.neoma-bs.fr/en/neoma-edtech-accelerator-2</t>
        </is>
      </c>
      <c r="G42" s="1" t="inlineStr">
        <is>
          <t>EdTech Accelerator is integrated into NEOMA Business School and benefits from the school's commitment to digital and technology-based educational innovation.
We propose:
- a five-month hybrid acceleration program tailor-made for the needs of growing ed-tech startups;
- particular expertise in the edtech sector /pedagogical or technological innovation in education;
- a unique opportunity to test your solution at NEOMA with our Learning Lab team and our Innovative Pedagogy team and improve your product-market fit;
- access to the network of our corporate and academic partners all over the world (more than 400 international schools and universities);
- help with crafting the offer to potential investors and introduction to the VCs and business angels; 
- a chance to co-create values together with a strong professional community.</t>
        </is>
      </c>
      <c r="H42" s="1" t="inlineStr">
        <is>
          <t>EdTech France</t>
        </is>
      </c>
      <c r="I42" s="1" t="inlineStr">
        <is>
          <t>English</t>
        </is>
      </c>
      <c r="J42" s="1" t="inlineStr">
        <is>
          <t>REIMS</t>
        </is>
      </c>
      <c r="K42" s="1" t="inlineStr">
        <is>
          <t>France</t>
        </is>
      </c>
      <c r="L42" s="1" t="inlineStr">
        <is>
          <t>France</t>
        </is>
      </c>
      <c r="M42" s="1" t="inlineStr">
        <is>
          <t>3 to 5</t>
        </is>
      </c>
      <c r="N42" s="1" t="inlineStr">
        <is>
          <t>Business to Business, Business to Government</t>
        </is>
      </c>
      <c r="O42" s="1" t="inlineStr">
        <is>
          <t>Primary Education, Secondary Education, Corporate Training, Lifelong learning/Adult education, Vocational Education and Training (VET), Higher Education</t>
        </is>
      </c>
      <c r="P42" s="1" t="inlineStr">
        <is>
          <t>Student interfacing</t>
        </is>
      </c>
      <c r="S42" s="10" t="inlineStr">
        <is>
          <t>https://drive.google.com/uc?export=view&amp;id=1serLgfS6N9E9FZvvKCVWomBohU_V92xC</t>
        </is>
      </c>
      <c r="T42" t="inlineStr">
        <is>
          <t>https://drive.google.com/uc?export=view&amp;id=1serLgfS6N9E9FZvvKCVWomBohU_V92xC</t>
        </is>
      </c>
      <c r="U42" t="inlineStr">
        <is>
          <t>https://drive.google.com/uc?export=view&amp;id=1serLgfS6N9E9FZvvKCVWomBohU_V92xC</t>
        </is>
      </c>
      <c r="V42" t="inlineStr">
        <is>
          <t>Unverified</t>
        </is>
      </c>
      <c r="Y42" s="10" t="n"/>
      <c r="Z42" s="1" t="n"/>
      <c r="AA42" t="inlineStr">
        <is>
          <t>Yes</t>
        </is>
      </c>
      <c r="AC42" t="inlineStr">
        <is>
          <t>https://www.linkedin.com/company/neoma-edtech-accelerator/?viewAsMember=true</t>
        </is>
      </c>
      <c r="AD42" t="inlineStr">
        <is>
          <t>https://www.linkedin.com/company/neoma-edtech-accelerator/?viewAsMember=true</t>
        </is>
      </c>
    </row>
    <row r="43" ht="12.5" customHeight="1">
      <c r="A43" s="6" t="n">
        <v>45370</v>
      </c>
      <c r="B43" s="1" t="inlineStr">
        <is>
          <t>ORG_2336</t>
        </is>
      </c>
      <c r="C43" s="1" t="b">
        <v>1</v>
      </c>
      <c r="D43" s="1" t="inlineStr">
        <is>
          <t>Studi</t>
        </is>
      </c>
      <c r="E43" s="10" t="inlineStr">
        <is>
          <t>https://www.studi.com/fr</t>
        </is>
      </c>
      <c r="F43" t="inlineStr">
        <is>
          <t>studi.com/fr</t>
        </is>
      </c>
      <c r="G43" s="1" t="inlineStr">
        <is>
          <t>Studi, French EdTech subsidiary of Galileo Global Education, stands as the sole go-to platform for online digital education with 70,000 students and over 20 years of expertise. Home to more than 1,200 advisors, trainers, and coaches facilitating 250 programs across 15 fields from CAP to Bac+5, Studi offers accredited courses available for long life learning and apprenticeship. The mission is clear: empower individuals aspiring to enhance their skills, boost employability, or reinvent their career paths, to succeed in any endeavor they undertake. Experiencing strong growth and a work community of 1,000 members, Studi actively seeks new talents to nurture and elevate its continued expansion.</t>
        </is>
      </c>
      <c r="H43" s="1" t="inlineStr">
        <is>
          <t>EdTech France</t>
        </is>
      </c>
      <c r="I43" s="1" t="inlineStr">
        <is>
          <t>French</t>
        </is>
      </c>
      <c r="J43" s="1" t="inlineStr">
        <is>
          <t>Pérols</t>
        </is>
      </c>
      <c r="K43" s="1" t="inlineStr">
        <is>
          <t>France</t>
        </is>
      </c>
      <c r="L43" s="1" t="inlineStr">
        <is>
          <t>France</t>
        </is>
      </c>
      <c r="M43" s="1" t="inlineStr">
        <is>
          <t>500+</t>
        </is>
      </c>
      <c r="N43" s="1" t="inlineStr">
        <is>
          <t>Business to Consumer</t>
        </is>
      </c>
      <c r="O43" s="1" t="inlineStr">
        <is>
          <t>Lifelong learning/Adult education</t>
        </is>
      </c>
      <c r="P43" s="1" t="inlineStr">
        <is>
          <t>System/Administrative, Student interfacing</t>
        </is>
      </c>
      <c r="Q43" s="10" t="inlineStr">
        <is>
          <t>https://twitter.com/ecolestudi</t>
        </is>
      </c>
      <c r="R43" s="10" t="inlineStr">
        <is>
          <t>https://www.linkedin.com/school/studi-digital-education/</t>
        </is>
      </c>
      <c r="S43" s="10" t="inlineStr">
        <is>
          <t>https://drive.google.com/uc?export=view&amp;id=1NCla_8DERnRsgd7_FAaJLTZhPFEH9Eu1</t>
        </is>
      </c>
      <c r="T43" t="inlineStr">
        <is>
          <t>https://drive.google.com/uc?export=view&amp;id=1NCla_8DERnRsgd7_FAaJLTZhPFEH9Eu1</t>
        </is>
      </c>
      <c r="U43" t="inlineStr">
        <is>
          <t>https://drive.google.com/uc?export=view&amp;id=1NCla_8DERnRsgd7_FAaJLTZhPFEH9Eu1</t>
        </is>
      </c>
      <c r="V43" t="inlineStr">
        <is>
          <t>Unverified</t>
        </is>
      </c>
      <c r="Y43" s="10" t="n"/>
      <c r="Z43" s="1" t="n"/>
      <c r="AA43" t="inlineStr">
        <is>
          <t>Yes</t>
        </is>
      </c>
      <c r="AB43" t="inlineStr">
        <is>
          <t>https://www.instagram.com/ecole_studi</t>
        </is>
      </c>
      <c r="AC43" t="inlineStr">
        <is>
          <t>https://twitter.com/ecolestudi</t>
        </is>
      </c>
      <c r="AD43" t="inlineStr">
        <is>
          <t>https://www.linkedin.com/school/studi-digital-education/</t>
        </is>
      </c>
    </row>
    <row r="44" ht="12.5" customHeight="1">
      <c r="A44" s="6" t="n">
        <v>45370</v>
      </c>
      <c r="B44" s="1" t="inlineStr">
        <is>
          <t>ORG_1141</t>
        </is>
      </c>
      <c r="C44" s="1" t="b">
        <v>1</v>
      </c>
      <c r="D44" s="1" t="inlineStr">
        <is>
          <t>Bealink</t>
        </is>
      </c>
      <c r="E44" s="10" t="inlineStr">
        <is>
          <t>https://bealink.io/en/</t>
        </is>
      </c>
      <c r="F44" t="inlineStr">
        <is>
          <t>bealink.io/en</t>
        </is>
      </c>
      <c r="G44" s="1" t="inlineStr">
        <is>
          <t>Bealink is a corporate learning platform editor. 
With it's second to none integration capabilities, Bealink helps organisations build a true learning ecosystem around their content, tools and people. Streamline Upskilling™ provides an end-to-end workflow for skills development by cleverly linking jobs, skills, development goals, evaluation and certification, performance interviews, training requests and development plans... together to make it as easy as possible for your people to grow and significantly reduce "time to skill" on both the learner and the administrative side. The experience within the platform is completely personalized according to the learners context, interest, skills and goals and it's easy for them to plan and track their learning from the platform's dahsboard. The platform also supports the widest variety of "learning moments" and makes it easy to build amazing learning experiences. Finally, people and the interactions between them also play a important part in your learning ecosystem and Bealink provides the tools your people need to share knowledge at scale directly in the platform's front-office.</t>
        </is>
      </c>
      <c r="H44" s="1" t="inlineStr">
        <is>
          <t>EdTech France</t>
        </is>
      </c>
      <c r="I44" s="1" t="inlineStr">
        <is>
          <t>French, English, Spanish</t>
        </is>
      </c>
      <c r="J44" s="1" t="inlineStr">
        <is>
          <t>SURESNES</t>
        </is>
      </c>
      <c r="K44" s="1" t="inlineStr">
        <is>
          <t>France</t>
        </is>
      </c>
      <c r="L4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44" s="1" t="inlineStr">
        <is>
          <t>11 to 50</t>
        </is>
      </c>
      <c r="N44" s="1" t="inlineStr">
        <is>
          <t>Business to Business, Business to Schools, Business to Government</t>
        </is>
      </c>
      <c r="O44" s="1" t="inlineStr">
        <is>
          <t>Corporate Training, Lifelong learning/Adult education</t>
        </is>
      </c>
      <c r="P44" s="1" t="inlineStr">
        <is>
          <t>System/Administrative</t>
        </is>
      </c>
      <c r="Q44" t="inlineStr">
        <is>
          <t>Bealink LXP</t>
        </is>
      </c>
      <c r="R44" t="inlineStr">
        <is>
          <t>With it's second to none integration capabilities, Bealink LXP helps organisations build a true learning ecosystem around their content, tools and people. Streamline Upskilling™ provides an end-to-end workflow for skills development by cleverly linking jobs, skills, development goals, evaluation and certification, performance interviews, training requests and development plans...</t>
        </is>
      </c>
      <c r="S44" s="10" t="inlineStr">
        <is>
          <t>Bealink LRS</t>
        </is>
      </c>
      <c r="T44" t="inlineStr">
        <is>
          <t>Bealink LRS is a fully scalable Learning Data solution for companies wanting to put in place a standardisez data architecture for their learning ecosystem.</t>
        </is>
      </c>
      <c r="U44" s="1" t="n"/>
      <c r="V44" s="1" t="inlineStr">
        <is>
          <t>Unverified</t>
        </is>
      </c>
      <c r="W44" s="1" t="n"/>
      <c r="X44" s="1" t="n"/>
      <c r="Z44" s="1" t="n"/>
      <c r="AA44" t="inlineStr">
        <is>
          <t>Yes</t>
        </is>
      </c>
      <c r="AC44" t="inlineStr">
        <is>
          <t>https://www.linkedin.com/company/bealink/</t>
        </is>
      </c>
      <c r="AD44" t="inlineStr">
        <is>
          <t>https://www.linkedin.com/company/bealink/</t>
        </is>
      </c>
    </row>
    <row r="45" ht="12.5" customHeight="1">
      <c r="A45" s="6" t="n">
        <v>45370</v>
      </c>
      <c r="B45" s="1" t="inlineStr">
        <is>
          <t>ORG_2332</t>
        </is>
      </c>
      <c r="C45" s="1" t="b">
        <v>1</v>
      </c>
      <c r="D45" s="1" t="inlineStr">
        <is>
          <t>StudentGator</t>
        </is>
      </c>
      <c r="E45" s="10" t="inlineStr">
        <is>
          <t>https://www.studentgator.com/#/landing/home</t>
        </is>
      </c>
      <c r="F45" t="inlineStr">
        <is>
          <t>studentgator.com/#/landing/home</t>
        </is>
      </c>
      <c r="G45" s="1" t="inlineStr">
        <is>
          <t>Launched in 2019, StudentGator is an EdTech startup based in Paris, that uses technology to facilitate university applications for international students.
Since its creation, StudentGator has:
=&gt; Successfully aided over 1500 students in their academic journey.
=&gt; Fostered more than 100 collaborations with educational institutions in France.
=&gt; Achieved a striking 95% success rate in securing students' admission to their preferred university.</t>
        </is>
      </c>
      <c r="H45" s="1" t="inlineStr">
        <is>
          <t>I'm not part of any EdTech association</t>
        </is>
      </c>
      <c r="I45" s="1" t="inlineStr">
        <is>
          <t>English, French</t>
        </is>
      </c>
      <c r="J45" s="1" t="inlineStr">
        <is>
          <t>Paris</t>
        </is>
      </c>
      <c r="K45" s="1" t="inlineStr">
        <is>
          <t>France</t>
        </is>
      </c>
      <c r="L45" s="1" t="inlineStr">
        <is>
          <t>France</t>
        </is>
      </c>
      <c r="M45" s="1" t="inlineStr">
        <is>
          <t>6 to 10</t>
        </is>
      </c>
      <c r="N45" s="1" t="inlineStr">
        <is>
          <t>Business to Schools, Business to Business</t>
        </is>
      </c>
      <c r="O45" s="1" t="inlineStr">
        <is>
          <t>Higher Education</t>
        </is>
      </c>
      <c r="P45" s="1" t="inlineStr">
        <is>
          <t>Student interfacing</t>
        </is>
      </c>
      <c r="Q45" s="10" t="inlineStr">
        <is>
          <t>Student Admissions</t>
        </is>
      </c>
      <c r="R45" t="inlineStr">
        <is>
          <t>"Student Admissions" service helps students identify suitable universities in France. We assist from the start, covering application processes, visa procedures, and preparations for arrival in France. We aim to provide students with consistent and quality support throughout their journey by sharing our experience of studying in France.</t>
        </is>
      </c>
      <c r="S45" s="10" t="inlineStr">
        <is>
          <t>https://drive.google.com/uc?export=view&amp;id=1C8XbdzilFmzpteNDid7gINeTIzk0sgBv</t>
        </is>
      </c>
      <c r="T45" t="inlineStr">
        <is>
          <t>https://drive.google.com/uc?export=view&amp;id=1C8XbdzilFmzpteNDid7gINeTIzk0sgBv</t>
        </is>
      </c>
      <c r="U45" s="1" t="inlineStr">
        <is>
          <t>https://drive.google.com/uc?export=view&amp;id=1C8XbdzilFmzpteNDid7gINeTIzk0sgBv</t>
        </is>
      </c>
      <c r="V45" s="1" t="inlineStr">
        <is>
          <t>Unverified</t>
        </is>
      </c>
      <c r="Y45" s="10" t="n"/>
      <c r="Z45" s="1" t="n"/>
      <c r="AA45" t="inlineStr">
        <is>
          <t>Yes</t>
        </is>
      </c>
      <c r="AB45" t="inlineStr">
        <is>
          <t>https://www.instagram.com/studentgator/</t>
        </is>
      </c>
      <c r="AC45" t="inlineStr">
        <is>
          <t>https://fr.linkedin.com/company/studentgator</t>
        </is>
      </c>
      <c r="AD45" t="inlineStr">
        <is>
          <t>https://fr.linkedin.com/company/studentgator</t>
        </is>
      </c>
    </row>
    <row r="46" ht="12.5" customHeight="1">
      <c r="A46" s="6" t="n">
        <v>45181</v>
      </c>
      <c r="B46" s="1" t="inlineStr">
        <is>
          <t>ORG_1978</t>
        </is>
      </c>
      <c r="C46" s="1" t="b">
        <v>1</v>
      </c>
      <c r="D46" s="1" t="inlineStr">
        <is>
          <t>ModCo</t>
        </is>
      </c>
      <c r="E46" s="10" t="inlineStr">
        <is>
          <t>https://modco.fr/</t>
        </is>
      </c>
      <c r="F46" t="inlineStr">
        <is>
          <t>modco.fr</t>
        </is>
      </c>
      <c r="G46" s="1" t="inlineStr">
        <is>
          <t>ModCo creates a secured environment for students to use their own smartphones in middle schools. With ModCo, institutions capitalise on personal smartphones of students to facilitate an equitable access to digital educational resources for all.</t>
        </is>
      </c>
      <c r="H46" s="1" t="inlineStr">
        <is>
          <t>AFINEF, EdTech France</t>
        </is>
      </c>
      <c r="I46" s="1" t="inlineStr">
        <is>
          <t>French, English</t>
        </is>
      </c>
      <c r="J46" s="1" t="inlineStr">
        <is>
          <t>Lannion</t>
        </is>
      </c>
      <c r="K46" s="1" t="inlineStr">
        <is>
          <t>France</t>
        </is>
      </c>
      <c r="L46" s="1" t="inlineStr">
        <is>
          <t>France</t>
        </is>
      </c>
      <c r="M46" s="1" t="inlineStr">
        <is>
          <t>0 to 2</t>
        </is>
      </c>
      <c r="N46" s="1" t="inlineStr">
        <is>
          <t>Business to Government, Business to Schools</t>
        </is>
      </c>
      <c r="O46" s="1" t="inlineStr">
        <is>
          <t>Secondary Education</t>
        </is>
      </c>
      <c r="P46" s="1" t="inlineStr">
        <is>
          <t>Student interfacing, Teacher interfacing</t>
        </is>
      </c>
      <c r="S46" s="10" t="inlineStr">
        <is>
          <t>https://drive.google.com/uc?export=view&amp;id=1E1Bgm4pZ-jC0uaHUr2fW9rFtKrL0iLqA</t>
        </is>
      </c>
      <c r="T46" t="inlineStr">
        <is>
          <t>https://drive.google.com/uc?export=view&amp;id=1E1Bgm4pZ-jC0uaHUr2fW9rFtKrL0iLqA</t>
        </is>
      </c>
      <c r="U46" t="inlineStr">
        <is>
          <t>https://drive.google.com/uc?export=view&amp;id=1E1Bgm4pZ-jC0uaHUr2fW9rFtKrL0iLqA</t>
        </is>
      </c>
      <c r="V46" t="inlineStr">
        <is>
          <t>Unverified</t>
        </is>
      </c>
      <c r="Y46" s="10" t="n"/>
      <c r="Z46" s="1" t="n"/>
      <c r="AA46" t="inlineStr">
        <is>
          <t>Yes</t>
        </is>
      </c>
      <c r="AC46" t="inlineStr">
        <is>
          <t>https://www.linkedin.com/company/modco-mode-college</t>
        </is>
      </c>
      <c r="AD46" t="inlineStr">
        <is>
          <t>https://www.linkedin.com/company/modco-mode-college</t>
        </is>
      </c>
    </row>
    <row r="47" ht="12.5" customHeight="1">
      <c r="A47" s="6" t="n">
        <v>45181</v>
      </c>
      <c r="B47" s="1" t="inlineStr">
        <is>
          <t>ORG_1348</t>
        </is>
      </c>
      <c r="C47" s="1" t="b">
        <v>1</v>
      </c>
      <c r="D47" s="1" t="inlineStr">
        <is>
          <t>Didask</t>
        </is>
      </c>
      <c r="E47" s="10" t="inlineStr">
        <is>
          <t>https://www.didask.com</t>
        </is>
      </c>
      <c r="F47" t="inlineStr">
        <is>
          <t>didask.com</t>
        </is>
      </c>
      <c r="G47" s="1" t="inlineStr">
        <is>
          <t>Didask is the LMS which takes into account the real challenges of learning and allows to create 10 x faster impactful eLearning!
A complete platform, Didask draws its pedagogical effectiveness from its expertise in cognitive sciences. Its methodology takes into account the cognitive challenges of learners to propose the most effective teaching methods for each context.
Didask joins the 1st pedagogical Artificial Intelligence. In just a few minutes, it makes it possible to transform raw content into an efficient eLearning module, ready to use without any formatting work. Each time, she selects the most appropriate teaching methods and then personalizes the experience for each learner (adaptive learning).
Didask is accessible as a complete LMS platform (design, distribution, administration) or as an extension of an existing LMS.</t>
        </is>
      </c>
      <c r="H47" s="1" t="inlineStr">
        <is>
          <t>EdTech France</t>
        </is>
      </c>
      <c r="J47" s="1" t="inlineStr">
        <is>
          <t>BAGNOLET</t>
        </is>
      </c>
      <c r="K47" s="1" t="inlineStr">
        <is>
          <t>France</t>
        </is>
      </c>
      <c r="L47" s="1" t="inlineStr">
        <is>
          <t>France, Switzerland</t>
        </is>
      </c>
      <c r="M47" s="1" t="inlineStr">
        <is>
          <t>11 to 50</t>
        </is>
      </c>
      <c r="N47" s="1" t="inlineStr">
        <is>
          <t>Business to Business, Business to Consumer, Business to Schools</t>
        </is>
      </c>
      <c r="O47" s="1" t="inlineStr">
        <is>
          <t>Higher Education, Corporate Training, Lifelong learning/Adult education</t>
        </is>
      </c>
      <c r="P47" s="1" t="inlineStr">
        <is>
          <t>System/Administrative</t>
        </is>
      </c>
      <c r="Q47" s="10" t="inlineStr">
        <is>
          <t>LMS Didask</t>
        </is>
      </c>
      <c r="R47" s="10" t="inlineStr">
        <is>
          <t>The full eLearning platform with integrated educational artificial intelligence, to design, disseminate and administer all its eLearning.
Also available as an extension for LMS.</t>
        </is>
      </c>
      <c r="S47" s="10" t="inlineStr">
        <is>
          <t>https://drive.google.com/uc?export=view&amp;id=1xUgM2EG9A1C7zxL4RD9iOPBD7r3cBsQs</t>
        </is>
      </c>
      <c r="T47" t="inlineStr">
        <is>
          <t>https://drive.google.com/uc?export=view&amp;id=1xUgM2EG9A1C7zxL4RD9iOPBD7r3cBsQs</t>
        </is>
      </c>
      <c r="U47" s="1" t="inlineStr">
        <is>
          <t>https://drive.google.com/uc?export=view&amp;id=1xUgM2EG9A1C7zxL4RD9iOPBD7r3cBsQs</t>
        </is>
      </c>
      <c r="V47" s="1" t="inlineStr">
        <is>
          <t>Unverified</t>
        </is>
      </c>
      <c r="Y47" s="10" t="n"/>
      <c r="Z47" s="1" t="n"/>
      <c r="AA47" t="inlineStr">
        <is>
          <t>Yes</t>
        </is>
      </c>
      <c r="AB47" t="inlineStr">
        <is>
          <t>https://www.instagram.com/didask_learning/</t>
        </is>
      </c>
      <c r="AC47" t="inlineStr">
        <is>
          <t>https://twitter.com/Didask</t>
        </is>
      </c>
      <c r="AD47" t="inlineStr">
        <is>
          <t>https://www.linkedin.com/company/didask/</t>
        </is>
      </c>
    </row>
    <row r="48" ht="12.5" customHeight="1">
      <c r="A48" s="6" t="n">
        <v>45679</v>
      </c>
      <c r="B48" s="1" t="inlineStr">
        <is>
          <t>ORG_1100</t>
        </is>
      </c>
      <c r="C48" s="1" t="b">
        <v>1</v>
      </c>
      <c r="D48" s="1" t="inlineStr">
        <is>
          <t>ARTE Education</t>
        </is>
      </c>
      <c r="E48" s="10" t="inlineStr">
        <is>
          <t>https://education.arte.tv/</t>
        </is>
      </c>
      <c r="F48" t="inlineStr">
        <is>
          <t>education.arte.tv</t>
        </is>
      </c>
      <c r="G48" s="1" t="inlineStr">
        <is>
          <t>ARTE Education is a branch of ARTE France whose mission is to develop the educational projects of the European cultural channel. ARTE Education operates Educ'ARTE and ARTE Campus, two interactive media platforms that make high-quality videos available to schools and universities on a long-term basis and within a legally secure framework. 
The platforms enable the diffusion of cultural, historical and scientific content while promoting information literacy, media literacy and interculturality. The initiative aims to provide digital access to knowledge and culture for everyone, regardless of educational background or origin. Educ'ARTE targets pupils aged 10 to 19 while ARTE Campus is tailored to the needs of higher and adult education.</t>
        </is>
      </c>
      <c r="H48" s="1" t="inlineStr">
        <is>
          <t>EdTech France</t>
        </is>
      </c>
      <c r="J48" s="1" t="inlineStr">
        <is>
          <t>Issy-les-Moulineaux</t>
        </is>
      </c>
      <c r="K48" s="1" t="inlineStr">
        <is>
          <t>France</t>
        </is>
      </c>
      <c r="L48" s="1" t="inlineStr">
        <is>
          <t>Austria, Belgium, France, Germany, Luxembourg, Switzerland</t>
        </is>
      </c>
      <c r="M48" s="1" t="inlineStr">
        <is>
          <t>0 to 10</t>
        </is>
      </c>
      <c r="N48" s="1" t="inlineStr">
        <is>
          <t>Business to Government, Business to Schools</t>
        </is>
      </c>
      <c r="O48" s="1" t="inlineStr">
        <is>
          <t>Secondary Education, Higher Education</t>
        </is>
      </c>
      <c r="P48" s="1" t="inlineStr">
        <is>
          <t>Teacher interfacing</t>
        </is>
      </c>
      <c r="Q48" t="inlineStr">
        <is>
          <t>Educ'ARTE</t>
        </is>
      </c>
      <c r="R48" s="10" t="inlineStr">
        <is>
          <t>Educ'ARTE was designed for school use and offers a constantly growing range of more than 2000 high-quality ARTE programmes, consisting of documentaries, magazines and short films. 
The content, selected by teachers, is indexed by subject and grade level and is based on the curricula for lower and upper secondary schools. They can be used both to acquire knowledge and to deepen what has already been learned. Educ'ARTE also offers the opportunity to participate in unique educational projects.</t>
        </is>
      </c>
      <c r="S48" s="10" t="inlineStr">
        <is>
          <t>ARTE Campus</t>
        </is>
      </c>
      <c r="T48" t="inlineStr">
        <is>
          <t>The ARTE Campus catalogue offers over 2000 videos for higher education and adult education and covers all relevant fields of knowledge: politics and administration, economics, languages and arts, natural sciences and technology, and many more.
The offer serves the general education of students, be it for their field of study or for their personal development. Furthermore, specialised contents of high scientific quality are available (e.g. in the fields of cinema, history, architecture, pedagogy), which are particularly suitable for Master's students.</t>
        </is>
      </c>
      <c r="U48" s="1" t="inlineStr">
        <is>
          <t>https://drive.google.com/uc?export=view&amp;id=1-jc7-jGrO6YWvJf-2uXwoRZ_M1SmgIKt</t>
        </is>
      </c>
      <c r="V48" s="1" t="inlineStr">
        <is>
          <t>Verified</t>
        </is>
      </c>
      <c r="W48" s="1" t="inlineStr">
        <is>
          <t>https://drive.google.com/uc?export=view&amp;id=1-jc7-jGrO6YWvJf-2uXwoRZ_M1SmgIKt</t>
        </is>
      </c>
      <c r="X48" s="1" t="n"/>
      <c r="Y48" s="10" t="n"/>
      <c r="Z48" s="1" t="n"/>
      <c r="AA48" t="inlineStr">
        <is>
          <t>Yes</t>
        </is>
      </c>
      <c r="AB48" t="inlineStr">
        <is>
          <t>https://twitter.com/EducARTEfr</t>
        </is>
      </c>
      <c r="AC48" t="inlineStr">
        <is>
          <t>https://twitter.com/EducARTEfr</t>
        </is>
      </c>
      <c r="AD48" t="inlineStr">
        <is>
          <t>https://www.linkedin.com/company/arte-education/</t>
        </is>
      </c>
    </row>
    <row r="49" ht="12.5" customHeight="1">
      <c r="A49" s="6" t="n">
        <v>45181</v>
      </c>
      <c r="B49" s="1" t="inlineStr">
        <is>
          <t>ORG_1754</t>
        </is>
      </c>
      <c r="C49" s="1" t="b">
        <v>1</v>
      </c>
      <c r="D49" s="1" t="inlineStr">
        <is>
          <t>Jeulin</t>
        </is>
      </c>
      <c r="E49" s="10" t="inlineStr">
        <is>
          <t>www.jeulin.com</t>
        </is>
      </c>
      <c r="F49" t="inlineStr">
        <is>
          <t>jeulin.com</t>
        </is>
      </c>
      <c r="G49" s="1" t="inlineStr">
        <is>
          <t>Jeulin is a long experience French EdTech company, publisher of teaching online resources and supplier of teaching materials serving scientific and technical education. Jeulin designs, manufactures and markets teaching tools for experimental sciences (Physics, Chemistry, Biology and Earth Sciences) and Technology in primary, secondary and higher education.</t>
        </is>
      </c>
      <c r="H49" s="1" t="inlineStr">
        <is>
          <t>AFINEF</t>
        </is>
      </c>
      <c r="I49" s="1" t="inlineStr">
        <is>
          <t>English</t>
        </is>
      </c>
      <c r="J49" s="1" t="inlineStr">
        <is>
          <t>EVREUX</t>
        </is>
      </c>
      <c r="K49" s="1" t="inlineStr">
        <is>
          <t>France</t>
        </is>
      </c>
      <c r="L49" s="1" t="inlineStr">
        <is>
          <t>Albania, Andorra, Austria, Belgium, Bosnia and Herzegovina, Bulgaria, Croatia, Cyprus, Czechia, Denmark, Estonia, Finland, France, Germany, Greece, Hungary, Ireland, Italy, Liechtenstein, Lithuania, Luxembourg, Malta, Monaco, Montenegro, Netherlands, North Macedonia, Norway, Poland, Portugal, Romania, San Marino, Serbia, Slovakia, Slovenia, Spain, Sweden, Switzerland, United Kingdom</t>
        </is>
      </c>
      <c r="M49" s="1" t="inlineStr">
        <is>
          <t>101 to 500</t>
        </is>
      </c>
      <c r="N49" s="1" t="inlineStr">
        <is>
          <t>Business to Consumer, Business to Schools</t>
        </is>
      </c>
      <c r="O49" s="1" t="inlineStr">
        <is>
          <t>Primary Education, Secondary Education, Higher Education</t>
        </is>
      </c>
      <c r="P49" s="1" t="inlineStr">
        <is>
          <t>Student interfacing, Teacher interfacing</t>
        </is>
      </c>
      <c r="Q49" t="inlineStr">
        <is>
          <t>Jeulin online learning platform</t>
        </is>
      </c>
      <c r="R49" s="10" t="inlineStr">
        <is>
          <t>Access to Jeulin online learning platform (www.plateformenum.jeulin.fr) and discover a wide range of teaching resources (online softwares, applications, experiments guides, videos, images, posters, ...) dedicated to Science. These resources are designed to be used in a hybrid way, either in full autonomy by students. They adapt to any type of device: computer, tablet and smartphone.</t>
        </is>
      </c>
      <c r="S49" t="inlineStr">
        <is>
          <t>https://drive.google.com/uc?export=view&amp;id=1FqYCzcmA-BNTHznSnWftxBwydxXdgce1</t>
        </is>
      </c>
      <c r="T49" t="inlineStr">
        <is>
          <t>https://drive.google.com/uc?export=view&amp;id=1FqYCzcmA-BNTHznSnWftxBwydxXdgce1</t>
        </is>
      </c>
      <c r="U49" s="1" t="inlineStr">
        <is>
          <t>https://drive.google.com/uc?export=view&amp;id=1FqYCzcmA-BNTHznSnWftxBwydxXdgce1</t>
        </is>
      </c>
      <c r="V49" s="1" t="inlineStr">
        <is>
          <t>Unverified</t>
        </is>
      </c>
      <c r="Y49" s="10" t="n"/>
      <c r="Z49" s="1" t="n"/>
      <c r="AA49" t="inlineStr">
        <is>
          <t>Yes</t>
        </is>
      </c>
      <c r="AB49" t="inlineStr">
        <is>
          <t>https://twitter.com/Jeulin_fr</t>
        </is>
      </c>
      <c r="AC49" t="inlineStr">
        <is>
          <t>https://twitter.com/Jeulin_fr</t>
        </is>
      </c>
    </row>
    <row r="50" ht="12.5" customHeight="1">
      <c r="A50" s="6" t="n">
        <v>45181</v>
      </c>
      <c r="B50" s="1" t="inlineStr">
        <is>
          <t>ORG_2429</t>
        </is>
      </c>
      <c r="C50" s="1" t="b">
        <v>1</v>
      </c>
      <c r="D50" s="1" t="inlineStr">
        <is>
          <t>TRALALERE</t>
        </is>
      </c>
      <c r="E50" s="10" t="inlineStr">
        <is>
          <t>https://www.tralalere.com</t>
        </is>
      </c>
      <c r="F50" t="inlineStr">
        <is>
          <t>tralalere.com</t>
        </is>
      </c>
      <c r="G50" s="1" t="inlineStr">
        <is>
          <t>Digital edutainer, TRALALERE is a leading French producer of engaging resources for K12 education. This center for innovation is the operator of the French “Safer Internet France” program, on the outlook for changes in digital usages. TRALALERE disseminates cross-media educational programs (serious games, not-so-silly games, audiovisual series, pedagogical platforms) for learners and teachers to scale up good practice and develop youth digital skills.</t>
        </is>
      </c>
      <c r="H50" s="1" t="inlineStr">
        <is>
          <t>EdTech France</t>
        </is>
      </c>
      <c r="J50" s="1" t="inlineStr">
        <is>
          <t>PARIS</t>
        </is>
      </c>
      <c r="K50" s="1" t="inlineStr">
        <is>
          <t>France</t>
        </is>
      </c>
      <c r="L50" s="1" t="inlineStr">
        <is>
          <t>France, Germany, Ireland, Italy, Spain, Switzerland</t>
        </is>
      </c>
      <c r="M50" s="1" t="inlineStr">
        <is>
          <t>11 to 50</t>
        </is>
      </c>
      <c r="N50" s="1" t="inlineStr">
        <is>
          <t>Business to Business, Business to Government</t>
        </is>
      </c>
      <c r="O50" s="1" t="inlineStr">
        <is>
          <t>Primary Education, Secondary Education</t>
        </is>
      </c>
      <c r="P50" s="1" t="inlineStr">
        <is>
          <t>System/Administrative, Student interfacing, Teacher interfacing</t>
        </is>
      </c>
      <c r="Q50" s="10" t="inlineStr">
        <is>
          <t>CitizenCode</t>
        </is>
      </c>
      <c r="R50" s="10" t="inlineStr">
        <is>
          <t>Citizen Code is a new format of turnkey digital interactive workshops to introduce kids (9 to 77) to coding and digital culture (from digital citizenship to digital jobs). 
Using CitizenCode for classroom activities, workshops or home learning, kids become actors (rather than consumers) in their digital life: they code, create, understand key digital stakes.</t>
        </is>
      </c>
      <c r="S50" s="10" t="inlineStr">
        <is>
          <t>Safer Internet suite</t>
        </is>
      </c>
      <c r="T50" t="inlineStr">
        <is>
          <t>A collection of digital resources to help youth master digital life and prevent risks
- FamiNum, a platform to help families with digital parenting
- InfoHunter, an interactive tool to organise media literacy workshops, to question perception of media and learn how to decrypt information
- Stopviolence, a serious game to tackle cyber bullying with junior highschool students
- Vinz and Lou, a series to tackle societal challenges for 7-11 year olds</t>
        </is>
      </c>
      <c r="U50" s="1" t="inlineStr">
        <is>
          <t>https://drive.google.com/uc?export=view&amp;id=1v82qqWW9-G2zQOb-ebl6_0VEWMR2-Trs</t>
        </is>
      </c>
      <c r="V50" s="1" t="inlineStr">
        <is>
          <t>Unverified</t>
        </is>
      </c>
      <c r="W50" s="1" t="inlineStr">
        <is>
          <t>https://drive.google.com/uc?export=view&amp;id=1v82qqWW9-G2zQOb-ebl6_0VEWMR2-Trs</t>
        </is>
      </c>
      <c r="X50" s="1" t="n"/>
      <c r="Y50" s="10" t="n"/>
      <c r="Z50" s="1" t="n"/>
      <c r="AA50" t="inlineStr">
        <is>
          <t>Yes</t>
        </is>
      </c>
      <c r="AB50" t="inlineStr">
        <is>
          <t>https://www.instagram.com/internetsanscrainte/</t>
        </is>
      </c>
      <c r="AC50" t="inlineStr">
        <is>
          <t>https://twitter.com/tralalere</t>
        </is>
      </c>
      <c r="AD50" t="inlineStr">
        <is>
          <t>https://linkedin.com/showcase/tralalere</t>
        </is>
      </c>
    </row>
    <row r="51" ht="12.5" customHeight="1">
      <c r="A51" s="6" t="n">
        <v>45181</v>
      </c>
      <c r="B51" s="1" t="inlineStr">
        <is>
          <t>ORG_2062</t>
        </is>
      </c>
      <c r="C51" s="1" t="b">
        <v>1</v>
      </c>
      <c r="D51" s="1" t="inlineStr">
        <is>
          <t>Omniscol</t>
        </is>
      </c>
      <c r="E51" s="10" t="inlineStr">
        <is>
          <t>www.omniscol.com</t>
        </is>
      </c>
      <c r="F51" t="inlineStr">
        <is>
          <t>omniscol.com</t>
        </is>
      </c>
      <c r="G51" s="1" t="inlineStr">
        <is>
          <t>Omniscol provides schools with a unique fully online tool to generate and manage timetables and absences. It's simple and intuitive, yet very powerful. Our fast algorithm can solve and optimize the most complex scheduling problems. Our user interface allows dealing with conflicts or teacher availabilities, and show you available teachers and rooms for daily management. Advanced statistics facilitate the supervision of your school. We deal with all sorts of timetables, for K12, higher education, or training centers (as a calendar). It's very easy to integrate into your current information system, to export (and import) to Excel or iCal.</t>
        </is>
      </c>
      <c r="H51" s="1" t="inlineStr">
        <is>
          <t>EdTech France</t>
        </is>
      </c>
      <c r="J51" s="1" t="inlineStr">
        <is>
          <t>Paris</t>
        </is>
      </c>
      <c r="K51" s="1" t="inlineStr">
        <is>
          <t>France</t>
        </is>
      </c>
      <c r="L51" s="1" t="inlineStr">
        <is>
          <t>France, Italy, Kazakhstan, Norway, United Kingdom</t>
        </is>
      </c>
      <c r="M51" s="1" t="inlineStr">
        <is>
          <t>0 to 10</t>
        </is>
      </c>
      <c r="N51" s="1" t="inlineStr">
        <is>
          <t>Business to Business, Business to Government, Business to Schools</t>
        </is>
      </c>
      <c r="O51" s="1" t="inlineStr">
        <is>
          <t>Early childhood development (0-5 years), Primary Education, Secondary Education, Higher Education, Corporate Training, Lifelong learning/Adult education</t>
        </is>
      </c>
      <c r="P51" s="1" t="inlineStr">
        <is>
          <t>System/Administrative, Student interfacing, Teacher interfacing</t>
        </is>
      </c>
      <c r="Q51" s="10" t="inlineStr">
        <is>
          <t>Omniscol</t>
        </is>
      </c>
      <c r="R51" s="10" t="inlineStr">
        <is>
          <t>Timetable software, fully online, intuitive &amp; powerful, for all kinds of schools or training centers, and all kinds of schedules.</t>
        </is>
      </c>
      <c r="S51" s="10" t="inlineStr">
        <is>
          <t>https://drive.google.com/uc?export=view&amp;id=1UmzTkbJ0pht1WtBI2g4ZfTpKn9m__Fgd</t>
        </is>
      </c>
      <c r="T51" t="inlineStr">
        <is>
          <t>https://drive.google.com/uc?export=view&amp;id=1UmzTkbJ0pht1WtBI2g4ZfTpKn9m__Fgd</t>
        </is>
      </c>
      <c r="U51" s="1" t="inlineStr">
        <is>
          <t>https://drive.google.com/uc?export=view&amp;id=1UmzTkbJ0pht1WtBI2g4ZfTpKn9m__Fgd</t>
        </is>
      </c>
      <c r="V51" s="1" t="inlineStr">
        <is>
          <t>Unverified</t>
        </is>
      </c>
      <c r="Y51" s="10" t="n"/>
      <c r="Z51" s="1" t="n"/>
      <c r="AA51" t="inlineStr">
        <is>
          <t>Yes</t>
        </is>
      </c>
      <c r="AB51" t="inlineStr">
        <is>
          <t>https://www.instagram.com/omniscol/</t>
        </is>
      </c>
      <c r="AC51" t="inlineStr">
        <is>
          <t>https://twitter.com/omniscol</t>
        </is>
      </c>
      <c r="AD51" t="inlineStr">
        <is>
          <t>https://www.linkedin.com/company/omniscol</t>
        </is>
      </c>
    </row>
    <row r="52" ht="12.5" customHeight="1">
      <c r="A52" s="6" t="n">
        <v>45181</v>
      </c>
      <c r="B52" s="1" t="inlineStr">
        <is>
          <t>ORG_1081</t>
        </is>
      </c>
      <c r="C52" s="1" t="b">
        <v>1</v>
      </c>
      <c r="D52" s="1" t="inlineStr">
        <is>
          <t>AOZ Studio</t>
        </is>
      </c>
      <c r="E52" s="1" t="inlineStr">
        <is>
          <t>www.aoz.studio</t>
        </is>
      </c>
      <c r="F52" t="inlineStr">
        <is>
          <t>aoz.studio</t>
        </is>
      </c>
      <c r="G52" s="1" t="inlineStr">
        <is>
          <t>We are www.aoz.studio with a new and unique creative studio. A development platform to publish any app, game or website you can dream up, with zero coding experience. Zero!
Our goal is that everyone can start from scratch and create a first bug-free program in 15 minutes.
We created AOZ Studio with a mission, to help Kids and grown-ups understand, learn. 
The AOZ Studio team is made of game veterans, ... having founded several successful game and media company.</t>
        </is>
      </c>
      <c r="H52" s="1" t="inlineStr">
        <is>
          <t>EdTech France</t>
        </is>
      </c>
      <c r="I52" s="1" t="inlineStr">
        <is>
          <t>English, French</t>
        </is>
      </c>
      <c r="J52" s="1" t="inlineStr">
        <is>
          <t>CHEMIN DE FAVREUSE</t>
        </is>
      </c>
      <c r="K52" s="1" t="inlineStr">
        <is>
          <t>France</t>
        </is>
      </c>
      <c r="L52" s="1" t="inlineStr">
        <is>
          <t>Belgium, Denmark, France, Germany, Greece, Ireland, Italy, Luxembourg, Monaco, Netherlands, Norway, Poland, Portugal, Spain, Sweden, Switzerland, United Kingdom</t>
        </is>
      </c>
      <c r="M52" s="1" t="inlineStr">
        <is>
          <t>3 to 5</t>
        </is>
      </c>
      <c r="N52" s="1" t="inlineStr">
        <is>
          <t>Business to Business, Business to Consumer</t>
        </is>
      </c>
      <c r="O52" s="1" t="inlineStr">
        <is>
          <t>Secondary Education, Corporate Training, Lifelong learning/Adult education</t>
        </is>
      </c>
      <c r="P52" s="1" t="inlineStr">
        <is>
          <t>System/Administrative, Student interfacing, Teacher interfacing</t>
        </is>
      </c>
      <c r="Q52" s="10" t="inlineStr">
        <is>
          <t>AOZ STUDIO</t>
        </is>
      </c>
      <c r="R52" s="10" t="inlineStr">
        <is>
          <t>If you remember the BASIC language standard, it was easy to learn and use, we put it on steroids so that everyone can create casual or sophisticated games for PC, Smartphones,… but also Pro applications. 
It is free for kids and educational associations.
Companies such as LOREAL for example uses it even though we are still in beta. The French Ministry of National Education is deploying it in schools, we have a first State organizing a Game Contest, etc ...
Nowadays computer programming should be our second language, the needs are considerable. 
AOZ Studio is the only product to our knowledge that allows this.</t>
        </is>
      </c>
      <c r="S52" s="10" t="inlineStr">
        <is>
          <t>https://drive.google.com/uc?export=view&amp;id=15_IB2EPsBeULnDx-NXyD9JZyj8FnQ81L</t>
        </is>
      </c>
      <c r="T52" t="inlineStr">
        <is>
          <t>https://drive.google.com/uc?export=view&amp;id=15_IB2EPsBeULnDx-NXyD9JZyj8FnQ81L</t>
        </is>
      </c>
      <c r="U52" s="1" t="inlineStr">
        <is>
          <t>https://drive.google.com/uc?export=view&amp;id=15_IB2EPsBeULnDx-NXyD9JZyj8FnQ81L</t>
        </is>
      </c>
      <c r="V52" s="1" t="inlineStr">
        <is>
          <t>Unverified</t>
        </is>
      </c>
      <c r="Y52" s="10" t="n"/>
      <c r="Z52" s="1" t="n"/>
      <c r="AA52" t="inlineStr">
        <is>
          <t>Yes</t>
        </is>
      </c>
      <c r="AB52" t="inlineStr">
        <is>
          <t>https://www.instagram.com/aozstudioofficial/</t>
        </is>
      </c>
      <c r="AC52" t="inlineStr">
        <is>
          <t>https://twitter.com/aoz_studio</t>
        </is>
      </c>
      <c r="AD52" t="inlineStr">
        <is>
          <t>https://www.linkedin.com/company/aoz-studio/</t>
        </is>
      </c>
    </row>
    <row r="53" ht="12.5" customHeight="1">
      <c r="A53" s="6" t="n">
        <v>45181</v>
      </c>
      <c r="B53" s="1" t="inlineStr">
        <is>
          <t>ORG_1035</t>
        </is>
      </c>
      <c r="C53" s="1" t="b">
        <v>1</v>
      </c>
      <c r="D53" s="1" t="inlineStr">
        <is>
          <t>Adaptiv Me</t>
        </is>
      </c>
      <c r="E53" s="10" t="inlineStr">
        <is>
          <t>https://www.adaptiv.me/</t>
        </is>
      </c>
      <c r="F53" t="inlineStr">
        <is>
          <t>adaptiv.me</t>
        </is>
      </c>
      <c r="G53" s="1" t="inlineStr">
        <is>
          <t>A full-stack career intelligence platform that helps students and young professionals achieve their professional goals by providing them AI-generated career recipes mapped to tailor-made micro-courses.</t>
        </is>
      </c>
      <c r="H53" s="1" t="inlineStr">
        <is>
          <t>I'm not part of any EdTech association</t>
        </is>
      </c>
      <c r="I53" s="1" t="inlineStr">
        <is>
          <t>English</t>
        </is>
      </c>
      <c r="J53" s="1" t="inlineStr">
        <is>
          <t>MEYLAN</t>
        </is>
      </c>
      <c r="K53" s="1" t="inlineStr">
        <is>
          <t>France</t>
        </is>
      </c>
      <c r="L53" s="1" t="inlineStr">
        <is>
          <t>Belgium, Denmark, France, Germany, Ireland, Italy, Luxembourg, Monaco, Netherlands, Spain, Sweden, Switzerland, United Kingdom</t>
        </is>
      </c>
      <c r="M53" s="1" t="inlineStr">
        <is>
          <t>3 to 5</t>
        </is>
      </c>
      <c r="N53" s="1" t="inlineStr">
        <is>
          <t>Business to Consumer</t>
        </is>
      </c>
      <c r="O53" s="1" t="inlineStr">
        <is>
          <t>Lifelong learning/Adult education</t>
        </is>
      </c>
      <c r="P53" s="1" t="inlineStr">
        <is>
          <t>Student interfacing</t>
        </is>
      </c>
      <c r="Q53" s="10" t="inlineStr">
        <is>
          <t>Adaptiv Me</t>
        </is>
      </c>
      <c r="R53" s="10" t="inlineStr">
        <is>
          <t>Users can rely on the algorithms of Ada, the AI-powered career mentor to get career recipes generated for our users based on their professional goals, skills and interests by Ada’s AI. They can explore career recipes generated for other users, or chat with Ada about their current skills, passions and career objectives, to get a tailor-made career recipe generated.</t>
        </is>
      </c>
      <c r="S53" s="10" t="inlineStr">
        <is>
          <t>https://drive.google.com/uc?export=view&amp;id=1ZvKT6Z_QgF3m-ji_Emh35Iw1TWAZW2Sf</t>
        </is>
      </c>
      <c r="T53" t="inlineStr">
        <is>
          <t>https://drive.google.com/uc?export=view&amp;id=1ZvKT6Z_QgF3m-ji_Emh35Iw1TWAZW2Sf</t>
        </is>
      </c>
      <c r="U53" s="1" t="inlineStr">
        <is>
          <t>https://drive.google.com/uc?export=view&amp;id=1ZvKT6Z_QgF3m-ji_Emh35Iw1TWAZW2Sf</t>
        </is>
      </c>
      <c r="V53" s="1" t="inlineStr">
        <is>
          <t>Unverified</t>
        </is>
      </c>
      <c r="Y53" s="10" t="n"/>
      <c r="Z53" s="1" t="n"/>
      <c r="AA53" t="inlineStr">
        <is>
          <t>Yes</t>
        </is>
      </c>
      <c r="AB53" t="inlineStr">
        <is>
          <t>https://www.instagram.com/adaptiv.me/</t>
        </is>
      </c>
      <c r="AC53" t="inlineStr">
        <is>
          <t>https://twitter.com/adaptiv_me</t>
        </is>
      </c>
      <c r="AD53" t="inlineStr">
        <is>
          <t>https://www.linkedin.com/company/adaptiv-me</t>
        </is>
      </c>
    </row>
    <row r="54" ht="12.5" customHeight="1">
      <c r="A54" s="6" t="n">
        <v>45181</v>
      </c>
      <c r="B54" s="1" t="inlineStr">
        <is>
          <t>ORG_1610</t>
        </is>
      </c>
      <c r="C54" s="1" t="b">
        <v>1</v>
      </c>
      <c r="D54" s="1" t="inlineStr">
        <is>
          <t>Gar Ninja</t>
        </is>
      </c>
      <c r="E54" s="10" t="inlineStr">
        <is>
          <t>https://gar.ninja/</t>
        </is>
      </c>
      <c r="F54" t="inlineStr">
        <is>
          <t>gar.ninja</t>
        </is>
      </c>
      <c r="G54" s="1" t="inlineStr">
        <is>
          <t>GarNinja is a pioneering company that specialises in helping publishers to dock their ressource to the GAR.
Highly involved in the industry, GarNinja co-animates AFINEF's acculturation workshops and technical workshops about the GAR. 
GarNinja offers publishers an end-to-end solution for docking to GAR. Ninjas experts will accompany you from filling in the registration up to the point your resource is into production.
GarNinja also offers post-docking NinjaConnect is a subscription that includes a range of services and a software suite for the commercial management of your resource.
A 10% discount is offered to AFINEF members.
Proud of its strong web experience, GarNinja also offers à la carte consultancy, for development or support in docking with other connectors (Lumni, Canotech, etc.).
Translated with www.DeepL.com/Translator (free version)</t>
        </is>
      </c>
      <c r="H54" s="1" t="inlineStr">
        <is>
          <t>AFINEF</t>
        </is>
      </c>
      <c r="J54" s="1" t="inlineStr">
        <is>
          <t>TREBRIVAN</t>
        </is>
      </c>
      <c r="K54" s="1" t="inlineStr">
        <is>
          <t>France</t>
        </is>
      </c>
      <c r="L54" s="1" t="inlineStr">
        <is>
          <t>France</t>
        </is>
      </c>
      <c r="M54" s="1" t="inlineStr">
        <is>
          <t>0 to 10</t>
        </is>
      </c>
      <c r="N54" s="1" t="inlineStr">
        <is>
          <t>Business to Business</t>
        </is>
      </c>
      <c r="O54" s="1" t="inlineStr">
        <is>
          <t>Early childhood development (0-5 years), Primary Education, Secondary Education</t>
        </is>
      </c>
      <c r="P54" s="1" t="inlineStr">
        <is>
          <t>System/Administrative</t>
        </is>
      </c>
      <c r="Q54" t="inlineStr">
        <is>
          <t>Gar Ninja : docking to the GAR assistance</t>
        </is>
      </c>
      <c r="R54" s="10" t="inlineStr">
        <is>
          <t>* administrative support
* study and advice on the compliance of the resource publisher
* filling in the declaration of conformity
* support in setting up the SSO
* drafting of the ScoLOMFR manual(s)
* support for the implementation of the GAR API
* management of interactions with the GAR</t>
        </is>
      </c>
      <c r="S54" s="10" t="inlineStr">
        <is>
          <t>Ninja connect : subscription offer for consulting and post-docking software suite</t>
        </is>
      </c>
      <c r="T54" t="inlineStr">
        <is>
          <t>* Subscriptions management interface (via API GAR)
* update of notices (DCP change, curriculum change...)
* integration with LDE and EMLS
* promotion of publishers (Educatec-Educatice, website, linkedIn...)
* advice and support for your support or evolution issues
* management of exchanges with the GAR
* software suite in constant evolution: record management interface, implementation of new GAR services, dedicated OAI warehouse, etc.</t>
        </is>
      </c>
      <c r="U54" s="1" t="inlineStr">
        <is>
          <t>https://drive.google.com/uc?export=view&amp;id=1yIBqi5xEOThUapSO6uN0TSBW8CPCNIN2</t>
        </is>
      </c>
      <c r="V54" s="1" t="inlineStr">
        <is>
          <t>Unverified</t>
        </is>
      </c>
      <c r="W54" s="1" t="inlineStr">
        <is>
          <t>https://drive.google.com/uc?export=view&amp;id=1yIBqi5xEOThUapSO6uN0TSBW8CPCNIN2</t>
        </is>
      </c>
      <c r="X54" s="1" t="n"/>
      <c r="Y54" s="10" t="n"/>
      <c r="Z54" s="1" t="n"/>
      <c r="AA54" t="inlineStr">
        <is>
          <t>Yes</t>
        </is>
      </c>
      <c r="AB54" t="inlineStr">
        <is>
          <t>https://twitter.com/gar_ninja</t>
        </is>
      </c>
      <c r="AC54" t="inlineStr">
        <is>
          <t>https://twitter.com/gar_ninja</t>
        </is>
      </c>
      <c r="AD54" t="inlineStr">
        <is>
          <t>https://www.linkedin.com/company/gar-ninja/</t>
        </is>
      </c>
    </row>
    <row r="55" ht="12.5" customHeight="1">
      <c r="A55" s="6" t="n">
        <v>45181</v>
      </c>
      <c r="B55" s="1" t="inlineStr">
        <is>
          <t>ORG_1629</t>
        </is>
      </c>
      <c r="C55" s="1" t="b">
        <v>1</v>
      </c>
      <c r="D55" s="1" t="inlineStr">
        <is>
          <t>Go Fenix</t>
        </is>
      </c>
      <c r="E55" s="10" t="inlineStr">
        <is>
          <t>gofenix.io</t>
        </is>
      </c>
      <c r="F55" t="inlineStr">
        <is>
          <t>gofenix.io</t>
        </is>
      </c>
      <c r="G55" s="1" t="inlineStr">
        <is>
          <t>For active workers looking to get into tech, we provide a guided journey to chat with tech experts, find a relevant course and meet local employers.</t>
        </is>
      </c>
      <c r="H55" s="1" t="inlineStr">
        <is>
          <t>I'm not part of any EdTech association</t>
        </is>
      </c>
      <c r="J55" s="1" t="inlineStr">
        <is>
          <t>Paris</t>
        </is>
      </c>
      <c r="K55" s="1" t="inlineStr">
        <is>
          <t>France</t>
        </is>
      </c>
      <c r="L55" s="1" t="inlineStr">
        <is>
          <t>France</t>
        </is>
      </c>
      <c r="M55" s="1" t="inlineStr">
        <is>
          <t>0 to 10</t>
        </is>
      </c>
      <c r="N55" s="1" t="inlineStr">
        <is>
          <t>Business to Business, Business to Schools</t>
        </is>
      </c>
      <c r="O55" s="1" t="inlineStr">
        <is>
          <t>Lifelong learning/Adult education</t>
        </is>
      </c>
      <c r="P55" s="1" t="inlineStr">
        <is>
          <t>Student interfacing, System/Administrative</t>
        </is>
      </c>
      <c r="S55" t="inlineStr">
        <is>
          <t>https://drive.google.com/uc?export=view&amp;id=1cZItaRMVPLUreEGj4-cOHlV544sCCZ5r</t>
        </is>
      </c>
      <c r="T55" t="inlineStr">
        <is>
          <t>https://drive.google.com/uc?export=view&amp;id=1cZItaRMVPLUreEGj4-cOHlV544sCCZ5r</t>
        </is>
      </c>
      <c r="U55" t="inlineStr">
        <is>
          <t>https://drive.google.com/uc?export=view&amp;id=1cZItaRMVPLUreEGj4-cOHlV544sCCZ5r</t>
        </is>
      </c>
      <c r="V55" t="inlineStr">
        <is>
          <t>Unverified</t>
        </is>
      </c>
      <c r="Y55" s="10" t="n"/>
      <c r="Z55" s="1" t="n"/>
      <c r="AA55" t="inlineStr">
        <is>
          <t>No</t>
        </is>
      </c>
    </row>
    <row r="56" ht="12.5" customHeight="1">
      <c r="A56" s="6" t="n">
        <v>45181</v>
      </c>
      <c r="B56" s="1" t="inlineStr">
        <is>
          <t>ORG_1965</t>
        </is>
      </c>
      <c r="C56" s="1" t="b">
        <v>1</v>
      </c>
      <c r="D56" s="1" t="inlineStr">
        <is>
          <t>Millionroads</t>
        </is>
      </c>
      <c r="E56" s="10" t="inlineStr">
        <is>
          <t>https://www.millionroads.com/</t>
        </is>
      </c>
      <c r="F56" t="inlineStr">
        <is>
          <t>millionroads.com</t>
        </is>
      </c>
      <c r="G56" s="1" t="inlineStr">
        <is>
          <t>Millionroads is an Edtech company that collects and analyses tens of millions of educational and professional backgrounds and develop business intelligence tools enabling education actors to better manage their activities, with solutions designed to reinvent career guidance and integration thanks to the combined power of Big data and IA.</t>
        </is>
      </c>
      <c r="H56" s="1" t="inlineStr">
        <is>
          <t>AFINEF</t>
        </is>
      </c>
      <c r="J56" s="1" t="inlineStr">
        <is>
          <t>AVIGNON</t>
        </is>
      </c>
      <c r="K56" s="1" t="inlineStr">
        <is>
          <t>France</t>
        </is>
      </c>
      <c r="L56" s="1" t="inlineStr">
        <is>
          <t>France</t>
        </is>
      </c>
      <c r="M56" s="1" t="inlineStr">
        <is>
          <t>11 to 50</t>
        </is>
      </c>
      <c r="N56" s="1" t="inlineStr">
        <is>
          <t>Business to Consumer, Business to Government, Business to Schools</t>
        </is>
      </c>
      <c r="O56" s="1" t="inlineStr">
        <is>
          <t>Secondary Education, Higher Education</t>
        </is>
      </c>
      <c r="P56" s="1" t="inlineStr">
        <is>
          <t>Student interfacing</t>
        </is>
      </c>
      <c r="S56" t="inlineStr">
        <is>
          <t>https://drive.google.com/uc?export=view&amp;id=1FLLz6eloWGc0PASWNw0OUkydyJ3N-Zhu</t>
        </is>
      </c>
      <c r="T56" t="inlineStr">
        <is>
          <t>https://drive.google.com/uc?export=view&amp;id=1FLLz6eloWGc0PASWNw0OUkydyJ3N-Zhu</t>
        </is>
      </c>
      <c r="U56" t="inlineStr">
        <is>
          <t>https://drive.google.com/uc?export=view&amp;id=1FLLz6eloWGc0PASWNw0OUkydyJ3N-Zhu</t>
        </is>
      </c>
      <c r="V56" t="inlineStr">
        <is>
          <t>Unverified</t>
        </is>
      </c>
      <c r="Y56" s="10" t="n"/>
      <c r="Z56" s="1" t="n"/>
      <c r="AA56" t="inlineStr">
        <is>
          <t>No</t>
        </is>
      </c>
    </row>
    <row r="57" ht="12.5" customHeight="1">
      <c r="A57" s="6" t="n">
        <v>45181</v>
      </c>
      <c r="B57" s="1" t="inlineStr">
        <is>
          <t>ORG_1208</t>
        </is>
      </c>
      <c r="C57" s="1" t="b">
        <v>1</v>
      </c>
      <c r="D57" s="1" t="inlineStr">
        <is>
          <t>CABRILOG</t>
        </is>
      </c>
      <c r="E57" s="10" t="inlineStr">
        <is>
          <t>https://cabri.com</t>
        </is>
      </c>
      <c r="F57" t="inlineStr">
        <is>
          <t>cabri.com</t>
        </is>
      </c>
      <c r="G57" s="1" t="inlineStr">
        <is>
          <t>An EdTech located in the heart of the French Alps, Cabrilog designs, develops and markets digital learning resources and apps dedicated to maths and science education. Those are based on the concept of “Try it to learn it”. It is for both K-12 and higher education students and teachers. It features a smart automatic grading for assessment in maths, coding and STEAM.
1. Around 20 Ministries of Education have already deployed Cabri solutions. 
2. The solution has proven to generate a 30% increase in students' grades. Those results come from the world’s largest research on the impact of technology in math education, including more than 15,000 students during 6 years.
3. Based on scientific results in didactics and cognitive science research through key partnerships.
4. The technology has been embedded in Texas Instruments calculators since the 90’s &amp; adopted by leading text-book publishers, such as Mc Graw Hill and Pearson.</t>
        </is>
      </c>
      <c r="H57" s="1" t="inlineStr">
        <is>
          <t>AFINEF</t>
        </is>
      </c>
      <c r="J57" s="1" t="inlineStr">
        <is>
          <t>FONTAINE</t>
        </is>
      </c>
      <c r="K57" s="1" t="inlineStr">
        <is>
          <t>France</t>
        </is>
      </c>
      <c r="L5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57" s="1" t="inlineStr">
        <is>
          <t>11 to 50</t>
        </is>
      </c>
      <c r="N57" s="1" t="inlineStr">
        <is>
          <t>Business to Business, Business to Consumer, Business to Government, Business to Schools</t>
        </is>
      </c>
      <c r="O57" s="1" t="inlineStr">
        <is>
          <t>Primary Education, Secondary Education, Higher Education, Corporate Training, Lifelong learning/Adult education</t>
        </is>
      </c>
      <c r="P57" s="1" t="inlineStr">
        <is>
          <t>System/Administrative, Student interfacing, Teacher interfacing</t>
        </is>
      </c>
      <c r="Q57" s="10" t="inlineStr">
        <is>
          <t>Cabri Maths</t>
        </is>
      </c>
      <c r="R57" s="10" t="inlineStr">
        <is>
          <t>CABRI Maths combines several mathematical tools, all integrated into the LMS platform
Cabri for personalized support in learning:
● The Cabri Express tool
● The Smart extension
● Cabri 3D online
The Cabri Express tool allows teachers to create digital resources in line with
to the school programs and in line with the different mathematics themes:
"Numbers and calculations", "Organization and management functions", "Magnitude and measures","Space and geometry". With Cabri Express, students feel involved in mathematics, the digital mathematics, the digital tool captures their attention and attention and makes them actors of their learning. The teacher has the possibility of creating activities in mathematics using Cabri Express: they have access to tools for creating statements (text, expression, numbers, etc.), dynamic geometry in 2D and 3D,
virtual instruments such as the ruler, the compass, the protractor, the calculator, etc.
Cabri 3D is a powerful software for dynamic mathematics in space.
Cabri 3D makes it possible to overcome the difficulties of construction and visualization, and brings the advantages of dynamic geometry. Cabri 3D won the BETT Award 2007
for the best resource in the "Secondary School Core Subjects" category.
3D visualization tools make it possible to exploit the properties of solid geometry and
to understand mathematical constructions that are impossible to reproduce physically. The tool allows students to develop their ability to think in 3D and their mathematical creativity, a skill sought after by companies for problem solving.</t>
        </is>
      </c>
      <c r="S57" s="10" t="inlineStr">
        <is>
          <t>Cabri STEAM</t>
        </is>
      </c>
      <c r="T57" t="inlineStr">
        <is>
          <t>Cabri STEAM is an extension using the iMuSciCA tools to learn all the STEAM notions. 
iMuSciCA is a European project which focusses on the following : 
motivating students for scientific subjects, even when things get difficult; making connections with the stimulating world of music; stimulating creativity in the different disciplines through art and expression. This is why iMuSciCA proposes an interdisciplinary approach guiding students to solve real problems in a creative manner, a key competence. It is about fostering creativity and enhancing learning science, technology, arts and mathematics skills in science, technology, arts and mathematics through music.
iMuSciCA is a solution developed thanks to the collaboration of five research groups and three enterprises, established in six European countries. 
Each of these actors brings its expertise on topics such as virtual reality, sound and music analysis algorithms, science and mathematics education as part of an interdisciplinary education, the design, customization and production of 3D objects ...</t>
        </is>
      </c>
      <c r="U57" s="1" t="inlineStr">
        <is>
          <t>https://drive.google.com/uc?export=view&amp;id=1V6uKeA9mVE_k9VmSUWddHTq_byGZF2NA</t>
        </is>
      </c>
      <c r="V57" s="1" t="inlineStr">
        <is>
          <t>Unverified</t>
        </is>
      </c>
      <c r="W57" s="1" t="inlineStr">
        <is>
          <t>https://drive.google.com/uc?export=view&amp;id=1V6uKeA9mVE_k9VmSUWddHTq_byGZF2NA</t>
        </is>
      </c>
      <c r="X57" s="1" t="n"/>
      <c r="Y57" s="10" t="n"/>
      <c r="Z57" s="1" t="n"/>
      <c r="AA57" t="inlineStr">
        <is>
          <t>Yes</t>
        </is>
      </c>
      <c r="AB57" t="inlineStr">
        <is>
          <t>https://www.instagram.com/cabrilog_/</t>
        </is>
      </c>
      <c r="AC57" t="inlineStr">
        <is>
          <t>https://twitter.com/Cabrilog</t>
        </is>
      </c>
      <c r="AD57" t="inlineStr">
        <is>
          <t>https://www.linkedin.com/company/cabrilog/</t>
        </is>
      </c>
    </row>
    <row r="58" ht="12.5" customHeight="1">
      <c r="A58" s="6" t="n">
        <v>45181</v>
      </c>
      <c r="B58" s="1" t="inlineStr">
        <is>
          <t>ORG_1216</t>
        </is>
      </c>
      <c r="C58" s="1" t="b">
        <v>1</v>
      </c>
      <c r="D58" s="1" t="inlineStr">
        <is>
          <t>Cantoo</t>
        </is>
      </c>
      <c r="E58" s="10" t="inlineStr">
        <is>
          <t>https://www.cantoo.fr/</t>
        </is>
      </c>
      <c r="F58" t="inlineStr">
        <is>
          <t>cantoo.fr</t>
        </is>
      </c>
      <c r="G58" s="1" t="inlineStr">
        <is>
          <t>Cantoo Scribe allows all elementary, middle and high school students to grade and manage their lessons with a range of application tools designed specifically for school. Thanks to its intuitive interface and its range of tools for all subjects, students can now experience their digital schooling with ease. Teachers can also prepare, exchange and correct lessons and assignments with them. As part of its commitment to school inclusion, the software includes all the necessary compensation tools for the specific needs of DYS students.</t>
        </is>
      </c>
      <c r="H58" s="1" t="inlineStr">
        <is>
          <t>AFINEF, EdTech France</t>
        </is>
      </c>
      <c r="J58" s="1" t="inlineStr">
        <is>
          <t>LILLE</t>
        </is>
      </c>
      <c r="K58" s="1" t="inlineStr">
        <is>
          <t>France</t>
        </is>
      </c>
      <c r="L58" s="1" t="inlineStr">
        <is>
          <t>Belgium, France, Luxembourg, Switzerland</t>
        </is>
      </c>
      <c r="M58" s="1" t="inlineStr">
        <is>
          <t>0 to 10</t>
        </is>
      </c>
      <c r="N58" s="1" t="inlineStr">
        <is>
          <t>Business to Business, Business to Consumer</t>
        </is>
      </c>
      <c r="O58" s="1" t="inlineStr">
        <is>
          <t>Lifelong learning/Adult education</t>
        </is>
      </c>
      <c r="P58" s="1" t="inlineStr">
        <is>
          <t>System/Administrative, Teacher interfacing, Student interfacing</t>
        </is>
      </c>
      <c r="S58" t="inlineStr">
        <is>
          <t>https://drive.google.com/uc?export=view&amp;id=1ZwrHCsWAKzqlVcCSkMIMXdFWbsQBFtEf</t>
        </is>
      </c>
      <c r="T58" t="inlineStr">
        <is>
          <t>https://drive.google.com/uc?export=view&amp;id=1ZwrHCsWAKzqlVcCSkMIMXdFWbsQBFtEf</t>
        </is>
      </c>
      <c r="U58" t="inlineStr">
        <is>
          <t>https://drive.google.com/uc?export=view&amp;id=1ZwrHCsWAKzqlVcCSkMIMXdFWbsQBFtEf</t>
        </is>
      </c>
      <c r="V58" t="inlineStr">
        <is>
          <t>Unverified</t>
        </is>
      </c>
      <c r="Y58" s="10" t="n"/>
      <c r="Z58" s="1" t="n"/>
      <c r="AA58" t="inlineStr">
        <is>
          <t>No</t>
        </is>
      </c>
    </row>
    <row r="59" ht="12.5" customHeight="1">
      <c r="A59" s="6" t="n">
        <v>45181</v>
      </c>
      <c r="B59" s="1" t="inlineStr">
        <is>
          <t>ORG_1575</t>
        </is>
      </c>
      <c r="C59" s="1" t="b">
        <v>1</v>
      </c>
      <c r="D59" s="1" t="inlineStr">
        <is>
          <t>Formations - Allaitement Pour Tous</t>
        </is>
      </c>
      <c r="E59" s="10" t="inlineStr">
        <is>
          <t>https://www.allaitementpourtous.com/</t>
        </is>
      </c>
      <c r="F59" t="inlineStr">
        <is>
          <t>allaitementpourtous.com</t>
        </is>
      </c>
      <c r="G59" s="1" t="inlineStr">
        <is>
          <t>Allaitement Pour Tous propose des formations en allaitement maternel et dans l'allaitement face à des troubles de la succion et d'autres situations complexes. Fruit de plus de 20 d'expérience dans l'accompagnement des allaitements compliqués Charlotte Yonge consultante en lactation IBCLC propose désormais des formations professionnelles 100% en ligne avec des contrôles de connaissances en QCM, des réunions Q/R en directe. Un certificat de connaissances acquises selon les critères d'Allaitement Pour Tous sera octroyé avec la présentation d'un étude de cas illustré, à la fin de la formation. Les formations professionnelles d'Allaitement Pour Tous sont certifiées QUALIOPI, visant les professionnels dans le secteur de la périnatalité.</t>
        </is>
      </c>
      <c r="H59" s="1" t="inlineStr">
        <is>
          <t>I'm not part of any EdTech association</t>
        </is>
      </c>
      <c r="I59" s="1" t="inlineStr">
        <is>
          <t>English</t>
        </is>
      </c>
      <c r="J59" s="1" t="inlineStr">
        <is>
          <t>Paris</t>
        </is>
      </c>
      <c r="K59" s="1" t="inlineStr">
        <is>
          <t>France</t>
        </is>
      </c>
      <c r="L59" s="1" t="inlineStr">
        <is>
          <t>France</t>
        </is>
      </c>
      <c r="M59" s="1" t="inlineStr">
        <is>
          <t>0 to 2</t>
        </is>
      </c>
      <c r="N59" s="1" t="inlineStr">
        <is>
          <t>Business to Business, Business to Consumer</t>
        </is>
      </c>
      <c r="O59" s="1" t="inlineStr">
        <is>
          <t>Vocational Education and Training (VET), Higher Education</t>
        </is>
      </c>
      <c r="P59" s="1" t="inlineStr">
        <is>
          <t>System/Administrative, Student interfacing</t>
        </is>
      </c>
      <c r="Q59" s="10" t="inlineStr">
        <is>
          <t>Formations en allaitement maternel.</t>
        </is>
      </c>
      <c r="R59" t="inlineStr">
        <is>
          <t>Charlotte Yonge, consultante en lactation IBCLC propose des formations professionnelles en allaitement maternel, 100% en ligne en mode "blended" avec des cours et contrôles de connaissances en ligne et des réunions d'accompagnement en directe avec les apprenants en ligne.</t>
        </is>
      </c>
      <c r="S59" s="10" t="inlineStr">
        <is>
          <t>Allaiter malgré les troubles de la succion - Des variables dans les restrictions maxillo-oro-faciales</t>
        </is>
      </c>
      <c r="T59" t="inlineStr">
        <is>
          <t>Objectif principal de la formation : A l’issue de la formation, le stagiaire sera capable d’identifier les indices de restriction liées ou non à un frein buccal qui entravant le bon déroulement de l’allaitement, de démontrer les techniques et approches qui contournent les obstacles en attendant les soins appropriés.</t>
        </is>
      </c>
      <c r="U59" s="1" t="inlineStr">
        <is>
          <t>https://drive.google.com/uc?export=view&amp;id=1EVtU8Bo_08vPAfmzHNYM1NI3f4xZ6L1X</t>
        </is>
      </c>
      <c r="V59" s="1" t="inlineStr">
        <is>
          <t>Unverified</t>
        </is>
      </c>
      <c r="W59" s="1" t="inlineStr">
        <is>
          <t>https://drive.google.com/uc?export=view&amp;id=1EVtU8Bo_08vPAfmzHNYM1NI3f4xZ6L1X</t>
        </is>
      </c>
      <c r="X59" s="1" t="n"/>
      <c r="Y59" s="10" t="n"/>
      <c r="Z59" s="1" t="n"/>
      <c r="AA59" t="inlineStr">
        <is>
          <t>Yes</t>
        </is>
      </c>
      <c r="AB59" t="inlineStr">
        <is>
          <t>https://www.instagram.com/yongecharlotte/?hl=fr</t>
        </is>
      </c>
      <c r="AC59" t="inlineStr">
        <is>
          <t>https://www.linkedin.com/in/charlotteyonge/?originalSubdomain=fr</t>
        </is>
      </c>
      <c r="AD59" t="inlineStr">
        <is>
          <t>https://www.linkedin.com/in/charlotteyonge/?originalSubdomain=fr</t>
        </is>
      </c>
    </row>
    <row r="60" ht="12.5" customHeight="1">
      <c r="A60" s="6" t="n">
        <v>45181</v>
      </c>
      <c r="B60" s="1" t="inlineStr">
        <is>
          <t>ORG_1258</t>
        </is>
      </c>
      <c r="C60" s="1" t="b">
        <v>1</v>
      </c>
      <c r="D60" s="1" t="inlineStr">
        <is>
          <t>Clic Campus</t>
        </is>
      </c>
      <c r="E60" s="10" t="inlineStr">
        <is>
          <t>www.clic-campus.fr</t>
        </is>
      </c>
      <c r="F60" t="inlineStr">
        <is>
          <t>clic-campus.fr</t>
        </is>
      </c>
      <c r="G60" s="1" t="inlineStr">
        <is>
          <t>Clic Campus is an online language learning center focusing on individual training for professionals.</t>
        </is>
      </c>
      <c r="H60" s="1" t="inlineStr">
        <is>
          <t>EdTech France</t>
        </is>
      </c>
      <c r="J60" s="1" t="inlineStr">
        <is>
          <t>PARIS</t>
        </is>
      </c>
      <c r="K60" s="1" t="inlineStr">
        <is>
          <t>France</t>
        </is>
      </c>
      <c r="L60" s="1" t="inlineStr">
        <is>
          <t>Belgium, France, Germany, Greece, Italy, Monaco, Switzerland</t>
        </is>
      </c>
      <c r="M60" s="1" t="inlineStr">
        <is>
          <t>11 to 50</t>
        </is>
      </c>
      <c r="N60" s="1" t="inlineStr">
        <is>
          <t>Business to Business, Business to Consumer</t>
        </is>
      </c>
      <c r="O60" s="1" t="inlineStr">
        <is>
          <t>Corporate Training, Lifelong learning/Adult education</t>
        </is>
      </c>
      <c r="P60" s="1" t="inlineStr">
        <is>
          <t>System/Administrative, Student interfacing</t>
        </is>
      </c>
      <c r="Q60" t="inlineStr">
        <is>
          <t>English lessons</t>
        </is>
      </c>
      <c r="R60" t="inlineStr">
        <is>
          <t>For every student our teachers create a tailor made training program based on your current level. Our pedagogy is based on blended learning : a mix of private lessons with a teacher and autonomous learning on an online platform.</t>
        </is>
      </c>
      <c r="S60" s="10" t="inlineStr">
        <is>
          <t>French lessons</t>
        </is>
      </c>
      <c r="T60" t="inlineStr">
        <is>
          <t>For every student our teachers create a tailor made training program based on your current level. Our pedagogy is based on blended learning : a mix of private lessons with a teacher and autonomous learning on an online platform.</t>
        </is>
      </c>
      <c r="U60" s="1" t="inlineStr">
        <is>
          <t>https://drive.google.com/uc?export=view&amp;id=1f0biwlJinANNaZhIl_lKLYoA_KkEFSMQ</t>
        </is>
      </c>
      <c r="V60" s="1" t="inlineStr">
        <is>
          <t>Unverified</t>
        </is>
      </c>
      <c r="W60" s="1" t="inlineStr">
        <is>
          <t>https://drive.google.com/uc?export=view&amp;id=1f0biwlJinANNaZhIl_lKLYoA_KkEFSMQ</t>
        </is>
      </c>
      <c r="X60" s="1" t="n"/>
      <c r="Y60" s="10" t="n"/>
      <c r="Z60" s="1" t="n"/>
      <c r="AA60" t="inlineStr">
        <is>
          <t>Yes</t>
        </is>
      </c>
      <c r="AC60" t="inlineStr">
        <is>
          <t>https://www.linkedin.com/company/71545098/admin/</t>
        </is>
      </c>
      <c r="AD60" t="inlineStr">
        <is>
          <t>https://www.linkedin.com/company/71545098/admin/</t>
        </is>
      </c>
    </row>
    <row r="61" ht="12.5" customHeight="1">
      <c r="A61" s="6" t="n">
        <v>45181</v>
      </c>
      <c r="B61" s="1" t="inlineStr">
        <is>
          <t>ORG_1297</t>
        </is>
      </c>
      <c r="C61" s="1" t="b">
        <v>1</v>
      </c>
      <c r="D61" s="1" t="inlineStr">
        <is>
          <t>Corneille</t>
        </is>
      </c>
      <c r="E61" s="10" t="inlineStr">
        <is>
          <t>http://corneille.io/</t>
        </is>
      </c>
      <c r="F61" t="inlineStr">
        <is>
          <t>corneille.io</t>
        </is>
      </c>
      <c r="G61" s="1" t="inlineStr">
        <is>
          <t>Leading education platform for early childhood French literacy and language learning where parents subscribe to a vast and constantly updated collection of interactive stories and games for their children age 3 to 8.</t>
        </is>
      </c>
      <c r="H61" s="1" t="inlineStr">
        <is>
          <t>AFINEF, EdTech France</t>
        </is>
      </c>
      <c r="I61" s="1" t="inlineStr">
        <is>
          <t>English</t>
        </is>
      </c>
      <c r="J61" s="1" t="inlineStr">
        <is>
          <t>MARCQ EN BAROEUL</t>
        </is>
      </c>
      <c r="K61" s="1" t="inlineStr">
        <is>
          <t>France</t>
        </is>
      </c>
      <c r="L61" s="1" t="inlineStr">
        <is>
          <t>Belgium, France, Germany, United Kingdom</t>
        </is>
      </c>
      <c r="M61" s="1" t="inlineStr">
        <is>
          <t>3 to 5</t>
        </is>
      </c>
      <c r="N61" s="1" t="inlineStr">
        <is>
          <t>Business to Business, Business to Consumer</t>
        </is>
      </c>
      <c r="O61" s="1" t="inlineStr">
        <is>
          <t>Early childhood development (0-5 years), Primary Education</t>
        </is>
      </c>
      <c r="P61" s="1" t="inlineStr">
        <is>
          <t>System/Administrative, Student interfacing, Teacher interfacing</t>
        </is>
      </c>
      <c r="Q61" s="10" t="inlineStr">
        <is>
          <t>Corneille app</t>
        </is>
      </c>
      <c r="R61" s="10" t="inlineStr">
        <is>
          <t>Corneille creates smart screen time by teaching kids French.
As a fun and educational game for children aged 3 to 8, Corneille makes learning French easy: discovering letters, learning new words, identifying sounds in words, discovering numbers, playing memory games.
Corneille boosts confidence with real French-language books that children love : fun facts, fantasy and classical stories. The progressive reading method inspired by Oxford
Tree is presented in a readaloud module where children gain confidence and can share their readings with adults.
Developed for parent’s sensitive to the content children are exposed to on screens and developed by reading experts (teachers and language experts) based on the latest cognitive studies. Corneille will take your child into a fantastic adventure of reading in French.</t>
        </is>
      </c>
      <c r="S61" s="10" t="inlineStr">
        <is>
          <t>https://drive.google.com/uc?export=view&amp;id=19LWCgVCGFIkSiKjVemA072ityh1CTwyw</t>
        </is>
      </c>
      <c r="T61" t="inlineStr">
        <is>
          <t>https://drive.google.com/uc?export=view&amp;id=19LWCgVCGFIkSiKjVemA072ityh1CTwyw</t>
        </is>
      </c>
      <c r="U61" s="1" t="inlineStr">
        <is>
          <t>https://drive.google.com/uc?export=view&amp;id=19LWCgVCGFIkSiKjVemA072ityh1CTwyw</t>
        </is>
      </c>
      <c r="V61" s="1" t="inlineStr">
        <is>
          <t>Unverified</t>
        </is>
      </c>
      <c r="Y61" s="10" t="n"/>
      <c r="Z61" s="1" t="n"/>
      <c r="AA61" t="inlineStr">
        <is>
          <t>Yes</t>
        </is>
      </c>
      <c r="AB61" t="inlineStr">
        <is>
          <t>https://www.instagram.com/appcorneille/</t>
        </is>
      </c>
      <c r="AC61" t="inlineStr">
        <is>
          <t>https://twitter.com/AppCorneille</t>
        </is>
      </c>
      <c r="AD61" t="inlineStr">
        <is>
          <t>https://www.linkedin.com/company/appcorneille/</t>
        </is>
      </c>
    </row>
    <row r="62" ht="12.5" customHeight="1">
      <c r="A62" s="6" t="n">
        <v>45181</v>
      </c>
      <c r="B62" s="1" t="inlineStr">
        <is>
          <t>ORG_1317</t>
        </is>
      </c>
      <c r="C62" s="1" t="b">
        <v>1</v>
      </c>
      <c r="D62" s="1" t="inlineStr">
        <is>
          <t>Curiose</t>
        </is>
      </c>
      <c r="E62" s="10" t="inlineStr">
        <is>
          <t>https://www.curiose.fr</t>
        </is>
      </c>
      <c r="F62" t="inlineStr">
        <is>
          <t>curiose.fr</t>
        </is>
      </c>
      <c r="G62" s="1" t="inlineStr">
        <is>
          <t>Curiose is not only a web app, it's a societal project that aims at empowering young generations and giving them the tools to build a future aligned with themselves.</t>
        </is>
      </c>
      <c r="H62" s="1" t="inlineStr">
        <is>
          <t>EdTech France</t>
        </is>
      </c>
      <c r="J62" s="1" t="inlineStr">
        <is>
          <t>LYON</t>
        </is>
      </c>
      <c r="K62" s="1" t="inlineStr">
        <is>
          <t>France</t>
        </is>
      </c>
      <c r="L62" s="1" t="inlineStr">
        <is>
          <t>France</t>
        </is>
      </c>
      <c r="M62" s="1" t="inlineStr">
        <is>
          <t>0 to 10</t>
        </is>
      </c>
      <c r="N62" s="1" t="inlineStr">
        <is>
          <t>Business to Business, Business to Consumer</t>
        </is>
      </c>
      <c r="O62" s="1" t="inlineStr">
        <is>
          <t>Secondary Education</t>
        </is>
      </c>
      <c r="P62" s="1" t="inlineStr">
        <is>
          <t>System/Administrative, Student interfacing</t>
        </is>
      </c>
      <c r="Q62" s="1" t="inlineStr">
        <is>
          <t>Curiose app</t>
        </is>
      </c>
      <c r="R62" t="inlineStr">
        <is>
          <t>Curiose is a web app intended for highschool and uni students that helps them to build their professional project, through 3 phases : introspection (the student gets to know more about his values, interests and modus operandi), exploration (the app matches jobs with the student profile, provides with resources, and organizes an encounter with professional), and action (the app displays the right training course for the student, according to different criteria).</t>
        </is>
      </c>
      <c r="S62" s="10" t="inlineStr">
        <is>
          <t>https://drive.google.com/uc?export=view&amp;id=1sFyw71bNVYimApdQP_0SCpr2Cisz6aJl</t>
        </is>
      </c>
      <c r="T62" t="inlineStr">
        <is>
          <t>https://drive.google.com/uc?export=view&amp;id=1sFyw71bNVYimApdQP_0SCpr2Cisz6aJl</t>
        </is>
      </c>
      <c r="U62" s="1" t="inlineStr">
        <is>
          <t>https://drive.google.com/uc?export=view&amp;id=1sFyw71bNVYimApdQP_0SCpr2Cisz6aJl</t>
        </is>
      </c>
      <c r="V62" s="1" t="inlineStr">
        <is>
          <t>Unverified</t>
        </is>
      </c>
      <c r="Y62" s="10" t="n"/>
      <c r="Z62" s="1" t="n"/>
      <c r="AA62" t="inlineStr">
        <is>
          <t>Yes</t>
        </is>
      </c>
      <c r="AB62" t="inlineStr">
        <is>
          <t>@wearecuriose</t>
        </is>
      </c>
      <c r="AC62" t="inlineStr">
        <is>
          <t>https://www.linkedin.com/company/curiose/?viewAsMember=true</t>
        </is>
      </c>
      <c r="AD62" t="inlineStr">
        <is>
          <t>https://www.linkedin.com/company/curiose/?viewAsMember=true</t>
        </is>
      </c>
    </row>
    <row r="63" ht="12.5" customHeight="1">
      <c r="A63" s="6" t="n">
        <v>45181</v>
      </c>
      <c r="B63" s="1" t="inlineStr">
        <is>
          <t>ORG_2256</t>
        </is>
      </c>
      <c r="C63" s="1" t="b">
        <v>1</v>
      </c>
      <c r="D63" s="1" t="inlineStr">
        <is>
          <t>SkillMapper</t>
        </is>
      </c>
      <c r="E63" s="10" t="inlineStr">
        <is>
          <t>www.skillmapper.com</t>
        </is>
      </c>
      <c r="F63" t="inlineStr">
        <is>
          <t>skillmapper.com</t>
        </is>
      </c>
      <c r="G63" s="1" t="inlineStr">
        <is>
          <t>SkillMapper is a global learning hub that leverages proprietary AI to guide young professionals toward finding the best online education sources while streamlining their job-hunting process. Within SkillMapper's set of solutions, young professionals can identify their skill gaps in their job while finding the most efficient ways to upskill and reskill themselves. SkillMapper bridges the gap between education and employability.</t>
        </is>
      </c>
      <c r="H63" s="1" t="inlineStr">
        <is>
          <t>I'm not part of any EdTech association</t>
        </is>
      </c>
      <c r="J63" s="1" t="inlineStr">
        <is>
          <t>PARIS 18</t>
        </is>
      </c>
      <c r="K63" s="1" t="inlineStr">
        <is>
          <t>France</t>
        </is>
      </c>
      <c r="L63" s="1" t="inlineStr">
        <is>
          <t>Austria, Belgium, Denmark, France, Germany, Ireland, Norway, Poland, Portugal, Spain, United Kingdom</t>
        </is>
      </c>
      <c r="M63" s="1" t="inlineStr">
        <is>
          <t>11 to 50</t>
        </is>
      </c>
      <c r="N63" s="1" t="inlineStr">
        <is>
          <t>Business to Business, Business to Schools</t>
        </is>
      </c>
      <c r="O63" s="1" t="inlineStr">
        <is>
          <t>Lifelong learning/Adult education</t>
        </is>
      </c>
      <c r="P63" s="1" t="inlineStr">
        <is>
          <t>Student interfacing</t>
        </is>
      </c>
      <c r="S63" t="inlineStr">
        <is>
          <t>https://drive.google.com/uc?export=view&amp;id=1D7YA-7w9SYQiMcEO6WP0t1OjK5sYVADE</t>
        </is>
      </c>
      <c r="T63" t="inlineStr">
        <is>
          <t>https://drive.google.com/uc?export=view&amp;id=1D7YA-7w9SYQiMcEO6WP0t1OjK5sYVADE</t>
        </is>
      </c>
      <c r="U63" t="inlineStr">
        <is>
          <t>https://drive.google.com/uc?export=view&amp;id=1D7YA-7w9SYQiMcEO6WP0t1OjK5sYVADE</t>
        </is>
      </c>
      <c r="V63" t="inlineStr">
        <is>
          <t>Unverified</t>
        </is>
      </c>
      <c r="Y63" s="10" t="n"/>
      <c r="Z63" s="1" t="n"/>
      <c r="AA63" t="inlineStr">
        <is>
          <t>No</t>
        </is>
      </c>
    </row>
    <row r="64" ht="12.5" customHeight="1">
      <c r="A64" s="6" t="n">
        <v>45181</v>
      </c>
      <c r="B64" s="1" t="inlineStr">
        <is>
          <t>ORG_1295</t>
        </is>
      </c>
      <c r="C64" s="1" t="b">
        <v>1</v>
      </c>
      <c r="D64" s="1" t="inlineStr">
        <is>
          <t>Cood</t>
        </is>
      </c>
      <c r="E64" s="10" t="inlineStr">
        <is>
          <t>www.cood.fr</t>
        </is>
      </c>
      <c r="F64" t="inlineStr">
        <is>
          <t>cood.fr</t>
        </is>
      </c>
      <c r="G64" s="1" t="inlineStr">
        <is>
          <t>Cood is an online Play &amp; Learn platform to develop Digital competencies for everyone: kids at school , adults at work or as parents , and even for elders.
Therefore Cood has developed 2 solutions: 
- Cood Studio: a visual programming platform to learn coding by creating a video game.
- Cood Academy: an e-learning app to develop digital competencies based on the french PIX certificate (or Digicomp: The european digital competence framework for citizens)</t>
        </is>
      </c>
      <c r="H64" s="1" t="inlineStr">
        <is>
          <t>EdTech France</t>
        </is>
      </c>
      <c r="J64" s="1" t="inlineStr">
        <is>
          <t>paris</t>
        </is>
      </c>
      <c r="K64" s="1" t="inlineStr">
        <is>
          <t>France</t>
        </is>
      </c>
      <c r="L64" s="1" t="inlineStr">
        <is>
          <t>France</t>
        </is>
      </c>
      <c r="M64" s="1" t="inlineStr">
        <is>
          <t>0 to 10</t>
        </is>
      </c>
      <c r="N64" s="1" t="inlineStr">
        <is>
          <t>Business to Business, Business to Consumer, Business to Government</t>
        </is>
      </c>
      <c r="O64" s="1" t="inlineStr">
        <is>
          <t>Secondary Education, Higher Education, Corporate Training, Lifelong learning/Adult education</t>
        </is>
      </c>
      <c r="P64" s="1" t="inlineStr">
        <is>
          <t>System/Administrative, Student interfacing, Teacher interfacing</t>
        </is>
      </c>
      <c r="Q64" s="10" t="inlineStr">
        <is>
          <t>Cood Studio</t>
        </is>
      </c>
      <c r="R64" s="1" t="inlineStr">
        <is>
          <t>Gaming resources to learn how to code your own video game, thanks to a programming language in the form of blocks.
Students develop these essential cross-curricular skills beyond the school curriculum: logic, creativity, critical thinking, problem solving, etc.</t>
        </is>
      </c>
      <c r="S64" s="10" t="inlineStr">
        <is>
          <t>Cood Academy</t>
        </is>
      </c>
      <c r="T64" t="inlineStr">
        <is>
          <t>An e-learning application for developing digital skills and training for the Pix state certification, recognized in Europe and by the professional world.
Short and engaging formats (quizzes, videos, practical cases, etc.) adapt to the level of each user and to each moment of life: at school, at home, at work and even in retirement</t>
        </is>
      </c>
      <c r="U64" s="1" t="inlineStr">
        <is>
          <t>https://drive.google.com/uc?export=view&amp;id=1TLnpgwhOIF9nje3Jk9v7WW0fpzQeodz-</t>
        </is>
      </c>
      <c r="V64" s="1" t="inlineStr">
        <is>
          <t>Unverified</t>
        </is>
      </c>
      <c r="W64" s="1" t="inlineStr">
        <is>
          <t>https://drive.google.com/uc?export=view&amp;id=1TLnpgwhOIF9nje3Jk9v7WW0fpzQeodz-</t>
        </is>
      </c>
      <c r="X64" s="1" t="n"/>
      <c r="Y64" s="10" t="n"/>
      <c r="Z64" s="1" t="n"/>
      <c r="AA64" t="inlineStr">
        <is>
          <t>Yes</t>
        </is>
      </c>
      <c r="AB64" t="inlineStr">
        <is>
          <t>cood.fr</t>
        </is>
      </c>
      <c r="AC64" t="inlineStr">
        <is>
          <t>Cood_fr</t>
        </is>
      </c>
      <c r="AD64" t="inlineStr">
        <is>
          <t>https://www.linkedin.com/company/cood-fr</t>
        </is>
      </c>
    </row>
    <row r="65" ht="12.5" customHeight="1">
      <c r="A65" s="6" t="n">
        <v>45181</v>
      </c>
      <c r="B65" s="1" t="inlineStr">
        <is>
          <t>ORG_1101</t>
        </is>
      </c>
      <c r="C65" s="1" t="b">
        <v>1</v>
      </c>
      <c r="D65" s="1" t="inlineStr">
        <is>
          <t>Artips</t>
        </is>
      </c>
      <c r="E65" s="10" t="inlineStr">
        <is>
          <t>https://www.artips-factory.fr/</t>
        </is>
      </c>
      <c r="F65" t="inlineStr">
        <is>
          <t>artips-factory.fr</t>
        </is>
      </c>
      <c r="G65" s="1" t="inlineStr">
        <is>
          <t>Artips is the first French cultural media online (1 million subscribers including 200 000 teachers) since 2013. 
Artips has also developed an attractive and addictive microlearning solution based on storytelling and short format. Through this educational device, Artips conveys every issue in an accessible tone and engages all targets (students, teachers, employees, general public…). Artips broadcasts short episodes that allow great memorization and a sound understanding of chosen topics.</t>
        </is>
      </c>
      <c r="H65" s="1" t="inlineStr">
        <is>
          <t>EdTech France</t>
        </is>
      </c>
      <c r="J65" s="1" t="inlineStr">
        <is>
          <t>PARIS</t>
        </is>
      </c>
      <c r="K65" s="1" t="inlineStr">
        <is>
          <t>France</t>
        </is>
      </c>
      <c r="L65" s="1" t="inlineStr">
        <is>
          <t>Austria, Belgium, France, Switzerland</t>
        </is>
      </c>
      <c r="M65" s="1" t="inlineStr">
        <is>
          <t>11 to 50</t>
        </is>
      </c>
      <c r="N65" s="1" t="inlineStr">
        <is>
          <t>Business to Business, Business to Consumer</t>
        </is>
      </c>
      <c r="O65" s="1" t="inlineStr">
        <is>
          <t>Primary Education, Secondary Education, Higher Education, Corporate Training</t>
        </is>
      </c>
      <c r="P65" s="1" t="inlineStr">
        <is>
          <t>Student interfacing, Teacher interfacing, System/Administrative</t>
        </is>
      </c>
      <c r="Q65" s="1" t="inlineStr">
        <is>
          <t>Artips Academy</t>
        </is>
      </c>
      <c r="R65" s="10" t="inlineStr">
        <is>
          <t>Art de vivre, music, geography, literature, sciences, economy, digital... This platform offers a large choice of topics. Artips created this solution with what works best for our newsletters : storytelling, witty anecdotes, snackable content and responsive design.</t>
        </is>
      </c>
      <c r="S65" s="10" t="inlineStr">
        <is>
          <t>Artips Factory</t>
        </is>
      </c>
      <c r="T65" t="inlineStr">
        <is>
          <t>Artips' team can also create custom-built microlearning solutions based on the needs and goals of its partners.</t>
        </is>
      </c>
      <c r="U65" s="1" t="inlineStr">
        <is>
          <t>https://drive.google.com/uc?export=view&amp;id=10AyvDvrWVrqwkdQGqnVhMrcD-nfqCwx9</t>
        </is>
      </c>
      <c r="V65" s="1" t="inlineStr">
        <is>
          <t>Unverified</t>
        </is>
      </c>
      <c r="W65" s="1" t="inlineStr">
        <is>
          <t>https://drive.google.com/uc?export=view&amp;id=10AyvDvrWVrqwkdQGqnVhMrcD-nfqCwx9</t>
        </is>
      </c>
      <c r="X65" s="1" t="n"/>
      <c r="Y65" s="10" t="n"/>
      <c r="Z65" s="1" t="n"/>
      <c r="AA65" t="inlineStr">
        <is>
          <t>Yes</t>
        </is>
      </c>
      <c r="AB65" t="inlineStr">
        <is>
          <t>Artips</t>
        </is>
      </c>
      <c r="AC65" t="inlineStr">
        <is>
          <t>https://twitter.com/artips_fr?lang=en</t>
        </is>
      </c>
      <c r="AD65" t="inlineStr">
        <is>
          <t>https://www.linkedin.com/company/artips</t>
        </is>
      </c>
    </row>
    <row r="66" ht="12.5" customHeight="1">
      <c r="A66" s="6" t="n">
        <v>45181</v>
      </c>
      <c r="B66" s="1" t="inlineStr">
        <is>
          <t>ORG_1692</t>
        </is>
      </c>
      <c r="C66" s="1" t="b">
        <v>1</v>
      </c>
      <c r="D66" s="1" t="inlineStr">
        <is>
          <t>Humanava</t>
        </is>
      </c>
      <c r="E66" s="10" t="inlineStr">
        <is>
          <t>https://www.humanava.com</t>
        </is>
      </c>
      <c r="F66" t="inlineStr">
        <is>
          <t>humanava.com</t>
        </is>
      </c>
      <c r="G66" s="1" t="inlineStr">
        <is>
          <t>Humanava is an e-learning platform on soft skills. We are a certified training organization qualiopi (it is the quality mark of the French state). We offer masterclasses in video format with international speakers and authors</t>
        </is>
      </c>
      <c r="H66" s="1" t="inlineStr">
        <is>
          <t>I'm not part of any EdTech association</t>
        </is>
      </c>
      <c r="J66" s="1" t="inlineStr">
        <is>
          <t>Bordeaux</t>
        </is>
      </c>
      <c r="K66" s="1" t="inlineStr">
        <is>
          <t>France</t>
        </is>
      </c>
      <c r="L6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66" s="1" t="inlineStr">
        <is>
          <t>0 to 10</t>
        </is>
      </c>
      <c r="N66" s="1" t="inlineStr">
        <is>
          <t>Business to Consumer</t>
        </is>
      </c>
      <c r="O66" s="1" t="inlineStr">
        <is>
          <t>Secondary Education, Higher Education, Corporate Training, Lifelong learning/Adult education</t>
        </is>
      </c>
      <c r="P66" s="1" t="inlineStr">
        <is>
          <t>Student interfacing, Teacher interfacing, System/Administrative</t>
        </is>
      </c>
      <c r="Q66" s="10" t="inlineStr">
        <is>
          <t>Masterclass</t>
        </is>
      </c>
      <c r="R66" s="10" t="inlineStr">
        <is>
          <t>Humanava masterclasses are 60 to 120 minutes long, cut into 7 to 10 individual capsules. We offer our clients an exceptional audiovisual quality, with a filming like a movie studio! Humanava revolutionizes traditional ways of learning by making the person acting and responsible for his own ascension.</t>
        </is>
      </c>
      <c r="S66" s="10" t="inlineStr">
        <is>
          <t>https://drive.google.com/uc?export=view&amp;id=10gp7nwXnnm9PKAHLRDomV7iFRrzZbQ7F</t>
        </is>
      </c>
      <c r="T66" t="inlineStr">
        <is>
          <t>https://drive.google.com/uc?export=view&amp;id=10gp7nwXnnm9PKAHLRDomV7iFRrzZbQ7F</t>
        </is>
      </c>
      <c r="U66" s="1" t="inlineStr">
        <is>
          <t>https://drive.google.com/uc?export=view&amp;id=10gp7nwXnnm9PKAHLRDomV7iFRrzZbQ7F</t>
        </is>
      </c>
      <c r="V66" s="1" t="inlineStr">
        <is>
          <t>Unverified</t>
        </is>
      </c>
      <c r="Y66" s="10" t="n"/>
      <c r="Z66" s="1" t="n"/>
      <c r="AA66" t="inlineStr">
        <is>
          <t>Yes</t>
        </is>
      </c>
      <c r="AB66" t="inlineStr">
        <is>
          <t>https://www.instagram.com/humanava_/</t>
        </is>
      </c>
      <c r="AC66" t="inlineStr">
        <is>
          <t>https://twitter.com/humanava_</t>
        </is>
      </c>
      <c r="AD66" t="inlineStr">
        <is>
          <t>https://www.linkedin.com/company/humanava</t>
        </is>
      </c>
    </row>
    <row r="67" ht="12.5" customHeight="1">
      <c r="A67" s="6" t="n">
        <v>45181</v>
      </c>
      <c r="B67" s="1" t="inlineStr">
        <is>
          <t>ORG_1784</t>
        </is>
      </c>
      <c r="C67" s="1" t="b">
        <v>1</v>
      </c>
      <c r="D67" s="1" t="inlineStr">
        <is>
          <t>Knowmore</t>
        </is>
      </c>
      <c r="E67" s="10" t="inlineStr">
        <is>
          <t>https://www.knowmore365.com/</t>
        </is>
      </c>
      <c r="F67" t="inlineStr">
        <is>
          <t>knowmore365.com</t>
        </is>
      </c>
      <c r="G67" s="1" t="inlineStr">
        <is>
          <t>Digital Adoption and Learning Platform.
Whatever the organization or industry, our platforms help users, suppliers and clients to train and effectively use applications such as CRM, ERP, HRMS, supply chain, CMMS, e-procurement, collaborative tools, web portals, and other bespoke applications.
Knowmore reimagines Digital Adoption of applications by fusing Learning and Practical Use.</t>
        </is>
      </c>
      <c r="H67" s="1" t="inlineStr">
        <is>
          <t>I'm not part of any EdTech association</t>
        </is>
      </c>
      <c r="J67" s="1" t="inlineStr">
        <is>
          <t>IVRY SUR SEINE</t>
        </is>
      </c>
      <c r="K67" s="1" t="inlineStr">
        <is>
          <t>France</t>
        </is>
      </c>
      <c r="L67" s="1" t="inlineStr">
        <is>
          <t>Belgium, France, Germany, Spain, United Kingdom</t>
        </is>
      </c>
      <c r="M67" s="1" t="inlineStr">
        <is>
          <t>11 to 50</t>
        </is>
      </c>
      <c r="N67" s="1" t="inlineStr">
        <is>
          <t>Business to Consumer</t>
        </is>
      </c>
      <c r="O67" s="1" t="inlineStr">
        <is>
          <t>Corporate Training, Lifelong learning/Adult education</t>
        </is>
      </c>
      <c r="P67" s="1" t="inlineStr">
        <is>
          <t>Teacher interfacing, Student interfacing, System/Administrative</t>
        </is>
      </c>
      <c r="S67" t="inlineStr">
        <is>
          <t>https://drive.google.com/uc?export=view&amp;id=1qfoyvCuRTimQ1MbCQ6qPQ6YPIiq3fyKF</t>
        </is>
      </c>
      <c r="T67" t="inlineStr">
        <is>
          <t>https://drive.google.com/uc?export=view&amp;id=1qfoyvCuRTimQ1MbCQ6qPQ6YPIiq3fyKF</t>
        </is>
      </c>
      <c r="U67" t="inlineStr">
        <is>
          <t>https://drive.google.com/uc?export=view&amp;id=1qfoyvCuRTimQ1MbCQ6qPQ6YPIiq3fyKF</t>
        </is>
      </c>
      <c r="V67" t="inlineStr">
        <is>
          <t>Unverified</t>
        </is>
      </c>
      <c r="Y67" s="10" t="n"/>
      <c r="Z67" s="1" t="n"/>
      <c r="AA67" t="inlineStr">
        <is>
          <t>No</t>
        </is>
      </c>
    </row>
    <row r="68" ht="12.5" customHeight="1">
      <c r="A68" s="6" t="n">
        <v>45181</v>
      </c>
      <c r="B68" s="1" t="inlineStr">
        <is>
          <t>ORG_2325</t>
        </is>
      </c>
      <c r="C68" s="1" t="b">
        <v>1</v>
      </c>
      <c r="D68" s="1" t="inlineStr">
        <is>
          <t>StellKey</t>
        </is>
      </c>
      <c r="E68" s="10" t="inlineStr">
        <is>
          <t>www.stellkey.com</t>
        </is>
      </c>
      <c r="F68" t="inlineStr">
        <is>
          <t>stellkey.com</t>
        </is>
      </c>
      <c r="G68" s="1" t="inlineStr">
        <is>
          <t>StellKey is an app designed to help families work together. Using a fun planetary theme, StellKey helps children grow a sense of responsibility, contribute to the household and build good habits - like brushing their teeth, getting ready in the morning, do homeworks, eat fruits &amp; vegetables, protect the environment, and much more.</t>
        </is>
      </c>
      <c r="H68" s="1" t="inlineStr">
        <is>
          <t>I'm not part of any EdTech association</t>
        </is>
      </c>
      <c r="J68" s="1" t="inlineStr">
        <is>
          <t>Paris</t>
        </is>
      </c>
      <c r="K68" s="1" t="inlineStr">
        <is>
          <t>France</t>
        </is>
      </c>
      <c r="L68"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68" s="1" t="inlineStr">
        <is>
          <t>0 to 10</t>
        </is>
      </c>
      <c r="N68" s="1" t="inlineStr">
        <is>
          <t>Business to Schools</t>
        </is>
      </c>
      <c r="O68" s="1" t="inlineStr">
        <is>
          <t>Early childhood development (0-5 years), Primary Education</t>
        </is>
      </c>
      <c r="P68" s="1" t="inlineStr">
        <is>
          <t>System/Administrative, Student interfacing, Teacher interfacing</t>
        </is>
      </c>
      <c r="S68" t="inlineStr">
        <is>
          <t>https://drive.google.com/uc?export=view&amp;id=1lO6Y_PiZ0YIOA9tzxNkGuuz1iuAH5KFj</t>
        </is>
      </c>
      <c r="T68" t="inlineStr">
        <is>
          <t>https://drive.google.com/uc?export=view&amp;id=1lO6Y_PiZ0YIOA9tzxNkGuuz1iuAH5KFj</t>
        </is>
      </c>
      <c r="U68" t="inlineStr">
        <is>
          <t>https://drive.google.com/uc?export=view&amp;id=1lO6Y_PiZ0YIOA9tzxNkGuuz1iuAH5KFj</t>
        </is>
      </c>
      <c r="V68" t="inlineStr">
        <is>
          <t>Unverified</t>
        </is>
      </c>
      <c r="Y68" s="10" t="n"/>
      <c r="Z68" s="1" t="n"/>
      <c r="AA68" t="inlineStr">
        <is>
          <t>No</t>
        </is>
      </c>
    </row>
    <row r="69" ht="12.5" customHeight="1">
      <c r="A69" s="6" t="n">
        <v>45181</v>
      </c>
      <c r="B69" s="1" t="inlineStr">
        <is>
          <t>ORG_1060</t>
        </is>
      </c>
      <c r="C69" s="1" t="b">
        <v>1</v>
      </c>
      <c r="D69" s="1" t="inlineStr">
        <is>
          <t>Alternative Digitale</t>
        </is>
      </c>
      <c r="E69" s="10" t="inlineStr">
        <is>
          <t>www.alternativedigitale.com</t>
        </is>
      </c>
      <c r="F69" t="inlineStr">
        <is>
          <t>alternativedigitale.com</t>
        </is>
      </c>
      <c r="G69" s="1" t="inlineStr">
        <is>
          <t>Alternative Digitale is dedicated to evaluating professional digital skills 
DiGiTT is a digital skill certification for individual who want to prove their level of expertise
Diag by DiGiTT is an assessment for businesses which want to monitor their team digital skills</t>
        </is>
      </c>
      <c r="H69" s="1" t="inlineStr">
        <is>
          <t>AFINEF, EdTech France</t>
        </is>
      </c>
      <c r="I69" s="1" t="inlineStr">
        <is>
          <t>French, English</t>
        </is>
      </c>
      <c r="J69" s="1" t="inlineStr">
        <is>
          <t>Paris</t>
        </is>
      </c>
      <c r="K69" s="1" t="inlineStr">
        <is>
          <t>France</t>
        </is>
      </c>
      <c r="L69" s="1" t="inlineStr">
        <is>
          <t>Belgium, France, Switzerland</t>
        </is>
      </c>
      <c r="M69" s="1" t="inlineStr">
        <is>
          <t>3 to 5</t>
        </is>
      </c>
      <c r="N69" s="1" t="inlineStr">
        <is>
          <t>Business to Business</t>
        </is>
      </c>
      <c r="O69" s="1" t="inlineStr">
        <is>
          <t>Corporate Training, Lifelong learning/Adult education</t>
        </is>
      </c>
      <c r="P69" s="1" t="inlineStr">
        <is>
          <t>System/Administrative, Student interfacing</t>
        </is>
      </c>
      <c r="Q69" t="inlineStr">
        <is>
          <t>DiGiTT</t>
        </is>
      </c>
      <c r="R69" s="10" t="inlineStr">
        <is>
          <t>DiGiTT is a certification for professional digital skills.</t>
        </is>
      </c>
      <c r="S69" s="10" t="inlineStr">
        <is>
          <t>Diag by DiGiTT</t>
        </is>
      </c>
      <c r="T69" t="inlineStr">
        <is>
          <t>Diag by DiGiTT is an assessment for businesses which want to monitor thei team digital skills</t>
        </is>
      </c>
      <c r="U69" s="1" t="inlineStr">
        <is>
          <t>https://drive.google.com/uc?export=view&amp;id=1ddiUoKd_TdVGNRVKufAfDhAhEO5n0Zcl</t>
        </is>
      </c>
      <c r="V69" s="1" t="inlineStr">
        <is>
          <t>Unverified</t>
        </is>
      </c>
      <c r="W69" s="1" t="inlineStr">
        <is>
          <t>https://drive.google.com/uc?export=view&amp;id=1ddiUoKd_TdVGNRVKufAfDhAhEO5n0Zcl</t>
        </is>
      </c>
      <c r="X69" s="1" t="n"/>
      <c r="Y69" s="10" t="n"/>
      <c r="Z69" s="1" t="n"/>
      <c r="AA69" t="inlineStr">
        <is>
          <t>Yes</t>
        </is>
      </c>
      <c r="AB69" t="inlineStr">
        <is>
          <t>https://twitter.com/mydigitt</t>
        </is>
      </c>
      <c r="AC69" t="inlineStr">
        <is>
          <t>https://twitter.com/mydigitt</t>
        </is>
      </c>
      <c r="AD69" t="inlineStr">
        <is>
          <t>https://www.linkedin.com/company/alternative-digitale/</t>
        </is>
      </c>
    </row>
    <row r="70" ht="12.5" customHeight="1">
      <c r="A70" s="6" t="n">
        <v>45181</v>
      </c>
      <c r="B70" s="1" t="inlineStr">
        <is>
          <t>ORG_1904</t>
        </is>
      </c>
      <c r="C70" s="1" t="b">
        <v>1</v>
      </c>
      <c r="D70" s="1" t="inlineStr">
        <is>
          <t>MAILO</t>
        </is>
      </c>
      <c r="E70" s="10" t="inlineStr">
        <is>
          <t>https://www.mailo.com/</t>
        </is>
      </c>
      <c r="F70" t="inlineStr">
        <is>
          <t>mailo.com</t>
        </is>
      </c>
      <c r="G70" s="1" t="inlineStr">
        <is>
          <t>Complete communication and storage solution: email, calendar, contacts, cloud, office suite, collaboration tools, video conferencing
A member of French Tech, hosted in France and aimed at the general public and professionals, Mailo is particularly well suited to schools, town halls and local authorities.
Mailo offers a set of innovative services that can be accessed on the Web, with the Mailo app or with software and apps on the market (Outlook, Thunderbird, mobile apps, etc.):
- Mail: a high-capacity mailbox with powerful anti-spam, intelligent message sorting and advanced features (deferred sending, recommended e-mail, sending files via links, aliases, message encryption using PGP, etc.)
- Calendar: schedule management, with invitation sending, SMS notification and calendar sharing.
- Address book: organize and share contacts.
- Cloud: online document storage and sharing.
- OnlyOffice office suite: editing text documents, Excel workbooks or presentations online, collaborative work with several people simultaneously on the same document.
- Instant messaging and video conferencing: organize online meetings and conferences for up to 120 participants.
- Organizational tools: tasks, notes, sending SMS, RSS feeds, etc.
* Personalized messaging
Email addresses with your own domain name, which you can buy on Mailo or simply declare if you already have it, a customizable login page with the image of your choice, a personalized webmail with the logo of your entity.
* An easier administration
Centralized management of accounts, easy sharing of address books, agendas and documents, assistance for the installation and migration of accounts, priority hotline, training for elected officials and agents.
* An offer adjusted to real needs
The administrator chooses the number of accounts needed and the associated Mail &amp; Cloud storage capacity, which is freely distributed among the accounts. At any time and at no cost, the subscription can be modified and updated in 2 clicks. Payment is possible by money order. Competitive rates made possible by complete control of costs and technology.
** A free version for schools and colleges
By opening a Mailo Edu account, teachers can help their students discover e-mail in a fun, educational and secure environment. The students, grouped by class, have a scalable interface, adapted to their age. They can only exchange with each other, with their teachers and with the validated contacts in their address book. A storage space allows to share documents with the whole class.
Mailo has been a true messaging specialist for 20 years, allowing optimized management of messaging and data and guaranteeing efficient and responsible use of the Web. With secure hosting in France, the data is not subject to the American CLOUD Act, which authorizes consultation at the first request of the American justice and intelligence services.</t>
        </is>
      </c>
      <c r="H70" s="1" t="inlineStr">
        <is>
          <t>EdTech France</t>
        </is>
      </c>
      <c r="J70" s="1" t="inlineStr">
        <is>
          <t>SAINT-MAUR-DES-FOSSES</t>
        </is>
      </c>
      <c r="K70" s="1" t="inlineStr">
        <is>
          <t>France</t>
        </is>
      </c>
      <c r="L70" s="1" t="inlineStr">
        <is>
          <t>France</t>
        </is>
      </c>
      <c r="M70" s="1" t="inlineStr">
        <is>
          <t>11 to 50</t>
        </is>
      </c>
      <c r="N70" s="1" t="inlineStr">
        <is>
          <t>Business to Business, Business to Consumer, Business to Government, Business to Schools</t>
        </is>
      </c>
      <c r="O70" s="1" t="inlineStr">
        <is>
          <t>Early childhood development (0-5 years), Primary Education, Secondary Education, Lifelong learning/Adult education</t>
        </is>
      </c>
      <c r="P70" s="1" t="inlineStr">
        <is>
          <t>System/Administrative, Student interfacing, Teacher interfacing</t>
        </is>
      </c>
      <c r="Q70" s="10" t="inlineStr">
        <is>
          <t>Mailo Pro: sovereign Mail &amp; Cloud at the heart of your business</t>
        </is>
      </c>
      <c r="R70" s="10" t="inlineStr">
        <is>
          <t>Mailo Pro is a comprehensive mail service for VSEs &amp; SMEs. It is based on a sovereign platform which respects your privacy.
Mail: a high-capacity mailbox with powerful anti-spam, intelligent message sorting and advanced features (deferred sending, recommended e-mail, sending files by links, aliases, PGP message encryption, etc.). 
- Calendar: schedule management, with invitation sending, SMS notification and calendar sharing.
- Address book: organize and share contacts.
- Cloud: online document storage and sharing.
- OnlyOffice office suite: editing text documents, Excel workbooks or presentations online, collaborative work with several people simultaneously on the same document.
- Instant messaging and video conferencing: organize online meetings and conferences for up to 120 participants.
- Organizational tools: tasks, notes, sending SMS, RSS feeds, etc.
* Personalized messaging
Email addresses with your own domain name, which you can buy on Mailo or simply declare if you already have it, a customizable login page with the image of your choice, a personalized webmail with the logo of your entity.
* An easier administration
Centralized management of accounts, easy sharing of address books, agendas and documents, assistance for the installation and migration of accounts, priority hotline, training for elected officials and agents.
* An offer adjusted to real needs
The administrator chooses the number of accounts needed and the associated Mail &amp; Cloud storage capacity, which is freely distributed among the accounts. At any time and at no cost, the subscription can be modified and updated in 2 clicks. Payment is possible by money order. Competitive rates made possible by complete control of costs and technology.
** A free version for schools and colleges
By opening a Mailo Edu account, teachers can help their students discover e-mail in a fun, educational and secure environment. The students, grouped by class, have a scalable interface, adapted to their age. They can only exchange with each other, with their teachers and with the validated contacts in their address book. A storage space allows them to share documents with the whole class.
Mailo has been a true messaging specialist for 20 years, allowing optimized management of messaging and data and guaranteeing efficient and responsible use of the Web. With secure hosting in France, the data is not subject to the American CLOUD Act, which authorizes consultation at the first request of the American justice and intelligence services.
website:
https://pro.mailo.com/</t>
        </is>
      </c>
      <c r="S70" s="10" t="inlineStr">
        <is>
          <t>Mailo</t>
        </is>
      </c>
      <c r="T70" t="inlineStr">
        <is>
          <t>Mailo is a whole range of innovative services which protect your privacy and personal data: the most complete webmail on the market, an agenda, a storage space for your photos and documents, organisation tools for the family and professionals. Join the first alternative ethical communication platform!
Website: 
https://mailo.com/</t>
        </is>
      </c>
      <c r="U70" s="1" t="inlineStr">
        <is>
          <t>https://drive.google.com/uc?export=view&amp;id=1id5DECDQVmqN2uLzb0l5wUL_kejauhXJ</t>
        </is>
      </c>
      <c r="V70" s="1" t="inlineStr">
        <is>
          <t>Unverified</t>
        </is>
      </c>
      <c r="W70" s="1" t="inlineStr">
        <is>
          <t>https://drive.google.com/uc?export=view&amp;id=1id5DECDQVmqN2uLzb0l5wUL_kejauhXJ</t>
        </is>
      </c>
      <c r="X70" s="1" t="n"/>
      <c r="Y70" s="10" t="n"/>
      <c r="Z70" s="1" t="n"/>
      <c r="AA70" t="inlineStr">
        <is>
          <t>Yes</t>
        </is>
      </c>
      <c r="AB70" t="inlineStr">
        <is>
          <t>https://www.instagram.com/hellomailo/</t>
        </is>
      </c>
      <c r="AC70" t="inlineStr">
        <is>
          <t>https://twitter.com/HELLOMAILO</t>
        </is>
      </c>
      <c r="AD70" t="inlineStr">
        <is>
          <t>https://fr.linkedin.com/company/mailofr?original_referer=https%3A%2F%2Fwww.google.com%2F</t>
        </is>
      </c>
    </row>
    <row r="71" ht="12.5" customHeight="1">
      <c r="A71" s="6" t="n">
        <v>45181</v>
      </c>
      <c r="B71" s="1" t="inlineStr">
        <is>
          <t>ORG_1915</t>
        </is>
      </c>
      <c r="C71" s="1" t="b">
        <v>1</v>
      </c>
      <c r="D71" s="1" t="inlineStr">
        <is>
          <t>MANUTAN COLLECTIVITÉS</t>
        </is>
      </c>
      <c r="E71" s="10" t="inlineStr">
        <is>
          <t>www.manutan-collectivites.fr</t>
        </is>
      </c>
      <c r="F71" t="inlineStr">
        <is>
          <t>manutan-collectivites.fr</t>
        </is>
      </c>
      <c r="G71" s="1" t="inlineStr">
        <is>
          <t>From more than 40 years, Manutan Collectivités commit its partners and research and development teams to promote new approaches on teaching methods. This has lead to brand new proposals for educative spaces arrangement, new tools and practices in order to achieve best engagement for children and teachers including numeric way of learning.</t>
        </is>
      </c>
      <c r="H71" s="1" t="inlineStr">
        <is>
          <t>I'm not part of any EdTech association</t>
        </is>
      </c>
      <c r="J71" s="1" t="inlineStr">
        <is>
          <t>Niort</t>
        </is>
      </c>
      <c r="K71" s="1" t="inlineStr">
        <is>
          <t>France</t>
        </is>
      </c>
      <c r="L71" s="1" t="inlineStr">
        <is>
          <t>France</t>
        </is>
      </c>
      <c r="M71" s="1" t="inlineStr">
        <is>
          <t>100+</t>
        </is>
      </c>
      <c r="N71" s="1" t="inlineStr">
        <is>
          <t>Business to Business, Business to Consumer, Business to Government, Business to Schools</t>
        </is>
      </c>
      <c r="O71" s="1" t="inlineStr">
        <is>
          <t>Early childhood development (0-5 years), Primary Education, Secondary Education, Higher Education, Corporate Training, Lifelong learning/Adult education</t>
        </is>
      </c>
      <c r="P71" s="1" t="inlineStr">
        <is>
          <t>System/Administrative, Teacher interfacing, Student interfacing</t>
        </is>
      </c>
      <c r="S71" t="inlineStr">
        <is>
          <t>https://drive.google.com/uc?export=view&amp;id=1flWMdRIBhDqOOhp5_ovJjNxDqxsJeZYm</t>
        </is>
      </c>
      <c r="T71" t="inlineStr">
        <is>
          <t>https://drive.google.com/uc?export=view&amp;id=1flWMdRIBhDqOOhp5_ovJjNxDqxsJeZYm</t>
        </is>
      </c>
      <c r="U71" t="inlineStr">
        <is>
          <t>https://drive.google.com/uc?export=view&amp;id=1flWMdRIBhDqOOhp5_ovJjNxDqxsJeZYm</t>
        </is>
      </c>
      <c r="V71" t="inlineStr">
        <is>
          <t>Unverified</t>
        </is>
      </c>
      <c r="Y71" s="10" t="n"/>
      <c r="Z71" s="1" t="n"/>
      <c r="AA71" t="inlineStr">
        <is>
          <t>No</t>
        </is>
      </c>
    </row>
    <row r="72" ht="12.5" customHeight="1">
      <c r="A72" s="6" t="n">
        <v>45181</v>
      </c>
      <c r="B72" s="1" t="inlineStr">
        <is>
          <t>ORG_2547</t>
        </is>
      </c>
      <c r="C72" s="1" t="b">
        <v>1</v>
      </c>
      <c r="D72" s="1" t="inlineStr">
        <is>
          <t>Woonoz</t>
        </is>
      </c>
      <c r="E72" s="10" t="inlineStr">
        <is>
          <t>www.woonoz.com</t>
        </is>
      </c>
      <c r="F72" t="inlineStr">
        <is>
          <t>woonoz.com</t>
        </is>
      </c>
      <c r="G72" s="1" t="inlineStr">
        <is>
          <t>Woonoz creates the world’s most memorized training programs. Did you know that 80% of information delivered as part of a training programme is forgotten within 7 days ? Driven by the ambition to help people develop through knowledge, Woonoz has created an e-learning solution that brings an answer to this problem: Memory Anchoring®. This technology is based on the latest research in neurosciences and on the mechanisms that govern memory and memorisation. It aims at maximising the retention rate of information as well as reinforcing the impact of a training program. Relying on artificial intelligence, our Memory Anchoring® engine is unique in that it adapts in real time to the specific way each participant learns and their exact level and pace of learning. Our technology gives a training journey tailored to each learner, letting him or her focus on their weaknesses without losing time on already memorized content.</t>
        </is>
      </c>
      <c r="H72" s="1" t="inlineStr">
        <is>
          <t>EdTech France</t>
        </is>
      </c>
      <c r="J72" s="1" t="inlineStr">
        <is>
          <t>LYON</t>
        </is>
      </c>
      <c r="K72" s="1" t="inlineStr">
        <is>
          <t>France</t>
        </is>
      </c>
      <c r="L72" s="1" t="inlineStr">
        <is>
          <t>France, Germany, Italy, Luxembourg, Netherlands, Portugal, Romania, Spain, Switzerland, United Kingdom</t>
        </is>
      </c>
      <c r="M72" s="1" t="inlineStr">
        <is>
          <t>101 to 500</t>
        </is>
      </c>
      <c r="N72" s="1" t="inlineStr">
        <is>
          <t>Business to Government</t>
        </is>
      </c>
      <c r="O72" s="1" t="inlineStr">
        <is>
          <t>Corporate Training, Lifelong learning/Adult education</t>
        </is>
      </c>
      <c r="P72" s="1" t="inlineStr">
        <is>
          <t>System/Administrative</t>
        </is>
      </c>
      <c r="Q72" t="inlineStr">
        <is>
          <t>Bespoke Memory Anchoring® training</t>
        </is>
      </c>
      <c r="R72" s="10" t="inlineStr">
        <is>
          <t>Memory Anchoring® techniques are universal and can be adapted to all types of training. As a result, Woonoz can propose tailored training modules that satisfy the exact requirements of your training project. We design together the training that is best suited to your objectives and you benefit from a proven project management methodology. The lead time is controlled (25-50 days production). Together, we determine whether it is relevant to associate the modules with classroom/workshop training sessions to implement the most efficient blended learning solution.</t>
        </is>
      </c>
      <c r="S72" s="10" t="inlineStr">
        <is>
          <t>https://drive.google.com/uc?export=view&amp;id=1YJcY3evg4ew4L85G9TNh5bNU_YaITTol</t>
        </is>
      </c>
      <c r="T72" t="inlineStr">
        <is>
          <t>https://drive.google.com/uc?export=view&amp;id=1YJcY3evg4ew4L85G9TNh5bNU_YaITTol</t>
        </is>
      </c>
      <c r="U72" s="1" t="inlineStr">
        <is>
          <t>https://drive.google.com/uc?export=view&amp;id=1YJcY3evg4ew4L85G9TNh5bNU_YaITTol</t>
        </is>
      </c>
      <c r="V72" s="1" t="inlineStr">
        <is>
          <t>Unverified</t>
        </is>
      </c>
      <c r="Y72" s="10" t="n"/>
      <c r="Z72" s="1" t="n"/>
      <c r="AA72" t="inlineStr">
        <is>
          <t>Yes</t>
        </is>
      </c>
      <c r="AB72" t="inlineStr">
        <is>
          <t>https://twitter.com/woonoz</t>
        </is>
      </c>
      <c r="AC72" t="inlineStr">
        <is>
          <t>https://twitter.com/woonoz</t>
        </is>
      </c>
      <c r="AD72" t="inlineStr">
        <is>
          <t>https://www.linkedin.com/company/2967089/</t>
        </is>
      </c>
    </row>
    <row r="73" ht="12.5" customHeight="1">
      <c r="A73" s="6" t="n">
        <v>45181</v>
      </c>
      <c r="B73" s="1" t="inlineStr">
        <is>
          <t>ORG_2555</t>
        </is>
      </c>
      <c r="C73" s="1" t="b">
        <v>1</v>
      </c>
      <c r="D73" s="1" t="inlineStr">
        <is>
          <t>wweeddoo</t>
        </is>
      </c>
      <c r="E73" s="10" t="inlineStr">
        <is>
          <t>https://wweeddoo.com</t>
        </is>
      </c>
      <c r="F73" t="inlineStr">
        <is>
          <t>wweeddoo.com</t>
        </is>
      </c>
      <c r="G73" s="1" t="inlineStr">
        <is>
          <t>wweeddoo provides a digital platform in order to help young people (13 - 30 y.o.) to launch projects and find resources related to their needs.
Projects can be charitable, sporting, entrepreneurial, ... , and resources can be advice, contact, financing, equipment, ...</t>
        </is>
      </c>
      <c r="H73" s="1" t="inlineStr">
        <is>
          <t>EdTech France</t>
        </is>
      </c>
      <c r="J73" s="1" t="inlineStr">
        <is>
          <t>LEVALLOIS-PERRET</t>
        </is>
      </c>
      <c r="K73" s="1" t="inlineStr">
        <is>
          <t>France</t>
        </is>
      </c>
      <c r="L73" s="1" t="inlineStr">
        <is>
          <t>France</t>
        </is>
      </c>
      <c r="M73" s="1" t="inlineStr">
        <is>
          <t>11 to 50</t>
        </is>
      </c>
      <c r="N73" s="1" t="inlineStr">
        <is>
          <t>Business to Schools</t>
        </is>
      </c>
      <c r="O73" s="1" t="inlineStr">
        <is>
          <t>Secondary Education, Higher Education</t>
        </is>
      </c>
      <c r="P73" s="1" t="inlineStr">
        <is>
          <t>Student interfacing, Teacher interfacing, System/Administrative</t>
        </is>
      </c>
      <c r="Q73" s="10" t="inlineStr">
        <is>
          <t>wweeddoo</t>
        </is>
      </c>
      <c r="R73" s="10" t="inlineStr">
        <is>
          <t>wweeddoo provides a digital platform in order to help young people (13 - 30 y.o.) to launch projects and find resources related to their needs.
Projects can be in-school project, charitable, sporting, entrepreneurial, ... , and resources can be advice, contact, financing, equipment, ... Schools can use wweeddoo to allow their students to go further in their projects, and to make them visible to find their first job more easily.</t>
        </is>
      </c>
      <c r="S73" s="10" t="inlineStr">
        <is>
          <t>https://drive.google.com/uc?export=view&amp;id=1ogzsBuw9EnFu1Nypuk_yKa11nus8sI_I</t>
        </is>
      </c>
      <c r="T73" t="inlineStr">
        <is>
          <t>https://drive.google.com/uc?export=view&amp;id=1ogzsBuw9EnFu1Nypuk_yKa11nus8sI_I</t>
        </is>
      </c>
      <c r="U73" s="1" t="inlineStr">
        <is>
          <t>https://drive.google.com/uc?export=view&amp;id=1ogzsBuw9EnFu1Nypuk_yKa11nus8sI_I</t>
        </is>
      </c>
      <c r="V73" s="1" t="inlineStr">
        <is>
          <t>Unverified</t>
        </is>
      </c>
      <c r="Y73" s="10" t="n"/>
      <c r="Z73" s="1" t="n"/>
      <c r="AA73" t="inlineStr">
        <is>
          <t>Yes</t>
        </is>
      </c>
      <c r="AB73" t="inlineStr">
        <is>
          <t>https://www.instagram.com/wweeddoofficiel/</t>
        </is>
      </c>
      <c r="AC73" t="inlineStr">
        <is>
          <t>https://twitter.com/wweeddoofr</t>
        </is>
      </c>
      <c r="AD73" t="inlineStr">
        <is>
          <t>https://fr.linkedin.com/company/wweeddoo</t>
        </is>
      </c>
    </row>
    <row r="74" ht="12.5" customHeight="1">
      <c r="A74" s="6" t="n">
        <v>45181</v>
      </c>
      <c r="B74" s="1" t="inlineStr">
        <is>
          <t>ORG_1955</t>
        </is>
      </c>
      <c r="C74" s="1" t="b">
        <v>1</v>
      </c>
      <c r="D74" s="1" t="inlineStr">
        <is>
          <t>Mereos</t>
        </is>
      </c>
      <c r="E74" s="10" t="inlineStr">
        <is>
          <t>https://mereos.eu/</t>
        </is>
      </c>
      <c r="F74" t="inlineStr">
        <is>
          <t>mereos.eu</t>
        </is>
      </c>
      <c r="G74" s="1" t="inlineStr">
        <is>
          <t>We have entered in a new era, the era of remote everything. Today, we can take online courses, train on Youtube and even attend virtual events. The only catch? The tools to assess and certify skill level have not evolved. 
At Mereos, we make sure your online tests are 100% secure and we fight fraud with top-of-the-notch proctoring solutions.</t>
        </is>
      </c>
      <c r="H74" s="1" t="inlineStr">
        <is>
          <t>EdTech France</t>
        </is>
      </c>
      <c r="J74" s="1" t="inlineStr">
        <is>
          <t>PARIS</t>
        </is>
      </c>
      <c r="K74" s="1" t="inlineStr">
        <is>
          <t>France</t>
        </is>
      </c>
      <c r="L74" s="1" t="inlineStr">
        <is>
          <t>France</t>
        </is>
      </c>
      <c r="M74" s="1" t="inlineStr">
        <is>
          <t>0 to 10</t>
        </is>
      </c>
      <c r="N74" s="1" t="inlineStr">
        <is>
          <t>Business to Business, Business to Consumer, Business to Schools</t>
        </is>
      </c>
      <c r="O74" s="1" t="inlineStr">
        <is>
          <t>Secondary Education, Higher Education, Corporate Training, Lifelong learning/Adult education</t>
        </is>
      </c>
      <c r="P74" s="1" t="inlineStr">
        <is>
          <t>Teacher interfacing, Student interfacing, System/Administrative</t>
        </is>
      </c>
      <c r="S74" t="inlineStr">
        <is>
          <t>https://drive.google.com/uc?export=view&amp;id=1MaJou1O684Cuooh5HxLW3gE3JrLkFZCf</t>
        </is>
      </c>
      <c r="T74" t="inlineStr">
        <is>
          <t>https://drive.google.com/uc?export=view&amp;id=1MaJou1O684Cuooh5HxLW3gE3JrLkFZCf</t>
        </is>
      </c>
      <c r="U74" t="inlineStr">
        <is>
          <t>https://drive.google.com/uc?export=view&amp;id=1MaJou1O684Cuooh5HxLW3gE3JrLkFZCf</t>
        </is>
      </c>
      <c r="V74" t="inlineStr">
        <is>
          <t>Unverified</t>
        </is>
      </c>
      <c r="Y74" s="10" t="n"/>
      <c r="Z74" s="1" t="n"/>
      <c r="AA74" t="inlineStr">
        <is>
          <t>No</t>
        </is>
      </c>
    </row>
    <row r="75" ht="12.5" customHeight="1">
      <c r="A75" s="6" t="n">
        <v>45181</v>
      </c>
      <c r="B75" s="1" t="inlineStr">
        <is>
          <t>ORG_2257</t>
        </is>
      </c>
      <c r="C75" s="1" t="b">
        <v>1</v>
      </c>
      <c r="D75" s="1" t="inlineStr">
        <is>
          <t>skillogs</t>
        </is>
      </c>
      <c r="E75" s="10" t="inlineStr">
        <is>
          <t>https://www.skillogs.com/</t>
        </is>
      </c>
      <c r="F75" t="inlineStr">
        <is>
          <t>skillogs.com</t>
        </is>
      </c>
      <c r="G75" s="1" t="inlineStr">
        <is>
          <t>Skillogs: EdTech at the service of skills. It draws on the C3 Group's 20 years of expertise in the fields of commerce, the digital economy and business management. 
 A team of experts in educational technologies offers turnkey solutions with support for the hybridization and digitalization of training courses. Skillogs brings together a team of experts in educational technologies to offer turnkey solutions with support for the hybridization and digitalization of training courses. Skillogs, LCMS/ LXP solution is a partner of training centers and skills certifiers since 2017.</t>
        </is>
      </c>
      <c r="H75" s="1" t="inlineStr">
        <is>
          <t>EdTech France</t>
        </is>
      </c>
      <c r="J75" s="1" t="inlineStr">
        <is>
          <t>ANTONY</t>
        </is>
      </c>
      <c r="K75" s="1" t="inlineStr">
        <is>
          <t>France</t>
        </is>
      </c>
      <c r="L75" s="1" t="inlineStr">
        <is>
          <t>France</t>
        </is>
      </c>
      <c r="M75" s="1" t="inlineStr">
        <is>
          <t>0 to 10</t>
        </is>
      </c>
      <c r="N75" s="1" t="inlineStr">
        <is>
          <t>Business to Consumer, Business to Government, Business to Schools</t>
        </is>
      </c>
      <c r="O75" s="1" t="inlineStr">
        <is>
          <t>Higher Education, Corporate Training, Lifelong learning/Adult education</t>
        </is>
      </c>
      <c r="P75" s="1" t="inlineStr">
        <is>
          <t>Teacher interfacing, Student interfacing, System/Administrative</t>
        </is>
      </c>
      <c r="Q75" s="1" t="inlineStr">
        <is>
          <t>Skillogs</t>
        </is>
      </c>
      <c r="R75" s="10" t="inlineStr">
        <is>
          <t>Turnkey solutions with support for the hybridization and digitalization of training courses.</t>
        </is>
      </c>
      <c r="S75" s="10" t="inlineStr">
        <is>
          <t>https://drive.google.com/uc?export=view&amp;id=17Mw6NyNHr9KMHDR4rOeu-laEzt1VxvDK</t>
        </is>
      </c>
      <c r="T75" t="inlineStr">
        <is>
          <t>https://drive.google.com/uc?export=view&amp;id=17Mw6NyNHr9KMHDR4rOeu-laEzt1VxvDK</t>
        </is>
      </c>
      <c r="U75" s="1" t="inlineStr">
        <is>
          <t>https://drive.google.com/uc?export=view&amp;id=17Mw6NyNHr9KMHDR4rOeu-laEzt1VxvDK</t>
        </is>
      </c>
      <c r="V75" s="1" t="inlineStr">
        <is>
          <t>Unverified</t>
        </is>
      </c>
      <c r="Y75" s="10" t="n"/>
      <c r="Z75" s="1" t="n"/>
      <c r="AA75" t="inlineStr">
        <is>
          <t>Yes</t>
        </is>
      </c>
      <c r="AB75" t="inlineStr">
        <is>
          <t>Skale Business School</t>
        </is>
      </c>
      <c r="AC75" t="inlineStr">
        <is>
          <t>https://twitter.com/skillogsacarya</t>
        </is>
      </c>
      <c r="AD75" t="inlineStr">
        <is>
          <t>https://www.linkedin.com/company/skillogs/</t>
        </is>
      </c>
    </row>
    <row r="76" ht="12.5" customHeight="1">
      <c r="A76" s="6" t="n">
        <v>45278</v>
      </c>
      <c r="B76" s="1" t="inlineStr">
        <is>
          <t>ORG_2377</t>
        </is>
      </c>
      <c r="C76" s="1" t="b">
        <v>1</v>
      </c>
      <c r="D76" s="1" t="inlineStr">
        <is>
          <t>TeamGether</t>
        </is>
      </c>
      <c r="E76" s="10" t="inlineStr">
        <is>
          <t>https://www.effency.fr</t>
        </is>
      </c>
      <c r="F76" t="inlineStr">
        <is>
          <t>effency.fr</t>
        </is>
      </c>
      <c r="G76" s="1" t="inlineStr">
        <is>
          <t>EFFENCY is a team of digital enthusiasts with complimentary expertise. Database architect, innovation network expert, educational engineer, copy writer, UI/UX and experienced project manager, we are both able to enhance our solution developed internally and to support our clients from start to finish, from just getting started with our solution TeamGether to functional adaptation over time.</t>
        </is>
      </c>
      <c r="H76" s="1" t="inlineStr">
        <is>
          <t>EdTech France</t>
        </is>
      </c>
      <c r="J76" s="1" t="inlineStr">
        <is>
          <t>Paris</t>
        </is>
      </c>
      <c r="K76" s="1" t="inlineStr">
        <is>
          <t>France</t>
        </is>
      </c>
      <c r="L76" s="1" t="inlineStr">
        <is>
          <t>France, Luxembourg</t>
        </is>
      </c>
      <c r="M76" s="1" t="inlineStr">
        <is>
          <t>3 to 5</t>
        </is>
      </c>
      <c r="N76" s="1" t="inlineStr">
        <is>
          <t>Business to Government, Business to Schools</t>
        </is>
      </c>
      <c r="O76" s="1" t="inlineStr">
        <is>
          <t>Corporate Training, Lifelong learning/Adult education</t>
        </is>
      </c>
      <c r="P76" s="1" t="inlineStr">
        <is>
          <t>System/Administrative, Student interfacing</t>
        </is>
      </c>
      <c r="Q76" t="inlineStr">
        <is>
          <t>TeamGether</t>
        </is>
      </c>
      <c r="R76" s="10" t="inlineStr">
        <is>
          <t>After only 9 hours after the end of a training session, we have already forgotten 70% of what we just learned. Training sessions alone are not enough the well anchor knowledge in the employees' operational context.
TeamGether offers a new way of diffusing and anchoring knowledge by creating efficient training routines and guide the user experience in a digital solution.
TeamGether facilitates the daily life at work of more than 3000 employees at our clients, in the language of their choice. They no longer need to read a long, and unintelligible 60, page document to know how to apply the GDPR in their day-to-day work. Or, search for the training materials from 6 months ago to find out how to handle the company’s RSE policy.
TeamGether is integrated into Microsoft Teams and Slack and is therefore available on all platforms supported by these tools. It establishes a direct discussion with each employee without the need to be individually authenticated each time (this is already handled by the tools). TeamGether:
- Captures their attention immediately,
- Guides them in a personalized manner towards useful knowledge, thanks to 100% personalized micro-sessions that last 5-10 minutes which invite the users to put the information to use,
- Captures indicators and measures to identify recurrent problems that prevent assimilation.
TeamGether's editor to create the micro-learning paths is commercialized as a SaaS in the form of editor or administrator licenses.</t>
        </is>
      </c>
      <c r="S76" s="10" t="inlineStr">
        <is>
          <t>https://drive.google.com/uc?export=view&amp;id=1AVrnhOd2wnDz8wl5TQu5mEK1iY39Syuj</t>
        </is>
      </c>
      <c r="T76" t="inlineStr">
        <is>
          <t>https://drive.google.com/uc?export=view&amp;id=1AVrnhOd2wnDz8wl5TQu5mEK1iY39Syuj</t>
        </is>
      </c>
      <c r="U76" s="1" t="inlineStr">
        <is>
          <t>https://drive.google.com/uc?export=view&amp;id=1AVrnhOd2wnDz8wl5TQu5mEK1iY39Syuj</t>
        </is>
      </c>
      <c r="V76" s="1" t="inlineStr">
        <is>
          <t>Unverified</t>
        </is>
      </c>
      <c r="Y76" s="10" t="n"/>
      <c r="Z76" s="1" t="n"/>
      <c r="AA76" t="inlineStr">
        <is>
          <t>Yes</t>
        </is>
      </c>
      <c r="AB76" t="inlineStr">
        <is>
          <t>https://twitter.com/effency_</t>
        </is>
      </c>
      <c r="AC76" t="inlineStr">
        <is>
          <t>https://twitter.com/effency_</t>
        </is>
      </c>
      <c r="AD76" t="inlineStr">
        <is>
          <t>https://www.linkedin.com/company/effency</t>
        </is>
      </c>
    </row>
    <row r="77" ht="12.5" customHeight="1">
      <c r="A77" s="6" t="n">
        <v>45181</v>
      </c>
      <c r="B77" s="1" t="inlineStr">
        <is>
          <t>ORG_1104</t>
        </is>
      </c>
      <c r="C77" s="1" t="b">
        <v>1</v>
      </c>
      <c r="D77" s="1" t="inlineStr">
        <is>
          <t>Artsci</t>
        </is>
      </c>
      <c r="E77" s="10" t="inlineStr">
        <is>
          <t>https://www.artsci.fr</t>
        </is>
      </c>
      <c r="F77" t="inlineStr">
        <is>
          <t>artsci.fr</t>
        </is>
      </c>
      <c r="G77" s="1" t="inlineStr">
        <is>
          <t>Creative consulting for schools, companies, universities, and people interested in education. We propose a learning model based on the student's active role, in contextualized knowledge, in the promotion of curiosity and the constant integration between Science, Technology, Engineering, Arts and Mathematics (STEAM).
It means hard and soft skills together!</t>
        </is>
      </c>
      <c r="H77" s="1" t="inlineStr">
        <is>
          <t>I'm not part of any EdTech association</t>
        </is>
      </c>
      <c r="J77" s="1" t="inlineStr">
        <is>
          <t>Marseille</t>
        </is>
      </c>
      <c r="K77" s="1" t="inlineStr">
        <is>
          <t>France</t>
        </is>
      </c>
      <c r="L77" s="1" t="inlineStr">
        <is>
          <t>France, Germany, Portugal, Spain, Switzerland</t>
        </is>
      </c>
      <c r="M77" s="1" t="inlineStr">
        <is>
          <t>0 to 10</t>
        </is>
      </c>
      <c r="N77" s="1" t="inlineStr">
        <is>
          <t>Business to Business</t>
        </is>
      </c>
      <c r="O77" s="1" t="inlineStr">
        <is>
          <t>Secondary Education, Higher Education, Corporate Training</t>
        </is>
      </c>
      <c r="P77" s="1" t="inlineStr">
        <is>
          <t>Teacher interfacing, System/Administrative</t>
        </is>
      </c>
      <c r="S77" t="inlineStr">
        <is>
          <t>https://drive.google.com/uc?export=view&amp;id=1Lma8Z2jhTTmcGMxiMhcLmUE7UGXOBRlc</t>
        </is>
      </c>
      <c r="T77" t="inlineStr">
        <is>
          <t>https://drive.google.com/uc?export=view&amp;id=1Lma8Z2jhTTmcGMxiMhcLmUE7UGXOBRlc</t>
        </is>
      </c>
      <c r="U77" t="inlineStr">
        <is>
          <t>https://drive.google.com/uc?export=view&amp;id=1Lma8Z2jhTTmcGMxiMhcLmUE7UGXOBRlc</t>
        </is>
      </c>
      <c r="V77" t="inlineStr">
        <is>
          <t>Unverified</t>
        </is>
      </c>
      <c r="Y77" s="10" t="n"/>
      <c r="Z77" s="1" t="n"/>
      <c r="AA77" t="inlineStr">
        <is>
          <t>No</t>
        </is>
      </c>
    </row>
    <row r="78" ht="12.5" customHeight="1">
      <c r="A78" s="6" t="n">
        <v>45181</v>
      </c>
      <c r="B78" s="1" t="inlineStr">
        <is>
          <t>ORG_1291</t>
        </is>
      </c>
      <c r="C78" s="1" t="b">
        <v>1</v>
      </c>
      <c r="D78" s="1" t="inlineStr">
        <is>
          <t>Constel Education</t>
        </is>
      </c>
      <c r="E78" s="10" t="inlineStr">
        <is>
          <t>https://constel-education.com/</t>
        </is>
      </c>
      <c r="F78" t="inlineStr">
        <is>
          <t>constel-education.com</t>
        </is>
      </c>
      <c r="G78" s="1" t="inlineStr">
        <is>
          <t>Constel Education is a 100% online mentoring and collaborative plateform between students in the same field of higher education. 
Our goal is to allow each student to find answers and support to perform ! 
In Constel Education, you can find :
- Mentors who were in the same field as you
- A discussion space divided in groups between students in the community
- Feedbacks and information about different studies and schools
- A lot of information in Instagram and Tiktok too !</t>
        </is>
      </c>
      <c r="H78" s="1" t="inlineStr">
        <is>
          <t>I'm not part of any EdTech association</t>
        </is>
      </c>
      <c r="J78" s="1" t="inlineStr">
        <is>
          <t>PARIS</t>
        </is>
      </c>
      <c r="K78" s="1" t="inlineStr">
        <is>
          <t>France</t>
        </is>
      </c>
      <c r="L78" s="1" t="inlineStr">
        <is>
          <t>France</t>
        </is>
      </c>
      <c r="M78" s="1" t="inlineStr">
        <is>
          <t>0 to 10</t>
        </is>
      </c>
      <c r="N78" s="1" t="inlineStr">
        <is>
          <t>Business to Business</t>
        </is>
      </c>
      <c r="O78" s="1" t="inlineStr">
        <is>
          <t>Secondary Education, Higher Education</t>
        </is>
      </c>
      <c r="P78" s="1" t="inlineStr">
        <is>
          <t>Student interfacing</t>
        </is>
      </c>
      <c r="V78" t="inlineStr">
        <is>
          <t>Unverified</t>
        </is>
      </c>
      <c r="Z78" s="1" t="n"/>
      <c r="AA78" t="inlineStr">
        <is>
          <t>No</t>
        </is>
      </c>
    </row>
    <row r="79" ht="12.5" customHeight="1">
      <c r="A79" s="6" t="n">
        <v>45181</v>
      </c>
      <c r="B79" s="1" t="inlineStr">
        <is>
          <t>ORG_1643</t>
        </is>
      </c>
      <c r="C79" s="1" t="b">
        <v>1</v>
      </c>
      <c r="D79" s="1" t="inlineStr">
        <is>
          <t>Grave Cool</t>
        </is>
      </c>
      <c r="E79" s="1" t="inlineStr">
        <is>
          <t>www.grave.cool</t>
        </is>
      </c>
      <c r="F79" t="inlineStr">
        <is>
          <t>grave.cool</t>
        </is>
      </c>
      <c r="G79" s="1" t="inlineStr">
        <is>
          <t>Grave Cool is a start-up that offers its customers, training organizations, an innovative business model and a unique way of collaboration.
As Social business, Grave Cool accompanies its customers throughout the digitalization of their training catalog by pursuing a long-term partnership dynamic.
Implementation of a digitalization strategy, joint creation of the digitalization economic plan, digitalized products development, marketing, educational and technical exploitation, Grave Cool intervenes at all stages of the project with a collaborative and global approach alongside its clients.
By offering a cooperative environment, Grave Cool contributes to increasing the value of its clients' training and guaranteeing their sustainability by placing digitalization at the center of their development.</t>
        </is>
      </c>
      <c r="H79" s="1" t="inlineStr">
        <is>
          <t>EdTech France</t>
        </is>
      </c>
      <c r="J79" s="1" t="inlineStr">
        <is>
          <t>Paris</t>
        </is>
      </c>
      <c r="K79" s="1" t="inlineStr">
        <is>
          <t>France</t>
        </is>
      </c>
      <c r="L79" s="1" t="inlineStr">
        <is>
          <t>France</t>
        </is>
      </c>
      <c r="M79" s="1" t="inlineStr">
        <is>
          <t>0 to 10</t>
        </is>
      </c>
      <c r="N79" s="1" t="inlineStr">
        <is>
          <t>Business to Business, Business to Consumer, Business to Government, Business to Schools</t>
        </is>
      </c>
      <c r="O79" s="1" t="inlineStr">
        <is>
          <t>Higher Education, Corporate Training, Lifelong learning/Adult education</t>
        </is>
      </c>
      <c r="P79" s="1" t="inlineStr">
        <is>
          <t>Student interfacing, Teacher interfacing, System/Administrative</t>
        </is>
      </c>
      <c r="Q79" t="inlineStr">
        <is>
          <t>Le COOC Gardien</t>
        </is>
      </c>
      <c r="R79" t="inlineStr">
        <is>
          <t>The COOC Gardien is a serious game: a video game in which you are the hero, intended for future building caretakers.
A subtle mix of theory and practice, the AFPOLS blended building caretaker course combines face-to-face training with self-study immersed in a gamified 3D environment.
Scenarios, quizzes, expert videos, educational sheets, chats, the serious game energizes learning situations to develop the skills of professionals and lead them to obtain a professional certification</t>
        </is>
      </c>
      <c r="S79" s="10" t="inlineStr">
        <is>
          <t>https://drive.google.com/uc?export=view&amp;id=1ga3CmUt7yGrbhgfZSJxyrPoGz3KV9ckb</t>
        </is>
      </c>
      <c r="T79" t="inlineStr">
        <is>
          <t>https://drive.google.com/uc?export=view&amp;id=1ga3CmUt7yGrbhgfZSJxyrPoGz3KV9ckb</t>
        </is>
      </c>
      <c r="U79" s="1" t="inlineStr">
        <is>
          <t>https://drive.google.com/uc?export=view&amp;id=1ga3CmUt7yGrbhgfZSJxyrPoGz3KV9ckb</t>
        </is>
      </c>
      <c r="V79" s="1" t="inlineStr">
        <is>
          <t>Unverified</t>
        </is>
      </c>
      <c r="Y79" s="10" t="n"/>
      <c r="Z79" s="1" t="n"/>
      <c r="AA79" t="inlineStr">
        <is>
          <t>Yes</t>
        </is>
      </c>
      <c r="AC79" t="inlineStr">
        <is>
          <t>https://www.linkedin.com/company/grave-cool/</t>
        </is>
      </c>
      <c r="AD79" t="inlineStr">
        <is>
          <t>https://www.linkedin.com/company/grave-cool/</t>
        </is>
      </c>
    </row>
    <row r="80" ht="12.5" customHeight="1">
      <c r="A80" s="6" t="n">
        <v>45181</v>
      </c>
      <c r="B80" s="1" t="inlineStr">
        <is>
          <t>ORG_1680</t>
        </is>
      </c>
      <c r="C80" s="1" t="b">
        <v>1</v>
      </c>
      <c r="D80" s="1" t="inlineStr">
        <is>
          <t>Holy Owly</t>
        </is>
      </c>
      <c r="E80" s="10" t="inlineStr">
        <is>
          <t>https://www.holyowly.com/</t>
        </is>
      </c>
      <c r="F80" t="inlineStr">
        <is>
          <t>holyowly.com</t>
        </is>
      </c>
      <c r="G80" s="1" t="inlineStr">
        <is>
          <t>Holy Owly is a language learning app for kids from 3 to 12. 
After 3 years of testing to find the perfect formula to learn languages at a young age : a 5 minute daily micro-learning sessions, with oral recognition and adaptive learning. Now a 15 people gender balanced team led by Stéphanie Bourgeois and Julie Boucon, we’re ready for our next step : from an English learning app to a global language learning game !</t>
        </is>
      </c>
      <c r="H80" s="1" t="inlineStr">
        <is>
          <t>EdTech France</t>
        </is>
      </c>
      <c r="J80" s="1" t="inlineStr">
        <is>
          <t>Le village by CA</t>
        </is>
      </c>
      <c r="K80" s="1" t="inlineStr">
        <is>
          <t>France</t>
        </is>
      </c>
      <c r="L80"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80" s="1" t="inlineStr">
        <is>
          <t>11 to 50</t>
        </is>
      </c>
      <c r="N80" s="1" t="inlineStr">
        <is>
          <t>Business to Business, Business to Consumer, Business to Schools</t>
        </is>
      </c>
      <c r="O80" s="1" t="inlineStr">
        <is>
          <t>Primary Education</t>
        </is>
      </c>
      <c r="P80" s="1" t="inlineStr">
        <is>
          <t>System/Administrative</t>
        </is>
      </c>
      <c r="Q80" s="10" t="inlineStr">
        <is>
          <t>Holy Owly for Family</t>
        </is>
      </c>
      <c r="R80" s="10" t="inlineStr">
        <is>
          <t>Holy Owly for Family is an educational resource for teaching English to children from 3 to 12 years old. Our 7-step method is based on microlearning and our voice recognition system allows children to gain confidence and work on the prosody of the language. We have integrated adaptive learning so that each learner progresses at their own pace.</t>
        </is>
      </c>
      <c r="S80" s="10" t="inlineStr">
        <is>
          <t>Holy Owly for School</t>
        </is>
      </c>
      <c r="T80" t="inlineStr">
        <is>
          <t>Holy Owly is an educational resource for teaching English to children aged 6 to 11. Our 7-step method is based on microlearning and our voice recognition system allows children to gain confidence and work on the prosody of the language. This gamified application allows children to learn 3 words or 3 sentences per day on a tablet in class or in a video-projected way.</t>
        </is>
      </c>
      <c r="U80" s="1" t="inlineStr">
        <is>
          <t>https://drive.google.com/uc?export=view&amp;id=1cMaC9znsQMT5AF9twNzp_kFuIBn-3Y0h</t>
        </is>
      </c>
      <c r="V80" s="1" t="inlineStr">
        <is>
          <t>Unverified</t>
        </is>
      </c>
      <c r="W80" s="1" t="inlineStr">
        <is>
          <t>https://drive.google.com/uc?export=view&amp;id=1cMaC9znsQMT5AF9twNzp_kFuIBn-3Y0h</t>
        </is>
      </c>
      <c r="X80" s="1" t="n"/>
      <c r="Y80" s="10" t="n"/>
      <c r="Z80" s="1" t="n"/>
      <c r="AA80" t="inlineStr">
        <is>
          <t>Yes</t>
        </is>
      </c>
      <c r="AB80" t="inlineStr">
        <is>
          <t>https://www.instagram.com/holyowlyapp/?hl=fr</t>
        </is>
      </c>
      <c r="AC80" t="inlineStr">
        <is>
          <t>https://twitter.com/HolyOwlyApp?ref_src=twsrc%5Egoogle%7Ctwcamp%5Eserp%7Ctwgr%5Eauthor</t>
        </is>
      </c>
      <c r="AD80" t="inlineStr">
        <is>
          <t>https://www.linkedin.com/company/holy-owly-app/?originalSubdomain=fr</t>
        </is>
      </c>
    </row>
    <row r="81" ht="12.5" customHeight="1">
      <c r="A81" s="6" t="n">
        <v>45181</v>
      </c>
      <c r="B81" s="1" t="inlineStr">
        <is>
          <t>ORG_1689</t>
        </is>
      </c>
      <c r="C81" s="1" t="b">
        <v>1</v>
      </c>
      <c r="D81" s="1" t="inlineStr">
        <is>
          <t>HUH Corporate</t>
        </is>
      </c>
      <c r="E81" s="10" t="inlineStr">
        <is>
          <t>www.huhcorporate.com</t>
        </is>
      </c>
      <c r="F81" t="inlineStr">
        <is>
          <t>huhcorporate.com</t>
        </is>
      </c>
      <c r="G81" s="1" t="inlineStr">
        <is>
          <t>HUH Corporate offers mobile learning solutions via their learning chatbots. Our solution enables to deploy any training program and ensure skill improvement. Thanks to our unique hybrid learning system, trainers can follow the learners real-time progress and interact with them.</t>
        </is>
      </c>
      <c r="H81" s="1" t="inlineStr">
        <is>
          <t>I'm not part of any EdTech association</t>
        </is>
      </c>
      <c r="J81" s="1" t="inlineStr">
        <is>
          <t>CRETEIL</t>
        </is>
      </c>
      <c r="K81" s="1" t="inlineStr">
        <is>
          <t>France</t>
        </is>
      </c>
      <c r="L81" s="1" t="inlineStr">
        <is>
          <t>Austria, Belgium, France, Germany, Spain, United Kingdom</t>
        </is>
      </c>
      <c r="M81" s="1" t="inlineStr">
        <is>
          <t>11 to 50</t>
        </is>
      </c>
      <c r="N81" s="1" t="inlineStr">
        <is>
          <t>Business to Business, Business to Consumer, Business to Schools</t>
        </is>
      </c>
      <c r="O81" s="1" t="inlineStr">
        <is>
          <t>Corporate Training, Lifelong learning/Adult education</t>
        </is>
      </c>
      <c r="P81" s="1" t="inlineStr">
        <is>
          <t>Teacher interfacing, Student interfacing, System/Administrative</t>
        </is>
      </c>
      <c r="S81" t="inlineStr">
        <is>
          <t>https://drive.google.com/uc?export=view&amp;id=1NJUL6eclXUWLh5YZAVoAV8A735aZLHCw</t>
        </is>
      </c>
      <c r="T81" t="inlineStr">
        <is>
          <t>https://drive.google.com/uc?export=view&amp;id=1NJUL6eclXUWLh5YZAVoAV8A735aZLHCw</t>
        </is>
      </c>
      <c r="U81" t="inlineStr">
        <is>
          <t>https://drive.google.com/uc?export=view&amp;id=1NJUL6eclXUWLh5YZAVoAV8A735aZLHCw</t>
        </is>
      </c>
      <c r="V81" t="inlineStr">
        <is>
          <t>Unverified</t>
        </is>
      </c>
      <c r="Y81" s="10" t="n"/>
      <c r="Z81" s="1" t="n"/>
      <c r="AA81" t="inlineStr">
        <is>
          <t>No</t>
        </is>
      </c>
    </row>
    <row r="82" ht="12.5" customHeight="1">
      <c r="A82" s="6" t="n">
        <v>45181</v>
      </c>
      <c r="B82" s="1" t="inlineStr">
        <is>
          <t>ORG_1730</t>
        </is>
      </c>
      <c r="C82" s="1" t="b">
        <v>1</v>
      </c>
      <c r="D82" s="1" t="inlineStr">
        <is>
          <t>INTERFORA IFAIP</t>
        </is>
      </c>
      <c r="E82" s="10" t="inlineStr">
        <is>
          <t>https://www.interfora-ifaip.fr/</t>
        </is>
      </c>
      <c r="F82" t="inlineStr">
        <is>
          <t>interfora-ifaip.fr</t>
        </is>
      </c>
      <c r="G82" s="1" t="inlineStr">
        <is>
          <t>INTERFORA IFAIP develops online training program for the chemical industry. From e-learning modules to 3D experience, we strive to propose a collaborative and immersive learning. We developed a simulator to immerse the learners in a chemical working environment, in order to teach the handiwork link to the occupational hazards and understand the fundamentals of the craft.</t>
        </is>
      </c>
      <c r="H82" s="1" t="inlineStr">
        <is>
          <t>EdTech France</t>
        </is>
      </c>
      <c r="J82" s="1" t="inlineStr">
        <is>
          <t>St Fons</t>
        </is>
      </c>
      <c r="K82" s="1" t="inlineStr">
        <is>
          <t>France</t>
        </is>
      </c>
      <c r="L82" s="1" t="inlineStr">
        <is>
          <t>France</t>
        </is>
      </c>
      <c r="M82" s="1" t="inlineStr">
        <is>
          <t>11 to 50</t>
        </is>
      </c>
      <c r="N82" s="1" t="inlineStr">
        <is>
          <t>Business to Business, Business to Government</t>
        </is>
      </c>
      <c r="O82" s="1" t="inlineStr">
        <is>
          <t>Primary Education, Secondary Education, Higher Education, Corporate Training, Lifelong learning/Adult education</t>
        </is>
      </c>
      <c r="P82" s="1" t="inlineStr">
        <is>
          <t>Student interfacing, System/Administrative</t>
        </is>
      </c>
      <c r="Q82" s="10" t="inlineStr">
        <is>
          <t>On-line and immersive trainning for industry</t>
        </is>
      </c>
      <c r="R82" s="10" t="inlineStr">
        <is>
          <t>INTERFORA IFAIP develops online training program for the chemical industry. From e-learning modules to 3D experience, we strive to propose a collaborative and immersive learning. We developed a simulator to immerse the learners in a chemical working environment, in order to teach the handiwork link to the occupational hazards and understand the fundamentals of the craft.</t>
        </is>
      </c>
      <c r="S82" s="10" t="inlineStr">
        <is>
          <t>https://drive.google.com/uc?export=view&amp;id=1LOaY9H53U_PbwFFxBCzno9ZLNy9XoUrQ</t>
        </is>
      </c>
      <c r="T82" t="inlineStr">
        <is>
          <t>https://drive.google.com/uc?export=view&amp;id=1LOaY9H53U_PbwFFxBCzno9ZLNy9XoUrQ</t>
        </is>
      </c>
      <c r="U82" s="1" t="inlineStr">
        <is>
          <t>https://drive.google.com/uc?export=view&amp;id=1LOaY9H53U_PbwFFxBCzno9ZLNy9XoUrQ</t>
        </is>
      </c>
      <c r="V82" s="1" t="inlineStr">
        <is>
          <t>Unverified</t>
        </is>
      </c>
      <c r="Y82" s="10" t="n"/>
      <c r="Z82" s="1" t="n"/>
      <c r="AA82" t="inlineStr">
        <is>
          <t>Yes</t>
        </is>
      </c>
      <c r="AB82" t="inlineStr">
        <is>
          <t>https://www.instagram.com/interfora_ifaip/</t>
        </is>
      </c>
      <c r="AC82" t="inlineStr">
        <is>
          <t>https://twitter.com/Interfora_Ifaip</t>
        </is>
      </c>
      <c r="AD82" t="inlineStr">
        <is>
          <t>https://www.linkedin.com/company/interfora-ifaip/</t>
        </is>
      </c>
    </row>
    <row r="83" ht="12.5" customHeight="1">
      <c r="A83" s="6" t="n">
        <v>45181</v>
      </c>
      <c r="B83" s="1" t="inlineStr">
        <is>
          <t>ORG_1790</t>
        </is>
      </c>
      <c r="C83" s="1" t="b">
        <v>1</v>
      </c>
      <c r="D83" s="1" t="inlineStr">
        <is>
          <t>Kronos</t>
        </is>
      </c>
      <c r="E83" s="10" t="inlineStr">
        <is>
          <t>https://www.kronos.fr/</t>
        </is>
      </c>
      <c r="F83" t="inlineStr">
        <is>
          <t>kronos.fr</t>
        </is>
      </c>
      <c r="G83" s="1" t="inlineStr">
        <is>
          <t>Our mindset:
With us, everything is possible. Let's start together from what you imagine for your company and find the tailor-made solution to help you to achieve it. We stand for an original approach. When we operate somewhere, the whole company is set in motion and we are driven by this desire to empower everyone.
Our uniqueness:
In our core business, tailor-made training, and skills development, we are reinventing the managerial relationship to bring the teams to live the “leadership – membership” duo and then, create a “partner” relationship, which is an assumed, solid and powerful relationship between managers and employees. Our signature translate this: Empower People</t>
        </is>
      </c>
      <c r="H83" s="1" t="inlineStr">
        <is>
          <t>I'm not part of any EdTech association</t>
        </is>
      </c>
      <c r="J83" s="1" t="inlineStr">
        <is>
          <t>Lezennes</t>
        </is>
      </c>
      <c r="K83" s="1" t="inlineStr">
        <is>
          <t>France</t>
        </is>
      </c>
      <c r="L83" s="1" t="inlineStr">
        <is>
          <t>France</t>
        </is>
      </c>
      <c r="M83" s="1" t="inlineStr">
        <is>
          <t>11 to 50</t>
        </is>
      </c>
      <c r="N83" s="1" t="inlineStr">
        <is>
          <t>Business to Business, Business to Government</t>
        </is>
      </c>
      <c r="O83" s="1" t="inlineStr">
        <is>
          <t>Corporate Training, Lifelong learning/Adult education</t>
        </is>
      </c>
      <c r="P83" s="1" t="inlineStr">
        <is>
          <t>Teacher interfacing, Student interfacing, System/Administrative</t>
        </is>
      </c>
      <c r="S83" t="inlineStr">
        <is>
          <t>https://drive.google.com/uc?export=view&amp;id=1FEZ6r1CdlG7vxHY_OTIsNF0FnxbHOzPi</t>
        </is>
      </c>
      <c r="T83" t="inlineStr">
        <is>
          <t>https://drive.google.com/uc?export=view&amp;id=1FEZ6r1CdlG7vxHY_OTIsNF0FnxbHOzPi</t>
        </is>
      </c>
      <c r="U83" t="inlineStr">
        <is>
          <t>https://drive.google.com/uc?export=view&amp;id=1FEZ6r1CdlG7vxHY_OTIsNF0FnxbHOzPi</t>
        </is>
      </c>
      <c r="V83" t="inlineStr">
        <is>
          <t>Unverified</t>
        </is>
      </c>
      <c r="Y83" s="10" t="n"/>
      <c r="Z83" s="1" t="n"/>
      <c r="AA83" t="inlineStr">
        <is>
          <t>No</t>
        </is>
      </c>
    </row>
    <row r="84" ht="12.5" customHeight="1">
      <c r="A84" s="6" t="n">
        <v>45181</v>
      </c>
      <c r="B84" s="1" t="inlineStr">
        <is>
          <t>ORG_1812</t>
        </is>
      </c>
      <c r="C84" s="1" t="b">
        <v>1</v>
      </c>
      <c r="D84" s="1" t="inlineStr">
        <is>
          <t>Language Teams</t>
        </is>
      </c>
      <c r="E84" s="10" t="inlineStr">
        <is>
          <t>www.languageteams.com</t>
        </is>
      </c>
      <c r="F84" t="inlineStr">
        <is>
          <t>languageteams.com</t>
        </is>
      </c>
      <c r="G84" s="1" t="inlineStr">
        <is>
          <t>Language Teams is an online language school that offers online French, English, German, Dutch and Spanish courses adapted to the social and professional needs of its students.</t>
        </is>
      </c>
      <c r="H84" s="1" t="inlineStr">
        <is>
          <t>I'm not part of any EdTech association</t>
        </is>
      </c>
      <c r="J84" s="1" t="inlineStr">
        <is>
          <t>Paris</t>
        </is>
      </c>
      <c r="K84" s="1" t="inlineStr">
        <is>
          <t>France</t>
        </is>
      </c>
      <c r="L84" s="1" t="inlineStr">
        <is>
          <t>Austria, Belgium, France, Germany, Greece, Ireland, Italy, Netherlands, Spain, Sweden, Switzerland, United Kingdom</t>
        </is>
      </c>
      <c r="M84" s="1" t="inlineStr">
        <is>
          <t>0 to 10</t>
        </is>
      </c>
      <c r="N84" s="1" t="inlineStr">
        <is>
          <t>Business to Business, Business to Government, Business to Schools</t>
        </is>
      </c>
      <c r="O84" s="1" t="inlineStr">
        <is>
          <t>Higher Education, Corporate Training, Lifelong learning/Adult education</t>
        </is>
      </c>
      <c r="P84" s="1" t="inlineStr">
        <is>
          <t>Student interfacing, System/Administrative</t>
        </is>
      </c>
      <c r="S84" t="inlineStr">
        <is>
          <t>https://drive.google.com/uc?export=view&amp;id=1hLqxpjqiJEV7fFTAkA2Ptqt-HOTtUclf</t>
        </is>
      </c>
      <c r="T84" t="inlineStr">
        <is>
          <t>https://drive.google.com/uc?export=view&amp;id=1hLqxpjqiJEV7fFTAkA2Ptqt-HOTtUclf</t>
        </is>
      </c>
      <c r="U84" t="inlineStr">
        <is>
          <t>https://drive.google.com/uc?export=view&amp;id=1hLqxpjqiJEV7fFTAkA2Ptqt-HOTtUclf</t>
        </is>
      </c>
      <c r="V84" t="inlineStr">
        <is>
          <t>Unverified</t>
        </is>
      </c>
      <c r="Y84" s="10" t="n"/>
      <c r="Z84" s="1" t="n"/>
      <c r="AA84" t="inlineStr">
        <is>
          <t>No</t>
        </is>
      </c>
    </row>
    <row r="85" ht="12.5" customHeight="1">
      <c r="A85" s="6" t="n">
        <v>45181</v>
      </c>
      <c r="B85" s="1" t="inlineStr">
        <is>
          <t>ORG_1883</t>
        </is>
      </c>
      <c r="C85" s="1" t="b">
        <v>1</v>
      </c>
      <c r="D85" s="1" t="inlineStr">
        <is>
          <t>Lingua Amigos</t>
        </is>
      </c>
      <c r="E85" s="10" t="inlineStr">
        <is>
          <t>https://www.lingua-amigos.com/</t>
        </is>
      </c>
      <c r="F85" t="inlineStr">
        <is>
          <t>lingua-amigos.com</t>
        </is>
      </c>
      <c r="G85" s="1" t="inlineStr">
        <is>
          <t>Learning a language is not only about grammar, it is also about discovering the cuisine, music, traditions and cultural aspects of another country. And of course, about making new friends along the way! This is the philosophy behind Lingua Amigos! 
Lingua Amigos brings together learners and native students, the Amigos, to make language learning and cultural exchanges fun, personalized and flexible, all from your home! While democratizing language learning, Lingua Amigos offers an opportunity to students who are hard hit by poverty to have access to a stable source of income while discovering their language and culture.</t>
        </is>
      </c>
      <c r="H85" s="1" t="inlineStr">
        <is>
          <t>I'm not part of any EdTech association</t>
        </is>
      </c>
      <c r="J85" s="1" t="inlineStr">
        <is>
          <t>REIMS</t>
        </is>
      </c>
      <c r="K85" s="1" t="inlineStr">
        <is>
          <t>France</t>
        </is>
      </c>
      <c r="L85" s="1" t="inlineStr">
        <is>
          <t>France</t>
        </is>
      </c>
      <c r="M85" s="1" t="inlineStr">
        <is>
          <t>0 to 10</t>
        </is>
      </c>
      <c r="N85" s="1" t="inlineStr">
        <is>
          <t>Business to Business, Business to Government, Business to Schools</t>
        </is>
      </c>
      <c r="O85" s="1" t="inlineStr">
        <is>
          <t>Lifelong learning/Adult education</t>
        </is>
      </c>
      <c r="P85" s="1" t="inlineStr">
        <is>
          <t>System/Administrative, Student interfacing</t>
        </is>
      </c>
      <c r="S85" t="inlineStr">
        <is>
          <t>https://drive.google.com/uc?export=view&amp;id=1DTQu3aOiOyH7AJmTEnJu0oJwYJASxIhF</t>
        </is>
      </c>
      <c r="T85" t="inlineStr">
        <is>
          <t>https://drive.google.com/uc?export=view&amp;id=1DTQu3aOiOyH7AJmTEnJu0oJwYJASxIhF</t>
        </is>
      </c>
      <c r="U85" t="inlineStr">
        <is>
          <t>https://drive.google.com/uc?export=view&amp;id=1DTQu3aOiOyH7AJmTEnJu0oJwYJASxIhF</t>
        </is>
      </c>
      <c r="V85" t="inlineStr">
        <is>
          <t>Unverified</t>
        </is>
      </c>
      <c r="Y85" s="10" t="n"/>
      <c r="Z85" s="1" t="n"/>
      <c r="AA85" t="inlineStr">
        <is>
          <t>No</t>
        </is>
      </c>
    </row>
    <row r="86" ht="12.5" customHeight="1">
      <c r="A86" s="6" t="n">
        <v>45181</v>
      </c>
      <c r="B86" s="1" t="inlineStr">
        <is>
          <t>ORG_1905</t>
        </is>
      </c>
      <c r="C86" s="1" t="b">
        <v>1</v>
      </c>
      <c r="D86" s="1" t="inlineStr">
        <is>
          <t>Mainbot</t>
        </is>
      </c>
      <c r="E86" s="10" t="inlineStr">
        <is>
          <t>https://mainbot.me</t>
        </is>
      </c>
      <c r="F86" t="inlineStr">
        <is>
          <t>mainbot.me</t>
        </is>
      </c>
      <c r="G86" s="1" t="inlineStr">
        <is>
          <t>Winky is an edutainment robot for children from 5 to 12 years old. Children learn programming and robotics in a simplified and fun way with Winky and our app, Winky Code.
Combining didactic content and emotional behavior, Winky's design makes him very attractive. Winky can communicate through body language, eye expressions and "emotional" language. Children are able to create their own programs or complete challenges and games, and play them with Winky robot.
Since the end of 2021, a second application, My Winky, is available to play with the robot, and to take advantage of its various sensors through many games.
After having developed Winky, an educational robot for children connected to two edutainment applications, we are currently developing the Winkyverse : Including the metaverse for children, a 3D world kids can explore and discover. It contains endless family-friendly contents created by our team, partners and community members.</t>
        </is>
      </c>
      <c r="H86" s="1" t="inlineStr">
        <is>
          <t>EdTech France</t>
        </is>
      </c>
      <c r="J86" s="1" t="inlineStr">
        <is>
          <t>Paris</t>
        </is>
      </c>
      <c r="K86" s="1" t="inlineStr">
        <is>
          <t>France</t>
        </is>
      </c>
      <c r="L86" s="1" t="inlineStr">
        <is>
          <t>France, Germany, Switzerland, United Kingdom</t>
        </is>
      </c>
      <c r="M86" s="1" t="inlineStr">
        <is>
          <t>11 to 50</t>
        </is>
      </c>
      <c r="N86" s="1" t="inlineStr">
        <is>
          <t>Business to Business, Business to Government, Business to Schools</t>
        </is>
      </c>
      <c r="O86" s="1" t="inlineStr">
        <is>
          <t>Primary Education, Secondary Education, Higher Education</t>
        </is>
      </c>
      <c r="P86" s="1" t="inlineStr">
        <is>
          <t>System/Administrative, Student interfacing</t>
        </is>
      </c>
      <c r="Q86" t="inlineStr">
        <is>
          <t>Winky</t>
        </is>
      </c>
      <c r="R86" s="10" t="inlineStr">
        <is>
          <t>The Winky robot allows children to develop their skills in programming, robotics and other school subjects, all while having fun.</t>
        </is>
      </c>
      <c r="S86" s="10" t="inlineStr">
        <is>
          <t>Winky Code</t>
        </is>
      </c>
      <c r="T86" t="inlineStr">
        <is>
          <t>Children learn to code by completing numerous and varied challenges on the Winky Code application that they can then activate directly on Winky, without having to use the tablet.</t>
        </is>
      </c>
      <c r="U86" s="1" t="inlineStr">
        <is>
          <t>https://drive.google.com/uc?export=view&amp;id=1keCWKxnVgGNmXPPT0-Z45l2YAZFFCPFC</t>
        </is>
      </c>
      <c r="V86" s="1" t="inlineStr">
        <is>
          <t>Unverified</t>
        </is>
      </c>
      <c r="W86" s="1" t="inlineStr">
        <is>
          <t>https://drive.google.com/uc?export=view&amp;id=1keCWKxnVgGNmXPPT0-Z45l2YAZFFCPFC</t>
        </is>
      </c>
      <c r="X86" s="1" t="n"/>
      <c r="Y86" s="10" t="n"/>
      <c r="Z86" s="1" t="n"/>
      <c r="AA86" t="inlineStr">
        <is>
          <t>Yes</t>
        </is>
      </c>
      <c r="AB86" t="inlineStr">
        <is>
          <t>https://twitter.com/mainbotme</t>
        </is>
      </c>
      <c r="AC86" t="inlineStr">
        <is>
          <t>https://twitter.com/mainbotme</t>
        </is>
      </c>
      <c r="AD86" t="inlineStr">
        <is>
          <t>https://www.linkedin.com/company/mainbot/mycompany/</t>
        </is>
      </c>
    </row>
    <row r="87" ht="12.5" customHeight="1">
      <c r="A87" s="6" t="n">
        <v>45181</v>
      </c>
      <c r="B87" s="1" t="inlineStr">
        <is>
          <t>ORG_1953</t>
        </is>
      </c>
      <c r="C87" s="1" t="b">
        <v>1</v>
      </c>
      <c r="D87" s="1" t="inlineStr">
        <is>
          <t>Mentor Goal</t>
        </is>
      </c>
      <c r="E87" s="10" t="inlineStr">
        <is>
          <t>https://mentorgoal.com</t>
        </is>
      </c>
      <c r="F87" t="inlineStr">
        <is>
          <t>mentorgoal.com</t>
        </is>
      </c>
      <c r="G87" s="1" t="inlineStr">
        <is>
          <t>Mentor Goal is a plateform for higher education schools and universities to help them place their students into the workforce.</t>
        </is>
      </c>
      <c r="H87" s="1" t="inlineStr">
        <is>
          <t>EdTech France</t>
        </is>
      </c>
      <c r="J87" s="1" t="inlineStr">
        <is>
          <t>Paris</t>
        </is>
      </c>
      <c r="K87" s="1" t="inlineStr">
        <is>
          <t>France</t>
        </is>
      </c>
      <c r="L87" s="1" t="inlineStr">
        <is>
          <t>France</t>
        </is>
      </c>
      <c r="M87" s="1" t="inlineStr">
        <is>
          <t>0 to 10</t>
        </is>
      </c>
      <c r="N87" s="1" t="inlineStr">
        <is>
          <t>Business to Business, Business to Schools</t>
        </is>
      </c>
      <c r="O87" s="1" t="inlineStr">
        <is>
          <t>Higher Education</t>
        </is>
      </c>
      <c r="P87" s="1" t="inlineStr">
        <is>
          <t>Student interfacing, System/Administrative</t>
        </is>
      </c>
      <c r="S87" t="inlineStr">
        <is>
          <t>https://drive.google.com/uc?export=view&amp;id=16hr25lzjVp1OfT9H3e1fvZfHGo6VFdh1</t>
        </is>
      </c>
      <c r="T87" t="inlineStr">
        <is>
          <t>https://drive.google.com/uc?export=view&amp;id=16hr25lzjVp1OfT9H3e1fvZfHGo6VFdh1</t>
        </is>
      </c>
      <c r="U87" t="inlineStr">
        <is>
          <t>https://drive.google.com/uc?export=view&amp;id=16hr25lzjVp1OfT9H3e1fvZfHGo6VFdh1</t>
        </is>
      </c>
      <c r="V87" t="inlineStr">
        <is>
          <t>Unverified</t>
        </is>
      </c>
      <c r="Y87" s="10" t="n"/>
      <c r="Z87" s="1" t="n"/>
      <c r="AA87" t="inlineStr">
        <is>
          <t>No</t>
        </is>
      </c>
    </row>
    <row r="88" ht="12.5" customHeight="1">
      <c r="A88" s="6" t="n">
        <v>45181</v>
      </c>
      <c r="B88" s="1" t="inlineStr">
        <is>
          <t>ORG_1960</t>
        </is>
      </c>
      <c r="C88" s="1" t="b">
        <v>1</v>
      </c>
      <c r="D88" s="1" t="inlineStr">
        <is>
          <t>MetaED School</t>
        </is>
      </c>
      <c r="E88" s="10" t="inlineStr">
        <is>
          <t>https://www.metaed.school/</t>
        </is>
      </c>
      <c r="F88" t="inlineStr">
        <is>
          <t>metaed.school</t>
        </is>
      </c>
      <c r="G88" s="1" t="inlineStr">
        <is>
          <t>The new generation remote high school (FR/US), with flexible hours, specialist in professional and immersive orientation</t>
        </is>
      </c>
      <c r="H88" s="1" t="inlineStr">
        <is>
          <t>I'm not part of any EdTech association</t>
        </is>
      </c>
      <c r="J88" s="1" t="inlineStr">
        <is>
          <t>Labenne</t>
        </is>
      </c>
      <c r="K88" s="1" t="inlineStr">
        <is>
          <t>France</t>
        </is>
      </c>
      <c r="L88" s="1" t="inlineStr">
        <is>
          <t>France</t>
        </is>
      </c>
      <c r="M88" s="1" t="inlineStr">
        <is>
          <t>0 to 10</t>
        </is>
      </c>
      <c r="N88" s="1" t="inlineStr">
        <is>
          <t>Business to Business, Business to Schools</t>
        </is>
      </c>
      <c r="O88" s="1" t="inlineStr">
        <is>
          <t>Secondary Education</t>
        </is>
      </c>
      <c r="P88" s="1" t="inlineStr">
        <is>
          <t>System/Administrative, Student interfacing</t>
        </is>
      </c>
      <c r="V88" t="inlineStr">
        <is>
          <t>Unverified</t>
        </is>
      </c>
      <c r="Z88" s="1" t="n"/>
      <c r="AA88" t="inlineStr">
        <is>
          <t>No</t>
        </is>
      </c>
    </row>
    <row r="89" ht="12.5" customHeight="1">
      <c r="A89" s="6" t="n">
        <v>45181</v>
      </c>
      <c r="B89" s="1" t="inlineStr">
        <is>
          <t>ORG_2017</t>
        </is>
      </c>
      <c r="C89" s="1" t="b">
        <v>1</v>
      </c>
      <c r="D89" s="1" t="inlineStr">
        <is>
          <t>Naimrod</t>
        </is>
      </c>
      <c r="E89" s="10" t="inlineStr">
        <is>
          <t>naimrod.com</t>
        </is>
      </c>
      <c r="F89" t="inlineStr">
        <is>
          <t>naimrod.com</t>
        </is>
      </c>
      <c r="G89" s="1" t="inlineStr">
        <is>
          <t>Naimrod makes language learning addictive. Our algorithm allows students to replace tiresome manuals and Apps with lessons based on binge-worthy TV series, karaoke songs and comic books. The technology we have developed at Inria, the French Institute for Computer Science, automatically spots content written for native speakers, but that is suited to the level and interests of language learners. We turn this content into bite-sized language lessons which English and Mandarin teachers, and three French universities, are now testing in classrooms across Paris.</t>
        </is>
      </c>
      <c r="H89" s="1" t="inlineStr">
        <is>
          <t>EdTech France</t>
        </is>
      </c>
      <c r="J89" s="1" t="inlineStr">
        <is>
          <t>PARIS</t>
        </is>
      </c>
      <c r="K89" s="1" t="inlineStr">
        <is>
          <t>France</t>
        </is>
      </c>
      <c r="L89" s="1" t="inlineStr">
        <is>
          <t>Belgium, France</t>
        </is>
      </c>
      <c r="M89" s="1" t="inlineStr">
        <is>
          <t>0 to 10</t>
        </is>
      </c>
      <c r="N89" s="1" t="inlineStr">
        <is>
          <t>Business to Consumer</t>
        </is>
      </c>
      <c r="O89" s="1" t="inlineStr">
        <is>
          <t>Secondary Education, Higher Education, Corporate Training, Lifelong learning/Adult education</t>
        </is>
      </c>
      <c r="P89" s="1" t="inlineStr">
        <is>
          <t>Student interfacing, Teacher interfacing, System/Administrative</t>
        </is>
      </c>
      <c r="Q89" t="inlineStr">
        <is>
          <t>English language teaching resources</t>
        </is>
      </c>
      <c r="R89" t="inlineStr">
        <is>
          <t>Naimrod sells teaching resources to English instructors. Our material is based on movies, TED talks, TV series, podcasts and comic strips, and tailored to the level of students.</t>
        </is>
      </c>
      <c r="S89" s="1" t="inlineStr">
        <is>
          <t>Mandarin language teaching resources</t>
        </is>
      </c>
      <c r="T89" t="inlineStr">
        <is>
          <t>Naimrod sells teaching resources to Mandarin instructors. Our material is based on movies, TED talks, TV series, podcasts and comic strips, and tailored to the level of students.</t>
        </is>
      </c>
      <c r="U89" s="1" t="inlineStr">
        <is>
          <t>https://drive.google.com/uc?export=view&amp;id=1EEuu_E6NqhcxsCHD4ELZ1DsZ30jLYS3J</t>
        </is>
      </c>
      <c r="V89" s="1" t="inlineStr">
        <is>
          <t>Unverified</t>
        </is>
      </c>
      <c r="W89" s="1" t="inlineStr">
        <is>
          <t>https://drive.google.com/uc?export=view&amp;id=1EEuu_E6NqhcxsCHD4ELZ1DsZ30jLYS3J</t>
        </is>
      </c>
      <c r="X89" s="1" t="n"/>
      <c r="Y89" s="10" t="n"/>
      <c r="Z89" s="1" t="n"/>
      <c r="AA89" t="inlineStr">
        <is>
          <t>Yes</t>
        </is>
      </c>
      <c r="AD89" t="inlineStr">
        <is>
          <t>https:www.linkedin.com/company/69396888/admin/</t>
        </is>
      </c>
    </row>
    <row r="90" ht="12.5" customHeight="1">
      <c r="A90" s="6" t="n">
        <v>45181</v>
      </c>
      <c r="B90" s="1" t="inlineStr">
        <is>
          <t>ORG_2045</t>
        </is>
      </c>
      <c r="C90" s="1" t="b">
        <v>1</v>
      </c>
      <c r="D90" s="1" t="inlineStr">
        <is>
          <t>Novatice Technologies</t>
        </is>
      </c>
      <c r="E90" s="10" t="inlineStr">
        <is>
          <t>https://www.novatice.com/</t>
        </is>
      </c>
      <c r="F90" t="inlineStr">
        <is>
          <t>novatice.com</t>
        </is>
      </c>
      <c r="G90" s="1" t="inlineStr">
        <is>
          <t>Forerunner in the field of IT asset management for more than 18 years, Novatice supervises all digital devices and software modules, and aggregates all their data in order to offer innovative uses for the city and education of tomorrow. Today, Novatice has 3 million users in 5 countries and 3 patents registered.</t>
        </is>
      </c>
      <c r="H90" s="1" t="inlineStr">
        <is>
          <t>EdTech France</t>
        </is>
      </c>
      <c r="J90" s="1" t="inlineStr">
        <is>
          <t>BOIS-GUILLAUME</t>
        </is>
      </c>
      <c r="K90" s="1" t="inlineStr">
        <is>
          <t>France</t>
        </is>
      </c>
      <c r="L90" s="1" t="inlineStr">
        <is>
          <t>Belgium, France</t>
        </is>
      </c>
      <c r="M90" s="1" t="inlineStr">
        <is>
          <t>11 to 50</t>
        </is>
      </c>
      <c r="N90" s="1" t="inlineStr">
        <is>
          <t>Business to Consumer</t>
        </is>
      </c>
      <c r="O90" s="1" t="inlineStr">
        <is>
          <t>Early childhood development (0-5 years), Primary Education, Secondary Education, Higher Education</t>
        </is>
      </c>
      <c r="P90" s="1" t="inlineStr">
        <is>
          <t>Student interfacing, Teacher interfacing, System/Administrative</t>
        </is>
      </c>
      <c r="Q90" t="inlineStr">
        <is>
          <t>Novatice Solutions</t>
        </is>
      </c>
      <c r="R90" s="10" t="inlineStr">
        <is>
          <t>The Novatice platform makes it possible to make connected devices interoperable and to pool their data in order to develop new innovative services for education, health and safety within communities.</t>
        </is>
      </c>
      <c r="S90" s="10" t="inlineStr">
        <is>
          <t>https://drive.google.com/uc?export=view&amp;id=17CDnpDVWJVNkjXPjxCeYixjOHlaHb61f</t>
        </is>
      </c>
      <c r="T90" t="inlineStr">
        <is>
          <t>https://drive.google.com/uc?export=view&amp;id=17CDnpDVWJVNkjXPjxCeYixjOHlaHb61f</t>
        </is>
      </c>
      <c r="U90" s="1" t="inlineStr">
        <is>
          <t>https://drive.google.com/uc?export=view&amp;id=17CDnpDVWJVNkjXPjxCeYixjOHlaHb61f</t>
        </is>
      </c>
      <c r="V90" s="1" t="inlineStr">
        <is>
          <t>Unverified</t>
        </is>
      </c>
      <c r="Y90" s="10" t="n"/>
      <c r="Z90" s="1" t="n"/>
      <c r="AA90" t="inlineStr">
        <is>
          <t>Yes</t>
        </is>
      </c>
      <c r="AB90" t="inlineStr">
        <is>
          <t>https://twitter.com/NovaticeTech</t>
        </is>
      </c>
      <c r="AC90" t="inlineStr">
        <is>
          <t>https://twitter.com/NovaticeTech</t>
        </is>
      </c>
      <c r="AD90" t="inlineStr">
        <is>
          <t>https://www.linkedin.com/company/novatice/</t>
        </is>
      </c>
    </row>
    <row r="91" ht="12.5" customHeight="1">
      <c r="A91" s="6" t="n">
        <v>45181</v>
      </c>
      <c r="B91" s="1" t="inlineStr">
        <is>
          <t>ORG_2059</t>
        </is>
      </c>
      <c r="C91" s="1" t="b">
        <v>1</v>
      </c>
      <c r="D91" s="1" t="inlineStr">
        <is>
          <t>Oktonine</t>
        </is>
      </c>
      <c r="E91" s="10" t="inlineStr">
        <is>
          <t>www.oktonine.com</t>
        </is>
      </c>
      <c r="F91" t="inlineStr">
        <is>
          <t>oktonine.com</t>
        </is>
      </c>
      <c r="G91" s="1" t="inlineStr">
        <is>
          <t>Oktonine is a platform that supports higher education institutions in deploying large-scale and sustainable project-based learning experiences. It helps teachers in defining their pedagogical projects or using ready-to-use ones, provided by companies, or designed by their peers. Oktonine enables time-saving, teachers' skills evolution, a better learners' engagement, and better preparation of learners, to tackle the 21st-century companies and society challenges.
In addition, Oktonine is designed around a competency-based assessment approach, it allows a better identification and assessment of the acquired competencies within project-based learning experiences</t>
        </is>
      </c>
      <c r="H91" s="1" t="inlineStr">
        <is>
          <t>EdTech France</t>
        </is>
      </c>
      <c r="J91" s="1" t="inlineStr">
        <is>
          <t>BOULOGNE-BILLANCOURT</t>
        </is>
      </c>
      <c r="K91" s="1" t="inlineStr">
        <is>
          <t>France</t>
        </is>
      </c>
      <c r="L91" s="1" t="inlineStr">
        <is>
          <t>France, Spain</t>
        </is>
      </c>
      <c r="M91" s="1" t="inlineStr">
        <is>
          <t>0 to 10</t>
        </is>
      </c>
      <c r="N91" s="1" t="inlineStr">
        <is>
          <t>Business to Consumer, Business to Government</t>
        </is>
      </c>
      <c r="O91" s="1" t="inlineStr">
        <is>
          <t>Higher Education, Corporate Training</t>
        </is>
      </c>
      <c r="P91" s="1" t="inlineStr">
        <is>
          <t>Teacher interfacing, System/Administrative</t>
        </is>
      </c>
      <c r="Q91" t="inlineStr">
        <is>
          <t>Oktonine</t>
        </is>
      </c>
      <c r="R91" t="inlineStr">
        <is>
          <t>Oktonine is a project-based learning platform. It helps teachers in defining their pedagogical projects or using ready-to-use ones, provided by companies, or designed by their peers. Oktonine enables time-saving, teachers' skills evolution, a better learners' engagement, and better preparation of learners, to tackle the 21st-century companies and society challenges.</t>
        </is>
      </c>
      <c r="S91" s="10" t="inlineStr">
        <is>
          <t>https://drive.google.com/uc?export=view&amp;id=1S_WdB3w1Yg5rnjw4irIFDSGEqxosxuMU</t>
        </is>
      </c>
      <c r="T91" t="inlineStr">
        <is>
          <t>https://drive.google.com/uc?export=view&amp;id=1S_WdB3w1Yg5rnjw4irIFDSGEqxosxuMU</t>
        </is>
      </c>
      <c r="U91" s="1" t="inlineStr">
        <is>
          <t>https://drive.google.com/uc?export=view&amp;id=1S_WdB3w1Yg5rnjw4irIFDSGEqxosxuMU</t>
        </is>
      </c>
      <c r="V91" s="1" t="inlineStr">
        <is>
          <t>Unverified</t>
        </is>
      </c>
      <c r="Y91" s="10" t="n"/>
      <c r="Z91" s="1" t="n"/>
      <c r="AA91" t="inlineStr">
        <is>
          <t>Yes</t>
        </is>
      </c>
      <c r="AC91" t="inlineStr">
        <is>
          <t>https://www.linkedin.com/company/oktonine</t>
        </is>
      </c>
      <c r="AD91" t="inlineStr">
        <is>
          <t>https://www.linkedin.com/company/oktonine</t>
        </is>
      </c>
    </row>
    <row r="92" ht="12.5" customHeight="1">
      <c r="A92" s="6" t="n">
        <v>45181</v>
      </c>
      <c r="B92" s="1" t="inlineStr">
        <is>
          <t>ORG_2107</t>
        </is>
      </c>
      <c r="C92" s="1" t="b">
        <v>1</v>
      </c>
      <c r="D92" s="1" t="inlineStr">
        <is>
          <t>PLACE TO LEARN</t>
        </is>
      </c>
      <c r="E92" s="10" t="inlineStr">
        <is>
          <t>www.placetolearn.fr</t>
        </is>
      </c>
      <c r="F92" t="inlineStr">
        <is>
          <t>placetolearn.fr</t>
        </is>
      </c>
      <c r="G92" s="1" t="inlineStr">
        <is>
          <t>Place to Learn deploys bespoke training programs, face-to-face, blended or remote, in the fields of real estate and wealth management, management, communication and marketing to “enable each company to build the best version of herself”. We consider that consistency is a major lever in the performance of the company. This leads us to build approaches that support the rise of employees skills while maintaining the company's DNA. Our digital courses are offered on our Open Source solution, LearnDash, customizable, or with our client's LMS. They offer original training contents, designed by our team of business experts, our Multimedia Educational Engineer and our Video and Motion Design Studio.</t>
        </is>
      </c>
      <c r="H92" s="1" t="inlineStr">
        <is>
          <t>I'm not part of any EdTech association</t>
        </is>
      </c>
      <c r="J92" s="1" t="inlineStr">
        <is>
          <t>Lyon</t>
        </is>
      </c>
      <c r="K92" s="1" t="inlineStr">
        <is>
          <t>France</t>
        </is>
      </c>
      <c r="L92" s="1" t="inlineStr">
        <is>
          <t>France</t>
        </is>
      </c>
      <c r="M92" s="1" t="inlineStr">
        <is>
          <t>0 to 10</t>
        </is>
      </c>
      <c r="N92" s="1" t="inlineStr">
        <is>
          <t>Business to Consumer, Business to Government</t>
        </is>
      </c>
      <c r="O92" s="1" t="inlineStr">
        <is>
          <t>Corporate Training, Lifelong learning/Adult education</t>
        </is>
      </c>
      <c r="P92" s="1" t="inlineStr">
        <is>
          <t>System/Administrative</t>
        </is>
      </c>
      <c r="S92" t="inlineStr">
        <is>
          <t>https://drive.google.com/uc?export=view&amp;id=1mZzi_c5NfU_h2tdxi6AVtiKwTnfy_l3_</t>
        </is>
      </c>
      <c r="T92" t="inlineStr">
        <is>
          <t>https://drive.google.com/uc?export=view&amp;id=1mZzi_c5NfU_h2tdxi6AVtiKwTnfy_l3_</t>
        </is>
      </c>
      <c r="U92" t="inlineStr">
        <is>
          <t>https://drive.google.com/uc?export=view&amp;id=1mZzi_c5NfU_h2tdxi6AVtiKwTnfy_l3_</t>
        </is>
      </c>
      <c r="V92" t="inlineStr">
        <is>
          <t>Unverified</t>
        </is>
      </c>
      <c r="Y92" s="10" t="n"/>
      <c r="Z92" s="1" t="n"/>
      <c r="AA92" t="inlineStr">
        <is>
          <t>No</t>
        </is>
      </c>
    </row>
    <row r="93" ht="12.5" customHeight="1">
      <c r="A93" s="6" t="n">
        <v>45181</v>
      </c>
      <c r="B93" s="1" t="inlineStr">
        <is>
          <t>ORG_2151</t>
        </is>
      </c>
      <c r="C93" s="1" t="b">
        <v>1</v>
      </c>
      <c r="D93" s="1" t="inlineStr">
        <is>
          <t>QWAMPUS (rebranding still in process)</t>
        </is>
      </c>
      <c r="E93" s="10" t="inlineStr">
        <is>
          <t>Www.fullstreet.co</t>
        </is>
      </c>
      <c r="F93" t="inlineStr">
        <is>
          <t>fullstreet.co</t>
        </is>
      </c>
      <c r="G93" s="1" t="inlineStr">
        <is>
          <t>Our software enable any entrepreneurship educational support program to deploy their own online incubator in a few days. 
- an entrepreneurial digital path,
- an e-learning dedicated platform,
- and a professional services marketplace
are embedded within the solution.
As a global tool, it helps entrepreneurs win visibility, time and money.</t>
        </is>
      </c>
      <c r="H93" s="1" t="inlineStr">
        <is>
          <t>EdTech France</t>
        </is>
      </c>
      <c r="J93" s="1" t="inlineStr">
        <is>
          <t>MEAUX</t>
        </is>
      </c>
      <c r="K93" s="1" t="inlineStr">
        <is>
          <t>France</t>
        </is>
      </c>
      <c r="L93" s="1" t="inlineStr">
        <is>
          <t>France</t>
        </is>
      </c>
      <c r="M93" s="1" t="inlineStr">
        <is>
          <t>0 to 10</t>
        </is>
      </c>
      <c r="N93" s="1" t="inlineStr">
        <is>
          <t>Business to Consumer, Business to Schools</t>
        </is>
      </c>
      <c r="O93" s="1" t="inlineStr">
        <is>
          <t>Higher Education, Lifelong learning/Adult education</t>
        </is>
      </c>
      <c r="P93" s="1" t="inlineStr">
        <is>
          <t>Teacher interfacing, System/Administrative</t>
        </is>
      </c>
      <c r="Q93" t="inlineStr">
        <is>
          <t>QWAMPUS</t>
        </is>
      </c>
      <c r="R93" t="inlineStr">
        <is>
          <t>Our software enable any entrepreneurship educational support program to deploy their own online incubator in a few days.
- an entrepreneurial digital path,
- an e-learning plateform,
- a professional services marketplace
Are embedded within the solution.
As a global tool, it helps students entrepreneurs gain visibility, time and money.</t>
        </is>
      </c>
      <c r="S93" s="10" t="inlineStr">
        <is>
          <t>https://drive.google.com/uc?export=view&amp;id=1FrJe0rEBZ3Fcou02KCujv-DNlgjTUfC4</t>
        </is>
      </c>
      <c r="T93" t="inlineStr">
        <is>
          <t>https://drive.google.com/uc?export=view&amp;id=1FrJe0rEBZ3Fcou02KCujv-DNlgjTUfC4</t>
        </is>
      </c>
      <c r="U93" s="1" t="inlineStr">
        <is>
          <t>https://drive.google.com/uc?export=view&amp;id=1FrJe0rEBZ3Fcou02KCujv-DNlgjTUfC4</t>
        </is>
      </c>
      <c r="V93" s="1" t="inlineStr">
        <is>
          <t>Unverified</t>
        </is>
      </c>
      <c r="Y93" s="10" t="n"/>
      <c r="Z93" s="1" t="n"/>
      <c r="AA93" t="inlineStr">
        <is>
          <t>Yes</t>
        </is>
      </c>
      <c r="AC93" t="inlineStr">
        <is>
          <t>https://www.linkedin.com/company/fullstreet</t>
        </is>
      </c>
      <c r="AD93" t="inlineStr">
        <is>
          <t>https://www.linkedin.com/company/fullstreet</t>
        </is>
      </c>
    </row>
    <row r="94" ht="12.5" customHeight="1">
      <c r="A94" s="6" t="n">
        <v>45181</v>
      </c>
      <c r="B94" s="1" t="inlineStr">
        <is>
          <t>ORG_2318</t>
        </is>
      </c>
      <c r="C94" s="1" t="b">
        <v>1</v>
      </c>
      <c r="D94" s="1" t="inlineStr">
        <is>
          <t>Startlab Education</t>
        </is>
      </c>
      <c r="E94" s="10" t="inlineStr">
        <is>
          <t>https://www.startlab-education.com/en</t>
        </is>
      </c>
      <c r="F94" t="inlineStr">
        <is>
          <t>startlab-education.com/en</t>
        </is>
      </c>
      <c r="G94" s="1" t="inlineStr">
        <is>
          <t>Fastlane Education imagines and designs innovative digital learning solutions to develop 21st century skills for 15 - 25 year old.
Startlab is our first e-learning program. Its objective is to teach entrepreneurship and develop 21st century skills by proposing an immersive learning experience, easy to implement in any education or training environment : university, vocational training centres, high schools.</t>
        </is>
      </c>
      <c r="H94" s="1" t="inlineStr">
        <is>
          <t>EdTech France</t>
        </is>
      </c>
      <c r="J94" s="1" t="inlineStr">
        <is>
          <t>Paris</t>
        </is>
      </c>
      <c r="K94" s="1" t="inlineStr">
        <is>
          <t>France</t>
        </is>
      </c>
      <c r="L94" s="1" t="inlineStr">
        <is>
          <t>Belgium, France, Italy, Luxembourg</t>
        </is>
      </c>
      <c r="M94" s="1" t="inlineStr">
        <is>
          <t>0 to 10</t>
        </is>
      </c>
      <c r="N94" s="1" t="inlineStr">
        <is>
          <t>Business to Consumer, Business to Schools</t>
        </is>
      </c>
      <c r="O94" s="1" t="inlineStr">
        <is>
          <t>Secondary Education, Higher Education</t>
        </is>
      </c>
      <c r="P94" s="1" t="inlineStr">
        <is>
          <t>Student interfacing, Teacher interfacing</t>
        </is>
      </c>
      <c r="Q94" t="inlineStr">
        <is>
          <t>Startlab</t>
        </is>
      </c>
      <c r="R94" t="inlineStr">
        <is>
          <t>Startlab is the leading program to teach entrepreneurship and develop 21st century skills.
Suited for age 15 - 25, it offers an immersive learning experience easy to implement in any education or training system : university, vocational training, high schools.
It includes a full set of resources (gamified app, webseries, teaching material) and a certificate from Sorbonne Entrepreneur Paris to prepare students for future of work.</t>
        </is>
      </c>
      <c r="S94" s="10" t="inlineStr">
        <is>
          <t>https://drive.google.com/uc?export=view&amp;id=1miKp0nzXbN-SMhjJKyfAqB215r20D14v</t>
        </is>
      </c>
      <c r="T94" t="inlineStr">
        <is>
          <t>https://drive.google.com/uc?export=view&amp;id=1miKp0nzXbN-SMhjJKyfAqB215r20D14v</t>
        </is>
      </c>
      <c r="U94" s="1" t="inlineStr">
        <is>
          <t>https://drive.google.com/uc?export=view&amp;id=1miKp0nzXbN-SMhjJKyfAqB215r20D14v</t>
        </is>
      </c>
      <c r="V94" s="1" t="inlineStr">
        <is>
          <t>Unverified</t>
        </is>
      </c>
      <c r="Y94" s="10" t="n"/>
      <c r="Z94" s="1" t="n"/>
      <c r="AA94" t="inlineStr">
        <is>
          <t>Yes</t>
        </is>
      </c>
      <c r="AC94" t="inlineStr">
        <is>
          <t>https://www.linkedin.com/company/fastlane-education/?viewAsMember=true</t>
        </is>
      </c>
      <c r="AD94" t="inlineStr">
        <is>
          <t>https://www.linkedin.com/company/fastlane-education/?viewAsMember=true</t>
        </is>
      </c>
    </row>
    <row r="95" ht="12.5" customHeight="1">
      <c r="A95" s="6" t="n">
        <v>45190</v>
      </c>
      <c r="B95" s="1" t="inlineStr">
        <is>
          <t>ORG_2217</t>
        </is>
      </c>
      <c r="C95" s="1" t="b">
        <v>1</v>
      </c>
      <c r="D95" s="1" t="inlineStr">
        <is>
          <t>SCIADO PARTENAIRES</t>
        </is>
      </c>
      <c r="E95" s="10" t="inlineStr">
        <is>
          <t>https://sciado.fr/dynamic-learning-solutions/</t>
        </is>
      </c>
      <c r="F95" t="inlineStr">
        <is>
          <t>sciado.fr/dynamic-learning-solutions</t>
        </is>
      </c>
      <c r="G95" s="1" t="inlineStr">
        <is>
          <t>SCIADO is a French training company and a creator of innovative educational simulators. We promote digital learning for initial education and life-learning training, face-to-face or remotely. Our main objective is to participate in the digital transformation of the educational system by challenging and engaging learners during their training. We promote experiential learning by encouraging the application of knowledge. Thus, our simulators reproduce the system of a company, so that learners may develop professional instincts. They will acquire a realistic vision of the working world, all in a secure and virtual environment.
The advantages of using a simulator are many: it can be adapted to the rhythm and level of learners; it has many scenarios and possibilities of animation and allows a progressive evolution while gaining managerial and entrepreneurial skills. More than a training center, SCIADO is a creator of educational experiences, that aims to revolution the way of learning.</t>
        </is>
      </c>
      <c r="H95" s="1" t="inlineStr">
        <is>
          <t>EdTech France</t>
        </is>
      </c>
      <c r="I95" s="1" t="inlineStr">
        <is>
          <t>English, French</t>
        </is>
      </c>
      <c r="J95" s="1" t="inlineStr">
        <is>
          <t>Villeurbanne</t>
        </is>
      </c>
      <c r="K95" s="1" t="inlineStr">
        <is>
          <t>France</t>
        </is>
      </c>
      <c r="L95" s="1" t="inlineStr">
        <is>
          <t>France</t>
        </is>
      </c>
      <c r="M95" s="1" t="inlineStr">
        <is>
          <t>11 to 50</t>
        </is>
      </c>
      <c r="N95" s="1" t="inlineStr">
        <is>
          <t>Business to Consumer</t>
        </is>
      </c>
      <c r="O95" s="1" t="inlineStr">
        <is>
          <t>Corporate Training, Lifelong learning/Adult education, Vocational Education and Training (VET), Higher Education</t>
        </is>
      </c>
      <c r="P95" s="1" t="inlineStr">
        <is>
          <t>Student interfacing, Teacher interfacing, System/Administrative</t>
        </is>
      </c>
      <c r="Q95" s="10" t="inlineStr">
        <is>
          <t>Business Games &amp; Simulators</t>
        </is>
      </c>
      <c r="R95" s="10" t="inlineStr">
        <is>
          <t>We develop pedagogical simulators that virtually place learners in a fictive company, where they occupy a central position (such as project manager, marketing manager etc.). Their objective is to grow their business through decision making and hiring, all while analyzing KPIs and market developments. The simulator, also known as a Business Game or Serious Game, allows them to put into practice their knowledge and gain managerial skills in a secure and virtual environment.</t>
        </is>
      </c>
      <c r="S95" s="10" t="inlineStr">
        <is>
          <t>Educational Engineering</t>
        </is>
      </c>
      <c r="T95" t="inlineStr">
        <is>
          <t>Our experts build simulators, scenarios and pedagogical supports (presentations, videos, podcast) and adapt the learning path. Thus, depending on the learners' levels and needs, we are able to have a tailor-made approach. Our expertise can go further, so we can create new simulators that represent business situations in order to have a personalized training offer. We combine educational quality and learner engagement to develop the new generation of tomorrow's professionals.</t>
        </is>
      </c>
      <c r="U95" s="1" t="inlineStr">
        <is>
          <t>https://drive.google.com/uc?export=view&amp;id=1Sb0BOCYGyjexIsrhcug4FVFrNFZEH6dH</t>
        </is>
      </c>
      <c r="V95" s="1" t="inlineStr">
        <is>
          <t>Unverified</t>
        </is>
      </c>
      <c r="W95" s="1" t="inlineStr">
        <is>
          <t>https://drive.google.com/uc?export=view&amp;id=1Sb0BOCYGyjexIsrhcug4FVFrNFZEH6dH</t>
        </is>
      </c>
      <c r="X95" s="1" t="n"/>
      <c r="Y95" s="10" t="n"/>
      <c r="Z95" s="1" t="n"/>
      <c r="AA95" t="inlineStr">
        <is>
          <t>Yes</t>
        </is>
      </c>
      <c r="AB95" t="inlineStr">
        <is>
          <t>https://www.instagram.com/sciadop/</t>
        </is>
      </c>
      <c r="AC95" t="inlineStr">
        <is>
          <t>https://twitter.com/SciadoP</t>
        </is>
      </c>
      <c r="AD95" t="inlineStr">
        <is>
          <t>https://www.linkedin.com/company/22344441/admin/</t>
        </is>
      </c>
    </row>
    <row r="96" ht="12.5" customHeight="1">
      <c r="A96" s="6" t="n">
        <v>45181</v>
      </c>
      <c r="B96" s="1" t="inlineStr">
        <is>
          <t>ORG_1014</t>
        </is>
      </c>
      <c r="C96" s="1" t="b">
        <v>1</v>
      </c>
      <c r="D96" s="1" t="inlineStr">
        <is>
          <t>4INDATA</t>
        </is>
      </c>
      <c r="E96" s="10" t="inlineStr">
        <is>
          <t>https://4indata.com/fr/</t>
        </is>
      </c>
      <c r="F96" t="inlineStr">
        <is>
          <t>4indata.com/fr</t>
        </is>
      </c>
      <c r="G96" s="1" t="inlineStr">
        <is>
          <t>4INDATA is a Paris-based French tech startup. We have developed an application called 4INSHIELD, to protect children and teenagers against violence in cyberspace and to educate them about Internet safety. Our goal is to automate the detection of diverse cyber-risks, including online sexual abuse, hate speech, and harassment, in real-time to alert parents, teachers, and educators about harmful or illegal online content that young people are exposed to at home and at school.</t>
        </is>
      </c>
      <c r="H96" s="1" t="inlineStr">
        <is>
          <t>I'm not part of any EdTech association</t>
        </is>
      </c>
      <c r="J96" s="1" t="inlineStr">
        <is>
          <t>Fontenay-sous-Bois</t>
        </is>
      </c>
      <c r="K96" s="1" t="inlineStr">
        <is>
          <t>France</t>
        </is>
      </c>
      <c r="L96" s="1" t="inlineStr">
        <is>
          <t>France</t>
        </is>
      </c>
      <c r="M96" s="1" t="inlineStr">
        <is>
          <t>0 to 10</t>
        </is>
      </c>
      <c r="N96" s="1" t="inlineStr">
        <is>
          <t>Business to Business</t>
        </is>
      </c>
      <c r="O96" s="1" t="inlineStr">
        <is>
          <t>Secondary Education, Corporate Training, Lifelong learning/Adult education</t>
        </is>
      </c>
      <c r="P96" s="1" t="inlineStr">
        <is>
          <t>System/Administrative, Student interfacing</t>
        </is>
      </c>
      <c r="S96" t="inlineStr">
        <is>
          <t>https://drive.google.com/uc?export=view&amp;id=18O4BIdudHf_Cn21RGpL2QCN0tybnoJ19</t>
        </is>
      </c>
      <c r="T96" t="inlineStr">
        <is>
          <t>https://drive.google.com/uc?export=view&amp;id=18O4BIdudHf_Cn21RGpL2QCN0tybnoJ19</t>
        </is>
      </c>
      <c r="U96" t="inlineStr">
        <is>
          <t>https://drive.google.com/uc?export=view&amp;id=18O4BIdudHf_Cn21RGpL2QCN0tybnoJ19</t>
        </is>
      </c>
      <c r="V96" t="inlineStr">
        <is>
          <t>Unverified</t>
        </is>
      </c>
      <c r="Y96" s="10" t="n"/>
      <c r="Z96" s="1" t="n"/>
      <c r="AA96" t="inlineStr">
        <is>
          <t>No</t>
        </is>
      </c>
    </row>
    <row r="97" ht="12.5" customHeight="1">
      <c r="A97" s="6" t="n">
        <v>45181</v>
      </c>
      <c r="B97" s="1" t="inlineStr">
        <is>
          <t>ORG_1037</t>
        </is>
      </c>
      <c r="C97" s="1" t="b">
        <v>1</v>
      </c>
      <c r="D97" s="1" t="inlineStr">
        <is>
          <t>Adesoft</t>
        </is>
      </c>
      <c r="E97" s="10" t="inlineStr">
        <is>
          <t>https://www.adesoft.com/</t>
        </is>
      </c>
      <c r="F97" t="inlineStr">
        <is>
          <t>adesoft.com</t>
        </is>
      </c>
      <c r="G97" s="1" t="inlineStr">
        <is>
          <t>Adesoft publishes constraint-based and resource management software solutions, that plan, simulate and schedule:  
- Initial and professional training  
- Timetables  
Our solutions meet the needs of high constraint-based mass and/or one-off scheduling.  
Especially relevant and adapted when critical resources are involved, volumes are high, or when there are multiple constraints, our solutions meet scheduling, control, and skill monitoring requirements.   
Over the past 20 years, Adesoft has switched from being a challenger in the French higher education sector to become the European leader in constraint-based training course scheduling.  
This change was brought about by our constant innovation, our attentiveness to our customers’ needs and a unique technology on the market.   
Adesoft’s activity has also diversified, currently covering higher education - our historic target - but also defence players, training organisations and major accounts.  
The company currently has over 110 clients of different types in various countries.</t>
        </is>
      </c>
      <c r="H97" s="1" t="inlineStr">
        <is>
          <t>I'm not part of any EdTech association</t>
        </is>
      </c>
      <c r="J97" s="1" t="inlineStr">
        <is>
          <t>PARIS</t>
        </is>
      </c>
      <c r="K97" s="1" t="inlineStr">
        <is>
          <t>France</t>
        </is>
      </c>
      <c r="L97" s="1" t="inlineStr">
        <is>
          <t>Belgium, France, Italy, United Kingdom</t>
        </is>
      </c>
      <c r="M97" s="1" t="inlineStr">
        <is>
          <t>11 to 50</t>
        </is>
      </c>
      <c r="N97" s="1" t="inlineStr">
        <is>
          <t>Business to Business</t>
        </is>
      </c>
      <c r="O97" s="1" t="inlineStr">
        <is>
          <t>Higher Education, Corporate Training, Lifelong learning/Adult education</t>
        </is>
      </c>
      <c r="P97" s="1" t="inlineStr">
        <is>
          <t>System/Administrative</t>
        </is>
      </c>
      <c r="S97" t="inlineStr">
        <is>
          <t>https://drive.google.com/uc?export=view&amp;id=1gaVu2ZEZXYGgifd5GZs62QAhpX-Q-Dny</t>
        </is>
      </c>
      <c r="T97" t="inlineStr">
        <is>
          <t>https://drive.google.com/uc?export=view&amp;id=1gaVu2ZEZXYGgifd5GZs62QAhpX-Q-Dny</t>
        </is>
      </c>
      <c r="U97" t="inlineStr">
        <is>
          <t>https://drive.google.com/uc?export=view&amp;id=1gaVu2ZEZXYGgifd5GZs62QAhpX-Q-Dny</t>
        </is>
      </c>
      <c r="V97" t="inlineStr">
        <is>
          <t>Unverified</t>
        </is>
      </c>
      <c r="Y97" s="10" t="n"/>
      <c r="Z97" s="1" t="n"/>
      <c r="AA97" t="inlineStr">
        <is>
          <t>No</t>
        </is>
      </c>
    </row>
    <row r="98" ht="12.5" customHeight="1">
      <c r="A98" s="6" t="n">
        <v>45181</v>
      </c>
      <c r="B98" s="1" t="inlineStr">
        <is>
          <t>ORG_1121</t>
        </is>
      </c>
      <c r="C98" s="1" t="b">
        <v>1</v>
      </c>
      <c r="D98" s="1" t="inlineStr">
        <is>
          <t>Au Pair BUTRFLY</t>
        </is>
      </c>
      <c r="E98" s="10" t="inlineStr">
        <is>
          <t>https://www.aupairbutrfly.com/</t>
        </is>
      </c>
      <c r="F98" t="inlineStr">
        <is>
          <t>aupairbutrfly.com</t>
        </is>
      </c>
      <c r="G98" s="1" t="inlineStr">
        <is>
          <t>ButrFly connects au pairs and families in Europe 🇪🇺, Canada 🇨🇦 and Mexico 🇲🇽.
ButrFly supports parents in their work-life balance.
ButrFly accompanies ambitious young people in their life plans.</t>
        </is>
      </c>
      <c r="H98" s="1" t="inlineStr">
        <is>
          <t>EdTech France</t>
        </is>
      </c>
      <c r="J98" s="1" t="inlineStr">
        <is>
          <t>BIARRITZ</t>
        </is>
      </c>
      <c r="K98" s="1" t="inlineStr">
        <is>
          <t>France</t>
        </is>
      </c>
      <c r="L98" s="1" t="inlineStr">
        <is>
          <t>France</t>
        </is>
      </c>
      <c r="M98" s="1" t="inlineStr">
        <is>
          <t>0 to 10</t>
        </is>
      </c>
      <c r="N98" s="1" t="inlineStr">
        <is>
          <t>Business to Business, Business to Consumer</t>
        </is>
      </c>
      <c r="O98" s="1" t="inlineStr">
        <is>
          <t>Higher Education, Lifelong learning/Adult education</t>
        </is>
      </c>
      <c r="P98" s="1" t="inlineStr">
        <is>
          <t>System/Administrative, Student interfacing</t>
        </is>
      </c>
      <c r="Q98" s="1" t="inlineStr">
        <is>
          <t>Au Pair BUTRFLY</t>
        </is>
      </c>
      <c r="R98" s="1" t="inlineStr">
        <is>
          <t>ButrFly connects au pairs and families in Europe 🇪🇺, Canada 🇨🇦 and Mexico 🇲🇽.
ButrFly supports parents in their work-life balance.
ButrFly accompanies bold young people in their life plans.</t>
        </is>
      </c>
      <c r="S98" s="1" t="inlineStr">
        <is>
          <t>Life coaching BUTRFLY</t>
        </is>
      </c>
      <c r="T98" t="inlineStr">
        <is>
          <t>ButrFly accompanies bold young people in their life plans.</t>
        </is>
      </c>
      <c r="U98" s="1" t="inlineStr">
        <is>
          <t>https://drive.google.com/uc?export=view&amp;id=1fl6_hsnV2PD138NPaNgJByG-KFZ1msWS</t>
        </is>
      </c>
      <c r="V98" s="1" t="inlineStr">
        <is>
          <t>Unverified</t>
        </is>
      </c>
      <c r="W98" s="1" t="inlineStr">
        <is>
          <t>https://drive.google.com/uc?export=view&amp;id=1fl6_hsnV2PD138NPaNgJByG-KFZ1msWS</t>
        </is>
      </c>
      <c r="X98" s="1" t="n"/>
      <c r="Y98" s="10" t="n"/>
      <c r="Z98" s="1" t="n"/>
      <c r="AA98" t="inlineStr">
        <is>
          <t>Yes</t>
        </is>
      </c>
      <c r="AB98" t="inlineStr">
        <is>
          <t>BUTRFLY</t>
        </is>
      </c>
      <c r="AC98" t="inlineStr">
        <is>
          <t>BUTRFLY</t>
        </is>
      </c>
      <c r="AD98" t="inlineStr">
        <is>
          <t>BUTRFLY</t>
        </is>
      </c>
    </row>
    <row r="99" ht="12.5" customHeight="1">
      <c r="A99" s="6" t="n">
        <v>45181</v>
      </c>
      <c r="B99" s="1" t="inlineStr">
        <is>
          <t>ORG_1430</t>
        </is>
      </c>
      <c r="C99" s="1" t="b">
        <v>1</v>
      </c>
      <c r="D99" s="1" t="inlineStr">
        <is>
          <t>Education Digitale</t>
        </is>
      </c>
      <c r="E99" s="10" t="inlineStr">
        <is>
          <t>https://www.educationdigitale.com/</t>
        </is>
      </c>
      <c r="F99" t="inlineStr">
        <is>
          <t>educationdigitale.com</t>
        </is>
      </c>
      <c r="G99" s="1" t="inlineStr">
        <is>
          <t>Éducation Digitale is a content production, training, and consulting company aiming to transform learning experiences. 
Our ambition is to democratize the uses of digital technologies to make them understandable and accessible to everyone.
We support our customers through their digital transformation, their professional development, and the adoption of new digital practices.
We respond to the need for innovation while integrating the challenges of a constantly changing society: digital gaps, accelerated business transformation, gender equity, better inclusion, development of 21st-century skills...
We believe in reasoned and responsible digital technology, source of benefits and new opportunities for everyone, and able to help each citizen in his daily life.</t>
        </is>
      </c>
      <c r="H99" s="1" t="inlineStr">
        <is>
          <t>EdTech France</t>
        </is>
      </c>
      <c r="J99" s="1" t="inlineStr">
        <is>
          <t>PARIS</t>
        </is>
      </c>
      <c r="K99" s="1" t="inlineStr">
        <is>
          <t>France</t>
        </is>
      </c>
      <c r="L99" s="1" t="inlineStr">
        <is>
          <t>Belgium, France, Monaco</t>
        </is>
      </c>
      <c r="M99" s="1" t="inlineStr">
        <is>
          <t>0 to 10</t>
        </is>
      </c>
      <c r="N99" s="1" t="inlineStr">
        <is>
          <t>Business to Business, Business to Consumer, Business to Government, Business to Schools</t>
        </is>
      </c>
      <c r="O99" s="1" t="inlineStr">
        <is>
          <t>Primary Education, Secondary Education, Higher Education, Corporate Training, Lifelong learning/Adult education</t>
        </is>
      </c>
      <c r="P99" s="1" t="inlineStr">
        <is>
          <t>Student interfacing, Teacher interfacing</t>
        </is>
      </c>
      <c r="Q99" t="inlineStr">
        <is>
          <t>Training</t>
        </is>
      </c>
      <c r="R99" s="1" t="inlineStr">
        <is>
          <t>We support and train teaching professionals, practitioners, and all employees to use new technologies in their practices. 
We help our customers developing new digital uses: collaboration, immersive learning (3D, Virtual Reality, Augmented Reality) and many more. From change management to training we can support your digital journey in many ways to ensure its success.</t>
        </is>
      </c>
      <c r="S99" s="10" t="inlineStr">
        <is>
          <t>Design of new learning experiences</t>
        </is>
      </c>
      <c r="T99" t="inlineStr">
        <is>
          <t>We create content and new learning experiences tailored to our customers' specific audiences.
We can develop learning content under many formats, designed for general use or related to one particular topic or subject. We can create immersive learning environments using XR, enhance visitors' experience (for museums &amp; cultural institutions), produce pedagogical textbooks, and many more.</t>
        </is>
      </c>
      <c r="U99" s="1" t="inlineStr">
        <is>
          <t>https://drive.google.com/uc?export=view&amp;id=1FYhDkLHvQycAP3E_b1nxIpFuP9FrvfVp</t>
        </is>
      </c>
      <c r="V99" s="1" t="inlineStr">
        <is>
          <t>Unverified</t>
        </is>
      </c>
      <c r="W99" s="1" t="inlineStr">
        <is>
          <t>https://drive.google.com/uc?export=view&amp;id=1FYhDkLHvQycAP3E_b1nxIpFuP9FrvfVp</t>
        </is>
      </c>
      <c r="X99" s="1" t="n"/>
      <c r="Y99" s="10" t="n"/>
      <c r="Z99" s="1" t="n"/>
      <c r="AA99" t="inlineStr">
        <is>
          <t>Yes</t>
        </is>
      </c>
      <c r="AC99" t="inlineStr">
        <is>
          <t>@educationdigi</t>
        </is>
      </c>
      <c r="AD99" t="inlineStr">
        <is>
          <t>https://www.linkedin.com/company/%C3%A9ducation-digitale/</t>
        </is>
      </c>
    </row>
    <row r="100" ht="12.5" customHeight="1">
      <c r="A100" s="6" t="n">
        <v>45181</v>
      </c>
      <c r="B100" s="1" t="inlineStr">
        <is>
          <t>ORG_1467</t>
        </is>
      </c>
      <c r="C100" s="1" t="b">
        <v>1</v>
      </c>
      <c r="D100" s="1" t="inlineStr">
        <is>
          <t>Eduxim</t>
        </is>
      </c>
      <c r="E100" s="10" t="inlineStr">
        <is>
          <t>https://www.eduxim.com</t>
        </is>
      </c>
      <c r="F100" t="inlineStr">
        <is>
          <t>eduxim.com</t>
        </is>
      </c>
      <c r="G100" s="1" t="inlineStr">
        <is>
          <t>Eduxim is a competency-based assessment tool that makes teachers' daily lives easier and increases students' chances of success! To achieve these objectives, Eduxim relies on an assessment strategy where the notion of competency is at the heart of learning.</t>
        </is>
      </c>
      <c r="H100" s="1" t="inlineStr">
        <is>
          <t>EdTech France</t>
        </is>
      </c>
      <c r="J100" s="1" t="inlineStr">
        <is>
          <t>GRENOBLE</t>
        </is>
      </c>
      <c r="K100" s="1" t="inlineStr">
        <is>
          <t>France</t>
        </is>
      </c>
      <c r="L100" s="1" t="inlineStr">
        <is>
          <t>France</t>
        </is>
      </c>
      <c r="M100" s="1" t="inlineStr">
        <is>
          <t>0 to 10</t>
        </is>
      </c>
      <c r="N100" s="1" t="inlineStr">
        <is>
          <t>Business to Business, Business to Consumer, Business to Government, Business to Schools</t>
        </is>
      </c>
      <c r="O100" s="1" t="inlineStr">
        <is>
          <t>Primary Education, Secondary Education, Higher Education</t>
        </is>
      </c>
      <c r="P100" s="1" t="inlineStr">
        <is>
          <t>Student interfacing, Teacher interfacing, System/Administrative</t>
        </is>
      </c>
      <c r="Q100" t="inlineStr">
        <is>
          <t>Eduxim App</t>
        </is>
      </c>
      <c r="R100" s="10" t="inlineStr">
        <is>
          <t>For educational teams, managing assessments has never been easier thanks to criteria-based assessment grids. For their part, students can use self-evaluation, consult an individualized skills acquisition report at any time and take stock of their progress throughout the training course.</t>
        </is>
      </c>
      <c r="S100" s="10" t="inlineStr">
        <is>
          <t>Competency-based assessment Coaching</t>
        </is>
      </c>
      <c r="T100" t="inlineStr">
        <is>
          <t>More than a tool, Eduxim is a team of people who are passionate about education and who are fully prepared to support you in driving change and implementing a proven learning method based on pedagogical alignment and skills assessment.</t>
        </is>
      </c>
      <c r="U100" s="1" t="inlineStr">
        <is>
          <t>https://drive.google.com/uc?export=view&amp;id=1zwmzypNMh3xWzmnktR4CEVROKUIm4iH4</t>
        </is>
      </c>
      <c r="V100" s="1" t="inlineStr">
        <is>
          <t>Unverified</t>
        </is>
      </c>
      <c r="W100" s="1" t="inlineStr">
        <is>
          <t>https://drive.google.com/uc?export=view&amp;id=1zwmzypNMh3xWzmnktR4CEVROKUIm4iH4</t>
        </is>
      </c>
      <c r="X100" s="1" t="n"/>
      <c r="Y100" s="10" t="n"/>
      <c r="Z100" s="1" t="n"/>
      <c r="AA100" t="inlineStr">
        <is>
          <t>Yes</t>
        </is>
      </c>
      <c r="AB100" t="inlineStr">
        <is>
          <t>https://twitter.com/eduximapp</t>
        </is>
      </c>
      <c r="AC100" t="inlineStr">
        <is>
          <t>https://twitter.com/eduximapp</t>
        </is>
      </c>
      <c r="AD100" t="inlineStr">
        <is>
          <t>https://www.linkedin.com/company/eduxim</t>
        </is>
      </c>
    </row>
    <row r="101" ht="12.5" customHeight="1">
      <c r="A101" s="6" t="n">
        <v>45181</v>
      </c>
      <c r="B101" s="1" t="inlineStr">
        <is>
          <t>ORG_1477</t>
        </is>
      </c>
      <c r="C101" s="1" t="b">
        <v>1</v>
      </c>
      <c r="D101" s="1" t="inlineStr">
        <is>
          <t>EISF</t>
        </is>
      </c>
      <c r="E101" s="10" t="inlineStr">
        <is>
          <t>www.eisf.fr</t>
        </is>
      </c>
      <c r="F101" t="inlineStr">
        <is>
          <t>eisf.fr</t>
        </is>
      </c>
      <c r="G101" s="1" t="inlineStr">
        <is>
          <t>EISF is a native digital training company.
It provides digital training in specifically French manual trades: French cuisine, French pastry, French bakery and chocolate maker.
It gives access to this traditional know-how recognized throughout the world, in French, Chinese and English.
In France, EISF learners successfully pass the state exam. Many of them become great chefs.</t>
        </is>
      </c>
      <c r="H101" s="1" t="inlineStr">
        <is>
          <t>I'm not part of any EdTech association</t>
        </is>
      </c>
      <c r="I101" s="1" t="inlineStr">
        <is>
          <t>French, English, Chinese</t>
        </is>
      </c>
      <c r="J101" s="1" t="inlineStr">
        <is>
          <t>Paris</t>
        </is>
      </c>
      <c r="K101" s="1" t="inlineStr">
        <is>
          <t>France</t>
        </is>
      </c>
      <c r="L101" s="1" t="inlineStr">
        <is>
          <t>Austria, Belgium, France, Germany, Luxembourg, Poland, Spain, Switzerland, United Kingdom</t>
        </is>
      </c>
      <c r="M101" s="1" t="inlineStr">
        <is>
          <t>11 to 50</t>
        </is>
      </c>
      <c r="N101" s="1" t="inlineStr">
        <is>
          <t>Business to Business, Business to Consumer, Business to Government, Business to Schools</t>
        </is>
      </c>
      <c r="O101" s="1" t="inlineStr">
        <is>
          <t>Vocational Education and Training (VET)</t>
        </is>
      </c>
      <c r="P101" s="1" t="inlineStr">
        <is>
          <t>Student interfacing</t>
        </is>
      </c>
      <c r="Q101" s="10" t="inlineStr">
        <is>
          <t>CAP Pâtissier</t>
        </is>
      </c>
      <c r="R101" t="inlineStr">
        <is>
          <t>Vocational training to become pastry chef</t>
        </is>
      </c>
      <c r="S101" s="10" t="inlineStr">
        <is>
          <t>CAP boulanger</t>
        </is>
      </c>
      <c r="T101" t="inlineStr">
        <is>
          <t>Vocational training to become baker</t>
        </is>
      </c>
      <c r="U101" s="1" t="inlineStr">
        <is>
          <t>https://drive.google.com/uc?export=view&amp;id=1CTWyvYoxaPe_FLOGdKKVjHkGRUZoS9um</t>
        </is>
      </c>
      <c r="V101" s="1" t="inlineStr">
        <is>
          <t>Unverified</t>
        </is>
      </c>
      <c r="W101" s="1" t="inlineStr">
        <is>
          <t>https://drive.google.com/uc?export=view&amp;id=1CTWyvYoxaPe_FLOGdKKVjHkGRUZoS9um</t>
        </is>
      </c>
      <c r="X101" s="1" t="n"/>
      <c r="Y101" s="10" t="n"/>
      <c r="Z101" s="1" t="n"/>
      <c r="AA101" t="inlineStr">
        <is>
          <t>Yes</t>
        </is>
      </c>
      <c r="AB101" t="inlineStr">
        <is>
          <t>https://www.instagram.com/e_i_s_f/</t>
        </is>
      </c>
      <c r="AC101" t="inlineStr">
        <is>
          <t>https://www.linkedin.com/company/27158557/admin/feed/posts/?feedType=following</t>
        </is>
      </c>
      <c r="AD101" t="inlineStr">
        <is>
          <t>https://www.linkedin.com/company/27158557/admin/feed/posts/?feedType=following</t>
        </is>
      </c>
    </row>
    <row r="102" ht="12.5" customHeight="1">
      <c r="A102" s="6" t="n">
        <v>45181</v>
      </c>
      <c r="B102" s="1" t="inlineStr">
        <is>
          <t>ORG_1585</t>
        </is>
      </c>
      <c r="C102" s="1" t="b">
        <v>1</v>
      </c>
      <c r="D102" s="1" t="inlineStr">
        <is>
          <t>French Lab</t>
        </is>
      </c>
      <c r="E102" s="10" t="inlineStr">
        <is>
          <t>https://www.frenchlab.io/</t>
        </is>
      </c>
      <c r="F102" t="inlineStr">
        <is>
          <t>frenchlab.io</t>
        </is>
      </c>
      <c r="G102" s="1" t="inlineStr">
        <is>
          <t>French Lab is a French EdTech company providing French courses on Facebook through a Messenger Chatbot. 
Committed to widen access to French language teaching, French Lab explores the most used and accessible digital environment. By using a familiar interface, French Lab chatbot application provides learners easygoing interactions, so that learning French can happen anywhere and everywhere in a fun &amp; interactive way. 
French Lab provides quality &amp; engaging content through messaging apps in order to create learning opportunities for all.</t>
        </is>
      </c>
      <c r="H102" s="1" t="inlineStr">
        <is>
          <t>AFINEF, EdTech France</t>
        </is>
      </c>
      <c r="J102" s="1" t="inlineStr">
        <is>
          <t>PARIS</t>
        </is>
      </c>
      <c r="K102" s="1" t="inlineStr">
        <is>
          <t>France</t>
        </is>
      </c>
      <c r="L102" s="1" t="inlineStr">
        <is>
          <t>France</t>
        </is>
      </c>
      <c r="M102" s="1" t="inlineStr">
        <is>
          <t>0 to 10</t>
        </is>
      </c>
      <c r="N102" s="1" t="inlineStr">
        <is>
          <t>Business to Business, Business to Consumer, Business to Schools</t>
        </is>
      </c>
      <c r="O102" s="1" t="inlineStr">
        <is>
          <t>Secondary Education, Higher Education, Corporate Training, Lifelong learning/Adult education</t>
        </is>
      </c>
      <c r="P102" s="1" t="inlineStr">
        <is>
          <t>Student interfacing, Teacher interfacing, System/Administrative</t>
        </is>
      </c>
      <c r="Q102" s="1" t="inlineStr">
        <is>
          <t>A Chatbot app to learn French</t>
        </is>
      </c>
      <c r="R102" s="1" t="inlineStr">
        <is>
          <t>Being based on a messaging app, our chatbot delivers French courses the same way you chat with your tutor. Users can test their initial level, follow a curriculum based on CEFR (Common European Framework for Languages) and track their own progress on a personalized dashboard. 
Using social media as a digital medium, French Lab chatbot app aims at improving access to learning French by offering educational opportunities within one of the most used, accessible and familiar social network.</t>
        </is>
      </c>
      <c r="S102" s="10" t="inlineStr">
        <is>
          <t>French Lab Platform</t>
        </is>
      </c>
      <c r="T102" t="inlineStr">
        <is>
          <t>French Lab platform helps educational stakeholders to follow and analyse the cohorts of students using French Lab chatbot on Facebook. 
Once our chatbot is connected to the Facebook page of your choice, the French Lab platform gives teachers and administrators real-time dashboards so that they can track registrations, students engagement and progress.</t>
        </is>
      </c>
      <c r="U102" s="1" t="inlineStr">
        <is>
          <t>https://drive.google.com/uc?export=view&amp;id=10zIFETR9VnCQbzphZqFNUseA67Zdj6UO</t>
        </is>
      </c>
      <c r="V102" s="1" t="inlineStr">
        <is>
          <t>Unverified</t>
        </is>
      </c>
      <c r="W102" s="1" t="inlineStr">
        <is>
          <t>https://drive.google.com/uc?export=view&amp;id=10zIFETR9VnCQbzphZqFNUseA67Zdj6UO</t>
        </is>
      </c>
      <c r="X102" s="1" t="n"/>
      <c r="Y102" s="10" t="n"/>
      <c r="Z102" s="1" t="n"/>
      <c r="AA102" t="inlineStr">
        <is>
          <t>Yes</t>
        </is>
      </c>
      <c r="AB102" t="inlineStr">
        <is>
          <t>French Lab</t>
        </is>
      </c>
      <c r="AC102" t="inlineStr">
        <is>
          <t>French Lab</t>
        </is>
      </c>
      <c r="AD102" t="inlineStr">
        <is>
          <t>https://www.linkedin.com/company/french-lab/?viewAsMember=true</t>
        </is>
      </c>
    </row>
    <row r="103" ht="12.5" customHeight="1">
      <c r="A103" s="6" t="n">
        <v>45181</v>
      </c>
      <c r="B103" s="1" t="inlineStr">
        <is>
          <t>ORG_1662</t>
        </is>
      </c>
      <c r="C103" s="1" t="b">
        <v>1</v>
      </c>
      <c r="D103" s="1" t="inlineStr">
        <is>
          <t>halfonse</t>
        </is>
      </c>
      <c r="E103" s="10" t="inlineStr">
        <is>
          <t>https://halfonse.com</t>
        </is>
      </c>
      <c r="F103" t="inlineStr">
        <is>
          <t>halfonse.com</t>
        </is>
      </c>
      <c r="G103" s="1" t="inlineStr">
        <is>
          <t>halfonse is an online platform that facilitates the educational and administrative follow-up of students in companies.
It allows teaching teams to simply visualize the status of students in internships or work-study programs and to identify the issues to support the progress and professional development of students.
By collecting educational data, halfonse allows higher education institutions to strengthen their relationships with companies, maintain links with students and consolidate their training offer.
Thanks to the platform digital assistant, which acts as a trusted third party, students can follow their development progress and refine their professional project. On their side, companies are helped to onboard and welcome their students through managerial contents provided by halfonse. 
The platform gathers schools, students and businesses together to foster professional development and employability.</t>
        </is>
      </c>
      <c r="H103" s="1" t="inlineStr">
        <is>
          <t>EdTech France</t>
        </is>
      </c>
      <c r="J103" s="1" t="inlineStr">
        <is>
          <t>LYON</t>
        </is>
      </c>
      <c r="K103" s="1" t="inlineStr">
        <is>
          <t>France</t>
        </is>
      </c>
      <c r="L103" s="1" t="inlineStr">
        <is>
          <t>France</t>
        </is>
      </c>
      <c r="M103" s="1" t="inlineStr">
        <is>
          <t>0 to 2</t>
        </is>
      </c>
      <c r="N103" s="1" t="inlineStr">
        <is>
          <t>Business to Business, Business to Consumer, Business to Schools</t>
        </is>
      </c>
      <c r="O103" s="1" t="inlineStr">
        <is>
          <t>Lifelong learning/Adult education, Vocational Education and Training (VET), Higher Education</t>
        </is>
      </c>
      <c r="P103" s="1" t="inlineStr">
        <is>
          <t>Student interfacing, Teacher interfacing, System/Administrative</t>
        </is>
      </c>
      <c r="Q103" t="inlineStr">
        <is>
          <t>Internship follow-up</t>
        </is>
      </c>
      <c r="R103" s="10" t="inlineStr">
        <is>
          <t>- Follow-up survey
- Detection of alerts
- Internship report
- Internship evaluation
- Global vision of student well-being</t>
        </is>
      </c>
      <c r="S103" s="10" t="inlineStr">
        <is>
          <t>Work-Study training program follow-up</t>
        </is>
      </c>
      <c r="T103" t="inlineStr">
        <is>
          <t>- Follow-up survey
- Detection of alerts
- Tracking Points
- Document exchanges
- Global vision of student well-being
Compliant with Work-Study training program obligations</t>
        </is>
      </c>
      <c r="U103" s="1" t="inlineStr">
        <is>
          <t>https://drive.google.com/uc?export=view&amp;id=1dhZWAW57pRo4MtrONDpYx4V5CxzN81Gn</t>
        </is>
      </c>
      <c r="V103" s="1" t="inlineStr">
        <is>
          <t>Unverified</t>
        </is>
      </c>
      <c r="W103" s="1" t="inlineStr">
        <is>
          <t>https://drive.google.com/uc?export=view&amp;id=1dhZWAW57pRo4MtrONDpYx4V5CxzN81Gn</t>
        </is>
      </c>
      <c r="X103" s="1" t="n"/>
      <c r="Y103" s="10" t="n"/>
      <c r="Z103" s="1" t="n"/>
      <c r="AA103" t="inlineStr">
        <is>
          <t>Yes</t>
        </is>
      </c>
      <c r="AB103" t="inlineStr">
        <is>
          <t>https://twitter.com/GetHalfonse</t>
        </is>
      </c>
      <c r="AC103" t="inlineStr">
        <is>
          <t>https://twitter.com/GetHalfonse</t>
        </is>
      </c>
      <c r="AD103" t="inlineStr">
        <is>
          <t>https://www.linkedin.com/company/halfonse</t>
        </is>
      </c>
    </row>
    <row r="104" ht="12.5" customHeight="1">
      <c r="A104" s="6" t="n">
        <v>45181</v>
      </c>
      <c r="B104" s="1" t="inlineStr">
        <is>
          <t>ORG_1672</t>
        </is>
      </c>
      <c r="C104" s="1" t="b">
        <v>1</v>
      </c>
      <c r="D104" s="1" t="inlineStr">
        <is>
          <t>HelloWork Group</t>
        </is>
      </c>
      <c r="E104" s="10" t="inlineStr">
        <is>
          <t>https://www.hellowork-group.com/</t>
        </is>
      </c>
      <c r="F104" t="inlineStr">
        <is>
          <t>hellowork-group.com</t>
        </is>
      </c>
      <c r="G104" s="1" t="inlineStr">
        <is>
          <t>HelloWork Group is the leading digital player in France for employment, recruitment and training, supports workers throughout their professional life, and companies, recruitment consultants and trainers in their HR challenges and recruitment, and helps training centres/schools develop their training products. 
HelloWork Group builds 2 Edtech platforms :
•	the professional training platform MaFormation.fr
•	the platform for guidance in higher education Diplomeo.com
In 2021, those 2 platforms have brought more than 1 million of French people together with training organisations, schools or university students and staff.</t>
        </is>
      </c>
      <c r="H104" s="1" t="inlineStr">
        <is>
          <t>EdTech France</t>
        </is>
      </c>
      <c r="J104" s="1" t="inlineStr">
        <is>
          <t>RENNES</t>
        </is>
      </c>
      <c r="K104" s="1" t="inlineStr">
        <is>
          <t>France</t>
        </is>
      </c>
      <c r="L104" s="1" t="inlineStr">
        <is>
          <t>France</t>
        </is>
      </c>
      <c r="M104" s="1" t="inlineStr">
        <is>
          <t>100+</t>
        </is>
      </c>
      <c r="N104" s="1" t="inlineStr">
        <is>
          <t>Business to Business, Business to Consumer, Business to Schools</t>
        </is>
      </c>
      <c r="O104" s="1" t="inlineStr">
        <is>
          <t>Higher Education, Corporate Training, Lifelong learning/Adult education</t>
        </is>
      </c>
      <c r="P104" s="1" t="inlineStr">
        <is>
          <t>System/Administrative, Student interfacing, Teacher interfacing</t>
        </is>
      </c>
      <c r="Q104" t="inlineStr">
        <is>
          <t>MaFormation.fr</t>
        </is>
      </c>
      <c r="R104" s="10" t="inlineStr">
        <is>
          <t>- MaFormation, the platform dedicated to professional training -
MaFormation.fr is the first private platform to connect candidates and training organizations in France.
Edited by HelloWork Group, it will have more than 1 million users each month by 2021. As an expert in the sector, MaFormation assists working people in their search for professional training, notably with news on their rights and procedures, as well as trend analyses. In May 2022, nearly 400,000 training courses are available on the platform.</t>
        </is>
      </c>
      <c r="S104" s="10" t="inlineStr">
        <is>
          <t>Diplomeo</t>
        </is>
      </c>
      <c r="T104" t="inlineStr">
        <is>
          <t>- Diplomeo, the platform dedicated to higher education orientation -
Diplomeo is the first platform to connect students and higher education institutions in France. 
Edited by HelloWork Group, the platform accompanies each year more than 40% of high school graduates and their parents in their search for education.
More than 300,000 future students are put in contact each year with the more than 15,000 schools listed on Diplomeo.com
The students can also learn about their future school by discovering photos and videos of the premises and testimonies of current students. Many news about orientation, diplomas or procedures are also proposed.</t>
        </is>
      </c>
      <c r="U104" s="10" t="inlineStr">
        <is>
          <t>https://drive.google.com/uc?export=view&amp;id=1y1mKcFMyZQAk-Cu9psKnqN9bF75hOfaL</t>
        </is>
      </c>
      <c r="V104" s="1" t="inlineStr">
        <is>
          <t>Unverified</t>
        </is>
      </c>
      <c r="W104" s="1" t="inlineStr">
        <is>
          <t>https://drive.google.com/uc?export=view&amp;id=1y1mKcFMyZQAk-Cu9psKnqN9bF75hOfaL</t>
        </is>
      </c>
      <c r="X104" s="1" t="n"/>
      <c r="Y104" s="10" t="n"/>
      <c r="Z104" s="1" t="n"/>
      <c r="AA104" t="inlineStr">
        <is>
          <t>Yes</t>
        </is>
      </c>
      <c r="AB104" t="inlineStr">
        <is>
          <t>https://twitter.com/helloworkgroup</t>
        </is>
      </c>
      <c r="AC104" t="inlineStr">
        <is>
          <t>https://twitter.com/helloworkgroup</t>
        </is>
      </c>
      <c r="AD104" t="inlineStr">
        <is>
          <t>https://www.linkedin.com/company/helloworkcom/</t>
        </is>
      </c>
    </row>
    <row r="105" ht="12.5" customHeight="1">
      <c r="A105" s="6" t="n">
        <v>45181</v>
      </c>
      <c r="B105" s="1" t="inlineStr">
        <is>
          <t>ORG_1697</t>
        </is>
      </c>
      <c r="C105" s="1" t="b">
        <v>1</v>
      </c>
      <c r="D105" s="1" t="inlineStr">
        <is>
          <t>HYPNOLEDGE</t>
        </is>
      </c>
      <c r="E105" s="10" t="inlineStr">
        <is>
          <t>www.hypnoledge.com</t>
        </is>
      </c>
      <c r="F105" t="inlineStr">
        <is>
          <t>hypnoledge.com</t>
        </is>
      </c>
      <c r="G105" s="1" t="inlineStr">
        <is>
          <t>Founded by psychologist, hypnotherapists and native speakers, Hypnoledge is a Elearning solution to learn foreign languages through hypnosis. The objective is to associate language learning and personal growth/self awareness. Thanks to a unique sensory immersion, the user finds himself in a state of hyperconcentration, deep relaxation that enables to overcome emotional barriers and boost confidence so one can reveal their full potential</t>
        </is>
      </c>
      <c r="H105" s="1" t="inlineStr">
        <is>
          <t>EdTech France</t>
        </is>
      </c>
      <c r="J105" s="1" t="inlineStr">
        <is>
          <t>Bordeaux</t>
        </is>
      </c>
      <c r="K105" s="1" t="inlineStr">
        <is>
          <t>France</t>
        </is>
      </c>
      <c r="L105" s="1" t="inlineStr">
        <is>
          <t>Belgium, France, Spain, United Kingdom</t>
        </is>
      </c>
      <c r="M105" s="1" t="inlineStr">
        <is>
          <t>0 to 10</t>
        </is>
      </c>
      <c r="N105" s="1" t="inlineStr">
        <is>
          <t>Business to Business, Business to Government</t>
        </is>
      </c>
      <c r="O105" s="1" t="inlineStr">
        <is>
          <t>Primary Education, Secondary Education, Higher Education, Corporate Training, Lifelong learning/Adult education</t>
        </is>
      </c>
      <c r="P105" s="1" t="inlineStr">
        <is>
          <t>System/Administrative, Student interfacing, Teacher interfacing</t>
        </is>
      </c>
      <c r="Q105" s="10" t="inlineStr">
        <is>
          <t>Languages</t>
        </is>
      </c>
      <c r="R105" t="inlineStr">
        <is>
          <t>Our solution is available for french, spanish and english speakers
5 languages available: French, English, Italian, Spanish, German
4 levels Help</t>
        </is>
      </c>
      <c r="S105" s="10" t="inlineStr">
        <is>
          <t>Soft Skills</t>
        </is>
      </c>
      <c r="T105" t="inlineStr">
        <is>
          <t>https://drive.google.com/uc?export=view&amp;id=1pRQ55hCd9YswBOb9F2DHaFOPDkdwbZ54</t>
        </is>
      </c>
      <c r="U105" s="1" t="inlineStr">
        <is>
          <t>https://drive.google.com/uc?export=view&amp;id=1pRQ55hCd9YswBOb9F2DHaFOPDkdwbZ54</t>
        </is>
      </c>
      <c r="V105" s="1" t="inlineStr">
        <is>
          <t>Unverified</t>
        </is>
      </c>
      <c r="W105" s="1" t="inlineStr">
        <is>
          <t>https://drive.google.com/uc?export=view&amp;id=1pRQ55hCd9YswBOb9F2DHaFOPDkdwbZ54</t>
        </is>
      </c>
      <c r="Y105" s="10" t="n"/>
      <c r="Z105" s="1" t="n"/>
      <c r="AA105" t="inlineStr">
        <is>
          <t>Yes</t>
        </is>
      </c>
      <c r="AB105" t="inlineStr">
        <is>
          <t>https://www.instagram.com/hypnoledge/</t>
        </is>
      </c>
      <c r="AC105" t="inlineStr">
        <is>
          <t>https://www.linkedin.com/company/hypnoledge</t>
        </is>
      </c>
      <c r="AD105" t="inlineStr">
        <is>
          <t>https://www.linkedin.com/company/hypnoledge</t>
        </is>
      </c>
    </row>
    <row r="106" ht="12.5" customHeight="1">
      <c r="A106" s="6" t="n">
        <v>45181</v>
      </c>
      <c r="B106" s="1" t="inlineStr">
        <is>
          <t>ORG_2004</t>
        </is>
      </c>
      <c r="C106" s="1" t="b">
        <v>1</v>
      </c>
      <c r="D106" s="1" t="inlineStr">
        <is>
          <t>MY VIRTUAL CLASSROOM</t>
        </is>
      </c>
      <c r="E106" s="10" t="inlineStr">
        <is>
          <t>https://www.myclassevirtuelle.fr</t>
        </is>
      </c>
      <c r="F106" t="inlineStr">
        <is>
          <t>myclassevirtuelle.fr</t>
        </is>
      </c>
      <c r="G106" s="1" t="inlineStr">
        <is>
          <t>Yes, human virtual events where you never get bored exist!
We are your partner to professionalise your virtual training, webinar, and online meeting.
For more than 15 years, we have supported the development of trainers, facilitators, designers, coordinators, and attendees ' skills. Acquire a better posture on online events to offer engaging virtual trainings, get together with webinars, progress with online meetings, unite with seminars.
Focus on substance and animation, we take care of the organisation, design, and facilitation of your online and live events for up to 20,000 people. Available on the main platforms on the market (Teams, Zoom, WebEx, Adobe Connect, Google Meet), in French and English.
Try different training methods ranging from virtual classroom, coaching, codevelopment to immersive learning.
We also offer a platform to manage your events: invitations, self-registration, reminders, easy login, reports, etc.
Do you have a new challenge?
Let's make it real!</t>
        </is>
      </c>
      <c r="H106" s="1" t="inlineStr">
        <is>
          <t>EdTech France</t>
        </is>
      </c>
      <c r="J106" s="1" t="inlineStr">
        <is>
          <t>PARIS</t>
        </is>
      </c>
      <c r="K106" s="1" t="inlineStr">
        <is>
          <t>France</t>
        </is>
      </c>
      <c r="L106" s="1" t="inlineStr">
        <is>
          <t>France, Germany, Switzerland</t>
        </is>
      </c>
      <c r="M106" s="1" t="inlineStr">
        <is>
          <t>0 to 10</t>
        </is>
      </c>
      <c r="N106" s="1" t="inlineStr">
        <is>
          <t>Business to Business, Business to Schools</t>
        </is>
      </c>
      <c r="O106" s="1" t="inlineStr">
        <is>
          <t>Higher Education, Corporate Training, Lifelong learning/Adult education</t>
        </is>
      </c>
      <c r="P106" s="1" t="inlineStr">
        <is>
          <t>Teacher interfacing, Student interfacing, System/Administrative</t>
        </is>
      </c>
      <c r="Q106" t="inlineStr">
        <is>
          <t>Training of facilitators - online trainers</t>
        </is>
      </c>
      <c r="R106" s="10" t="inlineStr">
        <is>
          <t>We train and support your virtual class trainers and webinar facilitators with our proven method based on 5 major skill families and numerous exercises and role plays.</t>
        </is>
      </c>
      <c r="S106" s="10" t="inlineStr">
        <is>
          <t>Design of virtual classes and webinars</t>
        </is>
      </c>
      <c r="T106" t="inlineStr">
        <is>
          <t>From your raw content (docs, face-to-face training, e-learning), we help you to script and develop a real online and live experience. We use our 6-step structuring tool to build memorable sessions.</t>
        </is>
      </c>
      <c r="U106" s="1" t="inlineStr">
        <is>
          <t>https://drive.google.com/uc?export=view&amp;id=1klq0uLURnL21FWjhjfpJxJhcnzvpB35Q</t>
        </is>
      </c>
      <c r="V106" s="1" t="inlineStr">
        <is>
          <t>Unverified</t>
        </is>
      </c>
      <c r="W106" s="1" t="inlineStr">
        <is>
          <t>https://drive.google.com/uc?export=view&amp;id=1klq0uLURnL21FWjhjfpJxJhcnzvpB35Q</t>
        </is>
      </c>
      <c r="X106" s="1" t="n"/>
      <c r="Y106" s="10" t="n"/>
      <c r="Z106" s="1" t="n"/>
      <c r="AA106" t="inlineStr">
        <is>
          <t>Yes</t>
        </is>
      </c>
      <c r="AB106" t="inlineStr">
        <is>
          <t>https://twitter.com/MyVClassroom</t>
        </is>
      </c>
      <c r="AC106" t="inlineStr">
        <is>
          <t>https://twitter.com/MyVClassroom</t>
        </is>
      </c>
      <c r="AD106" t="inlineStr">
        <is>
          <t>https://www.linkedin.com/company/my-virtual-classroom/</t>
        </is>
      </c>
    </row>
    <row r="107" ht="12.5" customHeight="1">
      <c r="A107" s="6" t="n">
        <v>45181</v>
      </c>
      <c r="B107" s="1" t="inlineStr">
        <is>
          <t>ORG_2042</t>
        </is>
      </c>
      <c r="C107" s="1" t="b">
        <v>1</v>
      </c>
      <c r="D107" s="1" t="inlineStr">
        <is>
          <t>NOMAD EDUCATION</t>
        </is>
      </c>
      <c r="E107" s="10" t="inlineStr">
        <is>
          <t>https://nomadeducation.fr/</t>
        </is>
      </c>
      <c r="F107" t="inlineStr">
        <is>
          <t>nomadeducation.fr</t>
        </is>
      </c>
      <c r="G107" s="1" t="inlineStr">
        <is>
          <t>By providing one free app gathering 350 degrees, with no need for internet connexion, we allow every pupil all accross the french speaking african countries to access free quality education, no matter their gender, social level or geographic position. We believe that education can save lives, that's why we chose a universal device (the smartphone), gratuity and a wide range of diplomas. All our contents are written by teachers who want to spread their knowledge wider.
This all makes Nomad Education a unique solution.</t>
        </is>
      </c>
      <c r="H107" s="1" t="inlineStr">
        <is>
          <t>AFINEF, EdTech France</t>
        </is>
      </c>
      <c r="J107" s="1" t="inlineStr">
        <is>
          <t>PARIS</t>
        </is>
      </c>
      <c r="K107" s="1" t="inlineStr">
        <is>
          <t>France</t>
        </is>
      </c>
      <c r="L10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107" s="1" t="inlineStr">
        <is>
          <t>11 to 50</t>
        </is>
      </c>
      <c r="N107" s="1" t="inlineStr">
        <is>
          <t>Business to Business, Business to Schools</t>
        </is>
      </c>
      <c r="O107" s="1" t="inlineStr">
        <is>
          <t>Primary Education, Secondary Education, Higher Education</t>
        </is>
      </c>
      <c r="P107" s="1" t="inlineStr">
        <is>
          <t>System/Administrative, Student interfacing</t>
        </is>
      </c>
      <c r="Q107" s="10" t="inlineStr">
        <is>
          <t>Brevet Bac Sup</t>
        </is>
      </c>
      <c r="R107" s="10" t="inlineStr">
        <is>
          <t>Here is what caracterizes our free educational app : 
- it is free 
- it is 100% mobile and prevents equipment issues (no need for computer) 
- it is inclusive and addresses a wide range of diplomas : 350+ degrees and diplomas 
- our 10 000+ courses and 150 000+ quizzes are entirely written by French or local teachers 
- it is already used by 1M+ users every year, which acknowledges for our efficient and fluid UX/UI 
- the app is found by pupils / students themselves with no external intervention (parents, teachers), fostering empowerment of young people in their own studies and success 
- Our users say they regained confidence and better grades thanks to the app
- Our content is created by 350 teachers</t>
        </is>
      </c>
      <c r="S107" s="10" t="inlineStr">
        <is>
          <t>Tests de Français</t>
        </is>
      </c>
      <c r="T107" t="inlineStr">
        <is>
          <t>We created one app to help everyone accross the globe to learn french and succeed in their french tests (DELF B1, B2, TCF, TEF and TFI) so that they can study or work in France afterwards. Our members can succeed thanks to various and numerous contents and tools : exercices, trainings, complete tests in exam mode... Everything to perform both in written and spoken french exams.</t>
        </is>
      </c>
      <c r="U107" s="1" t="inlineStr">
        <is>
          <t>https://drive.google.com/uc?export=view&amp;id=1_wweovvH_7FtaOfaLmIdqqNR4kQ7A276</t>
        </is>
      </c>
      <c r="V107" s="1" t="inlineStr">
        <is>
          <t>Unverified</t>
        </is>
      </c>
      <c r="W107" s="1" t="inlineStr">
        <is>
          <t>https://drive.google.com/uc?export=view&amp;id=1_wweovvH_7FtaOfaLmIdqqNR4kQ7A276</t>
        </is>
      </c>
      <c r="X107" s="1" t="n"/>
      <c r="Y107" s="10" t="n"/>
      <c r="Z107" s="1" t="n"/>
      <c r="AA107" t="inlineStr">
        <is>
          <t>Yes</t>
        </is>
      </c>
      <c r="AB107" t="inlineStr">
        <is>
          <t>https://www.instagram.com/nomad_education/</t>
        </is>
      </c>
      <c r="AC107" t="inlineStr">
        <is>
          <t>https://twitter.com/nomadeducation?lang=fr</t>
        </is>
      </c>
      <c r="AD107" t="inlineStr">
        <is>
          <t>https://www.linkedin.com/company/nomad-education</t>
        </is>
      </c>
    </row>
    <row r="108" ht="12.5" customHeight="1">
      <c r="A108" s="6" t="n">
        <v>45181</v>
      </c>
      <c r="B108" s="1" t="inlineStr">
        <is>
          <t>ORG_2246</t>
        </is>
      </c>
      <c r="C108" s="1" t="b">
        <v>1</v>
      </c>
      <c r="D108" s="1" t="inlineStr">
        <is>
          <t>SimTrade</t>
        </is>
      </c>
      <c r="E108" s="10" t="inlineStr">
        <is>
          <t>https://www.simtrade.com/</t>
        </is>
      </c>
      <c r="F108" t="inlineStr">
        <is>
          <t>simtrade.com</t>
        </is>
      </c>
      <c r="G108" s="1" t="inlineStr">
        <is>
          <t>SimTrade is an EdTech &amp; FinTech company. 
The mission of SimTrade is to help individuals understand the mechanisms of the financial markets and gain financial freedom. Empower yourself! 
We offer an educational product to discover financial markets in a pedagogical and playful way. For the B2B version, our clients are both academic institutions and financial institutions.</t>
        </is>
      </c>
      <c r="H108" s="1" t="inlineStr">
        <is>
          <t>I'm not part of any EdTech association</t>
        </is>
      </c>
      <c r="J108" s="1" t="inlineStr">
        <is>
          <t>Le Vesinet</t>
        </is>
      </c>
      <c r="K108" s="1" t="inlineStr">
        <is>
          <t>France</t>
        </is>
      </c>
      <c r="L108" s="1" t="inlineStr">
        <is>
          <t>France</t>
        </is>
      </c>
      <c r="M108" s="1" t="inlineStr">
        <is>
          <t>0 to 10</t>
        </is>
      </c>
      <c r="N108" s="1" t="inlineStr">
        <is>
          <t>Business to Consumer</t>
        </is>
      </c>
      <c r="O108" s="1" t="inlineStr">
        <is>
          <t>Higher Education, Corporate Training, Lifelong learning/Adult education</t>
        </is>
      </c>
      <c r="P108" s="1" t="inlineStr">
        <is>
          <t>Student interfacing</t>
        </is>
      </c>
      <c r="S108" t="inlineStr">
        <is>
          <t>https://drive.google.com/uc?export=view&amp;id=1fKHXcgPf-g0xmCjeuTNRIHN9Z_0juRNC</t>
        </is>
      </c>
      <c r="T108" t="inlineStr">
        <is>
          <t>https://drive.google.com/uc?export=view&amp;id=1fKHXcgPf-g0xmCjeuTNRIHN9Z_0juRNC</t>
        </is>
      </c>
      <c r="U108" t="inlineStr">
        <is>
          <t>https://drive.google.com/uc?export=view&amp;id=1fKHXcgPf-g0xmCjeuTNRIHN9Z_0juRNC</t>
        </is>
      </c>
      <c r="V108" t="inlineStr">
        <is>
          <t>Unverified</t>
        </is>
      </c>
      <c r="Y108" s="10" t="n"/>
      <c r="Z108" s="1" t="n"/>
      <c r="AA108" t="inlineStr">
        <is>
          <t>No</t>
        </is>
      </c>
    </row>
    <row r="109" ht="12.5" customHeight="1">
      <c r="A109" s="6" t="n">
        <v>45181</v>
      </c>
      <c r="B109" s="1" t="inlineStr">
        <is>
          <t>ORG_2371</t>
        </is>
      </c>
      <c r="C109" s="1" t="b">
        <v>1</v>
      </c>
      <c r="D109" s="1" t="inlineStr">
        <is>
          <t>Teach on Mars</t>
        </is>
      </c>
      <c r="E109" s="10" t="inlineStr">
        <is>
          <t>https://www.teachonmars.com/</t>
        </is>
      </c>
      <c r="F109" t="inlineStr">
        <is>
          <t>teachonmars.com</t>
        </is>
      </c>
      <c r="G109" s="1" t="inlineStr">
        <is>
          <t>Teach on Mars publishes a new generation digital training platform for companies. It is a mobile and social platform that relies on the latest advances in artificial intelligence to provide users with relevant content every day and accelerate the development of their skills.
Awarded numerous prizes in France and abroad, the company is the European leader in the mobile learning sector. Since its creation in 2013, Teach on Mars has deployed its solution to more than 200 prestigious international clients, in over 39 languages and across more than 90 countries worldwide. Today, 80 Teach on Mars employees and a network of 50 international partners are at the service of companies wishing to create their own next-generation training ecosystem. Convinced that modern companies must make a strong commitment to the planet, Teach on Mars dedicates 1% of its annual turnover to educational projects linked to the UN's sustainable development goals.</t>
        </is>
      </c>
      <c r="H109" s="1" t="inlineStr">
        <is>
          <t>EdTech France</t>
        </is>
      </c>
      <c r="J109" s="1" t="inlineStr">
        <is>
          <t>MOUGINS</t>
        </is>
      </c>
      <c r="K109" s="1" t="inlineStr">
        <is>
          <t>France</t>
        </is>
      </c>
      <c r="L109" s="1" t="inlineStr">
        <is>
          <t>Albania, Armenia, Austria, Azerbaijan, Belarus, Belgium, Bosnia and Herzegovina, Cyprus, Czechia, Denmark, Estonia, Finland, France, Georgia, Germany, Greece, Hungary, Iceland, Ireland, Italy, Kazakhstan, Kosovo, Latvia, Lithuania, Luxembourg, Malta, Moldova, Montenegro, Netherlands, North Macedonia, Norway, Poland, Portugal, Romania, Russia, Serbia, Slovakia, Slovenia, Spain, Sweden, Switzerland, Turkey, Ukraine, United Kingdom</t>
        </is>
      </c>
      <c r="M109" s="1" t="inlineStr">
        <is>
          <t>51 to 100</t>
        </is>
      </c>
      <c r="N109" s="1" t="inlineStr">
        <is>
          <t>Business to Consumer, Business to Schools</t>
        </is>
      </c>
      <c r="O109" s="1" t="inlineStr">
        <is>
          <t>Corporate Training</t>
        </is>
      </c>
      <c r="P109" s="1" t="inlineStr">
        <is>
          <t>Teacher interfacing, Student interfacing, System/Administrative</t>
        </is>
      </c>
      <c r="Q109" s="10" t="inlineStr">
        <is>
          <t>Teach on Mars</t>
        </is>
      </c>
      <c r="R109" s="10" t="inlineStr">
        <is>
          <t>Teach on Mars reinvents digital learning by combining a modern digital training experience with unique communication features to develop user engagement and support change over time. Our solution immerses employees in a continuous learning experience that enhances the brand and corporate culture. Our applications incorporate the latest training technologies and include numerous customization options. Our solution is designed to interface with all mobile devices through its native applications. Also, we have developed the social learning allowing the user to have a social learning dimension. The Teach on Mars solution allows for rapid deployment of training courses by reconciling agility and creativity with an integrated authoring tool to design numerous programs: from anchor activities to complete training courses. In addition, we offer quality off-the-shelf resources in a variety of formats (modules, podcasts, videos, articles...).
Teach on Mars has made the quality of its support and availability a recognized trademark: companies obtain the best deployment and engagement rates on the market thanks to a methodology built on hundreds of successful projects. Our application integrates business intelligence, artificial intelligence and a team dedicated to the success of training projects. With connectors and extensions deployed globally, Teach on Mars extends the capabilities of HRIS or LMS and consolidates an already established training ecosystem, also integrating with everyday tools to deliver an integrated learning experience.</t>
        </is>
      </c>
      <c r="S109" s="10" t="inlineStr">
        <is>
          <t>https://drive.google.com/uc?export=view&amp;id=1pwL-tiOHYjkp1ORNV9aQtNAF2S90Im14</t>
        </is>
      </c>
      <c r="T109" t="inlineStr">
        <is>
          <t>https://drive.google.com/uc?export=view&amp;id=1pwL-tiOHYjkp1ORNV9aQtNAF2S90Im14</t>
        </is>
      </c>
      <c r="U109" s="1" t="inlineStr">
        <is>
          <t>https://drive.google.com/uc?export=view&amp;id=1pwL-tiOHYjkp1ORNV9aQtNAF2S90Im14</t>
        </is>
      </c>
      <c r="V109" s="1" t="inlineStr">
        <is>
          <t>Unverified</t>
        </is>
      </c>
      <c r="Y109" s="10" t="n"/>
      <c r="Z109" s="1" t="n"/>
      <c r="AA109" t="inlineStr">
        <is>
          <t>Yes</t>
        </is>
      </c>
      <c r="AB109" t="inlineStr">
        <is>
          <t>https://www.instagram.com/teachonmarsfr/</t>
        </is>
      </c>
      <c r="AC109" t="inlineStr">
        <is>
          <t>https://twitter.com/TeachonMarsfr</t>
        </is>
      </c>
      <c r="AD109" t="inlineStr">
        <is>
          <t>https://www.linkedin.com/company/teach-on-mars/</t>
        </is>
      </c>
    </row>
    <row r="110" ht="12.5" customHeight="1">
      <c r="A110" s="6" t="n">
        <v>45181</v>
      </c>
      <c r="B110" s="1" t="inlineStr">
        <is>
          <t>ORG_2517</t>
        </is>
      </c>
      <c r="C110" s="1" t="b">
        <v>1</v>
      </c>
      <c r="D110" s="1" t="inlineStr">
        <is>
          <t>WebForce3</t>
        </is>
      </c>
      <c r="E110" s="10" t="inlineStr">
        <is>
          <t>https://wf3.fr</t>
        </is>
      </c>
      <c r="F110" t="inlineStr">
        <is>
          <t>wf3.fr</t>
        </is>
      </c>
      <c r="G110" s="1" t="inlineStr">
        <is>
          <t>WebForce3 is a network of schools for digital professions, approved for social utility and labeled "Grande Ecole du Numérique". WebForce3 is established in 50 territories in France and abroad. In a world where professions and technologies are changing rapidly, WebForce3's mission is to enable anyone to train quickly to acquire new skills throughout their career, and thus access, maintain or even change jobs. The inclusion and diversity of learners within schools are essential values ​​for participating in a digital society that is inclusive, ethical and sustainable.</t>
        </is>
      </c>
      <c r="H110" s="1" t="inlineStr">
        <is>
          <t>EdTech France</t>
        </is>
      </c>
      <c r="J110" s="1" t="inlineStr">
        <is>
          <t>PARIS</t>
        </is>
      </c>
      <c r="K110" s="1" t="inlineStr">
        <is>
          <t>France</t>
        </is>
      </c>
      <c r="L110" s="1" t="inlineStr">
        <is>
          <t>Belgium, France, Luxembourg</t>
        </is>
      </c>
      <c r="M110" s="1" t="inlineStr">
        <is>
          <t>51 to 100</t>
        </is>
      </c>
      <c r="N110" s="1" t="inlineStr">
        <is>
          <t>Business to Schools</t>
        </is>
      </c>
      <c r="O110" s="1" t="inlineStr">
        <is>
          <t>Higher Education, Corporate Training, Lifelong learning/Adult education</t>
        </is>
      </c>
      <c r="P110" s="1" t="inlineStr">
        <is>
          <t>Student interfacing, Teacher interfacing, System/Administrative</t>
        </is>
      </c>
      <c r="Q110" s="10" t="inlineStr">
        <is>
          <t>Web and Mobile Web Developer Training</t>
        </is>
      </c>
      <c r="R110" s="10" t="inlineStr">
        <is>
          <t>Bootcamp or work-study training as a web and mobile web developer</t>
        </is>
      </c>
      <c r="S110" s="10" t="inlineStr">
        <is>
          <t>Digital project manager</t>
        </is>
      </c>
      <c r="T110" t="inlineStr">
        <is>
          <t>Bootcamp or work-study training as a Digital project manager</t>
        </is>
      </c>
      <c r="U110" s="1" t="inlineStr">
        <is>
          <t>https://drive.google.com/uc?export=view&amp;id=1a19O-fvtUrSnDS6PIVl4Lz3SglmxyVSD</t>
        </is>
      </c>
      <c r="V110" s="1" t="inlineStr">
        <is>
          <t>Unverified</t>
        </is>
      </c>
      <c r="W110" s="1" t="inlineStr">
        <is>
          <t>https://drive.google.com/uc?export=view&amp;id=1a19O-fvtUrSnDS6PIVl4Lz3SglmxyVSD</t>
        </is>
      </c>
      <c r="X110" s="1" t="n"/>
      <c r="Y110" s="10" t="n"/>
      <c r="Z110" s="1" t="n"/>
      <c r="AA110" t="inlineStr">
        <is>
          <t>Yes</t>
        </is>
      </c>
      <c r="AB110" t="inlineStr">
        <is>
          <t>https://www.instagram.com/webforce3</t>
        </is>
      </c>
      <c r="AC110" t="inlineStr">
        <is>
          <t>https://twitter.com/WebForce3</t>
        </is>
      </c>
      <c r="AD110" t="inlineStr">
        <is>
          <t>https://www.linkedin.com/school/webforce3/mycompany/</t>
        </is>
      </c>
    </row>
    <row r="111" ht="12.5" customHeight="1">
      <c r="A111" s="6" t="n">
        <v>45181</v>
      </c>
      <c r="B111" s="1" t="inlineStr">
        <is>
          <t>ORG_2534</t>
        </is>
      </c>
      <c r="C111" s="1" t="b">
        <v>1</v>
      </c>
      <c r="D111" s="1" t="inlineStr">
        <is>
          <t>Wiloki</t>
        </is>
      </c>
      <c r="E111" s="10" t="inlineStr">
        <is>
          <t>www.wiloki.com</t>
        </is>
      </c>
      <c r="F111" t="inlineStr">
        <is>
          <t>wiloki.com</t>
        </is>
      </c>
      <c r="G111" s="1" t="inlineStr">
        <is>
          <t>Every child is different. So should be their education. We believe that adaptive learning and new technologies will radically transform education and fully exploit &amp; nurture the learning potential of each and every child.
Our cloud platforms Adibou and Wiloki provide the best online learning support to each child (4-14). They combine rich &amp; fun content with Artificial Intelligence to tailor-fit the teaching process to the kid’s pedagogical &amp; psychological profiles.
Adibou is an edutainment app dedicated to young children development (4-7 yo). In a playful universe, kids explore Adibou’s world and experience the joy of learning thanks to fun activities.
Wiloki (7-14 yo) offers a personalised learning platform that allow preteens (7 to 14 yo) to learn, create, get informed and have fun.</t>
        </is>
      </c>
      <c r="H111" s="1" t="inlineStr">
        <is>
          <t>EdTech France</t>
        </is>
      </c>
      <c r="J111" s="1" t="inlineStr">
        <is>
          <t>LES LOGES-EN-JOSAS</t>
        </is>
      </c>
      <c r="K111" s="1" t="inlineStr">
        <is>
          <t>France</t>
        </is>
      </c>
      <c r="L111" s="1" t="inlineStr">
        <is>
          <t>Belgium, France, Luxembourg, Switzerland</t>
        </is>
      </c>
      <c r="M111" s="1" t="inlineStr">
        <is>
          <t>0 to 10</t>
        </is>
      </c>
      <c r="N111" s="1" t="inlineStr">
        <is>
          <t>Business to Schools</t>
        </is>
      </c>
      <c r="O111" s="1" t="inlineStr">
        <is>
          <t>Early childhood development (0-5 years), Primary Education, Secondary Education</t>
        </is>
      </c>
      <c r="P111" s="1" t="inlineStr">
        <is>
          <t>System/Administrative, Student interfacing, Teacher interfacing</t>
        </is>
      </c>
      <c r="Q111" s="10" t="inlineStr">
        <is>
          <t>Wiloki</t>
        </is>
      </c>
      <c r="R111" s="10" t="inlineStr">
        <is>
          <t>Wiloki offers each child a personalised, autonomous and motivating learning experience thanks to agile algorithms and an extremely rich content: thousands of interactive videos, course summaries, exercises, rewards, podcasts and many other functionalities depending on their evolving needs.
By identifying the child’s strengths, weaknesses and motivational drivers, Wiloki adapts to their profiles.</t>
        </is>
      </c>
      <c r="S111" s="10" t="inlineStr">
        <is>
          <t>Adibou</t>
        </is>
      </c>
      <c r="T111" t="inlineStr">
        <is>
          <t>Adibou is a wide universe dedicated to the development of young children (4-7 yo). The app is perfectly suited to accompany kids in their early years as it adjusts to their learning pace. Kids explore Adibou's playful world. +1,500 activities allow them to learn how to read and write and maths. They also apply their knowledge in mini-games that stimulate their memory, logic, creativity…</t>
        </is>
      </c>
      <c r="U111" s="1" t="inlineStr">
        <is>
          <t>https://drive.google.com/uc?export=view&amp;id=1aMe-VZ1lnKLVoCBZ34hml29Wb5wOOE98</t>
        </is>
      </c>
      <c r="V111" s="1" t="inlineStr">
        <is>
          <t>Unverified</t>
        </is>
      </c>
      <c r="W111" s="1" t="inlineStr">
        <is>
          <t>https://drive.google.com/uc?export=view&amp;id=1aMe-VZ1lnKLVoCBZ34hml29Wb5wOOE98</t>
        </is>
      </c>
      <c r="X111" s="1" t="n"/>
      <c r="Y111" s="10" t="n"/>
      <c r="Z111" s="1" t="n"/>
      <c r="AA111" t="inlineStr">
        <is>
          <t>Yes</t>
        </is>
      </c>
      <c r="AB111" t="inlineStr">
        <is>
          <t>https://www.instagram.com/wiloki_ai/</t>
        </is>
      </c>
      <c r="AC111" t="inlineStr">
        <is>
          <t>https://twitter.com/wiloki_ai</t>
        </is>
      </c>
      <c r="AD111" t="inlineStr">
        <is>
          <t>https://www.linkedin.com/company/wiloki/</t>
        </is>
      </c>
    </row>
    <row r="112" ht="12.5" customHeight="1">
      <c r="A112" s="6" t="n">
        <v>45190</v>
      </c>
      <c r="B112" s="1" t="inlineStr">
        <is>
          <t>ORG_1147</t>
        </is>
      </c>
      <c r="C112" s="1" t="b">
        <v>1</v>
      </c>
      <c r="D112" s="1" t="inlineStr">
        <is>
          <t>Beegup</t>
        </is>
      </c>
      <c r="E112" s="10" t="inlineStr">
        <is>
          <t>https://www.beegup.com/</t>
        </is>
      </c>
      <c r="F112" t="inlineStr">
        <is>
          <t>beegup.com</t>
        </is>
      </c>
      <c r="G112" s="1" t="inlineStr">
        <is>
          <t>Beegup is A digital educational resource to speak foreign languages with pen pals, supported by the French Ministry of Education. 
- For teachers: a digital assistant to stimulate students' independent oral practice, an international community of teachers to create pen pals classes and have students work with native speakers all year round.
- For students (14 to18 y/o): a virtual mobility solution to speak with pen pals, improve oral expression and comprehension and open up to other cultures, in a secure environment.
Our commitment is to participate in equal opportunities by offering all European high school students and their language teachers access to a virtual mobility resource.</t>
        </is>
      </c>
      <c r="H112" s="1" t="inlineStr">
        <is>
          <t>AFINEF, EdTech France</t>
        </is>
      </c>
      <c r="I112" s="1" t="inlineStr">
        <is>
          <t>French, German, English, Spanish</t>
        </is>
      </c>
      <c r="J112" s="1" t="inlineStr">
        <is>
          <t>BOULOGNE BILLANCOURT</t>
        </is>
      </c>
      <c r="K112" s="1" t="inlineStr">
        <is>
          <t>France</t>
        </is>
      </c>
      <c r="L112" s="1" t="inlineStr">
        <is>
          <t>Austria, Belgium, France, Germany, Ireland, Malta, Spain, United Kingdom</t>
        </is>
      </c>
      <c r="M112" s="1" t="inlineStr">
        <is>
          <t>3 to 5</t>
        </is>
      </c>
      <c r="N112" s="1" t="inlineStr">
        <is>
          <t>Business to Business</t>
        </is>
      </c>
      <c r="O112" s="1" t="inlineStr">
        <is>
          <t>Secondary Education</t>
        </is>
      </c>
      <c r="P112" s="1" t="inlineStr">
        <is>
          <t>System/Administrative, Teacher interfacing</t>
        </is>
      </c>
      <c r="Q112" s="10" t="inlineStr">
        <is>
          <t>Beegup</t>
        </is>
      </c>
      <c r="R112" t="inlineStr">
        <is>
          <t>THE PEN PALS SECURE NETWORK FOR SPEAKING FOREIGN LANGUAGES AND IMPROVING ORAL SKILLS. How to improve your oral skills ? Just by speaking.
Beegup puts students in a pressure-free discussion setting with pen pals of the same age who share similar interests, to enjoy speaking in another language and progressing.
Available on all devices in 4 languages, French, German, English and Spanish. For secondary high schools (14 to 18 y/o).
Beegup offers 4 main features:
- An international press review: a news feed of native, neutral and reliable video articles (AFP - French Press Agency)
- Secure Conversation Tools : instant messaging, audio and video
- CEFR-certified adaptative placement tests: progress monitoring and self-assessment on demand
- A workspace: in 1 click, teachers create their virtual classes &amp; their pen pals' classes and propose propose language activities</t>
        </is>
      </c>
      <c r="S112" s="10" t="inlineStr">
        <is>
          <t>https://drive.google.com/uc?export=view&amp;id=1OW2Y8oU09F4R2YkCzqXBauMNCWu4mX6a</t>
        </is>
      </c>
      <c r="T112" t="inlineStr">
        <is>
          <t>https://drive.google.com/uc?export=view&amp;id=1OW2Y8oU09F4R2YkCzqXBauMNCWu4mX6a</t>
        </is>
      </c>
      <c r="U112" s="1" t="inlineStr">
        <is>
          <t>https://drive.google.com/uc?export=view&amp;id=1OW2Y8oU09F4R2YkCzqXBauMNCWu4mX6a</t>
        </is>
      </c>
      <c r="V112" s="1" t="inlineStr">
        <is>
          <t>Unverified</t>
        </is>
      </c>
      <c r="Y112" s="10" t="n"/>
      <c r="Z112" s="1" t="n"/>
      <c r="AA112" t="inlineStr">
        <is>
          <t>Yes</t>
        </is>
      </c>
      <c r="AB112" t="inlineStr">
        <is>
          <t>https://instagram.com/beegupeducation?igshid=MzRlODBiNWFlZA==</t>
        </is>
      </c>
      <c r="AC112" t="inlineStr">
        <is>
          <t>https://www.linkedin.com/company/beegup/</t>
        </is>
      </c>
      <c r="AD112" t="inlineStr">
        <is>
          <t>https://www.linkedin.com/company/beegup/</t>
        </is>
      </c>
    </row>
    <row r="113" ht="12.5" customHeight="1">
      <c r="A113" s="6" t="n">
        <v>45182</v>
      </c>
      <c r="B113" s="1" t="inlineStr">
        <is>
          <t>ORG_2186</t>
        </is>
      </c>
      <c r="C113" s="1" t="b">
        <v>1</v>
      </c>
      <c r="D113" s="1" t="inlineStr">
        <is>
          <t>Rising Up</t>
        </is>
      </c>
      <c r="E113" s="10" t="inlineStr">
        <is>
          <t>https://en.risinguparis.com/</t>
        </is>
      </c>
      <c r="F113" t="inlineStr">
        <is>
          <t>en.risinguparis.com</t>
        </is>
      </c>
      <c r="G113" s="1" t="inlineStr">
        <is>
          <t>Rising Up is a deeptech company offering a SaaS solution called THE L.A.B. to identify and enrich the core skills (soft skills) needed to enter the job market. For the first time, this innovative skills development solution enables qualitative and quantitative analysis of soft (core) skills, while optimizing their development.</t>
        </is>
      </c>
      <c r="H113" s="1" t="inlineStr">
        <is>
          <t>EdTech France</t>
        </is>
      </c>
      <c r="I113" s="1" t="inlineStr">
        <is>
          <t>Danish, English, Norwegian, French</t>
        </is>
      </c>
      <c r="J113" s="1" t="inlineStr">
        <is>
          <t>PARIS</t>
        </is>
      </c>
      <c r="K113" s="1" t="inlineStr">
        <is>
          <t>France</t>
        </is>
      </c>
      <c r="L113" s="1" t="inlineStr">
        <is>
          <t>Belgium, Denmark, Finland, France, Germany, Luxembourg, Norway, Sweden</t>
        </is>
      </c>
      <c r="M113" s="1" t="inlineStr">
        <is>
          <t>3 to 5</t>
        </is>
      </c>
      <c r="N113" s="1" t="inlineStr">
        <is>
          <t>Business to Business, Business to Schools</t>
        </is>
      </c>
      <c r="O113" s="1" t="inlineStr">
        <is>
          <t>Corporate Training, Lifelong learning/Adult education, Vocational Education and Training (VET), Higher Education</t>
        </is>
      </c>
      <c r="P113" s="1" t="inlineStr">
        <is>
          <t>Student interfacing, System/Administrative</t>
        </is>
      </c>
      <c r="Q113" s="1" t="inlineStr">
        <is>
          <t>Soft Skill Scan</t>
        </is>
      </c>
      <c r="R113" s="10" t="inlineStr">
        <is>
          <t>Identify and value you core skills to boost your employability (100 % online, 35 mn)
- learn about your core-skills
- identify you key core skills 
- learn to value them in your job interview</t>
        </is>
      </c>
      <c r="S113" s="10" t="inlineStr">
        <is>
          <t>Soft skill Leader</t>
        </is>
      </c>
      <c r="T113" t="inlineStr">
        <is>
          <t>Become a master of your core skills (100 % online, 45 mn)
- Learn to decrypt your behaviors and those of others thanks to neurosciences theory
- develop effective strategies to manage priorities, delegate to people you trust, control your emotion or be more focus
- increase your performance to boost your employability</t>
        </is>
      </c>
      <c r="U113" s="1" t="inlineStr">
        <is>
          <t>https://drive.google.com/uc?export=view&amp;id=1X9Rs-K3iSmEoAAjiAUTjAjVTKoKQ8hx_</t>
        </is>
      </c>
      <c r="V113" s="1" t="inlineStr">
        <is>
          <t>Unverified</t>
        </is>
      </c>
      <c r="W113" s="1" t="inlineStr">
        <is>
          <t>https://drive.google.com/uc?export=view&amp;id=1X9Rs-K3iSmEoAAjiAUTjAjVTKoKQ8hx_</t>
        </is>
      </c>
      <c r="X113" s="1" t="n"/>
      <c r="Y113" s="10" t="n"/>
      <c r="Z113" s="1" t="n"/>
      <c r="AA113" t="inlineStr">
        <is>
          <t>Yes</t>
        </is>
      </c>
      <c r="AB113" t="inlineStr">
        <is>
          <t>Rising Up</t>
        </is>
      </c>
      <c r="AC113" t="inlineStr">
        <is>
          <t>https://twitter.com/risinguparis</t>
        </is>
      </c>
      <c r="AD113" t="inlineStr">
        <is>
          <t>https://www.linkedin.com/company/18324967/admin/</t>
        </is>
      </c>
    </row>
    <row r="114" ht="12.5" customHeight="1">
      <c r="A114" s="6" t="n">
        <v>45181</v>
      </c>
      <c r="B114" s="1" t="inlineStr">
        <is>
          <t>ORG_1145</t>
        </is>
      </c>
      <c r="C114" s="1" t="b">
        <v>1</v>
      </c>
      <c r="D114" s="1" t="inlineStr">
        <is>
          <t>Beedeez SAS</t>
        </is>
      </c>
      <c r="E114" s="10" t="inlineStr">
        <is>
          <t>https://www.beedeez.com/</t>
        </is>
      </c>
      <c r="F114" t="inlineStr">
        <is>
          <t>beedeez.com</t>
        </is>
      </c>
      <c r="G114" s="1" t="inlineStr">
        <is>
          <t>Beedeez is a leading Mobile &amp; Social Learning solution that revolutionizes professional training. Through innovative and engaging pedagogies, Beedeez transforms corporate training into a fun, collaborative, and effective learning experience while answering time and mobility constraints.
To offer personalized training to your employees, Beedeez provides you with a complete and integrated training environment. Its collaborative and intuitive authoring platform will allow you to animate your communities of learners and create customized content for instant knowledge transmission. Freed from strict formats and supervised training, the transmission of knowledge becomes exponential, with infinite sources!</t>
        </is>
      </c>
      <c r="H114" s="1" t="inlineStr">
        <is>
          <t>EdTech France</t>
        </is>
      </c>
      <c r="J114" s="1" t="inlineStr">
        <is>
          <t>PARIS</t>
        </is>
      </c>
      <c r="K114" s="1" t="inlineStr">
        <is>
          <t>France</t>
        </is>
      </c>
      <c r="L114" s="1" t="inlineStr">
        <is>
          <t>Belgium, France, United Kingdom</t>
        </is>
      </c>
      <c r="M114" s="1" t="inlineStr">
        <is>
          <t>11 to 50</t>
        </is>
      </c>
      <c r="N114" s="1" t="inlineStr">
        <is>
          <t>Business to Business</t>
        </is>
      </c>
      <c r="O114" s="1" t="inlineStr">
        <is>
          <t>Corporate Training</t>
        </is>
      </c>
      <c r="P114" s="1" t="inlineStr">
        <is>
          <t>System/Administrative</t>
        </is>
      </c>
      <c r="Q114" t="inlineStr">
        <is>
          <t>Beedeez</t>
        </is>
      </c>
      <c r="R114" s="10" t="inlineStr">
        <is>
          <t>Beedeez’s value proposition is to “learn at every moment”. Learners have access to a mobile-first social hub that is gamified, easy to use, and enables them to learn whenever and wherever they want. Digital Learning Managers can create and share meaningful content in 15 minutes on a collaborative back-office. They have access to diverse content and gamification options, detailed reporting as well as the ability to personalize the learner’s experience through recommendations, diagnostics, challenges, and certifications.</t>
        </is>
      </c>
      <c r="S114" s="10" t="inlineStr">
        <is>
          <t>https://drive.google.com/uc?export=view&amp;id=1xvGBiT6oTPSfkRGtk8TU6yW5Ynszi0bA</t>
        </is>
      </c>
      <c r="T114" t="inlineStr">
        <is>
          <t>https://drive.google.com/uc?export=view&amp;id=1xvGBiT6oTPSfkRGtk8TU6yW5Ynszi0bA</t>
        </is>
      </c>
      <c r="U114" s="1" t="inlineStr">
        <is>
          <t>https://drive.google.com/uc?export=view&amp;id=1xvGBiT6oTPSfkRGtk8TU6yW5Ynszi0bA</t>
        </is>
      </c>
      <c r="V114" s="1" t="inlineStr">
        <is>
          <t>Unverified</t>
        </is>
      </c>
      <c r="Y114" s="10" t="n"/>
      <c r="Z114" s="1" t="n"/>
      <c r="AA114" t="inlineStr">
        <is>
          <t>Yes</t>
        </is>
      </c>
      <c r="AB114" t="inlineStr">
        <is>
          <t>https://twitter.com/BeedeezApp</t>
        </is>
      </c>
      <c r="AC114" t="inlineStr">
        <is>
          <t>https://twitter.com/BeedeezApp</t>
        </is>
      </c>
      <c r="AD114" t="inlineStr">
        <is>
          <t>https://www.linkedin.com/company/beedeez/</t>
        </is>
      </c>
    </row>
    <row r="115" ht="12.5" customHeight="1">
      <c r="A115" s="6" t="n">
        <v>45181</v>
      </c>
      <c r="B115" s="1" t="inlineStr">
        <is>
          <t>ORG_1316</t>
        </is>
      </c>
      <c r="C115" s="1" t="b">
        <v>1</v>
      </c>
      <c r="D115" s="1" t="inlineStr">
        <is>
          <t>Cultydata</t>
        </is>
      </c>
      <c r="E115" s="10" t="inlineStr">
        <is>
          <t>https://www.linkedin.cn/company/cultydata</t>
        </is>
      </c>
      <c r="F115" t="inlineStr">
        <is>
          <t>linkedin.cn/company/cultydata</t>
        </is>
      </c>
      <c r="G115" s="1" t="inlineStr">
        <is>
          <t>Tech company &amp; Edtech on Web3, Machine Learning, Iot, Maths &amp; Cryptographical System.</t>
        </is>
      </c>
      <c r="H115" s="1" t="inlineStr">
        <is>
          <t>I'm not part of any EdTech association</t>
        </is>
      </c>
      <c r="J115" s="1" t="inlineStr">
        <is>
          <t>Le Pecq</t>
        </is>
      </c>
      <c r="K115" s="1" t="inlineStr">
        <is>
          <t>France</t>
        </is>
      </c>
      <c r="L115" s="1" t="inlineStr">
        <is>
          <t>France</t>
        </is>
      </c>
      <c r="M115" s="1" t="inlineStr">
        <is>
          <t>0 to 10</t>
        </is>
      </c>
      <c r="N115" s="1" t="inlineStr">
        <is>
          <t>Business to Business</t>
        </is>
      </c>
      <c r="O115" s="1" t="inlineStr">
        <is>
          <t>Corporate Training, Lifelong learning/Adult education</t>
        </is>
      </c>
      <c r="P115" s="1" t="inlineStr">
        <is>
          <t>Student interfacing, Teacher interfacing, System/Administrative</t>
        </is>
      </c>
      <c r="S115" t="inlineStr">
        <is>
          <t>https://drive.google.com/uc?export=view&amp;id=1Pb8rf-_bbwpKvcrm2cRyWVgXlUbkiDSn</t>
        </is>
      </c>
      <c r="T115" t="inlineStr">
        <is>
          <t>https://drive.google.com/uc?export=view&amp;id=1Pb8rf-_bbwpKvcrm2cRyWVgXlUbkiDSn</t>
        </is>
      </c>
      <c r="U115" t="inlineStr">
        <is>
          <t>https://drive.google.com/uc?export=view&amp;id=1Pb8rf-_bbwpKvcrm2cRyWVgXlUbkiDSn</t>
        </is>
      </c>
      <c r="V115" t="inlineStr">
        <is>
          <t>Unverified</t>
        </is>
      </c>
      <c r="Y115" s="10" t="n"/>
      <c r="Z115" s="1" t="n"/>
      <c r="AA115" t="inlineStr">
        <is>
          <t>No</t>
        </is>
      </c>
    </row>
    <row r="116" ht="12.5" customHeight="1">
      <c r="A116" s="6" t="n">
        <v>45181</v>
      </c>
      <c r="B116" s="1" t="inlineStr">
        <is>
          <t>ORG_2078</t>
        </is>
      </c>
      <c r="C116" s="1" t="b">
        <v>1</v>
      </c>
      <c r="D116" s="1" t="inlineStr">
        <is>
          <t>ORIENTOI</t>
        </is>
      </c>
      <c r="E116" s="10" t="inlineStr">
        <is>
          <t>https://orientoi.fr</t>
        </is>
      </c>
      <c r="F116" t="inlineStr">
        <is>
          <t>orientoi.fr</t>
        </is>
      </c>
      <c r="G116" s="1" t="inlineStr">
        <is>
          <t>What if we orient ourselves through play?
Building your orientation project while having fun is possible with Orientoi: Thanks to the innovative digital platforms developed, young people play and discover new professions in a positive way.
Discover an intuitive technology based on artificial intelligence, allowing you to create a personalized route, adapted and designed for the user. Playful and connected, the platform is updated with each new interaction. The ideal solution to include young people and help them identify their talents and play a role in their orientation.
Give yourself the means to accompany them!
Orientoi provides a connected space to allow tailor-made support for everyone: parents, teachers, supervisors, psychologists and coaches. You all have superpowers.</t>
        </is>
      </c>
      <c r="H116" s="1" t="inlineStr">
        <is>
          <t>EdTech France</t>
        </is>
      </c>
      <c r="J116" s="1" t="inlineStr">
        <is>
          <t>LILLE</t>
        </is>
      </c>
      <c r="K116" s="1" t="inlineStr">
        <is>
          <t>France</t>
        </is>
      </c>
      <c r="L116" s="1" t="inlineStr">
        <is>
          <t>France, Switzerland</t>
        </is>
      </c>
      <c r="M116" s="1" t="inlineStr">
        <is>
          <t>0 to 10</t>
        </is>
      </c>
      <c r="N116" s="1" t="inlineStr">
        <is>
          <t>Business to Business, Business to Government</t>
        </is>
      </c>
      <c r="O116" s="1" t="inlineStr">
        <is>
          <t>Secondary Education, Higher Education, Corporate Training, Lifelong learning/Adult education</t>
        </is>
      </c>
      <c r="P116" s="1" t="inlineStr">
        <is>
          <t>System/Administrative, Student interfacing, Teacher interfacing</t>
        </is>
      </c>
      <c r="Q116" s="10" t="inlineStr">
        <is>
          <t>Orientoi Success</t>
        </is>
      </c>
      <c r="R116" s="10" t="inlineStr">
        <is>
          <t>This digital, fun and positive solution is an innovative vision of the construction of guidance paths. By offering this concept based on use and interconnected with all guidance actors, ORIENTOI allows the user to identify their talents while playing and to discover jobs adapted to their personality.
The platform contains 2 parts: a web application for users; a dashboard for teachers and parents.</t>
        </is>
      </c>
      <c r="S116" s="10" t="inlineStr">
        <is>
          <t>Orientoi Opportunity</t>
        </is>
      </c>
      <c r="T116" t="inlineStr">
        <is>
          <t>ORIENTOI has a personalized feature that allows training organizations to highlight their training, internship or work-study offers to their future candidates. The digital, fun and positive approach leads users to greater self-confidence and connects them to concrete proposals available.
The platform contains 2 parts: a web application for users; a dashboard for training and job placement advisors.</t>
        </is>
      </c>
      <c r="U116" s="1" t="inlineStr">
        <is>
          <t>https://drive.google.com/uc?export=view&amp;id=17moXERTj1ZGNWUaqGQ6UBPoaHz-va5EF</t>
        </is>
      </c>
      <c r="V116" s="1" t="inlineStr">
        <is>
          <t>Unverified</t>
        </is>
      </c>
      <c r="W116" s="1" t="inlineStr">
        <is>
          <t>https://drive.google.com/uc?export=view&amp;id=17moXERTj1ZGNWUaqGQ6UBPoaHz-va5EF</t>
        </is>
      </c>
      <c r="X116" s="1" t="n"/>
      <c r="Y116" s="10" t="n"/>
      <c r="Z116" s="1" t="n"/>
      <c r="AA116" t="inlineStr">
        <is>
          <t>Yes</t>
        </is>
      </c>
      <c r="AB116" t="inlineStr">
        <is>
          <t>https://www.instagram.com/orientoi.fr/</t>
        </is>
      </c>
      <c r="AC116" t="inlineStr">
        <is>
          <t>https://twitter.com/orientoi</t>
        </is>
      </c>
      <c r="AD116" t="inlineStr">
        <is>
          <t>https://www.linkedin.com/company/orientoi/</t>
        </is>
      </c>
    </row>
    <row r="117" ht="12.5" customHeight="1">
      <c r="A117" s="6" t="n">
        <v>45181</v>
      </c>
      <c r="B117" s="1" t="inlineStr">
        <is>
          <t>ORG_2243</t>
        </is>
      </c>
      <c r="C117" s="1" t="b">
        <v>1</v>
      </c>
      <c r="D117" s="1" t="inlineStr">
        <is>
          <t>Simone et les Robots</t>
        </is>
      </c>
      <c r="E117" s="10" t="inlineStr">
        <is>
          <t>https://www.simoneetlesrobots.com</t>
        </is>
      </c>
      <c r="F117" t="inlineStr">
        <is>
          <t>simoneetlesrobots.com</t>
        </is>
      </c>
      <c r="G117" s="1" t="inlineStr">
        <is>
          <t>Simone et les Robots is a digital transformation consulting agency specialized in higher education. We support universities and higher education institutions in their innovative digital projects by bringing them a strategic vision, an agility to integrate digital technology in their development and an ability to create connections in the EdTech ecosystem. Our inspiration is enriched by the diversity of academic, entrepreneurial and institutional encounters that make up our daily life. Our conviction is that the digital revolution creates the path to a new experience. Our determination to convince, evangelize, create and organize the digital transformation accompanies your projects.</t>
        </is>
      </c>
      <c r="H117" s="1" t="inlineStr">
        <is>
          <t>EdTech France</t>
        </is>
      </c>
      <c r="J117" s="1" t="inlineStr">
        <is>
          <t>PARIS</t>
        </is>
      </c>
      <c r="K117" s="1" t="inlineStr">
        <is>
          <t>France</t>
        </is>
      </c>
      <c r="L117" s="1" t="inlineStr">
        <is>
          <t>Belgium, France</t>
        </is>
      </c>
      <c r="M117" s="1" t="inlineStr">
        <is>
          <t>0 to 10</t>
        </is>
      </c>
      <c r="N117" s="1" t="inlineStr">
        <is>
          <t>Business to Business, Business to Schools</t>
        </is>
      </c>
      <c r="O117" s="1" t="inlineStr">
        <is>
          <t>Higher Education</t>
        </is>
      </c>
      <c r="P117" s="1" t="inlineStr">
        <is>
          <t>System/Administrative</t>
        </is>
      </c>
      <c r="Q117" s="10" t="inlineStr">
        <is>
          <t>Strategic consulting in digital transformation of HigherEd</t>
        </is>
      </c>
      <c r="R117" s="10" t="inlineStr">
        <is>
          <t>We support higher education institutions in the development and implementation of their digital transformation strategy by providing them with a strategic vision, agility in integrating digital in their development and the ability to create connections in the EdTech ecosystem.
Whether it's a question of thinking about the evolution of your organization in an economy dominated by digital technology, developing an innovative and differentiating digital project together, or building your responses to national calls for projects, we are at your side.
Simone and the Robots will accompany you at each step of your project.</t>
        </is>
      </c>
      <c r="S117" s="10" t="inlineStr">
        <is>
          <t>Brand and communication strategy consulting</t>
        </is>
      </c>
      <c r="T117" t="inlineStr">
        <is>
          <t>Simone and her Robots can help you define, review or reorient your brand and communication strategy. We bring you our strategic, organizational and political vision to help you take the necessary step back in your reflection.
We work with you and your teams to define your brand and communication strategies: what story does your brand tell? What values does it carry? What unique experience do you offer to your customers? How do you share your vision and values? 
Simone and the Robots will accompany you at all stages of your project, from strategy to implementation.</t>
        </is>
      </c>
      <c r="U117" s="1" t="inlineStr">
        <is>
          <t>https://drive.google.com/uc?export=view&amp;id=1oznWIWkQSzZ6jAHt_y8DVVLxTHH85018</t>
        </is>
      </c>
      <c r="V117" s="1" t="inlineStr">
        <is>
          <t>Unverified</t>
        </is>
      </c>
      <c r="W117" s="1" t="inlineStr">
        <is>
          <t>https://drive.google.com/uc?export=view&amp;id=1oznWIWkQSzZ6jAHt_y8DVVLxTHH85018</t>
        </is>
      </c>
      <c r="X117" s="1" t="n"/>
      <c r="Y117" s="10" t="n"/>
      <c r="Z117" s="1" t="n"/>
      <c r="AA117" t="inlineStr">
        <is>
          <t>Yes</t>
        </is>
      </c>
      <c r="AB117" t="inlineStr">
        <is>
          <t>https://www.instagram.com/simoneetlesrobots</t>
        </is>
      </c>
      <c r="AC117" t="inlineStr">
        <is>
          <t>https://twitter.com/simonelesrobots</t>
        </is>
      </c>
      <c r="AD117" t="inlineStr">
        <is>
          <t>https://www.linkedin.com/company/simone-et-les-robots/</t>
        </is>
      </c>
    </row>
    <row r="118" ht="12.5" customHeight="1">
      <c r="A118" s="6" t="n">
        <v>45181</v>
      </c>
      <c r="B118" s="1" t="inlineStr">
        <is>
          <t>ORG_2269</t>
        </is>
      </c>
      <c r="C118" s="1" t="b">
        <v>1</v>
      </c>
      <c r="D118" s="1" t="inlineStr">
        <is>
          <t>SKOLENGO</t>
        </is>
      </c>
      <c r="E118" s="10" t="inlineStr">
        <is>
          <t>https://www.skolengo.com/en/</t>
        </is>
      </c>
      <c r="F118" t="inlineStr">
        <is>
          <t>skolengo.com/en</t>
        </is>
      </c>
      <c r="G118" s="1" t="inlineStr">
        <is>
          <t>Skolengo is a major player in European Digital Education sector and, for more than 20 years, has been assisting schools, junior schools, high schools or Higher Education establishments as well as the institutions which administer them, in their process of integrating digital technology at all levels.
Our teams are composed of 120 educational specialists and digital experts, and, in collaboration with stakeholders in the field, have designed a solution which allows the educational community to concentrate on its missions while greatly easing the technical constraints which weigh on schools and universities.
A highly innovative company, we work together to offer digital solutions adapted to schools which are more and more connected, personalised and adaptive.</t>
        </is>
      </c>
      <c r="H118" s="1" t="inlineStr">
        <is>
          <t>AFINEF, EdTech France</t>
        </is>
      </c>
      <c r="J118" s="1" t="inlineStr">
        <is>
          <t>NANTES</t>
        </is>
      </c>
      <c r="K118" s="1" t="inlineStr">
        <is>
          <t>France</t>
        </is>
      </c>
      <c r="L118" s="1" t="inlineStr">
        <is>
          <t>France</t>
        </is>
      </c>
      <c r="M118" s="1" t="inlineStr">
        <is>
          <t>100+</t>
        </is>
      </c>
      <c r="N118" s="1" t="inlineStr">
        <is>
          <t>Business to Business, Business to Schools</t>
        </is>
      </c>
      <c r="O118" s="1" t="inlineStr">
        <is>
          <t>Primary Education, Secondary Education, Higher Education, Lifelong learning/Adult education</t>
        </is>
      </c>
      <c r="P118" s="1" t="inlineStr">
        <is>
          <t>System/Administrative, Student interfacing, Teacher interfacing</t>
        </is>
      </c>
      <c r="Q118" t="inlineStr">
        <is>
          <t>Skolengo</t>
        </is>
      </c>
      <c r="R118" s="10" t="inlineStr">
        <is>
          <t>Skolengo, the EMS (Education Management Software), is an SaaS platform dedicated to teaching and training establishments but also to the institutions managing school networks.
Its goal: to closely adapt to the needs of education and to optimise the operation of schools though all their facets.
Skolengo adapts to each school's own needs. Opt for modules that interest you and our teams will integrate them into your existing information system : 
- Communication
Develop and reinforce the links within your educational community
- Collaborative
Reinforce the collaboration between teachers and their pupils/students but also between all members of your educational community
- Teaching
Liven up your teaching activities and provide each student with individual assistance
- Schooling
Provide a tailored follow-up for each learner: management of absences, assessments, student records, punishments/sanctions; internship management, etc.
- Timetable
Design and modify your school’s timetable easily
- Administrative &amp; Finance
Provide efficient management of your school and simplify the administrative and financial procedures of the school and families
- Catering
No more uncounted entries! Gain in efficiency in the management of catering and its billing
- Training &amp; Course Choice
Assisting students in building their educational and professional path</t>
        </is>
      </c>
      <c r="S118" t="inlineStr">
        <is>
          <t>https://drive.google.com/uc?export=view&amp;id=1Fr4xey2vcvAVdqnR9bN2y88ZENlS6Spc</t>
        </is>
      </c>
      <c r="T118" t="inlineStr">
        <is>
          <t>https://drive.google.com/uc?export=view&amp;id=1Fr4xey2vcvAVdqnR9bN2y88ZENlS6Spc</t>
        </is>
      </c>
      <c r="U118" s="1" t="inlineStr">
        <is>
          <t>https://drive.google.com/uc?export=view&amp;id=1Fr4xey2vcvAVdqnR9bN2y88ZENlS6Spc</t>
        </is>
      </c>
      <c r="V118" s="1" t="inlineStr">
        <is>
          <t>Unverified</t>
        </is>
      </c>
      <c r="Y118" s="10" t="n"/>
      <c r="Z118" s="1" t="n"/>
      <c r="AA118" t="inlineStr">
        <is>
          <t>Yes</t>
        </is>
      </c>
      <c r="AB118" t="inlineStr">
        <is>
          <t>https://twitter.com/skolengo</t>
        </is>
      </c>
      <c r="AC118" t="inlineStr">
        <is>
          <t>https://twitter.com/skolengo</t>
        </is>
      </c>
    </row>
    <row r="119" ht="12.5" customHeight="1">
      <c r="A119" s="6" t="n">
        <v>45186</v>
      </c>
      <c r="B119" s="1" t="inlineStr">
        <is>
          <t>ORG_2430</t>
        </is>
      </c>
      <c r="C119" s="1" t="b">
        <v>1</v>
      </c>
      <c r="D119" s="1" t="inlineStr">
        <is>
          <t>Trezorium</t>
        </is>
      </c>
      <c r="E119" s="10" t="inlineStr">
        <is>
          <t>https://www.trezorium.com/</t>
        </is>
      </c>
      <c r="F119" t="inlineStr">
        <is>
          <t>trezorium.com</t>
        </is>
      </c>
      <c r="G119" s="1" t="inlineStr">
        <is>
          <t>Trezorium aims to develop creativity and empowerment of kids and big kids thanks to a creative educational methods and digital technology. Trezorium sets up fablabs for kids &amp; big kids in schools, library, museum and companies. With the challenge of developing the creative and digital skills of individuals, Trezorium develops and supports the implementation of open badge recognition systems for learning organizations and territories.</t>
        </is>
      </c>
      <c r="H119" s="1" t="inlineStr">
        <is>
          <t>EdTech France</t>
        </is>
      </c>
      <c r="I119" s="1" t="inlineStr">
        <is>
          <t>French</t>
        </is>
      </c>
      <c r="J119" s="1" t="inlineStr">
        <is>
          <t>TOURCOING</t>
        </is>
      </c>
      <c r="K119" s="1" t="inlineStr">
        <is>
          <t>France</t>
        </is>
      </c>
      <c r="L119" s="1" t="inlineStr">
        <is>
          <t>France</t>
        </is>
      </c>
      <c r="M119" s="1" t="inlineStr">
        <is>
          <t>0 to 2</t>
        </is>
      </c>
      <c r="N119" s="1" t="inlineStr">
        <is>
          <t>Business to Government, Business to Schools</t>
        </is>
      </c>
      <c r="O119" s="1" t="inlineStr">
        <is>
          <t>Primary Education, Secondary Education, Lifelong learning/Adult education</t>
        </is>
      </c>
      <c r="P119" s="1" t="inlineStr">
        <is>
          <t>System/Administrative, Student interfacing, Teacher interfacing</t>
        </is>
      </c>
      <c r="Q119" s="10" t="inlineStr">
        <is>
          <t>Fablab for kids</t>
        </is>
      </c>
      <c r="R119" s="10" t="inlineStr">
        <is>
          <t>Implementation of experiments of liberation and creation of ideas for educational purposes (inspired by fablabs) by supporting educational structures and communities: animation of creative &amp; digital workshops and training</t>
        </is>
      </c>
      <c r="S119" s="10" t="inlineStr">
        <is>
          <t>Makerium.fr</t>
        </is>
      </c>
      <c r="T119" t="inlineStr">
        <is>
          <t>Makerium.fr is the leading online platform for Maker Education, which brings together educational content to conduct cross-disciplinary, creative and digital workshops with young people and distributes open badges in order to promote and recognize the skills acquired.</t>
        </is>
      </c>
      <c r="U119" s="1" t="inlineStr">
        <is>
          <t>https://drive.google.com/uc?export=view&amp;id=1VfXIx7UC-5AMX9sgzh53wray6f5ifzhi</t>
        </is>
      </c>
      <c r="V119" s="1" t="inlineStr">
        <is>
          <t>Unverified</t>
        </is>
      </c>
      <c r="W119" s="10" t="inlineStr">
        <is>
          <t>https://drive.google.com/uc?export=view&amp;id=1VfXIx7UC-5AMX9sgzh53wray6f5ifzhi</t>
        </is>
      </c>
      <c r="X119" s="1" t="n"/>
      <c r="Y119" s="10" t="n"/>
      <c r="Z119" s="1" t="n"/>
      <c r="AA119" t="inlineStr">
        <is>
          <t>Yes</t>
        </is>
      </c>
      <c r="AB119" t="inlineStr">
        <is>
          <t>https://www.instagram.com/trezorium/</t>
        </is>
      </c>
      <c r="AC119" t="inlineStr">
        <is>
          <t>https://twitter.com/trezorium</t>
        </is>
      </c>
      <c r="AD119" t="inlineStr">
        <is>
          <t>https://www.linkedin.com/company/trezorium</t>
        </is>
      </c>
    </row>
    <row r="120" ht="12.5" customHeight="1">
      <c r="A120" s="6" t="n">
        <v>45181</v>
      </c>
      <c r="B120" s="1" t="inlineStr">
        <is>
          <t>ORG_1139</t>
        </is>
      </c>
      <c r="C120" s="1" t="b">
        <v>1</v>
      </c>
      <c r="D120" s="1" t="inlineStr">
        <is>
          <t>BCdiploma</t>
        </is>
      </c>
      <c r="E120" s="10" t="inlineStr">
        <is>
          <t>https://www.bcdiploma.com</t>
        </is>
      </c>
      <c r="F120" t="inlineStr">
        <is>
          <t>bcdiploma.com</t>
        </is>
      </c>
      <c r="G120" s="1" t="inlineStr">
        <is>
          <t>The blockchain-based credentialing solution for all your online certificates, academic credentials, micro-credentials, transcripts, digital badges and open-badges. 
#TOEIC &amp; 120+ institutions on 4 continents rely on us.</t>
        </is>
      </c>
      <c r="H120" s="1" t="inlineStr">
        <is>
          <t>EdTech France</t>
        </is>
      </c>
      <c r="J120" s="1" t="inlineStr">
        <is>
          <t>Paris</t>
        </is>
      </c>
      <c r="K120" s="1" t="inlineStr">
        <is>
          <t>France</t>
        </is>
      </c>
      <c r="L120" s="1" t="inlineStr">
        <is>
          <t>France, Hungary, Monaco, Spain, Switzerland</t>
        </is>
      </c>
      <c r="M120" s="1" t="inlineStr">
        <is>
          <t>11 to 50</t>
        </is>
      </c>
      <c r="N120" s="1" t="inlineStr">
        <is>
          <t>Business to Business</t>
        </is>
      </c>
      <c r="O120" s="1" t="inlineStr">
        <is>
          <t>Higher Education, Corporate Training, Lifelong learning/Adult education</t>
        </is>
      </c>
      <c r="P120" s="1" t="inlineStr">
        <is>
          <t>System/Administrative</t>
        </is>
      </c>
      <c r="Q120" t="inlineStr">
        <is>
          <t>BCdiploma Digital Credentials</t>
        </is>
      </c>
      <c r="R120" s="10" t="inlineStr">
        <is>
          <t>All your diplomas, certifications, transcripts or acquired skills become tamper-proof and verifiable using the Blockchain technology system. BCdiploma also lets you customize the content and the design of all your academic documents.</t>
        </is>
      </c>
      <c r="S120" s="10" t="inlineStr">
        <is>
          <t>BCdiploma Micro-Credentials</t>
        </is>
      </c>
      <c r="T120" t="inlineStr">
        <is>
          <t>Add value to your training courses and acquired skills with our micro-credentials. Create, customize and secure your micro-credentials in a few clicks. With the Blockchain technology by BCdiploma, your micro-credentials are forgery-proof and durable.</t>
        </is>
      </c>
      <c r="U120" s="1" t="inlineStr">
        <is>
          <t>https://drive.google.com/uc?export=view&amp;id=1jgF-5lSUcH-u8WXqMzbtjbOqyoKtdIns</t>
        </is>
      </c>
      <c r="V120" s="1" t="inlineStr">
        <is>
          <t>Unverified</t>
        </is>
      </c>
      <c r="W120" s="1" t="inlineStr">
        <is>
          <t>https://drive.google.com/uc?export=view&amp;id=1jgF-5lSUcH-u8WXqMzbtjbOqyoKtdIns</t>
        </is>
      </c>
      <c r="X120" s="1" t="n"/>
      <c r="Y120" s="10" t="n"/>
      <c r="Z120" s="1" t="n"/>
      <c r="AA120" t="inlineStr">
        <is>
          <t>Yes</t>
        </is>
      </c>
      <c r="AB120" t="inlineStr">
        <is>
          <t>https://twitter.com/BCDiploma</t>
        </is>
      </c>
      <c r="AC120" t="inlineStr">
        <is>
          <t>https://twitter.com/BCDiploma</t>
        </is>
      </c>
      <c r="AD120" t="inlineStr">
        <is>
          <t>https://www.linkedin.com/company/blockchaincertifieddata</t>
        </is>
      </c>
    </row>
    <row r="121" ht="12.5" customHeight="1">
      <c r="A121" s="6" t="n">
        <v>45181</v>
      </c>
      <c r="B121" s="1" t="inlineStr">
        <is>
          <t>ORG_1374</t>
        </is>
      </c>
      <c r="C121" s="1" t="b">
        <v>1</v>
      </c>
      <c r="D121" s="1" t="inlineStr">
        <is>
          <t>Dokki</t>
        </is>
      </c>
      <c r="E121" s="10" t="inlineStr">
        <is>
          <t>https://www.dokki.app/</t>
        </is>
      </c>
      <c r="F121" t="inlineStr">
        <is>
          <t>dokki.app</t>
        </is>
      </c>
      <c r="G121" s="1" t="inlineStr">
        <is>
          <t>Dokki is the Cloud Learning application, allowing you to learn a little every day in small sequences of 30 seconds to 5 minutes. Dokki is also a digitalization service for micro-training. We offer an extensive catalog of training courses. We also can produce training or information content entirely tailored to specific business needs, whatever they may be. And finally, we can integrate the content made by companies directly into the application. Dokki is a technology available on the computer, the tablet, the mobile, and tomorrow the VR, backed by a pedagogical approach adapted to the current world, the MicroLearning.</t>
        </is>
      </c>
      <c r="H121" s="1" t="inlineStr">
        <is>
          <t>EdTech France</t>
        </is>
      </c>
      <c r="J121" s="1" t="inlineStr">
        <is>
          <t>HEROUVILLE SAINT CLAIR</t>
        </is>
      </c>
      <c r="K121" s="1" t="inlineStr">
        <is>
          <t>France</t>
        </is>
      </c>
      <c r="L121" s="1" t="inlineStr">
        <is>
          <t>Denmark, Finland, France, Sweden</t>
        </is>
      </c>
      <c r="M121" s="1" t="inlineStr">
        <is>
          <t>11 to 50</t>
        </is>
      </c>
      <c r="N121" s="1" t="inlineStr">
        <is>
          <t>Business to Business</t>
        </is>
      </c>
      <c r="O121" s="1" t="inlineStr">
        <is>
          <t>Corporate Training</t>
        </is>
      </c>
      <c r="P121" s="1" t="inlineStr">
        <is>
          <t>System/Administrative</t>
        </is>
      </c>
      <c r="Q121" s="10" t="inlineStr">
        <is>
          <t>Dokki</t>
        </is>
      </c>
      <c r="R121" s="10" t="inlineStr">
        <is>
          <t>Dokki is the Cloud Learning application, allowing you to learn a little every day in small sequences of 30 seconds to 5 minutes. Dokki is also a digitalization service for micro-training. We offer an extensive catalog of training courses. We also can produce training or information content entirely tailored to specific business needs, whatever they may be. And finally, we can integrate the content made by companies directly into the application. Dokki is a technology available on the computer, the tablet, the mobile, and tomorrow the VR, backed by a pedagogical approach adapted to the current world, the MicroLearning.</t>
        </is>
      </c>
      <c r="S121" s="10" t="inlineStr">
        <is>
          <t>https://drive.google.com/uc?export=view&amp;id=1uFPKRU_mc0lOZWYzTkgtx16m4eGYXeF4</t>
        </is>
      </c>
      <c r="T121" t="inlineStr">
        <is>
          <t>https://drive.google.com/uc?export=view&amp;id=1uFPKRU_mc0lOZWYzTkgtx16m4eGYXeF4</t>
        </is>
      </c>
      <c r="U121" s="1" t="inlineStr">
        <is>
          <t>https://drive.google.com/uc?export=view&amp;id=1uFPKRU_mc0lOZWYzTkgtx16m4eGYXeF4</t>
        </is>
      </c>
      <c r="V121" s="1" t="inlineStr">
        <is>
          <t>Unverified</t>
        </is>
      </c>
      <c r="Y121" s="10" t="n"/>
      <c r="Z121" s="1" t="n"/>
      <c r="AA121" t="inlineStr">
        <is>
          <t>Yes</t>
        </is>
      </c>
      <c r="AB121" t="inlineStr">
        <is>
          <t>https://www.instagram.com/dokkiapp</t>
        </is>
      </c>
      <c r="AC121" t="inlineStr">
        <is>
          <t>https://twitter.com/dokkiapp</t>
        </is>
      </c>
      <c r="AD121" t="inlineStr">
        <is>
          <t>https://www.linkedin.com/company/dokki</t>
        </is>
      </c>
    </row>
    <row r="122" ht="12.5" customHeight="1">
      <c r="A122" s="6" t="n">
        <v>45181</v>
      </c>
      <c r="B122" s="1" t="inlineStr">
        <is>
          <t>ORG_1386</t>
        </is>
      </c>
      <c r="C122" s="1" t="b">
        <v>1</v>
      </c>
      <c r="D122" s="1" t="inlineStr">
        <is>
          <t>DYNSEO</t>
        </is>
      </c>
      <c r="E122" s="10" t="inlineStr">
        <is>
          <t>https://www.dynseo.com/en</t>
        </is>
      </c>
      <c r="F122" t="inlineStr">
        <is>
          <t>dynseo.com/en</t>
        </is>
      </c>
      <c r="G122" s="1" t="inlineStr">
        <is>
          <t>DYNSEO is an e-health company developing brain and educational training programs for seniors, adults and children, available on tablets and smartphones. 
Our apps include more than 30 games, adapted to all the levels of cognition and culturally adapted as well.
With the Clint and Coco apps, you can personalize the training and participate in the children's development through playful and educational games targeting language, reading and written skills, attention and reflexes among other things.
The apps can be used as a training tool for special needs children with cognitive impairments (down syndrome), developmental disorders (autism)and learning disabilities like DYS disorders. 
Thanks to 3 levels of difficulty for each game and the possibility to create a profile to follow your evolution.</t>
        </is>
      </c>
      <c r="H122" s="1" t="inlineStr">
        <is>
          <t>EdTech France</t>
        </is>
      </c>
      <c r="J122" s="1" t="inlineStr">
        <is>
          <t>PARIS</t>
        </is>
      </c>
      <c r="K122" s="1" t="inlineStr">
        <is>
          <t>France</t>
        </is>
      </c>
      <c r="L122" s="1" t="inlineStr">
        <is>
          <t>Belgium, Denmark, France, Ireland, Italy, Luxembourg, Monaco, Netherlands, Portugal, Switzerland, United Kingdom</t>
        </is>
      </c>
      <c r="M122" s="1" t="inlineStr">
        <is>
          <t>0 to 10</t>
        </is>
      </c>
      <c r="N122" s="1" t="inlineStr">
        <is>
          <t>Business to Business, Business to Consumer</t>
        </is>
      </c>
      <c r="O122" s="1" t="inlineStr">
        <is>
          <t>Early childhood development (0-5 years), Primary Education, Secondary Education, Lifelong learning/Adult education</t>
        </is>
      </c>
      <c r="P122" s="1" t="inlineStr">
        <is>
          <t>System/Administrative, Student interfacing, Teacher interfacing</t>
        </is>
      </c>
      <c r="Q122" s="10" t="inlineStr">
        <is>
          <t>COCO</t>
        </is>
      </c>
      <c r="R122" s="1" t="inlineStr">
        <is>
          <t>COCO is an educational app for children from 5 to 10 years old, which includes more than 30 games, to be used at home with the parents, in school with teachers and assistants, or during therapy with health professionals.
All the games are adapted for children with cognitive impairments and can be adapted for all levels of cognition. 
The Coco app includes a Sports break after 15 minutes of screen time to help fight sedentary behaviors and teach a measured use of screens. These physical games can be played at any time or after 15 minutes of game time to allow the children to clear their brains and do some physical activity.</t>
        </is>
      </c>
      <c r="S122" s="10" t="inlineStr">
        <is>
          <t>CLINT</t>
        </is>
      </c>
      <c r="T122" t="inlineStr">
        <is>
          <t>The Clint training program is an app available on smartphones and tablets for adults wishing to train their brain and stimulate all their cognitive functions. 
The app contains more than 30 fun and cultural games to train the memory, attention, reflexes and so much more, all while having fun. 
It can be used by adults for a general training as well as teenagers with cognitive impairment as a tool for cognitive development.</t>
        </is>
      </c>
      <c r="U122" s="1" t="inlineStr">
        <is>
          <t>https://drive.google.com/uc?export=view&amp;id=1bV1NLlGEtI69C60Koyh8oEFV7ei_SYTK</t>
        </is>
      </c>
      <c r="V122" s="1" t="inlineStr">
        <is>
          <t>Unverified</t>
        </is>
      </c>
      <c r="W122" s="1" t="inlineStr">
        <is>
          <t>https://drive.google.com/uc?export=view&amp;id=1bV1NLlGEtI69C60Koyh8oEFV7ei_SYTK</t>
        </is>
      </c>
      <c r="X122" s="1" t="n"/>
      <c r="Y122" s="10" t="n"/>
      <c r="Z122" s="1" t="n"/>
      <c r="AA122" t="inlineStr">
        <is>
          <t>Yes</t>
        </is>
      </c>
      <c r="AB122" t="inlineStr">
        <is>
          <t>https://www.instagram.com/coco_educationalgames/</t>
        </is>
      </c>
      <c r="AC122" t="inlineStr">
        <is>
          <t>DYNSEO</t>
        </is>
      </c>
      <c r="AD122" t="inlineStr">
        <is>
          <t>https://www.linkedin.com/company/dynseo</t>
        </is>
      </c>
    </row>
    <row r="123" ht="12.5" customHeight="1">
      <c r="A123" s="6" t="n">
        <v>45181</v>
      </c>
      <c r="B123" s="1" t="inlineStr">
        <is>
          <t>ORG_1441</t>
        </is>
      </c>
      <c r="C123" s="1" t="b">
        <v>1</v>
      </c>
      <c r="D123" s="1" t="inlineStr">
        <is>
          <t>EDUKARE</t>
        </is>
      </c>
      <c r="E123" s="10" t="inlineStr">
        <is>
          <t>www.edukare.fr</t>
        </is>
      </c>
      <c r="F123" t="inlineStr">
        <is>
          <t>edukare.fr</t>
        </is>
      </c>
      <c r="G123" s="1" t="inlineStr">
        <is>
          <t>Our mission is to facilitate access to higher education, helping family to finance courses with an high level of employability. With Edukare as a platform:
School promote their accessibility program. Family achieve to access to quality education courses. Banks invest into futur customer with a high level of revenue. Sponsors help candidates to integrate a successfull career.</t>
        </is>
      </c>
      <c r="H123" s="1" t="inlineStr">
        <is>
          <t>I'm not part of any EdTech association</t>
        </is>
      </c>
      <c r="J123" s="1" t="inlineStr">
        <is>
          <t>Gignac-la-Nerthe</t>
        </is>
      </c>
      <c r="K123" s="1" t="inlineStr">
        <is>
          <t>France</t>
        </is>
      </c>
      <c r="L123" s="1" t="inlineStr">
        <is>
          <t>France</t>
        </is>
      </c>
      <c r="M123" s="1" t="inlineStr">
        <is>
          <t>0 to 10</t>
        </is>
      </c>
      <c r="N123" s="1" t="inlineStr">
        <is>
          <t>Business to Business, Business to Consumer</t>
        </is>
      </c>
      <c r="O123" s="1" t="inlineStr">
        <is>
          <t>Higher Education</t>
        </is>
      </c>
      <c r="P123" s="1" t="inlineStr">
        <is>
          <t>System/Administrative, Student interfacing</t>
        </is>
      </c>
      <c r="S123" t="inlineStr">
        <is>
          <t>https://drive.google.com/uc?export=view&amp;id=1ZV-gB3H0L106StF9dx07y077PVx0mQlJ</t>
        </is>
      </c>
      <c r="T123" t="inlineStr">
        <is>
          <t>https://drive.google.com/uc?export=view&amp;id=1ZV-gB3H0L106StF9dx07y077PVx0mQlJ</t>
        </is>
      </c>
      <c r="U123" t="inlineStr">
        <is>
          <t>https://drive.google.com/uc?export=view&amp;id=1ZV-gB3H0L106StF9dx07y077PVx0mQlJ</t>
        </is>
      </c>
      <c r="V123" t="inlineStr">
        <is>
          <t>Unverified</t>
        </is>
      </c>
      <c r="Y123" s="10" t="n"/>
      <c r="Z123" s="1" t="n"/>
      <c r="AA123" t="inlineStr">
        <is>
          <t>No</t>
        </is>
      </c>
    </row>
    <row r="124" ht="12.5" customHeight="1">
      <c r="A124" s="6" t="n">
        <v>45181</v>
      </c>
      <c r="B124" s="1" t="inlineStr">
        <is>
          <t>ORG_1530</t>
        </is>
      </c>
      <c r="C124" s="1" t="b">
        <v>1</v>
      </c>
      <c r="D124" s="1" t="inlineStr">
        <is>
          <t>Evolutiel</t>
        </is>
      </c>
      <c r="E124" s="10" t="inlineStr">
        <is>
          <t>www.evolutiel.com</t>
        </is>
      </c>
      <c r="F124" t="inlineStr">
        <is>
          <t>evolutiel.com</t>
        </is>
      </c>
      <c r="G124" s="1" t="inlineStr">
        <is>
          <t>A platform with applications for analyzing skills and training, for HR and recruiter
It use business case and serious gaming</t>
        </is>
      </c>
      <c r="H124" s="1" t="inlineStr">
        <is>
          <t>I'm not part of any EdTech association</t>
        </is>
      </c>
      <c r="J124" s="1" t="inlineStr">
        <is>
          <t>LYON</t>
        </is>
      </c>
      <c r="K124" s="1" t="inlineStr">
        <is>
          <t>France</t>
        </is>
      </c>
      <c r="L124" s="1" t="inlineStr">
        <is>
          <t>France</t>
        </is>
      </c>
      <c r="M124" s="1" t="inlineStr">
        <is>
          <t>0 to 10</t>
        </is>
      </c>
      <c r="N124" s="1" t="inlineStr">
        <is>
          <t>Business to Business, Business to Consumer, Business to Schools</t>
        </is>
      </c>
      <c r="O124" s="1" t="inlineStr">
        <is>
          <t>Primary Education, Secondary Education, Higher Education, Corporate Training, Lifelong learning/Adult education</t>
        </is>
      </c>
      <c r="P124" s="1" t="inlineStr">
        <is>
          <t>Teacher interfacing, Student interfacing, System/Administrative</t>
        </is>
      </c>
      <c r="S124" t="inlineStr">
        <is>
          <t>https://drive.google.com/uc?export=view&amp;id=1h7QWrA0dCXYIurTvpeD5ViaF6R_-9k8A</t>
        </is>
      </c>
      <c r="T124" t="inlineStr">
        <is>
          <t>https://drive.google.com/uc?export=view&amp;id=1h7QWrA0dCXYIurTvpeD5ViaF6R_-9k8A</t>
        </is>
      </c>
      <c r="U124" t="inlineStr">
        <is>
          <t>https://drive.google.com/uc?export=view&amp;id=1h7QWrA0dCXYIurTvpeD5ViaF6R_-9k8A</t>
        </is>
      </c>
      <c r="V124" t="inlineStr">
        <is>
          <t>Unverified</t>
        </is>
      </c>
      <c r="Y124" s="10" t="n"/>
      <c r="Z124" s="1" t="n"/>
      <c r="AA124" t="inlineStr">
        <is>
          <t>No</t>
        </is>
      </c>
    </row>
    <row r="125" ht="12.5" customHeight="1">
      <c r="A125" s="6" t="n">
        <v>45181</v>
      </c>
      <c r="B125" s="1" t="inlineStr">
        <is>
          <t>ORG_1764</t>
        </is>
      </c>
      <c r="C125" s="1" t="b">
        <v>1</v>
      </c>
      <c r="D125" s="1" t="inlineStr">
        <is>
          <t>Kalyzée</t>
        </is>
      </c>
      <c r="E125" s="10" t="inlineStr">
        <is>
          <t>https://www.kalyzee.com/en/</t>
        </is>
      </c>
      <c r="F125" t="inlineStr">
        <is>
          <t>kalyzee.com/en</t>
        </is>
      </c>
      <c r="G125" s="1" t="inlineStr">
        <is>
          <t>Kalyzée is specialising in autonomous audiovisual solutions, with a lecture capture camera. Founded in 2014 by three passionate people, Kalyzée revolutionizes E-learning by offering an all-in-one and user-friendly camera, allowing to record and broadcast courses, tutorials and MOOCs.</t>
        </is>
      </c>
      <c r="H125" s="1" t="inlineStr">
        <is>
          <t>EdTech France</t>
        </is>
      </c>
      <c r="J125" s="1" t="inlineStr">
        <is>
          <t>MARSEILLE</t>
        </is>
      </c>
      <c r="K125" s="1" t="inlineStr">
        <is>
          <t>France</t>
        </is>
      </c>
      <c r="L125" s="1" t="inlineStr">
        <is>
          <t>France, Germany, Luxembourg, Spain, United Kingdom</t>
        </is>
      </c>
      <c r="M125" s="1" t="inlineStr">
        <is>
          <t>11 to 50</t>
        </is>
      </c>
      <c r="N125" s="1" t="inlineStr">
        <is>
          <t>Business to Business, Business to Government, Business to Schools</t>
        </is>
      </c>
      <c r="O125" s="1" t="inlineStr">
        <is>
          <t>Primary Education, Secondary Education, Higher Education, Corporate Training, Lifelong learning/Adult education</t>
        </is>
      </c>
      <c r="P125" s="1" t="inlineStr">
        <is>
          <t>Teacher interfacing, System/Administrative</t>
        </is>
      </c>
      <c r="Q125" t="inlineStr">
        <is>
          <t>Kast Revolt</t>
        </is>
      </c>
      <c r="R125" s="10" t="inlineStr">
        <is>
          <t>The Kast camera is an intelligent, intuitive, and easy-to-use camera that allows teachers to broadcast their lessons via video while integrating their presentation support. Remotely controlled via an application or a web interface, it is the first camera that has an entire software system embedded directly within the camera.</t>
        </is>
      </c>
      <c r="S125" s="10" t="inlineStr">
        <is>
          <t>Kapture</t>
        </is>
      </c>
      <c r="T125" t="inlineStr">
        <is>
          <t>Kapture is a platform that allows teachers to broadcast, stream and record their content live to learners while keeping interaction at the utmost importance.</t>
        </is>
      </c>
      <c r="U125" s="1" t="inlineStr">
        <is>
          <t>https://drive.google.com/uc?export=view&amp;id=1B0Hi93eIeepsnwKKq_10us1Gsf78lf7W</t>
        </is>
      </c>
      <c r="V125" s="1" t="inlineStr">
        <is>
          <t>Unverified</t>
        </is>
      </c>
      <c r="W125" s="1" t="inlineStr">
        <is>
          <t>https://drive.google.com/uc?export=view&amp;id=1B0Hi93eIeepsnwKKq_10us1Gsf78lf7W</t>
        </is>
      </c>
      <c r="X125" s="1" t="n"/>
      <c r="Y125" s="10" t="n"/>
      <c r="Z125" s="1" t="n"/>
      <c r="AA125" t="inlineStr">
        <is>
          <t>Yes</t>
        </is>
      </c>
      <c r="AB125" t="inlineStr">
        <is>
          <t>https://twitter.com/Kalyzee</t>
        </is>
      </c>
      <c r="AC125" t="inlineStr">
        <is>
          <t>https://twitter.com/Kalyzee</t>
        </is>
      </c>
      <c r="AD125" t="inlineStr">
        <is>
          <t>https://www.linkedin.com/company/kalyz-e</t>
        </is>
      </c>
    </row>
    <row r="126" ht="12.5" customHeight="1">
      <c r="A126" s="6" t="n">
        <v>45181</v>
      </c>
      <c r="B126" s="1" t="inlineStr">
        <is>
          <t>ORG_1793</t>
        </is>
      </c>
      <c r="C126" s="1" t="b">
        <v>1</v>
      </c>
      <c r="D126" s="1" t="inlineStr">
        <is>
          <t>KUMULLUS</t>
        </is>
      </c>
      <c r="E126" s="10" t="inlineStr">
        <is>
          <t>www.kumullus.com</t>
        </is>
      </c>
      <c r="F126" t="inlineStr">
        <is>
          <t>kumullus.com</t>
        </is>
      </c>
      <c r="G126" s="1" t="inlineStr">
        <is>
          <t>Kumullus is a French edtech start-up that provide an Interactive Video Learning solution.
The K.Air authoring tool, launched in 2018, permit to create and deploy a new generation of learning modules to engage employees and networks on all LMS and Web platforms on the market.
95% of their learners approve this learning experience and engagement rates are multiplied by 4 compared to traditional e-learning.
The solution is already used by more than 200 key account customers in all sectors. On our tool, no less than 1,500 designers created more than 22,000 modules in 2021.</t>
        </is>
      </c>
      <c r="H126" s="1" t="inlineStr">
        <is>
          <t>EdTech France</t>
        </is>
      </c>
      <c r="J126" s="1" t="inlineStr">
        <is>
          <t>Rueil-Malmaison</t>
        </is>
      </c>
      <c r="K126" s="1" t="inlineStr">
        <is>
          <t>France</t>
        </is>
      </c>
      <c r="L126" s="1" t="inlineStr">
        <is>
          <t>France, Luxembourg, Spain, United Kingdom</t>
        </is>
      </c>
      <c r="M126" s="1" t="inlineStr">
        <is>
          <t>11 to 50</t>
        </is>
      </c>
      <c r="N126" s="1" t="inlineStr">
        <is>
          <t>Business to Business, Business to Government, Business to Schools</t>
        </is>
      </c>
      <c r="O126" s="1" t="inlineStr">
        <is>
          <t>Higher Education, Corporate Training</t>
        </is>
      </c>
      <c r="P126" s="1" t="inlineStr">
        <is>
          <t>Teacher interfacing, Student interfacing, System/Administrative</t>
        </is>
      </c>
      <c r="S126" t="inlineStr">
        <is>
          <t>https://drive.google.com/uc?export=view&amp;id=1U-EDrwZld5aZcySe-kRXjQmXTy9b9F3s</t>
        </is>
      </c>
      <c r="T126" t="inlineStr">
        <is>
          <t>https://drive.google.com/uc?export=view&amp;id=1U-EDrwZld5aZcySe-kRXjQmXTy9b9F3s</t>
        </is>
      </c>
      <c r="U126" t="inlineStr">
        <is>
          <t>https://drive.google.com/uc?export=view&amp;id=1U-EDrwZld5aZcySe-kRXjQmXTy9b9F3s</t>
        </is>
      </c>
      <c r="V126" t="inlineStr">
        <is>
          <t>Unverified</t>
        </is>
      </c>
      <c r="Y126" s="10" t="n"/>
      <c r="Z126" s="1" t="n"/>
      <c r="AA126" t="inlineStr">
        <is>
          <t>No</t>
        </is>
      </c>
    </row>
    <row r="127" ht="12.5" customHeight="1">
      <c r="A127" s="6" t="n">
        <v>45181</v>
      </c>
      <c r="B127" s="1" t="inlineStr">
        <is>
          <t>ORG_1917</t>
        </is>
      </c>
      <c r="C127" s="1" t="b">
        <v>1</v>
      </c>
      <c r="D127" s="1" t="inlineStr">
        <is>
          <t>Marbotic</t>
        </is>
      </c>
      <c r="E127" s="10" t="inlineStr">
        <is>
          <t>https://marbotic.com</t>
        </is>
      </c>
      <c r="F127" t="inlineStr">
        <is>
          <t>marbotic.com</t>
        </is>
      </c>
      <c r="G127" s="1" t="inlineStr">
        <is>
          <t>Marbotic is a multi sensory learning program that helps pre-K kids learn to read and count. 
Our products are both hardware and software and inspired by the Montessori Method. We have developed beautiful wooden letters and numbers that interact with tablets via a patented technology. 
Our Marbotic app is deployed on iPads and Android and focuses on early literacy and numeracy. 
Our solution is localised in English, French, German, Dutch, and Swedish. We sell both to parents and educators worldwide and are based in France.</t>
        </is>
      </c>
      <c r="H127" s="1" t="inlineStr">
        <is>
          <t>EdTech France</t>
        </is>
      </c>
      <c r="J127" s="1" t="inlineStr">
        <is>
          <t>BEGLES</t>
        </is>
      </c>
      <c r="K127" s="1" t="inlineStr">
        <is>
          <t>France</t>
        </is>
      </c>
      <c r="L127" s="1" t="inlineStr">
        <is>
          <t>Austria, Belgium, Denmark, Finland, France, Germany, Luxembourg, Netherlands, Norway, Sweden, Switzerland, United Kingdom</t>
        </is>
      </c>
      <c r="M127" s="1" t="inlineStr">
        <is>
          <t>11 to 50</t>
        </is>
      </c>
      <c r="N127" s="1" t="inlineStr">
        <is>
          <t>Business to Business, Business to Schools</t>
        </is>
      </c>
      <c r="O127" s="1" t="inlineStr">
        <is>
          <t>Early childhood development (0-5 years), Primary Education</t>
        </is>
      </c>
      <c r="P127" s="1" t="inlineStr">
        <is>
          <t>System/Administrative, Teacher interfacing</t>
        </is>
      </c>
      <c r="Q127" s="10" t="inlineStr">
        <is>
          <t>Marbotic Sensory Kit</t>
        </is>
      </c>
      <c r="R127" s="10" t="inlineStr">
        <is>
          <t>The Marbotic Sensory Kit is an innovative educational tool designed by experts to guide preschoolers on their learning journey through early reading and math skills.
It includes 26 lowercase wooden letters and 10 wooden numbers that interact with Marbotic iPad app. 
Thanks to our Montessori-inspired multisensory approach, we offer hands-on learning to preschoolers and help them learn by doing.</t>
        </is>
      </c>
      <c r="S127" s="10" t="inlineStr">
        <is>
          <t>Marbotic Deluxe Learning Kit</t>
        </is>
      </c>
      <c r="T127" t="inlineStr">
        <is>
          <t>The Deluxe Learning Kit includes 26 lowercase wooden letters and 10 wooden numbers that interact with Marbotic iPad app. When your child stamps a letter or a number in Marbotic app, your tablet recognizes it. 
Thanks to our Montessori-inspired multisensory approach, we offer hands-on learning to preschoolers and help them learn by doing.</t>
        </is>
      </c>
      <c r="U127" s="1" t="inlineStr">
        <is>
          <t>https://drive.google.com/uc?export=view&amp;id=1UlKnqcBY5rAjnfV7bY9JsHDlVtEEU1zX</t>
        </is>
      </c>
      <c r="V127" s="1" t="inlineStr">
        <is>
          <t>Unverified</t>
        </is>
      </c>
      <c r="W127" s="1" t="inlineStr">
        <is>
          <t>https://drive.google.com/uc?export=view&amp;id=1UlKnqcBY5rAjnfV7bY9JsHDlVtEEU1zX</t>
        </is>
      </c>
      <c r="X127" s="1" t="n"/>
      <c r="Y127" s="10" t="n"/>
      <c r="Z127" s="1" t="n"/>
      <c r="AA127" t="inlineStr">
        <is>
          <t>Yes</t>
        </is>
      </c>
      <c r="AB127" t="inlineStr">
        <is>
          <t>https://www.instagram.com/marbotic/</t>
        </is>
      </c>
      <c r="AC127" t="inlineStr">
        <is>
          <t>https://twitter.com/marbotic</t>
        </is>
      </c>
      <c r="AD127" t="inlineStr">
        <is>
          <t>https://www.linkedin.com/company/marbotic</t>
        </is>
      </c>
    </row>
    <row r="128" ht="12.5" customHeight="1">
      <c r="A128" s="6" t="n">
        <v>45181</v>
      </c>
      <c r="B128" s="1" t="inlineStr">
        <is>
          <t>ORG_2001</t>
        </is>
      </c>
      <c r="C128" s="1" t="b">
        <v>1</v>
      </c>
      <c r="D128" s="1" t="inlineStr">
        <is>
          <t>MY JOB GLASSES</t>
        </is>
      </c>
      <c r="E128" s="10" t="inlineStr">
        <is>
          <t>www.myjobglasses.com</t>
        </is>
      </c>
      <c r="F128" t="inlineStr">
        <is>
          <t>myjobglasses.com</t>
        </is>
      </c>
      <c r="G128" s="1" t="inlineStr">
        <is>
          <t>Founded in 2015, My Job Glasses is a platform that brings people together with the aim of sharing professional experiences. Nowadays, its community boasts 300,000 users in 130 countries.
The vision of My Job Glasses is to write a new chapter in the world of orientation and recruitment where access to experience-sharing is democratised. These discussions have a significant impact on the quality of guidance for young people. Companies are also able to recruit young people easily and increase retention over time.
Early 2022, My Job Glasses launched Experience, a SaaS platform that simplifies experience-sharing between employees from the same organisation in order to improve onboarding, encourage professional development, internal and geographical mobility, among others.
Digital at its best!</t>
        </is>
      </c>
      <c r="H128" s="1" t="inlineStr">
        <is>
          <t>EdTech France</t>
        </is>
      </c>
      <c r="J128" s="1" t="inlineStr">
        <is>
          <t>Paris</t>
        </is>
      </c>
      <c r="K128" s="1" t="inlineStr">
        <is>
          <t>France</t>
        </is>
      </c>
      <c r="L128" s="1" t="inlineStr">
        <is>
          <t>France</t>
        </is>
      </c>
      <c r="M128" s="1" t="inlineStr">
        <is>
          <t>11 to 50</t>
        </is>
      </c>
      <c r="N128" s="1" t="inlineStr">
        <is>
          <t>Business to Business, Business to Schools</t>
        </is>
      </c>
      <c r="O128" s="1" t="inlineStr">
        <is>
          <t>Higher Education, Corporate Training</t>
        </is>
      </c>
      <c r="P128" s="1" t="inlineStr">
        <is>
          <t>Student interfacing, Teacher interfacing, System/Administrative</t>
        </is>
      </c>
      <c r="Q128" s="10" t="inlineStr">
        <is>
          <t>My Job Glasses</t>
        </is>
      </c>
      <c r="R128" s="10" t="inlineStr">
        <is>
          <t>Founded in 2015, My Job Glasses is a platform that brings people together with the aim of sharing professional experiences. Nowadays, its community boasts 300,000 users in 130 countries.</t>
        </is>
      </c>
      <c r="S128" s="10" t="n"/>
      <c r="U128" s="1" t="n"/>
      <c r="V128" s="1" t="inlineStr">
        <is>
          <t>Unverified</t>
        </is>
      </c>
      <c r="Z128" s="1" t="n"/>
      <c r="AA128" t="inlineStr">
        <is>
          <t>Yes</t>
        </is>
      </c>
      <c r="AB128" t="inlineStr">
        <is>
          <t>https://www.instagram.com/myjobglasses/</t>
        </is>
      </c>
      <c r="AC128" t="inlineStr">
        <is>
          <t>https://twitter.com/myjobglasses</t>
        </is>
      </c>
      <c r="AD128" t="inlineStr">
        <is>
          <t>https://www.linkedin.com/company/7585486</t>
        </is>
      </c>
    </row>
    <row r="129" ht="12.5" customHeight="1">
      <c r="A129" s="6" t="n">
        <v>45181</v>
      </c>
      <c r="B129" s="1" t="inlineStr">
        <is>
          <t>ORG_2040</t>
        </is>
      </c>
      <c r="C129" s="1" t="b">
        <v>1</v>
      </c>
      <c r="D129" s="1" t="inlineStr">
        <is>
          <t>Niryo</t>
        </is>
      </c>
      <c r="E129" s="10" t="inlineStr">
        <is>
          <t>https://niryo.com/</t>
        </is>
      </c>
      <c r="F129" t="inlineStr">
        <is>
          <t>niryo.com</t>
        </is>
      </c>
      <c r="G129" s="1" t="inlineStr">
        <is>
          <t>Niryo is specialized in robotics and was primarily founded to take students and schools toward accessible, efficient, and attractive collaborative robots. Today, Niryo's savoir-faire is recognized throughout 60 countries, from pupils to professors to apprentices. 
Prestigious universities and technical high schools have adopted Ned and Ned2, while training centers chose to integrate these cobots within their courses, often spread across multiple years. 2 500 cobots out there, 2 500 reasons for the next (and actual) generations to succeed within the expanding Industry 5.0.</t>
        </is>
      </c>
      <c r="H129" s="1" t="inlineStr">
        <is>
          <t>I'm not part of any EdTech association</t>
        </is>
      </c>
      <c r="J129" s="1" t="inlineStr">
        <is>
          <t>Wambrechies</t>
        </is>
      </c>
      <c r="K129" s="1" t="inlineStr">
        <is>
          <t>France</t>
        </is>
      </c>
      <c r="L129" s="1" t="inlineStr">
        <is>
          <t>Austria, Finland, France, Germany, Hungary, Ireland, Italy, Poland, Portugal, Slovenia, Switzerland, United Kingdom</t>
        </is>
      </c>
      <c r="M129" s="1" t="inlineStr">
        <is>
          <t>11 to 50</t>
        </is>
      </c>
      <c r="N129" s="1" t="inlineStr">
        <is>
          <t>Business to Business, Business to Schools</t>
        </is>
      </c>
      <c r="O129" s="1" t="inlineStr">
        <is>
          <t>Primary Education, Secondary Education, Higher Education, Corporate Training, Lifelong learning/Adult education</t>
        </is>
      </c>
      <c r="P129" s="1" t="inlineStr">
        <is>
          <t>Teacher interfacing, System/Administrative</t>
        </is>
      </c>
      <c r="S129" t="inlineStr">
        <is>
          <t>https://drive.google.com/uc?export=view&amp;id=143_HP-7vU8twA5aAtNgJ9f6-tE0ifHJ_</t>
        </is>
      </c>
      <c r="T129" t="inlineStr">
        <is>
          <t>https://drive.google.com/uc?export=view&amp;id=143_HP-7vU8twA5aAtNgJ9f6-tE0ifHJ_</t>
        </is>
      </c>
      <c r="U129" t="inlineStr">
        <is>
          <t>https://drive.google.com/uc?export=view&amp;id=143_HP-7vU8twA5aAtNgJ9f6-tE0ifHJ_</t>
        </is>
      </c>
      <c r="V129" t="inlineStr">
        <is>
          <t>Unverified</t>
        </is>
      </c>
      <c r="Y129" s="10" t="n"/>
      <c r="Z129" s="1" t="n"/>
      <c r="AA129" t="inlineStr">
        <is>
          <t>No</t>
        </is>
      </c>
    </row>
    <row r="130" ht="12.5" customHeight="1">
      <c r="A130" s="6" t="n">
        <v>45181</v>
      </c>
      <c r="B130" s="1" t="inlineStr">
        <is>
          <t>ORG_2122</t>
        </is>
      </c>
      <c r="C130" s="1" t="b">
        <v>1</v>
      </c>
      <c r="D130" s="1" t="inlineStr">
        <is>
          <t>PrepMyFuture</t>
        </is>
      </c>
      <c r="E130" s="10" t="inlineStr">
        <is>
          <t>https://prepmyfuture.com/fr</t>
        </is>
      </c>
      <c r="F130" t="inlineStr">
        <is>
          <t>prepmyfuture.com/fr</t>
        </is>
      </c>
      <c r="G130" s="1" t="inlineStr">
        <is>
          <t>PrepMyFuture is an online platform specialized in preparing candidates for language certifications such as TOEFL, TOEIC, Linguaskill, IELTS, TEF, TCF, DELF, etc. as well as admission tests such as TAGE and Score IAE Message. 
We propose innovative educational materials to allow teachers to save time in the management of homework, and to help students succeed in their exams. Our platform adapts the questions to our users level, optimizing difficulty as their weaknesses are identified.</t>
        </is>
      </c>
      <c r="H130" s="1" t="inlineStr">
        <is>
          <t>EdTech France</t>
        </is>
      </c>
      <c r="J130" s="1" t="inlineStr">
        <is>
          <t>PARIS</t>
        </is>
      </c>
      <c r="K130" s="1" t="inlineStr">
        <is>
          <t>France</t>
        </is>
      </c>
      <c r="L130" s="1" t="inlineStr">
        <is>
          <t>Austria, Belgium, France, Germany, Ireland, Italy, Luxembourg, Malta, Netherlands, Norway, Portugal, Romania, Spain, Switzerland, United Kingdom</t>
        </is>
      </c>
      <c r="M130" s="1" t="inlineStr">
        <is>
          <t>0 to 10</t>
        </is>
      </c>
      <c r="N130" s="1" t="inlineStr">
        <is>
          <t>Business to Consumer</t>
        </is>
      </c>
      <c r="O130" s="1" t="inlineStr">
        <is>
          <t>Secondary Education, Higher Education</t>
        </is>
      </c>
      <c r="P130" s="1" t="inlineStr">
        <is>
          <t>Student interfacing, Teacher interfacing</t>
        </is>
      </c>
      <c r="Q130" s="10" t="inlineStr">
        <is>
          <t>Online preparations for language proficiency tests</t>
        </is>
      </c>
      <c r="R130" t="inlineStr">
        <is>
          <t>Our online preparations for language certifications are designed for candidates who wish to study for a test that they choose to take, depending on their educational and professional objectives. 
Our online preparations cover the most important tests in English (TOEIC, TOEFL, Linguaskill, IELTS, Language Cert LTE, CELPIP), in French (TEF, TCF, DELF, DFP) and in Spanish (DELE, esPRO). 
Each preparation includes lesson sheets, adaptive learning exercises, mock exams, and detailed corrections.</t>
        </is>
      </c>
      <c r="S130" s="10" t="inlineStr">
        <is>
          <t>Online preparations for admission tests</t>
        </is>
      </c>
      <c r="T130" t="inlineStr">
        <is>
          <t>Our online preparations for admission tests are designed for candidates who wish to apply for certain higher educational institutions, such as French business schools and French universities.
Our online preparations cover the most important admission tests such as TAGE (TAGE POST BAC, TAGE 2, TAGE MAGE) and Score IAE Message.
Each preparation includes lesson sheets, adaptive learning exercises, mock exams, and detailed corrections.</t>
        </is>
      </c>
      <c r="U130" s="1" t="inlineStr">
        <is>
          <t>https://drive.google.com/uc?export=view&amp;id=1zC0a8h5oU_oAvnI9CmYEKRcbxJlw2IZx</t>
        </is>
      </c>
      <c r="V130" s="1" t="inlineStr">
        <is>
          <t>Unverified</t>
        </is>
      </c>
      <c r="W130" s="1" t="inlineStr">
        <is>
          <t>https://drive.google.com/uc?export=view&amp;id=1zC0a8h5oU_oAvnI9CmYEKRcbxJlw2IZx</t>
        </is>
      </c>
      <c r="X130" s="1" t="n"/>
      <c r="Y130" s="10" t="n"/>
      <c r="Z130" s="1" t="n"/>
      <c r="AA130" t="inlineStr">
        <is>
          <t>Yes</t>
        </is>
      </c>
      <c r="AB130" t="inlineStr">
        <is>
          <t>https://www.instagram.com/prepmyfuture/</t>
        </is>
      </c>
      <c r="AC130" t="inlineStr">
        <is>
          <t>https://www.linkedin.com/company/prepmyfuture/?viewAsMember=true</t>
        </is>
      </c>
      <c r="AD130" t="inlineStr">
        <is>
          <t>https://www.linkedin.com/company/prepmyfuture/?viewAsMember=true</t>
        </is>
      </c>
    </row>
    <row r="131" ht="12.5" customHeight="1">
      <c r="A131" s="6" t="n">
        <v>45181</v>
      </c>
      <c r="B131" s="1" t="inlineStr">
        <is>
          <t>ORG_2514</t>
        </is>
      </c>
      <c r="C131" s="1" t="b">
        <v>1</v>
      </c>
      <c r="D131" s="1" t="inlineStr">
        <is>
          <t>WATURA</t>
        </is>
      </c>
      <c r="E131" s="10" t="inlineStr">
        <is>
          <t>https://www.watura.fr/</t>
        </is>
      </c>
      <c r="F131" t="inlineStr">
        <is>
          <t>watura.fr</t>
        </is>
      </c>
      <c r="G131" s="1" t="inlineStr">
        <is>
          <t>The first digital learning platform for professionals in the water and sewerage sector
Through our platform, you can access the largest digital library of educational content for the water and sewerage sector. With our wide variety of learning modules in the form of videos, interactive quizzes and more, you can learn at your own pace.
Since 2010, we have been the experts in technical training for the water and sewerage sector. With the help of our experts, we’ve developed an unrivaled expertise in going digital with technical training.
Our ambition is to facilitate exchange between professionals through technology to positively impact the way knowledge is shared.
To respond to the specific needs of technical professions, we provide on-demand courses adapted to you and integrate them into Learning Management Systems.</t>
        </is>
      </c>
      <c r="H131" s="1" t="inlineStr">
        <is>
          <t>I'm not part of any EdTech association</t>
        </is>
      </c>
      <c r="I131" s="1" t="inlineStr">
        <is>
          <t>French, English, Spanish</t>
        </is>
      </c>
      <c r="J131" s="1" t="inlineStr">
        <is>
          <t>NEUILLY SUR SEINE</t>
        </is>
      </c>
      <c r="K131" s="1" t="inlineStr">
        <is>
          <t>France</t>
        </is>
      </c>
      <c r="L131" s="1" t="inlineStr">
        <is>
          <t>Azerbaijan, Belgium, France, Spain, Switzerland</t>
        </is>
      </c>
      <c r="M131" s="1" t="inlineStr">
        <is>
          <t>11 to 50</t>
        </is>
      </c>
      <c r="N131" s="1" t="inlineStr">
        <is>
          <t>Business to Schools</t>
        </is>
      </c>
      <c r="O131" s="1" t="inlineStr">
        <is>
          <t>Corporate Training, Lifelong learning/Adult education</t>
        </is>
      </c>
      <c r="P131" s="1" t="inlineStr">
        <is>
          <t>System/Administrative, Student interfacing</t>
        </is>
      </c>
      <c r="S131" t="inlineStr">
        <is>
          <t>https://drive.google.com/uc?export=view&amp;id=1U6G9KqTp9IkN7UHVWcSl4lOKpg8syK0d</t>
        </is>
      </c>
      <c r="T131" t="inlineStr">
        <is>
          <t>https://drive.google.com/uc?export=view&amp;id=1U6G9KqTp9IkN7UHVWcSl4lOKpg8syK0d</t>
        </is>
      </c>
      <c r="U131" t="inlineStr">
        <is>
          <t>https://drive.google.com/uc?export=view&amp;id=1U6G9KqTp9IkN7UHVWcSl4lOKpg8syK0d</t>
        </is>
      </c>
      <c r="V131" t="inlineStr">
        <is>
          <t>Unverified</t>
        </is>
      </c>
      <c r="Y131" s="10" t="n"/>
      <c r="Z131" s="1" t="n"/>
      <c r="AA131" t="inlineStr">
        <is>
          <t>No</t>
        </is>
      </c>
    </row>
    <row r="132" ht="12.5" customHeight="1">
      <c r="A132" s="6" t="n">
        <v>45181</v>
      </c>
      <c r="B132" s="1" t="inlineStr">
        <is>
          <t>ORG_1822</t>
        </is>
      </c>
      <c r="C132" s="1" t="b">
        <v>1</v>
      </c>
      <c r="D132" s="1" t="inlineStr">
        <is>
          <t>Le Wagon</t>
        </is>
      </c>
      <c r="E132" s="10" t="inlineStr">
        <is>
          <t>https://www.lewagon.com</t>
        </is>
      </c>
      <c r="F132" t="inlineStr">
        <is>
          <t>lewagon.com</t>
        </is>
      </c>
      <c r="G132" s="1" t="inlineStr">
        <is>
          <t>Le Wagon is an international coding school specialised in immersive bootcamps. Le Wagon teaches people the skills they need to change their lives, kick-start their tech career or launch their own startup. 
The school offers web development and data science bootcamps in 44 cities in all continents. Founded in Paris in 2013, Le Wagon now boasts a community of 15,000+ graduates from all walks of life, including a lot entrepreneurs who created 200+ tech startups and raised $500M+ globally. 
With a recognised pedagogy and human-centric approach, Le Wagon is the world's most acclaimed coding bootcamp according to student reviews on Switchup and Coursereport, and has been partnering with leading higher education institutions such as HEC Paris, IAE Business School in Argentina, or Imperial College London. 
In 2018, the school adapted its proven teaching methods to help forward-thinking enterprises hire, train and retain diverse tech talents. Le Wagon united with 50+ of the most respected global companies, including IKEA, Total, LVMH or Société Générale, transforming their workforce worldwide.</t>
        </is>
      </c>
      <c r="H132" s="1" t="inlineStr">
        <is>
          <t>EdTech France</t>
        </is>
      </c>
      <c r="I132" s="1" t="inlineStr">
        <is>
          <t>English, French, Spanish, Chinese, Japanese</t>
        </is>
      </c>
      <c r="J132" s="1" t="inlineStr">
        <is>
          <t>PARIS</t>
        </is>
      </c>
      <c r="K132" s="1" t="inlineStr">
        <is>
          <t>France</t>
        </is>
      </c>
      <c r="L132" s="1" t="inlineStr">
        <is>
          <t>Belgium, Denmark, France, Germany, Italy, Netherlands, Portugal, Spain, Sweden, Switzerland, United Kingdom</t>
        </is>
      </c>
      <c r="M132" s="1" t="inlineStr">
        <is>
          <t>101 to 500</t>
        </is>
      </c>
      <c r="N132" s="1" t="inlineStr">
        <is>
          <t>Business to Business, Business to Consumer, Business to Schools</t>
        </is>
      </c>
      <c r="O132" s="1" t="inlineStr">
        <is>
          <t>Corporate Training, Lifelong learning/Adult education, Vocational Education and Training (VET)</t>
        </is>
      </c>
      <c r="P132" s="1" t="inlineStr">
        <is>
          <t>Student interfacing, System/Administrative</t>
        </is>
      </c>
      <c r="Q132" s="10" t="inlineStr">
        <is>
          <t>Web Development Bootcamp</t>
        </is>
      </c>
      <c r="R132" s="10" t="inlineStr">
        <is>
          <t>In 9 intensive weeks, learn all the skills of a Software Developer, code your own web applications from scratch and change your career.</t>
        </is>
      </c>
      <c r="S132" s="10" t="inlineStr">
        <is>
          <t>Data Science Bootcamp</t>
        </is>
      </c>
      <c r="T132" t="inlineStr">
        <is>
          <t>In 9 intensive weeks, learn all the skills of a Data Scientist. Analyse rich data sets, make complex decisions using data and discover the power of AI &amp; Machine learning to solve real world problems.</t>
        </is>
      </c>
      <c r="U132" s="1" t="inlineStr">
        <is>
          <t>https://drive.google.com/uc?export=view&amp;id=1FCUNWhvhtjLFtJG5N46qPsg0vZq_gRWo</t>
        </is>
      </c>
      <c r="V132" s="1" t="inlineStr">
        <is>
          <t>Unverified</t>
        </is>
      </c>
      <c r="W132" s="1" t="inlineStr">
        <is>
          <t>https://drive.google.com/uc?export=view&amp;id=1FCUNWhvhtjLFtJG5N46qPsg0vZq_gRWo</t>
        </is>
      </c>
      <c r="X132" s="1" t="n"/>
      <c r="Y132" s="10" t="n"/>
      <c r="Z132" s="1" t="n"/>
      <c r="AA132" t="inlineStr">
        <is>
          <t>Yes</t>
        </is>
      </c>
      <c r="AB132" t="inlineStr">
        <is>
          <t>https://www.instagram.com/lewagonparis</t>
        </is>
      </c>
      <c r="AC132" t="inlineStr">
        <is>
          <t>https://twitter.com/Lewagonparis/</t>
        </is>
      </c>
      <c r="AD132" t="inlineStr">
        <is>
          <t>https://www.linkedin.com/school/le-wagon/</t>
        </is>
      </c>
    </row>
    <row r="133" ht="12.5" customHeight="1">
      <c r="A133" s="6" t="n">
        <v>45181</v>
      </c>
      <c r="B133" s="1" t="inlineStr">
        <is>
          <t>ORG_1857</t>
        </is>
      </c>
      <c r="C133" s="1" t="b">
        <v>1</v>
      </c>
      <c r="D133" s="1" t="inlineStr">
        <is>
          <t>Les Apprentis Dev</t>
        </is>
      </c>
      <c r="E133" s="10" t="inlineStr">
        <is>
          <t>https://lesapprentisdev.fr/</t>
        </is>
      </c>
      <c r="F133" t="inlineStr">
        <is>
          <t>lesapprentisdev.fr</t>
        </is>
      </c>
      <c r="G133" s="1" t="inlineStr">
        <is>
          <t>Les Apprentis Dev aims to introduce students from 10 to 15 years old to computer programming through fun courses on exciting topics such as video games, the web, or robotics. The objective is to make them understand the logic of coding, and to make them aware of new technologies, their potential and their limits.
Learning to program means learning to master all the new technologies that surround us every day. It is therefore our responsibility to prepare future generations for this evolving world by providing them the keys to computer science and programming.</t>
        </is>
      </c>
      <c r="H133" s="1" t="inlineStr">
        <is>
          <t>I'm not part of any EdTech association</t>
        </is>
      </c>
      <c r="J133" s="1" t="inlineStr">
        <is>
          <t>Rueil-Malmaison</t>
        </is>
      </c>
      <c r="K133" s="1" t="inlineStr">
        <is>
          <t>France</t>
        </is>
      </c>
      <c r="L133" s="1" t="inlineStr">
        <is>
          <t>France</t>
        </is>
      </c>
      <c r="M133" s="1" t="inlineStr">
        <is>
          <t>0 to 10</t>
        </is>
      </c>
      <c r="N133" s="1" t="inlineStr">
        <is>
          <t>Business to Business, Business to Consumer, Business to Schools</t>
        </is>
      </c>
      <c r="O133" s="1" t="inlineStr">
        <is>
          <t>Secondary Education</t>
        </is>
      </c>
      <c r="P133" s="1" t="inlineStr">
        <is>
          <t>System/Administrative, Student interfacing</t>
        </is>
      </c>
      <c r="S133" t="inlineStr">
        <is>
          <t>https://drive.google.com/uc?export=view&amp;id=1TqAQTQvH2Js4KTC0QHHkalZl88rqt0lx</t>
        </is>
      </c>
      <c r="T133" t="inlineStr">
        <is>
          <t>https://drive.google.com/uc?export=view&amp;id=1TqAQTQvH2Js4KTC0QHHkalZl88rqt0lx</t>
        </is>
      </c>
      <c r="U133" t="inlineStr">
        <is>
          <t>https://drive.google.com/uc?export=view&amp;id=1TqAQTQvH2Js4KTC0QHHkalZl88rqt0lx</t>
        </is>
      </c>
      <c r="V133" t="inlineStr">
        <is>
          <t>Unverified</t>
        </is>
      </c>
      <c r="Y133" s="10" t="n"/>
      <c r="Z133" s="1" t="n"/>
      <c r="AA133" t="inlineStr">
        <is>
          <t>No</t>
        </is>
      </c>
    </row>
    <row r="134" ht="12.5" customHeight="1">
      <c r="A134" s="6" t="n">
        <v>45184</v>
      </c>
      <c r="B134" s="1" t="inlineStr">
        <is>
          <t>ORG_1694</t>
        </is>
      </c>
      <c r="C134" s="1" t="b">
        <v>1</v>
      </c>
      <c r="D134" s="1" t="inlineStr">
        <is>
          <t>HUSSAR ACADEMY</t>
        </is>
      </c>
      <c r="E134" s="10" t="inlineStr">
        <is>
          <t>https://hussaracademy.fr</t>
        </is>
      </c>
      <c r="F134" t="inlineStr">
        <is>
          <t>hussaracademy.fr</t>
        </is>
      </c>
      <c r="G134" s="1" t="inlineStr">
        <is>
          <t>Hussar Academy is a EdTech dedicated to ''learning by doing'' pedagogy. Its main objective is to integrate real-life business issues into the educational program based on an ecosystem that brings together engineering, coding, business and design schools allowing students to acquire new skills that can be certified. Hussar Academy fosters direct student-company relationships during the 3 main courses: ideation, prototyping and acceleration leading to a natural recruitment.</t>
        </is>
      </c>
      <c r="H134" s="1" t="inlineStr">
        <is>
          <t>EdTech France</t>
        </is>
      </c>
      <c r="I134" s="1" t="inlineStr">
        <is>
          <t>English, French</t>
        </is>
      </c>
      <c r="J134" s="1" t="inlineStr">
        <is>
          <t>DOUARNENEZ</t>
        </is>
      </c>
      <c r="K134" s="1" t="inlineStr">
        <is>
          <t>France</t>
        </is>
      </c>
      <c r="L134" s="1" t="inlineStr">
        <is>
          <t>France, Switzerland</t>
        </is>
      </c>
      <c r="M134" s="1" t="inlineStr">
        <is>
          <t>0 to 2</t>
        </is>
      </c>
      <c r="N134" s="1" t="inlineStr">
        <is>
          <t>Business to Business, Business to Consumer, Business to Government, Business to Schools</t>
        </is>
      </c>
      <c r="O134" s="1" t="inlineStr">
        <is>
          <t>Secondary Education, Corporate Training</t>
        </is>
      </c>
      <c r="P134" s="1" t="inlineStr">
        <is>
          <t>Teacher interfacing, System/Administrative</t>
        </is>
      </c>
      <c r="Q134" s="10" t="inlineStr">
        <is>
          <t>Ideation Course</t>
        </is>
      </c>
      <c r="R134" s="1" t="inlineStr">
        <is>
          <t>A course where diverse profiles of students come together for several days around real business issues from companies to solve in a hackathon format coached by tech experts.</t>
        </is>
      </c>
      <c r="S134" s="10" t="inlineStr">
        <is>
          <t>Prototyping Course</t>
        </is>
      </c>
      <c r="T134" t="inlineStr">
        <is>
          <t>Good ideas that emerged during the ideation course can be prototyped by students thanks to partnerships with Tech companies like IBM, Oracle or Microsoft. Students have access to free credits to develop and to Tech experts to answer their questions.</t>
        </is>
      </c>
      <c r="U134" s="1" t="inlineStr">
        <is>
          <t>https://drive.google.com/uc?export=view&amp;id=1ho0NrSLEGTUlC1EnR723oJOTGWzu9h-6</t>
        </is>
      </c>
      <c r="V134" s="1" t="inlineStr">
        <is>
          <t>Unverified</t>
        </is>
      </c>
      <c r="W134" s="1" t="inlineStr">
        <is>
          <t>https://drive.google.com/uc?export=view&amp;id=1ho0NrSLEGTUlC1EnR723oJOTGWzu9h-6</t>
        </is>
      </c>
      <c r="X134" s="1" t="n"/>
      <c r="Y134" s="10" t="n"/>
      <c r="Z134" s="1" t="n"/>
      <c r="AA134" t="inlineStr">
        <is>
          <t>Yes</t>
        </is>
      </c>
      <c r="AB134" t="inlineStr">
        <is>
          <t>https://www.instagram.com/accounts/login/?next=/hussaracademy/</t>
        </is>
      </c>
      <c r="AC134" t="inlineStr">
        <is>
          <t>hussar academy</t>
        </is>
      </c>
      <c r="AD134" t="inlineStr">
        <is>
          <t>https://www.linkedin.com/company/hussar-academy</t>
        </is>
      </c>
    </row>
    <row r="135" ht="12.5" customHeight="1">
      <c r="A135" s="6" t="n">
        <v>45181</v>
      </c>
      <c r="B135" s="1" t="inlineStr">
        <is>
          <t>ORG_1435</t>
        </is>
      </c>
      <c r="C135" s="1" t="b">
        <v>1</v>
      </c>
      <c r="D135" s="1" t="inlineStr">
        <is>
          <t>Educlever</t>
        </is>
      </c>
      <c r="E135" s="10" t="inlineStr">
        <is>
          <t>https://www.educlever.com</t>
        </is>
      </c>
      <c r="F135" t="inlineStr">
        <is>
          <t>educlever.com</t>
        </is>
      </c>
      <c r="G135" s="1" t="inlineStr">
        <is>
          <t>Educlever offers individualized learning paths in education and training through a comprehensive digital platform that could either be led with proprietary or third part content.
The platform is built on an in-house adaptive learning tool powered by the latest research in learning science and neuroscience.</t>
        </is>
      </c>
      <c r="H135" s="1" t="inlineStr">
        <is>
          <t>AFINEF, EdTech France</t>
        </is>
      </c>
      <c r="J135" s="1" t="inlineStr">
        <is>
          <t>GRENOBLE</t>
        </is>
      </c>
      <c r="K135" s="1" t="inlineStr">
        <is>
          <t>France</t>
        </is>
      </c>
      <c r="L135" s="1" t="inlineStr">
        <is>
          <t>France, Germany, Kazakhstan, Switzerland</t>
        </is>
      </c>
      <c r="M135" s="1" t="inlineStr">
        <is>
          <t>11 to 50</t>
        </is>
      </c>
      <c r="N135" s="1" t="inlineStr">
        <is>
          <t>Business to Business, Business to Consumer</t>
        </is>
      </c>
      <c r="O135" s="1" t="inlineStr">
        <is>
          <t>Primary Education, Secondary Education, Higher Education, Corporate Training, Lifelong learning/Adult education</t>
        </is>
      </c>
      <c r="P135" s="1" t="inlineStr">
        <is>
          <t>System/Administrative, Student interfacing, Teacher interfacing</t>
        </is>
      </c>
      <c r="Q135" t="inlineStr">
        <is>
          <t>Orthodidacte</t>
        </is>
      </c>
      <c r="R135" s="10" t="inlineStr">
        <is>
          <t>With the elearning platform Orthodidacte, professionals and students improve their written skills in french. Our training paths are made for people who want to improve french as a mother tongue and those who want to learn french as a foreign language.</t>
        </is>
      </c>
      <c r="S135" s="10" t="inlineStr">
        <is>
          <t>Enseigno</t>
        </is>
      </c>
      <c r="T135" t="inlineStr">
        <is>
          <t>Enseigno is a unique platform dedidacted to teachers and their students, to be used within the classroom or at home. The pedagogic actions are more interactive, effective and indivualized.</t>
        </is>
      </c>
      <c r="U135" s="1" t="inlineStr">
        <is>
          <t>https://drive.google.com/uc?export=view&amp;id=16yB5zNqchKLEqwXPYbc0f2S2H4h0-ZeR</t>
        </is>
      </c>
      <c r="V135" s="1" t="inlineStr">
        <is>
          <t>Unverified</t>
        </is>
      </c>
      <c r="W135" s="1" t="inlineStr">
        <is>
          <t>https://drive.google.com/uc?export=view&amp;id=16yB5zNqchKLEqwXPYbc0f2S2H4h0-ZeR</t>
        </is>
      </c>
      <c r="X135" s="1" t="n"/>
      <c r="Y135" s="10" t="n"/>
      <c r="Z135" s="1" t="n"/>
      <c r="AA135" t="inlineStr">
        <is>
          <t>Yes</t>
        </is>
      </c>
      <c r="AB135" t="inlineStr">
        <is>
          <t>https://twitter.com/educlever</t>
        </is>
      </c>
      <c r="AC135" t="inlineStr">
        <is>
          <t>https://twitter.com/educlever</t>
        </is>
      </c>
      <c r="AD135" t="inlineStr">
        <is>
          <t>https://www.linkedin.com/company/educlever</t>
        </is>
      </c>
    </row>
    <row r="136" ht="12.5" customHeight="1">
      <c r="A136" s="6" t="n">
        <v>45181</v>
      </c>
      <c r="B136" s="1" t="inlineStr">
        <is>
          <t>ORG_1803</t>
        </is>
      </c>
      <c r="C136" s="1" t="b">
        <v>1</v>
      </c>
      <c r="D136" s="1" t="inlineStr">
        <is>
          <t>La Manufacture des Talents</t>
        </is>
      </c>
      <c r="E136" s="1" t="inlineStr">
        <is>
          <t>In Progress</t>
        </is>
      </c>
      <c r="F136" t="inlineStr">
        <is>
          <t>in progress</t>
        </is>
      </c>
      <c r="G136" s="1" t="inlineStr">
        <is>
          <t>As the embodiment of Michelin's sustainable strategy, ​LA Manufacture des Talents aims to give people ​from all backgrounds the means:​ to develop their talents to build their future​ &amp; to support the major transformations​ by creating the conditions for a successful ‘lifelong learnability’.</t>
        </is>
      </c>
      <c r="H136" s="1" t="inlineStr">
        <is>
          <t>EdTech France</t>
        </is>
      </c>
      <c r="J136" s="1" t="inlineStr">
        <is>
          <t>CLERMONT FERRAND</t>
        </is>
      </c>
      <c r="K136" s="1" t="inlineStr">
        <is>
          <t>France</t>
        </is>
      </c>
      <c r="L136" s="1" t="inlineStr">
        <is>
          <t>France, Germany, Hungary, Italy, Poland, Spain, United Kingdom</t>
        </is>
      </c>
      <c r="M136" s="1" t="inlineStr">
        <is>
          <t>51 to 100</t>
        </is>
      </c>
      <c r="N136" s="1" t="inlineStr">
        <is>
          <t>Business to Business, Business to Consumer, Business to Schools</t>
        </is>
      </c>
      <c r="O136" s="1" t="inlineStr">
        <is>
          <t>Corporate Training, Lifelong learning/Adult education</t>
        </is>
      </c>
      <c r="P136" s="1" t="inlineStr">
        <is>
          <t>Student interfacing, Teacher interfacing, System/Administrative</t>
        </is>
      </c>
      <c r="S136" t="inlineStr">
        <is>
          <t>https://drive.google.com/uc?export=view&amp;id=1H1umrveXjDwdmFwqudd8y248oRSi-3hm</t>
        </is>
      </c>
      <c r="T136" t="inlineStr">
        <is>
          <t>https://drive.google.com/uc?export=view&amp;id=1H1umrveXjDwdmFwqudd8y248oRSi-3hm</t>
        </is>
      </c>
      <c r="U136" t="inlineStr">
        <is>
          <t>https://drive.google.com/uc?export=view&amp;id=1H1umrveXjDwdmFwqudd8y248oRSi-3hm</t>
        </is>
      </c>
      <c r="V136" t="inlineStr">
        <is>
          <t>Unverified</t>
        </is>
      </c>
      <c r="Y136" s="10" t="n"/>
      <c r="Z136" s="1" t="n"/>
      <c r="AA136" t="inlineStr">
        <is>
          <t>No</t>
        </is>
      </c>
    </row>
    <row r="137" ht="12.5" customHeight="1">
      <c r="A137" s="6" t="n">
        <v>45181</v>
      </c>
      <c r="B137" s="1" t="inlineStr">
        <is>
          <t>ORG_1967</t>
        </is>
      </c>
      <c r="C137" s="1" t="b">
        <v>1</v>
      </c>
      <c r="D137" s="1" t="inlineStr">
        <is>
          <t>MIMA CAMPUS</t>
        </is>
      </c>
      <c r="E137" s="10" t="inlineStr">
        <is>
          <t>https://mima-campus.com/</t>
        </is>
      </c>
      <c r="F137" t="inlineStr">
        <is>
          <t>mima-campus.com</t>
        </is>
      </c>
      <c r="G137" s="1" t="inlineStr">
        <is>
          <t>Mima Campus, a consulting agency in digital education, was born above all of a common vocation, that of fully integrating into the training of new innovative pedagogical uses, promoting professional development. Mima Campus thus brings together 5 associates with complementary expertise in pedagogy and technology. Our skills and knowledge of the techno-educational ecosystem allow us to work on all the market solutions, both proprietary and open source, and thus to provide neutral and objective advice to our customers, mainly: OF, training companies and companies with a Apprentice Training Center or an enterprise academy.</t>
        </is>
      </c>
      <c r="H137" s="1" t="inlineStr">
        <is>
          <t>EdTech France</t>
        </is>
      </c>
      <c r="J137" s="1" t="inlineStr">
        <is>
          <t>MONTPELLIER</t>
        </is>
      </c>
      <c r="K137" s="1" t="inlineStr">
        <is>
          <t>France</t>
        </is>
      </c>
      <c r="L137" s="1" t="inlineStr">
        <is>
          <t>France</t>
        </is>
      </c>
      <c r="M137" s="1" t="inlineStr">
        <is>
          <t>11 to 50</t>
        </is>
      </c>
      <c r="N137" s="1" t="inlineStr">
        <is>
          <t>Business to Business, Business to Consumer, Business to Schools</t>
        </is>
      </c>
      <c r="O137" s="1" t="inlineStr">
        <is>
          <t>Primary Education, Secondary Education, Higher Education, Corporate Training, Lifelong learning/Adult education</t>
        </is>
      </c>
      <c r="P137" s="1" t="inlineStr">
        <is>
          <t>Student interfacing, Teacher interfacing, System/Administrative</t>
        </is>
      </c>
      <c r="Q137" t="inlineStr">
        <is>
          <t>Consulting in digital training</t>
        </is>
      </c>
      <c r="R137" t="inlineStr">
        <is>
          <t>Management support. 
Strategic Master plan. 
Technical governance and digital uses. 
Help in choosing digital platforms and tools.</t>
        </is>
      </c>
      <c r="S137" s="10" t="inlineStr">
        <is>
          <t>Techno-educational engineering and content production</t>
        </is>
      </c>
      <c r="T137" t="inlineStr">
        <is>
          <t>Creation and update of hybrid and remote training courses.
Integration in UX/UI LMS Inclusion Video capsules, VR, AR, mixed reality, escape games, serious games, mobile learning, adaptive learning, podcasts, gamification.
Content creation for e-learning purposes.</t>
        </is>
      </c>
      <c r="U137" s="1" t="inlineStr">
        <is>
          <t>https://drive.google.com/uc?export=view&amp;id=1ovsluXIcFcfBK8NChkreSxAX9Kn5FUku</t>
        </is>
      </c>
      <c r="V137" s="1" t="inlineStr">
        <is>
          <t>Unverified</t>
        </is>
      </c>
      <c r="W137" s="1" t="inlineStr">
        <is>
          <t>https://drive.google.com/uc?export=view&amp;id=1ovsluXIcFcfBK8NChkreSxAX9Kn5FUku</t>
        </is>
      </c>
      <c r="X137" s="1" t="n"/>
      <c r="Y137" s="10" t="n"/>
      <c r="Z137" s="1" t="n"/>
      <c r="AA137" t="inlineStr">
        <is>
          <t>Yes</t>
        </is>
      </c>
      <c r="AC137" t="inlineStr">
        <is>
          <t>https://www.linkedin.com/company/mima-campus</t>
        </is>
      </c>
      <c r="AD137" t="inlineStr">
        <is>
          <t>https://www.linkedin.com/company/mima-campus</t>
        </is>
      </c>
    </row>
    <row r="138" ht="12.5" customHeight="1">
      <c r="A138" s="6" t="n">
        <v>45181</v>
      </c>
      <c r="B138" s="1" t="inlineStr">
        <is>
          <t>ORG_1986</t>
        </is>
      </c>
      <c r="C138" s="1" t="b">
        <v>1</v>
      </c>
      <c r="D138" s="1" t="inlineStr">
        <is>
          <t>mootion</t>
        </is>
      </c>
      <c r="E138" s="10" t="inlineStr">
        <is>
          <t>www.mootion.fr</t>
        </is>
      </c>
      <c r="F138" t="inlineStr">
        <is>
          <t>mootion.fr</t>
        </is>
      </c>
      <c r="G138" s="1" t="inlineStr">
        <is>
          <t>mootion creates immersive and contactless interactive training screens
compatible with on-the-job training (AFEST)</t>
        </is>
      </c>
      <c r="H138" s="1" t="inlineStr">
        <is>
          <t>I'm not part of any EdTech association</t>
        </is>
      </c>
      <c r="J138" s="1" t="inlineStr">
        <is>
          <t>TOULON</t>
        </is>
      </c>
      <c r="K138" s="1" t="inlineStr">
        <is>
          <t>France</t>
        </is>
      </c>
      <c r="L138" s="1" t="inlineStr">
        <is>
          <t>France</t>
        </is>
      </c>
      <c r="M138" s="1" t="inlineStr">
        <is>
          <t>0 to 10</t>
        </is>
      </c>
      <c r="N138" s="1" t="inlineStr">
        <is>
          <t>Business to Business, Business to Government</t>
        </is>
      </c>
      <c r="O138" s="1" t="inlineStr">
        <is>
          <t>Higher Education, Corporate Training, Lifelong learning/Adult education</t>
        </is>
      </c>
      <c r="P138" s="1" t="inlineStr">
        <is>
          <t>Student interfacing, Teacher interfacing, System/Administrative</t>
        </is>
      </c>
      <c r="S138" t="inlineStr">
        <is>
          <t>https://drive.google.com/uc?export=view&amp;id=1XzzKcjRiNkr8eThaUjE3EVkcBpXGLtjY</t>
        </is>
      </c>
      <c r="T138" t="inlineStr">
        <is>
          <t>https://drive.google.com/uc?export=view&amp;id=1XzzKcjRiNkr8eThaUjE3EVkcBpXGLtjY</t>
        </is>
      </c>
      <c r="U138" t="inlineStr">
        <is>
          <t>https://drive.google.com/uc?export=view&amp;id=1XzzKcjRiNkr8eThaUjE3EVkcBpXGLtjY</t>
        </is>
      </c>
      <c r="V138" t="inlineStr">
        <is>
          <t>Unverified</t>
        </is>
      </c>
      <c r="Y138" s="10" t="n"/>
      <c r="Z138" s="1" t="n"/>
      <c r="AA138" t="inlineStr">
        <is>
          <t>No</t>
        </is>
      </c>
    </row>
    <row r="139" ht="12.5" customHeight="1">
      <c r="A139" s="6" t="n">
        <v>45181</v>
      </c>
      <c r="B139" s="1" t="inlineStr">
        <is>
          <t>ORG_2242</t>
        </is>
      </c>
      <c r="C139" s="1" t="b">
        <v>1</v>
      </c>
      <c r="D139" s="1" t="inlineStr">
        <is>
          <t>SIMBEL</t>
        </is>
      </c>
      <c r="E139" s="10" t="inlineStr">
        <is>
          <t>simbel.fr</t>
        </is>
      </c>
      <c r="F139" t="inlineStr">
        <is>
          <t>simbel.fr</t>
        </is>
      </c>
      <c r="G139" s="1" t="inlineStr">
        <is>
          <t>We transform companies into great places to learn. SMBs still fail at helping their teams grow. Simbel is the all-in-one platform for teams to learn and develop: 
- create an impactful academy
- empower your teams
- run your L&amp;D “on autopilot”</t>
        </is>
      </c>
      <c r="H139" s="1" t="inlineStr">
        <is>
          <t>I'm not part of any EdTech association</t>
        </is>
      </c>
      <c r="I139" s="1" t="inlineStr">
        <is>
          <t>French, English, German, Italian</t>
        </is>
      </c>
      <c r="J139" s="1" t="inlineStr">
        <is>
          <t>PARIS</t>
        </is>
      </c>
      <c r="K139" s="1" t="inlineStr">
        <is>
          <t>France</t>
        </is>
      </c>
      <c r="L139" s="1" t="inlineStr">
        <is>
          <t>Belgium, France</t>
        </is>
      </c>
      <c r="M139" s="1" t="inlineStr">
        <is>
          <t>11 to 50</t>
        </is>
      </c>
      <c r="N139" s="1" t="inlineStr">
        <is>
          <t>Business to Consumer</t>
        </is>
      </c>
      <c r="O139" s="1" t="inlineStr">
        <is>
          <t>Corporate Training, Lifelong learning/Adult education</t>
        </is>
      </c>
      <c r="P139" s="1" t="inlineStr">
        <is>
          <t>System/Administrative</t>
        </is>
      </c>
      <c r="Q139" t="inlineStr">
        <is>
          <t>Training Management System</t>
        </is>
      </c>
      <c r="R139" t="inlineStr">
        <is>
          <t>Streamline your learning and development operations and easily drive your key performance indicators</t>
        </is>
      </c>
      <c r="S139" s="10" t="inlineStr">
        <is>
          <t>Learning Management System</t>
        </is>
      </c>
      <c r="T139" t="inlineStr">
        <is>
          <t>Create and publish your internal trainings in just a few clics</t>
        </is>
      </c>
      <c r="U139" s="1" t="inlineStr">
        <is>
          <t>https://drive.google.com/uc?export=view&amp;id=14xNPUjN_F1jF6zo9kxdfB9vVwoHbLQ3q</t>
        </is>
      </c>
      <c r="V139" s="1" t="inlineStr">
        <is>
          <t>Unverified</t>
        </is>
      </c>
      <c r="W139" s="1" t="inlineStr">
        <is>
          <t>https://drive.google.com/uc?export=view&amp;id=14xNPUjN_F1jF6zo9kxdfB9vVwoHbLQ3q</t>
        </is>
      </c>
      <c r="X139" s="1" t="n"/>
      <c r="Y139" s="10" t="n"/>
      <c r="Z139" s="1" t="n"/>
      <c r="AA139" t="inlineStr">
        <is>
          <t>Yes</t>
        </is>
      </c>
      <c r="AC139" t="inlineStr">
        <is>
          <t>https://www.linkedin.com/company/71783451/admin/feed/posts/</t>
        </is>
      </c>
      <c r="AD139" t="inlineStr">
        <is>
          <t>https://www.linkedin.com/company/71783451/admin/feed/posts/</t>
        </is>
      </c>
    </row>
    <row r="140" ht="12.5" customHeight="1">
      <c r="A140" s="6" t="n">
        <v>45181</v>
      </c>
      <c r="B140" s="1" t="inlineStr">
        <is>
          <t>ORG_2350</t>
        </is>
      </c>
      <c r="C140" s="1" t="b">
        <v>1</v>
      </c>
      <c r="D140" s="1" t="inlineStr">
        <is>
          <t>Supermood</t>
        </is>
      </c>
      <c r="E140" s="10" t="inlineStr">
        <is>
          <t>www.supermood.com</t>
        </is>
      </c>
      <c r="F140" t="inlineStr">
        <is>
          <t>supermood.com</t>
        </is>
      </c>
      <c r="G140" s="1" t="inlineStr">
        <is>
          <t>Supermood is a feedback data-platform for employees that make you understand what's happening in your company.</t>
        </is>
      </c>
      <c r="H140" s="1" t="inlineStr">
        <is>
          <t>I'm not part of any EdTech association</t>
        </is>
      </c>
      <c r="J140" s="1" t="inlineStr">
        <is>
          <t>Paris</t>
        </is>
      </c>
      <c r="K140" s="1" t="inlineStr">
        <is>
          <t>France</t>
        </is>
      </c>
      <c r="L140" s="1" t="inlineStr">
        <is>
          <t>France, Switzerland</t>
        </is>
      </c>
      <c r="M140" s="1" t="inlineStr">
        <is>
          <t>11 to 50</t>
        </is>
      </c>
      <c r="N140" s="1" t="inlineStr">
        <is>
          <t>Business to Consumer, Business to Schools</t>
        </is>
      </c>
      <c r="O140" s="1" t="inlineStr">
        <is>
          <t>Corporate Training</t>
        </is>
      </c>
      <c r="P140" s="1" t="inlineStr">
        <is>
          <t>System/Administrative</t>
        </is>
      </c>
      <c r="S140" t="inlineStr">
        <is>
          <t>https://drive.google.com/uc?export=view&amp;id=1nOoKGPesbFM76tucOE-aWKXpQ-Z2LyJh</t>
        </is>
      </c>
      <c r="T140" t="inlineStr">
        <is>
          <t>https://drive.google.com/uc?export=view&amp;id=1nOoKGPesbFM76tucOE-aWKXpQ-Z2LyJh</t>
        </is>
      </c>
      <c r="U140" t="inlineStr">
        <is>
          <t>https://drive.google.com/uc?export=view&amp;id=1nOoKGPesbFM76tucOE-aWKXpQ-Z2LyJh</t>
        </is>
      </c>
      <c r="V140" t="inlineStr">
        <is>
          <t>Unverified</t>
        </is>
      </c>
      <c r="Y140" s="10" t="n"/>
      <c r="Z140" s="1" t="n"/>
      <c r="AA140" t="inlineStr">
        <is>
          <t>No</t>
        </is>
      </c>
    </row>
    <row r="141" ht="12.5" customHeight="1">
      <c r="A141" s="6" t="n">
        <v>45182</v>
      </c>
      <c r="B141" s="1" t="inlineStr">
        <is>
          <t>ORG_2079</t>
        </is>
      </c>
      <c r="C141" s="1" t="b">
        <v>1</v>
      </c>
      <c r="D141" s="1" t="inlineStr">
        <is>
          <t>OSCAR CRM</t>
        </is>
      </c>
      <c r="E141" s="10" t="inlineStr">
        <is>
          <t>https://www.oscar-campus.com</t>
        </is>
      </c>
      <c r="F141" t="inlineStr">
        <is>
          <t>oscar-campus.com</t>
        </is>
      </c>
      <c r="G141" s="1" t="inlineStr">
        <is>
          <t>OSCAR CRM is the 1st French CRM software dedicated entirely to higher education.
Developed with the help of many establishments, OSCAR CRM is a suitable and efficient software to manage the CRM issues of a school, an IAE, a CFA or a university.
Specialists in CRM and higher education, our teams support you from the audit of your needs to daily support.</t>
        </is>
      </c>
      <c r="H141" s="1" t="inlineStr">
        <is>
          <t>EdTech France</t>
        </is>
      </c>
      <c r="J141" s="1" t="inlineStr">
        <is>
          <t>PARIS</t>
        </is>
      </c>
      <c r="K141" s="1" t="inlineStr">
        <is>
          <t>France</t>
        </is>
      </c>
      <c r="L141" s="1" t="inlineStr">
        <is>
          <t>France, Italy, Monaco, Sweden, Switzerland</t>
        </is>
      </c>
      <c r="M141" s="1" t="inlineStr">
        <is>
          <t>6 to 10</t>
        </is>
      </c>
      <c r="N141" s="1" t="inlineStr">
        <is>
          <t>Business to Consumer</t>
        </is>
      </c>
      <c r="O141" s="1" t="inlineStr">
        <is>
          <t>Higher Education</t>
        </is>
      </c>
      <c r="P141" s="1" t="inlineStr">
        <is>
          <t>Student interfacing</t>
        </is>
      </c>
      <c r="Q141" t="inlineStr">
        <is>
          <t>OSCAR CRM</t>
        </is>
      </c>
      <c r="R141" t="inlineStr">
        <is>
          <t>OSCAR CRM is the 1st French CRM software dedicated entirely to higher education.
Developed with the help of many establishments, OSCAR CRM is a suitable and efficient software to manage the CRM issues of a school, an IAE, a CFA or a university.
Specialists in CRM and higher education, our teams support you from the audit of your needs to daily support.</t>
        </is>
      </c>
      <c r="S141" s="10" t="inlineStr">
        <is>
          <t>https://drive.google.com/uc?export=view&amp;id=19cgLA5jkLRuqtHGMWOP4lMtAlhw6pkwW</t>
        </is>
      </c>
      <c r="T141" t="inlineStr">
        <is>
          <t>https://drive.google.com/uc?export=view&amp;id=19cgLA5jkLRuqtHGMWOP4lMtAlhw6pkwW</t>
        </is>
      </c>
      <c r="U141" s="1" t="inlineStr">
        <is>
          <t>https://drive.google.com/uc?export=view&amp;id=19cgLA5jkLRuqtHGMWOP4lMtAlhw6pkwW</t>
        </is>
      </c>
      <c r="V141" s="1" t="inlineStr">
        <is>
          <t>Unverified</t>
        </is>
      </c>
      <c r="Y141" s="10" t="n"/>
      <c r="Z141" s="1" t="n"/>
      <c r="AA141" t="inlineStr">
        <is>
          <t>Yes</t>
        </is>
      </c>
      <c r="AC141" t="inlineStr">
        <is>
          <t>https://www.linkedin.com/company/oscar-campus-crm/</t>
        </is>
      </c>
      <c r="AD141" t="inlineStr">
        <is>
          <t>https://www.linkedin.com/company/oscar-campus-crm/</t>
        </is>
      </c>
    </row>
    <row r="142" ht="12.5" customHeight="1">
      <c r="A142" s="6" t="n">
        <v>45181</v>
      </c>
      <c r="B142" s="1" t="inlineStr">
        <is>
          <t>ORG_1008</t>
        </is>
      </c>
      <c r="C142" s="1" t="b">
        <v>1</v>
      </c>
      <c r="D142" s="1" t="inlineStr">
        <is>
          <t>33 TRUCS</t>
        </is>
      </c>
      <c r="E142" s="10" t="inlineStr">
        <is>
          <t>www.33trucs.com</t>
        </is>
      </c>
      <c r="F142" t="inlineStr">
        <is>
          <t>33trucs.com</t>
        </is>
      </c>
      <c r="G142" s="1" t="inlineStr">
        <is>
          <t>33 TRUCS is a collaborative learning app that aims to build and engage large professional communities through knowledge sharing. Its unique learning experience is inspired by B2C media engaging features (including snack content and peer learning) and makes every day learnings special. We believe in nugget learning, particularly when sharing the bucket with fellows.
It allows companies to broaden their employee experience and to mobilize their human capital to achieve its daily challenges : keeping its skills up to date, onboarding new recruits, spreading methodologies or culture, feeding employer brand, gaining greater market recognition, etc.</t>
        </is>
      </c>
      <c r="H142" s="1" t="inlineStr">
        <is>
          <t>I'm not part of any EdTech association</t>
        </is>
      </c>
      <c r="J142" s="1" t="inlineStr">
        <is>
          <t>MARSEILLE</t>
        </is>
      </c>
      <c r="K142" s="1" t="inlineStr">
        <is>
          <t>France</t>
        </is>
      </c>
      <c r="L142" s="1" t="inlineStr">
        <is>
          <t>France, Netherlands</t>
        </is>
      </c>
      <c r="M142" s="1" t="inlineStr">
        <is>
          <t>0 to 10</t>
        </is>
      </c>
      <c r="N142" s="1" t="inlineStr">
        <is>
          <t>Business to Business</t>
        </is>
      </c>
      <c r="O142" s="1" t="inlineStr">
        <is>
          <t>Corporate Training, Lifelong learning/Adult education</t>
        </is>
      </c>
      <c r="P142" s="1" t="inlineStr">
        <is>
          <t>Teacher interfacing, Student interfacing, System/Administrative</t>
        </is>
      </c>
      <c r="S142" t="inlineStr">
        <is>
          <t>https://drive.google.com/uc?export=view&amp;id=1egkE2tJl_FZPJDXSWvnYCBZYfyjGhD6C</t>
        </is>
      </c>
      <c r="T142" t="inlineStr">
        <is>
          <t>https://drive.google.com/uc?export=view&amp;id=1egkE2tJl_FZPJDXSWvnYCBZYfyjGhD6C</t>
        </is>
      </c>
      <c r="U142" t="inlineStr">
        <is>
          <t>https://drive.google.com/uc?export=view&amp;id=1egkE2tJl_FZPJDXSWvnYCBZYfyjGhD6C</t>
        </is>
      </c>
      <c r="V142" t="inlineStr">
        <is>
          <t>Unverified</t>
        </is>
      </c>
      <c r="Y142" s="10" t="n"/>
      <c r="Z142" s="1" t="n"/>
      <c r="AA142" t="inlineStr">
        <is>
          <t>No</t>
        </is>
      </c>
    </row>
    <row r="143" ht="12.5" customHeight="1">
      <c r="A143" s="6" t="n">
        <v>45181</v>
      </c>
      <c r="B143" s="1" t="inlineStr">
        <is>
          <t>ORG_1296</t>
        </is>
      </c>
      <c r="C143" s="1" t="b">
        <v>1</v>
      </c>
      <c r="D143" s="1" t="inlineStr">
        <is>
          <t>Coorpacademy by Go1</t>
        </is>
      </c>
      <c r="E143" s="10" t="inlineStr">
        <is>
          <t>https://www.coorpacademy.com/</t>
        </is>
      </c>
      <c r="F143" t="inlineStr">
        <is>
          <t>coorpacademy.com</t>
        </is>
      </c>
      <c r="G143" s="1" t="inlineStr">
        <is>
          <t>Coorpacademy is a European leading Edtech startup in Digital Learning. Our mission is revolutionising online corporate training with a platform and a Smart Content Library that integrates the latest innovations in instructional design, including gamification, microlearning, adaptive and social learning. We promise a more fun, flexible and collaborative learning experience, focused on the learner. Based in Paris and in Lausanne at the Swiss EdTech Collider of the Swiss Federal Institute of Technology (EPFL), we are at the heart of research on new learning methods.
Coorpacademy offers tailor-made content for its Enterprise customers and their 1,000,000 employees, but also a catalogue of over 1,800 courses produced with top industry content partners like Forbes, IBM, Wolters Kluwer and Video Arts to upskill employees on Future of Work topics and develop their employability.
#Enjoy Learning.</t>
        </is>
      </c>
      <c r="H143" s="1" t="inlineStr">
        <is>
          <t>EdTech France, Swiss EdTech Collider</t>
        </is>
      </c>
      <c r="J143" s="1" t="inlineStr">
        <is>
          <t>Paris</t>
        </is>
      </c>
      <c r="K143" s="1" t="inlineStr">
        <is>
          <t>France</t>
        </is>
      </c>
      <c r="L143" s="1" t="inlineStr">
        <is>
          <t>Austria, Finland, France, Germany, Italy, Netherlands, Poland, Spain, Switzerland, United Kingdom</t>
        </is>
      </c>
      <c r="M143" s="1" t="inlineStr">
        <is>
          <t>51 to 100</t>
        </is>
      </c>
      <c r="N143" s="1" t="inlineStr">
        <is>
          <t>Business to Business</t>
        </is>
      </c>
      <c r="O143" s="1" t="inlineStr">
        <is>
          <t>Corporate Training, Lifelong learning/Adult education</t>
        </is>
      </c>
      <c r="P143" s="1" t="inlineStr">
        <is>
          <t>System/Administrative</t>
        </is>
      </c>
      <c r="Q143" s="1" t="inlineStr">
        <is>
          <t>Coorpacademy by Go1</t>
        </is>
      </c>
      <c r="R143" s="1" t="inlineStr">
        <is>
          <t>Coorpacademy by Go1 offers an innovating Digital Learning solution to companies, focused on learner’s engagement. Coorpacademy is a user-centric digital learning solution which integrates the latest innovations in online education. You can access all our courses on any device, wherever and whenever you want.
Our online training platform provides personalized recommendations and a Smart Content Library that integrates the latest innovations in instructional design, including gamification, microlearning, adaptive and social learning. 
Our catalog features over 1800 premium courses created by a team of instructional engineers or training partners and MOOC designers. In order to engage learners, our courses are designed through reversed pedagogy: we start by asking the learner questions, in the form of a quiz. Then they can access the correction, which includes a short course video so that learners can learn what they don’t already know !</t>
        </is>
      </c>
      <c r="S143" s="1" t="inlineStr">
        <is>
          <t>https://drive.google.com/uc?export=view&amp;id=1U7quaYZAC0Qu15iU_FwQd7QtjocSjYli</t>
        </is>
      </c>
      <c r="T143" t="inlineStr">
        <is>
          <t>https://drive.google.com/uc?export=view&amp;id=1U7quaYZAC0Qu15iU_FwQd7QtjocSjYli</t>
        </is>
      </c>
      <c r="U143" s="1" t="inlineStr">
        <is>
          <t>https://drive.google.com/uc?export=view&amp;id=1U7quaYZAC0Qu15iU_FwQd7QtjocSjYli</t>
        </is>
      </c>
      <c r="V143" s="1" t="inlineStr">
        <is>
          <t>Unverified</t>
        </is>
      </c>
      <c r="Y143" s="10" t="n"/>
      <c r="Z143" s="1" t="n"/>
      <c r="AA143" t="inlineStr">
        <is>
          <t>Yes</t>
        </is>
      </c>
      <c r="AB143" t="inlineStr">
        <is>
          <t>Coorpacademy</t>
        </is>
      </c>
      <c r="AC143" t="inlineStr">
        <is>
          <t>Coorpacademy</t>
        </is>
      </c>
      <c r="AD143" t="inlineStr">
        <is>
          <t>Coorpacademy by Go1</t>
        </is>
      </c>
    </row>
    <row r="144" ht="12.5" customHeight="1">
      <c r="A144" s="6" t="n">
        <v>45181</v>
      </c>
      <c r="B144" s="1" t="inlineStr">
        <is>
          <t>ORG_1453</t>
        </is>
      </c>
      <c r="C144" s="1" t="b">
        <v>1</v>
      </c>
      <c r="D144" s="1" t="inlineStr">
        <is>
          <t>EDUNAO</t>
        </is>
      </c>
      <c r="E144" s="10" t="inlineStr">
        <is>
          <t>www.edunao.com</t>
        </is>
      </c>
      <c r="F144" t="inlineStr">
        <is>
          <t>edunao.com</t>
        </is>
      </c>
      <c r="G144" s="1" t="inlineStr">
        <is>
          <t>Edunao offers simple &amp; comprehensive Internet learning platforms to build an online training offer. Edunao’s solutions are developed in open source, in order to offer technologies at the best price. Edunao has set up several hundred e-learning platforms for academic institutions, hundreds of LMS platforms for training centers. Platforms are fully open-source (Moodle-based) and offer hands-free administration</t>
        </is>
      </c>
      <c r="H144" s="1" t="inlineStr">
        <is>
          <t>AFINEF, EdTech France</t>
        </is>
      </c>
      <c r="J144" s="1" t="inlineStr">
        <is>
          <t>PARIS</t>
        </is>
      </c>
      <c r="K144" s="1" t="inlineStr">
        <is>
          <t>France</t>
        </is>
      </c>
      <c r="L144" s="1" t="inlineStr">
        <is>
          <t>Austria, Belgium, Bulgaria, Croatia, Czechia, Denmark, Finland, France, Germany, Greece, Hungary, Iceland, Ireland, Italy, Liechtenstein, Luxembourg, Moldova, Monaco, Netherlands, Norway, Poland, Portugal, Romania, Slovenia, Spain, Sweden, Switzerland, Turkey, United Kingdom</t>
        </is>
      </c>
      <c r="M144" s="1" t="inlineStr">
        <is>
          <t>11 to 50</t>
        </is>
      </c>
      <c r="N144" s="1" t="inlineStr">
        <is>
          <t>Business to Business</t>
        </is>
      </c>
      <c r="O144" s="1" t="inlineStr">
        <is>
          <t>Early childhood development (0-5 years), Primary Education, Secondary Education, Higher Education, Corporate Training, Lifelong learning/Adult education</t>
        </is>
      </c>
      <c r="P144" s="1" t="inlineStr">
        <is>
          <t>Student interfacing, Teacher interfacing, System/Administrative</t>
        </is>
      </c>
      <c r="Q144" t="inlineStr">
        <is>
          <t>Lilicampus</t>
        </is>
      </c>
      <c r="R144" s="10" t="inlineStr">
        <is>
          <t>Lilicampus is a packaged, simple to use, off-the-shelf Moodle-based Learning Management System.
Lilicampus is the easiest Moodle-based online Teaching &amp; Learning Solution!
Edunao offers ready-to-use Learning Management Systems, based on Moodle, the world leading open source solution!
With Edunao, you get a packaged, secured, hosted and supported version of Moodle. Designed by to the best Moodle team, you are also provided exceptional Moodle Support &amp; Assistance Services.</t>
        </is>
      </c>
      <c r="S144" s="10" t="inlineStr">
        <is>
          <t>Neocampus</t>
        </is>
      </c>
      <c r="T144" t="inlineStr">
        <is>
          <t>Moodle lms teaching learning training, easily manage your teaching and learning in your organization, end-to-end.
Edunao offers ready-to-use Learning Management Systems, based on Moodle, the world leading open source solution!
With Edunao, you get a packaged, secured, hosted and supported version of Moodle. Designed by to the best Moodle team, you are also provided exceptional Moodle Support &amp; Assistance Services.</t>
        </is>
      </c>
      <c r="U144" s="1" t="inlineStr">
        <is>
          <t>https://drive.google.com/uc?export=view&amp;id=1Go2AHjjJOHYhHuD2bi6SEWNk95FRiJ0X</t>
        </is>
      </c>
      <c r="V144" s="1" t="inlineStr">
        <is>
          <t>Unverified</t>
        </is>
      </c>
      <c r="W144" s="1" t="inlineStr">
        <is>
          <t>https://drive.google.com/uc?export=view&amp;id=1Go2AHjjJOHYhHuD2bi6SEWNk95FRiJ0X</t>
        </is>
      </c>
      <c r="X144" s="1" t="n"/>
      <c r="Y144" s="10" t="n"/>
      <c r="Z144" s="1" t="n"/>
      <c r="AA144" t="inlineStr">
        <is>
          <t>Yes</t>
        </is>
      </c>
      <c r="AB144" t="inlineStr">
        <is>
          <t>https://twitter.com/edunao?lang=fr</t>
        </is>
      </c>
      <c r="AC144" t="inlineStr">
        <is>
          <t>https://twitter.com/edunao?lang=fr</t>
        </is>
      </c>
      <c r="AD144" t="inlineStr">
        <is>
          <t>https://fr.linkedin.com/company/edunao</t>
        </is>
      </c>
    </row>
    <row r="145" ht="12.5" customHeight="1">
      <c r="A145" s="6" t="n">
        <v>45181</v>
      </c>
      <c r="B145" s="1" t="inlineStr">
        <is>
          <t>ORG_1608</t>
        </is>
      </c>
      <c r="C145" s="1" t="b">
        <v>1</v>
      </c>
      <c r="D145" s="1" t="inlineStr">
        <is>
          <t>GAPSMOOV</t>
        </is>
      </c>
      <c r="E145" s="10" t="inlineStr">
        <is>
          <t>https://www.gapsmoov.com/en/</t>
        </is>
      </c>
      <c r="F145" t="inlineStr">
        <is>
          <t>gapsmoov.com/en</t>
        </is>
      </c>
      <c r="G145" s="1" t="inlineStr">
        <is>
          <t>Gapsmoov is the inventor of the "culture decoder": a digital learning platform in cross-cultural communication and management.
By using micro-learning modules, impactful videos and virtual classes, Gapsmoov helps its users to decode the cultural behavior of their foreign partners, for improved efficiency in their projects:
“Socialize with French people”, « Negotiate with the Chinese »,
“Have a successful meeting with Americans”, “Give a presentation to Indians”, etc... 
...in total, over 90 situations enabling you to learn and understand, in a fun and interactive way, to gain in effectiveness in an international environment. 
Watch demo video: https://www.gapsmoov.com/en/our-solutions/</t>
        </is>
      </c>
      <c r="H145" s="1" t="inlineStr">
        <is>
          <t>I'm not part of any EdTech association</t>
        </is>
      </c>
      <c r="J145" s="1" t="inlineStr">
        <is>
          <t>LYON</t>
        </is>
      </c>
      <c r="K145" s="1" t="inlineStr">
        <is>
          <t>France</t>
        </is>
      </c>
      <c r="L145" s="1" t="inlineStr">
        <is>
          <t>France, Germany, Luxembourg</t>
        </is>
      </c>
      <c r="M145" s="1" t="inlineStr">
        <is>
          <t>0 to 10</t>
        </is>
      </c>
      <c r="N145" s="1" t="inlineStr">
        <is>
          <t>Business to Business, Business to Consumer</t>
        </is>
      </c>
      <c r="O145" s="1" t="inlineStr">
        <is>
          <t>Higher Education, Corporate Training</t>
        </is>
      </c>
      <c r="P145" s="1" t="inlineStr">
        <is>
          <t>Student interfacing, Teacher interfacing, System/Administrative</t>
        </is>
      </c>
      <c r="S145" t="inlineStr">
        <is>
          <t>https://drive.google.com/uc?export=view&amp;id=1kIND2YSP2zKwNi_tdbuFkZV3fzbxXXa0</t>
        </is>
      </c>
      <c r="T145" t="inlineStr">
        <is>
          <t>https://drive.google.com/uc?export=view&amp;id=1kIND2YSP2zKwNi_tdbuFkZV3fzbxXXa0</t>
        </is>
      </c>
      <c r="U145" t="inlineStr">
        <is>
          <t>https://drive.google.com/uc?export=view&amp;id=1kIND2YSP2zKwNi_tdbuFkZV3fzbxXXa0</t>
        </is>
      </c>
      <c r="V145" t="inlineStr">
        <is>
          <t>Unverified</t>
        </is>
      </c>
      <c r="Y145" s="10" t="n"/>
      <c r="Z145" s="1" t="n"/>
      <c r="AA145" t="inlineStr">
        <is>
          <t>No</t>
        </is>
      </c>
    </row>
    <row r="146" ht="12.5" customHeight="1">
      <c r="A146" s="6" t="n">
        <v>45181</v>
      </c>
      <c r="B146" s="1" t="inlineStr">
        <is>
          <t>ORG_1852</t>
        </is>
      </c>
      <c r="C146" s="1" t="b">
        <v>1</v>
      </c>
      <c r="D146" s="1" t="inlineStr">
        <is>
          <t>Lemon Learning</t>
        </is>
      </c>
      <c r="E146" s="10" t="inlineStr">
        <is>
          <t>lemonlearning.com</t>
        </is>
      </c>
      <c r="F146" t="inlineStr">
        <is>
          <t>lemonlearning.com</t>
        </is>
      </c>
      <c r="G146" s="1" t="inlineStr">
        <is>
          <t>What if the problem with digital tools is not the software, but the uses? A Digital Adoption Platform, Lemon Learning accelerates use of key business tools and empowers your team where they work. Lemon Learning is like GPS navigation for any web-based software - procurement tool, CRM, ERP, HR system: users learn on the go thanks to interactive, in-application tips. Save on support and training costs, and boost efficiency across your teams. No more excuses for poorly- or under-utilized software!</t>
        </is>
      </c>
      <c r="H146" s="1" t="inlineStr">
        <is>
          <t>EdTech France</t>
        </is>
      </c>
      <c r="J146" s="1" t="inlineStr">
        <is>
          <t>PARIS</t>
        </is>
      </c>
      <c r="K146" s="1" t="inlineStr">
        <is>
          <t>France</t>
        </is>
      </c>
      <c r="L146" s="1" t="inlineStr">
        <is>
          <t>Albania, Andorra, Austria, Belgium, Croatia, Czechia, Denmark, Estonia, Finland, France, Georgia, Germany, Greece, Hungary, Ireland, Italy, Kazakhstan, Latvia, Luxembourg, Moldova, Netherlands, Norway, Portugal, Romania, Russia, Slovakia, Slovenia, Spain, Sweden, Switzerland, United Kingdom</t>
        </is>
      </c>
      <c r="M146" s="1" t="inlineStr">
        <is>
          <t>51 to 100</t>
        </is>
      </c>
      <c r="N146" s="1" t="inlineStr">
        <is>
          <t>Business to Business, Business to Consumer, Business to Government, Business to Schools</t>
        </is>
      </c>
      <c r="O146" s="1" t="inlineStr">
        <is>
          <t>Corporate Training</t>
        </is>
      </c>
      <c r="P146" s="1" t="inlineStr">
        <is>
          <t>System/Administrative</t>
        </is>
      </c>
      <c r="Q146" t="inlineStr">
        <is>
          <t>Lemon Learning</t>
        </is>
      </c>
      <c r="R146" s="10" t="inlineStr">
        <is>
          <t>Lemon Learning provides in-application guidance to end-users directly on their tools: thanks to interactive guides, they get the right tips at the right time, step by step throughout their software. With Lemon Learning integrated directly in the software, users can launch a guide in a single click! No more searching for guidebooks or struggling through features. Lemon Learning is best for any enterprises willing to support end-users on their daily business tools.</t>
        </is>
      </c>
      <c r="S146" s="10" t="inlineStr">
        <is>
          <t>https://drive.google.com/uc?export=view&amp;id=10HWr1Jn58jCiai9JJaqORe5yTZBW27O-</t>
        </is>
      </c>
      <c r="T146" t="inlineStr">
        <is>
          <t>https://drive.google.com/uc?export=view&amp;id=10HWr1Jn58jCiai9JJaqORe5yTZBW27O-</t>
        </is>
      </c>
      <c r="U146" s="1" t="inlineStr">
        <is>
          <t>https://drive.google.com/uc?export=view&amp;id=10HWr1Jn58jCiai9JJaqORe5yTZBW27O-</t>
        </is>
      </c>
      <c r="V146" s="1" t="inlineStr">
        <is>
          <t>Unverified</t>
        </is>
      </c>
      <c r="Y146" s="10" t="n"/>
      <c r="Z146" s="1" t="n"/>
      <c r="AA146" t="inlineStr">
        <is>
          <t>Yes</t>
        </is>
      </c>
      <c r="AB146" t="inlineStr">
        <is>
          <t>https://twitter.com/Lemon_Learning</t>
        </is>
      </c>
      <c r="AC146" t="inlineStr">
        <is>
          <t>https://twitter.com/Lemon_Learning</t>
        </is>
      </c>
      <c r="AD146" t="inlineStr">
        <is>
          <t>https://www.linkedin.com/company/lemon-learning/</t>
        </is>
      </c>
    </row>
    <row r="147" ht="12.5" customHeight="1">
      <c r="A147" s="6" t="n">
        <v>45181</v>
      </c>
      <c r="B147" s="1" t="inlineStr">
        <is>
          <t>ORG_1894</t>
        </is>
      </c>
      <c r="C147" s="1" t="b">
        <v>1</v>
      </c>
      <c r="D147" s="1" t="inlineStr">
        <is>
          <t>LUDO-VIC</t>
        </is>
      </c>
      <c r="E147" s="10" t="inlineStr">
        <is>
          <t>https://www.ludo-vic.com</t>
        </is>
      </c>
      <c r="F147" t="inlineStr">
        <is>
          <t>ludo-vic.com</t>
        </is>
      </c>
      <c r="G147" s="1" t="inlineStr">
        <is>
          <t>LUDO-VIC creates multilingual educational Apps which "break the walls of words" and that of the vernacular language, for instance by teaching the basics of any language (be it scripted or not) by the App providing instructions orally, in the learner's mother tongue (be it scripted or not). Our first App, BasicFrançais, is avalable in Bengladeshi, Dari, English, Dutch, German, Kabyle, Pashto, Portugueses, Brazilian Portuguese, Spanish, Ukrainian and Vietnamese. Other sources langaues are being prepared.
We invented an "universal engine" to teach languages. To create a BasicLanguageX will only require 6 man-monts for a teacher of that language, and less than 4 man-days to add instructions for each source language !
Given the 7000 languages spoken in the World, we are ready to give away his "universal engine" to Universities so that they could contribute to the perpuation of these languages.</t>
        </is>
      </c>
      <c r="H147" s="1" t="inlineStr">
        <is>
          <t>AFINEF</t>
        </is>
      </c>
      <c r="I147" s="1" t="inlineStr">
        <is>
          <t>Arabic, Bangladeshi, Dutch, English, Indian, Flemish, German, Hindi, Kabyle, Mandarin, Pashto, Portuguese, Portuguese (Brazil), Spanish, Ukrainian, Vietnamese</t>
        </is>
      </c>
      <c r="J147" s="1" t="inlineStr">
        <is>
          <t>PARIS</t>
        </is>
      </c>
      <c r="K147" s="1" t="inlineStr">
        <is>
          <t>France</t>
        </is>
      </c>
      <c r="L147" s="1" t="inlineStr">
        <is>
          <t>France</t>
        </is>
      </c>
      <c r="M147" s="1" t="inlineStr">
        <is>
          <t>0 to 2</t>
        </is>
      </c>
      <c r="N147" s="1" t="inlineStr">
        <is>
          <t>Business to Business, Business to Consumer, Business to Government, Business to Schools</t>
        </is>
      </c>
      <c r="O147" s="1" t="inlineStr">
        <is>
          <t>Primary Education, Secondary Education, Corporate Training, Lifelong learning/Adult education</t>
        </is>
      </c>
      <c r="P147" s="1" t="inlineStr">
        <is>
          <t>System/Administrative, Student interfacing, Teacher interfacing</t>
        </is>
      </c>
      <c r="Q147" s="1" t="inlineStr">
        <is>
          <t>BasicFrançais</t>
        </is>
      </c>
      <c r="R147" s="1" t="inlineStr">
        <is>
          <t>An App to learn Basic French ( level A1 of the CEFRL ) in an autonomous mode, requiring no internet connexion except to download the App.
Just another tool for French teachers so that their learners can improve on their skills in between classes.
70 lessons grouped in 23 modules, each lesson being built around a contextualised dialogue in French. each lesson ending with a quiz, the results of which can be tracked by the teacher in our Back-Office.</t>
        </is>
      </c>
      <c r="S147" s="10" t="inlineStr">
        <is>
          <t>BasicElsässisch</t>
        </is>
      </c>
      <c r="T147" t="inlineStr">
        <is>
          <t>Same principle, being developed, targeted source languages will be French, English, Mandarin and Japanese given the many Asian companies having set up entities in Alsace at the heart of Europe...</t>
        </is>
      </c>
      <c r="U147" s="1" t="inlineStr">
        <is>
          <t>https://drive.google.com/uc?export=view&amp;id=1CHGvbFVENSsXDWEsobdzldfsSYQiY-A7</t>
        </is>
      </c>
      <c r="V147" s="1" t="inlineStr">
        <is>
          <t>Unverified</t>
        </is>
      </c>
      <c r="W147" s="1" t="inlineStr">
        <is>
          <t>https://drive.google.com/uc?export=view&amp;id=1CHGvbFVENSsXDWEsobdzldfsSYQiY-A7</t>
        </is>
      </c>
      <c r="X147" s="1" t="n"/>
      <c r="Y147" s="10" t="n"/>
      <c r="Z147" s="1" t="n"/>
      <c r="AA147" t="inlineStr">
        <is>
          <t>Yes</t>
        </is>
      </c>
      <c r="AB147" t="inlineStr">
        <is>
          <t>LUDO-VIC SAS</t>
        </is>
      </c>
      <c r="AC147" t="inlineStr">
        <is>
          <t>LUDO-VIC SAS</t>
        </is>
      </c>
      <c r="AD147" t="inlineStr">
        <is>
          <t>https://www.linkedin.com/in/jack-amberg-23b18512/?originalSubdomain=fr</t>
        </is>
      </c>
    </row>
    <row r="148" ht="12.5" customHeight="1">
      <c r="A148" s="6" t="n">
        <v>45181</v>
      </c>
      <c r="B148" s="1" t="inlineStr">
        <is>
          <t>ORG_2005</t>
        </is>
      </c>
      <c r="C148" s="1" t="b">
        <v>1</v>
      </c>
      <c r="D148" s="1" t="inlineStr">
        <is>
          <t>My-Serious-Game</t>
        </is>
      </c>
      <c r="E148" s="10" t="inlineStr">
        <is>
          <t>https://my-serious-game.com/en</t>
        </is>
      </c>
      <c r="F148" t="inlineStr">
        <is>
          <t>my-serious-game.com/en</t>
        </is>
      </c>
      <c r="G148" s="1" t="inlineStr">
        <is>
          <t>My-Serious-Game is the French leader in custom-built digital learning solutions and a key European player: from analyzing your needs to delivering your digital training programs, we support you through an ad hoc creation process and a unique and certified pedagogical engineering method.
Combining the best of neuroscience, cutting-edge technologies (3D simulations, virtual reality, artificial intelligence...), game design or storytelling, our fun and innovative digital learning solutions enhance information retention and encourage experimentation to stimulate performance.</t>
        </is>
      </c>
      <c r="H148" s="1" t="inlineStr">
        <is>
          <t>AFINEF, EdTech France</t>
        </is>
      </c>
      <c r="J148" s="1" t="inlineStr">
        <is>
          <t>TOURS</t>
        </is>
      </c>
      <c r="K148" s="1" t="inlineStr">
        <is>
          <t>France</t>
        </is>
      </c>
      <c r="L148" s="1" t="inlineStr">
        <is>
          <t>France, Switzerland</t>
        </is>
      </c>
      <c r="M148" s="1" t="inlineStr">
        <is>
          <t>11 to 50</t>
        </is>
      </c>
      <c r="N148" s="1" t="inlineStr">
        <is>
          <t>Business to Business, Business to Government, Business to Schools</t>
        </is>
      </c>
      <c r="O148" s="1" t="inlineStr">
        <is>
          <t>Secondary Education, Higher Education, Corporate Training, Lifelong learning/Adult education</t>
        </is>
      </c>
      <c r="P148" s="1" t="inlineStr">
        <is>
          <t>Teacher interfacing, System/Administrative</t>
        </is>
      </c>
      <c r="Q148" t="inlineStr">
        <is>
          <t>EdMill</t>
        </is>
      </c>
      <c r="R148" s="10" t="inlineStr">
        <is>
          <t>EdMill, an authoring and publishing tool, makes digital training conception easy for everyone. Unveiled at the CES2021 and award Best Education App on Microsoft Teams.
EdMill is designed to be used by both your HR teams and your subject-matter expert.
Turn your learning content into digital trainings with our unique and certified methodology.</t>
        </is>
      </c>
      <c r="S148" s="10" t="inlineStr">
        <is>
          <t>IFSIMULATION</t>
        </is>
      </c>
      <c r="T148" t="inlineStr">
        <is>
          <t>IFSImulation responds to this major challenge in the education of tomorrow’s nurses, with the first simulation on the administration of medical prescriptions, immersing students in a realistic situations for learning by doing.
Accessible everywhere, anytime and by everyone, the game reinforces human support by offering tracking and analysis of students’ actions, who evolve freely during the
simulation.</t>
        </is>
      </c>
      <c r="U148" s="1" t="inlineStr">
        <is>
          <t>https://drive.google.com/uc?export=view&amp;id=1nLhne2RifsKRmRenRS9iYzQzajE8sZb8</t>
        </is>
      </c>
      <c r="V148" s="1" t="inlineStr">
        <is>
          <t>Unverified</t>
        </is>
      </c>
      <c r="W148" s="1" t="inlineStr">
        <is>
          <t>https://drive.google.com/uc?export=view&amp;id=1nLhne2RifsKRmRenRS9iYzQzajE8sZb8</t>
        </is>
      </c>
      <c r="X148" s="1" t="n"/>
      <c r="Y148" s="10" t="n"/>
      <c r="Z148" s="1" t="n"/>
      <c r="AA148" t="inlineStr">
        <is>
          <t>Yes</t>
        </is>
      </c>
      <c r="AB148" t="inlineStr">
        <is>
          <t>https://twitter.com/MY_SERIOUS_GAME?</t>
        </is>
      </c>
      <c r="AC148" t="inlineStr">
        <is>
          <t>https://twitter.com/MY_SERIOUS_GAME?</t>
        </is>
      </c>
      <c r="AD148" t="inlineStr">
        <is>
          <t>https://www.linkedin.com/company/my-serious-game/</t>
        </is>
      </c>
    </row>
    <row r="149" ht="12.5" customHeight="1">
      <c r="A149" s="6" t="n">
        <v>45181</v>
      </c>
      <c r="B149" s="1" t="inlineStr">
        <is>
          <t>ORG_2019</t>
        </is>
      </c>
      <c r="C149" s="1" t="b">
        <v>1</v>
      </c>
      <c r="D149" s="1" t="inlineStr">
        <is>
          <t>NAOTIC</t>
        </is>
      </c>
      <c r="E149" s="10" t="inlineStr">
        <is>
          <t>www.naotic.fr</t>
        </is>
      </c>
      <c r="F149" t="inlineStr">
        <is>
          <t>naotic.fr</t>
        </is>
      </c>
      <c r="G149" s="1" t="inlineStr">
        <is>
          <t>Founded in 2012, Naotic is a Frenchtech company with recognized expertise in integrating new technologies into learning spaces and meeting places.
Naotic provides innovative and professional solutions that make digital devices easy to use in education, communities and business: connected luggages, charging carts and USB solutions for storage, charging and synchronization for mobile devices.
The Naotic offer is distributed by an international network of partners. A complete range of products designed and manufactured in France with one goal : to make technologies useful and usable by everyone!</t>
        </is>
      </c>
      <c r="H149" s="1" t="inlineStr">
        <is>
          <t>AFINEF</t>
        </is>
      </c>
      <c r="J149" s="1" t="inlineStr">
        <is>
          <t>ORVAULT</t>
        </is>
      </c>
      <c r="K149" s="1" t="inlineStr">
        <is>
          <t>France</t>
        </is>
      </c>
      <c r="L149" s="1" t="inlineStr">
        <is>
          <t>Belgium, France, Switzerland</t>
        </is>
      </c>
      <c r="M149" s="1" t="inlineStr">
        <is>
          <t>11 to 50</t>
        </is>
      </c>
      <c r="N149" s="1" t="inlineStr">
        <is>
          <t>Business to Business, Business to Government, Business to Schools</t>
        </is>
      </c>
      <c r="O149" s="1" t="inlineStr">
        <is>
          <t>Primary Education, Secondary Education, Higher Education, Corporate Training, Lifelong learning/Adult education</t>
        </is>
      </c>
      <c r="P149" s="1" t="inlineStr">
        <is>
          <t>Teacher interfacing, Student interfacing, System/Administrative</t>
        </is>
      </c>
      <c r="Q149" t="inlineStr">
        <is>
          <t>Naocase - Tabibox</t>
        </is>
      </c>
      <c r="R149" s="10" t="inlineStr">
        <is>
          <t>A large product range of charging cases and cabinets for all your mobile devices like iPads, tablets, laptops and VR sytems. Naotic solutions include Smartypower connected charging technology or Tabipower USB-C smart charging hubs, depending on your choice.</t>
        </is>
      </c>
      <c r="S149" s="10" t="inlineStr">
        <is>
          <t>Naocart - Tabicart</t>
        </is>
      </c>
      <c r="T149" t="inlineStr">
        <is>
          <t>The Naocart and Tabicart trolleys bring great mobility and security to mobile devices in your establishment. Naotic solutions include Smartypower connected charging technology or Tabipower USB-C smart charging hubs, depending on your choice.</t>
        </is>
      </c>
      <c r="U149" s="1" t="inlineStr">
        <is>
          <t>https://drive.google.com/uc?export=view&amp;id=19fUOeZqHmdJThOw2ef1SXSoSrqDzTteE</t>
        </is>
      </c>
      <c r="V149" s="1" t="inlineStr">
        <is>
          <t>Unverified</t>
        </is>
      </c>
      <c r="W149" s="1" t="inlineStr">
        <is>
          <t>https://drive.google.com/uc?export=view&amp;id=19fUOeZqHmdJThOw2ef1SXSoSrqDzTteE</t>
        </is>
      </c>
      <c r="X149" s="1" t="n"/>
      <c r="Y149" s="10" t="n"/>
      <c r="Z149" s="1" t="n"/>
      <c r="AA149" t="inlineStr">
        <is>
          <t>Yes</t>
        </is>
      </c>
      <c r="AB149" t="inlineStr">
        <is>
          <t>https://twitter.com/NaoticFR</t>
        </is>
      </c>
      <c r="AC149" t="inlineStr">
        <is>
          <t>https://twitter.com/NaoticFR</t>
        </is>
      </c>
      <c r="AD149" t="inlineStr">
        <is>
          <t>https://www.linkedin.com/company/naotic</t>
        </is>
      </c>
    </row>
    <row r="150" ht="12.5" customHeight="1">
      <c r="A150" s="6" t="n">
        <v>45181</v>
      </c>
      <c r="B150" s="1" t="inlineStr">
        <is>
          <t>ORG_2177</t>
        </is>
      </c>
      <c r="C150" s="1" t="b">
        <v>1</v>
      </c>
      <c r="D150" s="1" t="inlineStr">
        <is>
          <t>Remotion</t>
        </is>
      </c>
      <c r="E150" s="1" t="inlineStr">
        <is>
          <t>www.remotion.live</t>
        </is>
      </c>
      <c r="F150" t="inlineStr">
        <is>
          <t>remotion.live</t>
        </is>
      </c>
      <c r="G150" s="1" t="inlineStr">
        <is>
          <t>Integrated Assessments system to manage online exams in one place</t>
        </is>
      </c>
      <c r="H150" s="1" t="inlineStr">
        <is>
          <t>I'm not part of any EdTech association</t>
        </is>
      </c>
      <c r="J150" s="1" t="inlineStr">
        <is>
          <t>Paris</t>
        </is>
      </c>
      <c r="K150" s="1" t="inlineStr">
        <is>
          <t>France</t>
        </is>
      </c>
      <c r="L150" s="1" t="inlineStr">
        <is>
          <t>France</t>
        </is>
      </c>
      <c r="M150" s="1" t="inlineStr">
        <is>
          <t>0 to 10</t>
        </is>
      </c>
      <c r="N150" s="1" t="inlineStr">
        <is>
          <t>Business to Consumer, Business to Schools</t>
        </is>
      </c>
      <c r="O150" s="1" t="inlineStr">
        <is>
          <t>Higher Education, Corporate Training</t>
        </is>
      </c>
      <c r="P150" s="1" t="inlineStr">
        <is>
          <t>Student interfacing, Teacher interfacing, System/Administrative</t>
        </is>
      </c>
      <c r="S150" t="inlineStr">
        <is>
          <t>https://drive.google.com/uc?export=view&amp;id=1pKVC9DdZ2fJRiGp5HXn8UukB3AByde2V</t>
        </is>
      </c>
      <c r="T150" t="inlineStr">
        <is>
          <t>https://drive.google.com/uc?export=view&amp;id=1pKVC9DdZ2fJRiGp5HXn8UukB3AByde2V</t>
        </is>
      </c>
      <c r="U150" t="inlineStr">
        <is>
          <t>https://drive.google.com/uc?export=view&amp;id=1pKVC9DdZ2fJRiGp5HXn8UukB3AByde2V</t>
        </is>
      </c>
      <c r="V150" t="inlineStr">
        <is>
          <t>Unverified</t>
        </is>
      </c>
      <c r="Y150" s="10" t="n"/>
      <c r="Z150" s="1" t="n"/>
      <c r="AA150" t="inlineStr">
        <is>
          <t>No</t>
        </is>
      </c>
    </row>
    <row r="151" ht="12.5" customHeight="1">
      <c r="A151" s="6" t="n">
        <v>45181</v>
      </c>
      <c r="B151" s="1" t="inlineStr">
        <is>
          <t>ORG_2379</t>
        </is>
      </c>
      <c r="C151" s="1" t="b">
        <v>1</v>
      </c>
      <c r="D151" s="1" t="inlineStr">
        <is>
          <t>TECHNEXT®</t>
        </is>
      </c>
      <c r="E151" s="10" t="inlineStr">
        <is>
          <t>https://www.technext.fr/</t>
        </is>
      </c>
      <c r="F151" t="inlineStr">
        <is>
          <t>technext.fr</t>
        </is>
      </c>
      <c r="G151" s="1" t="inlineStr">
        <is>
          <t>The mission of TechNext is to seize and combine two big opportunities:
1. Enhance the valuation of safe environment
2. Educate our youth on how to do it through E-STEAM solutions:
- Environment
- Science
- Technology
- Engineering
- Art
- Mathematics
- AI</t>
        </is>
      </c>
      <c r="H151" s="1" t="inlineStr">
        <is>
          <t>EdTech France</t>
        </is>
      </c>
      <c r="J151" s="1" t="inlineStr">
        <is>
          <t>CANNES</t>
        </is>
      </c>
      <c r="K151" s="1" t="inlineStr">
        <is>
          <t>France</t>
        </is>
      </c>
      <c r="L151" s="1" t="inlineStr">
        <is>
          <t>Austria, Belgium, Bulgaria, Croatia, Czechia, Denmark, Estonia, France, Germany, Greece, Hungary, Italy, Lithuania, Luxembourg, Monaco, Netherlands, Poland, Portugal, Romania, Serbia, Slovakia, Slovenia, Spain, Switzerland, Ukraine, United Kingdom</t>
        </is>
      </c>
      <c r="M151" s="1" t="inlineStr">
        <is>
          <t>0 to 10</t>
        </is>
      </c>
      <c r="N151" s="1" t="inlineStr">
        <is>
          <t>Business to Schools</t>
        </is>
      </c>
      <c r="O151" s="1" t="inlineStr">
        <is>
          <t>Primary Education, Secondary Education, Higher Education</t>
        </is>
      </c>
      <c r="P151" s="1" t="inlineStr">
        <is>
          <t>System/Administrative, Teacher interfacing</t>
        </is>
      </c>
      <c r="S151" t="inlineStr">
        <is>
          <t>https://drive.google.com/uc?export=view&amp;id=1oMfLUe1X7HpAghr8-H3mZM-KvR5_g1Vv</t>
        </is>
      </c>
      <c r="T151" t="inlineStr">
        <is>
          <t>https://drive.google.com/uc?export=view&amp;id=1oMfLUe1X7HpAghr8-H3mZM-KvR5_g1Vv</t>
        </is>
      </c>
      <c r="U151" t="inlineStr">
        <is>
          <t>https://drive.google.com/uc?export=view&amp;id=1oMfLUe1X7HpAghr8-H3mZM-KvR5_g1Vv</t>
        </is>
      </c>
      <c r="V151" t="inlineStr">
        <is>
          <t>Unverified</t>
        </is>
      </c>
      <c r="Y151" s="10" t="n"/>
      <c r="Z151" s="1" t="n"/>
      <c r="AA151" t="inlineStr">
        <is>
          <t>No</t>
        </is>
      </c>
    </row>
    <row r="152" ht="12.5" customHeight="1">
      <c r="A152" s="6" t="n">
        <v>45181</v>
      </c>
      <c r="B152" s="1" t="inlineStr">
        <is>
          <t>ORG_2386</t>
        </is>
      </c>
      <c r="C152" s="1" t="b">
        <v>1</v>
      </c>
      <c r="D152" s="1" t="inlineStr">
        <is>
          <t>Tenors</t>
        </is>
      </c>
      <c r="E152" s="10" t="inlineStr">
        <is>
          <t>https://www.tenors.fr</t>
        </is>
      </c>
      <c r="F152" t="inlineStr">
        <is>
          <t>tenors.fr</t>
        </is>
      </c>
      <c r="G152" s="1" t="inlineStr">
        <is>
          <t>Speakers recruitment tool for Higher Education.
Tenors makes Speakers' recruitment in higher education simple and expanded.</t>
        </is>
      </c>
      <c r="H152" s="1" t="inlineStr">
        <is>
          <t>EdTech France</t>
        </is>
      </c>
      <c r="J152" s="1" t="inlineStr">
        <is>
          <t>Bordeaux</t>
        </is>
      </c>
      <c r="K152" s="1" t="inlineStr">
        <is>
          <t>France</t>
        </is>
      </c>
      <c r="L152" s="1" t="inlineStr">
        <is>
          <t>France</t>
        </is>
      </c>
      <c r="M152" s="1" t="inlineStr">
        <is>
          <t>0 to 10</t>
        </is>
      </c>
      <c r="N152" s="1" t="inlineStr">
        <is>
          <t>Business to Schools</t>
        </is>
      </c>
      <c r="O152" s="1" t="inlineStr">
        <is>
          <t>Higher Education, Corporate Training</t>
        </is>
      </c>
      <c r="P152" s="1" t="inlineStr">
        <is>
          <t>Teacher interfacing, System/Administrative, Student interfacing</t>
        </is>
      </c>
      <c r="Q152" t="inlineStr">
        <is>
          <t>Speakers recruitement Tool</t>
        </is>
      </c>
      <c r="R152" s="10" t="inlineStr">
        <is>
          <t>Speakers' recruitment in higher education made simple and expanded</t>
        </is>
      </c>
      <c r="S152" s="10" t="n"/>
      <c r="U152" s="1" t="n"/>
      <c r="V152" s="1" t="inlineStr">
        <is>
          <t>Unverified</t>
        </is>
      </c>
      <c r="Z152" s="1" t="n"/>
      <c r="AA152" t="inlineStr">
        <is>
          <t>Yes</t>
        </is>
      </c>
      <c r="AB152" t="inlineStr">
        <is>
          <t>https://twitter.com/TenorsFrance</t>
        </is>
      </c>
      <c r="AC152" t="inlineStr">
        <is>
          <t>https://twitter.com/TenorsFrance</t>
        </is>
      </c>
      <c r="AD152" t="inlineStr">
        <is>
          <t>https://www.linkedin.com/company/68142561/</t>
        </is>
      </c>
    </row>
    <row r="153" ht="12.5" customHeight="1">
      <c r="A153" s="6" t="n">
        <v>45181</v>
      </c>
      <c r="B153" s="1" t="inlineStr">
        <is>
          <t>ORG_1068</t>
        </is>
      </c>
      <c r="C153" s="1" t="b">
        <v>1</v>
      </c>
      <c r="D153" s="1" t="inlineStr">
        <is>
          <t>Amazyf</t>
        </is>
      </c>
      <c r="E153" s="10" t="inlineStr">
        <is>
          <t>www.amazyf.com</t>
        </is>
      </c>
      <c r="F153" t="inlineStr">
        <is>
          <t>amazyf.com</t>
        </is>
      </c>
      <c r="G153" s="1" t="inlineStr">
        <is>
          <t>Amazyf is a company specialised into digital training for the agricultural, forestry and road works equipment. 
We are proposing services of e-learning and 3D creation along with translation services.</t>
        </is>
      </c>
      <c r="H153" s="1" t="inlineStr">
        <is>
          <t>I'm not part of any EdTech association</t>
        </is>
      </c>
      <c r="J153" s="1" t="inlineStr">
        <is>
          <t>NOYERS SAINT MARTIN</t>
        </is>
      </c>
      <c r="K153" s="1" t="inlineStr">
        <is>
          <t>France</t>
        </is>
      </c>
      <c r="L153" s="1" t="inlineStr">
        <is>
          <t>France, Germany, Ireland, Italy, United Kingdom</t>
        </is>
      </c>
      <c r="M153" s="1" t="inlineStr">
        <is>
          <t>0 to 10</t>
        </is>
      </c>
      <c r="N153" s="1" t="inlineStr">
        <is>
          <t>Business to Business</t>
        </is>
      </c>
      <c r="O153" s="1" t="inlineStr">
        <is>
          <t>Primary Education, Secondary Education, Higher Education, Corporate Training</t>
        </is>
      </c>
      <c r="P153" s="1" t="inlineStr">
        <is>
          <t>Teacher interfacing, Student interfacing, System/Administrative</t>
        </is>
      </c>
      <c r="S153" t="inlineStr">
        <is>
          <t>https://drive.google.com/uc?export=view&amp;id=19z95nPJbzIE1wzeq2rLUCqrNAkUtdA7I</t>
        </is>
      </c>
      <c r="T153" t="inlineStr">
        <is>
          <t>https://drive.google.com/uc?export=view&amp;id=19z95nPJbzIE1wzeq2rLUCqrNAkUtdA7I</t>
        </is>
      </c>
      <c r="U153" t="inlineStr">
        <is>
          <t>https://drive.google.com/uc?export=view&amp;id=19z95nPJbzIE1wzeq2rLUCqrNAkUtdA7I</t>
        </is>
      </c>
      <c r="V153" t="inlineStr">
        <is>
          <t>Unverified</t>
        </is>
      </c>
      <c r="Y153" s="10" t="n"/>
      <c r="Z153" s="1" t="n"/>
      <c r="AA153" t="inlineStr">
        <is>
          <t>No</t>
        </is>
      </c>
    </row>
    <row r="154" ht="12.5" customHeight="1">
      <c r="A154" s="6" t="n">
        <v>45181</v>
      </c>
      <c r="B154" s="1" t="inlineStr">
        <is>
          <t>ORG_1354</t>
        </is>
      </c>
      <c r="C154" s="1" t="b">
        <v>1</v>
      </c>
      <c r="D154" s="1" t="inlineStr">
        <is>
          <t>Diginnovative Digital Learning</t>
        </is>
      </c>
      <c r="E154" s="10" t="inlineStr">
        <is>
          <t>https://emaze.me/diginnovative#Accueil</t>
        </is>
      </c>
      <c r="F154" t="inlineStr">
        <is>
          <t>emaze.me/diginnovative#accueil</t>
        </is>
      </c>
      <c r="G154" s="1" t="inlineStr">
        <is>
          <t>We design and develop engaging learning programmes to help learners improve their skills.
How ? We take into account every bit of your context, expectations and needs to design the right activity at the right time of the learning journey with the right learning outcome.
Why ? Because we are convinced that motivation, engagement are the key to better learning and upskilling and reskilling.
To achieve this, we mix learning modalities and we keep learners at the heart of everything we create.</t>
        </is>
      </c>
      <c r="H154" s="1" t="inlineStr">
        <is>
          <t>I'm not part of any EdTech association</t>
        </is>
      </c>
      <c r="I154" s="1" t="inlineStr">
        <is>
          <t>French, English</t>
        </is>
      </c>
      <c r="J154" s="1" t="inlineStr">
        <is>
          <t>Orange</t>
        </is>
      </c>
      <c r="K154" s="1" t="inlineStr">
        <is>
          <t>France</t>
        </is>
      </c>
      <c r="L154" s="1" t="inlineStr">
        <is>
          <t>Austria, Belgium, Croatia, Cyprus, Czechia, Denmark, Estonia, Finland, France, Germany, Greece, Iceland, Ireland, Italy, Latvia, Liechtenstein, Lithuania, Luxembourg, Malta, Netherlands, Norway, Poland, Portugal, Romania, Spain, Sweden, Switzerland, Turkey, Ukraine, United Kingdom</t>
        </is>
      </c>
      <c r="M154" s="1" t="inlineStr">
        <is>
          <t>0 to 2</t>
        </is>
      </c>
      <c r="N154" s="1" t="inlineStr">
        <is>
          <t>Business to Business</t>
        </is>
      </c>
      <c r="O154" s="1" t="inlineStr">
        <is>
          <t>Corporate Training, Lifelong learning/Adult education, Vocational Education and Training (VET), Higher Education</t>
        </is>
      </c>
      <c r="P154" s="1" t="inlineStr">
        <is>
          <t>Teacher interfacing, System/Administrative, Student interfacing</t>
        </is>
      </c>
      <c r="Q154" t="inlineStr">
        <is>
          <t>Digital learning programmes design and implementation</t>
        </is>
      </c>
      <c r="R154" t="inlineStr">
        <is>
          <t>We design and implement enriched classroom, blended learning and e-learning training courses. We design the pedagogical engineering. We create interactive modules with quizzes, video (face-to-face, animated and interactive), podcasts and dialogue simulations.
We design and run virtual classes. We mobilize our pedagogical expertise to create and deliver virtual classes that encourage interaction and exchange.
We support in-house teams' skills development with practical workshops. These workshops are dedicated to the discovery of animation techniques, the use of digital tools and the practical application of activities that encourage learner involvement.</t>
        </is>
      </c>
      <c r="S154" s="10" t="inlineStr">
        <is>
          <t>Digitalization strategy</t>
        </is>
      </c>
      <c r="T154" t="inlineStr">
        <is>
          <t>We help organizations define and deploy the digitalization strategy best suited to their context.
To achieve this, we adopt a methodical approach:
- internal audit
- identification of objectives (SMART)
- co-construction of an action plan
- identification of key players and project leaders
- planning priority actions to be deployed
- Benchmarking and selection of solutions adapted to the organization's context
- support for management teams in implementing strategy
During the workshops we facilitate, we point out that one of the keys towards success is to act as a team.
What makes us appreciated by our clients is that We never come up with a preconceived solution, but with a fresh perspective for each new assignment. Every context is unique, and demands a customized solution. The phrase "one size fits all" is banned in our team!
We adjust to our clients and to their context to help them find the best way to make their digital learning project successful.</t>
        </is>
      </c>
      <c r="U154" s="1" t="inlineStr">
        <is>
          <t>https://drive.google.com/uc?export=view&amp;id=1sVCt5FzqQy0xVl_xu0vRuh3DVa5TlMTE</t>
        </is>
      </c>
      <c r="V154" s="1" t="inlineStr">
        <is>
          <t>Unverified</t>
        </is>
      </c>
      <c r="W154" s="1" t="inlineStr">
        <is>
          <t>https://drive.google.com/uc?export=view&amp;id=1sVCt5FzqQy0xVl_xu0vRuh3DVa5TlMTE</t>
        </is>
      </c>
      <c r="X154" s="1" t="n"/>
      <c r="Y154" s="10" t="n"/>
      <c r="Z154" s="1" t="n"/>
      <c r="AA154" t="inlineStr">
        <is>
          <t>Yes</t>
        </is>
      </c>
      <c r="AC154" t="inlineStr">
        <is>
          <t>https://www.linkedin.com/company/diginnovative/</t>
        </is>
      </c>
      <c r="AD154" t="inlineStr">
        <is>
          <t>https://www.linkedin.com/company/diginnovative/</t>
        </is>
      </c>
    </row>
    <row r="155" ht="12.5" customHeight="1">
      <c r="A155" s="6" t="n">
        <v>45181</v>
      </c>
      <c r="B155" s="1" t="inlineStr">
        <is>
          <t>ORG_1406</t>
        </is>
      </c>
      <c r="C155" s="1" t="b">
        <v>1</v>
      </c>
      <c r="D155" s="1" t="inlineStr">
        <is>
          <t>Edflex</t>
        </is>
      </c>
      <c r="E155" s="10" t="inlineStr">
        <is>
          <t>edflex.com/en</t>
        </is>
      </c>
      <c r="F155" t="inlineStr">
        <is>
          <t>edflex.com/en</t>
        </is>
      </c>
      <c r="G155" s="1" t="inlineStr">
        <is>
          <t>We live in a world where information is everywhere. Knowledge is all around us, but finding the right information to learn and develop new skills is not that easy. 
Fake news, millions of sources on the web, quality of available and free content. Learning curation is crucial.
Edflex responds to this challenge with: 
1. Simplified access to all quality resources, classified by category.
2. A fresh content catalog with new habits modalities ( podcast, video, article...) updated everyday.
3. An instant response to train when and where you want (atawad).
Simpler, more engaging and instantaneous, directly linked with the needs of learners: this is our vision of learning.</t>
        </is>
      </c>
      <c r="H155" s="1" t="inlineStr">
        <is>
          <t>EdTech France</t>
        </is>
      </c>
      <c r="J155" s="1" t="inlineStr">
        <is>
          <t>PARIS</t>
        </is>
      </c>
      <c r="K155" s="1" t="inlineStr">
        <is>
          <t>France</t>
        </is>
      </c>
      <c r="L155" s="1" t="inlineStr">
        <is>
          <t>Belgium, France, Germany, Luxembourg, Netherlands, Spain, Switzerland</t>
        </is>
      </c>
      <c r="M155" s="1" t="inlineStr">
        <is>
          <t>51 to 100</t>
        </is>
      </c>
      <c r="N155" s="1" t="inlineStr">
        <is>
          <t>Business to Business</t>
        </is>
      </c>
      <c r="O155" s="1" t="inlineStr">
        <is>
          <t>Corporate Training, Lifelong learning/Adult education</t>
        </is>
      </c>
      <c r="P155" s="1" t="inlineStr">
        <is>
          <t>Teacher interfacing, Student interfacing, System/Administrative</t>
        </is>
      </c>
      <c r="Q155" s="10" t="inlineStr">
        <is>
          <t>Edflex</t>
        </is>
      </c>
      <c r="R155" s="10" t="inlineStr">
        <is>
          <t>Edflex inspires and engages employees in their professional and personal development. More than just a simplified access to thousands of online training contents, Edflex is a SaaS solution that changes the way employees learn every day. We offer more than 40,000 expert-qualified contents (online courses, videos, podcasts, articles...) in native languages, and transform them into an intuitive catalog accessible at any time from our solution, or integrated into your LMS or HRIS. Since 2016, we have been supporting 600,000 users from large groups (including Club Med, Air France, Orange and Total Energies).</t>
        </is>
      </c>
      <c r="S155" s="10" t="inlineStr">
        <is>
          <t>https://drive.google.com/uc?export=view&amp;id=1oqMbYQMdeDegGd1CtvU_nhKKmPiWwj9k</t>
        </is>
      </c>
      <c r="T155" t="inlineStr">
        <is>
          <t>https://drive.google.com/uc?export=view&amp;id=1oqMbYQMdeDegGd1CtvU_nhKKmPiWwj9k</t>
        </is>
      </c>
      <c r="U155" s="1" t="inlineStr">
        <is>
          <t>https://drive.google.com/uc?export=view&amp;id=1oqMbYQMdeDegGd1CtvU_nhKKmPiWwj9k</t>
        </is>
      </c>
      <c r="V155" s="1" t="inlineStr">
        <is>
          <t>Unverified</t>
        </is>
      </c>
      <c r="Y155" s="10" t="n"/>
      <c r="Z155" s="1" t="n"/>
      <c r="AA155" t="inlineStr">
        <is>
          <t>Yes</t>
        </is>
      </c>
      <c r="AB155" t="inlineStr">
        <is>
          <t>https://www.instagram.com/edflex_fr</t>
        </is>
      </c>
      <c r="AC155" t="inlineStr">
        <is>
          <t>https://twitter.com/edflex_fr</t>
        </is>
      </c>
      <c r="AD155" t="inlineStr">
        <is>
          <t>https://www.linkedin.com/company/edflex-hq</t>
        </is>
      </c>
    </row>
    <row r="156" ht="12.5" customHeight="1">
      <c r="A156" s="6" t="n">
        <v>45181</v>
      </c>
      <c r="B156" s="1" t="inlineStr">
        <is>
          <t>ORG_1482</t>
        </is>
      </c>
      <c r="C156" s="1" t="b">
        <v>1</v>
      </c>
      <c r="D156" s="1" t="inlineStr">
        <is>
          <t>elendi</t>
        </is>
      </c>
      <c r="E156" s="10" t="inlineStr">
        <is>
          <t>https://www.elendi.ai/</t>
        </is>
      </c>
      <c r="F156" t="inlineStr">
        <is>
          <t>elendi.ai</t>
        </is>
      </c>
      <c r="G156" s="1" t="inlineStr">
        <is>
          <t>elendi is a SaaS platform building employee engagement and capabilities.</t>
        </is>
      </c>
      <c r="H156" s="1" t="inlineStr">
        <is>
          <t>EdTech France</t>
        </is>
      </c>
      <c r="J156" s="1" t="inlineStr">
        <is>
          <t>Paris</t>
        </is>
      </c>
      <c r="K156" s="1" t="inlineStr">
        <is>
          <t>France</t>
        </is>
      </c>
      <c r="L156" s="1" t="inlineStr">
        <is>
          <t>France</t>
        </is>
      </c>
      <c r="M156" s="1" t="inlineStr">
        <is>
          <t>11 to 50</t>
        </is>
      </c>
      <c r="N156" s="1" t="inlineStr">
        <is>
          <t>Business to Business, Business to Consumer</t>
        </is>
      </c>
      <c r="O156" s="1" t="inlineStr">
        <is>
          <t>Corporate Training, Lifelong learning/Adult education</t>
        </is>
      </c>
      <c r="P156" s="1" t="inlineStr">
        <is>
          <t>Student interfacing, System/Administrative</t>
        </is>
      </c>
      <c r="Q156" t="inlineStr">
        <is>
          <t>Learning Companion</t>
        </is>
      </c>
      <c r="R156" t="inlineStr">
        <is>
          <t>Elendi's Learning Companion builds capabilities for your employees. 
With utmost employee-centricity, it helps your people identify critical areas of growth, benefit from best-suited learning recommendations, and reinforce their learning. 
The learning companion creates a continuous learning habit and ensures that your employees do not become obsolete.
It also supports managers to become better managers and equips HR to steer the organization's short-term and long-term capabilities to achieve strategic objectives.</t>
        </is>
      </c>
      <c r="S156" t="inlineStr">
        <is>
          <t>Engagement Companion</t>
        </is>
      </c>
      <c r="T156" t="inlineStr">
        <is>
          <t>Elendi's Engagement Companion builds engagement for your employees
It heightens engagement by making your employees' voices count and providing them with immediate support, helps managers adjust their management to increase engagement, and supports HR in steering engagement through active, real-time listening.
The Engagement Companion provides actionable insights on structural engagement levers. It also actively monitors employees' pulse in every day worklife and moments that matter.</t>
        </is>
      </c>
      <c r="U156" s="1" t="inlineStr">
        <is>
          <t>https://drive.google.com/uc?export=view&amp;id=16QcgDUU64kqpCbdBvmWkSB-ju3w_zp2n</t>
        </is>
      </c>
      <c r="V156" s="1" t="inlineStr">
        <is>
          <t>Unverified</t>
        </is>
      </c>
      <c r="W156" s="1" t="inlineStr">
        <is>
          <t>https://drive.google.com/uc?export=view&amp;id=16QcgDUU64kqpCbdBvmWkSB-ju3w_zp2n</t>
        </is>
      </c>
      <c r="X156" s="1" t="n"/>
      <c r="Y156" s="10" t="n"/>
      <c r="Z156" s="1" t="n"/>
      <c r="AA156" t="inlineStr">
        <is>
          <t>No</t>
        </is>
      </c>
    </row>
    <row r="157" ht="12.5" customHeight="1">
      <c r="A157" s="6" t="n">
        <v>45181</v>
      </c>
      <c r="B157" s="1" t="inlineStr">
        <is>
          <t>ORG_1907</t>
        </is>
      </c>
      <c r="C157" s="1" t="b">
        <v>1</v>
      </c>
      <c r="D157" s="1" t="inlineStr">
        <is>
          <t>Make My Musik</t>
        </is>
      </c>
      <c r="E157" s="10" t="inlineStr">
        <is>
          <t>https://makemymusik.fr</t>
        </is>
      </c>
      <c r="F157" t="inlineStr">
        <is>
          <t>makemymusik.fr</t>
        </is>
      </c>
      <c r="G157" s="1" t="inlineStr">
        <is>
          <t>Make My Musik aims to make music accessible to all children and to develop their creativity.
To do so, Make My Musik has reimagined how children discover music, with an innovative toy called izikub. Unlike toy instruments, izikub has been designed with children in mind, to make it really easy for them to make and compose music.
izikub is an intuitive, playful and evolutive musical toy, designed for children from 3 to 8 years old.
No dexterity and no music theory are needed: children discover and create music with cubes only!</t>
        </is>
      </c>
      <c r="H157" s="1" t="inlineStr">
        <is>
          <t>I'm not part of any EdTech association</t>
        </is>
      </c>
      <c r="J157" s="1" t="inlineStr">
        <is>
          <t>LYON</t>
        </is>
      </c>
      <c r="K157" s="1" t="inlineStr">
        <is>
          <t>France</t>
        </is>
      </c>
      <c r="L157" s="1" t="inlineStr">
        <is>
          <t>Belgium, France, Switzerland</t>
        </is>
      </c>
      <c r="M157" s="1" t="inlineStr">
        <is>
          <t>0 to 10</t>
        </is>
      </c>
      <c r="N157" s="1" t="inlineStr">
        <is>
          <t>Business to Business, Business to Consumer, Business to Government, Business to Schools</t>
        </is>
      </c>
      <c r="O157" s="1" t="inlineStr">
        <is>
          <t>Early childhood development (0-5 years), Primary Education</t>
        </is>
      </c>
      <c r="P157" s="1" t="inlineStr">
        <is>
          <t>System/Administrative, Student interfacing, Teacher interfacing</t>
        </is>
      </c>
      <c r="S157" t="inlineStr">
        <is>
          <t>https://drive.google.com/uc?export=view&amp;id=1b4713yqA-ZbenOGmkNSR261gRoA1OYwC</t>
        </is>
      </c>
      <c r="T157" t="inlineStr">
        <is>
          <t>https://drive.google.com/uc?export=view&amp;id=1b4713yqA-ZbenOGmkNSR261gRoA1OYwC</t>
        </is>
      </c>
      <c r="U157" t="inlineStr">
        <is>
          <t>https://drive.google.com/uc?export=view&amp;id=1b4713yqA-ZbenOGmkNSR261gRoA1OYwC</t>
        </is>
      </c>
      <c r="V157" t="inlineStr">
        <is>
          <t>Unverified</t>
        </is>
      </c>
      <c r="Y157" s="10" t="n"/>
      <c r="Z157" s="1" t="n"/>
      <c r="AA157" t="inlineStr">
        <is>
          <t>No</t>
        </is>
      </c>
    </row>
    <row r="158" ht="12.5" customHeight="1">
      <c r="A158" s="6" t="n">
        <v>45181</v>
      </c>
      <c r="B158" s="1" t="inlineStr">
        <is>
          <t>ORG_2047</t>
        </is>
      </c>
      <c r="C158" s="1" t="b">
        <v>1</v>
      </c>
      <c r="D158" s="1" t="inlineStr">
        <is>
          <t>Novo3d</t>
        </is>
      </c>
      <c r="E158" s="10" t="inlineStr">
        <is>
          <t>www.novo3d.fr</t>
        </is>
      </c>
      <c r="F158" t="inlineStr">
        <is>
          <t>novo3d.fr</t>
        </is>
      </c>
      <c r="G158" s="1" t="inlineStr">
        <is>
          <t>Novo3d is an innovative company created in 2013 and who aim at reconnecting the world heritage and the grand audience. We have created the "Timepods", an exclusive and completely autonomous VR system that allows teachers and tour guides to control a group of VR users from outside, in any kind of places or setups, thus creating memorable experiences where history is valuated and learning is a core part of it.</t>
        </is>
      </c>
      <c r="H158" s="1" t="inlineStr">
        <is>
          <t>EdTech France</t>
        </is>
      </c>
      <c r="J158" s="1" t="inlineStr">
        <is>
          <t>ANGOULEME</t>
        </is>
      </c>
      <c r="K158" s="1" t="inlineStr">
        <is>
          <t>France</t>
        </is>
      </c>
      <c r="L158" s="1" t="inlineStr">
        <is>
          <t>France</t>
        </is>
      </c>
      <c r="M158" s="1" t="inlineStr">
        <is>
          <t>0 to 10</t>
        </is>
      </c>
      <c r="N158" s="1" t="inlineStr">
        <is>
          <t>Business to Business, Business to Consumer, Business to Schools</t>
        </is>
      </c>
      <c r="O158" s="1" t="inlineStr">
        <is>
          <t>Secondary Education, Higher Education</t>
        </is>
      </c>
      <c r="P158" s="1" t="inlineStr">
        <is>
          <t>System/Administrative, Student interfacing, Teacher interfacing</t>
        </is>
      </c>
      <c r="S158" t="inlineStr">
        <is>
          <t>https://drive.google.com/uc?export=view&amp;id=1DC6kA7WaS4aFcSYz8nYrVGHtdfIdCY50</t>
        </is>
      </c>
      <c r="T158" t="inlineStr">
        <is>
          <t>https://drive.google.com/uc?export=view&amp;id=1DC6kA7WaS4aFcSYz8nYrVGHtdfIdCY50</t>
        </is>
      </c>
      <c r="U158" t="inlineStr">
        <is>
          <t>https://drive.google.com/uc?export=view&amp;id=1DC6kA7WaS4aFcSYz8nYrVGHtdfIdCY50</t>
        </is>
      </c>
      <c r="V158" t="inlineStr">
        <is>
          <t>Unverified</t>
        </is>
      </c>
      <c r="Y158" s="10" t="n"/>
      <c r="Z158" s="1" t="n"/>
      <c r="AA158" t="inlineStr">
        <is>
          <t>No</t>
        </is>
      </c>
    </row>
    <row r="159" ht="12.5" customHeight="1">
      <c r="A159" s="6" t="n">
        <v>45181</v>
      </c>
      <c r="B159" s="1" t="inlineStr">
        <is>
          <t>ORG_2127</t>
        </is>
      </c>
      <c r="C159" s="1" t="b">
        <v>1</v>
      </c>
      <c r="D159" s="1" t="inlineStr">
        <is>
          <t>Projet Voltaire</t>
        </is>
      </c>
      <c r="E159" s="10" t="inlineStr">
        <is>
          <t>https://www.projet-voltaire.fr/?utm_source=site&amp;utm_medium=referral_partner&amp;utm_campaign=edtech_map</t>
        </is>
      </c>
      <c r="F159" t="inlineStr">
        <is>
          <t>projet-voltaire.fr/?utm_source=site&amp;utm_medium=referral_partner&amp;utm_campaign=edtech_map</t>
        </is>
      </c>
      <c r="G159" s="1" t="inlineStr">
        <is>
          <t>Projet Voltaire is the n°1 training solution for French spelling, written and oral communication. 7 million people have already improved their skills thanks to this service. The mastery of French is an essential tool for communicating with others, from elementary school to work life. The consequences of spelling mistakes can be disastrous: lack of confidence when writing, loss of credibility with your audience, rejected applications... People suffering from poor communication skills often suffer in silence, fearing the judgment of others. We have created a solution making spelling and communication skills accessible to everyone. Regardless of your initial level, age, objectives or pace of acquisition, the solution will craft a perfectly customed journey for you. Two keywords: fun and efficiency! The goal is to stay away from textbooks or boring grammar lessons. Mastering French is a necessity for French speakers, but it should not be torture!</t>
        </is>
      </c>
      <c r="H159" s="1" t="inlineStr">
        <is>
          <t>EdTech France</t>
        </is>
      </c>
      <c r="J159" s="1" t="inlineStr">
        <is>
          <t>LYON</t>
        </is>
      </c>
      <c r="K159" s="1" t="inlineStr">
        <is>
          <t>France</t>
        </is>
      </c>
      <c r="L159" s="1" t="inlineStr">
        <is>
          <t>Andorra, Belgium, France, Luxembourg, Monaco, Switzerland</t>
        </is>
      </c>
      <c r="M159" s="1" t="inlineStr">
        <is>
          <t>101 to 500</t>
        </is>
      </c>
      <c r="N159" s="1" t="inlineStr">
        <is>
          <t>Business to Business, Business to Consumer, Business to Schools</t>
        </is>
      </c>
      <c r="O159" s="1" t="inlineStr">
        <is>
          <t>Primary Education, Secondary Education, Corporate Training, Lifelong learning/Adult education, Vocational Education and Training (VET), Higher Education</t>
        </is>
      </c>
      <c r="P159" s="1" t="inlineStr">
        <is>
          <t>System/Administrative, Teacher interfacing, Student interfacing</t>
        </is>
      </c>
      <c r="Q159" t="inlineStr">
        <is>
          <t>Projet Voltaire</t>
        </is>
      </c>
      <c r="R159" s="10" t="inlineStr">
        <is>
          <t>Projet Voltaire is an app that can be used on your phone or computer, offering exercises that makes you more at ease when expressing yourself. Having a good communication gives a better image of yourself through good spelling, expressing yourself clearly with the right words and developping an effective argument.</t>
        </is>
      </c>
      <c r="S159" s="10" t="inlineStr">
        <is>
          <t>https://drive.google.com/uc?export=view&amp;id=1kD27KIuc1xvAflU1BogUqrB9ZmHzPSIB</t>
        </is>
      </c>
      <c r="T159" t="inlineStr">
        <is>
          <t>https://drive.google.com/uc?export=view&amp;id=1kD27KIuc1xvAflU1BogUqrB9ZmHzPSIB</t>
        </is>
      </c>
      <c r="U159" s="1" t="inlineStr">
        <is>
          <t>https://drive.google.com/uc?export=view&amp;id=1kD27KIuc1xvAflU1BogUqrB9ZmHzPSIB</t>
        </is>
      </c>
      <c r="V159" s="1" t="inlineStr">
        <is>
          <t>Unverified</t>
        </is>
      </c>
      <c r="Y159" s="10" t="n"/>
      <c r="Z159" s="1" t="n"/>
      <c r="AA159" t="inlineStr">
        <is>
          <t>Yes</t>
        </is>
      </c>
      <c r="AB159" t="inlineStr">
        <is>
          <t>https://www.twitter.com/projet_Voltaire</t>
        </is>
      </c>
      <c r="AC159" t="inlineStr">
        <is>
          <t>https://www.twitter.com/projet_Voltaire</t>
        </is>
      </c>
      <c r="AD159" t="inlineStr">
        <is>
          <t>https://www.linkedin.com/company/projet-voltaire/</t>
        </is>
      </c>
    </row>
    <row r="160" ht="12.5" customHeight="1">
      <c r="A160" s="6" t="n">
        <v>45181</v>
      </c>
      <c r="B160" s="1" t="inlineStr">
        <is>
          <t>ORG_2185</t>
        </is>
      </c>
      <c r="C160" s="1" t="b">
        <v>1</v>
      </c>
      <c r="D160" s="1" t="inlineStr">
        <is>
          <t>Rise Up</t>
        </is>
      </c>
      <c r="E160" s="10" t="inlineStr">
        <is>
          <t>https://www.riseup.ai/</t>
        </is>
      </c>
      <c r="F160" t="inlineStr">
        <is>
          <t>riseup.ai</t>
        </is>
      </c>
      <c r="G160" s="1" t="inlineStr">
        <is>
          <t>Rise Up delivers a dynamic and impactful learning experience through an all-in-one training solution designed to support L&amp;D. Rise Up learning platform makes it easy to plan, manage and combine face-to-face, virtual training and digital learning for a hybrid and agile workforce. With an AI-driven adaptive learning capability, Rise Up is leading the way to incorporate experience, culture, need, impact and agility.</t>
        </is>
      </c>
      <c r="H160" s="1" t="inlineStr">
        <is>
          <t>EdTech France</t>
        </is>
      </c>
      <c r="J160" s="1" t="inlineStr">
        <is>
          <t>PARIS</t>
        </is>
      </c>
      <c r="K160" s="1" t="inlineStr">
        <is>
          <t>France</t>
        </is>
      </c>
      <c r="L160" s="1" t="inlineStr">
        <is>
          <t>Belgium, France, Germany, Luxembourg, Netherlands, Portugal, United Kingdom</t>
        </is>
      </c>
      <c r="M160" s="1" t="inlineStr">
        <is>
          <t>100+</t>
        </is>
      </c>
      <c r="N160" s="1" t="inlineStr">
        <is>
          <t>Business to Business, Business to Government, Business to Schools</t>
        </is>
      </c>
      <c r="O160" s="1" t="inlineStr">
        <is>
          <t>Corporate Training, Lifelong learning/Adult education</t>
        </is>
      </c>
      <c r="P160" s="1" t="inlineStr">
        <is>
          <t>Teacher interfacing, Student interfacing, System/Administrative</t>
        </is>
      </c>
      <c r="Q160" s="10" t="inlineStr">
        <is>
          <t>Integrated LMS, LXP &amp; Authoring Tool</t>
        </is>
      </c>
      <c r="R160" s="10" t="inlineStr">
        <is>
          <t>Blended Learning Platform including ready to use content. Integrated app to Microsoft Teams to allow seamless training experience. 
Our platform is also available as a mobile app to train your talents even offline !</t>
        </is>
      </c>
      <c r="S160" s="10" t="inlineStr">
        <is>
          <t>Adaptive Learning</t>
        </is>
      </c>
      <c r="T160" t="inlineStr">
        <is>
          <t>Skills repository and management. Personalise &amp; adapt your trainings according to your talents needs.</t>
        </is>
      </c>
      <c r="U160" s="1" t="inlineStr">
        <is>
          <t>https://drive.google.com/uc?export=view&amp;id=1D5-AmnQ8dY0D9XO9SILfD4ZQeSc-3edu</t>
        </is>
      </c>
      <c r="V160" s="1" t="inlineStr">
        <is>
          <t>Unverified</t>
        </is>
      </c>
      <c r="W160" s="1" t="inlineStr">
        <is>
          <t>https://drive.google.com/uc?export=view&amp;id=1D5-AmnQ8dY0D9XO9SILfD4ZQeSc-3edu</t>
        </is>
      </c>
      <c r="X160" s="1" t="n"/>
      <c r="Y160" s="10" t="n"/>
      <c r="Z160" s="1" t="n"/>
      <c r="AA160" t="inlineStr">
        <is>
          <t>Yes</t>
        </is>
      </c>
      <c r="AB160" t="inlineStr">
        <is>
          <t>https://www.instagram.com/riseup.ai/</t>
        </is>
      </c>
      <c r="AC160" t="inlineStr">
        <is>
          <t>https://twitter.com/RiseUpAI</t>
        </is>
      </c>
      <c r="AD160" t="inlineStr">
        <is>
          <t>https://www.linkedin.com/company/rise-up-ai-france/</t>
        </is>
      </c>
    </row>
    <row r="161" ht="12.5" customHeight="1">
      <c r="A161" s="6" t="n">
        <v>45181</v>
      </c>
      <c r="B161" s="1" t="inlineStr">
        <is>
          <t>ORG_2241</t>
        </is>
      </c>
      <c r="C161" s="1" t="b">
        <v>1</v>
      </c>
      <c r="D161" s="1" t="inlineStr">
        <is>
          <t>Simango</t>
        </is>
      </c>
      <c r="E161" s="10" t="inlineStr">
        <is>
          <t>https://simango.fr/</t>
        </is>
      </c>
      <c r="F161" t="inlineStr">
        <is>
          <t>simango.fr</t>
        </is>
      </c>
      <c r="G161" s="1" t="inlineStr">
        <is>
          <t>SIMANGO revolutionizes the training of healthcare professionals with an immersive and impactful solution! The startup is a key player in healthcare training and taking the traditional learning model to a new level through innovative technologies: digital simulation and serious games. It offers a complete digital training solution, enabling healthcare institutions to train their staff more efficiently, at a lower cost and in a more flexible way. Today, SIMANGO has 300 healthcare institutions as ambassadors, around 30 training programs developed and more than 600 virtual reality headsets deployed. And it doesn't stop there! In January 2022, the startup announced the development of the first metaverse training center for healthcare institutions. A collaborative, playful and immersive training space. This virtual hospital will be THE future training place for healthcare professionals.</t>
        </is>
      </c>
      <c r="H161" s="1" t="inlineStr">
        <is>
          <t>EdTech France</t>
        </is>
      </c>
      <c r="J161" s="1" t="inlineStr">
        <is>
          <t>Rennes</t>
        </is>
      </c>
      <c r="K161" s="1" t="inlineStr">
        <is>
          <t>France</t>
        </is>
      </c>
      <c r="L161" s="1" t="inlineStr">
        <is>
          <t>France</t>
        </is>
      </c>
      <c r="M161" s="1" t="inlineStr">
        <is>
          <t>11 to 50</t>
        </is>
      </c>
      <c r="N161" s="1" t="inlineStr">
        <is>
          <t>Business to Business, Business to Government, Business to Schools</t>
        </is>
      </c>
      <c r="O161" s="1" t="inlineStr">
        <is>
          <t>Higher Education, Corporate Training</t>
        </is>
      </c>
      <c r="P161" s="1" t="inlineStr">
        <is>
          <t>Student interfacing, Teacher interfacing, System/Administrative</t>
        </is>
      </c>
      <c r="Q161" t="inlineStr">
        <is>
          <t>Immersive training</t>
        </is>
      </c>
      <c r="R161" s="10" t="inlineStr">
        <is>
          <t>Simango offers a complete catalog of training courses, accessible in virtual reality, PC, mobile ans tablet. In a serious game format, the learner as in immersed virtual health care institution.
He must interact with objects, answer to quizzes, play mini-games. The objective is to learn in a playful way about everyday risk situation, so as not to reproduce them in real life. The pedagogical content of each training course is designed in partneship with healthcare institutions.</t>
        </is>
      </c>
      <c r="S161" s="10" t="inlineStr">
        <is>
          <t>https://drive.google.com/uc?export=view&amp;id=1NK4JXnUUy7l_aux-msT6OrjYPsfOiKwq</t>
        </is>
      </c>
      <c r="T161" t="inlineStr">
        <is>
          <t>https://drive.google.com/uc?export=view&amp;id=1NK4JXnUUy7l_aux-msT6OrjYPsfOiKwq</t>
        </is>
      </c>
      <c r="U161" s="1" t="inlineStr">
        <is>
          <t>https://drive.google.com/uc?export=view&amp;id=1NK4JXnUUy7l_aux-msT6OrjYPsfOiKwq</t>
        </is>
      </c>
      <c r="V161" s="1" t="inlineStr">
        <is>
          <t>Unverified</t>
        </is>
      </c>
      <c r="Y161" s="10" t="n"/>
      <c r="Z161" s="1" t="n"/>
      <c r="AA161" t="inlineStr">
        <is>
          <t>Yes</t>
        </is>
      </c>
      <c r="AB161" t="inlineStr">
        <is>
          <t>https://twitter.com/simangosante</t>
        </is>
      </c>
      <c r="AC161" t="inlineStr">
        <is>
          <t>https://twitter.com/simangosante</t>
        </is>
      </c>
      <c r="AD161" t="inlineStr">
        <is>
          <t>https://www.linkedin.com/company/simango/</t>
        </is>
      </c>
    </row>
    <row r="162" ht="12.5" customHeight="1">
      <c r="A162" s="6" t="n">
        <v>45181</v>
      </c>
      <c r="B162" s="1" t="inlineStr">
        <is>
          <t>ORG_2278</t>
        </is>
      </c>
      <c r="C162" s="1" t="b">
        <v>1</v>
      </c>
      <c r="D162" s="1" t="inlineStr">
        <is>
          <t>SMARTEO</t>
        </is>
      </c>
      <c r="E162" s="10" t="inlineStr">
        <is>
          <t>https://www.smarteo.co</t>
        </is>
      </c>
      <c r="F162" t="inlineStr">
        <is>
          <t>smarteo.co</t>
        </is>
      </c>
      <c r="G162" s="1" t="inlineStr">
        <is>
          <t>On the edge of this 4th industrial revolution, we are experiencing extraordinary technological transformations: from robotics to Artificial Intelligence and the expansion of IOT. The way we approach things is changing very quickly and in all areas.
This is why at Smarteo, we create original learning experiences allowing everyone to become familiar with the technological tools of tomorrow. We have been working since 2018 with communities, libraries and schools and we offer them turnkey solutions to organize workshops for children, allowing them to acquire the skills of the 21st century.
Our workshops and educational materials are based on an innovative, fun and interdisciplinary approach, which introduces children to coding, robotics, 3D Printing and more. Furthermore, we leverage our AI powered digital platform to provide access to learner-centered physical equipment, online contents and coaching.</t>
        </is>
      </c>
      <c r="H162" s="1" t="inlineStr">
        <is>
          <t>EdTech France</t>
        </is>
      </c>
      <c r="J162" s="1" t="inlineStr">
        <is>
          <t>SCEAUX</t>
        </is>
      </c>
      <c r="K162" s="1" t="inlineStr">
        <is>
          <t>France</t>
        </is>
      </c>
      <c r="L162" s="1" t="inlineStr">
        <is>
          <t>Belgium, France, Germany, Italy, Spain, Switzerland, United Kingdom</t>
        </is>
      </c>
      <c r="M162" s="1" t="inlineStr">
        <is>
          <t>0 to 10</t>
        </is>
      </c>
      <c r="N162" s="1" t="inlineStr">
        <is>
          <t>Business to Business, Business to Schools</t>
        </is>
      </c>
      <c r="O162" s="1" t="inlineStr">
        <is>
          <t>Primary Education, Secondary Education</t>
        </is>
      </c>
      <c r="P162" s="1" t="inlineStr">
        <is>
          <t>System/Administrative, Student interfacing, Teacher interfacing</t>
        </is>
      </c>
      <c r="Q162" s="10" t="inlineStr">
        <is>
          <t>SMARTEO</t>
        </is>
      </c>
      <c r="R162" s="10" t="inlineStr">
        <is>
          <t>Smarteo introduces children to coding, robotics, 3D printing and more, through an interdisciplinary and playful pedagogy. Our educational products combine the benefits of physical and digital learning and enable collaboration and creativity. We leverage our AI powered digital platform to provide access learner-centered physical equipment, online contents and coaching.</t>
        </is>
      </c>
      <c r="S162" s="10" t="inlineStr">
        <is>
          <t>SMARTEOWORLDS</t>
        </is>
      </c>
      <c r="T162" t="inlineStr">
        <is>
          <t>SMARTEOWORLDS: Code your adventures!
We have designed a set of educational and fun boxes that allow children to live extraordinary experiences and to experiment, build and learn to code while having fun: They include manual activities, electronic components, many game accessories and 3D prints. They are also complemented by activities to do online while collaborating with other children or mentors.</t>
        </is>
      </c>
      <c r="U162" s="1" t="inlineStr">
        <is>
          <t>https://drive.google.com/uc?export=view&amp;id=1HPqZa_ok6oQZ1p_a5i7QEnsE2D9gpEuw</t>
        </is>
      </c>
      <c r="V162" s="1" t="inlineStr">
        <is>
          <t>Unverified</t>
        </is>
      </c>
      <c r="W162" s="1" t="inlineStr">
        <is>
          <t>https://drive.google.com/uc?export=view&amp;id=1HPqZa_ok6oQZ1p_a5i7QEnsE2D9gpEuw</t>
        </is>
      </c>
      <c r="X162" s="1" t="n"/>
      <c r="Y162" s="10" t="n"/>
      <c r="Z162" s="1" t="n"/>
      <c r="AA162" t="inlineStr">
        <is>
          <t>Yes</t>
        </is>
      </c>
      <c r="AB162" t="inlineStr">
        <is>
          <t>https://www.instagram.com/smarteo.co</t>
        </is>
      </c>
      <c r="AC162" t="inlineStr">
        <is>
          <t>https://twitter.com/smarteo_co</t>
        </is>
      </c>
      <c r="AD162" t="inlineStr">
        <is>
          <t>https://www.linkedin.com/company/smarteo-co/</t>
        </is>
      </c>
    </row>
    <row r="163" ht="12.5" customHeight="1">
      <c r="A163" s="6" t="n">
        <v>45181</v>
      </c>
      <c r="B163" s="1" t="inlineStr">
        <is>
          <t>ORG_2337</t>
        </is>
      </c>
      <c r="C163" s="1" t="b">
        <v>1</v>
      </c>
      <c r="D163" s="1" t="inlineStr">
        <is>
          <t>Studinventive</t>
        </is>
      </c>
      <c r="E163" s="10" t="inlineStr">
        <is>
          <t>https://studinventive.com</t>
        </is>
      </c>
      <c r="F163" t="inlineStr">
        <is>
          <t>studinventive.com</t>
        </is>
      </c>
      <c r="G163" s="1" t="inlineStr">
        <is>
          <t>Studinventive is an online school specializing in micro-adaptive learning. We offer personalized support adapted to the personality type and learning style of the learner.</t>
        </is>
      </c>
      <c r="H163" s="1" t="inlineStr">
        <is>
          <t>EdTech France</t>
        </is>
      </c>
      <c r="J163" s="1" t="inlineStr">
        <is>
          <t>Paris</t>
        </is>
      </c>
      <c r="K163" s="1" t="inlineStr">
        <is>
          <t>France</t>
        </is>
      </c>
      <c r="L163" s="1" t="inlineStr">
        <is>
          <t>France</t>
        </is>
      </c>
      <c r="M163" s="1" t="inlineStr">
        <is>
          <t>0 to 10</t>
        </is>
      </c>
      <c r="N163" s="1" t="inlineStr">
        <is>
          <t>Business to Business, Business to Schools</t>
        </is>
      </c>
      <c r="O163" s="1" t="inlineStr">
        <is>
          <t>Higher Education, Corporate Training, Lifelong learning/Adult education</t>
        </is>
      </c>
      <c r="P163" s="1" t="inlineStr">
        <is>
          <t>Student interfacing, Teacher interfacing, System/Administrative</t>
        </is>
      </c>
      <c r="S163" t="inlineStr">
        <is>
          <t>https://drive.google.com/uc?export=view&amp;id=1Z-LiKVWiV1z3GmBa0XWoQvl2VzWlYQsF</t>
        </is>
      </c>
      <c r="T163" t="inlineStr">
        <is>
          <t>https://drive.google.com/uc?export=view&amp;id=1Z-LiKVWiV1z3GmBa0XWoQvl2VzWlYQsF</t>
        </is>
      </c>
      <c r="U163" t="inlineStr">
        <is>
          <t>https://drive.google.com/uc?export=view&amp;id=1Z-LiKVWiV1z3GmBa0XWoQvl2VzWlYQsF</t>
        </is>
      </c>
      <c r="V163" t="inlineStr">
        <is>
          <t>Unverified</t>
        </is>
      </c>
      <c r="Y163" s="10" t="n"/>
      <c r="Z163" s="1" t="n"/>
      <c r="AA163" t="inlineStr">
        <is>
          <t>No</t>
        </is>
      </c>
    </row>
    <row r="164" ht="12.5" customHeight="1">
      <c r="A164" s="6" t="n">
        <v>45181</v>
      </c>
      <c r="B164" s="1" t="inlineStr">
        <is>
          <t>ORG_2436</t>
        </is>
      </c>
      <c r="C164" s="1" t="b">
        <v>1</v>
      </c>
      <c r="D164" s="10" t="inlineStr">
        <is>
          <t>Tuto.com</t>
        </is>
      </c>
      <c r="E164" s="10" t="inlineStr">
        <is>
          <t>https://fr.tuto.com/</t>
        </is>
      </c>
      <c r="F164" t="inlineStr">
        <is>
          <t>fr.tuto.com</t>
        </is>
      </c>
      <c r="G164" s="1" t="inlineStr">
        <is>
          <t>Tuto.com is an online education company, focused in Digital. The company was created in 2009 by passionate entrepreneurs in their thirties, who shared two essential values ​​: quality and customer satisfaction. Our goal is to allow our users to develop their skills on a given software or a topic, in order to develop their career or change job.For this, we have more than 90 000 online courses , but also some Mentored Online Courses, to learn a specific field from A to Z.</t>
        </is>
      </c>
      <c r="H164" s="1" t="inlineStr">
        <is>
          <t>EdTech France</t>
        </is>
      </c>
      <c r="J164" s="1" t="inlineStr">
        <is>
          <t>TOULON</t>
        </is>
      </c>
      <c r="K164" s="1" t="inlineStr">
        <is>
          <t>France</t>
        </is>
      </c>
      <c r="L164" s="1" t="inlineStr">
        <is>
          <t>France</t>
        </is>
      </c>
      <c r="M164" s="1" t="inlineStr">
        <is>
          <t>11 to 50</t>
        </is>
      </c>
      <c r="N164" s="1" t="inlineStr">
        <is>
          <t>Business to Consumer, Business to Schools</t>
        </is>
      </c>
      <c r="O164" s="1" t="inlineStr">
        <is>
          <t>Higher Education, Corporate Training, Lifelong learning/Adult education</t>
        </is>
      </c>
      <c r="P164" s="1" t="inlineStr">
        <is>
          <t>Student interfacing, System/Administrative</t>
        </is>
      </c>
      <c r="S164" t="inlineStr">
        <is>
          <t>https://drive.google.com/uc?export=view&amp;id=1U_41NJP9Vk5YGjSXGHUBTafxvAvWHWZD</t>
        </is>
      </c>
      <c r="T164" t="inlineStr">
        <is>
          <t>https://drive.google.com/uc?export=view&amp;id=1U_41NJP9Vk5YGjSXGHUBTafxvAvWHWZD</t>
        </is>
      </c>
      <c r="U164" t="inlineStr">
        <is>
          <t>https://drive.google.com/uc?export=view&amp;id=1U_41NJP9Vk5YGjSXGHUBTafxvAvWHWZD</t>
        </is>
      </c>
      <c r="V164" t="inlineStr">
        <is>
          <t>Unverified</t>
        </is>
      </c>
      <c r="Y164" s="10" t="n"/>
      <c r="Z164" s="1" t="n"/>
      <c r="AA164" t="inlineStr">
        <is>
          <t>No</t>
        </is>
      </c>
    </row>
    <row r="165" ht="12.5" customHeight="1">
      <c r="A165" s="6" t="n">
        <v>45281</v>
      </c>
      <c r="B165" s="1" t="inlineStr">
        <is>
          <t>ORG_2207</t>
        </is>
      </c>
      <c r="C165" s="1" t="b">
        <v>1</v>
      </c>
      <c r="D165" s="1" t="inlineStr">
        <is>
          <t>Scéalprod, Scéal studio</t>
        </is>
      </c>
      <c r="E165" s="10" t="inlineStr">
        <is>
          <t>https://scealprod.fr</t>
        </is>
      </c>
      <c r="F165" t="inlineStr">
        <is>
          <t>scealprod.fr</t>
        </is>
      </c>
      <c r="G165" s="1" t="inlineStr">
        <is>
          <t>Scéalprod is a French company specializing in youth content for educational purposes that aims to develop skills and know-how from writing. With the Scéal studio platform, it proposes an original offer to develop the written expression of people through the creation of story projects.
Scéal studio, an innovative digital platform to support progress in writing. 
Scéal studio aims to develop multiple learning related to the practice of narrative writing, favoring an edutainment approach. The platform is based on a writing methodology, and on integrated tools (scriptwriting, writing, layout) to facilitate the writing and editing of narrative or documentary projects.
Designed for students aged 10 to 17, their teachers and adults willing to write their stories, Scéal studio is an interface for creating stories, self-publishing books and training in narrative writing.
Already tested in several college and high school classes, Scéal studio relies on the structuring assets attached to the writing of stories to promote the acquisition of multiple skills. 
The objective of Scéal studio is to allow young people to discover the pleasure of writing, and incidentally that of reading, to promote a better mastery of the language and develop soft skills: ability to argue, critical sense, creativity.
The advantages of Scéal studio 
Integrated training modules. 
The writing workshop is closely linked to writing training modules adapted to the college level, which take up the edutainment approach of the writing platform. 
A personal interface for teachers. 
It allows teachers to follow the progress of students, who can continue their work at home from their secure personal account. 
Appreciation of student work. 
Students can, if they wish, keep their creation in the form of a digital or paper book that they can share with their loved ones. 
A discovery of the publishing professions. 
This experience also allows teenagers to discover the techniques and trades of graphic design, scriptwriting and publishing through the design and production of the front and back covers. 
An education in ethics and critical thinking. 
Scéal studio makes students aware of the rules of ethics in the use of online digital resources (copyright for example). The tool also develops their critical thinking, which contributes to media education.</t>
        </is>
      </c>
      <c r="H165" s="1" t="inlineStr">
        <is>
          <t>I'm not part of any EdTech association</t>
        </is>
      </c>
      <c r="I165" s="1" t="inlineStr">
        <is>
          <t>French, English, Spanish</t>
        </is>
      </c>
      <c r="J165" s="1" t="inlineStr">
        <is>
          <t>LIBOURNE</t>
        </is>
      </c>
      <c r="K165" s="1" t="inlineStr">
        <is>
          <t>France</t>
        </is>
      </c>
      <c r="L165" s="1" t="inlineStr">
        <is>
          <t>Belgium, France, Spain, Switzerland</t>
        </is>
      </c>
      <c r="M165" s="1" t="inlineStr">
        <is>
          <t>0 to 2</t>
        </is>
      </c>
      <c r="N165" s="1" t="inlineStr">
        <is>
          <t>Business to Business, Business to Government</t>
        </is>
      </c>
      <c r="O165" s="1" t="inlineStr">
        <is>
          <t>Secondary Education, Lifelong learning/Adult education, Vocational Education and Training (VET)</t>
        </is>
      </c>
      <c r="P165" s="1" t="inlineStr">
        <is>
          <t>System/Administrative, Student interfacing, Teacher interfacing</t>
        </is>
      </c>
      <c r="Q165" s="10" t="inlineStr">
        <is>
          <t>Scéal studio</t>
        </is>
      </c>
      <c r="R165" s="10" t="inlineStr">
        <is>
          <t>Platform for developing skills related to the practice of creative writing individually or collaboratively. Writing training platform.</t>
        </is>
      </c>
      <c r="S165" s="10" t="inlineStr">
        <is>
          <t>Online or in-person writing workshops.</t>
        </is>
      </c>
      <c r="T165" t="inlineStr">
        <is>
          <t>Writting coatching. Online or in-person writing workshops with the support of the Scéal studio platform.</t>
        </is>
      </c>
      <c r="U165" s="1" t="inlineStr">
        <is>
          <t>https://drive.google.com/uc?export=view&amp;id=1TLxrujCs0vos9yH_HCQdjFgqxSNz1dwp</t>
        </is>
      </c>
      <c r="V165" s="1" t="inlineStr">
        <is>
          <t>Unverified</t>
        </is>
      </c>
      <c r="W165" s="1" t="inlineStr">
        <is>
          <t>https://drive.google.com/uc?export=view&amp;id=1TLxrujCs0vos9yH_HCQdjFgqxSNz1dwp</t>
        </is>
      </c>
      <c r="X165" s="1" t="n"/>
      <c r="Y165" s="10" t="n"/>
      <c r="Z165" s="1" t="n"/>
      <c r="AA165" t="inlineStr">
        <is>
          <t>Yes</t>
        </is>
      </c>
      <c r="AB165" t="inlineStr">
        <is>
          <t>https://www.instagram.com/scealprod.fr/</t>
        </is>
      </c>
      <c r="AC165" t="inlineStr">
        <is>
          <t>https://twitter.com/scealprod/</t>
        </is>
      </c>
      <c r="AD165" t="inlineStr">
        <is>
          <t>https://www.linkedin.com/company/scealprod/</t>
        </is>
      </c>
    </row>
    <row r="166" ht="12.5" customHeight="1">
      <c r="A166" s="6" t="n">
        <v>45183</v>
      </c>
      <c r="B166" s="1" t="inlineStr">
        <is>
          <t>ORG_1928</t>
        </is>
      </c>
      <c r="C166" s="1" t="b">
        <v>1</v>
      </c>
      <c r="D166" s="1" t="inlineStr">
        <is>
          <t>Mathias van der Meulen</t>
        </is>
      </c>
      <c r="E166" s="10" t="inlineStr">
        <is>
          <t>https://mathiasvandermeulen.com/</t>
        </is>
      </c>
      <c r="F166" t="inlineStr">
        <is>
          <t>mathiasvandermeulen.com</t>
        </is>
      </c>
      <c r="G166" s="1" t="inlineStr">
        <is>
          <t>I am an instructional designer working as a freelance. I create learning contents and manage instructional designing projects for different types of companies. Check out my portfolio in my website to learn more about my work.</t>
        </is>
      </c>
      <c r="H166" s="1" t="inlineStr">
        <is>
          <t>EdTech France</t>
        </is>
      </c>
      <c r="J166" s="1" t="inlineStr">
        <is>
          <t>MONTREUIL</t>
        </is>
      </c>
      <c r="K166" s="1" t="inlineStr">
        <is>
          <t>France</t>
        </is>
      </c>
      <c r="L166" s="1" t="inlineStr">
        <is>
          <t>France</t>
        </is>
      </c>
      <c r="M166" s="1" t="inlineStr">
        <is>
          <t>0 to 2</t>
        </is>
      </c>
      <c r="N166" s="1" t="inlineStr">
        <is>
          <t>Business to Business, Business to Consumer, Business to Government, Business to Schools</t>
        </is>
      </c>
      <c r="O166" s="1" t="inlineStr">
        <is>
          <t>Corporate Training, Lifelong learning/Adult education, Vocational Education and Training (VET), Higher Education</t>
        </is>
      </c>
      <c r="P166" s="1" t="inlineStr">
        <is>
          <t>Teacher interfacing, System/Administrative, Student interfacing</t>
        </is>
      </c>
      <c r="Q166" t="inlineStr">
        <is>
          <t>Instructional designing project management</t>
        </is>
      </c>
      <c r="R166" t="inlineStr">
        <is>
          <t>I manage your digital learning project following a process with specifics outputs in order to warranty the best results.</t>
        </is>
      </c>
      <c r="S166" s="10" t="inlineStr">
        <is>
          <t>Instructional design</t>
        </is>
      </c>
      <c r="T166" t="inlineStr">
        <is>
          <t>I design and develop engaging learning contents for your digital learning project.</t>
        </is>
      </c>
      <c r="U166" s="1" t="inlineStr">
        <is>
          <t>https://drive.google.com/uc?export=view&amp;id=115nRIRHDDeAxCGhTLWx68tnRSYQP6WgW</t>
        </is>
      </c>
      <c r="V166" s="1" t="inlineStr">
        <is>
          <t>Unverified</t>
        </is>
      </c>
      <c r="W166" s="1" t="inlineStr">
        <is>
          <t>https://drive.google.com/uc?export=view&amp;id=115nRIRHDDeAxCGhTLWx68tnRSYQP6WgW</t>
        </is>
      </c>
      <c r="X166" s="1" t="n"/>
      <c r="Y166" s="10" t="n"/>
      <c r="Z166" s="1" t="n"/>
      <c r="AA166" t="inlineStr">
        <is>
          <t>Yes</t>
        </is>
      </c>
      <c r="AC166" t="inlineStr">
        <is>
          <t>https://www.linkedin.com/in/mathiasvdmeulen/</t>
        </is>
      </c>
      <c r="AD166" t="inlineStr">
        <is>
          <t>https://www.linkedin.com/in/mathiasvdmeulen/</t>
        </is>
      </c>
    </row>
    <row r="167" ht="12.5" customHeight="1">
      <c r="A167" s="6" t="n">
        <v>45181</v>
      </c>
      <c r="B167" s="1" t="inlineStr">
        <is>
          <t>ORG_1043</t>
        </is>
      </c>
      <c r="C167" s="1" t="b">
        <v>1</v>
      </c>
      <c r="D167" s="1" t="inlineStr">
        <is>
          <t>AIMAIRA</t>
        </is>
      </c>
      <c r="E167" s="10" t="inlineStr">
        <is>
          <t>https://www.aimaira.fr/</t>
        </is>
      </c>
      <c r="F167" t="inlineStr">
        <is>
          <t>aimaira.fr</t>
        </is>
      </c>
      <c r="G167" s="1" t="inlineStr">
        <is>
          <t>AIMAIRA is a Student Information System (SIS) which enables users to monitor all the steps in a college student's career from their application to their graduation.
Designed by IT &amp; field experts, this SAAS Cloud-based software provides a large array of possibilities to the internal users who can access the school's full database online at any time.</t>
        </is>
      </c>
      <c r="H167" s="1" t="inlineStr">
        <is>
          <t>EdTech France</t>
        </is>
      </c>
      <c r="J167" s="1" t="inlineStr">
        <is>
          <t>MONT-SAINT-AIGNAN</t>
        </is>
      </c>
      <c r="K167" s="1" t="inlineStr">
        <is>
          <t>France</t>
        </is>
      </c>
      <c r="L167" s="1" t="inlineStr">
        <is>
          <t>France</t>
        </is>
      </c>
      <c r="M167" s="1" t="inlineStr">
        <is>
          <t>11 to 50</t>
        </is>
      </c>
      <c r="N167" s="1" t="inlineStr">
        <is>
          <t>Business to Business</t>
        </is>
      </c>
      <c r="O167" s="1" t="inlineStr">
        <is>
          <t>Higher Education, Lifelong learning/Adult education</t>
        </is>
      </c>
      <c r="P167" s="1" t="inlineStr">
        <is>
          <t>System/Administrative</t>
        </is>
      </c>
      <c r="Q167" t="inlineStr">
        <is>
          <t>Admission Management</t>
        </is>
      </c>
      <c r="R167" s="10" t="inlineStr">
        <is>
          <t>AIMAIRA software is composed by modules. Our Admission Management solution holds 2 modules : "Candidature" and "Sélection". Candidature module permits schools to collects candidates' information and documents to assess and determine their eligibility for training. In fact, candidates apply on a special website and upload all the documents and information requested by the school. Then, their elements are accessibles to the school's managers in their own interface thanks to monitoring tables. Applications' assessment can be make by internal or external valuers on a special website. They complete an evaluation grid online for each candidate and the results are communicated to school's manager on their own interface. As a result, Candidature provides the opportunity to administrators can follow all the application process, change the status of applications and support applicants and valuers.
The process can be changed and adapted to each school. Sélection module permits the higher education's establishment to go further. This solution allows schools to organise competitive entrance exams with internal and external jurors on one or few days.</t>
        </is>
      </c>
      <c r="S167" s="10" t="inlineStr">
        <is>
          <t>Registration Management</t>
        </is>
      </c>
      <c r="T167" t="inlineStr">
        <is>
          <t>AIMAIRA software is composed by modules. Our Registration Management solution holds 3 modules : "Inscription", "Finance" and "Relation Entreprise". 
Inscription module enables schools to build and sign the contract of studies. In fact, prospective students transmit their personnal information and their supporting documents on a special website. After, they sign their contract online and they chose their terms of payement for their student fees.
The financial aspect of the student's registration and journey in the school is managed by Finance module in AIMAIRA. This module gives managers an increased visibility to the real and prospective school's finances.
The process can be changed and adapted to each school. 
Relation Entreprise module permits school to handle the internship and apprenticeship contracts. The contracts can be complete and sign online by the school's administrator, the student and/or his or her host organization. 
The student's progress is tracked by the software. It is accessible to each shareholder on their own interface or website.</t>
        </is>
      </c>
      <c r="U167" s="1" t="inlineStr">
        <is>
          <t>https://drive.google.com/uc?export=view&amp;id=1hFYJVHg1WicHtdtRKW8y4s6uN2pNSpZ_</t>
        </is>
      </c>
      <c r="V167" s="1" t="inlineStr">
        <is>
          <t>Unverified</t>
        </is>
      </c>
      <c r="W167" s="1" t="inlineStr">
        <is>
          <t>https://drive.google.com/uc?export=view&amp;id=1hFYJVHg1WicHtdtRKW8y4s6uN2pNSpZ_</t>
        </is>
      </c>
      <c r="X167" s="1" t="n"/>
      <c r="Y167" s="10" t="n"/>
      <c r="Z167" s="1" t="n"/>
      <c r="AA167" t="inlineStr">
        <is>
          <t>Yes</t>
        </is>
      </c>
      <c r="AB167" t="inlineStr">
        <is>
          <t>https://twitter.com/aimaira_erp</t>
        </is>
      </c>
      <c r="AC167" t="inlineStr">
        <is>
          <t>https://twitter.com/aimaira_erp</t>
        </is>
      </c>
      <c r="AD167" t="inlineStr">
        <is>
          <t>https://www.linkedin.com/company/aimaira/</t>
        </is>
      </c>
    </row>
    <row r="168" ht="12.5" customHeight="1">
      <c r="A168" s="6" t="n">
        <v>45181</v>
      </c>
      <c r="B168" s="1" t="inlineStr">
        <is>
          <t>ORG_1064</t>
        </is>
      </c>
      <c r="C168" s="1" t="b">
        <v>1</v>
      </c>
      <c r="D168" s="1" t="inlineStr">
        <is>
          <t>AltusForm</t>
        </is>
      </c>
      <c r="E168" s="10" t="inlineStr">
        <is>
          <t>https://altusform.fr</t>
        </is>
      </c>
      <c r="F168" t="inlineStr">
        <is>
          <t>altusform.fr</t>
        </is>
      </c>
      <c r="G168" s="1" t="inlineStr">
        <is>
          <t>Born from the experience of a former French Air Force instructor pilot, AltusForm has been present on the virtual reality training, communication and orientation market since September 2018.
The company aims to make the creation and use of virtual reality resources accessible to as many people as possible.
AltusForm is particularly committed to vulnerable audiences.
This is how in 2019 the Orléans science park opened its doors to him for its acceleration program.
After 18 months of development, the company was able to bring the Nixi solution to market.
Born from the experience of a French Air Force instructor pilot, AltusForm has been present on the virtual reality training and communication market since September 2018. In 2019 the Orléans science park opened its doors to him for its acceleration program. After 18 months of development, the company was able to bring the Nixi solution to market.
The company aims to make the creation and use of virtual reality resources accessible to as many people as possible. AltusForm is particularly committed to vulnerable audiences.
The types of customers for AltusForm are very varied: training centers that wish to innovate, companies with recruitment difficulties, social and professional integration structures.</t>
        </is>
      </c>
      <c r="H168" s="1" t="inlineStr">
        <is>
          <t>EdTech France</t>
        </is>
      </c>
      <c r="J168" s="1" t="inlineStr">
        <is>
          <t>GIEN</t>
        </is>
      </c>
      <c r="K168" s="1" t="inlineStr">
        <is>
          <t>France</t>
        </is>
      </c>
      <c r="L168" s="1" t="inlineStr">
        <is>
          <t>France</t>
        </is>
      </c>
      <c r="M168" s="1" t="inlineStr">
        <is>
          <t>0 to 2</t>
        </is>
      </c>
      <c r="N168" s="1" t="inlineStr">
        <is>
          <t>Business to Business</t>
        </is>
      </c>
      <c r="O168" s="1" t="inlineStr">
        <is>
          <t>Secondary Education, Corporate Training, Lifelong learning/Adult education</t>
        </is>
      </c>
      <c r="P168" s="1" t="inlineStr">
        <is>
          <t>Teacher interfacing, System/Administrative, Student interfacing</t>
        </is>
      </c>
      <c r="Q168" t="inlineStr">
        <is>
          <t>Nixi</t>
        </is>
      </c>
      <c r="R168" t="inlineStr">
        <is>
          <t>Nixi solution is a virtual reality media creation platform for training, communication and career guidance
- Effective fun quizzes: users spontaneously answer your questionnaires and memorize knowledge while playing baseball, knocking out UFOs, catching bats with a magic wand...
- Immersive information about your jobs and your establishments with the creation of virtual tours that can be modified at any time and augmented with sound effects, chained questions...
Resources can be shared with your colleagues or with the whole community</t>
        </is>
      </c>
      <c r="S168" s="10" t="inlineStr">
        <is>
          <t>https://drive.google.com/uc?export=view&amp;id=1r4CC6FXNc3WjBP9m5ocW05SW04WmeoxA</t>
        </is>
      </c>
      <c r="T168" t="inlineStr">
        <is>
          <t>https://drive.google.com/uc?export=view&amp;id=1r4CC6FXNc3WjBP9m5ocW05SW04WmeoxA</t>
        </is>
      </c>
      <c r="U168" s="1" t="inlineStr">
        <is>
          <t>https://drive.google.com/uc?export=view&amp;id=1r4CC6FXNc3WjBP9m5ocW05SW04WmeoxA</t>
        </is>
      </c>
      <c r="V168" s="1" t="inlineStr">
        <is>
          <t>Unverified</t>
        </is>
      </c>
      <c r="Y168" s="10" t="n"/>
      <c r="Z168" s="1" t="n"/>
      <c r="AA168" t="inlineStr">
        <is>
          <t>Yes</t>
        </is>
      </c>
      <c r="AC168" t="inlineStr">
        <is>
          <t>https://www.linkedin.com/company/altusform</t>
        </is>
      </c>
      <c r="AD168" t="inlineStr">
        <is>
          <t>https://www.linkedin.com/company/altusform</t>
        </is>
      </c>
    </row>
    <row r="169" ht="12.5" customHeight="1">
      <c r="A169" s="6" t="n">
        <v>45181</v>
      </c>
      <c r="B169" s="1" t="inlineStr">
        <is>
          <t>ORG_1159</t>
        </is>
      </c>
      <c r="C169" s="1" t="b">
        <v>1</v>
      </c>
      <c r="D169" s="1" t="inlineStr">
        <is>
          <t>Beyond Education</t>
        </is>
      </c>
      <c r="E169" s="10" t="inlineStr">
        <is>
          <t>https://beyondeducation.tech/</t>
        </is>
      </c>
      <c r="F169" t="inlineStr">
        <is>
          <t>beyondeducation.tech</t>
        </is>
      </c>
      <c r="G169" s="1" t="inlineStr">
        <is>
          <t>Beyond Education prepares students aged 10-21 for the future by assessing and developing 21st Century Competencies (soft skills) online, globally.</t>
        </is>
      </c>
      <c r="H169" s="1" t="inlineStr">
        <is>
          <t>EdTech France</t>
        </is>
      </c>
      <c r="J169" s="1" t="inlineStr">
        <is>
          <t>Paris 1er Arrondissement</t>
        </is>
      </c>
      <c r="K169" s="1" t="inlineStr">
        <is>
          <t>France</t>
        </is>
      </c>
      <c r="L169" s="1" t="inlineStr">
        <is>
          <t>France, Italy, Portugal, Slovakia</t>
        </is>
      </c>
      <c r="M169" s="1" t="inlineStr">
        <is>
          <t>0 to 10</t>
        </is>
      </c>
      <c r="N169" s="1" t="inlineStr">
        <is>
          <t>Business to Business</t>
        </is>
      </c>
      <c r="O169" s="1" t="inlineStr">
        <is>
          <t>Secondary Education, Higher Education</t>
        </is>
      </c>
      <c r="P169" s="1" t="inlineStr">
        <is>
          <t>Student interfacing</t>
        </is>
      </c>
      <c r="Q169" s="10" t="inlineStr">
        <is>
          <t>Competency Calculator</t>
        </is>
      </c>
      <c r="R169" t="inlineStr">
        <is>
          <t>Research-based, scientifically validated assessment of soft-skills for 10-21 year-old.
* 1st ever validated and reliable test to assess students’ 21st century competencies*
* Personalized student report
* School report - diagnostic and recommendations
* International benchmark of schools</t>
        </is>
      </c>
      <c r="S169" s="10" t="inlineStr">
        <is>
          <t>Beyond Education Online Programs</t>
        </is>
      </c>
      <c r="T169" t="inlineStr">
        <is>
          <t>Online validated learning experience to foster 21st century competencies
* Unique curricula adapted to students’ age 13-21
* Individual and group learning experiences
*Project-based learning using Design thinking
*Global Community
*Premium mentoring &amp; facilitated online sessions
*Certificate</t>
        </is>
      </c>
      <c r="U169" s="1" t="inlineStr">
        <is>
          <t>https://drive.google.com/uc?export=view&amp;id=1wv-QoJp0POrGv7U4efqchrGaBeznFR8V</t>
        </is>
      </c>
      <c r="V169" s="1" t="inlineStr">
        <is>
          <t>Unverified</t>
        </is>
      </c>
      <c r="W169" s="1" t="inlineStr">
        <is>
          <t>https://drive.google.com/uc?export=view&amp;id=1wv-QoJp0POrGv7U4efqchrGaBeznFR8V</t>
        </is>
      </c>
      <c r="X169" s="1" t="n"/>
      <c r="Y169" s="10" t="n"/>
      <c r="Z169" s="1" t="n"/>
      <c r="AA169" t="inlineStr">
        <is>
          <t>Yes</t>
        </is>
      </c>
      <c r="AB169" t="inlineStr">
        <is>
          <t>https://www.instagram.com/beyondeducation21st/</t>
        </is>
      </c>
      <c r="AC169" t="inlineStr">
        <is>
          <t>https://www.linkedin.com/company/be-beyond-education-company/?viewAsMember=true</t>
        </is>
      </c>
      <c r="AD169" t="inlineStr">
        <is>
          <t>https://www.linkedin.com/company/be-beyond-education-company/?viewAsMember=true</t>
        </is>
      </c>
    </row>
    <row r="170" ht="12.5" customHeight="1">
      <c r="A170" s="6" t="n">
        <v>45181</v>
      </c>
      <c r="B170" s="1" t="inlineStr">
        <is>
          <t>ORG_1307</t>
        </is>
      </c>
      <c r="C170" s="1" t="b">
        <v>1</v>
      </c>
      <c r="D170" s="1" t="inlineStr">
        <is>
          <t>Craft AI</t>
        </is>
      </c>
      <c r="E170" s="10" t="inlineStr">
        <is>
          <t>https://www.craft.ai/</t>
        </is>
      </c>
      <c r="F170" t="inlineStr">
        <is>
          <t>craft.ai</t>
        </is>
      </c>
      <c r="G170" s="1" t="inlineStr">
        <is>
          <t>Adaptive Learning, personalized training recommendations, detection of students dropping out of school, we put AI applications on the market with the aim of building the future of school.
As an EdTech startup specialist in Machine Learning, we support schools and universities in their digital revolution and educational transformation thanks to an AI that is trustworthy, privacy-friendly, energy-efficient and explainable so as to always keep humans in the loop.</t>
        </is>
      </c>
      <c r="H170" s="1" t="inlineStr">
        <is>
          <t>EdTech France</t>
        </is>
      </c>
      <c r="J170" s="1" t="inlineStr">
        <is>
          <t>PARIS</t>
        </is>
      </c>
      <c r="K170" s="1" t="inlineStr">
        <is>
          <t>France</t>
        </is>
      </c>
      <c r="L170" s="1" t="inlineStr">
        <is>
          <t>France</t>
        </is>
      </c>
      <c r="M170" s="1" t="inlineStr">
        <is>
          <t>11 to 50</t>
        </is>
      </c>
      <c r="N170" s="1" t="inlineStr">
        <is>
          <t>Business to Business</t>
        </is>
      </c>
      <c r="O170" s="1" t="inlineStr">
        <is>
          <t>Higher Education, Corporate Training, Lifelong learning/Adult education</t>
        </is>
      </c>
      <c r="P170" s="1" t="inlineStr">
        <is>
          <t>Student interfacing, Teacher interfacing, System/Administrative</t>
        </is>
      </c>
      <c r="Q170" t="inlineStr">
        <is>
          <t>Adaptive Learning App</t>
        </is>
      </c>
      <c r="R170" s="10" t="inlineStr">
        <is>
          <t>To support each student in a highly personalized way by allowing universities and schools to recommend content based on their own educational pathway. Our app adapts to each student's educational path and complements the teaching staff.
Our virtual tutor is based on the educational content of the courses in the form of a knowledge graph as well as on the student's profile and activity on the Learning Management System (LMS).</t>
        </is>
      </c>
      <c r="S170" s="10" t="inlineStr">
        <is>
          <t>Recommendation of professional training</t>
        </is>
      </c>
      <c r="T170" t="inlineStr">
        <is>
          <t>Accompanying new employees throughout their professional life so that their career path follows their deepest aspirations as well as the evolution of the job market. In order to provide the most accurate and relevant recommendations, we integrate different sources of data on the educational and professional background of alumni or the details of available training. 
The promise of lifelong support for students contributes to the improvement of the educational offer, the strengthening of the alumni network and the better employability of students.</t>
        </is>
      </c>
      <c r="U170" s="1" t="inlineStr">
        <is>
          <t>https://drive.google.com/uc?export=view&amp;id=1GyQym391kyXn4a89-MetLQTbml6Ycm6N</t>
        </is>
      </c>
      <c r="V170" s="1" t="inlineStr">
        <is>
          <t>Unverified</t>
        </is>
      </c>
      <c r="W170" s="1" t="inlineStr">
        <is>
          <t>https://drive.google.com/uc?export=view&amp;id=1GyQym391kyXn4a89-MetLQTbml6Ycm6N</t>
        </is>
      </c>
      <c r="X170" s="1" t="n"/>
      <c r="Y170" s="10" t="n"/>
      <c r="Z170" s="1" t="n"/>
      <c r="AA170" t="inlineStr">
        <is>
          <t>Yes</t>
        </is>
      </c>
      <c r="AB170" t="inlineStr">
        <is>
          <t>https://twitter.com/craft_ai</t>
        </is>
      </c>
      <c r="AC170" t="inlineStr">
        <is>
          <t>https://twitter.com/craft_ai</t>
        </is>
      </c>
      <c r="AD170" t="inlineStr">
        <is>
          <t>https://www.linkedin.com/company/9460012/</t>
        </is>
      </c>
    </row>
    <row r="171" ht="12.5" customHeight="1">
      <c r="A171" s="6" t="n">
        <v>45181</v>
      </c>
      <c r="B171" s="1" t="inlineStr">
        <is>
          <t>ORG_1373</t>
        </is>
      </c>
      <c r="C171" s="1" t="b">
        <v>1</v>
      </c>
      <c r="D171" s="1" t="inlineStr">
        <is>
          <t>Dokeos</t>
        </is>
      </c>
      <c r="E171" s="10" t="inlineStr">
        <is>
          <t>www.dokeos.com</t>
        </is>
      </c>
      <c r="F171" t="inlineStr">
        <is>
          <t>dokeos.com</t>
        </is>
      </c>
      <c r="G171" s="1" t="inlineStr">
        <is>
          <t>Dokeos offers online training solutions and e-learning services for training centers and companies in France, the United States, Belgium and Switzerland. With Dokeos LMS, you can create your own customized training platform to enhance the skills of their learners and employees. Dokeos LMS not only delivers online training, but also assesses learners, certifies and sells professional training. 
Three words to describe Dokeos LMS : Simple, Ergonomic and Customizable.
Dokeos also has a training creation studio (Tudio) and a wide catalog of turnkey training courses, such as GxP Training. 
Since 2004, Dokeos has transformed hundreds of organizations, including IPSEN, Lagardère, Amer Sports, Keepcool, Saint-Gobain, O'Tacos, Sciences Po, La Croix-Rouge and Institut Gustave Roussy.
Visit dokeos.com and try out our platform for free!</t>
        </is>
      </c>
      <c r="H171" s="1" t="inlineStr">
        <is>
          <t>I'm not part of any EdTech association</t>
        </is>
      </c>
      <c r="I171" s="1" t="inlineStr">
        <is>
          <t>French, Arabic, Dutch</t>
        </is>
      </c>
      <c r="J171" s="1" t="inlineStr">
        <is>
          <t>Paris</t>
        </is>
      </c>
      <c r="K171" s="1" t="inlineStr">
        <is>
          <t>France</t>
        </is>
      </c>
      <c r="L171" s="1" t="inlineStr">
        <is>
          <t>Belgium, France, Italy, Luxembourg, Netherlands, Switzerland, United Kingdom</t>
        </is>
      </c>
      <c r="M171" s="1" t="inlineStr">
        <is>
          <t>11 to 50</t>
        </is>
      </c>
      <c r="N171" s="1" t="inlineStr">
        <is>
          <t>Business to Business</t>
        </is>
      </c>
      <c r="O171" s="1" t="inlineStr">
        <is>
          <t>Corporate Training, Lifelong learning/Adult education, Vocational Education and Training (VET), Higher Education</t>
        </is>
      </c>
      <c r="P171" s="1" t="inlineStr">
        <is>
          <t>System/Administrative, Student interfacing</t>
        </is>
      </c>
      <c r="Q171" s="10" t="inlineStr">
        <is>
          <t>Dokeos LMS</t>
        </is>
      </c>
      <c r="R171" s="10" t="inlineStr">
        <is>
          <t>What can you do with Dokeos LMS ? 
TRAIN, EVALUATE, ASSESS, CERTIFY, TRACK and SELL
Dokeos LMS is a white label solution that allows you to customise the design of your platform and express your brand image. Dokeos LMS collects extensive data on employees’ skills, aspirations, and gaps to provide them with additional customised training. Any improvement in skills is an important source of motivation for your employees and will have a positive impact on your organisation’s goals.</t>
        </is>
      </c>
      <c r="S171" s="10" t="inlineStr">
        <is>
          <t>Dokeos GxP Courses</t>
        </is>
      </c>
      <c r="T171" t="inlineStr">
        <is>
          <t>Dokeos provides accredited compliance and regulatory courses designed for life sciences professionals. Those courses can be integrated into your learning platform (LMS) whatever its brand.
Examples of courses : GXP2146 Corrective Action and Preventive Action (CAPA), GXP2960 Introduction to Current Good Practices (CGXP), GXP2437 Management of Clinical Trial Protocols, GXP0948 Non-Interventional Studies (NIS).</t>
        </is>
      </c>
      <c r="U171" s="1" t="inlineStr">
        <is>
          <t>https://drive.google.com/uc?export=view&amp;id=1xGugivr8_wiL4QT2_aSQHWNhkSVjI78X</t>
        </is>
      </c>
      <c r="V171" s="1" t="inlineStr">
        <is>
          <t>Unverified</t>
        </is>
      </c>
      <c r="W171" s="1" t="inlineStr">
        <is>
          <t>https://drive.google.com/uc?export=view&amp;id=1xGugivr8_wiL4QT2_aSQHWNhkSVjI78X</t>
        </is>
      </c>
      <c r="X171" s="1" t="n"/>
      <c r="Y171" s="10" t="n"/>
      <c r="Z171" s="1" t="n"/>
      <c r="AA171" t="inlineStr">
        <is>
          <t>Yes</t>
        </is>
      </c>
      <c r="AB171" t="inlineStr">
        <is>
          <t>https://www.instagram.com/dokeoslms/?hl=fr</t>
        </is>
      </c>
      <c r="AC171" t="inlineStr">
        <is>
          <t>https://twitter.com/dokeos</t>
        </is>
      </c>
      <c r="AD171" t="inlineStr">
        <is>
          <t>https://www.linkedin.com/company/dokeos</t>
        </is>
      </c>
    </row>
    <row r="172" ht="12.5" customHeight="1">
      <c r="A172" s="6" t="n">
        <v>45181</v>
      </c>
      <c r="B172" s="1" t="inlineStr">
        <is>
          <t>ORG_1554</t>
        </is>
      </c>
      <c r="C172" s="1" t="b">
        <v>1</v>
      </c>
      <c r="D172" s="1" t="inlineStr">
        <is>
          <t>Fasterclass</t>
        </is>
      </c>
      <c r="E172" s="10" t="inlineStr">
        <is>
          <t>https://www.fasterclass.fr</t>
        </is>
      </c>
      <c r="F172" t="inlineStr">
        <is>
          <t>fasterclass.fr</t>
        </is>
      </c>
      <c r="G172" s="1" t="inlineStr">
        <is>
          <t>Fasterclass is a training organization specilized in softskills: team/time/project management, feedback, or speech for example. 
Our blended learning experience was designed with the HRD of 4 French unicorns: Aircall, Matera, Voodoo and Ornikar.
One goal: maximize the impact in a minimum of time.</t>
        </is>
      </c>
      <c r="H172" s="1" t="inlineStr">
        <is>
          <t>EdTech France</t>
        </is>
      </c>
      <c r="J172" s="1" t="inlineStr">
        <is>
          <t>Paris</t>
        </is>
      </c>
      <c r="K172" s="1" t="inlineStr">
        <is>
          <t>France</t>
        </is>
      </c>
      <c r="L172" s="1" t="inlineStr">
        <is>
          <t>Belgium, France</t>
        </is>
      </c>
      <c r="M172" s="1" t="inlineStr">
        <is>
          <t>3 to 5</t>
        </is>
      </c>
      <c r="N172" s="1" t="inlineStr">
        <is>
          <t>Business to Business</t>
        </is>
      </c>
      <c r="O172" s="1" t="inlineStr">
        <is>
          <t>Corporate Training</t>
        </is>
      </c>
      <c r="P172" s="1" t="inlineStr">
        <is>
          <t>System/Administrative</t>
        </is>
      </c>
      <c r="Q172" t="inlineStr">
        <is>
          <t>Fasterclass</t>
        </is>
      </c>
      <c r="R172" t="inlineStr">
        <is>
          <t>6-week digital training program including:
&gt; Four 90-minute workshops, every second week
&gt; A pedagogical mini-series with a dozen of 3/5-minute videos
&gt; Daily followup on Slack/Teams/WhatsApp &amp; e-mails
&gt; Impact assessment at the end of the training program
&gt; Report to customer with data about Satisfaction, Engagement &amp; Impact</t>
        </is>
      </c>
      <c r="S172" s="10" t="inlineStr">
        <is>
          <t>https://drive.google.com/uc?export=view&amp;id=1xLZfCI4xD4uQitugXFJz9gmwak0uXHAb</t>
        </is>
      </c>
      <c r="T172" t="inlineStr">
        <is>
          <t>https://drive.google.com/uc?export=view&amp;id=1xLZfCI4xD4uQitugXFJz9gmwak0uXHAb</t>
        </is>
      </c>
      <c r="U172" s="1" t="inlineStr">
        <is>
          <t>https://drive.google.com/uc?export=view&amp;id=1xLZfCI4xD4uQitugXFJz9gmwak0uXHAb</t>
        </is>
      </c>
      <c r="V172" s="1" t="inlineStr">
        <is>
          <t>Unverified</t>
        </is>
      </c>
      <c r="Y172" s="10" t="n"/>
      <c r="Z172" s="1" t="n"/>
      <c r="AA172" t="inlineStr">
        <is>
          <t>Yes</t>
        </is>
      </c>
      <c r="AC172" t="inlineStr">
        <is>
          <t>https://www.linkedin.com/company/10414242</t>
        </is>
      </c>
      <c r="AD172" t="inlineStr">
        <is>
          <t>https://www.linkedin.com/company/10414242</t>
        </is>
      </c>
    </row>
    <row r="173" ht="12.5" customHeight="1">
      <c r="A173" s="6" t="n">
        <v>45181</v>
      </c>
      <c r="B173" s="1" t="inlineStr">
        <is>
          <t>ORG_1646</t>
        </is>
      </c>
      <c r="C173" s="1" t="b">
        <v>1</v>
      </c>
      <c r="D173" s="1" t="inlineStr">
        <is>
          <t>Grimp</t>
        </is>
      </c>
      <c r="E173" s="10" t="inlineStr">
        <is>
          <t>https://grimp.io</t>
        </is>
      </c>
      <c r="F173" t="inlineStr">
        <is>
          <t>grimp.io</t>
        </is>
      </c>
      <c r="G173" s="1" t="inlineStr">
        <is>
          <t>Grimp is SaaS solution to manage your job search in one place. There is also Grimp for Schools to facilitate job placement and a product for recruiters to help them source talent.</t>
        </is>
      </c>
      <c r="H173" s="1" t="inlineStr">
        <is>
          <t>EdTech France</t>
        </is>
      </c>
      <c r="J173" s="1" t="inlineStr">
        <is>
          <t>NANTES</t>
        </is>
      </c>
      <c r="K173" s="1" t="inlineStr">
        <is>
          <t>France</t>
        </is>
      </c>
      <c r="L173" s="1" t="inlineStr">
        <is>
          <t>France</t>
        </is>
      </c>
      <c r="M173" s="1" t="inlineStr">
        <is>
          <t>0 to 10</t>
        </is>
      </c>
      <c r="N173" s="1" t="inlineStr">
        <is>
          <t>Business to Business</t>
        </is>
      </c>
      <c r="O173" s="1" t="inlineStr">
        <is>
          <t>Secondary Education, Higher Education</t>
        </is>
      </c>
      <c r="P173" s="1" t="inlineStr">
        <is>
          <t>Student interfacing, Teacher interfacing, System/Administrative</t>
        </is>
      </c>
      <c r="Q173" s="10" t="inlineStr">
        <is>
          <t>Grimp for Schools</t>
        </is>
      </c>
      <c r="R173" s="10" t="inlineStr">
        <is>
          <t>A powerful and pedagogical job tracking tool and CRM for students, a career advising and outcomes tracking platform for your school.</t>
        </is>
      </c>
      <c r="S173" s="10" t="inlineStr">
        <is>
          <t>Grimp Academy</t>
        </is>
      </c>
      <c r="T173" t="inlineStr">
        <is>
          <t>Track your job applications, manage your contacts and keep your job search organized, all in one place!</t>
        </is>
      </c>
      <c r="U173" s="1" t="inlineStr">
        <is>
          <t>https://drive.google.com/uc?export=view&amp;id=1lhWB8mgqr3GhKCYp4p7hbREDRcUzAKMi</t>
        </is>
      </c>
      <c r="V173" s="1" t="inlineStr">
        <is>
          <t>Unverified</t>
        </is>
      </c>
      <c r="W173" s="1" t="inlineStr">
        <is>
          <t>https://drive.google.com/uc?export=view&amp;id=1lhWB8mgqr3GhKCYp4p7hbREDRcUzAKMi</t>
        </is>
      </c>
      <c r="X173" s="1" t="n"/>
      <c r="Y173" s="10" t="n"/>
      <c r="Z173" s="1" t="n"/>
      <c r="AA173" t="inlineStr">
        <is>
          <t>Yes</t>
        </is>
      </c>
      <c r="AB173" t="inlineStr">
        <is>
          <t>grimp.io</t>
        </is>
      </c>
      <c r="AC173" t="inlineStr">
        <is>
          <t>https://twitter.com/grimphq</t>
        </is>
      </c>
      <c r="AD173" t="inlineStr">
        <is>
          <t>https://www.linkedin.com/company/grimp-hq</t>
        </is>
      </c>
    </row>
    <row r="174" ht="12.5" customHeight="1">
      <c r="A174" s="6" t="n">
        <v>45181</v>
      </c>
      <c r="B174" s="1" t="inlineStr">
        <is>
          <t>ORG_1653</t>
        </is>
      </c>
      <c r="C174" s="1" t="b">
        <v>1</v>
      </c>
      <c r="D174" s="1" t="inlineStr">
        <is>
          <t>Gymglish</t>
        </is>
      </c>
      <c r="E174" s="10" t="inlineStr">
        <is>
          <t>https://www.gymglish.com</t>
        </is>
      </c>
      <c r="F174" t="inlineStr">
        <is>
          <t>gymglish.com</t>
        </is>
      </c>
      <c r="G174" s="1" t="inlineStr">
        <is>
          <t>Founded in 2004, Gymglish creates fun adaptive learning courses for languages and more based on regular sessions to optimize long-term gains and memorization.
Our objective: to offer effective digital education to learners worldwide, a more enjoyable user experience with better knowledge retention.</t>
        </is>
      </c>
      <c r="H174" s="1" t="inlineStr">
        <is>
          <t>EdTech France</t>
        </is>
      </c>
      <c r="J174" s="1" t="inlineStr">
        <is>
          <t>PARIS</t>
        </is>
      </c>
      <c r="K174" s="1" t="inlineStr">
        <is>
          <t>France</t>
        </is>
      </c>
      <c r="L174" s="1" t="inlineStr">
        <is>
          <t>Albania, Andorra, Armenia, Austria, Azerbaijan, Belarus, Belgium, Bosnia and Herzegovina, Bulgaria, Croatia, Czechia, Denmark, Estonia, Finland, France, Georgia, Germany, Greece, Hungary, Iceland, Ireland, Italy, Kazakhstan, Latvia, Liechtenstein, Lithuania, Luxembourg, Malta, Moldova, Monaco, Montenegro, Netherlands, North Macedonia, Norway, Poland, Portugal, Romania, Russia, San Marino, Serbia, Slovakia, Slovenia, Spain, Sweden, Switzerland, Turkey, Ukraine, United Kingdom</t>
        </is>
      </c>
      <c r="M174" s="1" t="inlineStr">
        <is>
          <t>11 to 50</t>
        </is>
      </c>
      <c r="N174" s="1" t="inlineStr">
        <is>
          <t>Business to Business</t>
        </is>
      </c>
      <c r="O174" s="1" t="inlineStr">
        <is>
          <t>Corporate Training, Lifelong learning/Adult education, Higher Education</t>
        </is>
      </c>
      <c r="P174" s="1" t="inlineStr">
        <is>
          <t>System/Administrative, Student interfacing, Teacher interfacing</t>
        </is>
      </c>
      <c r="Q174" s="10" t="inlineStr">
        <is>
          <t>Gymglish</t>
        </is>
      </c>
      <c r="R174" s="10" t="inlineStr">
        <is>
          <t>https://www.gymglish.com/en/gymglish
Gymglish delivers short, personalized and fun online English lessons. Our goal: your motivation, participation and progress.
Story: Growing up as an apprentice to his perfumer grandfather in Montmartre, Bruno Delavigne had dreams of starting his own business in San Francisco and expanding it. But when a suspicious "accident" robbed him of his sense of smell, Bruno was forced to take a different route to success...
Each of our English lessons ends with a "dessert": an authentic clip of can't-miss anglophone culture. Film, music, literature or television allow you to finish your workout in style.</t>
        </is>
      </c>
      <c r="S174" s="10" t="inlineStr">
        <is>
          <t>Frantastique</t>
        </is>
      </c>
      <c r="T174" t="inlineStr">
        <is>
          <t>https://www.gymglish.com/en/frantastique
Frantastique delivers short, personalized and fun online French lessons. Our goal: your motivation, participation and progress.
Story: On a French-speaking planet, an Intergalactic agency staffed by humans and aliens defrosts Victor Hugo to act as a guide to Francophone culture and life. But first, Victor must bring mustard from Earth in order to avoid a bloody revolution.
Each of our French lessons ends with a "dessert": an authentic clip of can't-miss francophone culture. Film, music, literature or television allow you to finish your workout in style.</t>
        </is>
      </c>
      <c r="U174" s="1" t="inlineStr">
        <is>
          <t>https://drive.google.com/uc?export=view&amp;id=1MdCvkj9qbbjR5gLNr3SUDEyDvjBXRcOe</t>
        </is>
      </c>
      <c r="V174" s="1" t="inlineStr">
        <is>
          <t>Unverified</t>
        </is>
      </c>
      <c r="W174" s="1" t="inlineStr">
        <is>
          <t>https://drive.google.com/uc?export=view&amp;id=1MdCvkj9qbbjR5gLNr3SUDEyDvjBXRcOe</t>
        </is>
      </c>
      <c r="X174" s="1" t="n"/>
      <c r="Y174" s="10" t="n"/>
      <c r="Z174" s="1" t="n"/>
      <c r="AA174" t="inlineStr">
        <is>
          <t>Yes</t>
        </is>
      </c>
      <c r="AB174" t="inlineStr">
        <is>
          <t>https://www.instagram.com/gymglish/</t>
        </is>
      </c>
      <c r="AC174" t="inlineStr">
        <is>
          <t>https://twitter.com/GymGlish</t>
        </is>
      </c>
      <c r="AD174" t="inlineStr">
        <is>
          <t>https://www.linkedin.com/company/gymglish/</t>
        </is>
      </c>
    </row>
    <row r="175" ht="12.5" customHeight="1">
      <c r="A175" s="6" t="n">
        <v>45181</v>
      </c>
      <c r="B175" s="1" t="inlineStr">
        <is>
          <t>ORG_1702</t>
        </is>
      </c>
      <c r="C175" s="1" t="b">
        <v>1</v>
      </c>
      <c r="D175" s="1" t="inlineStr">
        <is>
          <t>ICDL France</t>
        </is>
      </c>
      <c r="E175" s="10" t="inlineStr">
        <is>
          <t>https://www.icdlfrance.org/</t>
        </is>
      </c>
      <c r="F175" t="inlineStr">
        <is>
          <t>icdlfrance.org</t>
        </is>
      </c>
      <c r="G175" s="1" t="inlineStr">
        <is>
          <t>ICDL is an international organisation dedicated to raising digital competence standards in the workforce, education and society. Our certification programmes, delivered through an active network in more than 100 countries, enable individuals and organisations to assess, build and certify their competence in the use of computers and digital tools to the globally-recognised ICDL standard.</t>
        </is>
      </c>
      <c r="H175" s="1" t="inlineStr">
        <is>
          <t>EdTech France</t>
        </is>
      </c>
      <c r="J175" s="1" t="inlineStr">
        <is>
          <t>CANNES</t>
        </is>
      </c>
      <c r="K175" s="1" t="inlineStr">
        <is>
          <t>France</t>
        </is>
      </c>
      <c r="L175" s="1" t="inlineStr">
        <is>
          <t>France</t>
        </is>
      </c>
      <c r="M175" s="1" t="inlineStr">
        <is>
          <t>6 to 10</t>
        </is>
      </c>
      <c r="N175" s="1" t="inlineStr">
        <is>
          <t>Business to Business, Business to Consumer</t>
        </is>
      </c>
      <c r="O175" s="1" t="inlineStr">
        <is>
          <t>Corporate Training, Lifelong learning/Adult education, Vocational Education and Training (VET), Higher Education</t>
        </is>
      </c>
      <c r="P175" s="1" t="inlineStr">
        <is>
          <t>System/Administrative, Student interfacing</t>
        </is>
      </c>
      <c r="Q175" s="10" t="inlineStr">
        <is>
          <t>ICDL</t>
        </is>
      </c>
      <c r="R175" s="10" t="inlineStr">
        <is>
          <t>ICDL has developed a suite of programmes that meet the demands of today’s digital world. Whether you are working through the ICDL Workforce modules to reach the digital skills standard required for the workplace or you are looking to develop more advanced skills for occupational effectiveness, ICDL has a vast range of modules to choose from, so you can build the ideal digital skill set for your needs.</t>
        </is>
      </c>
      <c r="S175" s="10" t="inlineStr">
        <is>
          <t>https://drive.google.com/uc?export=view&amp;id=1PVXqrYKHZ7gh0jjLFg7Nu0BnvNbzAFY6</t>
        </is>
      </c>
      <c r="T175" t="inlineStr">
        <is>
          <t>https://drive.google.com/uc?export=view&amp;id=1PVXqrYKHZ7gh0jjLFg7Nu0BnvNbzAFY6</t>
        </is>
      </c>
      <c r="U175" s="1" t="inlineStr">
        <is>
          <t>https://drive.google.com/uc?export=view&amp;id=1PVXqrYKHZ7gh0jjLFg7Nu0BnvNbzAFY6</t>
        </is>
      </c>
      <c r="V175" s="1" t="inlineStr">
        <is>
          <t>Unverified</t>
        </is>
      </c>
      <c r="Y175" s="10" t="n"/>
      <c r="Z175" s="1" t="n"/>
      <c r="AA175" t="inlineStr">
        <is>
          <t>Yes</t>
        </is>
      </c>
      <c r="AB175" t="inlineStr">
        <is>
          <t>https://www.instagram.com/icdl_france/</t>
        </is>
      </c>
      <c r="AC175" t="inlineStr">
        <is>
          <t>https://mobile.twitter.com/icdlfrance</t>
        </is>
      </c>
      <c r="AD175" t="inlineStr">
        <is>
          <t>https://www.linkedin.com/company/pcie---icdl</t>
        </is>
      </c>
    </row>
    <row r="176" ht="12.5" customHeight="1">
      <c r="A176" s="6" t="n">
        <v>45181</v>
      </c>
      <c r="B176" s="1" t="inlineStr">
        <is>
          <t>ORG_1745</t>
        </is>
      </c>
      <c r="C176" s="1" t="b">
        <v>1</v>
      </c>
      <c r="D176" s="1" t="inlineStr">
        <is>
          <t>iTeach.world</t>
        </is>
      </c>
      <c r="E176" s="10" t="inlineStr">
        <is>
          <t>https://iteach.world/</t>
        </is>
      </c>
      <c r="F176" t="inlineStr">
        <is>
          <t>iteach.world</t>
        </is>
      </c>
      <c r="G176" s="1" t="inlineStr">
        <is>
          <t>More than just a videoconferencing app, the iTeach Virtual Classroom includes all the other teaching and learning tools you need for a complete and effective online teaching experience. It is Easy to Use and built for virtual teaching.
What teachers can do in a physical classroom, can be fully replicated on line with iTeach. You have a virtual classroom with all the other tools you need in one place to deliver a more effective and engaging online learning experience.
The learning and teaching tools are connected to your branded virtual room. iTeach lets you add your logo and customize key visual elements to make your online school instantly recognizable and unique.
iTeach.world is being used in 168 countries across the world.</t>
        </is>
      </c>
      <c r="H176" s="1" t="inlineStr">
        <is>
          <t>EdTech France</t>
        </is>
      </c>
      <c r="J176" s="1" t="inlineStr">
        <is>
          <t>paris</t>
        </is>
      </c>
      <c r="K176" s="1" t="inlineStr">
        <is>
          <t>France</t>
        </is>
      </c>
      <c r="L176" s="1" t="inlineStr">
        <is>
          <t>Austria, Belgium, Czechia, France, Germany, Greece, Hungary, Ireland, Italy, Netherlands, Poland, Portugal, Russia, Slovakia, Slovenia, Spain, Switzerland, Ukraine, United Kingdom</t>
        </is>
      </c>
      <c r="M176" s="1" t="inlineStr">
        <is>
          <t>0 to 10</t>
        </is>
      </c>
      <c r="N176" s="1" t="inlineStr">
        <is>
          <t>Business to Business, Business to Consumer</t>
        </is>
      </c>
      <c r="O176" s="1" t="inlineStr">
        <is>
          <t>Higher Education, Corporate Training, Lifelong learning/Adult education</t>
        </is>
      </c>
      <c r="P176" s="1" t="inlineStr">
        <is>
          <t>Teacher interfacing, System/Administrative</t>
        </is>
      </c>
      <c r="Q176" s="10" t="inlineStr">
        <is>
          <t>iTeach virtual classroom: webroom</t>
        </is>
      </c>
      <c r="R176" t="inlineStr">
        <is>
          <t>-Keep your students engaged with whiteboards, screen sharing, breakout groups, real-time notes, chat, and use polls to get discussions started or for real-time assessments.
-Use the Workspace to create your content playlist and share content such as videos, websites, presentations and other files during your class.
-Use Direct Talk to talk with a student privately without leaving the room.
-Make live notes during the class which you can review and edit later.
-Manage the students in the virtual classroom with moderation controls.</t>
        </is>
      </c>
      <c r="S176" s="10" t="inlineStr">
        <is>
          <t>Teaching &amp; Learning tools: iTeach LMS</t>
        </is>
      </c>
      <c r="T176" t="inlineStr">
        <is>
          <t>- Design Assignments &amp; assessments online 
- Get automated Progress tracking &amp; reports to debe efficient
- Get Attendance tracking &amp; reports and Identify students who need support
- Class calendar so you always know what’s happening
- Grade book and Keep track in real-time
- Class &amp; assignment reminders so you never forget anything
- Automated personalized feedback Because each student is different
- Messages &amp; announcements make it easy to communicate
- Communicate teacher profiles to build trust and inspire students</t>
        </is>
      </c>
      <c r="U176" s="1" t="inlineStr">
        <is>
          <t>https://drive.google.com/uc?export=view&amp;id=1RQ-FvR9rMM2WaL5ZYatyvb3lpTbL4QUu</t>
        </is>
      </c>
      <c r="V176" s="1" t="inlineStr">
        <is>
          <t>Unverified</t>
        </is>
      </c>
      <c r="W176" s="1" t="inlineStr">
        <is>
          <t>https://drive.google.com/uc?export=view&amp;id=1RQ-FvR9rMM2WaL5ZYatyvb3lpTbL4QUu</t>
        </is>
      </c>
      <c r="X176" s="1" t="n"/>
      <c r="Y176" s="10" t="n"/>
      <c r="Z176" s="1" t="n"/>
      <c r="AA176" t="inlineStr">
        <is>
          <t>Yes</t>
        </is>
      </c>
      <c r="AB176" t="inlineStr">
        <is>
          <t>https://www.facebook.com/Iteachworld</t>
        </is>
      </c>
      <c r="AC176" t="inlineStr">
        <is>
          <t>https://www.linkedin.com/company/iteach-world/</t>
        </is>
      </c>
      <c r="AD176" t="inlineStr">
        <is>
          <t>https://www.linkedin.com/company/iteach-world/</t>
        </is>
      </c>
    </row>
    <row r="177" ht="12.5" customHeight="1">
      <c r="A177" s="6" t="n">
        <v>45181</v>
      </c>
      <c r="B177" s="1" t="inlineStr">
        <is>
          <t>ORG_1763</t>
        </is>
      </c>
      <c r="C177" s="1" t="b">
        <v>1</v>
      </c>
      <c r="D177" s="1" t="inlineStr">
        <is>
          <t>KALIVI</t>
        </is>
      </c>
      <c r="E177" s="10" t="inlineStr">
        <is>
          <t>www.kalivi.fr</t>
        </is>
      </c>
      <c r="F177" t="inlineStr">
        <is>
          <t>kalivi.fr</t>
        </is>
      </c>
      <c r="G177" s="1" t="inlineStr">
        <is>
          <t>Kalivi est un organisme de formations et de conseils expert en qualité de vie au travail. Nous co créons avec nos clients, les formations pour qu'elles soient plus efficaces et impactantes autour de 3 thématiques : prévention des risques psychosociaux, gestes et postures, efficacité professionnelle.</t>
        </is>
      </c>
      <c r="H177" s="1" t="inlineStr">
        <is>
          <t>I'm not part of any EdTech association</t>
        </is>
      </c>
      <c r="J177" s="1" t="inlineStr">
        <is>
          <t>Versailles</t>
        </is>
      </c>
      <c r="K177" s="1" t="inlineStr">
        <is>
          <t>France</t>
        </is>
      </c>
      <c r="L177" s="1" t="inlineStr">
        <is>
          <t>France</t>
        </is>
      </c>
      <c r="M177" s="1" t="inlineStr">
        <is>
          <t>0 to 10</t>
        </is>
      </c>
      <c r="N177" s="1" t="inlineStr">
        <is>
          <t>Business to Business, Business to Consumer</t>
        </is>
      </c>
      <c r="O177" s="1" t="inlineStr">
        <is>
          <t>Corporate Training</t>
        </is>
      </c>
      <c r="P177" s="1" t="inlineStr">
        <is>
          <t>Student interfacing, System/Administrative</t>
        </is>
      </c>
      <c r="S177" t="inlineStr">
        <is>
          <t>https://drive.google.com/uc?export=view&amp;id=19V-c6Vx-zsyibAB_Acb9xWXSDpknN66j</t>
        </is>
      </c>
      <c r="T177" t="inlineStr">
        <is>
          <t>https://drive.google.com/uc?export=view&amp;id=19V-c6Vx-zsyibAB_Acb9xWXSDpknN66j</t>
        </is>
      </c>
      <c r="U177" t="inlineStr">
        <is>
          <t>https://drive.google.com/uc?export=view&amp;id=19V-c6Vx-zsyibAB_Acb9xWXSDpknN66j</t>
        </is>
      </c>
      <c r="V177" t="inlineStr">
        <is>
          <t>Unverified</t>
        </is>
      </c>
      <c r="Y177" s="10" t="n"/>
      <c r="Z177" s="1" t="n"/>
      <c r="AA177" t="inlineStr">
        <is>
          <t>No</t>
        </is>
      </c>
    </row>
    <row r="178" ht="12.5" customHeight="1">
      <c r="A178" s="6" t="n">
        <v>45181</v>
      </c>
      <c r="B178" s="1" t="inlineStr">
        <is>
          <t>ORG_1776</t>
        </is>
      </c>
      <c r="C178" s="1" t="b">
        <v>1</v>
      </c>
      <c r="D178" s="1" t="inlineStr">
        <is>
          <t>King Pact</t>
        </is>
      </c>
      <c r="E178" s="10" t="inlineStr">
        <is>
          <t>https://www.kingpact.fr</t>
        </is>
      </c>
      <c r="F178" t="inlineStr">
        <is>
          <t>kingpact.fr</t>
        </is>
      </c>
      <c r="G178" s="1" t="inlineStr">
        <is>
          <t>King Pact is an online education platform which helps students get a job in M&amp;A and corporate finance.</t>
        </is>
      </c>
      <c r="H178" s="1" t="inlineStr">
        <is>
          <t>EdTech France</t>
        </is>
      </c>
      <c r="J178" s="1" t="inlineStr">
        <is>
          <t>Paris</t>
        </is>
      </c>
      <c r="K178" s="1" t="inlineStr">
        <is>
          <t>France</t>
        </is>
      </c>
      <c r="L178" s="1" t="inlineStr">
        <is>
          <t>France</t>
        </is>
      </c>
      <c r="M178" s="1" t="inlineStr">
        <is>
          <t>0 to 2</t>
        </is>
      </c>
      <c r="N178" s="1" t="inlineStr">
        <is>
          <t>Business to Business, Business to Consumer, Business to Government</t>
        </is>
      </c>
      <c r="O178" s="1" t="inlineStr">
        <is>
          <t>Secondary Education, Corporate Training, Lifelong learning/Adult education, Higher Education</t>
        </is>
      </c>
      <c r="P178" s="1" t="inlineStr">
        <is>
          <t>Student interfacing</t>
        </is>
      </c>
      <c r="Q178" s="10" t="inlineStr">
        <is>
          <t>Online education platform</t>
        </is>
      </c>
      <c r="R178" t="inlineStr">
        <is>
          <t>King Pact helps people get a job in corporate finance and M&amp;A thanks to online courses and coaching with investment bankers.</t>
        </is>
      </c>
      <c r="S178" s="10" t="inlineStr">
        <is>
          <t>https://drive.google.com/uc?export=view&amp;id=1rxycs4aClc-rsFUADSHbP3UvYqQ2ILsZ</t>
        </is>
      </c>
      <c r="T178" t="inlineStr">
        <is>
          <t>https://drive.google.com/uc?export=view&amp;id=1rxycs4aClc-rsFUADSHbP3UvYqQ2ILsZ</t>
        </is>
      </c>
      <c r="U178" s="1" t="inlineStr">
        <is>
          <t>https://drive.google.com/uc?export=view&amp;id=1rxycs4aClc-rsFUADSHbP3UvYqQ2ILsZ</t>
        </is>
      </c>
      <c r="V178" s="1" t="inlineStr">
        <is>
          <t>Unverified</t>
        </is>
      </c>
      <c r="Y178" s="10" t="n"/>
      <c r="Z178" s="1" t="n"/>
      <c r="AA178" t="inlineStr">
        <is>
          <t>Yes</t>
        </is>
      </c>
      <c r="AB178" t="inlineStr">
        <is>
          <t>https://www.instagram.com/king_pact/?hl=en</t>
        </is>
      </c>
      <c r="AC178" t="inlineStr">
        <is>
          <t>https://www.linkedin.com/company/kingpact</t>
        </is>
      </c>
      <c r="AD178" t="inlineStr">
        <is>
          <t>https://www.linkedin.com/company/kingpact</t>
        </is>
      </c>
    </row>
    <row r="179" ht="12.5" customHeight="1">
      <c r="A179" s="6" t="n">
        <v>45181</v>
      </c>
      <c r="B179" s="1" t="inlineStr">
        <is>
          <t>ORG_1798</t>
        </is>
      </c>
      <c r="C179" s="1" t="b">
        <v>1</v>
      </c>
      <c r="D179" s="1" t="inlineStr">
        <is>
          <t>L'atelier des Chefs</t>
        </is>
      </c>
      <c r="E179" s="10" t="inlineStr">
        <is>
          <t>www.atelierdeschefs.fr</t>
        </is>
      </c>
      <c r="F179" t="inlineStr">
        <is>
          <t>atelierdeschefs.fr</t>
        </is>
      </c>
      <c r="G179" s="1" t="inlineStr">
        <is>
          <t>L'atelier des Chefs is a European leader in digital training for all craft work : cooking, beauty, home care services, building activities and so on</t>
        </is>
      </c>
      <c r="H179" s="1" t="inlineStr">
        <is>
          <t>EdTech France</t>
        </is>
      </c>
      <c r="J179" s="1" t="inlineStr">
        <is>
          <t>PARIS</t>
        </is>
      </c>
      <c r="K179" s="1" t="inlineStr">
        <is>
          <t>France</t>
        </is>
      </c>
      <c r="L179" s="1" t="inlineStr">
        <is>
          <t>Andorra, Belgium, France, Germany, Italy, Spain, United Kingdom</t>
        </is>
      </c>
      <c r="M179" s="1" t="inlineStr">
        <is>
          <t>100+</t>
        </is>
      </c>
      <c r="N179" s="1" t="inlineStr">
        <is>
          <t>Business to Business, Business to Consumer, Business to Government</t>
        </is>
      </c>
      <c r="O179" s="1" t="inlineStr">
        <is>
          <t>Higher Education, Lifelong learning/Adult education</t>
        </is>
      </c>
      <c r="P179" s="1" t="inlineStr">
        <is>
          <t>Student interfacing, System/Administrative</t>
        </is>
      </c>
      <c r="Q179" s="10" t="inlineStr">
        <is>
          <t>CAP Cuisine 100% digital</t>
        </is>
      </c>
      <c r="R179" t="inlineStr">
        <is>
          <t>Train digital to pass the best known exam all French Chefs went through!</t>
        </is>
      </c>
      <c r="S179" s="10" t="inlineStr">
        <is>
          <t>https://drive.google.com/uc?export=view&amp;id=1LDxZPlc9z0_2a_kYkGKR-OE3lfa9_raG</t>
        </is>
      </c>
      <c r="T179" t="inlineStr">
        <is>
          <t>https://drive.google.com/uc?export=view&amp;id=1LDxZPlc9z0_2a_kYkGKR-OE3lfa9_raG</t>
        </is>
      </c>
      <c r="U179" s="1" t="inlineStr">
        <is>
          <t>https://drive.google.com/uc?export=view&amp;id=1LDxZPlc9z0_2a_kYkGKR-OE3lfa9_raG</t>
        </is>
      </c>
      <c r="V179" s="1" t="inlineStr">
        <is>
          <t>Unverified</t>
        </is>
      </c>
      <c r="Y179" s="10" t="n"/>
      <c r="Z179" s="1" t="n"/>
      <c r="AA179" t="inlineStr">
        <is>
          <t>Yes</t>
        </is>
      </c>
      <c r="AB179" t="inlineStr">
        <is>
          <t>https://www.instagram.com/atelierdeschefs/?hl=fr</t>
        </is>
      </c>
      <c r="AC179" t="inlineStr">
        <is>
          <t>https://www.linkedin.com/school/91825/admin/</t>
        </is>
      </c>
      <c r="AD179" t="inlineStr">
        <is>
          <t>https://www.linkedin.com/school/91825/admin/</t>
        </is>
      </c>
    </row>
    <row r="180" ht="12.5" customHeight="1">
      <c r="A180" s="6" t="n">
        <v>45181</v>
      </c>
      <c r="B180" s="1" t="inlineStr">
        <is>
          <t>ORG_1856</t>
        </is>
      </c>
      <c r="C180" s="1" t="b">
        <v>1</v>
      </c>
      <c r="D180" s="1" t="inlineStr">
        <is>
          <t>Les Adultes de Demain</t>
        </is>
      </c>
      <c r="E180" s="10" t="inlineStr">
        <is>
          <t>https://www.lesadultesdedemain.com/</t>
        </is>
      </c>
      <c r="F180" t="inlineStr">
        <is>
          <t>lesadultesdedemain.com</t>
        </is>
      </c>
      <c r="G180" s="1" t="inlineStr">
        <is>
          <t>We are one of the most listened podcasts in France (&gt;800 000 listening since 2 years), on Education and Parenting topics. We've interviewed the most famous Education personalities. We've also published a book with our most successful episodes.</t>
        </is>
      </c>
      <c r="H180" s="1" t="inlineStr">
        <is>
          <t>I'm not part of any EdTech association</t>
        </is>
      </c>
      <c r="J180" s="1" t="inlineStr">
        <is>
          <t>Paris</t>
        </is>
      </c>
      <c r="K180" s="1" t="inlineStr">
        <is>
          <t>France</t>
        </is>
      </c>
      <c r="L180" s="1" t="inlineStr">
        <is>
          <t>Belgium, France, Luxembourg, Switzerland</t>
        </is>
      </c>
      <c r="M180" s="1" t="inlineStr">
        <is>
          <t>0 to 10</t>
        </is>
      </c>
      <c r="N180" s="1" t="inlineStr">
        <is>
          <t>Business to Business, Business to Consumer, Business to Government, Business to Schools</t>
        </is>
      </c>
      <c r="O180" s="1" t="inlineStr">
        <is>
          <t>Early childhood development (0-5 years), Primary Education, Secondary Education, Higher Education</t>
        </is>
      </c>
      <c r="P180" s="1" t="inlineStr">
        <is>
          <t>System/Administrative, Teacher interfacing</t>
        </is>
      </c>
      <c r="S180" t="inlineStr">
        <is>
          <t>https://drive.google.com/uc?export=view&amp;id=1XsrIJPCpnCsiEMCc-ffZqiD5ji-O_RuH</t>
        </is>
      </c>
      <c r="T180" t="inlineStr">
        <is>
          <t>https://drive.google.com/uc?export=view&amp;id=1XsrIJPCpnCsiEMCc-ffZqiD5ji-O_RuH</t>
        </is>
      </c>
      <c r="U180" t="inlineStr">
        <is>
          <t>https://drive.google.com/uc?export=view&amp;id=1XsrIJPCpnCsiEMCc-ffZqiD5ji-O_RuH</t>
        </is>
      </c>
      <c r="V180" t="inlineStr">
        <is>
          <t>Unverified</t>
        </is>
      </c>
      <c r="Y180" s="10" t="n"/>
      <c r="Z180" s="1" t="n"/>
      <c r="AA180" t="inlineStr">
        <is>
          <t>No</t>
        </is>
      </c>
    </row>
    <row r="181" ht="12.5" customHeight="1">
      <c r="A181" s="6" t="n">
        <v>45181</v>
      </c>
      <c r="B181" s="1" t="inlineStr">
        <is>
          <t>ORG_1876</t>
        </is>
      </c>
      <c r="C181" s="1" t="b">
        <v>1</v>
      </c>
      <c r="D181" s="1" t="inlineStr">
        <is>
          <t>Lili (lili.cool)</t>
        </is>
      </c>
      <c r="E181" s="10" t="inlineStr">
        <is>
          <t>http://www.lili.cool</t>
        </is>
      </c>
      <c r="F181" t="inlineStr">
        <is>
          <t>lili.cool</t>
        </is>
      </c>
      <c r="G181" s="1" t="inlineStr">
        <is>
          <t>Winner of the Trophées de l'éducation, Lili's mission is to give each child the keys to confidence - in oneself, orally &amp; with others - by boosting the 21st century skills, what we call "superpowers": emotional intelligence, communication, cooperation, critical thinking... so many essential strengths in a fast changing world. By ensuring the educational continuity from school to home, alongside parents and teachers, Lili offers super-programs that help 4-12 year olds to unleash their super-powers with fun workshops inspired by Montessori &amp; Freinet pedagogies: meditation &amp; yoga to tame their emotions and build up concentration, artistic expression &amp; improvisation to celebrate mistakes and free creativity, and philosophy podcasts to reflect on life and inspire tomorrow's leaders.</t>
        </is>
      </c>
      <c r="H181" s="1" t="inlineStr">
        <is>
          <t>EdTech France</t>
        </is>
      </c>
      <c r="J181" s="1" t="inlineStr">
        <is>
          <t>VINCENNES</t>
        </is>
      </c>
      <c r="K181" s="1" t="inlineStr">
        <is>
          <t>France</t>
        </is>
      </c>
      <c r="L18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181" s="1" t="inlineStr">
        <is>
          <t>0 to 10</t>
        </is>
      </c>
      <c r="N181" s="1" t="inlineStr">
        <is>
          <t>Business to Business, Business to Consumer, Business to Government, Business to Schools</t>
        </is>
      </c>
      <c r="O181" s="1" t="inlineStr">
        <is>
          <t>Early childhood development (0-5 years), Primary Education, Secondary Education</t>
        </is>
      </c>
      <c r="P181" s="1" t="inlineStr">
        <is>
          <t>System/Administrative, Student interfacing, Teacher interfacing</t>
        </is>
      </c>
      <c r="Q181" s="10" t="inlineStr">
        <is>
          <t>Lili (lili.cool)</t>
        </is>
      </c>
      <c r="R181" s="1" t="inlineStr">
        <is>
          <t>Lili gives each child the keys to confidence - in oneself, orally &amp; with others - by boosting the 21st century skills with fun workshops inspired by Montessori &amp; Freinet pedagogies: meditation &amp; yoga to tame emotions and build up concentration, artistic expression &amp; improvisation to celebrate mistakes and free creativity, and philosophy podcasts to reflect on life and inspire tomorrow's leaders.</t>
        </is>
      </c>
      <c r="S181" s="10" t="inlineStr">
        <is>
          <t>https://drive.google.com/uc?export=view&amp;id=1WDZQ9Ue3Ry14i48aH2z38cWeGK56QnNs</t>
        </is>
      </c>
      <c r="T181" t="inlineStr">
        <is>
          <t>https://drive.google.com/uc?export=view&amp;id=1WDZQ9Ue3Ry14i48aH2z38cWeGK56QnNs</t>
        </is>
      </c>
      <c r="U181" s="1" t="inlineStr">
        <is>
          <t>https://drive.google.com/uc?export=view&amp;id=1WDZQ9Ue3Ry14i48aH2z38cWeGK56QnNs</t>
        </is>
      </c>
      <c r="V181" s="1" t="inlineStr">
        <is>
          <t>Unverified</t>
        </is>
      </c>
      <c r="Y181" s="10" t="n"/>
      <c r="Z181" s="1" t="n"/>
      <c r="AA181" t="inlineStr">
        <is>
          <t>Yes</t>
        </is>
      </c>
      <c r="AB181" t="inlineStr">
        <is>
          <t>https://www.instagram.com/lili.cool.app/</t>
        </is>
      </c>
      <c r="AC181" t="inlineStr">
        <is>
          <t>Lili SAS</t>
        </is>
      </c>
      <c r="AD181" t="inlineStr">
        <is>
          <t>https://www.linkedin.com/company/lili-cool-app/</t>
        </is>
      </c>
    </row>
    <row r="182" ht="12.5" customHeight="1">
      <c r="A182" s="6" t="n">
        <v>45181</v>
      </c>
      <c r="B182" s="1" t="inlineStr">
        <is>
          <t>ORG_1877</t>
        </is>
      </c>
      <c r="C182" s="1" t="b">
        <v>1</v>
      </c>
      <c r="D182" s="1" t="inlineStr">
        <is>
          <t>LILLUP</t>
        </is>
      </c>
      <c r="E182" s="10" t="inlineStr">
        <is>
          <t>https://www.lillup.com/</t>
        </is>
      </c>
      <c r="F182" t="inlineStr">
        <is>
          <t>lillup.com</t>
        </is>
      </c>
      <c r="G182" s="1" t="inlineStr">
        <is>
          <t>Learn to Earn
We designed and developed the &amp; chain protocol to solve the issues arising from the disruption of the field of employment, the ways we work and learn.</t>
        </is>
      </c>
      <c r="H182" s="1" t="inlineStr">
        <is>
          <t>I'm not part of any EdTech association</t>
        </is>
      </c>
      <c r="J182" s="1" t="inlineStr">
        <is>
          <t>dijon</t>
        </is>
      </c>
      <c r="K182" s="1" t="inlineStr">
        <is>
          <t>France</t>
        </is>
      </c>
      <c r="L182" s="1" t="inlineStr">
        <is>
          <t>Belgium, France, Germany, Italy, Spain, Switzerland, United Kingdom</t>
        </is>
      </c>
      <c r="M182" s="1" t="inlineStr">
        <is>
          <t>0 to 10</t>
        </is>
      </c>
      <c r="N182" s="1" t="inlineStr">
        <is>
          <t>Business to Business, Business to Consumer, Business to Government, Business to Schools</t>
        </is>
      </c>
      <c r="O182" s="1" t="inlineStr">
        <is>
          <t>Corporate Training, Lifelong learning/Adult education</t>
        </is>
      </c>
      <c r="P182" s="1" t="inlineStr">
        <is>
          <t>Student interfacing, Teacher interfacing, System/Administrative</t>
        </is>
      </c>
      <c r="S182" t="inlineStr">
        <is>
          <t>https://drive.google.com/uc?export=view&amp;id=10jfcbMIxHCWCuPijkl7kdwdYlL3S-Z8M</t>
        </is>
      </c>
      <c r="T182" t="inlineStr">
        <is>
          <t>https://drive.google.com/uc?export=view&amp;id=10jfcbMIxHCWCuPijkl7kdwdYlL3S-Z8M</t>
        </is>
      </c>
      <c r="U182" t="inlineStr">
        <is>
          <t>https://drive.google.com/uc?export=view&amp;id=10jfcbMIxHCWCuPijkl7kdwdYlL3S-Z8M</t>
        </is>
      </c>
      <c r="V182" t="inlineStr">
        <is>
          <t>Unverified</t>
        </is>
      </c>
      <c r="Y182" s="10" t="n"/>
      <c r="Z182" s="1" t="n"/>
      <c r="AA182" t="inlineStr">
        <is>
          <t>No</t>
        </is>
      </c>
    </row>
    <row r="183" ht="12.5" customHeight="1">
      <c r="A183" s="6" t="n">
        <v>45181</v>
      </c>
      <c r="B183" s="1" t="inlineStr">
        <is>
          <t>ORG_1922</t>
        </is>
      </c>
      <c r="C183" s="1" t="b">
        <v>1</v>
      </c>
      <c r="D183" s="1" t="inlineStr">
        <is>
          <t>MASSIVE IMMERSIVE</t>
        </is>
      </c>
      <c r="E183" s="10" t="inlineStr">
        <is>
          <t>https://massiveimmersive.com/</t>
        </is>
      </c>
      <c r="F183" t="inlineStr">
        <is>
          <t>massiveimmersive.com</t>
        </is>
      </c>
      <c r="G183" s="1" t="inlineStr">
        <is>
          <t>MASSIVE IMMERSIVE is a consulting company specialized in immersive training programs using virtual reality, augmented reality, mixed reality, virtual worlds and Metaverse. We assist company who whant to implement these technologies for training and education. We work with a range of 40 differents partners that allow to organize any training projetct.</t>
        </is>
      </c>
      <c r="H183" s="1" t="inlineStr">
        <is>
          <t>EdTech France</t>
        </is>
      </c>
      <c r="J183" s="1" t="inlineStr">
        <is>
          <t>PARIS</t>
        </is>
      </c>
      <c r="K183" s="1" t="inlineStr">
        <is>
          <t>France</t>
        </is>
      </c>
      <c r="L183" s="1" t="inlineStr">
        <is>
          <t>France</t>
        </is>
      </c>
      <c r="M183" s="1" t="inlineStr">
        <is>
          <t>11 to 50</t>
        </is>
      </c>
      <c r="N183" s="1" t="inlineStr">
        <is>
          <t>Business to Business, Business to Consumer, Business to Government, Business to Schools</t>
        </is>
      </c>
      <c r="O183" s="1" t="inlineStr">
        <is>
          <t>Higher Education, Corporate Training, Lifelong learning/Adult education</t>
        </is>
      </c>
      <c r="P183" s="1" t="inlineStr">
        <is>
          <t>Teacher interfacing, Student interfacing, System/Administrative</t>
        </is>
      </c>
      <c r="Q183" s="10" t="inlineStr">
        <is>
          <t>MI Academy</t>
        </is>
      </c>
      <c r="R183" s="10" t="inlineStr">
        <is>
          <t>Our Academy allow to train your trainers to create and use immersive technologies for training. Our courses range from VR initiation for training to the use of virtual worlds for training. We can also create any specific training using VR or AR solution</t>
        </is>
      </c>
      <c r="S183" s="10" t="inlineStr">
        <is>
          <t>Evissam</t>
        </is>
      </c>
      <c r="T183" t="inlineStr">
        <is>
          <t>Our serious game is based on communication, puzzle solving and teamwork. It is the only solution on the market that can be used in presence in Virtual Reality or remotely through virtual worlds and Metaverse. Our serious game is only distributed by us.</t>
        </is>
      </c>
      <c r="U183" s="1" t="inlineStr">
        <is>
          <t>https://drive.google.com/uc?export=view&amp;id=1WaFFO26j0-v6HF_oMXt2iTxt3nD46tb4</t>
        </is>
      </c>
      <c r="V183" s="1" t="inlineStr">
        <is>
          <t>Unverified</t>
        </is>
      </c>
      <c r="W183" s="1" t="inlineStr">
        <is>
          <t>https://drive.google.com/uc?export=view&amp;id=1WaFFO26j0-v6HF_oMXt2iTxt3nD46tb4</t>
        </is>
      </c>
      <c r="X183" s="1" t="n"/>
      <c r="Y183" s="10" t="n"/>
      <c r="Z183" s="1" t="n"/>
      <c r="AA183" t="inlineStr">
        <is>
          <t>Yes</t>
        </is>
      </c>
      <c r="AB183" t="inlineStr">
        <is>
          <t>https://www.instagram.com/massive_immersive/</t>
        </is>
      </c>
      <c r="AC183" t="inlineStr">
        <is>
          <t>https://twitter.com/Mass_Immersive</t>
        </is>
      </c>
      <c r="AD183" t="inlineStr">
        <is>
          <t>https://www.linkedin.com/company/massive-immersive/</t>
        </is>
      </c>
    </row>
    <row r="184" ht="12.5" customHeight="1">
      <c r="A184" s="6" t="n">
        <v>45181</v>
      </c>
      <c r="B184" s="1" t="inlineStr">
        <is>
          <t>ORG_1933</t>
        </is>
      </c>
      <c r="C184" s="1" t="b">
        <v>1</v>
      </c>
      <c r="D184" s="10" t="inlineStr">
        <is>
          <t>MaVoie.org</t>
        </is>
      </c>
      <c r="E184" s="10" t="inlineStr">
        <is>
          <t>www.mavoie.org</t>
        </is>
      </c>
      <c r="F184" t="inlineStr">
        <is>
          <t>mavoie.org</t>
        </is>
      </c>
      <c r="G184" s="1" t="inlineStr">
        <is>
          <t>MaVoie.org is a nonprofit organisation in France focussed on optimizing the path to employment for young people not in employment, education or training (“NEETs”)
MaVoie offers a tech platform that combines participant organizations’ access to employment services into a Pipeline to Employment platform, offering a unified user experience.
Created late 2020, MaVoie already reached over 10,000 young jobseekers, helping them discover new employment services in an innovative way (mobile and video first approach), 88% of them feeling clearer about their next professional step.
MaVoie.org is an attempt to build one potential future of nonprofit organizations through innovation and tech.Through our start-up tech nonprofit, we seek to pave the way for other nonprofits by sharing knowledge and proving both scale and impact.</t>
        </is>
      </c>
      <c r="H184" s="1" t="inlineStr">
        <is>
          <t>EdTech France</t>
        </is>
      </c>
      <c r="J184" s="1" t="inlineStr">
        <is>
          <t>PARIS</t>
        </is>
      </c>
      <c r="K184" s="1" t="inlineStr">
        <is>
          <t>France</t>
        </is>
      </c>
      <c r="L184" s="1" t="inlineStr">
        <is>
          <t>France</t>
        </is>
      </c>
      <c r="M184" s="1" t="inlineStr">
        <is>
          <t>0 to 10</t>
        </is>
      </c>
      <c r="N184" s="1" t="inlineStr">
        <is>
          <t>Business to Business, Business to Consumer, Business to Government, Business to Schools</t>
        </is>
      </c>
      <c r="O184" s="1" t="inlineStr">
        <is>
          <t>Higher Education, Corporate Training</t>
        </is>
      </c>
      <c r="P184" s="1" t="inlineStr">
        <is>
          <t>Teacher interfacing, System/Administrative, Student interfacing</t>
        </is>
      </c>
      <c r="Q184" s="10" t="inlineStr">
        <is>
          <t>Intern &amp; apprentices offboarding</t>
        </is>
      </c>
      <c r="R184" s="10" t="inlineStr">
        <is>
          <t>A company can not retain 100% of its interns and apprentices straight after their work experience.
Yet by providing efficient offboarding to them, then can become advocates, potential hires in the future and defend their learning while being an intern / apprentice, driving higher employer brand recognition in the ecosystem.
How?
By giving access to MaVoie which will help these young professionals improve their resume, interview preparation, soft skills derived from internships etc.</t>
        </is>
      </c>
      <c r="S184" s="10" t="inlineStr">
        <is>
          <t>Employer brand for rejected applicants</t>
        </is>
      </c>
      <c r="T184" t="inlineStr">
        <is>
          <t>95% candidats don't go through an interview. Some are bitter about no being considered and will boycott the company they applied for. 
MaVoie helps employers protect their brand by offering opportunies for rejected applicants to progress in their career path.
So far, we have over 93% candidates willing to bounce back after being rejected at a company</t>
        </is>
      </c>
      <c r="U184" s="1" t="inlineStr">
        <is>
          <t>https://drive.google.com/uc?export=view&amp;id=1W3ho_mVXPZGwmLvx0PxB1B_JNdKfvZIs</t>
        </is>
      </c>
      <c r="V184" s="1" t="inlineStr">
        <is>
          <t>Unverified</t>
        </is>
      </c>
      <c r="W184" s="1" t="inlineStr">
        <is>
          <t>https://drive.google.com/uc?export=view&amp;id=1W3ho_mVXPZGwmLvx0PxB1B_JNdKfvZIs</t>
        </is>
      </c>
      <c r="X184" s="1" t="n"/>
      <c r="Y184" s="10" t="n"/>
      <c r="Z184" s="1" t="n"/>
      <c r="AA184" t="inlineStr">
        <is>
          <t>Yes</t>
        </is>
      </c>
      <c r="AB184" t="inlineStr">
        <is>
          <t>https://www.instagram.com/mavoieorg/</t>
        </is>
      </c>
      <c r="AC184" t="inlineStr">
        <is>
          <t>https://twitter.com/mavoie_org</t>
        </is>
      </c>
      <c r="AD184" t="inlineStr">
        <is>
          <t>https://www.linkedin.com/company/mavoie-org</t>
        </is>
      </c>
    </row>
    <row r="185" ht="12.5" customHeight="1">
      <c r="A185" s="6" t="n">
        <v>45181</v>
      </c>
      <c r="B185" s="1" t="inlineStr">
        <is>
          <t>ORG_2002</t>
        </is>
      </c>
      <c r="C185" s="1" t="b">
        <v>1</v>
      </c>
      <c r="D185" s="1" t="inlineStr">
        <is>
          <t>My Sales Academy</t>
        </is>
      </c>
      <c r="E185" s="10" t="inlineStr">
        <is>
          <t>https://mysalesacademy.fr/</t>
        </is>
      </c>
      <c r="F185" t="inlineStr">
        <is>
          <t>mysalesacademy.fr</t>
        </is>
      </c>
      <c r="G185" s="1" t="inlineStr">
        <is>
          <t>My Sales Academy is a French inclusive school promoting employability in the neighborhoods.
We train future salespeople to integrate them into the best start-ups</t>
        </is>
      </c>
      <c r="H185" s="1" t="inlineStr">
        <is>
          <t>EdTech France</t>
        </is>
      </c>
      <c r="J185" s="1" t="inlineStr">
        <is>
          <t>Lyon</t>
        </is>
      </c>
      <c r="K185" s="1" t="inlineStr">
        <is>
          <t>France</t>
        </is>
      </c>
      <c r="L185" s="1" t="inlineStr">
        <is>
          <t>France</t>
        </is>
      </c>
      <c r="M185" s="1" t="inlineStr">
        <is>
          <t>0 to 10</t>
        </is>
      </c>
      <c r="N185" s="1" t="inlineStr">
        <is>
          <t>Business to Business, Business to Consumer, Business to Government, Business to Schools</t>
        </is>
      </c>
      <c r="O185" s="1" t="inlineStr">
        <is>
          <t>Secondary Education, Higher Education, Corporate Training, Lifelong learning/Adult education</t>
        </is>
      </c>
      <c r="P185" s="1" t="inlineStr">
        <is>
          <t>System/Administrative, Student interfacing</t>
        </is>
      </c>
      <c r="Q185" t="inlineStr">
        <is>
          <t>My Sales Academy</t>
        </is>
      </c>
      <c r="R185" t="inlineStr">
        <is>
          <t>Inclusive training for the salespeople of tomorrow</t>
        </is>
      </c>
      <c r="S185" s="10" t="n"/>
      <c r="U185" s="1" t="n"/>
      <c r="V185" s="1" t="inlineStr">
        <is>
          <t>Unverified</t>
        </is>
      </c>
      <c r="Z185" s="1" t="n"/>
      <c r="AA185" t="inlineStr">
        <is>
          <t>Yes</t>
        </is>
      </c>
      <c r="AC185" t="inlineStr">
        <is>
          <t>https://www.linkedin.com/company/my-sales-academy-lyon/?viewAsMember=true</t>
        </is>
      </c>
      <c r="AD185" t="inlineStr">
        <is>
          <t>https://www.linkedin.com/company/my-sales-academy-lyon/?viewAsMember=true</t>
        </is>
      </c>
    </row>
    <row r="186" ht="12.5" customHeight="1">
      <c r="A186" s="6" t="n">
        <v>45181</v>
      </c>
      <c r="B186" s="1" t="inlineStr">
        <is>
          <t>ORG_2016</t>
        </is>
      </c>
      <c r="C186" s="1" t="b">
        <v>1</v>
      </c>
      <c r="D186" s="1" t="inlineStr">
        <is>
          <t>Nabook</t>
        </is>
      </c>
      <c r="E186" s="10" t="inlineStr">
        <is>
          <t>www.nabook.co</t>
        </is>
      </c>
      <c r="F186" t="inlineStr">
        <is>
          <t>nabook.co</t>
        </is>
      </c>
      <c r="G186" s="1" t="inlineStr">
        <is>
          <t>Nabook, the youth series to read!
Nabook is the 100% youth platform that turns screen time into reading time.
The application offers 7-14 year olds to discover +100 novels from publishing houses with a new reading experience.
The serial format, dialogue bubbles and seasonal events encourage children to read in their free time.
A dictionary ensures reader independence. All series are accessible to dyslexic readers.</t>
        </is>
      </c>
      <c r="H186" s="1" t="inlineStr">
        <is>
          <t>EdTech France</t>
        </is>
      </c>
      <c r="J186" s="1" t="inlineStr">
        <is>
          <t>CRETEIL</t>
        </is>
      </c>
      <c r="K186" s="1" t="inlineStr">
        <is>
          <t>France</t>
        </is>
      </c>
      <c r="L186" s="1" t="inlineStr">
        <is>
          <t>Belgium, France, Switzerland</t>
        </is>
      </c>
      <c r="M186" s="1" t="inlineStr">
        <is>
          <t>0 to 10</t>
        </is>
      </c>
      <c r="N186" s="1" t="inlineStr">
        <is>
          <t>Business to Business, Business to Consumer, Business to Government, Business to Schools</t>
        </is>
      </c>
      <c r="O186" s="1" t="inlineStr">
        <is>
          <t>Primary Education, Secondary Education</t>
        </is>
      </c>
      <c r="P186" s="1" t="inlineStr">
        <is>
          <t>System/Administrative, Student interfacing</t>
        </is>
      </c>
      <c r="Q186" s="10" t="inlineStr">
        <is>
          <t>Nabook_app</t>
        </is>
      </c>
      <c r="R186" s="10" t="inlineStr">
        <is>
          <t>Nabook, the youth series to read!
Nabook is the 100% youth platform that turns screen time into reading time.
The application offers 7-14 year olds to discover +100 novels from publishing houses with a new reading experience.
The serial format, dialogue bubbles and seasonal events encourage children to read in their free time.
A dictionary ensures reader independence. All series are accessible to dyslexic readers.</t>
        </is>
      </c>
      <c r="S186" s="10" t="inlineStr">
        <is>
          <t>https://drive.google.com/uc?export=view&amp;id=1e5U0t5OzR3bqBfXsaSt6nh_bprodcnuE</t>
        </is>
      </c>
      <c r="T186" t="inlineStr">
        <is>
          <t>https://drive.google.com/uc?export=view&amp;id=1e5U0t5OzR3bqBfXsaSt6nh_bprodcnuE</t>
        </is>
      </c>
      <c r="U186" s="1" t="inlineStr">
        <is>
          <t>https://drive.google.com/uc?export=view&amp;id=1e5U0t5OzR3bqBfXsaSt6nh_bprodcnuE</t>
        </is>
      </c>
      <c r="V186" s="1" t="inlineStr">
        <is>
          <t>Unverified</t>
        </is>
      </c>
      <c r="Y186" s="10" t="n"/>
      <c r="Z186" s="1" t="n"/>
      <c r="AA186" t="inlineStr">
        <is>
          <t>Yes</t>
        </is>
      </c>
      <c r="AB186" t="inlineStr">
        <is>
          <t>https://www.instagram.com/nabook_app</t>
        </is>
      </c>
      <c r="AC186" t="inlineStr">
        <is>
          <t>https://twitter.com/nabook_app</t>
        </is>
      </c>
      <c r="AD186" t="inlineStr">
        <is>
          <t>https://www.linkedin.com/company/14454529/</t>
        </is>
      </c>
    </row>
    <row r="187" ht="12.5" customHeight="1">
      <c r="A187" s="6" t="n">
        <v>45181</v>
      </c>
      <c r="B187" s="1" t="inlineStr">
        <is>
          <t>ORG_2128</t>
        </is>
      </c>
      <c r="C187" s="1" t="b">
        <v>1</v>
      </c>
      <c r="D187" s="1" t="inlineStr">
        <is>
          <t>PROPULSAR CYBER ACADEMIA</t>
        </is>
      </c>
      <c r="E187" s="10" t="inlineStr">
        <is>
          <t>https://ww.pro-pulsar.com</t>
        </is>
      </c>
      <c r="F187" t="inlineStr">
        <is>
          <t>ww.pro-pulsar.com</t>
        </is>
      </c>
      <c r="G187" s="1" t="inlineStr">
        <is>
          <t>Ambition. Propulsar's ambition is to protect the digital assets of companies and organisations by helping cybersecurity professionals to increase their skills in the workflow.
Problem. Cybersecurity teams lack the time to train.
Market opportunities: (1) a shortage of three million cybersecurity professionals worldwide and (2) building, attracting and retaining strong cybersecurity teams.
Client base. Mid-sized companies, large companies and the public sector.
Products. Online library of over 1200 video tutorials 27/7 and high value coaching in small groups (distance &amp; collaborative learning).
Marketing - Commercial. Three main pulls: unconventional launch, outbound sales and partnerships. One background action: international development.
Team. Luc Chrétien (founder and CEO), a digital developer, cybersecurity experts responsible for content and cybersecurity trainers-facilitators.
Financing. Bootstrapping then fundraising.</t>
        </is>
      </c>
      <c r="H187" s="1" t="inlineStr">
        <is>
          <t>I'm not part of any EdTech association</t>
        </is>
      </c>
      <c r="J187" s="1" t="inlineStr">
        <is>
          <t>LA CHAPELLE-SUR-ERDRE</t>
        </is>
      </c>
      <c r="K187" s="1" t="inlineStr">
        <is>
          <t>France</t>
        </is>
      </c>
      <c r="L187" s="1" t="inlineStr">
        <is>
          <t>France</t>
        </is>
      </c>
      <c r="M187" s="1" t="inlineStr">
        <is>
          <t>0 to 10</t>
        </is>
      </c>
      <c r="N187" s="1" t="inlineStr">
        <is>
          <t>Business to Business, Business to Consumer, Business to Schools</t>
        </is>
      </c>
      <c r="O187" s="1" t="inlineStr">
        <is>
          <t>Corporate Training</t>
        </is>
      </c>
      <c r="P187" s="1" t="inlineStr">
        <is>
          <t>System/Administrative</t>
        </is>
      </c>
      <c r="V187" t="inlineStr">
        <is>
          <t>Unverified</t>
        </is>
      </c>
      <c r="Z187" s="1" t="n"/>
      <c r="AA187" t="inlineStr">
        <is>
          <t>No</t>
        </is>
      </c>
    </row>
    <row r="188" ht="12.5" customHeight="1">
      <c r="A188" s="6" t="n">
        <v>45181</v>
      </c>
      <c r="B188" s="1" t="inlineStr">
        <is>
          <t>ORG_2131</t>
        </is>
      </c>
      <c r="C188" s="1" t="b">
        <v>1</v>
      </c>
      <c r="D188" s="1" t="inlineStr">
        <is>
          <t>Prosoon</t>
        </is>
      </c>
      <c r="E188" s="10" t="inlineStr">
        <is>
          <t>https://www.prosoon.eu</t>
        </is>
      </c>
      <c r="F188" t="inlineStr">
        <is>
          <t>prosoon.eu</t>
        </is>
      </c>
      <c r="G188" s="1" t="inlineStr">
        <is>
          <t>Prosoon is a web application leveraging blockchain technology for better training, employment and enabling equal opportunities. Our goal is to enable the fine-grained recognition of skills, academic achievements, experiences and qualifications, in a simple and confident way. The platform is geared toward educational institutions, students and alumnis as well as companies, to optimise recruiters tasks, by fighting against both diploma fraud, false resumes and discrimination in recruitment, through an anonymous CV with evidential value.</t>
        </is>
      </c>
      <c r="H188" s="1" t="inlineStr">
        <is>
          <t>EdTech France</t>
        </is>
      </c>
      <c r="J188" s="1" t="inlineStr">
        <is>
          <t>ILLKIRCH GRAFFENSTADEN</t>
        </is>
      </c>
      <c r="K188" s="1" t="inlineStr">
        <is>
          <t>France</t>
        </is>
      </c>
      <c r="L188" s="1" t="inlineStr">
        <is>
          <t>France, Luxembourg, Switzerland</t>
        </is>
      </c>
      <c r="M188" s="1" t="inlineStr">
        <is>
          <t>0 to 10</t>
        </is>
      </c>
      <c r="N188" s="1" t="inlineStr">
        <is>
          <t>Business to Business, Business to Consumer, Business to Schools</t>
        </is>
      </c>
      <c r="O188" s="1" t="inlineStr">
        <is>
          <t>Secondary Education, Higher Education, Corporate Training, Lifelong learning/Adult education</t>
        </is>
      </c>
      <c r="P188" s="1" t="inlineStr">
        <is>
          <t>Student interfacing, Teacher interfacing, System/Administrative</t>
        </is>
      </c>
      <c r="Q188" t="inlineStr">
        <is>
          <t>Prosoon</t>
        </is>
      </c>
      <c r="R188" t="inlineStr">
        <is>
          <t>Prosoon is a web application that allows training institutions and companies to issue, store, share and verify digital credentials corresponding to learning, academic and professional achievements of trainees and young graduates.
Based on SSI (Self Sovereign Identity) concept, the platform generates transaction between decentralized identifiers on different Blockchain Infrastructure, to make verifiable credentials tamper-proof, as well as to guarantee the digital sovereignty of our users.
The technological architecture is in line with international and European recommendations (W3C, EBSI / ESSIF)</t>
        </is>
      </c>
      <c r="S188" s="10" t="inlineStr">
        <is>
          <t>https://drive.google.com/uc?export=view&amp;id=124cnukxbkZeszRLLSs9MGjeT7Ld7q5qG</t>
        </is>
      </c>
      <c r="T188" t="inlineStr">
        <is>
          <t>https://drive.google.com/uc?export=view&amp;id=124cnukxbkZeszRLLSs9MGjeT7Ld7q5qG</t>
        </is>
      </c>
      <c r="U188" s="1" t="inlineStr">
        <is>
          <t>https://drive.google.com/uc?export=view&amp;id=124cnukxbkZeszRLLSs9MGjeT7Ld7q5qG</t>
        </is>
      </c>
      <c r="V188" s="1" t="inlineStr">
        <is>
          <t>Unverified</t>
        </is>
      </c>
      <c r="Y188" s="10" t="n"/>
      <c r="Z188" s="1" t="n"/>
      <c r="AA188" t="inlineStr">
        <is>
          <t>Yes</t>
        </is>
      </c>
      <c r="AC188" t="inlineStr">
        <is>
          <t>https://www.linkedin.com/company/prosoon/?viewAsMember=true</t>
        </is>
      </c>
      <c r="AD188" t="inlineStr">
        <is>
          <t>https://www.linkedin.com/company/prosoon/?viewAsMember=true</t>
        </is>
      </c>
    </row>
    <row r="189" ht="12.5" customHeight="1">
      <c r="A189" s="6" t="n">
        <v>45181</v>
      </c>
      <c r="B189" s="1" t="inlineStr">
        <is>
          <t>ORG_2250</t>
        </is>
      </c>
      <c r="C189" s="1" t="b">
        <v>1</v>
      </c>
      <c r="D189" s="1" t="inlineStr">
        <is>
          <t>Skilit</t>
        </is>
      </c>
      <c r="E189" s="10" t="inlineStr">
        <is>
          <t>https://skilit.io</t>
        </is>
      </c>
      <c r="F189" t="inlineStr">
        <is>
          <t>skilit.io</t>
        </is>
      </c>
      <c r="G189" s="1" t="inlineStr">
        <is>
          <t>Contextual semantic analyzer. 
Skilit allows you to visualise, from a behavioural model, the soft skills conveyed by a text and to compare texts between them (recruitment, team building, HR decision, orientation/re-orientation)</t>
        </is>
      </c>
      <c r="H189" s="1" t="inlineStr">
        <is>
          <t>EdTech France</t>
        </is>
      </c>
      <c r="J189" s="1" t="inlineStr">
        <is>
          <t>Ventabren</t>
        </is>
      </c>
      <c r="K189" s="1" t="inlineStr">
        <is>
          <t>France</t>
        </is>
      </c>
      <c r="L189" s="1" t="inlineStr">
        <is>
          <t>France, Netherlands</t>
        </is>
      </c>
      <c r="M189" s="1" t="inlineStr">
        <is>
          <t>0 to 10</t>
        </is>
      </c>
      <c r="N189" s="1" t="inlineStr">
        <is>
          <t>Business to Business, Business to Government</t>
        </is>
      </c>
      <c r="O189" s="1" t="inlineStr">
        <is>
          <t>Secondary Education, Higher Education, Corporate Training, Lifelong learning/Adult education</t>
        </is>
      </c>
      <c r="P189" s="1" t="inlineStr">
        <is>
          <t>Teacher interfacing, Student interfacing, System/Administrative</t>
        </is>
      </c>
      <c r="Q189" t="inlineStr">
        <is>
          <t>Skilit</t>
        </is>
      </c>
      <c r="R189" t="inlineStr">
        <is>
          <t>Skilit allows you to visualise, from a behavioural model, the soft skills conveyed by a text and to compare texts between them (recruitment, team building, HR decision, orientation/re-orientation)</t>
        </is>
      </c>
      <c r="S189" s="10" t="inlineStr">
        <is>
          <t>https://drive.google.com/uc?export=view&amp;id=1KKddj_0VgeVWOzVFYEHLzraeeOjynugb</t>
        </is>
      </c>
      <c r="T189" t="inlineStr">
        <is>
          <t>https://drive.google.com/uc?export=view&amp;id=1KKddj_0VgeVWOzVFYEHLzraeeOjynugb</t>
        </is>
      </c>
      <c r="U189" s="1" t="inlineStr">
        <is>
          <t>https://drive.google.com/uc?export=view&amp;id=1KKddj_0VgeVWOzVFYEHLzraeeOjynugb</t>
        </is>
      </c>
      <c r="V189" s="1" t="inlineStr">
        <is>
          <t>Unverified</t>
        </is>
      </c>
      <c r="Y189" s="10" t="n"/>
      <c r="Z189" s="1" t="n"/>
      <c r="AA189" t="inlineStr">
        <is>
          <t>Yes</t>
        </is>
      </c>
      <c r="AC189" t="inlineStr">
        <is>
          <t>https://www.linkedin.com/company/skilit-io</t>
        </is>
      </c>
      <c r="AD189" t="inlineStr">
        <is>
          <t>https://www.linkedin.com/company/skilit-io</t>
        </is>
      </c>
    </row>
    <row r="190" ht="12.5" customHeight="1">
      <c r="A190" s="6" t="n">
        <v>45181</v>
      </c>
      <c r="B190" s="1" t="inlineStr">
        <is>
          <t>ORG_2263</t>
        </is>
      </c>
      <c r="C190" s="1" t="b">
        <v>1</v>
      </c>
      <c r="D190" s="1" t="inlineStr">
        <is>
          <t>Skilmi</t>
        </is>
      </c>
      <c r="E190" s="10" t="inlineStr">
        <is>
          <t>https://www.skilmi.fr/</t>
        </is>
      </c>
      <c r="F190" t="inlineStr">
        <is>
          <t>skilmi.fr</t>
        </is>
      </c>
      <c r="G190" s="1" t="inlineStr">
        <is>
          <t>Skilmi is a peer-to-peer training platform to get skills by video live from the best experts so you can thrive your projects. 
We help you get unstuck in your projects and tools management through 100 % customized trainings &amp; digital coachings. These are live, on-the-job and pay-as-you-go. Our focus : digital marketing, data &amp; AI</t>
        </is>
      </c>
      <c r="H190" s="1" t="inlineStr">
        <is>
          <t>EdTech France</t>
        </is>
      </c>
      <c r="J190" s="1" t="inlineStr">
        <is>
          <t>PARIS</t>
        </is>
      </c>
      <c r="K190" s="1" t="inlineStr">
        <is>
          <t>France</t>
        </is>
      </c>
      <c r="L190" s="1" t="inlineStr">
        <is>
          <t>France</t>
        </is>
      </c>
      <c r="M190" s="1" t="inlineStr">
        <is>
          <t>0 to 10</t>
        </is>
      </c>
      <c r="N190" s="1" t="inlineStr">
        <is>
          <t>Business to Business, Business to Government</t>
        </is>
      </c>
      <c r="O190" s="1" t="inlineStr">
        <is>
          <t>Corporate Training, Lifelong learning/Adult education</t>
        </is>
      </c>
      <c r="P190" s="1" t="inlineStr">
        <is>
          <t>Teacher interfacing, Student interfacing, System/Administrative</t>
        </is>
      </c>
      <c r="Q190" s="10" t="inlineStr">
        <is>
          <t>Skilmi</t>
        </is>
      </c>
      <c r="R190" s="10" t="inlineStr">
        <is>
          <t>Skilmi is a skills marketplace which connects the best experts professionals and trainers available to share skills and know-hows, with learners expecting to upskill so they can thrive their projects.
We believe it’s better to train 30 minutes a week than one week a year: so our model is based on micro-skills. 
We believe learning by doing is the best way to empower active skills: so we choose on-the-job learning by visio.</t>
        </is>
      </c>
      <c r="S190" s="10" t="inlineStr">
        <is>
          <t>Skilbiz</t>
        </is>
      </c>
      <c r="T190" t="inlineStr">
        <is>
          <t>Skilbiz provides the Skilmi platform as a white label for corporates which expect to create their own skills marketplace so they can retain and upskill talents. 
Skilbiz customization includes the creation of you own pool of talents, experts and alumni related to your industry, your specific topics and tools. Also the platform includes data analytics to better track skills supply and demand for your own teams as well as for your users.</t>
        </is>
      </c>
      <c r="U190" s="1" t="inlineStr">
        <is>
          <t>https://drive.google.com/uc?export=view&amp;id=1BBWOQ1HPN0JNV9lOFCbdkCjDTOcjaGAJ</t>
        </is>
      </c>
      <c r="V190" s="1" t="inlineStr">
        <is>
          <t>Unverified</t>
        </is>
      </c>
      <c r="W190" s="1" t="inlineStr">
        <is>
          <t>https://drive.google.com/uc?export=view&amp;id=1BBWOQ1HPN0JNV9lOFCbdkCjDTOcjaGAJ</t>
        </is>
      </c>
      <c r="X190" s="1" t="n"/>
      <c r="Y190" s="10" t="n"/>
      <c r="Z190" s="1" t="n"/>
      <c r="AA190" t="inlineStr">
        <is>
          <t>Yes</t>
        </is>
      </c>
      <c r="AB190" t="inlineStr">
        <is>
          <t>https://www.instagram.com/skilmi.fr/</t>
        </is>
      </c>
      <c r="AC190" t="inlineStr">
        <is>
          <t>https://twitter.com/skilmi_fr</t>
        </is>
      </c>
      <c r="AD190" t="inlineStr">
        <is>
          <t>https://www.linkedin.com/company/skilmi/?viewAsMember=true</t>
        </is>
      </c>
    </row>
    <row r="191" ht="12.5" customHeight="1">
      <c r="A191" s="6" t="n">
        <v>45181</v>
      </c>
      <c r="B191" s="1" t="inlineStr">
        <is>
          <t>ORG_2304</t>
        </is>
      </c>
      <c r="C191" s="1" t="b">
        <v>1</v>
      </c>
      <c r="D191" s="1" t="inlineStr">
        <is>
          <t>SPARTED</t>
        </is>
      </c>
      <c r="E191" s="10" t="inlineStr">
        <is>
          <t>https://www.sparted.com/</t>
        </is>
      </c>
      <c r="F191" t="inlineStr">
        <is>
          <t>sparted.com</t>
        </is>
      </c>
      <c r="G191" s="1" t="inlineStr">
        <is>
          <t>SPARTED is THE French mobile learning solution designed to boost agility and performance of your teams. Our SaaS solution helps organisations reach and engage their employees with the right knowledge at the right time through a 3 minute-per-day game-based social experience.</t>
        </is>
      </c>
      <c r="H191" s="1" t="inlineStr">
        <is>
          <t>I'm not part of any EdTech association</t>
        </is>
      </c>
      <c r="J191" s="1" t="inlineStr">
        <is>
          <t>Paris</t>
        </is>
      </c>
      <c r="K191" s="1" t="inlineStr">
        <is>
          <t>France</t>
        </is>
      </c>
      <c r="L191" s="1" t="inlineStr">
        <is>
          <t>Belgium, Czechia, France, Germany, Hungary, Italy, Luxembourg, Netherlands, Norway, Poland, Portugal, Romania, Spain, Sweden, Switzerland, United Kingdom</t>
        </is>
      </c>
      <c r="M191" s="1" t="inlineStr">
        <is>
          <t>11 to 50</t>
        </is>
      </c>
      <c r="N191" s="1" t="inlineStr">
        <is>
          <t>Business to Business, Business to Government, Business to Schools</t>
        </is>
      </c>
      <c r="O191" s="1" t="inlineStr">
        <is>
          <t>Corporate Training</t>
        </is>
      </c>
      <c r="P191" s="1" t="inlineStr">
        <is>
          <t>Student interfacing, System/Administrative</t>
        </is>
      </c>
      <c r="S191" t="inlineStr">
        <is>
          <t>https://drive.google.com/uc?export=view&amp;id=1OUPEQEnOoA0u_eX_5n8RNxiV2t-juSp8</t>
        </is>
      </c>
      <c r="T191" t="inlineStr">
        <is>
          <t>https://drive.google.com/uc?export=view&amp;id=1OUPEQEnOoA0u_eX_5n8RNxiV2t-juSp8</t>
        </is>
      </c>
      <c r="U191" t="inlineStr">
        <is>
          <t>https://drive.google.com/uc?export=view&amp;id=1OUPEQEnOoA0u_eX_5n8RNxiV2t-juSp8</t>
        </is>
      </c>
      <c r="V191" t="inlineStr">
        <is>
          <t>Unverified</t>
        </is>
      </c>
      <c r="Y191" s="10" t="n"/>
      <c r="Z191" s="1" t="n"/>
      <c r="AA191" t="inlineStr">
        <is>
          <t>No</t>
        </is>
      </c>
    </row>
    <row r="192" ht="12.5" customHeight="1">
      <c r="A192" s="6" t="n">
        <v>45181</v>
      </c>
      <c r="B192" s="1" t="inlineStr">
        <is>
          <t>ORG_2356</t>
        </is>
      </c>
      <c r="C192" s="1" t="b">
        <v>1</v>
      </c>
      <c r="D192" s="1" t="inlineStr">
        <is>
          <t>Sylex</t>
        </is>
      </c>
      <c r="E192" s="10" t="inlineStr">
        <is>
          <t>https://sylexapp.com</t>
        </is>
      </c>
      <c r="F192" t="inlineStr">
        <is>
          <t>sylexapp.com</t>
        </is>
      </c>
      <c r="G192" s="1" t="inlineStr">
        <is>
          <t>A safe, positive and gamified sex education platform for teens</t>
        </is>
      </c>
      <c r="H192" s="1" t="inlineStr">
        <is>
          <t>EdTech France</t>
        </is>
      </c>
      <c r="J192" s="1" t="inlineStr">
        <is>
          <t>PARIS</t>
        </is>
      </c>
      <c r="K192" s="1" t="inlineStr">
        <is>
          <t>France</t>
        </is>
      </c>
      <c r="L192" s="1" t="inlineStr">
        <is>
          <t>Belgium, France, Luxembourg, Monaco</t>
        </is>
      </c>
      <c r="M192" s="1" t="inlineStr">
        <is>
          <t>0 to 10</t>
        </is>
      </c>
      <c r="N192" s="1" t="inlineStr">
        <is>
          <t>Business to Business, Business to Government, Business to Schools</t>
        </is>
      </c>
      <c r="O192" s="1" t="inlineStr">
        <is>
          <t>Secondary Education</t>
        </is>
      </c>
      <c r="P192" s="1" t="inlineStr">
        <is>
          <t>System/Administrative, Student interfacing, Teacher interfacing</t>
        </is>
      </c>
      <c r="Q192" s="10" t="inlineStr">
        <is>
          <t>Sylex</t>
        </is>
      </c>
      <c r="R192" s="10" t="inlineStr">
        <is>
          <t>Through short videos and games, teens find the answer to all the questions they don't dare to ask, and learn points according to their learnings.</t>
        </is>
      </c>
      <c r="S192" s="10" t="inlineStr">
        <is>
          <t>https://drive.google.com/uc?export=view&amp;id=1Uo900LSpwcy0Z-vbp6zejgdb6llCdtqJ</t>
        </is>
      </c>
      <c r="T192" t="inlineStr">
        <is>
          <t>https://drive.google.com/uc?export=view&amp;id=1Uo900LSpwcy0Z-vbp6zejgdb6llCdtqJ</t>
        </is>
      </c>
      <c r="U192" s="1" t="inlineStr">
        <is>
          <t>https://drive.google.com/uc?export=view&amp;id=1Uo900LSpwcy0Z-vbp6zejgdb6llCdtqJ</t>
        </is>
      </c>
      <c r="V192" s="1" t="inlineStr">
        <is>
          <t>Unverified</t>
        </is>
      </c>
      <c r="Y192" s="10" t="n"/>
      <c r="Z192" s="1" t="n"/>
      <c r="AA192" t="inlineStr">
        <is>
          <t>Yes</t>
        </is>
      </c>
      <c r="AB192" t="inlineStr">
        <is>
          <t>https://www.instagram.com/sylexapp/</t>
        </is>
      </c>
      <c r="AC192" t="inlineStr">
        <is>
          <t>https://twitter.com/sylexapp</t>
        </is>
      </c>
      <c r="AD192" t="inlineStr">
        <is>
          <t>https://www.linkedin.com/company/76330568</t>
        </is>
      </c>
    </row>
    <row r="193" ht="12.5" customHeight="1">
      <c r="A193" s="6" t="n">
        <v>45181</v>
      </c>
      <c r="B193" s="1" t="inlineStr">
        <is>
          <t>ORG_2365</t>
        </is>
      </c>
      <c r="C193" s="1" t="b">
        <v>1</v>
      </c>
      <c r="D193" s="1" t="inlineStr">
        <is>
          <t>Takk</t>
        </is>
      </c>
      <c r="E193" s="10" t="inlineStr">
        <is>
          <t>https://takk.app/</t>
        </is>
      </c>
      <c r="F193" t="inlineStr">
        <is>
          <t>takk.app</t>
        </is>
      </c>
      <c r="G193" s="1" t="inlineStr">
        <is>
          <t>takk is an administrative management saas for training companies. takk makes it easy to plan training sessions and generate automatically all the administrative documentation via a certified electronic signature process. 
Save 1 hour per participant with takk, the software that automates the administratives tasks of your training organization. 
Be sure to pay the right price with our pay-as-you-go system.</t>
        </is>
      </c>
      <c r="H193" s="1" t="inlineStr">
        <is>
          <t>I'm not part of any EdTech association</t>
        </is>
      </c>
      <c r="J193" s="1" t="inlineStr">
        <is>
          <t>Nogent-sur-Marne</t>
        </is>
      </c>
      <c r="K193" s="1" t="inlineStr">
        <is>
          <t>France</t>
        </is>
      </c>
      <c r="L193" s="1" t="inlineStr">
        <is>
          <t>France</t>
        </is>
      </c>
      <c r="M193" s="1" t="inlineStr">
        <is>
          <t>0 to 10</t>
        </is>
      </c>
      <c r="N193" s="1" t="inlineStr">
        <is>
          <t>Business to Business, Business to Schools</t>
        </is>
      </c>
      <c r="O193" s="1" t="inlineStr">
        <is>
          <t>Higher Education, Corporate Training, Lifelong learning/Adult education</t>
        </is>
      </c>
      <c r="P193" s="1" t="inlineStr">
        <is>
          <t>Teacher interfacing, System/Administrative</t>
        </is>
      </c>
      <c r="S193" t="inlineStr">
        <is>
          <t>https://drive.google.com/uc?export=view&amp;id=15CsNMUfypfn7y2BlBmahS1h7EhY_wi13</t>
        </is>
      </c>
      <c r="T193" t="inlineStr">
        <is>
          <t>https://drive.google.com/uc?export=view&amp;id=15CsNMUfypfn7y2BlBmahS1h7EhY_wi13</t>
        </is>
      </c>
      <c r="U193" t="inlineStr">
        <is>
          <t>https://drive.google.com/uc?export=view&amp;id=15CsNMUfypfn7y2BlBmahS1h7EhY_wi13</t>
        </is>
      </c>
      <c r="V193" t="inlineStr">
        <is>
          <t>Unverified</t>
        </is>
      </c>
      <c r="Y193" s="10" t="n"/>
      <c r="Z193" s="1" t="n"/>
      <c r="AA193" t="inlineStr">
        <is>
          <t>No</t>
        </is>
      </c>
    </row>
    <row r="194" ht="12.5" customHeight="1">
      <c r="A194" s="6" t="n">
        <v>45181</v>
      </c>
      <c r="B194" s="1" t="inlineStr">
        <is>
          <t>ORG_2378</t>
        </is>
      </c>
      <c r="C194" s="1" t="b">
        <v>1</v>
      </c>
      <c r="D194" s="1" t="inlineStr">
        <is>
          <t>Tech Kids Academy</t>
        </is>
      </c>
      <c r="E194" s="10" t="inlineStr">
        <is>
          <t>techkidsacademy.com</t>
        </is>
      </c>
      <c r="F194" t="inlineStr">
        <is>
          <t>techkidsacademy.com</t>
        </is>
      </c>
      <c r="G194" s="1" t="inlineStr">
        <is>
          <t>Tech Kids Academy, created in 2014, is a digital academy for kids age 5 to 17 years old. It's an after-school program where children learn coding (Scratch, Python, C#), robotics (Lego, Ozobot, JD), electronics (LittleBits, MicroBit, Arduino) and design (Piskel, 3DSlash, Blender), either on a weekly basis or during the holidays. 
Tech Kids Academy is located in France and has 3 academies: Paris 15th, St-Germain-En-Laye and Levallois. Our weekly workshops are organized by group of age and level (beginner, intermediate and confirmed), and are available in French and English. 
We also offer online courses and virtual classes with iTech Campus. 🚀 
Register online for our free trial sessions, weekly workshops or holiday camps! 
Come and reveal your talents! 🤩</t>
        </is>
      </c>
      <c r="H194" s="1" t="inlineStr">
        <is>
          <t>EdTech France</t>
        </is>
      </c>
      <c r="J194" s="1" t="inlineStr">
        <is>
          <t>PARIS</t>
        </is>
      </c>
      <c r="K194" s="1" t="inlineStr">
        <is>
          <t>France</t>
        </is>
      </c>
      <c r="L194" s="1" t="inlineStr">
        <is>
          <t>France</t>
        </is>
      </c>
      <c r="M194" s="1" t="inlineStr">
        <is>
          <t>0 to 10</t>
        </is>
      </c>
      <c r="N194" s="1" t="inlineStr">
        <is>
          <t>Business to Business, Business to Schools</t>
        </is>
      </c>
      <c r="O194" s="1" t="inlineStr">
        <is>
          <t>Primary Education, Secondary Education, Higher Education</t>
        </is>
      </c>
      <c r="P194" s="1" t="inlineStr">
        <is>
          <t>System/Administrative, Student interfacing, Teacher interfacing</t>
        </is>
      </c>
      <c r="Q194" s="10" t="inlineStr">
        <is>
          <t>Weekly workshops</t>
        </is>
      </c>
      <c r="R194" s="10" t="inlineStr">
        <is>
          <t>Weekly workshops for kids &amp; teens (5-17 yo):
- 27 workshops of 1h30 during school year
- One workshop per week (on Tuesday, Wednesday, Thursday or Saturday)
- Learning coding, robotics, electronics and design
- By age group (7-9 yo, 10-14 yo, 13-17 yo)
- By level (beginner, intermediate, confirmed)
- In French or in English
- In Paris 15th, St-Germain-En-Laye or Levallois-Perret (France)</t>
        </is>
      </c>
      <c r="S194" s="10" t="inlineStr">
        <is>
          <t>Holiday camps</t>
        </is>
      </c>
      <c r="T194" t="inlineStr">
        <is>
          <t>Holiday camps for kids &amp; teens (7-17 yo):
- Learning coding (Scratch, Python, C#), robotics (Lego, Ozobot, JD) and design (Piskel, Blender, 3DSlash)
- By age group (7-10 yo, 11-14 yo, 14-17 yo)
- In French or in English
- In Paris 15th, St-Germain-En-Laye or Levallois-Perret (France)</t>
        </is>
      </c>
      <c r="U194" s="1" t="inlineStr">
        <is>
          <t>https://drive.google.com/uc?export=view&amp;id=1Te0XaUR4-3wgcmPhqlAwtClFPBJ2cNMn</t>
        </is>
      </c>
      <c r="V194" s="1" t="inlineStr">
        <is>
          <t>Unverified</t>
        </is>
      </c>
      <c r="W194" s="1" t="inlineStr">
        <is>
          <t>https://drive.google.com/uc?export=view&amp;id=1Te0XaUR4-3wgcmPhqlAwtClFPBJ2cNMn</t>
        </is>
      </c>
      <c r="X194" s="1" t="n"/>
      <c r="Y194" s="10" t="n"/>
      <c r="Z194" s="1" t="n"/>
      <c r="AA194" t="inlineStr">
        <is>
          <t>Yes</t>
        </is>
      </c>
      <c r="AB194" t="inlineStr">
        <is>
          <t>https://www.instagram.com/techkidsacademy/</t>
        </is>
      </c>
      <c r="AC194" t="inlineStr">
        <is>
          <t>https://twitter.com/techkidsacademy</t>
        </is>
      </c>
      <c r="AD194" t="inlineStr">
        <is>
          <t>https://www.linkedin.com/company/45964857/</t>
        </is>
      </c>
    </row>
    <row r="195" ht="12.5" customHeight="1">
      <c r="A195" s="6" t="n">
        <v>45181</v>
      </c>
      <c r="B195" s="1" t="inlineStr">
        <is>
          <t>ORG_2390</t>
        </is>
      </c>
      <c r="C195" s="1" t="b">
        <v>1</v>
      </c>
      <c r="D195" s="1" t="inlineStr">
        <is>
          <t>TestWe</t>
        </is>
      </c>
      <c r="E195" s="10" t="inlineStr">
        <is>
          <t>https://testwe.eu/en/</t>
        </is>
      </c>
      <c r="F195" t="inlineStr">
        <is>
          <t>testwe.eu/en</t>
        </is>
      </c>
      <c r="G195" s="1" t="inlineStr">
        <is>
          <t>TestWe offers an online exam platform for both in-class and remote exam sessions. Administer very easily your sessions from your interface or from TestWe's platform with or without invigilation, the choice is in your hands.</t>
        </is>
      </c>
      <c r="H195" s="1" t="inlineStr">
        <is>
          <t>AFINEF, EdTech France</t>
        </is>
      </c>
      <c r="I195" s="1" t="inlineStr">
        <is>
          <t>French, English, Spanish, Portuguese, Italian, Dutch</t>
        </is>
      </c>
      <c r="J195" s="1" t="inlineStr">
        <is>
          <t>Paris</t>
        </is>
      </c>
      <c r="K195" s="1" t="inlineStr">
        <is>
          <t>France</t>
        </is>
      </c>
      <c r="L195" s="1" t="inlineStr">
        <is>
          <t>Belgium, France, Germany, Italy, Luxembourg, Monaco, Netherlands, Portugal, Spain, Switzerland</t>
        </is>
      </c>
      <c r="M195" s="1" t="inlineStr">
        <is>
          <t>11 to 50</t>
        </is>
      </c>
      <c r="N195" s="1" t="inlineStr">
        <is>
          <t>Business to Business, Business to Schools</t>
        </is>
      </c>
      <c r="O195" s="1" t="inlineStr">
        <is>
          <t>Secondary Education, Corporate Training, Lifelong learning/Adult education, Vocational Education and Training (VET), Higher Education</t>
        </is>
      </c>
      <c r="P195" s="1" t="inlineStr">
        <is>
          <t>Teacher interfacing, System/Administrative</t>
        </is>
      </c>
      <c r="Q195" s="10" t="inlineStr">
        <is>
          <t>TestWe</t>
        </is>
      </c>
      <c r="R195" s="10" t="inlineStr">
        <is>
          <t>TestWe is a powerful exam builder platform to create, manage, grade and share exams whatever the type of questions (mcq, ucq, true/false, open ended, close ended, drop down, ...) and whatever the type of attached documents (pdf, img, mp3, gif, ...).
Ready to use and easy to use.</t>
        </is>
      </c>
      <c r="S195" s="10" t="inlineStr">
        <is>
          <t>ProctorWe</t>
        </is>
      </c>
      <c r="T195" t="inlineStr">
        <is>
          <t>ProctorWe is remote invigilation solution for both live and recorded sessions. It brings flexibility, integrity and security to online tests.</t>
        </is>
      </c>
      <c r="U195" s="1" t="inlineStr">
        <is>
          <t>https://drive.google.com/uc?export=view&amp;id=1iEVw_HadK7sPYKIj1otl8chfgGpbuiFV</t>
        </is>
      </c>
      <c r="V195" s="1" t="inlineStr">
        <is>
          <t>Unverified</t>
        </is>
      </c>
      <c r="W195" s="1" t="inlineStr">
        <is>
          <t>https://drive.google.com/uc?export=view&amp;id=1iEVw_HadK7sPYKIj1otl8chfgGpbuiFV</t>
        </is>
      </c>
      <c r="X195" s="1" t="n"/>
      <c r="Y195" s="10" t="n"/>
      <c r="Z195" s="1" t="n"/>
      <c r="AA195" t="inlineStr">
        <is>
          <t>Yes</t>
        </is>
      </c>
      <c r="AB195" t="inlineStr">
        <is>
          <t>https://www.instagram.com/testwe_eu/</t>
        </is>
      </c>
      <c r="AC195" t="inlineStr">
        <is>
          <t>https://twitter.com/testwe_eu</t>
        </is>
      </c>
      <c r="AD195" t="inlineStr">
        <is>
          <t>https://www.linkedin.com/company/testwe</t>
        </is>
      </c>
    </row>
    <row r="196" ht="12.5" customHeight="1">
      <c r="A196" s="6" t="n">
        <v>45181</v>
      </c>
      <c r="B196" s="1" t="inlineStr">
        <is>
          <t>ORG_2424</t>
        </is>
      </c>
      <c r="C196" s="1" t="b">
        <v>1</v>
      </c>
      <c r="D196" s="1" t="inlineStr">
        <is>
          <t>Tosa Certifications</t>
        </is>
      </c>
      <c r="E196" s="10" t="inlineStr">
        <is>
          <t>https://www.tosa.org/EN/index</t>
        </is>
      </c>
      <c r="F196" t="inlineStr">
        <is>
          <t>tosa.org/en/index</t>
        </is>
      </c>
      <c r="G196" s="1" t="inlineStr">
        <is>
          <t>Providing meaningful outcomes for students is important. Isograd’s Tosa certifications are the standard in higher education for validating students’ digital skills. Schools and Universities can offer certifications for Google Workspace, Microsoft Office, digital literacy, cyber responsibility, Python, Adobe Creative Cloud and more. 
Tosa’s industry approved certifications for digital skills can be used as part of Teacher's roadmap to innovate and transform their courses.</t>
        </is>
      </c>
      <c r="H196" s="1" t="inlineStr">
        <is>
          <t>AFINEF, EdTech France</t>
        </is>
      </c>
      <c r="J196" s="1" t="inlineStr">
        <is>
          <t>Paris</t>
        </is>
      </c>
      <c r="K196" s="1" t="inlineStr">
        <is>
          <t>France</t>
        </is>
      </c>
      <c r="L196" s="1" t="inlineStr">
        <is>
          <t>Belgium, France, Germany, Ireland, Italy, Luxembourg, Monaco, Netherlands, Spain, Switzerland, United Kingdom</t>
        </is>
      </c>
      <c r="M196" s="1" t="inlineStr">
        <is>
          <t>11 to 50</t>
        </is>
      </c>
      <c r="N196" s="1" t="inlineStr">
        <is>
          <t>Business to Consumer, Business to Government, Business to Schools</t>
        </is>
      </c>
      <c r="O196" s="1" t="inlineStr">
        <is>
          <t>Higher Education, Corporate Training, Lifelong learning/Adult education</t>
        </is>
      </c>
      <c r="P196" s="1" t="inlineStr">
        <is>
          <t>Student interfacing, Teacher interfacing, System/Administrative</t>
        </is>
      </c>
      <c r="Q196" t="inlineStr">
        <is>
          <t>Tosa Desktop</t>
        </is>
      </c>
      <c r="R196" t="inlineStr">
        <is>
          <t>Tosa Desktop offers assessment and certification tests on in-demand office automation skills.</t>
        </is>
      </c>
      <c r="S196" s="10" t="inlineStr">
        <is>
          <t>Tosa Digital</t>
        </is>
      </c>
      <c r="T196" t="inlineStr">
        <is>
          <t>Our Tosa Digital offering assess and certify digital literacy (DigComp) or end-user cyber responsibility skills.</t>
        </is>
      </c>
      <c r="U196" s="1" t="inlineStr">
        <is>
          <t>https://drive.google.com/uc?export=view&amp;id=16TJ0KiiE1Fu1-OeWrfghjROa8pbt_KKG</t>
        </is>
      </c>
      <c r="V196" s="1" t="inlineStr">
        <is>
          <t>Unverified</t>
        </is>
      </c>
      <c r="W196" s="1" t="inlineStr">
        <is>
          <t>https://drive.google.com/uc?export=view&amp;id=16TJ0KiiE1Fu1-OeWrfghjROa8pbt_KKG</t>
        </is>
      </c>
      <c r="X196" s="1" t="n"/>
      <c r="Y196" s="10" t="n"/>
      <c r="Z196" s="1" t="n"/>
      <c r="AA196" t="inlineStr">
        <is>
          <t>Yes</t>
        </is>
      </c>
      <c r="AC196" t="inlineStr">
        <is>
          <t>https://www.linkedin.com/company/tosacertifications/</t>
        </is>
      </c>
      <c r="AD196" t="inlineStr">
        <is>
          <t>https://www.linkedin.com/company/tosacertifications/</t>
        </is>
      </c>
    </row>
    <row r="197" ht="12.5" customHeight="1">
      <c r="A197" s="6" t="n">
        <v>45181</v>
      </c>
      <c r="B197" s="1" t="inlineStr">
        <is>
          <t>ORG_2469</t>
        </is>
      </c>
      <c r="C197" s="1" t="b">
        <v>1</v>
      </c>
      <c r="D197" s="1" t="inlineStr">
        <is>
          <t>Unly</t>
        </is>
      </c>
      <c r="E197" s="10" t="inlineStr">
        <is>
          <t>https://unly.org/</t>
        </is>
      </c>
      <c r="F197" t="inlineStr">
        <is>
          <t>unly.org</t>
        </is>
      </c>
      <c r="G197" s="1" t="inlineStr">
        <is>
          <t>Unly is a socially responsible company, fighting inequality and facilitating access to higher education. Unly is committed to making education more inclusive, through responsible funding for students.
Unly is powering Propulseo, a program led by an association, whose goal is to identify and help students with high potential.
👉 https://propulseo.unly.org/
👉 https://femmes-dans-la-tech.propulseo.unly.org/
We also provide technological solutions to help students find the necessary funding for their studies.
👉 https://solidarity.unly.org/
We proudly participate in many TechForGood initiatives and regularly engage as part of open-source software initiatives.
👉 https://github.com/UnlyEd/</t>
        </is>
      </c>
      <c r="H197" s="1" t="inlineStr">
        <is>
          <t>EdTech France</t>
        </is>
      </c>
      <c r="J197" s="1" t="inlineStr">
        <is>
          <t>LYON</t>
        </is>
      </c>
      <c r="K197" s="1" t="inlineStr">
        <is>
          <t>France</t>
        </is>
      </c>
      <c r="L197" s="1" t="inlineStr">
        <is>
          <t>France</t>
        </is>
      </c>
      <c r="M197" s="1" t="inlineStr">
        <is>
          <t>0 to 10</t>
        </is>
      </c>
      <c r="N197" s="1" t="inlineStr">
        <is>
          <t>Business to Consumer, Business to Government, Business to Schools</t>
        </is>
      </c>
      <c r="O197" s="1" t="inlineStr">
        <is>
          <t>Higher Education</t>
        </is>
      </c>
      <c r="P197" s="1" t="inlineStr">
        <is>
          <t>System/Administrative, Student interfacing</t>
        </is>
      </c>
      <c r="Q197" s="10" t="inlineStr">
        <is>
          <t>Propulseo</t>
        </is>
      </c>
      <c r="R197" s="10" t="inlineStr">
        <is>
          <t>Propulseo supports higher education students and acts to prevent financial difficulties, school dropout out and unequal access to education.
Propulseo identifies talented students and provides them with a scholarship and one-year mentorship program. These resources are provided by partner companies, committed to supporting equal opportunities for all students. 
In 2021, Propulseo raised 100 000 € and supported 30 students.
👉 https://propulseo.unly.org/</t>
        </is>
      </c>
      <c r="S197" s="10" t="inlineStr">
        <is>
          <t>The Funding Place</t>
        </is>
      </c>
      <c r="T197" t="inlineStr">
        <is>
          <t>TFP is a white labeled platform where students, parents and prospects can find all financing solutions that apply for their personal situation.
For schools, TFP helps convert prospects into enrolled students by providing an early answer to the finance-related questions.
It also helps to save time, by providing a web-accessible way for students to find solutions by themselves, without bothering your staff.
It also provides with advices and a loan calculator.
This product is mainly used by higher education institutions. A few examples:
- https://financial-advisor.grenoble-em.com/en
- https://financer-mes-etudes.em-normandie.com/en</t>
        </is>
      </c>
      <c r="U197" s="1" t="inlineStr">
        <is>
          <t>https://drive.google.com/uc?export=view&amp;id=1xliyHvm-rirbaW4SkkXooG2ouNpBrCl0</t>
        </is>
      </c>
      <c r="V197" s="1" t="inlineStr">
        <is>
          <t>Unverified</t>
        </is>
      </c>
      <c r="W197" s="1" t="inlineStr">
        <is>
          <t>https://drive.google.com/uc?export=view&amp;id=1xliyHvm-rirbaW4SkkXooG2ouNpBrCl0</t>
        </is>
      </c>
      <c r="X197" s="1" t="n"/>
      <c r="Y197" s="10" t="n"/>
      <c r="Z197" s="1" t="n"/>
      <c r="AA197" t="inlineStr">
        <is>
          <t>Yes</t>
        </is>
      </c>
      <c r="AB197" t="inlineStr">
        <is>
          <t>https://www.instagram.com/propulseo/</t>
        </is>
      </c>
      <c r="AC197" t="inlineStr">
        <is>
          <t>https://twitter.com/unlyed</t>
        </is>
      </c>
      <c r="AD197" t="inlineStr">
        <is>
          <t>https://www.linkedin.com/company/unly/</t>
        </is>
      </c>
    </row>
    <row r="198" ht="12.5" customHeight="1">
      <c r="A198" s="6" t="n">
        <v>45181</v>
      </c>
      <c r="B198" s="1" t="inlineStr">
        <is>
          <t>ORG_2474</t>
        </is>
      </c>
      <c r="C198" s="1" t="b">
        <v>1</v>
      </c>
      <c r="D198" s="1" t="inlineStr">
        <is>
          <t>Upskyld</t>
        </is>
      </c>
      <c r="E198" s="10" t="inlineStr">
        <is>
          <t>upskyld.com</t>
        </is>
      </c>
      <c r="F198" t="inlineStr">
        <is>
          <t>upskyld.com</t>
        </is>
      </c>
      <c r="G198" s="1" t="inlineStr">
        <is>
          <t>According to Forbes over 70% of employees are concerned that they might lose their job to AI … due to a lack of knowledge.
Keeping up to date, to understand and leverage fast moving topics is a losing battle for employees’ time and attention. 
Without constant upskilling, make no mistake, a company's competitive edge will fade into oblivion as the market races with unstoppable force.
Upskyld unlocks the potential of podcasts, using AI to provide a personalized learning experience to lead in highly competitive markets.
We provide accurate reporting, effective tracking of learning progress, essential to maintain and enhance professionals’ skill sets. Our mission is to help to foster a culture of continuous learning, to keep teams sharp and prepared to comprehend, grow and lead in an ever-evolving world.</t>
        </is>
      </c>
      <c r="H198" s="1" t="inlineStr">
        <is>
          <t>EdTech Austria, EdTech France, SuperCharger Ventures, Swiss EdTech Collider, LearnTech Hub</t>
        </is>
      </c>
      <c r="I198" s="1" t="inlineStr">
        <is>
          <t>English, French, German</t>
        </is>
      </c>
      <c r="J198" s="1" t="inlineStr">
        <is>
          <t>Paris</t>
        </is>
      </c>
      <c r="K198" s="1" t="inlineStr">
        <is>
          <t>France</t>
        </is>
      </c>
      <c r="L198" s="1" t="inlineStr">
        <is>
          <t>Austria, Belgium, Denmark, Finland, France, Germany, Greece, Hungary, Ireland, Italy, Netherlands, Norway, Poland, Portugal, Romania, Spain, Switzerland, United Kingdom</t>
        </is>
      </c>
      <c r="M198" s="1" t="inlineStr">
        <is>
          <t>0 to 2</t>
        </is>
      </c>
      <c r="N198" s="1" t="inlineStr">
        <is>
          <t>Business to Consumer, Business to Schools</t>
        </is>
      </c>
      <c r="O198" s="1" t="inlineStr">
        <is>
          <t>Corporate Training, Lifelong learning/Adult education</t>
        </is>
      </c>
      <c r="P198" s="1" t="inlineStr">
        <is>
          <t>System/Administrative, Student interfacing</t>
        </is>
      </c>
      <c r="Q198" t="inlineStr">
        <is>
          <t>Upskyld</t>
        </is>
      </c>
      <c r="R198" t="inlineStr">
        <is>
          <t>Learning faster &amp; better thanks to personalised podcast content in a learning experience.
Upskyld is an app with AI-based recommendation engine involving criteria like skills, languages, time and goals, automated generated assessment tests, and structured content to reuse.
Competitive advantage? Podcast Episodes curation based on educational criteria, recommendation/selection instead of a catalogue, assessment, gamification and structured notes.</t>
        </is>
      </c>
      <c r="S198" s="10" t="inlineStr">
        <is>
          <t>https://drive.google.com/uc?export=view&amp;id=1Xzopr91dmMwctfgSfU4v-O8hqe2GTrjr</t>
        </is>
      </c>
      <c r="T198" t="inlineStr">
        <is>
          <t>https://drive.google.com/uc?export=view&amp;id=1Xzopr91dmMwctfgSfU4v-O8hqe2GTrjr</t>
        </is>
      </c>
      <c r="U198" s="1" t="inlineStr">
        <is>
          <t>https://drive.google.com/uc?export=view&amp;id=1Xzopr91dmMwctfgSfU4v-O8hqe2GTrjr</t>
        </is>
      </c>
      <c r="V198" s="1" t="inlineStr">
        <is>
          <t>Unverified</t>
        </is>
      </c>
      <c r="Y198" s="10" t="n"/>
      <c r="Z198" s="1" t="n"/>
      <c r="AA198" t="inlineStr">
        <is>
          <t>Yes</t>
        </is>
      </c>
      <c r="AC198" t="inlineStr">
        <is>
          <t>https://www.linkedin.com/company/84367156/</t>
        </is>
      </c>
      <c r="AD198" t="inlineStr">
        <is>
          <t>https://www.linkedin.com/company/84367156/</t>
        </is>
      </c>
    </row>
    <row r="199" ht="12.5" customHeight="1">
      <c r="A199" s="6" t="n">
        <v>45181</v>
      </c>
      <c r="B199" s="1" t="inlineStr">
        <is>
          <t>ORG_2521</t>
        </is>
      </c>
      <c r="C199" s="1" t="b">
        <v>1</v>
      </c>
      <c r="D199" s="1" t="inlineStr">
        <is>
          <t>Weeki</t>
        </is>
      </c>
      <c r="E199" s="10" t="inlineStr">
        <is>
          <t>weeki.io</t>
        </is>
      </c>
      <c r="F199" t="inlineStr">
        <is>
          <t>weeki.io</t>
        </is>
      </c>
      <c r="G199" s="1" t="inlineStr">
        <is>
          <t>Online scientific collaborative whiteboard.</t>
        </is>
      </c>
      <c r="H199" s="1" t="inlineStr">
        <is>
          <t>I'm not part of any EdTech association</t>
        </is>
      </c>
      <c r="J199" s="1" t="inlineStr">
        <is>
          <t>avenue Leon Jouhaux</t>
        </is>
      </c>
      <c r="K199" s="1" t="inlineStr">
        <is>
          <t>France</t>
        </is>
      </c>
      <c r="L19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United Kingdom</t>
        </is>
      </c>
      <c r="M199" s="1" t="inlineStr">
        <is>
          <t>0 to 10</t>
        </is>
      </c>
      <c r="N199" s="1" t="inlineStr">
        <is>
          <t>Business to Government, Business to Schools</t>
        </is>
      </c>
      <c r="O199" s="1" t="inlineStr">
        <is>
          <t>Higher Education, Corporate Training</t>
        </is>
      </c>
      <c r="P199" s="1" t="inlineStr">
        <is>
          <t>Student interfacing, Teacher interfacing</t>
        </is>
      </c>
      <c r="Q199" t="inlineStr">
        <is>
          <t>Weeki</t>
        </is>
      </c>
      <c r="R199" t="inlineStr">
        <is>
          <t>Unlimited scientific online collaborative whiteboard.</t>
        </is>
      </c>
      <c r="S199" t="inlineStr">
        <is>
          <t>https://drive.google.com/uc?export=view&amp;id=1WyeJb8cH6GRodx1C35_AgaVsCU2aTXOu</t>
        </is>
      </c>
      <c r="T199" t="inlineStr">
        <is>
          <t>https://drive.google.com/uc?export=view&amp;id=1WyeJb8cH6GRodx1C35_AgaVsCU2aTXOu</t>
        </is>
      </c>
      <c r="U199" s="1" t="inlineStr">
        <is>
          <t>https://drive.google.com/uc?export=view&amp;id=1WyeJb8cH6GRodx1C35_AgaVsCU2aTXOu</t>
        </is>
      </c>
      <c r="V199" s="1" t="inlineStr">
        <is>
          <t>Unverified</t>
        </is>
      </c>
      <c r="Y199" s="10" t="n"/>
      <c r="Z199" s="1" t="n"/>
      <c r="AA199" t="inlineStr">
        <is>
          <t>No</t>
        </is>
      </c>
    </row>
    <row r="200" ht="12.5" customHeight="1">
      <c r="A200" s="6" t="n">
        <v>45181</v>
      </c>
      <c r="B200" s="1" t="inlineStr">
        <is>
          <t>ORG_2525</t>
        </is>
      </c>
      <c r="C200" s="1" t="b">
        <v>1</v>
      </c>
      <c r="D200" s="1" t="inlineStr">
        <is>
          <t>Whaller</t>
        </is>
      </c>
      <c r="E200" s="10" t="inlineStr">
        <is>
          <t>https://whaller.com</t>
        </is>
      </c>
      <c r="F200" t="inlineStr">
        <is>
          <t>whaller.com</t>
        </is>
      </c>
      <c r="G200" s="1" t="inlineStr">
        <is>
          <t>Whaller is a scalable and fully customizable solution that gives companies, schools, government agencies, associations and individuals everything they need to build their own secure social and collaborative networks. 
Networks are built with "spheres". Each sphere is a sealed, independent space, where its members can communicate and collaborate in complete security. Spheres are fully customizable and include a variety of collaboration tools such as messages, chat, video conferencing, document storage with simultaneous co-editing,...
Create a complete digital campus that centralises exchanges, tools and resources for your entire ecosystem: students, faculty, parents, administration and alumni.
- Share public and private messages with network members;
- Store and collaborate on documents thanks to an integrated file box and office suite (Whaller 365);
- Organize meetings and webinars with a variety of video conferencing solutions;
- Assign tasks and follow their progress on a Kanban board;
- Create events and display them in a team calendar;
- Conduct surveys to gather feedback;
- Track network activity with analytics.</t>
        </is>
      </c>
      <c r="H200" s="1" t="inlineStr">
        <is>
          <t>EdTech France</t>
        </is>
      </c>
      <c r="J200" s="1" t="inlineStr">
        <is>
          <t>SURESNES</t>
        </is>
      </c>
      <c r="K200" s="1" t="inlineStr">
        <is>
          <t>France</t>
        </is>
      </c>
      <c r="L200" s="1" t="inlineStr">
        <is>
          <t>France, Germany, Spain, United Kingdom</t>
        </is>
      </c>
      <c r="M200" s="1" t="inlineStr">
        <is>
          <t>11 to 50</t>
        </is>
      </c>
      <c r="N200" s="1" t="inlineStr">
        <is>
          <t>Business to Schools</t>
        </is>
      </c>
      <c r="O200" s="1" t="inlineStr">
        <is>
          <t>Secondary Education, Higher Education, Corporate Training, Lifelong learning/Adult education</t>
        </is>
      </c>
      <c r="P200" s="1" t="inlineStr">
        <is>
          <t>System/Administrative, Student interfacing, Teacher interfacing</t>
        </is>
      </c>
      <c r="Q200" t="inlineStr">
        <is>
          <t>Whaller</t>
        </is>
      </c>
      <c r="R200" s="10" t="inlineStr">
        <is>
          <t>The secure social and collaborative platform. Whaller is designed for all types of organisations, especially educational institutions. Create a complete digital campus that centralises exchanges, tools and resources for your entire ecosystem: students, faculty, parents, administration and alumni.</t>
        </is>
      </c>
      <c r="S200" s="10" t="inlineStr">
        <is>
          <t>https://drive.google.com/uc?export=view&amp;id=1rXK3BL3xTvEp6YnOoCvY4uKcofHyRN1m</t>
        </is>
      </c>
      <c r="T200" t="inlineStr">
        <is>
          <t>https://drive.google.com/uc?export=view&amp;id=1rXK3BL3xTvEp6YnOoCvY4uKcofHyRN1m</t>
        </is>
      </c>
      <c r="U200" s="1" t="inlineStr">
        <is>
          <t>https://drive.google.com/uc?export=view&amp;id=1rXK3BL3xTvEp6YnOoCvY4uKcofHyRN1m</t>
        </is>
      </c>
      <c r="V200" s="1" t="inlineStr">
        <is>
          <t>Unverified</t>
        </is>
      </c>
      <c r="Y200" s="10" t="n"/>
      <c r="Z200" s="1" t="n"/>
      <c r="AA200" t="inlineStr">
        <is>
          <t>Yes</t>
        </is>
      </c>
      <c r="AB200" t="inlineStr">
        <is>
          <t>https://twitter.com/whaller_en</t>
        </is>
      </c>
      <c r="AC200" t="inlineStr">
        <is>
          <t>https://twitter.com/whaller_en</t>
        </is>
      </c>
      <c r="AD200" t="inlineStr">
        <is>
          <t>https://www.linkedin.com/company/whaller</t>
        </is>
      </c>
    </row>
    <row r="201" ht="12.5" customHeight="1">
      <c r="A201" s="6" t="n">
        <v>45679</v>
      </c>
      <c r="B201" s="1" t="inlineStr">
        <is>
          <t>ORG_1762</t>
        </is>
      </c>
      <c r="C201" s="1" t="b">
        <v>1</v>
      </c>
      <c r="D201" s="1" t="inlineStr">
        <is>
          <t>KALIGO</t>
        </is>
      </c>
      <c r="E201" s="10" t="inlineStr">
        <is>
          <t>https://www.kaligo-apps.com/</t>
        </is>
      </c>
      <c r="F201" t="inlineStr">
        <is>
          <t>kaligo-apps.com</t>
        </is>
      </c>
      <c r="G201" s="1" t="inlineStr">
        <is>
          <t>Founded in 2017, Learn&amp;Go is an Ed-tech company with the mission to support each student in their journey of learning to write and spell, through a modern, digital and fun approach : Kaligo. This application available on Playstore and iOS store is designed to teach students how to write and spell using a tablet and stylus in the classroom or at home. Avalaible in French, English and German, Kaligo aims to support children of all abilities to achieve their highest possible literacy levels.</t>
        </is>
      </c>
      <c r="H201" s="1" t="inlineStr">
        <is>
          <t>AFINEF</t>
        </is>
      </c>
      <c r="J201" s="1" t="inlineStr">
        <is>
          <t>RENNES</t>
        </is>
      </c>
      <c r="K201" s="1" t="inlineStr">
        <is>
          <t>France</t>
        </is>
      </c>
      <c r="L201" s="1" t="inlineStr">
        <is>
          <t>Belgium, France, Germany, Ireland, Luxembourg, Switzerland, United Kingdom</t>
        </is>
      </c>
      <c r="M201" s="1" t="inlineStr">
        <is>
          <t>11 to 50</t>
        </is>
      </c>
      <c r="N201" s="1" t="inlineStr">
        <is>
          <t>Business to Business, Business to Consumer, Business to Government, Business to Schools</t>
        </is>
      </c>
      <c r="O201" s="1" t="inlineStr">
        <is>
          <t>Early childhood development (0-5 years), Primary Education</t>
        </is>
      </c>
      <c r="P201" s="1" t="inlineStr">
        <is>
          <t>Student interfacing, Teacher interfacing</t>
        </is>
      </c>
      <c r="Q201" s="10" t="inlineStr">
        <is>
          <t>Kaligo</t>
        </is>
      </c>
      <c r="R201" s="10" t="inlineStr">
        <is>
          <t>Kaligo’s AI machine analyses each handwriting stroke based on shape, direction, order and line spacing, and identifies any difficulties children as young as the age of three may have with forming letters, numbers or even if they have an issue with their pencil control.
Kaligo provides students with real time corrective feedback which empowers independent learning, whilst simultaneously providing teachers with real time results and progression reports for whole classrooms and individual students.
c est cofnirme
With Kaligo, students find handwriting more fun as the colourful and intuitive screens on tablets most students are already familiar with, making the task of handwriting more exciting.</t>
        </is>
      </c>
      <c r="S201" s="10" t="inlineStr">
        <is>
          <t>https://drive.google.com/uc?export=view&amp;id=1BdgBQQvg41LeVdgIMlUt3Mxu2jxAvDRv</t>
        </is>
      </c>
      <c r="T201" t="inlineStr">
        <is>
          <t>https://drive.google.com/uc?export=view&amp;id=1BdgBQQvg41LeVdgIMlUt3Mxu2jxAvDRv</t>
        </is>
      </c>
      <c r="U201" s="1" t="inlineStr">
        <is>
          <t>https://drive.google.com/uc?export=view&amp;id=1BdgBQQvg41LeVdgIMlUt3Mxu2jxAvDRv</t>
        </is>
      </c>
      <c r="V201" s="1" t="inlineStr">
        <is>
          <t>Verified</t>
        </is>
      </c>
      <c r="Y201" s="10" t="n"/>
      <c r="Z201" s="1" t="n"/>
      <c r="AA201" t="inlineStr">
        <is>
          <t>Yes</t>
        </is>
      </c>
      <c r="AB201" t="inlineStr">
        <is>
          <t>https://www.instagram.com/kaligoapps_en/</t>
        </is>
      </c>
      <c r="AC201" t="inlineStr">
        <is>
          <t>https://twitter.com/KaligoApps_EN</t>
        </is>
      </c>
      <c r="AD201" t="inlineStr">
        <is>
          <t>https://www.linkedin.com/company/kaligo-uk/</t>
        </is>
      </c>
    </row>
    <row r="202" ht="12.5" customHeight="1">
      <c r="A202" s="6" t="n">
        <v>45181</v>
      </c>
      <c r="B202" s="1" t="inlineStr">
        <is>
          <t>ORG_1302</t>
        </is>
      </c>
      <c r="C202" s="1" t="b">
        <v>1</v>
      </c>
      <c r="D202" s="1" t="inlineStr">
        <is>
          <t>COSS</t>
        </is>
      </c>
      <c r="E202" s="10" t="inlineStr">
        <is>
          <t>https://globalcoss.com/</t>
        </is>
      </c>
      <c r="F202" t="inlineStr">
        <is>
          <t>globalcoss.com</t>
        </is>
      </c>
      <c r="G202" s="1" t="inlineStr">
        <is>
          <t>COSS is an application for students tomeasure, develop and certify their level of their soft skills level on their CV, like the TOEFL for English.
The student asks for specific feedback on his/her cross-cutting skills in an academic or professional situation professional situation.
COSS certifies competencies over a period of time period. The student publishes a badge and a link attesting to his or her level in the skill when his reliability index reaches the highest score.</t>
        </is>
      </c>
      <c r="H202" s="1" t="inlineStr">
        <is>
          <t>I'm not part of any EdTech association</t>
        </is>
      </c>
      <c r="J202" s="1" t="inlineStr">
        <is>
          <t>Levallois Perret</t>
        </is>
      </c>
      <c r="K202" s="1" t="inlineStr">
        <is>
          <t>France</t>
        </is>
      </c>
      <c r="L202" s="1" t="inlineStr">
        <is>
          <t>Belgium, France, Germany, Italy, Luxembourg, Spain, Switzerland, United Kingdom</t>
        </is>
      </c>
      <c r="M202" s="1" t="inlineStr">
        <is>
          <t>11 to 50</t>
        </is>
      </c>
      <c r="N202" s="1" t="inlineStr">
        <is>
          <t>Business to Business</t>
        </is>
      </c>
      <c r="O202" s="1" t="inlineStr">
        <is>
          <t>Higher Education, Corporate Training, Lifelong learning/Adult education</t>
        </is>
      </c>
      <c r="P202" s="1" t="inlineStr">
        <is>
          <t>Student interfacing, Teacher interfacing, System/Administrative</t>
        </is>
      </c>
      <c r="S202" t="inlineStr">
        <is>
          <t>https://drive.google.com/uc?export=view&amp;id=1mR3HjV2Ubt8jIBhiTSGgwHBfr15aRgaL</t>
        </is>
      </c>
      <c r="T202" t="inlineStr">
        <is>
          <t>https://drive.google.com/uc?export=view&amp;id=1mR3HjV2Ubt8jIBhiTSGgwHBfr15aRgaL</t>
        </is>
      </c>
      <c r="U202" t="inlineStr">
        <is>
          <t>https://drive.google.com/uc?export=view&amp;id=1mR3HjV2Ubt8jIBhiTSGgwHBfr15aRgaL</t>
        </is>
      </c>
      <c r="V202" t="inlineStr">
        <is>
          <t>Unverified</t>
        </is>
      </c>
      <c r="Y202" s="10" t="n"/>
      <c r="Z202" s="1" t="n"/>
      <c r="AA202" t="inlineStr">
        <is>
          <t>No</t>
        </is>
      </c>
    </row>
    <row r="203" ht="12.5" customHeight="1">
      <c r="A203" s="6" t="n">
        <v>45181</v>
      </c>
      <c r="B203" s="1" t="inlineStr">
        <is>
          <t>ORG_2105</t>
        </is>
      </c>
      <c r="C203" s="1" t="b">
        <v>1</v>
      </c>
      <c r="D203" s="1" t="inlineStr">
        <is>
          <t>PITCHBOY</t>
        </is>
      </c>
      <c r="E203" s="10" t="inlineStr">
        <is>
          <t>https://www.pitchboy.sc/</t>
        </is>
      </c>
      <c r="F203" t="inlineStr">
        <is>
          <t>pitchboy.sc</t>
        </is>
      </c>
      <c r="G203" s="1" t="inlineStr">
        <is>
          <t>PITCHBOY is the 1st conversation simulator to develop employees skills and complete current training tools!
We combine the most innovative artificial intelligence and voice recognition technologies to recreate total immersion in a real work environment.
The employees freely train themselves to develop the right reflexes. They are trained in an efficient, playful and caring way.
The conversational learning platform is first and foremost a library for your immersive
simulations, in audio, 2D video or 360° video.
The user is immersed in a realistic working environment and has a natural conversation
with a video or voice recorded interlocutor. The platform is also a managerial support
tool. Statistical data and replays make it possible to identify achievements and areas for improvement, by learner or group of learners.</t>
        </is>
      </c>
      <c r="H203" s="1" t="inlineStr">
        <is>
          <t>EdTech France</t>
        </is>
      </c>
      <c r="J203" s="1" t="inlineStr">
        <is>
          <t>PARIS</t>
        </is>
      </c>
      <c r="K203" s="1" t="inlineStr">
        <is>
          <t>France</t>
        </is>
      </c>
      <c r="L203" s="1" t="inlineStr">
        <is>
          <t>Belgium, France, United Kingdom</t>
        </is>
      </c>
      <c r="M203" s="1" t="inlineStr">
        <is>
          <t>0 to 10</t>
        </is>
      </c>
      <c r="N203" s="1" t="inlineStr">
        <is>
          <t>Business to Consumer</t>
        </is>
      </c>
      <c r="O203" s="1" t="inlineStr">
        <is>
          <t>Corporate Training, Lifelong learning/Adult education</t>
        </is>
      </c>
      <c r="P203" s="1" t="inlineStr">
        <is>
          <t>Teacher interfacing, System/Administrative</t>
        </is>
      </c>
      <c r="Q203" t="inlineStr">
        <is>
          <t>Conversation simulator</t>
        </is>
      </c>
      <c r="R203" s="10" t="inlineStr">
        <is>
          <t>The conversational learning platform is first and foremost a library for your immersive simulations, in audio, 2D video or 360° video (and deepfake video).
Several modalities are available for your recruitment, onboarding, training and awareness : conversational quiz, conversational micro-learning and conversational work situations.</t>
        </is>
      </c>
      <c r="S203" s="10" t="inlineStr">
        <is>
          <t>Authoring tool</t>
        </is>
      </c>
      <c r="T203" t="inlineStr">
        <is>
          <t>Get started with the conversational intelligence technology developed by Pitchboy to freely create and integrate conversation simulations into your training paths. Simply use voice recognition in training, no coding skills required. Script writing is made easier to highlight your know-how and your teaching expertise.</t>
        </is>
      </c>
      <c r="U203" s="1" t="n"/>
      <c r="V203" s="1" t="inlineStr">
        <is>
          <t>Unverified</t>
        </is>
      </c>
      <c r="W203" s="1" t="n"/>
      <c r="X203" s="1" t="n"/>
      <c r="Z203" s="1" t="n"/>
      <c r="AA203" t="inlineStr">
        <is>
          <t>Yes</t>
        </is>
      </c>
      <c r="AB203" t="inlineStr">
        <is>
          <t>https://twitter.com/PitchboyVR</t>
        </is>
      </c>
      <c r="AC203" t="inlineStr">
        <is>
          <t>https://twitter.com/PitchboyVR</t>
        </is>
      </c>
      <c r="AD203" t="inlineStr">
        <is>
          <t>https://www.linkedin.com/company/pitchboy/</t>
        </is>
      </c>
    </row>
    <row r="204" ht="12.5" customHeight="1">
      <c r="A204" s="6" t="n">
        <v>45181</v>
      </c>
      <c r="B204" s="1" t="inlineStr">
        <is>
          <t>ORG_2415</t>
        </is>
      </c>
      <c r="C204" s="1" t="b">
        <v>1</v>
      </c>
      <c r="D204" s="1" t="inlineStr">
        <is>
          <t>Tinycoaching</t>
        </is>
      </c>
      <c r="E204" s="10" t="inlineStr">
        <is>
          <t>https://tiny-coaching.com/index.php/en/tinycoaching-le-coach-virtuel-english/</t>
        </is>
      </c>
      <c r="F204" t="inlineStr">
        <is>
          <t>tiny-coaching.com/index.php/en/tinycoaching-le-coach-virtuel-english</t>
        </is>
      </c>
      <c r="G204" s="1" t="inlineStr">
        <is>
          <t>Tiny is the first professional virtual coach available on instant messengers. 
Tiny was created so that every employee, whether a manager or an employee, has the right to a coach to help them develop their career and skills.
Equipped with artificial intelligence, Tiny knows the training courses needs of learners.
It takes care of your skills development by simply chatting with you directly from the platform of your choice (Microsoft Teams, Messenger, Application).
Our educational system is based on the rules of neuro-pedagogy to enable optimal learning and better retention of information.
The coach sends microleaning content in different formats (article, podcast, video, multimedia) depending on your training program. However, if you need to learn a concept at the time, you can ask Tiny for coaching on the skill in question. 
He will regularly remind you of what he has already taught you, and he will challenge you with motivating and engaging words so that your new knowledge will take hold in the long term.</t>
        </is>
      </c>
      <c r="H204" s="1" t="inlineStr">
        <is>
          <t>EdTech France</t>
        </is>
      </c>
      <c r="J204" s="1" t="inlineStr">
        <is>
          <t>NORMADIE</t>
        </is>
      </c>
      <c r="K204" s="1" t="inlineStr">
        <is>
          <t>France</t>
        </is>
      </c>
      <c r="L204" s="1" t="inlineStr">
        <is>
          <t>Finland</t>
        </is>
      </c>
      <c r="M204" s="1" t="inlineStr">
        <is>
          <t>11 to 50</t>
        </is>
      </c>
      <c r="N204" s="1" t="inlineStr">
        <is>
          <t>Business to Government</t>
        </is>
      </c>
      <c r="O204" s="1" t="inlineStr">
        <is>
          <t>Secondary Education, Higher Education, Corporate Training, Lifelong learning/Adult education</t>
        </is>
      </c>
      <c r="P204" s="1" t="inlineStr">
        <is>
          <t>Student interfacing, Teacher interfacing, System/Administrative</t>
        </is>
      </c>
      <c r="S204" t="inlineStr">
        <is>
          <t>https://drive.google.com/uc?export=view&amp;id=1Yxtxp--q-tMpwRcecGXpcTEGIbo6MKTf</t>
        </is>
      </c>
      <c r="T204" t="inlineStr">
        <is>
          <t>https://drive.google.com/uc?export=view&amp;id=1Yxtxp--q-tMpwRcecGXpcTEGIbo6MKTf</t>
        </is>
      </c>
      <c r="U204" t="inlineStr">
        <is>
          <t>https://drive.google.com/uc?export=view&amp;id=1Yxtxp--q-tMpwRcecGXpcTEGIbo6MKTf</t>
        </is>
      </c>
      <c r="V204" t="inlineStr">
        <is>
          <t>Unverified</t>
        </is>
      </c>
      <c r="Y204" s="10" t="n"/>
      <c r="Z204" s="1" t="n"/>
      <c r="AA204" t="inlineStr">
        <is>
          <t>No</t>
        </is>
      </c>
    </row>
    <row r="205" ht="12.5" customHeight="1">
      <c r="A205" s="6" t="n">
        <v>45181</v>
      </c>
      <c r="B205" s="1" t="inlineStr">
        <is>
          <t>ORG_1752</t>
        </is>
      </c>
      <c r="C205" s="1" t="b">
        <v>1</v>
      </c>
      <c r="D205" s="10" t="inlineStr">
        <is>
          <t>jenseigne.fr</t>
        </is>
      </c>
      <c r="E205" s="10" t="inlineStr">
        <is>
          <t>https://www.jenseigne.fr</t>
        </is>
      </c>
      <c r="F205" t="inlineStr">
        <is>
          <t>jenseigne.fr</t>
        </is>
      </c>
      <c r="G205" s="1" t="inlineStr">
        <is>
          <t>jenseigne.fr is a the leading online marketplace for K-12 educational resources in French language. jenseigne.fr has been designed for teachers to access the community, content, and tools they need to teach at their best. Every month, over 100k teachers use jenseigne.fr to save time and create the best instructional materials for their students.</t>
        </is>
      </c>
      <c r="H205" s="1" t="inlineStr">
        <is>
          <t>EdTech France</t>
        </is>
      </c>
      <c r="J205" s="1" t="inlineStr">
        <is>
          <t>Paris</t>
        </is>
      </c>
      <c r="K205" s="1" t="inlineStr">
        <is>
          <t>France</t>
        </is>
      </c>
      <c r="L205" s="1" t="inlineStr">
        <is>
          <t>Belgium, France, Monaco, Switzerland</t>
        </is>
      </c>
      <c r="M205" s="1" t="inlineStr">
        <is>
          <t>11 to 50</t>
        </is>
      </c>
      <c r="N205" s="1" t="inlineStr">
        <is>
          <t>Business to Business</t>
        </is>
      </c>
      <c r="O205" s="1" t="inlineStr">
        <is>
          <t>Early childhood development (0-5 years), Primary Education, Secondary Education</t>
        </is>
      </c>
      <c r="P205" s="1" t="inlineStr">
        <is>
          <t>System/Administrative, Student interfacing, Teacher interfacing</t>
        </is>
      </c>
      <c r="Q205" t="inlineStr">
        <is>
          <t>jenseigne.fr</t>
        </is>
      </c>
      <c r="R205" t="inlineStr">
        <is>
          <t>jenseigne.fr is a the leading online marketplace for K-12 educational resources in French language. jenseigne.fr has been designed for teachers to access the community, content, and tools they need to teach at their best. Every month, over 100k teachers use jenseigne.fr to save time and create the best instructional materials for their students.</t>
        </is>
      </c>
      <c r="S205" s="1" t="inlineStr">
        <is>
          <t>MesEleves.fr</t>
        </is>
      </c>
      <c r="T205" t="inlineStr">
        <is>
          <t>MesEleves.fr is a leading early education software to help run nurseries, preschools and kindergartens.</t>
        </is>
      </c>
      <c r="U205" s="10" t="inlineStr">
        <is>
          <t>http://meseleves.fr/</t>
        </is>
      </c>
      <c r="V205" s="1" t="inlineStr">
        <is>
          <t>Unverified</t>
        </is>
      </c>
      <c r="W205" s="10" t="n"/>
      <c r="X205" s="1" t="n"/>
      <c r="Z205" s="1" t="n"/>
      <c r="AA205" t="inlineStr">
        <is>
          <t>Yes</t>
        </is>
      </c>
      <c r="AD205" t="inlineStr">
        <is>
          <t>/www.linkedin.com/company/the-school-project</t>
        </is>
      </c>
    </row>
    <row r="206" ht="12.5" customHeight="1">
      <c r="A206" s="6" t="n">
        <v>45181</v>
      </c>
      <c r="B206" s="1" t="inlineStr">
        <is>
          <t>ORG_2536</t>
        </is>
      </c>
      <c r="C206" s="1" t="b">
        <v>1</v>
      </c>
      <c r="D206" s="1" t="inlineStr">
        <is>
          <t>WingUp</t>
        </is>
      </c>
      <c r="E206" s="10" t="inlineStr">
        <is>
          <t>Wingup.io</t>
        </is>
      </c>
      <c r="F206" t="inlineStr">
        <is>
          <t>wingup.io</t>
        </is>
      </c>
      <c r="G206" s="1" t="inlineStr">
        <is>
          <t>WingUp is a community platform that aims to reshape the education system by relying on the actors of the passion economy.
Our platform allows the decentralization and the accessibility to education as well as the monetization of content for the benefit of our creators.
By relying on current communication tools, WingUp presents a diversity of educational topics in different formats (videos, live courses, podcasts...). These subjects are treated by experts (the creators) who popularize information through quality content. 
WingUp's ambition is on the one hand to support these content creators from a financial point of view by helping them to make the most of their passion and on the other hand to allow each individual in Europe to explore new topics in depth regularly at a reasonable price.
The platform strongly wishes to create a community of specialists concerned with the evolution of our society’s way of learning.</t>
        </is>
      </c>
      <c r="H206" s="1" t="inlineStr">
        <is>
          <t>I'm not part of any EdTech association</t>
        </is>
      </c>
      <c r="J206" s="1" t="inlineStr">
        <is>
          <t>Paris</t>
        </is>
      </c>
      <c r="K206" s="1" t="inlineStr">
        <is>
          <t>France</t>
        </is>
      </c>
      <c r="L20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206" s="1" t="inlineStr">
        <is>
          <t>0 to 10</t>
        </is>
      </c>
      <c r="N206" s="1" t="inlineStr">
        <is>
          <t>Business to Consumer</t>
        </is>
      </c>
      <c r="O206" s="1" t="inlineStr">
        <is>
          <t>Lifelong learning/Adult education</t>
        </is>
      </c>
      <c r="P206" s="1" t="inlineStr">
        <is>
          <t>Teacher interfacing</t>
        </is>
      </c>
      <c r="V206" t="inlineStr">
        <is>
          <t>Unverified</t>
        </is>
      </c>
      <c r="Z206" s="1" t="n"/>
      <c r="AA206" t="inlineStr">
        <is>
          <t>No</t>
        </is>
      </c>
    </row>
    <row r="207" ht="12.5" customHeight="1">
      <c r="A207" s="6" t="n">
        <v>45181</v>
      </c>
      <c r="B207" s="1" t="inlineStr">
        <is>
          <t>ORG_1991</t>
        </is>
      </c>
      <c r="C207" s="1" t="b">
        <v>1</v>
      </c>
      <c r="D207" s="1" t="inlineStr">
        <is>
          <t>Moveen</t>
        </is>
      </c>
      <c r="E207" s="10" t="inlineStr">
        <is>
          <t>http://www.moveen.eu</t>
        </is>
      </c>
      <c r="F207" t="inlineStr">
        <is>
          <t>moveen.eu</t>
        </is>
      </c>
      <c r="G207" s="1" t="inlineStr">
        <is>
          <t>We're building the place for student to shape their future. We are connecting students to share their experiences and skills to progress and make the best academic choices.</t>
        </is>
      </c>
      <c r="H207" s="1" t="inlineStr">
        <is>
          <t>I'm not part of any EdTech association</t>
        </is>
      </c>
      <c r="J207" s="1" t="inlineStr">
        <is>
          <t>PARIS</t>
        </is>
      </c>
      <c r="K207" s="1" t="inlineStr">
        <is>
          <t>France</t>
        </is>
      </c>
      <c r="L207" s="1" t="inlineStr">
        <is>
          <t>France</t>
        </is>
      </c>
      <c r="M207" s="1" t="inlineStr">
        <is>
          <t>0 to 10</t>
        </is>
      </c>
      <c r="N207" s="1" t="inlineStr">
        <is>
          <t>Business to Business, Business to Government, Business to Schools</t>
        </is>
      </c>
      <c r="O207" s="1" t="inlineStr">
        <is>
          <t>Secondary Education, Higher Education</t>
        </is>
      </c>
      <c r="P207" s="1" t="inlineStr">
        <is>
          <t>Student interfacing, System/Administrative</t>
        </is>
      </c>
      <c r="V207" t="inlineStr">
        <is>
          <t>Unverified</t>
        </is>
      </c>
      <c r="Z207" s="1" t="n"/>
      <c r="AA207" t="inlineStr">
        <is>
          <t>No</t>
        </is>
      </c>
    </row>
    <row r="208" ht="12.5" customHeight="1">
      <c r="A208" s="6" t="n">
        <v>45679</v>
      </c>
      <c r="B208" s="1" t="inlineStr">
        <is>
          <t>ORG_1528</t>
        </is>
      </c>
      <c r="C208" s="1" t="b">
        <v>1</v>
      </c>
      <c r="D208" s="1" t="inlineStr">
        <is>
          <t>EvidenceB</t>
        </is>
      </c>
      <c r="E208" s="10" t="inlineStr">
        <is>
          <t>https://www.evidenceb.com/</t>
        </is>
      </c>
      <c r="F208" t="inlineStr">
        <is>
          <t>evidenceb.com</t>
        </is>
      </c>
      <c r="G208" s="1" t="inlineStr">
        <is>
          <t>EvidenceB has developed the most advanced evidence-based Intelligent Tutoring System mixing Artificial Intelligence R&amp;D and Cognitive Science. Our adaptive learning ITS is available on a Saas mode. EvidenceB ITS resolves failure in learning in K12, Higher Education and corporate training. Based on cognitive sciences and reinforced by multi-prized AI, our international B2B strategy has been validated with major international contracts and a serie-A fundraising led by EduCapital, the biggest EdTech VC in Europe. EvidenceB has buiilt strong partnerships with EdTech, Publishers, Distributors and Institutions / Ministries of Education, in an internationally scalable BtoB approach.</t>
        </is>
      </c>
      <c r="H208" s="1" t="inlineStr">
        <is>
          <t>AFINEF, EdTech France</t>
        </is>
      </c>
      <c r="I208" s="1" t="inlineStr">
        <is>
          <t>French, English, Spanish</t>
        </is>
      </c>
      <c r="J208" s="1" t="inlineStr">
        <is>
          <t>PARIS 18</t>
        </is>
      </c>
      <c r="K208" s="1" t="inlineStr">
        <is>
          <t>France</t>
        </is>
      </c>
      <c r="L208" s="1" t="inlineStr">
        <is>
          <t>Belgium, Denmark, France, Germany, Ireland, Italy, Luxembourg, Spain, Switzerland, United Kingdom</t>
        </is>
      </c>
      <c r="M208" s="1" t="inlineStr">
        <is>
          <t>11 to 50</t>
        </is>
      </c>
      <c r="N208" s="1" t="inlineStr">
        <is>
          <t>Business to Business, Business to Consumer, Business to Government, Business to Schools</t>
        </is>
      </c>
      <c r="O208" s="1" t="inlineStr">
        <is>
          <t>Primary Education, Secondary Education, Corporate Training, Higher Education</t>
        </is>
      </c>
      <c r="P208" s="1" t="inlineStr">
        <is>
          <t>Student interfacing, Teacher interfacing, System/Administrative</t>
        </is>
      </c>
      <c r="Q208" s="10" t="inlineStr">
        <is>
          <t>EvidenceB Intelligent Tutoring System SaaS</t>
        </is>
      </c>
      <c r="R208" s="10" t="inlineStr">
        <is>
          <t>EvidenceB ITS (Intelligent Tutoring System) Saas :
1- Analyzes the student's level of mastery of a given concept through a placement test (novice level, expert level, level of conceptual understanding...)
2- Provides recommendations for suitable types of resources based on the level of mastery (EvidenceB remediation modules or other resources from publishers or teachers).
3- Within the chosen resource, automates and personalizes the student's learning path to enhance their mastery of the concept and intrinsic motivation, including:
- A personalized sequence of activities
- Personalized feedback
- Motivational messages
- Metacognitive support
- Training in challenging questions
4- Allows the student to change roles, transitioning from "learner" to "teacher."
5- Offers the student learning assessments through:
- A dashboard
- Achievement verification tests
- Reviews
6- Facilitates interactions between the student and their human tutor, including:
- The option for the student to request assistance from their human tutor
- A teacher's dashboard with visualization of results and alerts for the class, groups of students, and individual students
- The ability for the human tutor to create new resources based on their dashboard results.</t>
        </is>
      </c>
      <c r="S208" s="10" t="inlineStr">
        <is>
          <t>Adaptiv'Math</t>
        </is>
      </c>
      <c r="T208" t="inlineStr">
        <is>
          <t>Adaptiv'Math offers a personalised path for each student, drawing on a bank of over 10000 self-correcting exercises, presented in 5 modules:
Number 's Sense (Module 1) which, starting from the innate ability to perceive and process quantities, works on the principles of cardinality, successor, decomposition and position in a variety of exercises that lead the student to compare, position on the number line, order and link symbolic and non-symbolic representations of numbers.
Calculation (Module 2) reinforces the understanding of operations and their properties by systematically switching back and forth between mathematical symbols and object manipulation, and by consolidating key numerical facts through repetition.
Arithmetic Problem Solving (Module 3) and Scale and Measurement (Module 4) approach the four operations based on intuitive scenarios, taken from students' everyday life, designed to enable students to work beyond intuitive knowledge and develop thorough understanding of the four operations.
Adaptiv'Math has been developed in partnership with the French Ministry of Education's Artifial Intelligence Innovation Program (P2IA) for early primary students throughout France.</t>
        </is>
      </c>
      <c r="U208" s="1" t="inlineStr">
        <is>
          <t>https://drive.google.com/uc?export=view&amp;id=1f32KSaOBheKkP9KbCtUGu_nhD6qcnqts</t>
        </is>
      </c>
      <c r="V208" s="1" t="inlineStr">
        <is>
          <t>Verified</t>
        </is>
      </c>
      <c r="W208" s="1" t="inlineStr">
        <is>
          <t>https://drive.google.com/uc?export=view&amp;id=1f32KSaOBheKkP9KbCtUGu_nhD6qcnqts</t>
        </is>
      </c>
      <c r="X208" s="1" t="n"/>
      <c r="Y208" s="10" t="n"/>
      <c r="Z208" s="1" t="n"/>
      <c r="AA208" t="inlineStr">
        <is>
          <t>Yes</t>
        </is>
      </c>
      <c r="AB208" t="inlineStr">
        <is>
          <t>https://www.instagram.com/adaptivmath/</t>
        </is>
      </c>
      <c r="AC208" t="inlineStr">
        <is>
          <t>https://twitter.com/T_EvidenceB</t>
        </is>
      </c>
      <c r="AD208" t="inlineStr">
        <is>
          <t>https://www.linkedin.com/company/evidenceb-inside</t>
        </is>
      </c>
    </row>
    <row r="209" ht="12.5" customHeight="1">
      <c r="A209" s="6" t="n">
        <v>45181</v>
      </c>
      <c r="B209" s="1" t="inlineStr">
        <is>
          <t>ORG_2372</t>
        </is>
      </c>
      <c r="C209" s="1" t="b">
        <v>1</v>
      </c>
      <c r="D209" s="1" t="inlineStr">
        <is>
          <t>Teach Up</t>
        </is>
      </c>
      <c r="E209" s="10" t="inlineStr">
        <is>
          <t>https://teachup.com/</t>
        </is>
      </c>
      <c r="F209" t="inlineStr">
        <is>
          <t>teachup.com</t>
        </is>
      </c>
      <c r="G209" s="1" t="inlineStr">
        <is>
          <t>Teach Up is a SaaS Adaptive Learning platform that integrates AI, making any training unique and personalized to each learner’s needs. Learning must be inclusive. With Teach Up, everybody succeeds.
In few words, after each interaction the training content adapts in real time according to the learner’s needs, level of expertise, learning preferences and goals. 
With Teach Up, everyone can master any key concept, at his/her own pace. 
Teach Up has already transformed 300 organizations through Adaptive Learning including SNCF, La Poste, Axa, Ornikar &amp; Bonduelle. We are so proud of it!</t>
        </is>
      </c>
      <c r="H209" s="1" t="inlineStr">
        <is>
          <t>EdTech France</t>
        </is>
      </c>
      <c r="J209" s="1" t="inlineStr">
        <is>
          <t>Lyon</t>
        </is>
      </c>
      <c r="K209" s="1" t="inlineStr">
        <is>
          <t>France</t>
        </is>
      </c>
      <c r="L209" s="1" t="inlineStr">
        <is>
          <t>France</t>
        </is>
      </c>
      <c r="M209" s="1" t="inlineStr">
        <is>
          <t>11 to 50</t>
        </is>
      </c>
      <c r="N209" s="1" t="inlineStr">
        <is>
          <t>Business to Government, Business to Schools</t>
        </is>
      </c>
      <c r="O209" s="1" t="inlineStr">
        <is>
          <t>Higher Education, Corporate Training, Lifelong learning/Adult education</t>
        </is>
      </c>
      <c r="P209" s="1" t="inlineStr">
        <is>
          <t>Teacher interfacing, Student interfacing, System/Administrative</t>
        </is>
      </c>
      <c r="Q209" s="10" t="inlineStr">
        <is>
          <t>Teach Up</t>
        </is>
      </c>
      <c r="R209" s="10" t="inlineStr">
        <is>
          <t>Teach Up is the easiest way to create and deliver courses which are personalized to each learner in order to make them succeed, thanks to AI. Adaptive Learning is the alternative to a linear learning experience or Linear System. Linear systems refer to the traditional, sequential e-learning that we all are familiar with. They deliver the same content, at the same time, in a pre-determined sequence, to each learner. Often boring and non-efficient. Why? Because if learners already know parts of a course, they still have to work through each and every step – wasting time and decreasing engagement. With Teach Up, we’ve created an innovative knowledge transfer technology based on an Adaptive Learning Model. A Learning Platform, for companies, for training organizations, for universities, based on Artificial Intelligence which enables real-time adaptation of a learning path to each learner’s needs. We believe this technology can significantly grow the digital learning market and change the way we all learn. Another fundamental differentiating asset is that with Teach Up, everybody can also easily create micro and macro-Adaptive learning experiences, whether they are to be used on a smartphone, a tablet or a computer. Easily, and rapidly.
Teach Up could be buy as : - Platform all-in-one (Authoring tool to create your content + Learning Management System functionalities to diffuse it)
or
- Extension : LXP if you already have a LMS</t>
        </is>
      </c>
      <c r="S209" s="10" t="inlineStr">
        <is>
          <t>https://drive.google.com/uc?export=view&amp;id=1A0ZBEoqgjhz4nipxx5RUsSNNnvHCysEa</t>
        </is>
      </c>
      <c r="T209" t="inlineStr">
        <is>
          <t>https://drive.google.com/uc?export=view&amp;id=1A0ZBEoqgjhz4nipxx5RUsSNNnvHCysEa</t>
        </is>
      </c>
      <c r="U209" s="1" t="inlineStr">
        <is>
          <t>https://drive.google.com/uc?export=view&amp;id=1A0ZBEoqgjhz4nipxx5RUsSNNnvHCysEa</t>
        </is>
      </c>
      <c r="V209" s="1" t="inlineStr">
        <is>
          <t>Unverified</t>
        </is>
      </c>
      <c r="Y209" s="10" t="n"/>
      <c r="Z209" s="1" t="n"/>
      <c r="AA209" t="inlineStr">
        <is>
          <t>Yes</t>
        </is>
      </c>
      <c r="AB209" t="inlineStr">
        <is>
          <t>http://www.instagram.com/teachup_inside/</t>
        </is>
      </c>
      <c r="AC209" t="inlineStr">
        <is>
          <t>http://twitter.com/teachup_france?lang=fr</t>
        </is>
      </c>
      <c r="AD209" t="inlineStr">
        <is>
          <t>http://www.linkedin.com/company/teachup.com</t>
        </is>
      </c>
    </row>
    <row r="210" ht="12.5" customHeight="1">
      <c r="A210" s="6" t="n">
        <v>45181</v>
      </c>
      <c r="B210" s="1" t="inlineStr">
        <is>
          <t>ORG_1228</t>
        </is>
      </c>
      <c r="C210" s="1" t="b">
        <v>1</v>
      </c>
      <c r="D210" s="1" t="inlineStr">
        <is>
          <t>Chalkboard Education</t>
        </is>
      </c>
      <c r="E210" s="10" t="inlineStr">
        <is>
          <t>https://www.chalkboard.education/</t>
        </is>
      </c>
      <c r="F210" t="inlineStr">
        <is>
          <t>chalkboard.education</t>
        </is>
      </c>
      <c r="G210" s="1" t="inlineStr">
        <is>
          <t>Remote learning management system tailored for field staff and isolated learners. Leverage SMS and offline technologies to roll out training programs and measure your impact seamlessly.</t>
        </is>
      </c>
      <c r="H210" s="1" t="inlineStr">
        <is>
          <t>EdTech France</t>
        </is>
      </c>
      <c r="J210" s="1" t="inlineStr">
        <is>
          <t>PARIS</t>
        </is>
      </c>
      <c r="K210" s="1" t="inlineStr">
        <is>
          <t>France</t>
        </is>
      </c>
      <c r="L210" s="1" t="inlineStr">
        <is>
          <t>France, Switzerland, United Kingdom</t>
        </is>
      </c>
      <c r="M210" s="1" t="inlineStr">
        <is>
          <t>11 to 50</t>
        </is>
      </c>
      <c r="N210" s="1" t="inlineStr">
        <is>
          <t>Business to Business</t>
        </is>
      </c>
      <c r="O210" s="1" t="inlineStr">
        <is>
          <t>Higher Education, Corporate Training, Lifelong learning/Adult education</t>
        </is>
      </c>
      <c r="P210" s="1" t="inlineStr">
        <is>
          <t>System/Administrative</t>
        </is>
      </c>
      <c r="Q210" t="inlineStr">
        <is>
          <t>Chalkboard Education Dashboard</t>
        </is>
      </c>
      <c r="R210" s="10" t="inlineStr">
        <is>
          <t>Learning Management System (LMS) to create rich content with ease and make it available to all your learners anywhere in the World, without the Internet. Track and measure progress KPIs automatically and report on your performance in a few clicks.</t>
        </is>
      </c>
      <c r="S210" s="10" t="inlineStr">
        <is>
          <t>Chalkboard Education Universal App</t>
        </is>
      </c>
      <c r="T210" t="inlineStr">
        <is>
          <t>Our unique mobile and web application make your training materials available to all learners on an easy-to-use, lightweight, self-installing app that works on any device and without the Internet.</t>
        </is>
      </c>
      <c r="U210" s="1" t="inlineStr">
        <is>
          <t>https://drive.google.com/uc?export=view&amp;id=14q5GQkHObB8spjFVbRHkcLHvSUEW5PjZ</t>
        </is>
      </c>
      <c r="V210" s="1" t="inlineStr">
        <is>
          <t>Unverified</t>
        </is>
      </c>
      <c r="W210" s="1" t="inlineStr">
        <is>
          <t>https://drive.google.com/uc?export=view&amp;id=14q5GQkHObB8spjFVbRHkcLHvSUEW5PjZ</t>
        </is>
      </c>
      <c r="X210" s="1" t="n"/>
      <c r="Y210" s="10" t="n"/>
      <c r="Z210" s="1" t="n"/>
      <c r="AA210" t="inlineStr">
        <is>
          <t>Yes</t>
        </is>
      </c>
      <c r="AB210" t="inlineStr">
        <is>
          <t>https://twitter.com/TeamChalkboard</t>
        </is>
      </c>
      <c r="AC210" t="inlineStr">
        <is>
          <t>https://twitter.com/TeamChalkboard</t>
        </is>
      </c>
      <c r="AD210" t="inlineStr">
        <is>
          <t>https://www.linkedin.com/company/chalkboard-education/</t>
        </is>
      </c>
    </row>
    <row r="211" ht="12.5" customHeight="1">
      <c r="A211" s="6" t="n">
        <v>45181</v>
      </c>
      <c r="B211" s="1" t="inlineStr">
        <is>
          <t>ORG_1884</t>
        </is>
      </c>
      <c r="C211" s="1" t="b">
        <v>1</v>
      </c>
      <c r="D211" s="1" t="inlineStr">
        <is>
          <t>Lingua Attack</t>
        </is>
      </c>
      <c r="E211" s="10" t="inlineStr">
        <is>
          <t>lingua-attack.com</t>
        </is>
      </c>
      <c r="F211" t="inlineStr">
        <is>
          <t>lingua-attack.com</t>
        </is>
      </c>
      <c r="G211" s="1" t="inlineStr">
        <is>
          <t>Stream Languages! 
Created by media and video game specialists, together with teachers and cognitive science experts, the Lingua Attack web platform and mobile applications innovate in foreign language learning with entertaining and effective pedagogy. With a range of short, authentic videos and a gamified experience, Lingua Attack engages learners of all levels for real progress over time.
Over one million learners have already embraced Lingua Attack in hundreds of schools, universities, training centers, and institutions. Key customers can distribute the platform under their own brand.
Lingua Attack features 6 learning languages: English, French, Spanish, German, Portuguese, and Chinese. With 26 interface and translations languages, the platform is designed for learners around the world!</t>
        </is>
      </c>
      <c r="H211" s="1" t="inlineStr">
        <is>
          <t>AFINEF, EdTech France</t>
        </is>
      </c>
      <c r="J211" s="1" t="inlineStr">
        <is>
          <t>PARIS</t>
        </is>
      </c>
      <c r="K211" s="1" t="inlineStr">
        <is>
          <t>France</t>
        </is>
      </c>
      <c r="L211" s="1" t="inlineStr">
        <is>
          <t>Czechia, France, Hungary, Poland, Romania, Spain, Turkey, United Kingdom</t>
        </is>
      </c>
      <c r="M211" s="1" t="inlineStr">
        <is>
          <t>11 to 50</t>
        </is>
      </c>
      <c r="N211" s="1" t="inlineStr">
        <is>
          <t>Business to Business, Business to Consumer, Business to Schools</t>
        </is>
      </c>
      <c r="O211" s="1" t="inlineStr">
        <is>
          <t>Secondary Education, Higher Education, Corporate Training</t>
        </is>
      </c>
      <c r="P211" s="1" t="inlineStr">
        <is>
          <t>Student interfacing, Teacher interfacing, System/Administrative</t>
        </is>
      </c>
      <c r="Q211" t="inlineStr">
        <is>
          <t>Lingua Attack</t>
        </is>
      </c>
      <c r="R211" t="inlineStr">
        <is>
          <t>We disrupt language learning by creating online learning experiences based on entertainment content: clips from movies and TV series, music videos, television news items, and games. A flexible, globalised, and scalable multi-language platform, continuously updated with fresh content, is at the heart of a B2B business for schools, corporate training, and governmental organisations promoting lifetime learning.</t>
        </is>
      </c>
      <c r="S211" s="10" t="inlineStr">
        <is>
          <t>https://drive.google.com/uc?export=view&amp;id=1srh1zwB-21F_sdzJtB1lH18eUecucIuz</t>
        </is>
      </c>
      <c r="T211" t="inlineStr">
        <is>
          <t>https://drive.google.com/uc?export=view&amp;id=1srh1zwB-21F_sdzJtB1lH18eUecucIuz</t>
        </is>
      </c>
      <c r="U211" s="1" t="inlineStr">
        <is>
          <t>https://drive.google.com/uc?export=view&amp;id=1srh1zwB-21F_sdzJtB1lH18eUecucIuz</t>
        </is>
      </c>
      <c r="V211" s="1" t="inlineStr">
        <is>
          <t>Unverified</t>
        </is>
      </c>
      <c r="Y211" s="10" t="n"/>
      <c r="Z211" s="1" t="n"/>
      <c r="AA211" t="inlineStr">
        <is>
          <t>Yes</t>
        </is>
      </c>
      <c r="AC211" t="inlineStr">
        <is>
          <t>https://www.linkedin.com/company/lingua-attack/</t>
        </is>
      </c>
      <c r="AD211" t="inlineStr">
        <is>
          <t>https://www.linkedin.com/company/lingua-attack/</t>
        </is>
      </c>
    </row>
    <row r="212" ht="12.5" customHeight="1">
      <c r="A212" s="6" t="n">
        <v>45181</v>
      </c>
      <c r="B212" s="1" t="inlineStr">
        <is>
          <t>ORG_1885</t>
        </is>
      </c>
      <c r="C212" s="1" t="b">
        <v>1</v>
      </c>
      <c r="D212" s="1" t="inlineStr">
        <is>
          <t>Linguaphone France</t>
        </is>
      </c>
      <c r="E212" s="10" t="inlineStr">
        <is>
          <t>www.linguaphone.fr</t>
        </is>
      </c>
      <c r="F212" t="inlineStr">
        <is>
          <t>linguaphone.fr</t>
        </is>
      </c>
      <c r="G212" s="1" t="inlineStr">
        <is>
          <t>Linguaphone is the French leader in the field of language training for professional purposes. For 50 years, Linguaphone has produced ambitious and effective training solutions for its corporate clients from all sectors of the economy.
Its aim is to empower companies and their personel to perform in the ever-more demanding international environment.
Our custom-built online platform enables a versatile and dynamic approach by combining the best of technology and human expertise.</t>
        </is>
      </c>
      <c r="H212" s="1" t="inlineStr">
        <is>
          <t>EdTech France</t>
        </is>
      </c>
      <c r="J212" s="1" t="inlineStr">
        <is>
          <t>PARIS</t>
        </is>
      </c>
      <c r="K212" s="1" t="inlineStr">
        <is>
          <t>France</t>
        </is>
      </c>
      <c r="L212" s="1" t="inlineStr">
        <is>
          <t>France</t>
        </is>
      </c>
      <c r="M212" s="1" t="inlineStr">
        <is>
          <t>100+</t>
        </is>
      </c>
      <c r="N212" s="1" t="inlineStr">
        <is>
          <t>Business to Business, Business to Government</t>
        </is>
      </c>
      <c r="O212" s="1" t="inlineStr">
        <is>
          <t>Higher Education, Corporate Training, Lifelong learning/Adult education</t>
        </is>
      </c>
      <c r="P212" s="1" t="inlineStr">
        <is>
          <t>Student interfacing, Teacher interfacing, System/Administrative</t>
        </is>
      </c>
      <c r="Q212" t="inlineStr">
        <is>
          <t>Skill Express</t>
        </is>
      </c>
      <c r="R212" t="inlineStr">
        <is>
          <t>Skills-based targeted learning aimed at professionals, requiring high level competences in communicating in a challenging international environment.
Specialized language learning modules combine live training with carefully curated online content to address each learner's specific needs.
Available in all major european languages.</t>
        </is>
      </c>
      <c r="S212" s="10" t="inlineStr">
        <is>
          <t>https://drive.google.com/uc?export=view&amp;id=1fQm6YxvQ-DCsRZiwFjw18xmSOJV5_TmL</t>
        </is>
      </c>
      <c r="T212" t="inlineStr">
        <is>
          <t>https://drive.google.com/uc?export=view&amp;id=1fQm6YxvQ-DCsRZiwFjw18xmSOJV5_TmL</t>
        </is>
      </c>
      <c r="U212" s="1" t="inlineStr">
        <is>
          <t>https://drive.google.com/uc?export=view&amp;id=1fQm6YxvQ-DCsRZiwFjw18xmSOJV5_TmL</t>
        </is>
      </c>
      <c r="V212" s="1" t="inlineStr">
        <is>
          <t>Unverified</t>
        </is>
      </c>
      <c r="Y212" s="10" t="n"/>
      <c r="Z212" s="1" t="n"/>
      <c r="AA212" t="inlineStr">
        <is>
          <t>Yes</t>
        </is>
      </c>
      <c r="AC212" t="inlineStr">
        <is>
          <t>https://www.linkedin.com/company/linguaphone-france</t>
        </is>
      </c>
      <c r="AD212" t="inlineStr">
        <is>
          <t>https://www.linkedin.com/company/linguaphone-france</t>
        </is>
      </c>
    </row>
    <row r="213" ht="12.5" customHeight="1">
      <c r="A213" s="6" t="n">
        <v>45181</v>
      </c>
      <c r="B213" s="1" t="inlineStr">
        <is>
          <t>ORG_2542</t>
        </is>
      </c>
      <c r="C213" s="1" t="b">
        <v>1</v>
      </c>
      <c r="D213" s="1" t="inlineStr">
        <is>
          <t>WiXar</t>
        </is>
      </c>
      <c r="E213" s="10" t="inlineStr">
        <is>
          <t>https://www.wixar.io/</t>
        </is>
      </c>
      <c r="F213" t="inlineStr">
        <is>
          <t>wixar.io</t>
        </is>
      </c>
      <c r="G213" s="1" t="inlineStr">
        <is>
          <t>WiXar is the first collaborative platform for Immersive Learning.
It is the must-have solution that allows you to create immersive experiences on your own. No need to be an expert, the tool is no-code and intuitive! 
Whether you have 10 users or 50,000, both the cloud and your WiXar LMS adapt in real time for a smooth and scalable experience.
Not to mention the collaborative mode! 
Immersing several people in real time creates a sense of presence that fosters engagement. All the features are there: avatars expressing emotions, live multi-platform access, and meeting rooms!
Even training course designers can work together in the WiXar Creative Studio live from anywhere in the world.
The goal: allowing you to create virtual reality experiences quickly and efficiently. 
Our secret: automated scenarios and gamification, which allows you to create your experiences in minutes in spatial computing.
WiXar unveils human potential through emotion</t>
        </is>
      </c>
      <c r="H213" s="1" t="inlineStr">
        <is>
          <t>EdTech France</t>
        </is>
      </c>
      <c r="J213" s="1" t="inlineStr">
        <is>
          <t>AIX-EN-PROVENCE</t>
        </is>
      </c>
      <c r="K213" s="1" t="inlineStr">
        <is>
          <t>France</t>
        </is>
      </c>
      <c r="L213" s="1" t="inlineStr">
        <is>
          <t>France</t>
        </is>
      </c>
      <c r="M213" s="1" t="inlineStr">
        <is>
          <t>0 to 10</t>
        </is>
      </c>
      <c r="N213" s="1" t="inlineStr">
        <is>
          <t>Business to Schools</t>
        </is>
      </c>
      <c r="O213" s="1" t="inlineStr">
        <is>
          <t>Higher Education, Corporate Training, Lifelong learning/Adult education</t>
        </is>
      </c>
      <c r="P213" s="1" t="inlineStr">
        <is>
          <t>Teacher interfacing, Student interfacing, System/Administrative</t>
        </is>
      </c>
      <c r="Q213" s="10" t="inlineStr">
        <is>
          <t>WiXar</t>
        </is>
      </c>
      <c r="R213" s="10" t="inlineStr">
        <is>
          <t>Create immersive experiences with WiXar, the ultimate authoring tool. Designing your project becomes child's play:
•	Get started with a large of templates
•	Import your 360° media into the VR Studio
•	Script your content by adding interactions
•	Publish the experience &amp; invite users
Track their progress and interact with them during the experience! You can create your experience while wearing the virtual reality headset. Save time by seeing the rendering in real time!</t>
        </is>
      </c>
      <c r="S213" s="10" t="inlineStr">
        <is>
          <t>https://drive.google.com/uc?export=view&amp;id=1RzbLMc7JnxU4pxFCgq9ZAZ-8WWYRm4rh</t>
        </is>
      </c>
      <c r="T213" t="inlineStr">
        <is>
          <t>https://drive.google.com/uc?export=view&amp;id=1RzbLMc7JnxU4pxFCgq9ZAZ-8WWYRm4rh</t>
        </is>
      </c>
      <c r="U213" s="1" t="inlineStr">
        <is>
          <t>https://drive.google.com/uc?export=view&amp;id=1RzbLMc7JnxU4pxFCgq9ZAZ-8WWYRm4rh</t>
        </is>
      </c>
      <c r="V213" s="1" t="inlineStr">
        <is>
          <t>Unverified</t>
        </is>
      </c>
      <c r="Y213" s="10" t="n"/>
      <c r="Z213" s="1" t="n"/>
      <c r="AA213" t="inlineStr">
        <is>
          <t>Yes</t>
        </is>
      </c>
      <c r="AB213" t="inlineStr">
        <is>
          <t>https://www.instagram.com/wixar360/</t>
        </is>
      </c>
      <c r="AC213" t="inlineStr">
        <is>
          <t>https://twitter.com/WiXar360</t>
        </is>
      </c>
      <c r="AD213" t="inlineStr">
        <is>
          <t>https://www.linkedin.com/company/wixar</t>
        </is>
      </c>
    </row>
    <row r="214" ht="12.5" customHeight="1">
      <c r="A214" s="6" t="n">
        <v>45181</v>
      </c>
      <c r="B214" s="1" t="inlineStr">
        <is>
          <t>ORG_1214</t>
        </is>
      </c>
      <c r="C214" s="1" t="b">
        <v>1</v>
      </c>
      <c r="D214" s="1" t="inlineStr">
        <is>
          <t>Canal Numérique des Savoirs</t>
        </is>
      </c>
      <c r="E214" s="10" t="inlineStr">
        <is>
          <t>https://www.cns-edu.com/</t>
        </is>
      </c>
      <c r="F214" t="inlineStr">
        <is>
          <t>cns-edu.com</t>
        </is>
      </c>
      <c r="G214" s="1" t="inlineStr">
        <is>
          <t>Creation, publication, dissemination and distribution of educational resources (digital textbooks from primary to secondary levels) and interactive services (adaptive learning) along with educational platforms, compliant with the national curriculum set by Ministry of National Education. Digital support and training, e-parenthood, adaptive learning.</t>
        </is>
      </c>
      <c r="H214" s="1" t="inlineStr">
        <is>
          <t>AFINEF</t>
        </is>
      </c>
      <c r="J214" s="1" t="inlineStr">
        <is>
          <t>PARIS</t>
        </is>
      </c>
      <c r="K214" s="1" t="inlineStr">
        <is>
          <t>France</t>
        </is>
      </c>
      <c r="L214" s="1" t="inlineStr">
        <is>
          <t>Belgium, France, Monaco, Switzerland</t>
        </is>
      </c>
      <c r="M214" s="1" t="inlineStr">
        <is>
          <t>51 to 100</t>
        </is>
      </c>
      <c r="N214" s="1" t="inlineStr">
        <is>
          <t>Business to Business, Business to Consumer</t>
        </is>
      </c>
      <c r="O214" s="1" t="inlineStr">
        <is>
          <t>Early childhood development (0-5 years), Primary Education, Secondary Education, Higher Education, Corporate Training, Lifelong learning/Adult education</t>
        </is>
      </c>
      <c r="P214" s="1" t="inlineStr">
        <is>
          <t>System/Administrative, Student interfacing, Teacher interfacing</t>
        </is>
      </c>
      <c r="Q214" t="inlineStr">
        <is>
          <t>TD Lab - Biblio Exos</t>
        </is>
      </c>
      <c r="R214" s="1" t="inlineStr">
        <is>
          <t>Interactive exercises platform designed for taylored learning. Both customised learning paths and personnal learning paths are on display, so as to make learning an enjoyable experience</t>
        </is>
      </c>
      <c r="S214" t="inlineStr">
        <is>
          <t>i-Manuel 2.0</t>
        </is>
      </c>
      <c r="T214" t="inlineStr">
        <is>
          <t>interactive textbooks platform specially designed for vocationnal pupils and teachers. This tool allows customised learning paths ands strong interactions between pupils and teachers</t>
        </is>
      </c>
      <c r="U214" s="1" t="inlineStr">
        <is>
          <t>https://drive.google.com/uc?export=view&amp;id=14SDVazfE5ddoJ9U-32V9w4sI-r57_sRo</t>
        </is>
      </c>
      <c r="V214" s="1" t="inlineStr">
        <is>
          <t>Unverified</t>
        </is>
      </c>
      <c r="W214" s="1" t="inlineStr">
        <is>
          <t>https://drive.google.com/uc?export=view&amp;id=14SDVazfE5ddoJ9U-32V9w4sI-r57_sRo</t>
        </is>
      </c>
      <c r="X214" s="1" t="n"/>
      <c r="Y214" s="10" t="n"/>
      <c r="Z214" s="1" t="n"/>
      <c r="AA214" t="inlineStr">
        <is>
          <t>Yes</t>
        </is>
      </c>
      <c r="AC214" t="inlineStr">
        <is>
          <t>@CNS_SavoirsNum</t>
        </is>
      </c>
    </row>
    <row r="215" ht="12.5" customHeight="1">
      <c r="A215" s="6" t="n">
        <v>45181</v>
      </c>
      <c r="B215" s="1" t="inlineStr">
        <is>
          <t>ORG_1446</t>
        </is>
      </c>
      <c r="C215" s="1" t="b">
        <v>1</v>
      </c>
      <c r="D215" s="1" t="inlineStr">
        <is>
          <t>Édulib</t>
        </is>
      </c>
      <c r="E215" s="10" t="inlineStr">
        <is>
          <t>https://www.edulib.fr/</t>
        </is>
      </c>
      <c r="F215" t="inlineStr">
        <is>
          <t>edulib.fr</t>
        </is>
      </c>
      <c r="G215" s="1" t="inlineStr">
        <is>
          <t>Édulib is the distributor of digital ressources from Belin Éducation, Magnard, Delagrave, Vuibert, BPI and the publisher of the application Lib Manuels. Edulib offers to education professionals more than 800 references, from elementary to higher education in all disciplines, accessible via ENT (GAR compatible), on PC, flash drive or tablet.</t>
        </is>
      </c>
      <c r="H215" s="1" t="inlineStr">
        <is>
          <t>AFINEF</t>
        </is>
      </c>
      <c r="J215" s="1" t="inlineStr">
        <is>
          <t>PARIS</t>
        </is>
      </c>
      <c r="K215" s="1" t="inlineStr">
        <is>
          <t>France</t>
        </is>
      </c>
      <c r="L215" s="1" t="inlineStr">
        <is>
          <t>Belgium, France, Luxembourg, Monaco</t>
        </is>
      </c>
      <c r="M215" s="1" t="inlineStr">
        <is>
          <t>11 to 50</t>
        </is>
      </c>
      <c r="N215" s="1" t="inlineStr">
        <is>
          <t>Business to Business, Business to Consumer</t>
        </is>
      </c>
      <c r="O215" s="1" t="inlineStr">
        <is>
          <t>Primary Education, Secondary Education, Higher Education</t>
        </is>
      </c>
      <c r="P215" s="1" t="inlineStr">
        <is>
          <t>System/Administrative, Student interfacing, Teacher interfacing</t>
        </is>
      </c>
      <c r="S215" t="inlineStr">
        <is>
          <t>https://drive.google.com/uc?export=view&amp;id=1Zty4eoxgO4vUxWIOUvksJg747t-Z9LIn</t>
        </is>
      </c>
      <c r="T215" t="inlineStr">
        <is>
          <t>https://drive.google.com/uc?export=view&amp;id=1Zty4eoxgO4vUxWIOUvksJg747t-Z9LIn</t>
        </is>
      </c>
      <c r="U215" t="inlineStr">
        <is>
          <t>https://drive.google.com/uc?export=view&amp;id=1Zty4eoxgO4vUxWIOUvksJg747t-Z9LIn</t>
        </is>
      </c>
      <c r="V215" t="inlineStr">
        <is>
          <t>Unverified</t>
        </is>
      </c>
      <c r="Y215" s="10" t="n"/>
      <c r="Z215" s="1" t="n"/>
      <c r="AA215" t="inlineStr">
        <is>
          <t>No</t>
        </is>
      </c>
    </row>
    <row r="216" ht="12.5" customHeight="1">
      <c r="A216" s="6" t="n">
        <v>45181</v>
      </c>
      <c r="B216" s="1" t="inlineStr">
        <is>
          <t>ORG_1006</t>
        </is>
      </c>
      <c r="C216" s="1" t="b">
        <v>1</v>
      </c>
      <c r="D216" s="1" t="inlineStr">
        <is>
          <t>1to1 Progress</t>
        </is>
      </c>
      <c r="E216" s="10" t="inlineStr">
        <is>
          <t>https://1to1progress.fr/</t>
        </is>
      </c>
      <c r="F216" t="inlineStr">
        <is>
          <t>1to1progress.fr</t>
        </is>
      </c>
      <c r="G216" s="1" t="inlineStr">
        <is>
          <t>1to1PROGRESS, a foreign language training organisation, currently offers its services throughout Europe to companies needing to improve the language skills of their employees. Our young and dynamic team is growing and is looking for new collaborators to take on new projects.</t>
        </is>
      </c>
      <c r="H216" s="1" t="inlineStr">
        <is>
          <t>EdTech France</t>
        </is>
      </c>
      <c r="J216" s="1" t="inlineStr">
        <is>
          <t>Avenue des Hauts Grigneux à Bihorel</t>
        </is>
      </c>
      <c r="K216" s="1" t="inlineStr">
        <is>
          <t>France</t>
        </is>
      </c>
      <c r="L216" s="1" t="inlineStr">
        <is>
          <t>Belgium, France, Germany, Italy, Luxembourg, Netherlands, Portugal, Spain, Turkey, United Kingdom</t>
        </is>
      </c>
      <c r="M216" s="1" t="inlineStr">
        <is>
          <t>11 to 50</t>
        </is>
      </c>
      <c r="N216" s="1" t="inlineStr">
        <is>
          <t>Business to Business</t>
        </is>
      </c>
      <c r="O216" s="1" t="inlineStr">
        <is>
          <t>Primary Education, Secondary Education, Corporate Training, Lifelong learning/Adult education</t>
        </is>
      </c>
      <c r="P216" s="1" t="inlineStr">
        <is>
          <t>System/Administrative, Student interfacing, Teacher interfacing</t>
        </is>
      </c>
      <c r="Q216" t="inlineStr">
        <is>
          <t>Adult continuing education (language)</t>
        </is>
      </c>
      <c r="R216" t="inlineStr">
        <is>
          <t>1to1PROGRESS, a foreign language training organisation, currently offers its services throughout Europe to companies needing to improve the language skills of their employees. Our young and dynamic team is growing and is looking for new collaborators to take on new projects.</t>
        </is>
      </c>
      <c r="S216" s="10" t="inlineStr">
        <is>
          <t>https://drive.google.com/uc?export=view&amp;id=1h2ZgRt6qY-A_4AHdskLkIaHQrlIxsV9y</t>
        </is>
      </c>
      <c r="T216" t="inlineStr">
        <is>
          <t>https://drive.google.com/uc?export=view&amp;id=1h2ZgRt6qY-A_4AHdskLkIaHQrlIxsV9y</t>
        </is>
      </c>
      <c r="U216" s="1" t="inlineStr">
        <is>
          <t>https://drive.google.com/uc?export=view&amp;id=1h2ZgRt6qY-A_4AHdskLkIaHQrlIxsV9y</t>
        </is>
      </c>
      <c r="V216" s="1" t="inlineStr">
        <is>
          <t>Unverified</t>
        </is>
      </c>
      <c r="Y216" s="10" t="n"/>
      <c r="Z216" s="1" t="n"/>
      <c r="AA216" t="inlineStr">
        <is>
          <t>Yes</t>
        </is>
      </c>
      <c r="AC216" t="inlineStr">
        <is>
          <t>https://fr.linkedin.com/company/1to1progress</t>
        </is>
      </c>
      <c r="AD216" t="inlineStr">
        <is>
          <t>https://fr.linkedin.com/company/1to1progress</t>
        </is>
      </c>
    </row>
    <row r="217" ht="12.5" customHeight="1">
      <c r="A217" s="6" t="n">
        <v>45181</v>
      </c>
      <c r="B217" s="1" t="inlineStr">
        <is>
          <t>ORG_2158</t>
        </is>
      </c>
      <c r="C217" s="1" t="b">
        <v>1</v>
      </c>
      <c r="D217" s="1" t="inlineStr">
        <is>
          <t>Rbean</t>
        </is>
      </c>
      <c r="E217" s="10" t="inlineStr">
        <is>
          <t>https://rbean.io</t>
        </is>
      </c>
      <c r="F217" t="inlineStr">
        <is>
          <t>rbean.io</t>
        </is>
      </c>
      <c r="G217" s="1" t="inlineStr">
        <is>
          <t>We are a pedagogy-driven company. We offer a student-centered LMS, we licence transformative tech courses to vocational schools, and we provide consulting in innovative pedagogies to schools &amp; training centers.</t>
        </is>
      </c>
      <c r="H217" s="1" t="inlineStr">
        <is>
          <t>EdTech France</t>
        </is>
      </c>
      <c r="J217" s="1" t="inlineStr">
        <is>
          <t>PARIS</t>
        </is>
      </c>
      <c r="K217" s="1" t="inlineStr">
        <is>
          <t>France</t>
        </is>
      </c>
      <c r="L217" s="1" t="inlineStr">
        <is>
          <t>France</t>
        </is>
      </c>
      <c r="M217" s="1" t="inlineStr">
        <is>
          <t>0 to 10</t>
        </is>
      </c>
      <c r="N217" s="1" t="inlineStr">
        <is>
          <t>Business to Business, Business to Schools</t>
        </is>
      </c>
      <c r="O217" s="1" t="inlineStr">
        <is>
          <t>Higher Education, Corporate Training</t>
        </is>
      </c>
      <c r="P217" s="1" t="inlineStr">
        <is>
          <t>Student interfacing, Teacher interfacing, System/Administrative</t>
        </is>
      </c>
      <c r="Q217" t="inlineStr">
        <is>
          <t>RbeanLMS</t>
        </is>
      </c>
      <c r="R217" t="inlineStr">
        <is>
          <t>We have built a learning platform that communicates the right messages about learning. It supports innovative pedagogical practices (project-based learning, peer learning, development of metacognition, advanced gamification) and helps educators craft and run engaging learning experiences.</t>
        </is>
      </c>
      <c r="S217" s="10" t="inlineStr">
        <is>
          <t>Tech vocational programs</t>
        </is>
      </c>
      <c r="T217" t="inlineStr">
        <is>
          <t>Rbean provides empowering tech courses (coding, digital marketing, data science), tailored to each school's needs and specific audience. The courses develop both hard and soft skills, and are deployed out-of-the-box on our platform.</t>
        </is>
      </c>
      <c r="U217" s="1" t="inlineStr">
        <is>
          <t>https://drive.google.com/uc?export=view&amp;id=1tFTIKiXgS7IteYSGw21rFR2mHqdgXn-n</t>
        </is>
      </c>
      <c r="V217" s="1" t="inlineStr">
        <is>
          <t>Unverified</t>
        </is>
      </c>
      <c r="W217" s="1" t="inlineStr">
        <is>
          <t>https://drive.google.com/uc?export=view&amp;id=1tFTIKiXgS7IteYSGw21rFR2mHqdgXn-n</t>
        </is>
      </c>
      <c r="X217" s="1" t="n"/>
      <c r="Y217" s="10" t="n"/>
      <c r="Z217" s="1" t="n"/>
      <c r="AA217" t="inlineStr">
        <is>
          <t>Yes</t>
        </is>
      </c>
      <c r="AC217" t="inlineStr">
        <is>
          <t>https://www.linkedin.com/company/30967711/</t>
        </is>
      </c>
      <c r="AD217" t="inlineStr">
        <is>
          <t>https://www.linkedin.com/company/30967711/</t>
        </is>
      </c>
    </row>
    <row r="218" ht="12.5" customHeight="1">
      <c r="A218" s="6" t="n">
        <v>45181</v>
      </c>
      <c r="B218" s="1" t="inlineStr">
        <is>
          <t>ORG_2488</t>
        </is>
      </c>
      <c r="C218" s="1" t="b">
        <v>1</v>
      </c>
      <c r="D218" s="1" t="inlineStr">
        <is>
          <t>VIALUDO</t>
        </is>
      </c>
      <c r="E218" s="10" t="inlineStr">
        <is>
          <t>https://www.judicia.app/</t>
        </is>
      </c>
      <c r="F218" t="inlineStr">
        <is>
          <t>judicia.app</t>
        </is>
      </c>
      <c r="G218" s="1" t="inlineStr">
        <is>
          <t>VIALUDO has the reason to make available to all through the game essential but reputed difficult to access areas such as law, finance, science, accounting..</t>
        </is>
      </c>
      <c r="H218" s="1" t="inlineStr">
        <is>
          <t>EdTech France</t>
        </is>
      </c>
      <c r="J218" s="1" t="inlineStr">
        <is>
          <t>PARIS</t>
        </is>
      </c>
      <c r="K218" s="1" t="inlineStr">
        <is>
          <t>France</t>
        </is>
      </c>
      <c r="L218" s="1" t="inlineStr">
        <is>
          <t>Austria, Belgium, Denmark, Finland, France, Germany, Greece, Iceland, Ireland, Italy, Liechtenstein, Luxembourg, Malta, Monaco, Netherlands, Norway, Poland, Portugal, Romania, Spain, Sweden, Switzerland, United Kingdom</t>
        </is>
      </c>
      <c r="M218" s="1" t="inlineStr">
        <is>
          <t>0 to 10</t>
        </is>
      </c>
      <c r="N218" s="1" t="inlineStr">
        <is>
          <t>Business to Consumer, Business to Government, Business to Schools</t>
        </is>
      </c>
      <c r="O218" s="1" t="inlineStr">
        <is>
          <t>Secondary Education, Higher Education, Corporate Training, Lifelong learning/Adult education</t>
        </is>
      </c>
      <c r="P218" s="1" t="inlineStr">
        <is>
          <t>System/Administrative, Student interfacing, Teacher interfacing</t>
        </is>
      </c>
      <c r="Q218" t="inlineStr">
        <is>
          <t>JUDICIA</t>
        </is>
      </c>
      <c r="R218" t="inlineStr">
        <is>
          <t>JUDICIA, the serious game that allows to know its rights</t>
        </is>
      </c>
      <c r="S218" t="inlineStr">
        <is>
          <t>https://drive.google.com/uc?export=view&amp;id=1OobHUoE1398omjrJuU_Jjy2mxrcb_GAA</t>
        </is>
      </c>
      <c r="T218" t="inlineStr">
        <is>
          <t>https://drive.google.com/uc?export=view&amp;id=1OobHUoE1398omjrJuU_Jjy2mxrcb_GAA</t>
        </is>
      </c>
      <c r="U218" s="1" t="inlineStr">
        <is>
          <t>https://drive.google.com/uc?export=view&amp;id=1OobHUoE1398omjrJuU_Jjy2mxrcb_GAA</t>
        </is>
      </c>
      <c r="V218" s="1" t="inlineStr">
        <is>
          <t>Unverified</t>
        </is>
      </c>
      <c r="Y218" s="10" t="n"/>
      <c r="Z218" s="1" t="n"/>
      <c r="AA218" t="inlineStr">
        <is>
          <t>No</t>
        </is>
      </c>
    </row>
    <row r="219" ht="12.5" customHeight="1">
      <c r="A219" s="6" t="n">
        <v>45182</v>
      </c>
      <c r="B219" s="1" t="inlineStr">
        <is>
          <t>ORG_2251</t>
        </is>
      </c>
      <c r="C219" s="1" t="b">
        <v>1</v>
      </c>
      <c r="D219" s="1" t="inlineStr">
        <is>
          <t>Skill &amp; You</t>
        </is>
      </c>
      <c r="E219" s="10" t="inlineStr">
        <is>
          <t>https://www.skillandyou.com/fr/</t>
        </is>
      </c>
      <c r="F219" t="inlineStr">
        <is>
          <t>skillandyou.com/fr</t>
        </is>
      </c>
      <c r="G219" s="1" t="inlineStr">
        <is>
          <t>Skill &amp; You is a leading European distance vocational learning company. present. The group accounts for 1,200 employees and ove 120,000 learners in France, Spain, Italy, Switzerland, Africa and the UK.
Skill &amp; You France was ranked 53rd in Frenchweb 500.</t>
        </is>
      </c>
      <c r="H219" s="1" t="inlineStr">
        <is>
          <t>EdTech France</t>
        </is>
      </c>
      <c r="J219" s="1" t="inlineStr">
        <is>
          <t>Montrouge</t>
        </is>
      </c>
      <c r="K219" s="1" t="inlineStr">
        <is>
          <t>France</t>
        </is>
      </c>
      <c r="L219" s="1" t="inlineStr">
        <is>
          <t>France, Italy, Spain, Switzerland, United Kingdom</t>
        </is>
      </c>
      <c r="M219" s="1" t="inlineStr">
        <is>
          <t>500+</t>
        </is>
      </c>
      <c r="N219" s="1" t="inlineStr">
        <is>
          <t>Business to Consumer, Business to Government, Business to Schools</t>
        </is>
      </c>
      <c r="O219" s="1" t="inlineStr">
        <is>
          <t>Lifelong learning/Adult education, Vocational Education and Training (VET)</t>
        </is>
      </c>
      <c r="P219" s="1" t="inlineStr">
        <is>
          <t>System/Administrative, Student interfacing</t>
        </is>
      </c>
      <c r="Q219" t="inlineStr">
        <is>
          <t>Vocational training</t>
        </is>
      </c>
      <c r="R219" t="inlineStr">
        <is>
          <t>We provide trainings in many areas (health, food industry, well being, HR, accounting, ...) that lead to a degree and finally a job.
Our learners are students, workers, job seekers, from all ages, willing to acquire or improve new competencies or change field.</t>
        </is>
      </c>
      <c r="S219" s="10" t="inlineStr">
        <is>
          <t>https://drive.google.com/uc?export=view&amp;id=1FVTQVdqlW8QVZPZugWJRjsTHhTgAgy7J</t>
        </is>
      </c>
      <c r="T219" t="inlineStr">
        <is>
          <t>https://drive.google.com/uc?export=view&amp;id=1FVTQVdqlW8QVZPZugWJRjsTHhTgAgy7J</t>
        </is>
      </c>
      <c r="U219" s="1" t="inlineStr">
        <is>
          <t>https://drive.google.com/uc?export=view&amp;id=1FVTQVdqlW8QVZPZugWJRjsTHhTgAgy7J</t>
        </is>
      </c>
      <c r="V219" s="1" t="inlineStr">
        <is>
          <t>Unverified</t>
        </is>
      </c>
      <c r="Y219" s="10" t="n"/>
      <c r="Z219" s="1" t="n"/>
      <c r="AA219" t="inlineStr">
        <is>
          <t>Yes</t>
        </is>
      </c>
      <c r="AC219" t="inlineStr">
        <is>
          <t>https://www.linkedin.com/search/results/all/?fetchDeterministicClustersOnly=true&amp;heroEntityKey=urn%3Ali%3Aorganization%3A412793&amp;keywords=skill%20and%20you&amp;origin=RICH_QUERY_SUGGESTION&amp;position=0&amp;searchId=ff2fd2b7-b141-41e8-b187-f5a18ea8605b&amp;sid=Goo</t>
        </is>
      </c>
      <c r="AD219" t="inlineStr">
        <is>
          <t>https://www.linkedin.com/search/results/all/?fetchDeterministicClustersOnly=true&amp;heroEntityKey=urn%3Ali%3Aorganization%3A412793&amp;keywords=skill%20and%20you&amp;origin=RICH_QUERY_SUGGESTION&amp;position=0&amp;searchId=ff2fd2b7-b141-41e8-b187-f5a18ea8605b&amp;sid=Goo</t>
        </is>
      </c>
    </row>
    <row r="220" ht="12.5" customHeight="1">
      <c r="A220" s="6" t="n">
        <v>45181</v>
      </c>
      <c r="B220" s="1" t="inlineStr">
        <is>
          <t>ORG_1016</t>
        </is>
      </c>
      <c r="C220" s="1" t="b">
        <v>1</v>
      </c>
      <c r="D220" s="1" t="inlineStr">
        <is>
          <t>7Speaking</t>
        </is>
      </c>
      <c r="E220" s="10" t="inlineStr">
        <is>
          <t>https://www.7speaking.com</t>
        </is>
      </c>
      <c r="F220" t="inlineStr">
        <is>
          <t>7speaking.com</t>
        </is>
      </c>
      <c r="G220" s="1" t="inlineStr">
        <is>
          <t>Founded in 2001, 7Speaking has rapidly become a leader in the distance- learning language market. 7Speaking is an innovative French blended-learning company that offers online immersion programs in English, French, Spanish, German and Italian.
We cover every type of linguistic training: individual and group classes, e-learning, social learning, double skill training, news-based lessons, video chat… and every activity is personalized according to the level, profession, sector and interests of learners.
Our key figures:
+ 2000: the number of 7Speaking’s major accounts around the world,
 + 75: the number of 7Speaking’s partners on 5 continents,
 + 20: the number of countries in which 7Speaking is present
(France, Italy, Spain, Germany, Mexico, Brazil, Argentina, Colombia, China, etc.)</t>
        </is>
      </c>
      <c r="H220" s="1" t="inlineStr">
        <is>
          <t>I'm not part of any EdTech association</t>
        </is>
      </c>
      <c r="J220" s="1" t="inlineStr">
        <is>
          <t>COURBEVOIE</t>
        </is>
      </c>
      <c r="K220" s="1" t="inlineStr">
        <is>
          <t>France</t>
        </is>
      </c>
      <c r="L220" s="1" t="inlineStr">
        <is>
          <t>Belgium, France, Germany, Italy, Luxembourg, Portugal, Spain, Turkey</t>
        </is>
      </c>
      <c r="M220" s="1" t="inlineStr">
        <is>
          <t>11 to 50</t>
        </is>
      </c>
      <c r="N220" s="1" t="inlineStr">
        <is>
          <t>Business to Business</t>
        </is>
      </c>
      <c r="O220" s="1" t="inlineStr">
        <is>
          <t>Corporate Training, Lifelong learning/Adult education</t>
        </is>
      </c>
      <c r="P220" s="1" t="inlineStr">
        <is>
          <t>Teacher interfacing, Student interfacing, System/Administrative</t>
        </is>
      </c>
      <c r="S220" t="inlineStr">
        <is>
          <t>https://drive.google.com/uc?export=view&amp;id=1NHaUxnWKf23_Y2ZK_TjavMimWylrYNmv</t>
        </is>
      </c>
      <c r="T220" t="inlineStr">
        <is>
          <t>https://drive.google.com/uc?export=view&amp;id=1NHaUxnWKf23_Y2ZK_TjavMimWylrYNmv</t>
        </is>
      </c>
      <c r="U220" t="inlineStr">
        <is>
          <t>https://drive.google.com/uc?export=view&amp;id=1NHaUxnWKf23_Y2ZK_TjavMimWylrYNmv</t>
        </is>
      </c>
      <c r="V220" t="inlineStr">
        <is>
          <t>Unverified</t>
        </is>
      </c>
      <c r="Y220" s="10" t="n"/>
      <c r="Z220" s="1" t="n"/>
      <c r="AA220" t="inlineStr">
        <is>
          <t>No</t>
        </is>
      </c>
    </row>
    <row r="221" ht="12.5" customHeight="1">
      <c r="A221" s="6" t="n">
        <v>45181</v>
      </c>
      <c r="B221" s="1" t="inlineStr">
        <is>
          <t>ORG_1283</t>
        </is>
      </c>
      <c r="C221" s="1" t="b">
        <v>1</v>
      </c>
      <c r="D221" s="1" t="inlineStr">
        <is>
          <t>COLORI</t>
        </is>
      </c>
      <c r="E221" s="10" t="inlineStr">
        <is>
          <t>https://colori.education/</t>
        </is>
      </c>
      <c r="F221" t="inlineStr">
        <is>
          <t>colori.education</t>
        </is>
      </c>
      <c r="G221" s="1" t="inlineStr">
        <is>
          <t>Created in September 2017, COLORI aims to prepare children for the technological transformations that we are experiencing today. COLORI offers activities to discover coding and technology, for children between 3-8 year old, without screens, after school or during school hours. COLORI offers classes for children and training for the educational community</t>
        </is>
      </c>
      <c r="H221" s="1" t="inlineStr">
        <is>
          <t>EdTech France</t>
        </is>
      </c>
      <c r="J221" s="1" t="inlineStr">
        <is>
          <t>Fontenay sous Bois</t>
        </is>
      </c>
      <c r="K221" s="1" t="inlineStr">
        <is>
          <t>France</t>
        </is>
      </c>
      <c r="L221" s="1" t="inlineStr">
        <is>
          <t>France</t>
        </is>
      </c>
      <c r="M221" s="1" t="inlineStr">
        <is>
          <t>0 to 10</t>
        </is>
      </c>
      <c r="N221" s="1" t="inlineStr">
        <is>
          <t>Business to Business, Business to Consumer, Business to Government</t>
        </is>
      </c>
      <c r="O221" s="1" t="inlineStr">
        <is>
          <t>Primary Education, Corporate Training</t>
        </is>
      </c>
      <c r="P221" s="1" t="inlineStr">
        <is>
          <t>System/Administrative, Student interfacing, Teacher interfacing</t>
        </is>
      </c>
      <c r="Q221" s="10" t="inlineStr">
        <is>
          <t>TRAININGS &amp; CERTIFICATIONS</t>
        </is>
      </c>
      <c r="R221" s="10" t="inlineStr">
        <is>
          <t>The training focuses on the transmission of our pedagogy, COLORI activities and computer concepts.</t>
        </is>
      </c>
      <c r="S221" s="10" t="inlineStr">
        <is>
          <t>CLASSES</t>
        </is>
      </c>
      <c r="T221" t="inlineStr">
        <is>
          <t>For municipalities and schools wishing to roll out after school activities. We work with fifty local councils in France.</t>
        </is>
      </c>
      <c r="U221" s="1" t="inlineStr">
        <is>
          <t>https://drive.google.com/uc?export=view&amp;id=1b7XVmp7dwOIwtZwFFqOBbnGrm1bkPF4D</t>
        </is>
      </c>
      <c r="V221" s="1" t="inlineStr">
        <is>
          <t>Unverified</t>
        </is>
      </c>
      <c r="W221" s="1" t="inlineStr">
        <is>
          <t>https://drive.google.com/uc?export=view&amp;id=1b7XVmp7dwOIwtZwFFqOBbnGrm1bkPF4D</t>
        </is>
      </c>
      <c r="X221" s="1" t="n"/>
      <c r="Y221" s="10" t="n"/>
      <c r="Z221" s="1" t="n"/>
      <c r="AA221" t="inlineStr">
        <is>
          <t>Yes</t>
        </is>
      </c>
      <c r="AB221" t="inlineStr">
        <is>
          <t>https://www.instagram.com/colori.officiel/</t>
        </is>
      </c>
      <c r="AC221" t="inlineStr">
        <is>
          <t>https://twitter.com/COLORIeducation</t>
        </is>
      </c>
      <c r="AD221" t="inlineStr">
        <is>
          <t>https://www.linkedin.com/company/colori-montessori</t>
        </is>
      </c>
    </row>
    <row r="222" ht="12.5" customHeight="1">
      <c r="A222" s="6" t="n">
        <v>45181</v>
      </c>
      <c r="B222" s="1" t="inlineStr">
        <is>
          <t>ORG_1525</t>
        </is>
      </c>
      <c r="C222" s="1" t="b">
        <v>1</v>
      </c>
      <c r="D222" s="1" t="inlineStr">
        <is>
          <t>Evaluo</t>
        </is>
      </c>
      <c r="E222" s="10" t="inlineStr">
        <is>
          <t>https://evaluo.eu/</t>
        </is>
      </c>
      <c r="F222" t="inlineStr">
        <is>
          <t>evaluo.eu</t>
        </is>
      </c>
      <c r="G222" s="1" t="inlineStr">
        <is>
          <t>Evaluo commits to resolve organizational issues of assessment exams.
Evaluo is an online solution which ensures an optimal experience to educational institutions, from the creation of subjects throught the conduct of the tests to the marking script.
The solution is adaptable to almost all digital interfaces and allows educational institutions, training organizations and companies to manage the entire exams process.
In face to face, hybrid or at distance education, Evaluo reponds in many cases : entrance examination, continious monitoring, certified exams, written and oral tests, ...
The solution integrates certification referentials required for graduation.</t>
        </is>
      </c>
      <c r="H222" s="1" t="inlineStr">
        <is>
          <t>EdTech France</t>
        </is>
      </c>
      <c r="J222" s="1" t="inlineStr">
        <is>
          <t>PARIS</t>
        </is>
      </c>
      <c r="K222" s="1" t="inlineStr">
        <is>
          <t>France</t>
        </is>
      </c>
      <c r="L222" s="1" t="inlineStr">
        <is>
          <t>France</t>
        </is>
      </c>
      <c r="M222" s="1" t="inlineStr">
        <is>
          <t>0 to 10</t>
        </is>
      </c>
      <c r="N222" s="1" t="inlineStr">
        <is>
          <t>Business to Business, Business to Government, Business to Schools</t>
        </is>
      </c>
      <c r="O222" s="1" t="inlineStr">
        <is>
          <t>Secondary Education, Higher Education, Corporate Training</t>
        </is>
      </c>
      <c r="P222" s="1" t="inlineStr">
        <is>
          <t>Student interfacing, Teacher interfacing, System/Administrative</t>
        </is>
      </c>
      <c r="Q222" s="1" t="inlineStr">
        <is>
          <t>Evaluo Premium</t>
        </is>
      </c>
      <c r="R222" s="10" t="inlineStr">
        <is>
          <t>Evaluo premium offers unlimited access to the main features of the application. With Premium, educational institutions have everything they need to run secure exams :
- Creation of exam topics
- Smooth student interface
- Flexible organization of exams
- Waiting room for students
- Monitoring room
- Chat
- Marking module
- Anti-cheating system</t>
        </is>
      </c>
      <c r="S222" s="10" t="inlineStr">
        <is>
          <t>Evaluo Proctoring</t>
        </is>
      </c>
      <c r="T222" t="inlineStr">
        <is>
          <t>Evaluo proctoring provides educational institutions with additional security in the organization of exams. Exams are monitored in live thanks to video surveillance by supervisors of the establishment or provided by Evaluo.
This technology allows establishments to guarantee the integrity of a face-to-face or remote examination. Supervisors can add comments about students, chat with struggling students, and block cheating students.</t>
        </is>
      </c>
      <c r="U222" s="1" t="inlineStr">
        <is>
          <t>https://drive.google.com/uc?export=view&amp;id=14Ba0fXAI1cuNvOLDuQ_FShFSG1YeO6zR</t>
        </is>
      </c>
      <c r="V222" s="1" t="inlineStr">
        <is>
          <t>Unverified</t>
        </is>
      </c>
      <c r="W222" s="1" t="inlineStr">
        <is>
          <t>https://drive.google.com/uc?export=view&amp;id=14Ba0fXAI1cuNvOLDuQ_FShFSG1YeO6zR</t>
        </is>
      </c>
      <c r="X222" s="1" t="n"/>
      <c r="Y222" s="10" t="n"/>
      <c r="Z222" s="1" t="n"/>
      <c r="AA222" t="inlineStr">
        <is>
          <t>Yes</t>
        </is>
      </c>
      <c r="AB222" t="inlineStr">
        <is>
          <t>Evaluo</t>
        </is>
      </c>
      <c r="AC222" t="inlineStr">
        <is>
          <t>https://twitter.com/evaluo20</t>
        </is>
      </c>
      <c r="AD222" t="inlineStr">
        <is>
          <t>https://www.linkedin.com/company/e-valuo/?viewAsMember=true</t>
        </is>
      </c>
    </row>
    <row r="223" ht="12.5" customHeight="1">
      <c r="A223" s="6" t="n">
        <v>45181</v>
      </c>
      <c r="B223" s="1" t="inlineStr">
        <is>
          <t>ORG_1718</t>
        </is>
      </c>
      <c r="C223" s="1" t="b">
        <v>1</v>
      </c>
      <c r="D223" s="1" t="inlineStr">
        <is>
          <t>Impala</t>
        </is>
      </c>
      <c r="E223" s="10" t="inlineStr">
        <is>
          <t>impala.in</t>
        </is>
      </c>
      <c r="F223" t="inlineStr">
        <is>
          <t>impala.in</t>
        </is>
      </c>
      <c r="G223" s="1" t="inlineStr">
        <is>
          <t>Impala aims to empower people to make conscious and coherent career decisions.</t>
        </is>
      </c>
      <c r="H223" s="1" t="inlineStr">
        <is>
          <t>EdTech France</t>
        </is>
      </c>
      <c r="J223" s="1" t="inlineStr">
        <is>
          <t>PARIS</t>
        </is>
      </c>
      <c r="K223" s="1" t="inlineStr">
        <is>
          <t>France</t>
        </is>
      </c>
      <c r="L223" s="1" t="inlineStr">
        <is>
          <t>France</t>
        </is>
      </c>
      <c r="M223" s="1" t="inlineStr">
        <is>
          <t>11 to 50</t>
        </is>
      </c>
      <c r="N223" s="1" t="inlineStr">
        <is>
          <t>Business to Business, Business to Schools</t>
        </is>
      </c>
      <c r="O223" s="1" t="inlineStr">
        <is>
          <t>Secondary Education, Higher Education, Lifelong learning/Adult education</t>
        </is>
      </c>
      <c r="P223" s="1" t="inlineStr">
        <is>
          <t>System/Administrative, Student interfacing, Teacher interfacing</t>
        </is>
      </c>
      <c r="Q223" t="inlineStr">
        <is>
          <t>Impala for schools</t>
        </is>
      </c>
      <c r="R223" s="10" t="inlineStr">
        <is>
          <t>We're providing tools and pedagogical content helping students to find who they are, what they like and what they want to do. Moreover, we offer content, training and tools to professors to help them guide their class.</t>
        </is>
      </c>
      <c r="S223" s="10" t="inlineStr">
        <is>
          <t>https://drive.google.com/uc?export=view&amp;id=1yE96NIiFdV0L9XjQ05QgNUQGTPd-wZyJ</t>
        </is>
      </c>
      <c r="T223" t="inlineStr">
        <is>
          <t>https://drive.google.com/uc?export=view&amp;id=1yE96NIiFdV0L9XjQ05QgNUQGTPd-wZyJ</t>
        </is>
      </c>
      <c r="U223" s="1" t="inlineStr">
        <is>
          <t>https://drive.google.com/uc?export=view&amp;id=1yE96NIiFdV0L9XjQ05QgNUQGTPd-wZyJ</t>
        </is>
      </c>
      <c r="V223" s="1" t="inlineStr">
        <is>
          <t>Unverified</t>
        </is>
      </c>
      <c r="Y223" s="10" t="n"/>
      <c r="Z223" s="1" t="n"/>
      <c r="AA223" t="inlineStr">
        <is>
          <t>Yes</t>
        </is>
      </c>
      <c r="AB223" t="inlineStr">
        <is>
          <t>https://twitter.com/ImpalaEdu</t>
        </is>
      </c>
      <c r="AC223" t="inlineStr">
        <is>
          <t>https://twitter.com/ImpalaEdu</t>
        </is>
      </c>
      <c r="AD223" t="inlineStr">
        <is>
          <t>https://www.linkedin.com/company/10779330/</t>
        </is>
      </c>
    </row>
    <row r="224" ht="12.5" customHeight="1">
      <c r="A224" s="6" t="n">
        <v>45181</v>
      </c>
      <c r="B224" s="1" t="inlineStr">
        <is>
          <t>ORG_1778</t>
        </is>
      </c>
      <c r="C224" s="1" t="b">
        <v>1</v>
      </c>
      <c r="D224" s="1" t="inlineStr">
        <is>
          <t>Kirae</t>
        </is>
      </c>
      <c r="E224" s="10" t="inlineStr">
        <is>
          <t>https://kirae.io</t>
        </is>
      </c>
      <c r="F224" t="inlineStr">
        <is>
          <t>kirae.io</t>
        </is>
      </c>
      <c r="G224" s="1" t="inlineStr">
        <is>
          <t>We use gaming and cognitive sciences to build a sustainable Future of Work. We empower workers and future workers to face transformations by helping them to identify, train and certify soft skills.</t>
        </is>
      </c>
      <c r="H224" s="1" t="inlineStr">
        <is>
          <t>EdTech France</t>
        </is>
      </c>
      <c r="J224" s="1" t="inlineStr">
        <is>
          <t>RENNES</t>
        </is>
      </c>
      <c r="K224" s="1" t="inlineStr">
        <is>
          <t>France</t>
        </is>
      </c>
      <c r="L224" s="1" t="inlineStr">
        <is>
          <t>France</t>
        </is>
      </c>
      <c r="M224" s="1" t="inlineStr">
        <is>
          <t>0 to 10</t>
        </is>
      </c>
      <c r="N224" s="1" t="inlineStr">
        <is>
          <t>Business to Consumer, Business to Government, Business to Schools</t>
        </is>
      </c>
      <c r="O224" s="1" t="inlineStr">
        <is>
          <t>Higher Education, Corporate Training, Lifelong learning/Adult education</t>
        </is>
      </c>
      <c r="P224" s="1" t="inlineStr">
        <is>
          <t>Teacher interfacing, Student interfacing, System/Administrative</t>
        </is>
      </c>
      <c r="Q224" s="10" t="inlineStr">
        <is>
          <t>Kirae</t>
        </is>
      </c>
      <c r="R224" s="10" t="inlineStr">
        <is>
          <t>We design mobile games to help our users score and develop their adaptability, focus, multitasking or planning skills, and we deliver Open Badges to help them advertise for their soft skills to a manager or a recruiter.</t>
        </is>
      </c>
      <c r="S224" s="10" t="inlineStr">
        <is>
          <t>https://drive.google.com/uc?export=view&amp;id=1bsx5yJvwRECNfXqdsZiocslTVHdYJ9yr</t>
        </is>
      </c>
      <c r="T224" t="inlineStr">
        <is>
          <t>https://drive.google.com/uc?export=view&amp;id=1bsx5yJvwRECNfXqdsZiocslTVHdYJ9yr</t>
        </is>
      </c>
      <c r="U224" s="1" t="inlineStr">
        <is>
          <t>https://drive.google.com/uc?export=view&amp;id=1bsx5yJvwRECNfXqdsZiocslTVHdYJ9yr</t>
        </is>
      </c>
      <c r="V224" s="1" t="inlineStr">
        <is>
          <t>Unverified</t>
        </is>
      </c>
      <c r="Y224" s="10" t="n"/>
      <c r="Z224" s="1" t="n"/>
      <c r="AA224" t="inlineStr">
        <is>
          <t>Yes</t>
        </is>
      </c>
      <c r="AB224" t="inlineStr">
        <is>
          <t>https://www.instagram.com/kirae.learning/</t>
        </is>
      </c>
      <c r="AC224" t="inlineStr">
        <is>
          <t>https://twitter.com/kiraelearning</t>
        </is>
      </c>
      <c r="AD224" t="inlineStr">
        <is>
          <t>https://www.linkedin.com/company/kirae/</t>
        </is>
      </c>
    </row>
    <row r="225" ht="12.5" customHeight="1">
      <c r="A225" s="6" t="n">
        <v>45181</v>
      </c>
      <c r="B225" s="1" t="inlineStr">
        <is>
          <t>ORG_1737</t>
        </is>
      </c>
      <c r="C225" s="1" t="b">
        <v>1</v>
      </c>
      <c r="D225" s="1" t="inlineStr">
        <is>
          <t>IPESLAND</t>
        </is>
      </c>
      <c r="E225" s="10" t="inlineStr">
        <is>
          <t>www.ipesland.com</t>
        </is>
      </c>
      <c r="F225" t="inlineStr">
        <is>
          <t>ipesland.com</t>
        </is>
      </c>
      <c r="G225" s="1" t="inlineStr">
        <is>
          <t>THE CHALLENGE: 
85% of the jobs of 2030 do not yet exist!
How to retain talent by renewing confidence and motivation in an increasingly complex environment? 
How to prepare teams for their evolution while ensuring their well-being? The demand for emotional intelligence (EI) skills is expected to increase sixfold over the next five years.
"In creating IPESLAND, I chose to combine my passion for neuroscience, health prevention and emotional intelligence management. Respecting one's internal ecology (emotions, motivations, and perceptions) remains a very important driver for his creative and productive performance. IPESLAND: explore I images, P thoughts (pensées in French), E emotions, S sensations to help everyone feel, learn and act in the form of a serious game." Laurence Descamps, the founder
THE SOLUTION: 
IPESLAND offers a hybrid training in immersive learning, which favors the rise in emotional and cognitive skills thanks to a virtual reality application supervised by a certified coach. IPESLAND accompanies individuals and teams in the transition phases of the corporate life cycle from onboarding to offboarding. We address the issues of stress management, absenteeism, and turnover.
Turnkey solution to recreate the link with oneself, one's collaborators, and one's clients to renew confidence and motivation and to develop emotional skills such as empathy, authenticity, flexibility, and societal awareness, which are essential to support digital changes.
OUR ADDED VALUE IN 4 POINTS: 
➡️ the virtual reality application AllerVRsoi (+ 30 possible courses and 8 levels of progression): has been the subject of a scientific study and allows psychocognitive restructuring
➡️ platform that allows you to evaluate your progress through questionnaires
➡️perspective from the coach 
➡️ an individual method entirely in remote learning</t>
        </is>
      </c>
      <c r="H225" s="1" t="inlineStr">
        <is>
          <t>I'm not part of any EdTech association</t>
        </is>
      </c>
      <c r="J225" s="1" t="inlineStr">
        <is>
          <t>BOULOGNE BILLANCOURT</t>
        </is>
      </c>
      <c r="K225" s="1" t="inlineStr">
        <is>
          <t>France</t>
        </is>
      </c>
      <c r="L225" s="1" t="inlineStr">
        <is>
          <t>France</t>
        </is>
      </c>
      <c r="M225" s="1" t="inlineStr">
        <is>
          <t>0 to 10</t>
        </is>
      </c>
      <c r="N225" s="1" t="inlineStr">
        <is>
          <t>Business to Business</t>
        </is>
      </c>
      <c r="O225" s="1" t="inlineStr">
        <is>
          <t>Corporate Training</t>
        </is>
      </c>
      <c r="P225" s="1" t="inlineStr">
        <is>
          <t>System/Administrative</t>
        </is>
      </c>
      <c r="S225" t="inlineStr">
        <is>
          <t>https://drive.google.com/uc?export=view&amp;id=1_LHB4kmfWswxuwLURNe2O4US1JyMmNEr</t>
        </is>
      </c>
      <c r="T225" t="inlineStr">
        <is>
          <t>https://drive.google.com/uc?export=view&amp;id=1_LHB4kmfWswxuwLURNe2O4US1JyMmNEr</t>
        </is>
      </c>
      <c r="U225" t="inlineStr">
        <is>
          <t>https://drive.google.com/uc?export=view&amp;id=1_LHB4kmfWswxuwLURNe2O4US1JyMmNEr</t>
        </is>
      </c>
      <c r="V225" t="inlineStr">
        <is>
          <t>Unverified</t>
        </is>
      </c>
      <c r="Y225" s="10" t="n"/>
      <c r="Z225" s="1" t="n"/>
      <c r="AA225" t="inlineStr">
        <is>
          <t>No</t>
        </is>
      </c>
    </row>
    <row r="226" ht="12.5" customHeight="1">
      <c r="A226" s="6" t="n">
        <v>45181</v>
      </c>
      <c r="B226" s="1" t="inlineStr">
        <is>
          <t>ORG_1827</t>
        </is>
      </c>
      <c r="C226" s="1" t="b">
        <v>1</v>
      </c>
      <c r="D226" s="1" t="inlineStr">
        <is>
          <t>LearnEnjoy</t>
        </is>
      </c>
      <c r="E226" s="10" t="inlineStr">
        <is>
          <t>www.learnenjoy.com</t>
        </is>
      </c>
      <c r="F226" t="inlineStr">
        <is>
          <t>learnenjoy.com</t>
        </is>
      </c>
      <c r="G226" s="1" t="inlineStr">
        <is>
          <t>LearnEnjoy fights against school dropout, from the fundamental learning stages of kindergarten and first grade, right up to the 9th grade, thanks to digital tools designed for all students without exception. With a proven educational and social impact on thousands of students, LearnEnjoy offers digital applications and training modules which have been accompanying public policies since 2013.
Our applications, which are real tools for monitoring student progress, were developed with the support of the Ministry of Education, in close collaboration with research institutes and teachers in the field. Our applications are adapted to all conditions of use : they do not require any internet connection!
We complement the use of our educational resources with dedicated training modules, co-designed with teachers, educational advisors and teachers.</t>
        </is>
      </c>
      <c r="H226" s="1" t="inlineStr">
        <is>
          <t>AFINEF, EdTech France</t>
        </is>
      </c>
      <c r="I226" s="1" t="inlineStr">
        <is>
          <t>English, French, Italian</t>
        </is>
      </c>
      <c r="J226" s="1" t="inlineStr">
        <is>
          <t>LEVALLOIS-PERRET</t>
        </is>
      </c>
      <c r="K226" s="1" t="inlineStr">
        <is>
          <t>France</t>
        </is>
      </c>
      <c r="L226" s="1" t="inlineStr">
        <is>
          <t>Belgium, France</t>
        </is>
      </c>
      <c r="M226" s="1" t="inlineStr">
        <is>
          <t>11 to 50</t>
        </is>
      </c>
      <c r="N226" s="1" t="inlineStr">
        <is>
          <t>Business to Business, Business to Government, Business to Schools</t>
        </is>
      </c>
      <c r="O226" s="1" t="inlineStr">
        <is>
          <t>Early childhood development (0-5 years)</t>
        </is>
      </c>
      <c r="P226" s="1" t="inlineStr">
        <is>
          <t>Student interfacing, Teacher interfacing, System/Administrative</t>
        </is>
      </c>
      <c r="Q226" t="inlineStr">
        <is>
          <t>PreSchool</t>
        </is>
      </c>
      <c r="R226" s="10" t="inlineStr">
        <is>
          <t>PreSchool, adapted teaching materials, is an application designed to help all pupils, without exception, from kindergarten, young or old, to access primary learning. Thanks to a fine breakdown of skills and thanks to a precise monitoring of the pupil's progress, the application assists each pupil at his/her own pace: https://www.youtube.com/watch?v=kW-NOzqI32c</t>
        </is>
      </c>
      <c r="S226" s="10" t="inlineStr">
        <is>
          <t>School</t>
        </is>
      </c>
      <c r="T226" t="inlineStr">
        <is>
          <t>School, adapted teaching materials, is an application designed to help all pupils, without exception, from the first grade, young or old, to access fundamental learning. Thanks to a fine breakdown of skills and thanks to a precise monitoring of the pupil's progress, the application assists each pupil at his/her own pace: https://www.youtube.com/watch?v=kW-NOzqI32c</t>
        </is>
      </c>
      <c r="U226" s="1" t="inlineStr">
        <is>
          <t>https://drive.google.com/uc?export=view&amp;id=1lbQk3vPTUH5MT1DgN1OpgR5RetNEKAFz</t>
        </is>
      </c>
      <c r="V226" s="1" t="inlineStr">
        <is>
          <t>Unverified</t>
        </is>
      </c>
      <c r="W226" s="1" t="inlineStr">
        <is>
          <t>https://drive.google.com/uc?export=view&amp;id=1lbQk3vPTUH5MT1DgN1OpgR5RetNEKAFz</t>
        </is>
      </c>
      <c r="X226" s="1" t="n"/>
      <c r="Y226" s="10" t="n"/>
      <c r="Z226" s="1" t="n"/>
      <c r="AA226" t="inlineStr">
        <is>
          <t>Yes</t>
        </is>
      </c>
      <c r="AB226" t="inlineStr">
        <is>
          <t>https://twitter.com/learnenjoy</t>
        </is>
      </c>
      <c r="AC226" t="inlineStr">
        <is>
          <t>https://twitter.com/learnenjoy</t>
        </is>
      </c>
      <c r="AD226" t="inlineStr">
        <is>
          <t>https://www.linkedin.com/company/learnenjoy/mycompany/</t>
        </is>
      </c>
    </row>
    <row r="227" ht="12.5" customHeight="1">
      <c r="A227" s="6" t="n">
        <v>45181</v>
      </c>
      <c r="B227" s="1" t="inlineStr">
        <is>
          <t>ORG_2071</t>
        </is>
      </c>
      <c r="C227" s="1" t="b">
        <v>1</v>
      </c>
      <c r="D227" s="1" t="inlineStr">
        <is>
          <t>Open Digital Education</t>
        </is>
      </c>
      <c r="E227" s="10" t="inlineStr">
        <is>
          <t>https://opendigitaleducation.com/index.php?lang=en</t>
        </is>
      </c>
      <c r="F227" t="inlineStr">
        <is>
          <t>opendigitaleducation.com/index.php?lang=en</t>
        </is>
      </c>
      <c r="G227" s="1" t="inlineStr">
        <is>
          <t>Open Digital Education is a start-up founded in 2011 by Arnaud Albou and Olivier Vigneau. After successfully launching ONE, the first educational social network designed for elementary schools, Open Digital Education went even further by creating NEO, a collaborative network designed for middle schools and high schools. 
What motivates us? Bringing together those who teach, learn, and contribute to the education of young generations. Simplifying teachers’ lives by offering a secure tool designed for collaboration, communication, and creation. We work tirelessly to place students at the heart of what we do, empower them to take charge of their education, and promote their creativity and academic success.
ONE and NEO are present in 21 countries and already have nearly 9 million users!</t>
        </is>
      </c>
      <c r="H227" s="1" t="inlineStr">
        <is>
          <t>EdTech France</t>
        </is>
      </c>
      <c r="J227" s="1" t="inlineStr">
        <is>
          <t>PARIS</t>
        </is>
      </c>
      <c r="K227" s="1" t="inlineStr">
        <is>
          <t>France</t>
        </is>
      </c>
      <c r="L227" s="1" t="inlineStr">
        <is>
          <t>Belgium, France, Germany, Italy, Portugal, Spain</t>
        </is>
      </c>
      <c r="M227" s="1" t="inlineStr">
        <is>
          <t>11 to 50</t>
        </is>
      </c>
      <c r="N227" s="1" t="inlineStr">
        <is>
          <t>Business to Business, Business to Government, Business to Schools</t>
        </is>
      </c>
      <c r="O227" s="1" t="inlineStr">
        <is>
          <t>Primary Education, Secondary Education</t>
        </is>
      </c>
      <c r="P227" s="1" t="inlineStr">
        <is>
          <t>System/Administrative, Teacher interfacing</t>
        </is>
      </c>
      <c r="Q227" s="1" t="inlineStr">
        <is>
          <t>ONE</t>
        </is>
      </c>
      <c r="R227" s="10" t="inlineStr">
        <is>
          <t>ONE is the first educational social network designed for elementary schools. ONE addresses many uses: 
- Bringing the educational community together at a school or district level 
- Offering teachers a series of applications that are 100% useful, secured and easy to use
- Communicating with families more easily and encouraging their involvement
- Collaborating with peers, creating more captivating content</t>
        </is>
      </c>
      <c r="S227" s="10" t="inlineStr">
        <is>
          <t>NEO</t>
        </is>
      </c>
      <c r="T227" t="inlineStr">
        <is>
          <t>NEO is a collaborative social network designed for middle schools and high schools. It’s a secure tool designed for collaboration, communication, and creation. Teachers and students have a wide variety of tools to create all their content. They can take their collaborative projects to the next level, by organizing interactive assignments with other classes, years, or even schools.</t>
        </is>
      </c>
      <c r="U227" s="1" t="inlineStr">
        <is>
          <t>https://drive.google.com/uc?export=view&amp;id=1v-6iY4N9DA3hgoR68othaWTvbHHaMkTd</t>
        </is>
      </c>
      <c r="V227" s="1" t="inlineStr">
        <is>
          <t>Unverified</t>
        </is>
      </c>
      <c r="W227" s="1" t="inlineStr">
        <is>
          <t>https://drive.google.com/uc?export=view&amp;id=1v-6iY4N9DA3hgoR68othaWTvbHHaMkTd</t>
        </is>
      </c>
      <c r="X227" s="1" t="n"/>
      <c r="Y227" s="10" t="n"/>
      <c r="Z227" s="1" t="n"/>
      <c r="AA227" t="inlineStr">
        <is>
          <t>Yes</t>
        </is>
      </c>
      <c r="AB227" t="inlineStr">
        <is>
          <t>Open Digital Education</t>
        </is>
      </c>
      <c r="AC227" t="inlineStr">
        <is>
          <t>https://twitter.com/OpenDigitEduc</t>
        </is>
      </c>
      <c r="AD227" t="inlineStr">
        <is>
          <t>https://fr.linkedin.com/company/open-digital-education</t>
        </is>
      </c>
    </row>
    <row r="228" ht="12.5" customHeight="1">
      <c r="A228" s="6" t="n">
        <v>45181</v>
      </c>
      <c r="B228" s="1" t="inlineStr">
        <is>
          <t>ORG_2157</t>
        </is>
      </c>
      <c r="C228" s="1" t="b">
        <v>1</v>
      </c>
      <c r="D228" s="1" t="inlineStr">
        <is>
          <t>Rapidmooc</t>
        </is>
      </c>
      <c r="E228" s="10" t="inlineStr">
        <is>
          <t>https://rapidmooc.com/</t>
        </is>
      </c>
      <c r="F228" t="inlineStr">
        <is>
          <t>rapidmooc.com</t>
        </is>
      </c>
      <c r="G228" s="1" t="inlineStr">
        <is>
          <t>Create professional quality videos in minutes with the Rapidmooc range of self-serve all-in-one video studios!
The Rapidmooc solution is the ultimate combination of top of the range video &amp; audio equipments in slick, customizable units, powered by the Rapidmooc application, designed to empower any individual to record or broadcast live professional quality video, no technical expertise required, no crew needed.
Rapidmooc studios are deployed in more than 400 universities and companies around the world. Our devices considerably simplify the massive production of training and communication video content, to enable a cost effective digital transformation of organizations !</t>
        </is>
      </c>
      <c r="H228" s="1" t="inlineStr">
        <is>
          <t>EdTech France</t>
        </is>
      </c>
      <c r="J228" s="1" t="inlineStr">
        <is>
          <t>LYON</t>
        </is>
      </c>
      <c r="K228" s="1" t="inlineStr">
        <is>
          <t>France</t>
        </is>
      </c>
      <c r="L228" s="1" t="inlineStr">
        <is>
          <t>Belgium, France, Germany, Italy, Spain, Sweden, Switzerland, United Kingdom</t>
        </is>
      </c>
      <c r="M228" s="1" t="inlineStr">
        <is>
          <t>11 to 50</t>
        </is>
      </c>
      <c r="N228" s="1" t="inlineStr">
        <is>
          <t>Business to Consumer, Business to Schools</t>
        </is>
      </c>
      <c r="O228" s="1" t="inlineStr">
        <is>
          <t>Higher Education, Corporate Training, Lifelong learning/Adult education</t>
        </is>
      </c>
      <c r="P228" s="1" t="inlineStr">
        <is>
          <t>Teacher interfacing, Student interfacing, System/Administrative</t>
        </is>
      </c>
      <c r="Q228" t="inlineStr">
        <is>
          <t>Rapidmooc Pro Range</t>
        </is>
      </c>
      <c r="R228" s="10" t="inlineStr">
        <is>
          <t>Video studio with large touchscreen (43'' or 27'') for a maximum ease of use and convenience, with multiple features (teleprompter, live videos, webmeetings, post-production)</t>
        </is>
      </c>
      <c r="S228" s="10" t="inlineStr">
        <is>
          <t>Rapidmooc Go</t>
        </is>
      </c>
      <c r="T228" t="inlineStr">
        <is>
          <t>Mobile video studio with a small touchscreen (12''), adaptable to any type of work environment. Frame on wheels, removable to put the top part of the device on any support.</t>
        </is>
      </c>
      <c r="U228" s="1" t="inlineStr">
        <is>
          <t>https://drive.google.com/uc?export=view&amp;id=1kZeQu4tt7k_ZJiH40UHm5QmTgaLwisVR</t>
        </is>
      </c>
      <c r="V228" s="1" t="inlineStr">
        <is>
          <t>Unverified</t>
        </is>
      </c>
      <c r="W228" s="1" t="inlineStr">
        <is>
          <t>https://drive.google.com/uc?export=view&amp;id=1kZeQu4tt7k_ZJiH40UHm5QmTgaLwisVR</t>
        </is>
      </c>
      <c r="X228" s="1" t="n"/>
      <c r="Y228" s="10" t="n"/>
      <c r="Z228" s="1" t="n"/>
      <c r="AA228" t="inlineStr">
        <is>
          <t>Yes</t>
        </is>
      </c>
      <c r="AB228" t="inlineStr">
        <is>
          <t>https://twitter.com/rapidmooc</t>
        </is>
      </c>
      <c r="AC228" t="inlineStr">
        <is>
          <t>https://twitter.com/rapidmooc</t>
        </is>
      </c>
      <c r="AD228" t="inlineStr">
        <is>
          <t>https://www.linkedin.com/company/rapidmooc/</t>
        </is>
      </c>
    </row>
    <row r="229" ht="12.5" customHeight="1">
      <c r="A229" s="6" t="n">
        <v>45181</v>
      </c>
      <c r="B229" s="1" t="inlineStr">
        <is>
          <t>ORG_1083</t>
        </is>
      </c>
      <c r="C229" s="1" t="b">
        <v>1</v>
      </c>
      <c r="D229" s="1" t="inlineStr">
        <is>
          <t>Apolearn</t>
        </is>
      </c>
      <c r="E229" s="10" t="inlineStr">
        <is>
          <t>https://apolearn.com/</t>
        </is>
      </c>
      <c r="F229" t="inlineStr">
        <is>
          <t>apolearn.com</t>
        </is>
      </c>
      <c r="G229" s="1" t="inlineStr">
        <is>
          <t>Apolearn provides a social and collaborative Learning Management System that puts people at the heart of your training courses.</t>
        </is>
      </c>
      <c r="H229" s="1" t="inlineStr">
        <is>
          <t>EdTech France</t>
        </is>
      </c>
      <c r="J229" s="1" t="inlineStr">
        <is>
          <t>Saint-Ouen</t>
        </is>
      </c>
      <c r="K229" s="1" t="inlineStr">
        <is>
          <t>France</t>
        </is>
      </c>
      <c r="L229" s="1" t="inlineStr">
        <is>
          <t>France</t>
        </is>
      </c>
      <c r="M229" s="1" t="inlineStr">
        <is>
          <t>11 to 50</t>
        </is>
      </c>
      <c r="N229" s="1" t="inlineStr">
        <is>
          <t>Business to Business</t>
        </is>
      </c>
      <c r="O229" s="1" t="inlineStr">
        <is>
          <t>Higher Education, Corporate Training, Lifelong learning/Adult education</t>
        </is>
      </c>
      <c r="P229" s="1" t="inlineStr">
        <is>
          <t>Teacher interfacing, System/Administrative</t>
        </is>
      </c>
      <c r="Q229" t="inlineStr">
        <is>
          <t>Apolearn</t>
        </is>
      </c>
      <c r="R229" s="10" t="inlineStr">
        <is>
          <t>Apolearn is the digital learning platform that puts people at the heart of your training courses. Our LMS provides everything you need to create and animate blended and distance courses.</t>
        </is>
      </c>
      <c r="S229" s="10" t="inlineStr">
        <is>
          <t>https://drive.google.com/uc?export=view&amp;id=13xT1Ii3usn9h_dHWUs7-6Zbm7EJzBnJL</t>
        </is>
      </c>
      <c r="T229" t="inlineStr">
        <is>
          <t>https://drive.google.com/uc?export=view&amp;id=13xT1Ii3usn9h_dHWUs7-6Zbm7EJzBnJL</t>
        </is>
      </c>
      <c r="U229" s="1" t="inlineStr">
        <is>
          <t>https://drive.google.com/uc?export=view&amp;id=13xT1Ii3usn9h_dHWUs7-6Zbm7EJzBnJL</t>
        </is>
      </c>
      <c r="V229" s="1" t="inlineStr">
        <is>
          <t>Unverified</t>
        </is>
      </c>
      <c r="Y229" s="10" t="n"/>
      <c r="Z229" s="1" t="n"/>
      <c r="AA229" t="inlineStr">
        <is>
          <t>Yes</t>
        </is>
      </c>
      <c r="AB229" t="inlineStr">
        <is>
          <t>https://twitter.com/apolearn</t>
        </is>
      </c>
      <c r="AC229" t="inlineStr">
        <is>
          <t>https://twitter.com/apolearn</t>
        </is>
      </c>
      <c r="AD229" t="inlineStr">
        <is>
          <t>https://www.linkedin.com/company/apolearn</t>
        </is>
      </c>
    </row>
    <row r="230" ht="12.5" customHeight="1">
      <c r="A230" s="6" t="n">
        <v>45181</v>
      </c>
      <c r="B230" s="1" t="inlineStr">
        <is>
          <t>ORG_1379</t>
        </is>
      </c>
      <c r="C230" s="1" t="b">
        <v>1</v>
      </c>
      <c r="D230" s="1" t="inlineStr">
        <is>
          <t>doubleYou Kids</t>
        </is>
      </c>
      <c r="E230" s="10" t="inlineStr">
        <is>
          <t>https://www.doubleyoukids.com</t>
        </is>
      </c>
      <c r="F230" t="inlineStr">
        <is>
          <t>doubleyoukids.com</t>
        </is>
      </c>
      <c r="G230" s="1" t="inlineStr">
        <is>
          <t>doubleYou Kids aims to create a new way to learn through vocal interactions with affective virtual characters, as fun study support for kids.
« Double » of parents or teachers, our virtual tutors are embedded in smartphone/tablet apps, to provide individualized learning program through skill assessments.
Our apps engage children in playful autonomous learning out loud through vocal quizzes, 3D games and AR/VR experiences. Parents and teachers can assign homework among thousands of educational contents, through messaging or schoolwork apps, and then follow their progress.
To provide fully-embedded educational games, we’ve developed our own technology that provides the missing link between speech recognition and expressive text to speech, and third-party APIs integration such as AR/VR engines.</t>
        </is>
      </c>
      <c r="H230" s="1" t="inlineStr">
        <is>
          <t>EdTech France</t>
        </is>
      </c>
      <c r="J230" s="1" t="inlineStr">
        <is>
          <t>Paris</t>
        </is>
      </c>
      <c r="K230" s="1" t="inlineStr">
        <is>
          <t>France</t>
        </is>
      </c>
      <c r="L230" s="1" t="inlineStr">
        <is>
          <t>Andorra, Belgium, Denmark, Finland, France, Ireland, Norway, Sweden, Switzerland, United Kingdom</t>
        </is>
      </c>
      <c r="M230" s="1" t="inlineStr">
        <is>
          <t>0 to 10</t>
        </is>
      </c>
      <c r="N230" s="1" t="inlineStr">
        <is>
          <t>Business to Business, Business to Consumer</t>
        </is>
      </c>
      <c r="O230" s="1" t="inlineStr">
        <is>
          <t>Primary Education</t>
        </is>
      </c>
      <c r="P230" s="1" t="inlineStr">
        <is>
          <t>System/Administrative, Student interfacing, Teacher interfacing</t>
        </is>
      </c>
      <c r="Q230" t="inlineStr">
        <is>
          <t>AppStore Math8 Leon's Vocal Games (English and French)</t>
        </is>
      </c>
      <c r="R230" s="10" t="inlineStr">
        <is>
          <t>This app designed for kids ages 7 to 10 allows math learning while having fun with the 3D talking character « Leon ». Utilizing an initial skill assessment, Leon builds an individualized math curricula to meet each child's needs. Always encouraging, Leon helps by giving hints and specific lessons. Leon travels the Earth with children and helps them discover specific regions through 360° VR videos.</t>
        </is>
      </c>
      <c r="S230" s="10" t="inlineStr">
        <is>
          <t>AppStore Math8 for School (English and French)</t>
        </is>
      </c>
      <c r="T230" t="inlineStr">
        <is>
          <t>With Math8 for School, teachers can assign Math8 homework through the Apple « schoolwork » app. They can access to Math8’s educational content and choose from more than 1,000 games, quizzes and lessons. Children can access and play their homework through schoolwork app and teachers can follow their progress with a complete dashboard (statistics, figures).</t>
        </is>
      </c>
      <c r="U230" s="1" t="inlineStr">
        <is>
          <t>https://drive.google.com/uc?export=view&amp;id=1lx8pg1yp2BYUVOxzrIW2AgMAPn3TUTqQ</t>
        </is>
      </c>
      <c r="V230" s="1" t="inlineStr">
        <is>
          <t>Unverified</t>
        </is>
      </c>
      <c r="W230" s="1" t="inlineStr">
        <is>
          <t>https://drive.google.com/uc?export=view&amp;id=1lx8pg1yp2BYUVOxzrIW2AgMAPn3TUTqQ</t>
        </is>
      </c>
      <c r="X230" s="1" t="n"/>
      <c r="Y230" s="10" t="n"/>
      <c r="Z230" s="1" t="n"/>
      <c r="AA230" t="inlineStr">
        <is>
          <t>Yes</t>
        </is>
      </c>
      <c r="AB230" t="inlineStr">
        <is>
          <t>https://twitter.com/DoubleyouKids</t>
        </is>
      </c>
      <c r="AC230" t="inlineStr">
        <is>
          <t>https://twitter.com/DoubleyouKids</t>
        </is>
      </c>
      <c r="AD230" t="inlineStr">
        <is>
          <t>https://www.linkedin.com/company/doubleyoukids/</t>
        </is>
      </c>
    </row>
    <row r="231" ht="12.5" customHeight="1">
      <c r="A231" s="6" t="n">
        <v>45181</v>
      </c>
      <c r="B231" s="1" t="inlineStr">
        <is>
          <t>ORG_1438</t>
        </is>
      </c>
      <c r="C231" s="1" t="b">
        <v>1</v>
      </c>
      <c r="D231" s="1" t="inlineStr">
        <is>
          <t>edufactory</t>
        </is>
      </c>
      <c r="E231" s="10" t="inlineStr">
        <is>
          <t>www.edufactory.com</t>
        </is>
      </c>
      <c r="F231" t="inlineStr">
        <is>
          <t>edufactory.com</t>
        </is>
      </c>
      <c r="G231" s="1" t="inlineStr">
        <is>
          <t>edufactory is a pioneer in tailored digital learning in France. For over 10 years, our clients have benefited from our expertise in digital learning to develop 100% personalized and innovative training programs.
Our 360° vision covers all your needs when you enter a digitalization process:
- Customized creation (our core business)
- Consulting and support
- Platform solutions
We are constantly looking for the most relevant technologies applied to learning. We base our expertise and pedagogy on neuroscience to offer our clients engaging and differentiating training solutions.</t>
        </is>
      </c>
      <c r="H231" s="1" t="inlineStr">
        <is>
          <t>EdTech France</t>
        </is>
      </c>
      <c r="J231" s="1" t="inlineStr">
        <is>
          <t>Paris</t>
        </is>
      </c>
      <c r="K231" s="1" t="inlineStr">
        <is>
          <t>France</t>
        </is>
      </c>
      <c r="L231" s="1" t="inlineStr">
        <is>
          <t>France</t>
        </is>
      </c>
      <c r="M231" s="1" t="inlineStr">
        <is>
          <t>11 to 50</t>
        </is>
      </c>
      <c r="N231" s="1" t="inlineStr">
        <is>
          <t>Business to Business, Business to Consumer, Business to Government, Business to Schools</t>
        </is>
      </c>
      <c r="O231" s="1" t="inlineStr">
        <is>
          <t>Secondary Education, Higher Education, Corporate Training, Lifelong learning/Adult education</t>
        </is>
      </c>
      <c r="P231" s="1" t="inlineStr">
        <is>
          <t>Student interfacing, System/Administrative</t>
        </is>
      </c>
      <c r="Q231" s="10" t="inlineStr">
        <is>
          <t>Tailor-made creation</t>
        </is>
      </c>
      <c r="R231" s="10" t="inlineStr">
        <is>
          <t>We design our modules entirely on demand:
- all topics: business gestures, technical training, soft skills, HR content, regulations
- all formats: e-learning, serious game, virtual reality, augmented reality, blended learning, video learning, motion design, simulation, micro learning, mobile learning...
- all media: computers, smartphones, tablets, VR headsets
- Graphics : 2D, 3D, actors...</t>
        </is>
      </c>
      <c r="S231" s="10" t="inlineStr">
        <is>
          <t>Advice &amp; support</t>
        </is>
      </c>
      <c r="T231" t="inlineStr">
        <is>
          <t>Our offer is multidisciplinary: acculturation, collaborative workshops, operational recommendations... 
A digital training solution can be delivered through strategic and pedagogical consulting. Our missions can range from a 2-hour drafting of specifications to, for example, 3 years of support for the implementation of a digitalization strategy.</t>
        </is>
      </c>
      <c r="U231" s="1" t="inlineStr">
        <is>
          <t>https://drive.google.com/uc?export=view&amp;id=1Cf92a3a8jsgjm5jq7fx2liJwKsWzXxB6</t>
        </is>
      </c>
      <c r="V231" s="1" t="inlineStr">
        <is>
          <t>Unverified</t>
        </is>
      </c>
      <c r="W231" s="1" t="inlineStr">
        <is>
          <t>https://drive.google.com/uc?export=view&amp;id=1Cf92a3a8jsgjm5jq7fx2liJwKsWzXxB6</t>
        </is>
      </c>
      <c r="X231" s="1" t="n"/>
      <c r="Y231" s="10" t="n"/>
      <c r="Z231" s="1" t="n"/>
      <c r="AA231" t="inlineStr">
        <is>
          <t>Yes</t>
        </is>
      </c>
      <c r="AB231" t="inlineStr">
        <is>
          <t>https://www.instagram.com/_edufactory/?hl=fr</t>
        </is>
      </c>
      <c r="AC231" t="inlineStr">
        <is>
          <t>https://twitter.com/_edufactory</t>
        </is>
      </c>
      <c r="AD231" t="inlineStr">
        <is>
          <t>https://www.linkedin.com/company/edufactory</t>
        </is>
      </c>
    </row>
    <row r="232" ht="12.5" customHeight="1">
      <c r="A232" s="6" t="n">
        <v>45181</v>
      </c>
      <c r="B232" s="1" t="inlineStr">
        <is>
          <t>ORG_1562</t>
        </is>
      </c>
      <c r="C232" s="1" t="b">
        <v>1</v>
      </c>
      <c r="D232" s="1" t="inlineStr">
        <is>
          <t>Fifty</t>
        </is>
      </c>
      <c r="E232" s="10" t="inlineStr">
        <is>
          <t>www.fifty.do</t>
        </is>
      </c>
      <c r="F232" t="inlineStr">
        <is>
          <t>fifty.do</t>
        </is>
      </c>
      <c r="G232" s="1" t="inlineStr">
        <is>
          <t>Fifty bridges the intention-action gap in training and business transformation. Our eDoing solution enables rapid and measurable adoption of new behaviors. It combines behavioral science (nudge) and technology for use at scale. Fifty is used by companies such as Orange, Engie, Schneider Electric and L'Oréal on 4 major issues 
- Leadership and Management
- New ways of working
- Diversity, Inclusion and CSR
- Corporate values.
Translated with www.DeepL.com/Translator (free version)</t>
        </is>
      </c>
      <c r="H232" s="1" t="inlineStr">
        <is>
          <t>EdTech France</t>
        </is>
      </c>
      <c r="J232" s="1" t="inlineStr">
        <is>
          <t>SAINT MANDE</t>
        </is>
      </c>
      <c r="K232" s="1" t="inlineStr">
        <is>
          <t>France</t>
        </is>
      </c>
      <c r="L232" s="1" t="inlineStr">
        <is>
          <t>Belgium, France, Germany, Italy, Luxembourg, Monaco, Spain, United Kingdom</t>
        </is>
      </c>
      <c r="M232" s="1" t="inlineStr">
        <is>
          <t>11 to 50</t>
        </is>
      </c>
      <c r="N232" s="1" t="inlineStr">
        <is>
          <t>Business to Business, Business to Consumer, Business to Government, Business to Schools</t>
        </is>
      </c>
      <c r="O232" s="1" t="inlineStr">
        <is>
          <t>Corporate Training</t>
        </is>
      </c>
      <c r="P232" s="1" t="inlineStr">
        <is>
          <t>System/Administrative</t>
        </is>
      </c>
      <c r="Q232" t="inlineStr">
        <is>
          <t>Fifty</t>
        </is>
      </c>
      <c r="R232" t="inlineStr">
        <is>
          <t>Fifty offers an eDoing platform that combines behavioral science and technology.
It enables to :
- Translate expected behaviors into micro-actions, using our bank of proven and customizable actions
- Recommend these actions to all your employees, through our platform integrated with your existing tools
- Help your employees moving into actions thanks to nudges and social features
- Measure and manage change on a collective scale
With Fifty, anchor behaviors in a simple, empowering and measurable way.</t>
        </is>
      </c>
      <c r="S232" s="10" t="inlineStr">
        <is>
          <t>https://drive.google.com/uc?export=view&amp;id=1x2IVAax4UqTXsiajtvTJ-3jSJo-euwEp</t>
        </is>
      </c>
      <c r="T232" t="inlineStr">
        <is>
          <t>https://drive.google.com/uc?export=view&amp;id=1x2IVAax4UqTXsiajtvTJ-3jSJo-euwEp</t>
        </is>
      </c>
      <c r="U232" s="1" t="inlineStr">
        <is>
          <t>https://drive.google.com/uc?export=view&amp;id=1x2IVAax4UqTXsiajtvTJ-3jSJo-euwEp</t>
        </is>
      </c>
      <c r="V232" s="1" t="inlineStr">
        <is>
          <t>Unverified</t>
        </is>
      </c>
      <c r="Y232" s="10" t="n"/>
      <c r="Z232" s="1" t="n"/>
      <c r="AA232" t="inlineStr">
        <is>
          <t>Yes</t>
        </is>
      </c>
      <c r="AC232" t="inlineStr">
        <is>
          <t>https://www.linkedin.com/company/fifty-edoing/</t>
        </is>
      </c>
      <c r="AD232" t="inlineStr">
        <is>
          <t>https://www.linkedin.com/company/fifty-edoing/</t>
        </is>
      </c>
    </row>
    <row r="233" ht="12.5" customHeight="1">
      <c r="A233" s="6" t="n">
        <v>45181</v>
      </c>
      <c r="B233" s="1" t="inlineStr">
        <is>
          <t>ORG_1671</t>
        </is>
      </c>
      <c r="C233" s="1" t="b">
        <v>1</v>
      </c>
      <c r="D233" s="1" t="inlineStr">
        <is>
          <t>hello RSE</t>
        </is>
      </c>
      <c r="E233" s="10" t="inlineStr">
        <is>
          <t>https://hellorse.fr/</t>
        </is>
      </c>
      <c r="F233" t="inlineStr">
        <is>
          <t>hellorse.fr</t>
        </is>
      </c>
      <c r="G233" s="1" t="inlineStr">
        <is>
          <t>hello RSE is a marketplace with an impact, which offers buyers in the public and private sectors a responsible purchasing tunnel. Its algorithm highlights the most local and virtuous offers and sellers. hello RSE offers digital resources (hardware/software) but is gradually expanding into new areas (furniture, hygiene, office supplies, etc.).
In a market traditionally driven by price, our customers confirm their interest in short circuits, as well as in companies that favour ethics and transparency, diversity and respect for the environment. This is why we have decided to subscribe to the diversity charter, but also to be labelled "Numérique Responsable 2" by the LUCIE ecolabel. 
hello RSE offers its customers new, rental and refurbished products. It thus contributes to the emergence of the circular economy. 
Finally, hello RSE is an expert in its field and cultivates high standards on a daily basis for the benefit of quality customer service. Its sales teams have numerous certifications that make it unique (Microsoft, Corel, Adobe and Google for Education; EdTech). hello RSE is committed to responsible, sustainable e-Commerce that reconciles economic, social and environmental performance</t>
        </is>
      </c>
      <c r="H233" s="1" t="inlineStr">
        <is>
          <t>EdTech France</t>
        </is>
      </c>
      <c r="J233" s="1" t="inlineStr">
        <is>
          <t>BORDEAUX</t>
        </is>
      </c>
      <c r="K233" s="1" t="inlineStr">
        <is>
          <t>France</t>
        </is>
      </c>
      <c r="L233" s="1" t="inlineStr">
        <is>
          <t>Belgium, France</t>
        </is>
      </c>
      <c r="M233" s="1" t="inlineStr">
        <is>
          <t>0 to 10</t>
        </is>
      </c>
      <c r="N233" s="1" t="inlineStr">
        <is>
          <t>Business to Business, Business to Consumer, Business to Government, Business to Schools</t>
        </is>
      </c>
      <c r="O233" s="1" t="inlineStr">
        <is>
          <t>Early childhood development (0-5 years), Primary Education, Secondary Education, Higher Education</t>
        </is>
      </c>
      <c r="P233" s="1" t="inlineStr">
        <is>
          <t>Teacher interfacing, Student interfacing, System/Administrative</t>
        </is>
      </c>
      <c r="Q233" t="inlineStr">
        <is>
          <t>EDUCandCO</t>
        </is>
      </c>
      <c r="R233" t="inlineStr">
        <is>
          <t>We offer packs adapted to education distributed under the name of EDUCandCO. These packages contain software (educational and entertainment software such as the EdTech) and hardware (tablets, hybrid computers). The real added value of these packs is their ability to cover all fields of action for schools wishing to equip their classrooms in an optimised way.</t>
        </is>
      </c>
      <c r="S233" s="10" t="inlineStr">
        <is>
          <t>Education software</t>
        </is>
      </c>
      <c r="T233" t="inlineStr">
        <is>
          <t>Our proposal in software and certification will equip students or employees in their activities. We distribute Adobe Education, Microsoft, Corel, Google and Edtech software. These official certifications allow thousands of users to enjoy their digital tools in a more secure and appropriate way.</t>
        </is>
      </c>
      <c r="U233" s="1" t="inlineStr">
        <is>
          <t>https://drive.google.com/uc?export=view&amp;id=1w_aq8VOojnCK8o31ME7BdTHvAnoaEHuN</t>
        </is>
      </c>
      <c r="V233" s="1" t="inlineStr">
        <is>
          <t>Unverified</t>
        </is>
      </c>
      <c r="W233" s="1" t="inlineStr">
        <is>
          <t>https://drive.google.com/uc?export=view&amp;id=1w_aq8VOojnCK8o31ME7BdTHvAnoaEHuN</t>
        </is>
      </c>
      <c r="X233" s="1" t="n"/>
      <c r="Y233" s="10" t="n"/>
      <c r="Z233" s="1" t="n"/>
      <c r="AA233" t="inlineStr">
        <is>
          <t>Yes</t>
        </is>
      </c>
      <c r="AC233" t="inlineStr">
        <is>
          <t>https://www.linkedin.com/company/hellorse/mycompany/?viewAsMember=true</t>
        </is>
      </c>
      <c r="AD233" t="inlineStr">
        <is>
          <t>https://www.linkedin.com/company/hellorse/mycompany/?viewAsMember=true</t>
        </is>
      </c>
    </row>
    <row r="234" ht="12.5" customHeight="1">
      <c r="A234" s="6" t="n">
        <v>45181</v>
      </c>
      <c r="B234" s="1" t="inlineStr">
        <is>
          <t>ORG_1740</t>
        </is>
      </c>
      <c r="C234" s="1" t="b">
        <v>1</v>
      </c>
      <c r="D234" s="1" t="inlineStr">
        <is>
          <t>ISIcrunch</t>
        </is>
      </c>
      <c r="E234" s="10" t="inlineStr">
        <is>
          <t>https://www.isicrunch.com</t>
        </is>
      </c>
      <c r="F234" t="inlineStr">
        <is>
          <t>isicrunch.com</t>
        </is>
      </c>
      <c r="G234" s="1" t="inlineStr">
        <is>
          <t>ISI empowers Educational Publishers by creating interactive eTextbooks, enabling custom libraries and interactive reading.
ISI is a major player in inclusive education allowing born-accessible resources to be used by any level of DYS handicap and blind people.
Our platforms boost productivity of eTextbooks and inclusive educational resources to be used on any device including Mobile.
Connected to many LMS, ISI products are key parts of adaptive learning processes.</t>
        </is>
      </c>
      <c r="H234" s="1" t="inlineStr">
        <is>
          <t>EdTech France</t>
        </is>
      </c>
      <c r="J234" s="1" t="inlineStr">
        <is>
          <t>LES ULIS</t>
        </is>
      </c>
      <c r="K234" s="1" t="inlineStr">
        <is>
          <t>France</t>
        </is>
      </c>
      <c r="L234" s="1" t="inlineStr">
        <is>
          <t>Belgium, France, Netherlands, Portugal, Spain</t>
        </is>
      </c>
      <c r="M234" s="1" t="inlineStr">
        <is>
          <t>0 to 10</t>
        </is>
      </c>
      <c r="N234" s="1" t="inlineStr">
        <is>
          <t>Business to Business, Business to Consumer, Business to Schools</t>
        </is>
      </c>
      <c r="O234" s="1" t="inlineStr">
        <is>
          <t>Primary Education, Secondary Education, Higher Education, Corporate Training</t>
        </is>
      </c>
      <c r="P234" s="1" t="inlineStr">
        <is>
          <t>System/Administrative, Student interfacing, Teacher interfacing</t>
        </is>
      </c>
      <c r="Q234" s="1" t="inlineStr">
        <is>
          <t>ISIcrunch</t>
        </is>
      </c>
      <c r="R234" s="10" t="inlineStr">
        <is>
          <t>ISIcrunch is the leading platform to create highly interactive eTextbooks.
Used by many educational publishers in France and internationally (Europe, Africa, Brazil, etc.)
Create, Review and Manage your production in real-time with the extensive functionalities of this reference platform.
More than 3 millions pages already produced by our platform supporting the EPUB standards.</t>
        </is>
      </c>
      <c r="S234" s="10" t="inlineStr">
        <is>
          <t>ISIaccess</t>
        </is>
      </c>
      <c r="T234" t="inlineStr">
        <is>
          <t>Create your own custom library, from open access to secure and private connection, with an integrated Reader delivering full interactivity.
Used in French schools with the GAR connector of the Ministry of Education, supporting many other connectors such as LTI, Moodle Plug-In, Blackboard, ISIaccess is used all across the world.</t>
        </is>
      </c>
      <c r="U234" s="1" t="inlineStr">
        <is>
          <t>https://drive.google.com/uc?export=view&amp;id=1sfm4HtYWhkhcaNfO0Z8NjUlFSnGP1XDO</t>
        </is>
      </c>
      <c r="V234" s="1" t="inlineStr">
        <is>
          <t>Unverified</t>
        </is>
      </c>
      <c r="W234" s="1" t="inlineStr">
        <is>
          <t>https://drive.google.com/uc?export=view&amp;id=1sfm4HtYWhkhcaNfO0Z8NjUlFSnGP1XDO</t>
        </is>
      </c>
      <c r="X234" s="1" t="n"/>
      <c r="Y234" s="10" t="n"/>
      <c r="Z234" s="1" t="n"/>
      <c r="AA234" t="inlineStr">
        <is>
          <t>Yes</t>
        </is>
      </c>
      <c r="AB234" t="inlineStr">
        <is>
          <t>ISI SAS</t>
        </is>
      </c>
      <c r="AC234" t="inlineStr">
        <is>
          <t>https://twitter.com/ISIcrunch</t>
        </is>
      </c>
      <c r="AD234" t="inlineStr">
        <is>
          <t>https://www.linkedin.com/in/vincentwartelle/</t>
        </is>
      </c>
    </row>
    <row r="235" ht="12.5" customHeight="1">
      <c r="A235" s="6" t="n">
        <v>45181</v>
      </c>
      <c r="B235" s="1" t="inlineStr">
        <is>
          <t>ORG_1832</t>
        </is>
      </c>
      <c r="C235" s="1" t="b">
        <v>1</v>
      </c>
      <c r="D235" s="1" t="inlineStr">
        <is>
          <t>Learning Boost</t>
        </is>
      </c>
      <c r="E235" s="10" t="inlineStr">
        <is>
          <t>https://www.learning-boost.com/</t>
        </is>
      </c>
      <c r="F235" t="inlineStr">
        <is>
          <t>learning-boost.com</t>
        </is>
      </c>
      <c r="G235" s="1" t="inlineStr">
        <is>
          <t>Create custom assessment surveys with Learning Boost to assess your team’s maturity on key topics and help them develop their skills</t>
        </is>
      </c>
      <c r="H235" s="1" t="inlineStr">
        <is>
          <t>EdTech France</t>
        </is>
      </c>
      <c r="I235" s="1" t="inlineStr">
        <is>
          <t>French, English</t>
        </is>
      </c>
      <c r="J235" s="1" t="inlineStr">
        <is>
          <t>Paris</t>
        </is>
      </c>
      <c r="K235" s="1" t="inlineStr">
        <is>
          <t>France</t>
        </is>
      </c>
      <c r="L235" s="1" t="inlineStr">
        <is>
          <t>France</t>
        </is>
      </c>
      <c r="M235" s="1" t="inlineStr">
        <is>
          <t>11 to 50</t>
        </is>
      </c>
      <c r="N235" s="1" t="inlineStr">
        <is>
          <t>Business to Business, Business to Consumer, Business to Schools</t>
        </is>
      </c>
      <c r="O235" s="1" t="inlineStr">
        <is>
          <t>Corporate Training</t>
        </is>
      </c>
      <c r="P235" s="1" t="inlineStr">
        <is>
          <t>System/Administrative</t>
        </is>
      </c>
      <c r="Q235" t="inlineStr">
        <is>
          <t>Learning Boost</t>
        </is>
      </c>
      <c r="R235" s="10" t="inlineStr">
        <is>
          <t>Empower your teams: help them adapt to new goals and ambitions : 
1.Measure your team members’ key skills
2. Assess the impact of training programs
3. Personalize learning paths for each team member</t>
        </is>
      </c>
      <c r="S235" s="10" t="inlineStr">
        <is>
          <t>https://drive.google.com/uc?export=view&amp;id=1LynT39ezg8vDMQvCO437rPsI3Z8SWH3V</t>
        </is>
      </c>
      <c r="T235" t="inlineStr">
        <is>
          <t>https://drive.google.com/uc?export=view&amp;id=1LynT39ezg8vDMQvCO437rPsI3Z8SWH3V</t>
        </is>
      </c>
      <c r="U235" s="1" t="inlineStr">
        <is>
          <t>https://drive.google.com/uc?export=view&amp;id=1LynT39ezg8vDMQvCO437rPsI3Z8SWH3V</t>
        </is>
      </c>
      <c r="V235" s="1" t="inlineStr">
        <is>
          <t>Unverified</t>
        </is>
      </c>
      <c r="Y235" s="10" t="n"/>
      <c r="Z235" s="1" t="n"/>
      <c r="AA235" t="inlineStr">
        <is>
          <t>Yes</t>
        </is>
      </c>
      <c r="AB235" t="inlineStr">
        <is>
          <t>https://twitter.com/Learning_Boost</t>
        </is>
      </c>
      <c r="AC235" t="inlineStr">
        <is>
          <t>https://twitter.com/Learning_Boost</t>
        </is>
      </c>
      <c r="AD235" t="inlineStr">
        <is>
          <t>https://www.linkedin.com/showcase/learningboost/</t>
        </is>
      </c>
    </row>
    <row r="236" ht="12.5" customHeight="1">
      <c r="A236" s="6" t="n">
        <v>45181</v>
      </c>
      <c r="B236" s="1" t="inlineStr">
        <is>
          <t>ORG_1897</t>
        </is>
      </c>
      <c r="C236" s="1" t="b">
        <v>1</v>
      </c>
      <c r="D236" s="1" t="inlineStr">
        <is>
          <t>LYNX EDUCATE</t>
        </is>
      </c>
      <c r="E236" s="10" t="inlineStr">
        <is>
          <t>https://www.lynxeducate.com/</t>
        </is>
      </c>
      <c r="F236" t="inlineStr">
        <is>
          <t>lynxeducate.com</t>
        </is>
      </c>
      <c r="G236" s="1" t="inlineStr">
        <is>
          <t>We make it easy for companies to train employees through certified education programs: LYNX is a digital platform that provides a broad range of certified education offerings from leading learning institutions to meet workforce development needs across Europe and the UK</t>
        </is>
      </c>
      <c r="H236" s="1" t="inlineStr">
        <is>
          <t>EdTech France</t>
        </is>
      </c>
      <c r="J236" s="1" t="inlineStr">
        <is>
          <t>PARIS</t>
        </is>
      </c>
      <c r="K236" s="1" t="inlineStr">
        <is>
          <t>France</t>
        </is>
      </c>
      <c r="L236" s="1" t="inlineStr">
        <is>
          <t>France, United Kingdom</t>
        </is>
      </c>
      <c r="M236" s="1" t="inlineStr">
        <is>
          <t>0 to 10</t>
        </is>
      </c>
      <c r="N236" s="1" t="inlineStr">
        <is>
          <t>Business to Business, Business to Consumer, Business to Schools</t>
        </is>
      </c>
      <c r="O236" s="1" t="inlineStr">
        <is>
          <t>Corporate Training, Lifelong learning/Adult education</t>
        </is>
      </c>
      <c r="P236" s="1" t="inlineStr">
        <is>
          <t>System/Administrative</t>
        </is>
      </c>
      <c r="Q236" s="10" t="inlineStr">
        <is>
          <t>Lynx Educate</t>
        </is>
      </c>
      <c r="R236" s="10" t="inlineStr">
        <is>
          <t>LYNX is a digital platform that provides a broad range of certified education offerings from leading learning institutions to meet workforce development needs across Europe and the UK</t>
        </is>
      </c>
      <c r="S236" s="10" t="inlineStr">
        <is>
          <t>https://drive.google.com/uc?export=view&amp;id=1wU9PXCp2dSGAEvNRIuWTFQU7x8xnA32K</t>
        </is>
      </c>
      <c r="T236" t="inlineStr">
        <is>
          <t>https://drive.google.com/uc?export=view&amp;id=1wU9PXCp2dSGAEvNRIuWTFQU7x8xnA32K</t>
        </is>
      </c>
      <c r="U236" s="1" t="inlineStr">
        <is>
          <t>https://drive.google.com/uc?export=view&amp;id=1wU9PXCp2dSGAEvNRIuWTFQU7x8xnA32K</t>
        </is>
      </c>
      <c r="V236" s="1" t="inlineStr">
        <is>
          <t>Unverified</t>
        </is>
      </c>
      <c r="Y236" s="10" t="n"/>
      <c r="Z236" s="1" t="n"/>
      <c r="AA236" t="inlineStr">
        <is>
          <t>Yes</t>
        </is>
      </c>
      <c r="AB236" t="inlineStr">
        <is>
          <t>https://www.instagram.com/lynxeducate/</t>
        </is>
      </c>
      <c r="AC236" t="inlineStr">
        <is>
          <t>https://twitter.com/LynxEducate</t>
        </is>
      </c>
      <c r="AD236" t="inlineStr">
        <is>
          <t>https://www.linkedin.com/company/lynxeducate/</t>
        </is>
      </c>
    </row>
    <row r="237" ht="12.5" customHeight="1">
      <c r="A237" s="6" t="n">
        <v>45181</v>
      </c>
      <c r="B237" s="1" t="inlineStr">
        <is>
          <t>ORG_2000</t>
        </is>
      </c>
      <c r="C237" s="1" t="b">
        <v>1</v>
      </c>
      <c r="D237" s="1" t="inlineStr">
        <is>
          <t>My Green Training Box</t>
        </is>
      </c>
      <c r="E237" s="10" t="inlineStr">
        <is>
          <t>www.mygreentrainingbox.com</t>
        </is>
      </c>
      <c r="F237" t="inlineStr">
        <is>
          <t>mygreentrainingbox.com</t>
        </is>
      </c>
      <c r="G237" s="1" t="inlineStr">
        <is>
          <t>My Green Training Box is the 1st free access digital training streaming platform on sustainable development which focuses on several different areas: Agriculture, Ecological construction, CSR, Health, sustainable tourism, and many more.</t>
        </is>
      </c>
      <c r="H237" s="1" t="inlineStr">
        <is>
          <t>EdTech France</t>
        </is>
      </c>
      <c r="J237" s="1" t="inlineStr">
        <is>
          <t>NAILLOUX</t>
        </is>
      </c>
      <c r="K237" s="1" t="inlineStr">
        <is>
          <t>France</t>
        </is>
      </c>
      <c r="L237" s="1" t="inlineStr">
        <is>
          <t>France, Turkey</t>
        </is>
      </c>
      <c r="M237" s="1" t="inlineStr">
        <is>
          <t>0 to 10</t>
        </is>
      </c>
      <c r="N237" s="1" t="inlineStr">
        <is>
          <t>Business to Business, Business to Government</t>
        </is>
      </c>
      <c r="O237" s="1" t="inlineStr">
        <is>
          <t>Higher Education, Corporate Training, Lifelong learning/Adult education</t>
        </is>
      </c>
      <c r="P237" s="1" t="inlineStr">
        <is>
          <t>Student interfacing, Teacher interfacing, System/Administrative</t>
        </is>
      </c>
      <c r="S237" t="inlineStr">
        <is>
          <t>https://drive.google.com/uc?export=view&amp;id=1IGNvwyYjuTQeDJDDkA9zqH8l3l95Jv69</t>
        </is>
      </c>
      <c r="T237" t="inlineStr">
        <is>
          <t>https://drive.google.com/uc?export=view&amp;id=1IGNvwyYjuTQeDJDDkA9zqH8l3l95Jv69</t>
        </is>
      </c>
      <c r="U237" t="inlineStr">
        <is>
          <t>https://drive.google.com/uc?export=view&amp;id=1IGNvwyYjuTQeDJDDkA9zqH8l3l95Jv69</t>
        </is>
      </c>
      <c r="V237" t="inlineStr">
        <is>
          <t>Unverified</t>
        </is>
      </c>
      <c r="Y237" s="10" t="n"/>
      <c r="Z237" s="1" t="n"/>
      <c r="AA237" t="inlineStr">
        <is>
          <t>No</t>
        </is>
      </c>
    </row>
    <row r="238" ht="12.5" customHeight="1">
      <c r="A238" s="6" t="n">
        <v>45181</v>
      </c>
      <c r="B238" s="1" t="inlineStr">
        <is>
          <t>ORG_2111</t>
        </is>
      </c>
      <c r="C238" s="1" t="b">
        <v>1</v>
      </c>
      <c r="D238" s="1" t="inlineStr">
        <is>
          <t>PLUME</t>
        </is>
      </c>
      <c r="E238" s="10" t="inlineStr">
        <is>
          <t>www.plume-app.co</t>
        </is>
      </c>
      <c r="F238" t="inlineStr">
        <is>
          <t>plume-app.co</t>
        </is>
      </c>
      <c r="G238" s="1" t="inlineStr">
        <is>
          <t>Plume is an adaptive learning application to learn written expression for children and students, from 7. 
In a playful context, kids develop their ability to express themselves in different writing spaces, including free writing, stories to complete, games and more. Plume is available online but can be used offline and the writings can be uploaded into the application to follow the kids's progress, in classrooms or at home.</t>
        </is>
      </c>
      <c r="H238" s="1" t="inlineStr">
        <is>
          <t>AFINEF, EdTech France</t>
        </is>
      </c>
      <c r="J238" s="1" t="inlineStr">
        <is>
          <t>SAINT OUEN</t>
        </is>
      </c>
      <c r="K238" s="1" t="inlineStr">
        <is>
          <t>France</t>
        </is>
      </c>
      <c r="L238" s="1" t="inlineStr">
        <is>
          <t>Belgium, France, Switzerland</t>
        </is>
      </c>
      <c r="M238" s="1" t="inlineStr">
        <is>
          <t>11 to 50</t>
        </is>
      </c>
      <c r="N238" s="1" t="inlineStr">
        <is>
          <t>Business to Business, Business to Government, Business to Schools</t>
        </is>
      </c>
      <c r="O238" s="1" t="inlineStr">
        <is>
          <t>Primary Education, Secondary Education</t>
        </is>
      </c>
      <c r="P238" s="1" t="inlineStr">
        <is>
          <t>System/Administrative, Student interfacing, Teacher interfacing</t>
        </is>
      </c>
      <c r="Q238" s="10" t="inlineStr">
        <is>
          <t>Plume</t>
        </is>
      </c>
      <c r="R238" s="10" t="inlineStr">
        <is>
          <t>Plume is a web and mobile application used, to improve writing skills of children from 7, at school or at home.</t>
        </is>
      </c>
      <c r="S238" s="10" t="inlineStr">
        <is>
          <t>https://drive.google.com/uc?export=view&amp;id=184wKg7zOcr7rU8Qkuu3VM2bqyXDhKln2</t>
        </is>
      </c>
      <c r="T238" t="inlineStr">
        <is>
          <t>https://drive.google.com/uc?export=view&amp;id=184wKg7zOcr7rU8Qkuu3VM2bqyXDhKln2</t>
        </is>
      </c>
      <c r="U238" s="1" t="inlineStr">
        <is>
          <t>https://drive.google.com/uc?export=view&amp;id=184wKg7zOcr7rU8Qkuu3VM2bqyXDhKln2</t>
        </is>
      </c>
      <c r="V238" s="1" t="inlineStr">
        <is>
          <t>Unverified</t>
        </is>
      </c>
      <c r="Y238" s="10" t="n"/>
      <c r="Z238" s="1" t="n"/>
      <c r="AA238" t="inlineStr">
        <is>
          <t>Yes</t>
        </is>
      </c>
      <c r="AB238" t="inlineStr">
        <is>
          <t>https://www.instagram.com/plume_app</t>
        </is>
      </c>
      <c r="AC238" t="inlineStr">
        <is>
          <t>https://twitter.com/plume_app</t>
        </is>
      </c>
      <c r="AD238" t="inlineStr">
        <is>
          <t>https://www.linkedin.com/company/plume-app</t>
        </is>
      </c>
    </row>
    <row r="239" ht="12.5" customHeight="1">
      <c r="A239" s="6" t="n">
        <v>45181</v>
      </c>
      <c r="B239" s="1" t="inlineStr">
        <is>
          <t>ORG_2120</t>
        </is>
      </c>
      <c r="C239" s="1" t="b">
        <v>1</v>
      </c>
      <c r="D239" s="1" t="inlineStr">
        <is>
          <t>PowerZ</t>
        </is>
      </c>
      <c r="E239" s="10" t="inlineStr">
        <is>
          <t>Https://powerz.tech</t>
        </is>
      </c>
      <c r="F239" t="inlineStr">
        <is>
          <t>powerz.tech</t>
        </is>
      </c>
      <c r="G239" s="1" t="inlineStr">
        <is>
          <t>The Fortnite of education</t>
        </is>
      </c>
      <c r="H239" s="1" t="inlineStr">
        <is>
          <t>EdTech France</t>
        </is>
      </c>
      <c r="J239" s="1" t="inlineStr">
        <is>
          <t>PARIS</t>
        </is>
      </c>
      <c r="K239" s="1" t="inlineStr">
        <is>
          <t>France</t>
        </is>
      </c>
      <c r="L239" s="1" t="inlineStr">
        <is>
          <t>France</t>
        </is>
      </c>
      <c r="M239" s="1" t="inlineStr">
        <is>
          <t>11 to 50</t>
        </is>
      </c>
      <c r="N239" s="1" t="inlineStr">
        <is>
          <t>Business to Business, Business to Schools</t>
        </is>
      </c>
      <c r="O239" s="1" t="inlineStr">
        <is>
          <t>Primary Education</t>
        </is>
      </c>
      <c r="P239" s="1" t="inlineStr">
        <is>
          <t>System/Administrative, Student interfacing</t>
        </is>
      </c>
      <c r="Q239" s="10" t="inlineStr">
        <is>
          <t>PowerZ</t>
        </is>
      </c>
      <c r="R239" s="10" t="inlineStr">
        <is>
          <t>PowerZ is a true video game aiming at making children (K12) learn everything!</t>
        </is>
      </c>
      <c r="S239" s="10" t="inlineStr">
        <is>
          <t>https://drive.google.com/uc?export=view&amp;id=12hGQ7P-tEKOt3HPdZLVGyJ8dpkn0WXsa</t>
        </is>
      </c>
      <c r="T239" t="inlineStr">
        <is>
          <t>https://drive.google.com/uc?export=view&amp;id=12hGQ7P-tEKOt3HPdZLVGyJ8dpkn0WXsa</t>
        </is>
      </c>
      <c r="U239" s="1" t="inlineStr">
        <is>
          <t>https://drive.google.com/uc?export=view&amp;id=12hGQ7P-tEKOt3HPdZLVGyJ8dpkn0WXsa</t>
        </is>
      </c>
      <c r="V239" s="1" t="inlineStr">
        <is>
          <t>Unverified</t>
        </is>
      </c>
      <c r="Y239" s="10" t="n"/>
      <c r="Z239" s="1" t="n"/>
      <c r="AA239" t="inlineStr">
        <is>
          <t>Yes</t>
        </is>
      </c>
      <c r="AB239" t="inlineStr">
        <is>
          <t>https://www.instagram.com/powerz.official/</t>
        </is>
      </c>
      <c r="AC239" t="inlineStr">
        <is>
          <t>https://twitter.com/PowerZ_official</t>
        </is>
      </c>
      <c r="AD239" t="inlineStr">
        <is>
          <t>https://www.linkedin.com/company/powerz/</t>
        </is>
      </c>
    </row>
    <row r="240" ht="12.5" customHeight="1">
      <c r="A240" s="6" t="n">
        <v>45181</v>
      </c>
      <c r="B240" s="1" t="inlineStr">
        <is>
          <t>ORG_2427</t>
        </is>
      </c>
      <c r="C240" s="1" t="b">
        <v>1</v>
      </c>
      <c r="D240" s="1" t="inlineStr">
        <is>
          <t>Traindy</t>
        </is>
      </c>
      <c r="E240" s="10" t="inlineStr">
        <is>
          <t>http://traindy.io</t>
        </is>
      </c>
      <c r="F240" t="inlineStr">
        <is>
          <t>traindy.io</t>
        </is>
      </c>
      <c r="G240" s="1" t="inlineStr">
        <is>
          <t>Traindy is an innovative company in the domain of education and training whose DNA is rooted in research and cognitive sciences. 
It's current main offer is the Learning Coach ecosystem that aims to help individuals and organization to learn how to learn and that revolves around a learning companion mobile app whose goal is to develop the learner autonomy and performance.</t>
        </is>
      </c>
      <c r="H240" s="1" t="inlineStr">
        <is>
          <t>EdTech France</t>
        </is>
      </c>
      <c r="J240" s="1" t="inlineStr">
        <is>
          <t>PARIS</t>
        </is>
      </c>
      <c r="K240" s="1" t="inlineStr">
        <is>
          <t>France</t>
        </is>
      </c>
      <c r="L240" s="1" t="inlineStr">
        <is>
          <t>France</t>
        </is>
      </c>
      <c r="M240" s="1" t="inlineStr">
        <is>
          <t>0 to 10</t>
        </is>
      </c>
      <c r="N240" s="1" t="inlineStr">
        <is>
          <t>Business to Consumer, Business to Schools</t>
        </is>
      </c>
      <c r="O240" s="1" t="inlineStr">
        <is>
          <t>Secondary Education, Higher Education, Corporate Training, Lifelong learning/Adult education</t>
        </is>
      </c>
      <c r="P240" s="1" t="inlineStr">
        <is>
          <t>Student interfacing, System/Administrative</t>
        </is>
      </c>
      <c r="S240" t="inlineStr">
        <is>
          <t>https://drive.google.com/uc?export=view&amp;id=1-UNejTA3R8cJvZCBIvrxqsYC7QJhg4HK</t>
        </is>
      </c>
      <c r="T240" t="inlineStr">
        <is>
          <t>https://drive.google.com/uc?export=view&amp;id=1-UNejTA3R8cJvZCBIvrxqsYC7QJhg4HK</t>
        </is>
      </c>
      <c r="U240" t="inlineStr">
        <is>
          <t>https://drive.google.com/uc?export=view&amp;id=1-UNejTA3R8cJvZCBIvrxqsYC7QJhg4HK</t>
        </is>
      </c>
      <c r="V240" t="inlineStr">
        <is>
          <t>Unverified</t>
        </is>
      </c>
      <c r="Y240" s="10" t="n"/>
      <c r="Z240" s="1" t="n"/>
      <c r="AA240" t="inlineStr">
        <is>
          <t>No</t>
        </is>
      </c>
    </row>
    <row r="241" ht="12.5" customHeight="1">
      <c r="A241" s="6" t="n">
        <v>45181</v>
      </c>
      <c r="B241" s="1" t="inlineStr">
        <is>
          <t>ORG_2432</t>
        </is>
      </c>
      <c r="C241" s="1" t="b">
        <v>1</v>
      </c>
      <c r="D241" s="1" t="inlineStr">
        <is>
          <t>Tridan</t>
        </is>
      </c>
      <c r="E241" s="10" t="inlineStr">
        <is>
          <t>https://www.tridan.tech</t>
        </is>
      </c>
      <c r="F241" t="inlineStr">
        <is>
          <t>tridan.tech</t>
        </is>
      </c>
      <c r="G241" s="1" t="inlineStr">
        <is>
          <t>Tridan is a test solution for evaluating operational skills in several technical jobs :
Data scientist, Digital marketing, Business Developer...
Goals: Avoid recruitment mistakes, Help students in promoting their skills, Allow schools to measure learning outcomes</t>
        </is>
      </c>
      <c r="H241" s="1" t="inlineStr">
        <is>
          <t>EdTech France</t>
        </is>
      </c>
      <c r="I241" s="1" t="inlineStr">
        <is>
          <t>French</t>
        </is>
      </c>
      <c r="J241" s="1" t="inlineStr">
        <is>
          <t>Avrillé</t>
        </is>
      </c>
      <c r="K241" s="1" t="inlineStr">
        <is>
          <t>France</t>
        </is>
      </c>
      <c r="L241" s="1" t="inlineStr">
        <is>
          <t>Andorra, Belgium, France, Switzerland</t>
        </is>
      </c>
      <c r="M241" s="1" t="inlineStr">
        <is>
          <t>0 to 2</t>
        </is>
      </c>
      <c r="N241" s="1" t="inlineStr">
        <is>
          <t>Business to Government</t>
        </is>
      </c>
      <c r="O241" s="1" t="inlineStr">
        <is>
          <t>Higher Education</t>
        </is>
      </c>
      <c r="P241" s="1" t="inlineStr">
        <is>
          <t>Student interfacing, Teacher interfacing, System/Administrative</t>
        </is>
      </c>
      <c r="Q241" t="inlineStr">
        <is>
          <t>Tridan+ Digital Marketing</t>
        </is>
      </c>
      <c r="R241" s="10" t="inlineStr">
        <is>
          <t>The Tridan+ Digital Marketing test assesses 6 main operational skills which are: SEO, SEA, Community Management, Webmarketing, Analytics, Webmastering</t>
        </is>
      </c>
      <c r="S241" s="10" t="inlineStr">
        <is>
          <t>Tridan+ Data Scientist</t>
        </is>
      </c>
      <c r="T241" t="inlineStr">
        <is>
          <t>The Tridan+ Data scientist test assesses 6 main operational skills which are: Database, Programming, Data Visualization &amp; Data Storytelling, machine-learning, "Classic" statistics, Data processing / ETL</t>
        </is>
      </c>
      <c r="U241" s="1" t="inlineStr">
        <is>
          <t>https://drive.google.com/uc?export=view&amp;id=1qb7HZ-a9t40qD5db8d2_SVHIbizLNJup</t>
        </is>
      </c>
      <c r="V241" s="1" t="inlineStr">
        <is>
          <t>Unverified</t>
        </is>
      </c>
      <c r="W241" s="1" t="inlineStr">
        <is>
          <t>https://drive.google.com/uc?export=view&amp;id=1qb7HZ-a9t40qD5db8d2_SVHIbizLNJup</t>
        </is>
      </c>
      <c r="X241" s="1" t="n"/>
      <c r="Y241" s="10" t="n"/>
      <c r="Z241" s="1" t="n"/>
      <c r="AA241" t="inlineStr">
        <is>
          <t>Yes</t>
        </is>
      </c>
      <c r="AB241" t="inlineStr">
        <is>
          <t>https://twitter.com/tridan_test</t>
        </is>
      </c>
      <c r="AC241" t="inlineStr">
        <is>
          <t>https://twitter.com/tridan_test</t>
        </is>
      </c>
      <c r="AD241" t="inlineStr">
        <is>
          <t>https://www.linkedin.com/company/tridan-test</t>
        </is>
      </c>
    </row>
    <row r="242" ht="12.5" customHeight="1">
      <c r="A242" s="6" t="n">
        <v>45300</v>
      </c>
      <c r="B242" s="1" t="inlineStr">
        <is>
          <t>ORG_1799</t>
        </is>
      </c>
      <c r="C242" s="1" t="b">
        <v>1</v>
      </c>
      <c r="D242" s="1" t="inlineStr">
        <is>
          <t>L'explorateur de métiers</t>
        </is>
      </c>
      <c r="E242" s="10" t="inlineStr">
        <is>
          <t>explorateurdemetiers.tv</t>
        </is>
      </c>
      <c r="F242" t="inlineStr">
        <is>
          <t>explorateurdemetiers.tv</t>
        </is>
      </c>
      <c r="G242" s="1" t="inlineStr">
        <is>
          <t>L'explorateur de métiers (explorer job) is an independent online news media, without advertising or subsidies and which lives only on subscriptions from its customers and which publishes video reports on careers (addition and regular update). Exploration modules (4), unique job quizzes, immersive experiences and information sheets available to help with the orientation and professional integration of young people aged 14-25.</t>
        </is>
      </c>
      <c r="H242" s="1" t="inlineStr">
        <is>
          <t>EdTech France</t>
        </is>
      </c>
      <c r="J242" s="1" t="inlineStr">
        <is>
          <t>Nogent sur Marne</t>
        </is>
      </c>
      <c r="K242" s="1" t="inlineStr">
        <is>
          <t>France</t>
        </is>
      </c>
      <c r="L242" s="1" t="inlineStr">
        <is>
          <t>France</t>
        </is>
      </c>
      <c r="M242" s="1" t="inlineStr">
        <is>
          <t>0 to 10</t>
        </is>
      </c>
      <c r="N242" s="1" t="inlineStr">
        <is>
          <t>Business to Business, Business to Consumer, Business to Schools</t>
        </is>
      </c>
      <c r="O242" s="1" t="inlineStr">
        <is>
          <t>Secondary Education, Higher Education, Corporate Training</t>
        </is>
      </c>
      <c r="P242" s="1" t="inlineStr">
        <is>
          <t>System/Administrative, Student interfacing, Teacher interfacing</t>
        </is>
      </c>
      <c r="Q242" t="inlineStr">
        <is>
          <t>school subscription</t>
        </is>
      </c>
      <c r="R242" s="1" t="inlineStr">
        <is>
          <t>Subscription for 1 year without commitment in the form of a renewable annual license, unlimited use, unlimited user
250€ including tax</t>
        </is>
      </c>
      <c r="S242" s="10" t="inlineStr">
        <is>
          <t>student subscription</t>
        </is>
      </c>
      <c r="T242" t="inlineStr">
        <is>
          <t>Subscription for 1 year without commitment in the form of a renewable annual license, unlimited use, 
24€ including tax</t>
        </is>
      </c>
      <c r="U242" s="1" t="inlineStr">
        <is>
          <t>https://drive.google.com/uc?export=view&amp;id=1OQtPL8KyG-bQldMHpJUZEnvcRDONKMWg</t>
        </is>
      </c>
      <c r="V242" s="1" t="inlineStr">
        <is>
          <t>Unverified</t>
        </is>
      </c>
      <c r="W242" s="1" t="inlineStr">
        <is>
          <t>https://drive.google.com/uc?export=view&amp;id=1OQtPL8KyG-bQldMHpJUZEnvcRDONKMWg</t>
        </is>
      </c>
      <c r="X242" s="1" t="n"/>
      <c r="Y242" s="10" t="n"/>
      <c r="Z242" s="1" t="n"/>
      <c r="AA242" t="inlineStr">
        <is>
          <t>Yes</t>
        </is>
      </c>
      <c r="AC242" t="inlineStr">
        <is>
          <t>explometierstv</t>
        </is>
      </c>
      <c r="AD242" t="inlineStr">
        <is>
          <t>https://www.linkedin.com/company/explorateurdemetiers</t>
        </is>
      </c>
    </row>
    <row r="243" ht="12.5" customHeight="1">
      <c r="A243" s="6" t="n">
        <v>45237</v>
      </c>
      <c r="B243" s="1" t="inlineStr">
        <is>
          <t>ORG_1796</t>
        </is>
      </c>
      <c r="C243" s="1" t="b">
        <v>1</v>
      </c>
      <c r="D243" s="1" t="inlineStr">
        <is>
          <t>Kwark Education</t>
        </is>
      </c>
      <c r="E243" s="10" t="inlineStr">
        <is>
          <t>https://kwark.education/</t>
        </is>
      </c>
      <c r="F243" t="inlineStr">
        <is>
          <t>kwark.education</t>
        </is>
      </c>
      <c r="G243" s="1" t="inlineStr">
        <is>
          <t>Kwark Education is the leading EdTech in the digital transformation of higher education in France. By bringing together technologies, education and entertainment, Kwark Education is positioned at the heart of the world of education: recruiting, guiding, digitizing, training, certifying. Kwark Education has unique expertise in the digitization of training courses, an LMS used by 90,000 learners, the certification of distance trainers, an apprentice training center, two media (MCE and Demain TV), an orientation and registration service for learners, and an educational metaverse.</t>
        </is>
      </c>
      <c r="H243" s="1" t="inlineStr">
        <is>
          <t>EdTech France</t>
        </is>
      </c>
      <c r="J243" s="1" t="inlineStr">
        <is>
          <t>Paris</t>
        </is>
      </c>
      <c r="K243" s="1" t="inlineStr">
        <is>
          <t>France</t>
        </is>
      </c>
      <c r="L243" s="1" t="inlineStr">
        <is>
          <t>Belgium, France, Luxembourg, Switzerland</t>
        </is>
      </c>
      <c r="M243" s="1" t="inlineStr">
        <is>
          <t>51 to 100</t>
        </is>
      </c>
      <c r="N243" s="1" t="inlineStr">
        <is>
          <t>Business to Business, Business to Consumer, Business to Government, Business to Schools</t>
        </is>
      </c>
      <c r="O243" s="1" t="inlineStr">
        <is>
          <t>Higher Education, Corporate Training, Lifelong learning/Adult education</t>
        </is>
      </c>
      <c r="P243" s="1" t="inlineStr">
        <is>
          <t>Student interfacing, Teacher interfacing, System/Administrative</t>
        </is>
      </c>
      <c r="Q243" t="inlineStr">
        <is>
          <t>Digitalization</t>
        </is>
      </c>
      <c r="R243" s="10" t="inlineStr">
        <is>
          <t>Tailor-made digitization of training courses</t>
        </is>
      </c>
      <c r="S243" s="10" t="inlineStr">
        <is>
          <t>Learning Management System</t>
        </is>
      </c>
      <c r="T243" t="inlineStr">
        <is>
          <t>SAS learning management system (LMS), named T-Book</t>
        </is>
      </c>
      <c r="U243" s="1" t="inlineStr">
        <is>
          <t>https://drive.google.com/uc?export=view&amp;id=1410zBmBoNSbyHch5JMwN0KEU_zobv4YT</t>
        </is>
      </c>
      <c r="V243" s="1" t="inlineStr">
        <is>
          <t>Unverified</t>
        </is>
      </c>
      <c r="W243" s="1" t="inlineStr">
        <is>
          <t>https://drive.google.com/uc?export=view&amp;id=1410zBmBoNSbyHch5JMwN0KEU_zobv4YT</t>
        </is>
      </c>
      <c r="X243" s="1" t="n"/>
      <c r="Y243" s="10" t="n"/>
      <c r="Z243" s="1" t="n"/>
      <c r="AA243" t="inlineStr">
        <is>
          <t>Yes</t>
        </is>
      </c>
      <c r="AB243" t="inlineStr">
        <is>
          <t>https://twitter.com/KwarkEducation</t>
        </is>
      </c>
      <c r="AC243" t="inlineStr">
        <is>
          <t>https://twitter.com/KwarkEducation</t>
        </is>
      </c>
      <c r="AD243" t="inlineStr">
        <is>
          <t>https://www.linkedin.com/company/kwark-education/</t>
        </is>
      </c>
    </row>
    <row r="244" ht="12.5" customHeight="1">
      <c r="A244" s="6" t="n">
        <v>45237</v>
      </c>
      <c r="B244" s="1" t="inlineStr">
        <is>
          <t>ORG_2405</t>
        </is>
      </c>
      <c r="C244" s="1" t="b">
        <v>1</v>
      </c>
      <c r="D244" s="1" t="inlineStr">
        <is>
          <t>THEIA</t>
        </is>
      </c>
      <c r="E244" s="10" t="inlineStr">
        <is>
          <t>https://www.theia.fr/en/</t>
        </is>
      </c>
      <c r="F244" t="inlineStr">
        <is>
          <t>theia.fr/en</t>
        </is>
      </c>
      <c r="G244" s="1" t="inlineStr">
        <is>
          <t>The THEIA platform is a SaaS solution specializing in digital education. With over 250,000 users and over 80 million exams completed over the past 15 years, THEIA is an innovative, reliable, and proven platform to meet the most complex online exam needs. E-learning and Data Analytics modules enrich THEIA's functionalities and make the platform a complete, easy-to-use, and customizable solution that helps you achieve your pedagogical objectives.
Today, THEIA is the European leader for large scale online exams in person or remote.</t>
        </is>
      </c>
      <c r="H244" s="1" t="inlineStr">
        <is>
          <t>EdTech France</t>
        </is>
      </c>
      <c r="J244" s="1" t="inlineStr">
        <is>
          <t>GRENOBLE</t>
        </is>
      </c>
      <c r="K244" s="1" t="inlineStr">
        <is>
          <t>France</t>
        </is>
      </c>
      <c r="L244" s="1" t="inlineStr">
        <is>
          <t>Belgium, France, Germany, Italy, Portugal, Spain, Switzerland</t>
        </is>
      </c>
      <c r="M244" s="1" t="inlineStr">
        <is>
          <t>11 to 50</t>
        </is>
      </c>
      <c r="N244" s="1" t="inlineStr">
        <is>
          <t>Business to Consumer, Business to Schools</t>
        </is>
      </c>
      <c r="O244" s="1" t="inlineStr">
        <is>
          <t>Secondary Education, Higher Education, Corporate Training</t>
        </is>
      </c>
      <c r="P244" s="1" t="inlineStr">
        <is>
          <t>Teacher interfacing, System/Administrative</t>
        </is>
      </c>
      <c r="Q244" t="inlineStr">
        <is>
          <t>THEIA Exam</t>
        </is>
      </c>
      <c r="R244" s="10" t="inlineStr">
        <is>
          <t>THEIA replaces paper assessments with a secure digital solution, proven by hundreds of thousands of learners. This innovative solution is unique in Europe allows to deliver certifying exams on tablets and laptops. The platform is made of modules allowing the assessment of knowledge, competencies and performance.</t>
        </is>
      </c>
      <c r="S244" s="10" t="inlineStr">
        <is>
          <t>https://drive.google.com/uc?export=view&amp;id=1r_9D2exC8AK3L6IrC3NPUe5C0PVGzqcJ</t>
        </is>
      </c>
      <c r="T244" t="inlineStr">
        <is>
          <t>https://drive.google.com/uc?export=view&amp;id=1r_9D2exC8AK3L6IrC3NPUe5C0PVGzqcJ</t>
        </is>
      </c>
      <c r="U244" s="1" t="inlineStr">
        <is>
          <t>https://drive.google.com/uc?export=view&amp;id=1r_9D2exC8AK3L6IrC3NPUe5C0PVGzqcJ</t>
        </is>
      </c>
      <c r="V244" s="1" t="inlineStr">
        <is>
          <t>Unverified</t>
        </is>
      </c>
      <c r="Y244" s="10" t="n"/>
      <c r="Z244" s="1" t="n"/>
      <c r="AA244" t="inlineStr">
        <is>
          <t>Yes</t>
        </is>
      </c>
      <c r="AB244" t="inlineStr">
        <is>
          <t>https://twitter.com/edutheia?lang=en</t>
        </is>
      </c>
      <c r="AC244" t="inlineStr">
        <is>
          <t>https://twitter.com/edutheia?lang=en</t>
        </is>
      </c>
      <c r="AD244" t="inlineStr">
        <is>
          <t>https://www.linkedin.com/company/sas-theia/mycompany/verification/?viewAsMember=true</t>
        </is>
      </c>
    </row>
    <row r="245" ht="12.5" customHeight="1">
      <c r="A245" s="6" t="n">
        <v>45237</v>
      </c>
      <c r="B245" s="1" t="inlineStr">
        <is>
          <t>ORG_2457</t>
        </is>
      </c>
      <c r="C245" s="1" t="b">
        <v>1</v>
      </c>
      <c r="D245" s="1" t="inlineStr">
        <is>
          <t>ULYS</t>
        </is>
      </c>
      <c r="E245" s="10" t="inlineStr">
        <is>
          <t>https://www.ulys-europe.eu/</t>
        </is>
      </c>
      <c r="F245" t="inlineStr">
        <is>
          <t>ulys-europe.eu</t>
        </is>
      </c>
      <c r="G245" s="1" t="inlineStr">
        <is>
          <t>FIRST SOCIAL NETWORK OF YOUNG PLURILINGUAL AND MOBILE EUROPEAN PEN PAL
ULYS is a social network of young European pen pals from 11 to 18 years old with a platform to quickly find pen pal and interest group and instant messenger to chat, audio and video.</t>
        </is>
      </c>
      <c r="H245" s="1" t="inlineStr">
        <is>
          <t>EdTech France</t>
        </is>
      </c>
      <c r="J245" s="1" t="inlineStr">
        <is>
          <t>Paris</t>
        </is>
      </c>
      <c r="K245" s="1" t="inlineStr">
        <is>
          <t>France</t>
        </is>
      </c>
      <c r="L245" s="1" t="inlineStr">
        <is>
          <t>France, Germany, United Kingdom</t>
        </is>
      </c>
      <c r="M245" s="1" t="inlineStr">
        <is>
          <t>0 to 10</t>
        </is>
      </c>
      <c r="N245" s="1" t="inlineStr">
        <is>
          <t>Business to Consumer, Business to Schools</t>
        </is>
      </c>
      <c r="O245" s="1" t="inlineStr">
        <is>
          <t>Secondary Education</t>
        </is>
      </c>
      <c r="P245" s="1" t="inlineStr">
        <is>
          <t>System/Administrative, Student interfacing, Teacher interfacing</t>
        </is>
      </c>
      <c r="Q245" t="inlineStr">
        <is>
          <t>ULYS</t>
        </is>
      </c>
      <c r="R245" s="10" t="inlineStr">
        <is>
          <t>FIRST SOCIAL NETWORK OF YOUNG PLURILINGUAL AND MOBILE EUROPEAN PEN PAL
ULYS is a social network of young European pen pals from 11 to 18 years old with a platform to quickly find pen pal and interest group and instant messenger to chat, audio and video.</t>
        </is>
      </c>
      <c r="S245" s="10" t="inlineStr">
        <is>
          <t>https://drive.google.com/uc?export=view&amp;id=1-TsMHv-6_PhQ_Cfi9mt2zztaSkAzKlCz</t>
        </is>
      </c>
      <c r="T245" t="inlineStr">
        <is>
          <t>https://drive.google.com/uc?export=view&amp;id=1-TsMHv-6_PhQ_Cfi9mt2zztaSkAzKlCz</t>
        </is>
      </c>
      <c r="U245" s="1" t="inlineStr">
        <is>
          <t>https://drive.google.com/uc?export=view&amp;id=1-TsMHv-6_PhQ_Cfi9mt2zztaSkAzKlCz</t>
        </is>
      </c>
      <c r="V245" s="1" t="inlineStr">
        <is>
          <t>Unverified</t>
        </is>
      </c>
      <c r="Y245" s="10" t="n"/>
      <c r="Z245" s="1" t="n"/>
      <c r="AA245" t="inlineStr">
        <is>
          <t>Yes</t>
        </is>
      </c>
      <c r="AB245" t="inlineStr">
        <is>
          <t>https://twitter.com/EuropeUlys</t>
        </is>
      </c>
      <c r="AC245" t="inlineStr">
        <is>
          <t>https://twitter.com/EuropeUlys</t>
        </is>
      </c>
      <c r="AD245" t="inlineStr">
        <is>
          <t>https://www.ulys-europe.eu/</t>
        </is>
      </c>
    </row>
    <row r="246" ht="12.5" customHeight="1">
      <c r="A246" s="6" t="n">
        <v>45191</v>
      </c>
      <c r="B246" s="1" t="inlineStr">
        <is>
          <t>ORG_2324</t>
        </is>
      </c>
      <c r="C246" s="1" t="b">
        <v>1</v>
      </c>
      <c r="D246" s="1" t="inlineStr">
        <is>
          <t>Stellia</t>
        </is>
      </c>
      <c r="E246" s="10" t="inlineStr">
        <is>
          <t>www.stellia.ai</t>
        </is>
      </c>
      <c r="F246" t="inlineStr">
        <is>
          <t>stellia.ai</t>
        </is>
      </c>
      <c r="G246" s="1" t="inlineStr">
        <is>
          <t>Founded in 2019, Stellia leverages recent advances in NLP &amp; Gen AI to improve knowledge acquisition and access in education, continuing education and business. 
Our data science team, bolstered by strong partnerships with AI research labs, has designed an AI pipeline based on the most effective NLP models, which we have then refined for our specific needs. 
Starting from our customers' reliable but unstructured knowledge bases (Pdf, docs, videos...), we generate personalized question answering assistants for learners and employees, providing relevant and contextual answers, without hallucinations.
Today, our assistants support 10,000's students and employees of our customers, ranging from American universities to French public schools and corporations.
To best answer various use-cases, our assistants can deliver generative answers, supporting sources, relevant video excerpts, related concepts, Q&amp;As, MCQs...</t>
        </is>
      </c>
      <c r="H246" s="1" t="inlineStr">
        <is>
          <t>EdTech France</t>
        </is>
      </c>
      <c r="I246" s="1" t="inlineStr">
        <is>
          <t>English, French</t>
        </is>
      </c>
      <c r="J246" s="1" t="inlineStr">
        <is>
          <t>Paris</t>
        </is>
      </c>
      <c r="K246" s="1" t="inlineStr">
        <is>
          <t>France</t>
        </is>
      </c>
      <c r="L246" s="1" t="inlineStr">
        <is>
          <t>France, Germany, United Kingdom</t>
        </is>
      </c>
      <c r="M246" s="1" t="inlineStr">
        <is>
          <t>11 to 50</t>
        </is>
      </c>
      <c r="N246" s="1" t="inlineStr">
        <is>
          <t>Business to Consumer, Business to Government, Business to Schools</t>
        </is>
      </c>
      <c r="O246" s="1" t="inlineStr">
        <is>
          <t>Primary Education, Secondary Education, Corporate Training, Lifelong learning/Adult education, Vocational Education and Training (VET), Higher Education</t>
        </is>
      </c>
      <c r="P246" s="1" t="inlineStr">
        <is>
          <t>Student interfacing, Teacher interfacing, System/Administrative</t>
        </is>
      </c>
      <c r="Q246" t="inlineStr">
        <is>
          <t>Stellia Assistant</t>
        </is>
      </c>
      <c r="R246" t="inlineStr">
        <is>
          <t>We build for universities, schools, and companies custom question answering assistants focused solely on our customers' trusted knowledge, that is adapted to their audience. Our assistant delivers relevant generative answers, the sources it is based on, document excerpts, video excerpts, as well as related concepts, Q&amp;As and MCQs.
We have developed a powerful and versatile AI workflow leveraging raw docs and videos to extract knowledge, vectorize it, model it under the form of knowledge graphs and generate Q&amp;As and MCQ, thus enabling our assistants to deliver the most relevant answers. This workflow is supported by various state-of-the-art NLP models that were fine-tuned by our Data Science team.
Our assistant can embed special AI agents dedicated to specific tasks, such as assisting step-by-step a student in solving a problem, writing an essay or upskill an employee on a specific topic and related concepts.</t>
        </is>
      </c>
      <c r="S246" s="10" t="inlineStr">
        <is>
          <t>Stellia Adaptive Learning</t>
        </is>
      </c>
      <c r="T246" t="inlineStr">
        <is>
          <t>Our adaptive solution adjusts the learning paths to each learner depending on its outcome, moving him quickly to more complex levels or concepts when succeeding, slowing down, or even moving back to more fundamental concepts when failing.
It relies on a knowledge graph mapping the relationships between pedagogical objectives or concepts and all the learning events, ie real-time tracking of each student's interactions and outcomes with the learning resources.
Our real-time recommendation engine analyzes the learning events and is powered by a mix of :
1. pedagogical rules, enabling to reproduce our customers' pedagogical approaches and solving the cold-start problem, 
2. and reinforcement learning AI to identify the most efficient orientations for each students.</t>
        </is>
      </c>
      <c r="U246" s="1" t="n"/>
      <c r="V246" s="1" t="inlineStr">
        <is>
          <t>Unverified</t>
        </is>
      </c>
      <c r="W246" s="1" t="n"/>
      <c r="X246" s="1" t="n"/>
      <c r="Z246" s="1" t="n"/>
      <c r="AA246" t="inlineStr">
        <is>
          <t>Yes</t>
        </is>
      </c>
      <c r="AC246" t="inlineStr">
        <is>
          <t>https://www.linkedin.com/company/professorbob/mycompany/</t>
        </is>
      </c>
      <c r="AD246" t="inlineStr">
        <is>
          <t>https://www.linkedin.com/company/professorbob/mycompany/</t>
        </is>
      </c>
    </row>
    <row r="247" ht="12.5" customHeight="1">
      <c r="A247" s="6" t="n">
        <v>45181</v>
      </c>
      <c r="B247" s="1" t="inlineStr">
        <is>
          <t>ORG_1066</t>
        </is>
      </c>
      <c r="C247" s="1" t="b">
        <v>1</v>
      </c>
      <c r="D247" s="1" t="inlineStr">
        <is>
          <t>AlumnForce</t>
        </is>
      </c>
      <c r="E247" s="10" t="inlineStr">
        <is>
          <t>https://www.alumnforce.com/</t>
        </is>
      </c>
      <c r="F247" t="inlineStr">
        <is>
          <t>alumnforce.com</t>
        </is>
      </c>
      <c r="G247" s="1" t="inlineStr">
        <is>
          <t>AlumnForce is the web and mobile solution for community and alumni network management. Create, customize and develop the perfect solution to engage and empower your community on a unique platform: Social Network / Career Center / Virtual Career Fair / Mentoring / Fundraising.
AlumnForce offers you an “all-in-one” platform that adapts to your needs and those of your community. And this, no matter how big your network is, whether it has 100 members or more than 1 million. We already work with 300+ networks in 12 countries around the world.
Create your platform with the solutions that suit your needs. Bring your community together online, keep in touch and support your members throughout their professional career.</t>
        </is>
      </c>
      <c r="H247" s="1" t="inlineStr">
        <is>
          <t>EdTech France</t>
        </is>
      </c>
      <c r="I247" s="1" t="inlineStr">
        <is>
          <t>French, English, Spanish, Hungarian</t>
        </is>
      </c>
      <c r="J247" s="1" t="inlineStr">
        <is>
          <t>PARIS</t>
        </is>
      </c>
      <c r="K247" s="1" t="inlineStr">
        <is>
          <t>France</t>
        </is>
      </c>
      <c r="L247" s="1" t="inlineStr">
        <is>
          <t>Belgium, France, Hungary, Italy, Luxembourg, Monaco, Netherlands, Portugal, Spain, Switzerland, United Kingdom</t>
        </is>
      </c>
      <c r="M247" s="1" t="inlineStr">
        <is>
          <t>11 to 50</t>
        </is>
      </c>
      <c r="N247" s="1" t="inlineStr">
        <is>
          <t>Business to Business</t>
        </is>
      </c>
      <c r="O247" s="1" t="inlineStr">
        <is>
          <t>Secondary Education, Corporate Training, Lifelong learning/Adult education, Vocational Education and Training (VET), Higher Education</t>
        </is>
      </c>
      <c r="P247" s="1" t="inlineStr">
        <is>
          <t>Teacher interfacing, System/Administrative, Student interfacing</t>
        </is>
      </c>
      <c r="Q247" t="inlineStr">
        <is>
          <t>AlumnForce</t>
        </is>
      </c>
      <c r="R247" s="10" t="inlineStr">
        <is>
          <t>AlumnForce is a web and mobile alumni solution
Create and manage your private network and foster exchanges between students, graduates, alumni, recruiters, teachers and staff.
A simple, intuitive and configurable alumni platform:
- Groups &amp; clubs
- Career center 
- Mentoring program 
- Email &amp; newsletters
- Virtual/Hybrid job fair
- Data management &amp; statistics</t>
        </is>
      </c>
      <c r="S247" s="10" t="inlineStr">
        <is>
          <t>https://drive.google.com/uc?export=view&amp;id=1IBGpek4F-8bPP3TbN8NTTeEuDNuLZ0KE</t>
        </is>
      </c>
      <c r="T247" t="inlineStr">
        <is>
          <t>https://drive.google.com/uc?export=view&amp;id=1IBGpek4F-8bPP3TbN8NTTeEuDNuLZ0KE</t>
        </is>
      </c>
      <c r="U247" s="1" t="inlineStr">
        <is>
          <t>https://drive.google.com/uc?export=view&amp;id=1IBGpek4F-8bPP3TbN8NTTeEuDNuLZ0KE</t>
        </is>
      </c>
      <c r="V247" s="1" t="inlineStr">
        <is>
          <t>Unverified</t>
        </is>
      </c>
      <c r="Y247" s="10" t="n"/>
      <c r="Z247" s="1" t="n"/>
      <c r="AA247" t="inlineStr">
        <is>
          <t>Yes</t>
        </is>
      </c>
      <c r="AB247" t="inlineStr">
        <is>
          <t>https://twitter.com/AlumnForce</t>
        </is>
      </c>
      <c r="AC247" t="inlineStr">
        <is>
          <t>https://twitter.com/AlumnForce</t>
        </is>
      </c>
      <c r="AD247" t="inlineStr">
        <is>
          <t>https://www.linkedin.com/company/alumnforce-alumni-success-platform/</t>
        </is>
      </c>
    </row>
    <row r="248" ht="12.5" customHeight="1">
      <c r="A248" s="6" t="n">
        <v>45181</v>
      </c>
      <c r="B248" s="1" t="inlineStr">
        <is>
          <t>ORG_1095</t>
        </is>
      </c>
      <c r="C248" s="1" t="b">
        <v>1</v>
      </c>
      <c r="D248" s="1" t="inlineStr">
        <is>
          <t>AREN Education</t>
        </is>
      </c>
      <c r="E248" s="10" t="inlineStr">
        <is>
          <t>https://areneducation.com/en/</t>
        </is>
      </c>
      <c r="F248" t="inlineStr">
        <is>
          <t>areneducation.com/en</t>
        </is>
      </c>
      <c r="G248" s="1" t="inlineStr">
        <is>
          <t>AREN do Simplify access to quality educational resources for Teachers and Students, including the Parents. Provide to governments personalized dashboards for the digital usage and content.</t>
        </is>
      </c>
      <c r="H248" s="1" t="inlineStr">
        <is>
          <t>AFINEF, EdTech France</t>
        </is>
      </c>
      <c r="I248" s="1" t="inlineStr">
        <is>
          <t>English, France, Arabic, Spanish</t>
        </is>
      </c>
      <c r="J248" s="1" t="inlineStr">
        <is>
          <t>PARIS</t>
        </is>
      </c>
      <c r="K248" s="1" t="inlineStr">
        <is>
          <t>France</t>
        </is>
      </c>
      <c r="L248" s="1" t="inlineStr">
        <is>
          <t>Belgium, France, Italy, Luxembourg, Monaco, Switzerland</t>
        </is>
      </c>
      <c r="M248" s="1" t="inlineStr">
        <is>
          <t>6 to 10</t>
        </is>
      </c>
      <c r="N248" s="1" t="inlineStr">
        <is>
          <t>Business to Business</t>
        </is>
      </c>
      <c r="O248" s="1" t="inlineStr">
        <is>
          <t>Early childhood development (0-5 years), Primary Education, Secondary Education</t>
        </is>
      </c>
      <c r="P248" s="1" t="inlineStr">
        <is>
          <t>System/Administrative, Student interfacing, Teacher interfacing</t>
        </is>
      </c>
      <c r="Q248" t="inlineStr">
        <is>
          <t>AREN+</t>
        </is>
      </c>
      <c r="R248" t="inlineStr">
        <is>
          <t>The plateform support governments in the acquisition of digital solutions for the Education Sector. We Work with partners of choice to ensure deployments.</t>
        </is>
      </c>
      <c r="S248" s="10" t="inlineStr">
        <is>
          <t>and a large catalog of multi EdTech resources</t>
        </is>
      </c>
      <c r="T248" t="inlineStr">
        <is>
          <t>Treasure innovative educational resources, proven by research and produced by partners, and or validated by them. Deploy those resources via our platform.</t>
        </is>
      </c>
      <c r="U248" s="1" t="inlineStr">
        <is>
          <t>https://drive.google.com/uc?export=view&amp;id=1FNV-tXlhxHr375OgON_e9NsZmHSzXf7T</t>
        </is>
      </c>
      <c r="V248" s="1" t="inlineStr">
        <is>
          <t>Unverified</t>
        </is>
      </c>
      <c r="W248" s="1" t="inlineStr">
        <is>
          <t>https://drive.google.com/uc?export=view&amp;id=1FNV-tXlhxHr375OgON_e9NsZmHSzXf7T</t>
        </is>
      </c>
      <c r="X248" s="1" t="n"/>
      <c r="Y248" s="10" t="n"/>
      <c r="Z248" s="1" t="n"/>
      <c r="AA248" t="inlineStr">
        <is>
          <t>Yes</t>
        </is>
      </c>
      <c r="AC248" t="inlineStr">
        <is>
          <t>https://www.linkedin.com/company/36144549/admin/feed/posts/</t>
        </is>
      </c>
      <c r="AD248" t="inlineStr">
        <is>
          <t>https://www.linkedin.com/company/36144549/admin/feed/posts/</t>
        </is>
      </c>
    </row>
    <row r="249" ht="12.5" customHeight="1">
      <c r="A249" s="6" t="n">
        <v>45181</v>
      </c>
      <c r="B249" s="1" t="inlineStr">
        <is>
          <t>ORG_1106</t>
        </is>
      </c>
      <c r="C249" s="1" t="b">
        <v>1</v>
      </c>
      <c r="D249" s="1" t="inlineStr">
        <is>
          <t>ASB PUBLISHING</t>
        </is>
      </c>
      <c r="E249" s="10" t="inlineStr">
        <is>
          <t>www.asbpublishing.com</t>
        </is>
      </c>
      <c r="F249" t="inlineStr">
        <is>
          <t>asbpublishing.com</t>
        </is>
      </c>
      <c r="G249" s="1" t="inlineStr">
        <is>
          <t>ASB PUBLISHING is an eLearning publisher, leader in soft skills short video program. Visit our Web site : www.asbpublishing.com</t>
        </is>
      </c>
      <c r="H249" s="1" t="inlineStr">
        <is>
          <t>EdTech France</t>
        </is>
      </c>
      <c r="J249" s="1" t="inlineStr">
        <is>
          <t>PARIS</t>
        </is>
      </c>
      <c r="K249" s="1" t="inlineStr">
        <is>
          <t>France</t>
        </is>
      </c>
      <c r="L249" s="1" t="inlineStr">
        <is>
          <t>Belgium, France, Germany, Ireland, Italy, Luxembourg, Monaco, Netherlands, United Kingdom</t>
        </is>
      </c>
      <c r="M249" s="1" t="inlineStr">
        <is>
          <t>0 to 2</t>
        </is>
      </c>
      <c r="N249" s="1" t="inlineStr">
        <is>
          <t>Business to Business</t>
        </is>
      </c>
      <c r="O249" s="1" t="inlineStr">
        <is>
          <t>Secondary Education, Corporate Training, Lifelong learning/Adult education</t>
        </is>
      </c>
      <c r="P249" s="1" t="inlineStr">
        <is>
          <t>Student interfacing, Teacher interfacing, System/Administrative</t>
        </is>
      </c>
      <c r="Q249" t="inlineStr">
        <is>
          <t>Management skills</t>
        </is>
      </c>
      <c r="R249" t="inlineStr">
        <is>
          <t>40+ eLearning sessions, each of them given for 20 minutes learning, 100% video, that deal with distance management, appraisal interview, coaching... Actionable tips, dos and don'ts, easy going short videos (1 to 3 minutes videos). Atawad and responsive programmes. Contact us for free demo at www.asbpublishing.com !</t>
        </is>
      </c>
      <c r="S249" t="inlineStr">
        <is>
          <t>Selling and negotiating skills</t>
        </is>
      </c>
      <c r="T249" t="inlineStr">
        <is>
          <t>15+ eLearning sessions, each of them given for 20 minutes learning, 100% video, that deal with ccustomer experience, sales, négociation... Actionable tips, dos and don'ts, easy going short videos (1 to 3 minutes videos). Atawad and responsive programmes. Contact us for free demo at www.asbpublishing.com !</t>
        </is>
      </c>
      <c r="U249" s="1" t="inlineStr">
        <is>
          <t>https://drive.google.com/uc?export=view&amp;id=1WeC4JVjBzZs-QTbEVlTn5bEQat-WEFQH</t>
        </is>
      </c>
      <c r="V249" s="1" t="inlineStr">
        <is>
          <t>Unverified</t>
        </is>
      </c>
      <c r="W249" s="1" t="inlineStr">
        <is>
          <t>https://drive.google.com/uc?export=view&amp;id=1WeC4JVjBzZs-QTbEVlTn5bEQat-WEFQH</t>
        </is>
      </c>
      <c r="X249" s="1" t="n"/>
      <c r="Y249" s="10" t="n"/>
      <c r="Z249" s="1" t="n"/>
      <c r="AA249" t="inlineStr">
        <is>
          <t>No</t>
        </is>
      </c>
    </row>
    <row r="250" ht="12.5" customHeight="1">
      <c r="A250" s="6" t="n">
        <v>45181</v>
      </c>
      <c r="B250" s="1" t="inlineStr">
        <is>
          <t>ORG_1176</t>
        </is>
      </c>
      <c r="C250" s="1" t="b">
        <v>1</v>
      </c>
      <c r="D250" s="1" t="inlineStr">
        <is>
          <t>BLUE FROG ROBOTICS</t>
        </is>
      </c>
      <c r="E250" s="10" t="inlineStr">
        <is>
          <t>www.bluefrogrobotics.com</t>
        </is>
      </c>
      <c r="F250" t="inlineStr">
        <is>
          <t>bluefrogrobotics.com</t>
        </is>
      </c>
      <c r="G250" s="1" t="inlineStr">
        <is>
          <t>BLUE FROG ROBOTICS, pioneer and leader in social robotics creates “Robots for Good” that embody Emotional AI to drive significant positive impact on major social issues: Education, Inclusion of vulnerable people and Ageing population. A Word First, the company deploys the largest fleet of humanoid tele-education robots in the world after winning a contract from the French Ministry of National Education to fight against isolation of Hospitalized children to be “tele-present”. In addition, Buddy can serve as a teaching assistant, student’s learning companion as well as an essential teaching tool for coding and programming.</t>
        </is>
      </c>
      <c r="H250" s="1" t="inlineStr">
        <is>
          <t>EdTech France</t>
        </is>
      </c>
      <c r="J250" s="1" t="inlineStr">
        <is>
          <t>PARIS</t>
        </is>
      </c>
      <c r="K250" s="1" t="inlineStr">
        <is>
          <t>France</t>
        </is>
      </c>
      <c r="L250" s="1" t="inlineStr">
        <is>
          <t>Belgium, France, Germany, Italy, Netherlands, Spain, Sweden, Switzerland, United Kingdom</t>
        </is>
      </c>
      <c r="M250" s="1" t="inlineStr">
        <is>
          <t>11 to 50</t>
        </is>
      </c>
      <c r="N250" s="1" t="inlineStr">
        <is>
          <t>Business to Business</t>
        </is>
      </c>
      <c r="O250" s="1" t="inlineStr">
        <is>
          <t>Early childhood development (0-5 years), Primary Education, Secondary Education, Higher Education</t>
        </is>
      </c>
      <c r="P250" s="1" t="inlineStr">
        <is>
          <t>Student interfacing, Teacher interfacing, System/Administrative</t>
        </is>
      </c>
      <c r="Q250" s="1" t="inlineStr">
        <is>
          <t>BUDDY, THE EDUCATIONAL ROBOT</t>
        </is>
      </c>
      <c r="R250" s="1" t="inlineStr">
        <is>
          <t>Buddy Educational Robot provides meaningful 21st century education in the classroom through interactive and immersive learning experiences. Buddy makes learning more impactful and playful at every level of education from preschool through to higher education, including distance learning for students that are unable to physically attend school and education of children with behavioral and autism spectrum disorders. Buddy allows the teacher to start fun activities around programming. It is also an advanced development platform for application projects in higher education.</t>
        </is>
      </c>
      <c r="S250" s="10" t="inlineStr">
        <is>
          <t>BUDDY, THE AVATAR OF SICK CHILDREN</t>
        </is>
      </c>
      <c r="T250" t="inlineStr">
        <is>
          <t>Buddy brings education and school to children in hospitals or long-term care and helps them feel represented in a unique way when they are unable to physically attend school. Set up in the classroom, Buddy becomes their avatar, allowing them to take distance courses and to interact by adding movements, emotions and life to the communications. Students feel empowered with a highly engaging virtual presence. They can participate in classroom discussions, move around classroom and playground, socialize with their classmates.</t>
        </is>
      </c>
      <c r="U250" s="1" t="inlineStr">
        <is>
          <t>https://drive.google.com/uc?export=view&amp;id=1Xx2VlMDxUvQFP6UnoWkOwU94zFq29uQF</t>
        </is>
      </c>
      <c r="V250" s="1" t="inlineStr">
        <is>
          <t>Unverified</t>
        </is>
      </c>
      <c r="W250" s="1" t="inlineStr">
        <is>
          <t>https://drive.google.com/uc?export=view&amp;id=1Xx2VlMDxUvQFP6UnoWkOwU94zFq29uQF</t>
        </is>
      </c>
      <c r="X250" s="1" t="n"/>
      <c r="Y250" s="10" t="n"/>
      <c r="Z250" s="1" t="n"/>
      <c r="AA250" t="inlineStr">
        <is>
          <t>Yes</t>
        </is>
      </c>
      <c r="AB250" t="inlineStr">
        <is>
          <t>buddyrobotics</t>
        </is>
      </c>
      <c r="AC250" t="inlineStr">
        <is>
          <t>adoptbuddy</t>
        </is>
      </c>
      <c r="AD250" t="inlineStr">
        <is>
          <t>https://www.linkedin.com/company/bluefrogrobotics</t>
        </is>
      </c>
    </row>
    <row r="251" ht="12.5" customHeight="1">
      <c r="A251" s="6" t="n">
        <v>45181</v>
      </c>
      <c r="B251" s="1" t="inlineStr">
        <is>
          <t>ORG_1313</t>
        </is>
      </c>
      <c r="C251" s="1" t="b">
        <v>1</v>
      </c>
      <c r="D251" s="1" t="inlineStr">
        <is>
          <t>CrocosGoDigital</t>
        </is>
      </c>
      <c r="E251" s="10" t="inlineStr">
        <is>
          <t>www.crocosgodigital.com</t>
        </is>
      </c>
      <c r="F251" t="inlineStr">
        <is>
          <t>crocosgodigital.com</t>
        </is>
      </c>
      <c r="G251" s="1" t="inlineStr">
        <is>
          <t>Mixing Neurosciences &amp; AI and scientific based, CrocosGoDigital develops a leading platform to Stimulate cognitive &amp; learning functions for Children (6-15), helping pre-detection of strengths &amp; weaknesses, and follow-up their progresses. 
CrocosGoDigital serve Schools, City Halls, Hospitals,... for over 20,000 children, and is fully adapted for NDD Children.
With multiple winning awards and patents pending, CrocosGoDigital is leading innovation in the neuro-education space, impacting significantly children learning capacities.</t>
        </is>
      </c>
      <c r="H251" s="1" t="inlineStr">
        <is>
          <t>EdTech France</t>
        </is>
      </c>
      <c r="J251" s="1" t="inlineStr">
        <is>
          <t>MARSEILLE</t>
        </is>
      </c>
      <c r="K251" s="1" t="inlineStr">
        <is>
          <t>France</t>
        </is>
      </c>
      <c r="L251" s="1" t="inlineStr">
        <is>
          <t>France</t>
        </is>
      </c>
      <c r="M251" s="1" t="inlineStr">
        <is>
          <t>11 to 50</t>
        </is>
      </c>
      <c r="N251" s="1" t="inlineStr">
        <is>
          <t>Business to Business</t>
        </is>
      </c>
      <c r="O251" s="1" t="inlineStr">
        <is>
          <t>Primary Education, Secondary Education</t>
        </is>
      </c>
      <c r="P251" s="1" t="inlineStr">
        <is>
          <t>System/Administrative, Student interfacing, Teacher interfacing</t>
        </is>
      </c>
      <c r="Q251" t="inlineStr">
        <is>
          <t>Crocos-STIM</t>
        </is>
      </c>
      <c r="R251" t="inlineStr">
        <is>
          <t>Crocos-STIM is a set of hundreds of cognitive stimulation workshops (1h based), using robots/drones/... coding and other ludo-educative activities, full designed by our Neuro-specialists and research lab partners, to stimulate cognitive &amp; learning functions of children.</t>
        </is>
      </c>
      <c r="S251" t="inlineStr">
        <is>
          <t>Crocos-MAP</t>
        </is>
      </c>
      <c r="T251" t="inlineStr">
        <is>
          <t>Crocos-MAP is a set of intense cognitive stimulation workshops that helps to notice child behaviour, strengths and weaknesses, and follow up progresses.</t>
        </is>
      </c>
      <c r="U251" s="1" t="inlineStr">
        <is>
          <t>https://drive.google.com/uc?export=view&amp;id=1U9D7pPksCKxNCt4rVcObuAHPr1FwhqgV</t>
        </is>
      </c>
      <c r="V251" s="1" t="inlineStr">
        <is>
          <t>Unverified</t>
        </is>
      </c>
      <c r="W251" s="1" t="inlineStr">
        <is>
          <t>https://drive.google.com/uc?export=view&amp;id=1U9D7pPksCKxNCt4rVcObuAHPr1FwhqgV</t>
        </is>
      </c>
      <c r="X251" s="1" t="n"/>
      <c r="Y251" s="10" t="n"/>
      <c r="Z251" s="1" t="n"/>
      <c r="AA251" t="inlineStr">
        <is>
          <t>No</t>
        </is>
      </c>
    </row>
    <row r="252" ht="12.5" customHeight="1">
      <c r="A252" s="6" t="n">
        <v>45181</v>
      </c>
      <c r="B252" s="1" t="inlineStr">
        <is>
          <t>ORG_1555</t>
        </is>
      </c>
      <c r="C252" s="1" t="b">
        <v>1</v>
      </c>
      <c r="D252" s="1" t="inlineStr">
        <is>
          <t>feamzy</t>
        </is>
      </c>
      <c r="E252" s="10" t="inlineStr">
        <is>
          <t>https://www.feamzy.com/</t>
        </is>
      </c>
      <c r="F252" t="inlineStr">
        <is>
          <t>feamzy.com</t>
        </is>
      </c>
      <c r="G252" s="1" t="inlineStr">
        <is>
          <t>feamzy is an inclusive and innovative social network designed not only for school parents but also for parent-teacher associations (PTAs). This mobile application facilitates seamless communication between parents within the same class, as well as PTA members, allowing them to quickly and conveniently exchange information such as homework, event updates, and course details, all while safeguarding their personal contact information.
Moreover, feamzy extends its services to PTAs by providing them with exclusive access to a wealth of complimentary resources directly within the application. These resources have been specifically tailored to assist PTAs in optimizing their collective parent management. Through Feamzy, PTAs can take advantage of a shared calendar, a built-in chat function, and tools for requesting and sharing important documents, thereby enhancing overall communication and coordination amongst parents and PTA members alike</t>
        </is>
      </c>
      <c r="H252" s="1" t="inlineStr">
        <is>
          <t>EdTech France</t>
        </is>
      </c>
      <c r="I252" s="1" t="inlineStr">
        <is>
          <t>French</t>
        </is>
      </c>
      <c r="J252" s="1" t="inlineStr">
        <is>
          <t>PARIS</t>
        </is>
      </c>
      <c r="K252" s="1" t="inlineStr">
        <is>
          <t>France</t>
        </is>
      </c>
      <c r="L252" s="1" t="inlineStr">
        <is>
          <t>France</t>
        </is>
      </c>
      <c r="M252" s="1" t="inlineStr">
        <is>
          <t>3 to 5</t>
        </is>
      </c>
      <c r="N252" s="1" t="inlineStr">
        <is>
          <t>Business to Business, Business to Consumer</t>
        </is>
      </c>
      <c r="O252" s="1" t="inlineStr">
        <is>
          <t>Early childhood development (0-5 years), Primary Education, Secondary Education</t>
        </is>
      </c>
      <c r="P252" s="1" t="inlineStr">
        <is>
          <t>System/Administrative, Teacher interfacing</t>
        </is>
      </c>
      <c r="Q252" s="10" t="inlineStr">
        <is>
          <t>feamzy</t>
        </is>
      </c>
      <c r="R252" s="10" t="inlineStr">
        <is>
          <t>The free mobile application Feamzy is the best alternative to parent WhatsApp groups. Feamzy prioritizes data privacy. Parents can interact with other class parents without sharing their phone numbers or email addresses.
With Feamzy, they can exchange important information necessary for their children's education. They have access to:
A class chat moderated by all the parents in the class.
A shared calendar.
Features for sharing and requesting information.
The ability to post urgent updates to notify parents in case of emergencies.
Access to educational content, including replays of Feamzy webinars.</t>
        </is>
      </c>
      <c r="S252" s="10" t="inlineStr">
        <is>
          <t>feamzy APE</t>
        </is>
      </c>
      <c r="T252" t="inlineStr">
        <is>
          <t>The Feamzy APE application provides all Parent-Teacher Associations (PTAs) with a fast and efficient means of communicating with all parents within the school. The information transmitted by the PTA through Feamzy APE is delivered to the parents of the institution via the free mobile application Feamzy, without parents having to share their contact details.
This streamlining of communication allows PTAs to save valuable time and focus fully on their mission, which includes advocating for students' interests, serving as intermediaries between the school and families to inform parents, and bringing together the educational community for collaborative and friendly events within the school.</t>
        </is>
      </c>
      <c r="U252" s="1" t="inlineStr">
        <is>
          <t>https://drive.google.com/uc?export=view&amp;id=1-VbH4MZSNFHc5B_dXwRZ8HexdC-Kvo0X</t>
        </is>
      </c>
      <c r="V252" s="1" t="inlineStr">
        <is>
          <t>Unverified</t>
        </is>
      </c>
      <c r="W252" s="1" t="inlineStr">
        <is>
          <t>https://drive.google.com/uc?export=view&amp;id=1-VbH4MZSNFHc5B_dXwRZ8HexdC-Kvo0X</t>
        </is>
      </c>
      <c r="X252" s="1" t="n"/>
      <c r="Y252" s="10" t="n"/>
      <c r="Z252" s="1" t="n"/>
      <c r="AA252" t="inlineStr">
        <is>
          <t>Yes</t>
        </is>
      </c>
      <c r="AB252" t="inlineStr">
        <is>
          <t>https://www.instagram.com/feamzy_application/</t>
        </is>
      </c>
      <c r="AC252" t="inlineStr">
        <is>
          <t>https://twitter.com/MarieLewin_18</t>
        </is>
      </c>
      <c r="AD252" t="inlineStr">
        <is>
          <t>https://www.linkedin.com/company/34700226</t>
        </is>
      </c>
    </row>
    <row r="253" ht="12.5" customHeight="1">
      <c r="A253" s="6" t="n">
        <v>45181</v>
      </c>
      <c r="B253" s="1" t="inlineStr">
        <is>
          <t>ORG_1656</t>
        </is>
      </c>
      <c r="C253" s="1" t="b">
        <v>1</v>
      </c>
      <c r="D253" s="1" t="inlineStr">
        <is>
          <t>HABILITATEM</t>
        </is>
      </c>
      <c r="E253" s="10" t="inlineStr">
        <is>
          <t>https://habilitatem.com/</t>
        </is>
      </c>
      <c r="F253" t="inlineStr">
        <is>
          <t>habilitatem.com</t>
        </is>
      </c>
      <c r="G253" s="1" t="inlineStr">
        <is>
          <t>Our objective is to support higher education institutions in adopting competency-based approaches. The very strong alignment of strategic players in Europe on the importance of competency development to ensure employability supports our convictions.
We look to enhance the training offer of our clients by issuing an individualized competency passport for their learners. This passport summarizes the achievements of learners during the years. It presents the professional competencies, the soft-skills and the language skills they have acquired.
The purpose is to support students when looking to start their professional life thanks to a complete inventory of their competencies. This passport will help them to meet the expectations of our fast-changing society and those of companies and public organizations.</t>
        </is>
      </c>
      <c r="H253" s="1" t="inlineStr">
        <is>
          <t>EdTech France</t>
        </is>
      </c>
      <c r="J253" s="1" t="inlineStr">
        <is>
          <t>PARIS</t>
        </is>
      </c>
      <c r="K253" s="1" t="inlineStr">
        <is>
          <t>France</t>
        </is>
      </c>
      <c r="L253" s="1" t="inlineStr">
        <is>
          <t>Denmark, France, Italy, Spain</t>
        </is>
      </c>
      <c r="M253" s="1" t="inlineStr">
        <is>
          <t>0 to 10</t>
        </is>
      </c>
      <c r="N253" s="1" t="inlineStr">
        <is>
          <t>Business to Business, Business to Consumer, Business to Government, Business to Schools</t>
        </is>
      </c>
      <c r="O253" s="1" t="inlineStr">
        <is>
          <t>Higher Education, Corporate Training, Lifelong learning/Adult education</t>
        </is>
      </c>
      <c r="P253" s="1" t="inlineStr">
        <is>
          <t>Student interfacing, System/Administrative</t>
        </is>
      </c>
      <c r="Q253" t="inlineStr">
        <is>
          <t>HABILITATEM Competency Passeport</t>
        </is>
      </c>
      <c r="R253" s="1" t="inlineStr">
        <is>
          <t>Our passport summarizes the achievements of learners during the years. It presents the professional competencies, the soft-skills and the language skills they have acquired.
The purpose is to support students when looking to start their professional life thanks to a complete inventory of their competencies. This passport will help them to meet the expectations of our fast-changing society and those of companies and public organizations.</t>
        </is>
      </c>
      <c r="S253" s="1" t="inlineStr">
        <is>
          <t>https://drive.google.com/uc?export=view&amp;id=1AoAHbMKLdRaz2anYunxKy93W8ULZN3_x</t>
        </is>
      </c>
      <c r="T253" t="inlineStr">
        <is>
          <t>https://drive.google.com/uc?export=view&amp;id=1AoAHbMKLdRaz2anYunxKy93W8ULZN3_x</t>
        </is>
      </c>
      <c r="U253" s="1" t="inlineStr">
        <is>
          <t>https://drive.google.com/uc?export=view&amp;id=1AoAHbMKLdRaz2anYunxKy93W8ULZN3_x</t>
        </is>
      </c>
      <c r="V253" s="1" t="inlineStr">
        <is>
          <t>Unverified</t>
        </is>
      </c>
      <c r="Y253" s="10" t="n"/>
      <c r="Z253" s="1" t="n"/>
      <c r="AA253" t="inlineStr">
        <is>
          <t>No</t>
        </is>
      </c>
      <c r="AC253" t="inlineStr">
        <is>
          <t>n/a</t>
        </is>
      </c>
      <c r="AD253" t="inlineStr">
        <is>
          <t>n/a</t>
        </is>
      </c>
    </row>
    <row r="254" ht="12.5" customHeight="1">
      <c r="A254" s="6" t="n">
        <v>45181</v>
      </c>
      <c r="B254" s="1" t="inlineStr">
        <is>
          <t>ORG_1739</t>
        </is>
      </c>
      <c r="C254" s="1" t="b">
        <v>1</v>
      </c>
      <c r="D254" s="1" t="inlineStr">
        <is>
          <t>ISDI France</t>
        </is>
      </c>
      <c r="E254" s="10" t="inlineStr">
        <is>
          <t>http://www.isdicrm.com/fr</t>
        </is>
      </c>
      <c r="F254" t="inlineStr">
        <is>
          <t>isdicrm.com/fr</t>
        </is>
      </c>
      <c r="G254" s="1" t="inlineStr">
        <is>
          <t>ISDI France has been founded as a Salesforce Authorized Training Provider, helping Salesforce as worldwide CRM leader to develop its ecosystem in France &amp; EMEA. Today, ISDI France is specialised in vocational training in the digital transformation tools &amp; cloud solutions, helping software vendors to skill up their partners and customers, supporting the job creation in their space and helping bridging the skills gap in the digital world.</t>
        </is>
      </c>
      <c r="H254" s="1" t="inlineStr">
        <is>
          <t>EdTech France</t>
        </is>
      </c>
      <c r="J254" s="1" t="inlineStr">
        <is>
          <t>PARIS</t>
        </is>
      </c>
      <c r="K254" s="1" t="inlineStr">
        <is>
          <t>France</t>
        </is>
      </c>
      <c r="L254" s="1" t="inlineStr">
        <is>
          <t>Belgium, France, Luxembourg, Spain, Switzerland</t>
        </is>
      </c>
      <c r="M254" s="1" t="inlineStr">
        <is>
          <t>0 to 10</t>
        </is>
      </c>
      <c r="N254" s="1" t="inlineStr">
        <is>
          <t>Business to Business, Business to Consumer, Business to Government, Business to Schools</t>
        </is>
      </c>
      <c r="O254" s="1" t="inlineStr">
        <is>
          <t>Corporate Training, Lifelong learning/Adult education</t>
        </is>
      </c>
      <c r="P254" s="1" t="inlineStr">
        <is>
          <t>Student interfacing, System/Administrative</t>
        </is>
      </c>
      <c r="Q254" t="inlineStr">
        <is>
          <t>Salesforce Official Training</t>
        </is>
      </c>
      <c r="R254" t="inlineStr">
        <is>
          <t>Salesforce official trainings aiming at helping partners &amp; customer prepare for the certification exams, on all clouds, all solutions of Salesforce</t>
        </is>
      </c>
      <c r="S254" s="10" t="inlineStr">
        <is>
          <t>Digital Transformation Courses</t>
        </is>
      </c>
      <c r="T254" t="inlineStr">
        <is>
          <t>Inspiration courses aiming at inspiring leaders &amp; managers in all digital transformation topics and challenges. Delivered 100% by professionals at strategic positions in the best companies in France.</t>
        </is>
      </c>
      <c r="U254" s="1" t="inlineStr">
        <is>
          <t>https://drive.google.com/uc?export=view&amp;id=15-1OvEuONOoqHE3fI56KXsvUB0R5503v</t>
        </is>
      </c>
      <c r="V254" s="1" t="inlineStr">
        <is>
          <t>Unverified</t>
        </is>
      </c>
      <c r="W254" s="1" t="inlineStr">
        <is>
          <t>https://drive.google.com/uc?export=view&amp;id=15-1OvEuONOoqHE3fI56KXsvUB0R5503v</t>
        </is>
      </c>
      <c r="X254" s="1" t="n"/>
      <c r="Y254" s="10" t="n"/>
      <c r="Z254" s="1" t="n"/>
      <c r="AA254" t="inlineStr">
        <is>
          <t>Yes</t>
        </is>
      </c>
      <c r="AC254" t="inlineStr">
        <is>
          <t>https://www.linkedin.com/company/19200104</t>
        </is>
      </c>
      <c r="AD254" t="inlineStr">
        <is>
          <t>https://www.linkedin.com/company/19200104</t>
        </is>
      </c>
    </row>
    <row r="255" ht="12.5" customHeight="1">
      <c r="A255" s="6" t="n">
        <v>45181</v>
      </c>
      <c r="B255" s="1" t="inlineStr">
        <is>
          <t>ORG_1755</t>
        </is>
      </c>
      <c r="C255" s="1" t="b">
        <v>1</v>
      </c>
      <c r="D255" s="1" t="inlineStr">
        <is>
          <t>Jeux&amp;Co</t>
        </is>
      </c>
      <c r="E255" s="10" t="inlineStr">
        <is>
          <t>https://www.jeuxandco.com/</t>
        </is>
      </c>
      <c r="F255" t="inlineStr">
        <is>
          <t>jeuxandco.com</t>
        </is>
      </c>
      <c r="G255" s="1" t="inlineStr">
        <is>
          <t>With more than 1500 games for K12, 500 geographical games and 25 different ways to play, Jeux&amp;Co has been one of the French leaders in education technologies since 1998. 
History, Geography, Sciences, Foreign languages... Everything is made to learn while having fun!
With Jeux&amp;Co, there is something for everyone thanks to our BtoC and BtoB offers:
-Learnious Media: take advantage of a direct integration of our games on your website based on a plug-and-play model (for medias, In flight entertainment, In cruise entertainment...)
-Learnious Family: an innovative app for young students with inclusive educational games (DYS, ADHD), progress and scores tracking for an easy learning!
-Learnious Edu: thousands of games and content for teachers, classroom management tool, quiz builder and assessment automation.
-Geographic-games: one of the largest geographic gaming platforms in the world with a community of over a million members. Quizzes, location and map games or tournaments in more than 5 languages to know your geography at your fingertips.</t>
        </is>
      </c>
      <c r="H255" s="1" t="inlineStr">
        <is>
          <t>I'm not part of any EdTech association</t>
        </is>
      </c>
      <c r="J255" s="1" t="inlineStr">
        <is>
          <t>SAN MARTINO DI LOTA</t>
        </is>
      </c>
      <c r="K255" s="1" t="inlineStr">
        <is>
          <t>France</t>
        </is>
      </c>
      <c r="L255" s="1" t="inlineStr">
        <is>
          <t>Austria, France, Germany, Italy, Spain, Switzerland, United Kingdom</t>
        </is>
      </c>
      <c r="M255" s="1" t="inlineStr">
        <is>
          <t>0 to 10</t>
        </is>
      </c>
      <c r="N255" s="1" t="inlineStr">
        <is>
          <t>Business to Business, Business to Consumer, Business to Government, Business to Schools</t>
        </is>
      </c>
      <c r="O255" s="1" t="inlineStr">
        <is>
          <t>Primary Education, Secondary Education</t>
        </is>
      </c>
      <c r="P255" s="1" t="inlineStr">
        <is>
          <t>System/Administrative, Student interfacing, Teacher interfacing</t>
        </is>
      </c>
      <c r="S255" t="inlineStr">
        <is>
          <t>https://drive.google.com/uc?export=view&amp;id=1VKsJ4X0o00-xlzLv84e1LgZxCKkWe_U3</t>
        </is>
      </c>
      <c r="T255" t="inlineStr">
        <is>
          <t>https://drive.google.com/uc?export=view&amp;id=1VKsJ4X0o00-xlzLv84e1LgZxCKkWe_U3</t>
        </is>
      </c>
      <c r="U255" t="inlineStr">
        <is>
          <t>https://drive.google.com/uc?export=view&amp;id=1VKsJ4X0o00-xlzLv84e1LgZxCKkWe_U3</t>
        </is>
      </c>
      <c r="V255" t="inlineStr">
        <is>
          <t>Unverified</t>
        </is>
      </c>
      <c r="Y255" s="10" t="n"/>
      <c r="Z255" s="1" t="n"/>
      <c r="AA255" t="inlineStr">
        <is>
          <t>No</t>
        </is>
      </c>
    </row>
    <row r="256" ht="12.5" customHeight="1">
      <c r="A256" s="6" t="n">
        <v>45181</v>
      </c>
      <c r="B256" s="1" t="inlineStr">
        <is>
          <t>ORG_1761</t>
        </is>
      </c>
      <c r="C256" s="1" t="b">
        <v>1</v>
      </c>
      <c r="D256" s="1" t="inlineStr">
        <is>
          <t>KALÉA DIGITAL ET FORMATION</t>
        </is>
      </c>
      <c r="E256" s="10" t="inlineStr">
        <is>
          <t>https://www.kalea-formation.com/</t>
        </is>
      </c>
      <c r="F256" t="inlineStr">
        <is>
          <t>kalea-formation.com</t>
        </is>
      </c>
      <c r="G256" s="1" t="inlineStr">
        <is>
          <t>Committed alongside insurance players by choice and conviction for 15 years and passionate about the transformations of the sector, we combine the best teaching techniques and innovative learning materials to meet your Business, HR and operational challenges.</t>
        </is>
      </c>
      <c r="H256" s="1" t="inlineStr">
        <is>
          <t>EdTech France</t>
        </is>
      </c>
      <c r="J256" s="1" t="inlineStr">
        <is>
          <t>Asnières sur Seine</t>
        </is>
      </c>
      <c r="K256" s="1" t="inlineStr">
        <is>
          <t>France</t>
        </is>
      </c>
      <c r="L256" s="1" t="inlineStr">
        <is>
          <t>France, United Kingdom</t>
        </is>
      </c>
      <c r="M256" s="1" t="inlineStr">
        <is>
          <t>6 to 10</t>
        </is>
      </c>
      <c r="N256" s="1" t="inlineStr">
        <is>
          <t>Business to Business, Business to Consumer, Business to Government, Business to Schools</t>
        </is>
      </c>
      <c r="O256" s="1" t="inlineStr">
        <is>
          <t>Corporate Training</t>
        </is>
      </c>
      <c r="P256" s="1" t="inlineStr">
        <is>
          <t>System/Administrative, Student interfacing</t>
        </is>
      </c>
      <c r="Q256" t="inlineStr">
        <is>
          <t>TAILOR-MADE TRAINING</t>
        </is>
      </c>
      <c r="R256" t="inlineStr">
        <is>
          <t>Launch of new products, conquest of new markets, transformation of businesses, updating of commercial methods...</t>
        </is>
      </c>
      <c r="S256" s="10" t="inlineStr">
        <is>
          <t>CONTINUOUS-LEARNING</t>
        </is>
      </c>
      <c r="T256" t="inlineStr">
        <is>
          <t>Continuous deciphering of news and market transformations to be constantly on the lookout for your sector of activity.</t>
        </is>
      </c>
      <c r="U256" s="1" t="inlineStr">
        <is>
          <t>https://drive.google.com/uc?export=view&amp;id=1ptLDTYiraAtR98N3agT-Y4-IaVehKEjI</t>
        </is>
      </c>
      <c r="V256" s="1" t="inlineStr">
        <is>
          <t>Unverified</t>
        </is>
      </c>
      <c r="W256" s="1" t="inlineStr">
        <is>
          <t>https://drive.google.com/uc?export=view&amp;id=1ptLDTYiraAtR98N3agT-Y4-IaVehKEjI</t>
        </is>
      </c>
      <c r="X256" s="1" t="n"/>
      <c r="Y256" s="10" t="n"/>
      <c r="Z256" s="1" t="n"/>
      <c r="AA256" t="inlineStr">
        <is>
          <t>Yes</t>
        </is>
      </c>
      <c r="AC256" t="inlineStr">
        <is>
          <t>https://www.linkedin.com/company/877277</t>
        </is>
      </c>
      <c r="AD256" t="inlineStr">
        <is>
          <t>https://www.linkedin.com/company/877277</t>
        </is>
      </c>
    </row>
    <row r="257" ht="12.5" customHeight="1">
      <c r="A257" s="6" t="n">
        <v>45181</v>
      </c>
      <c r="B257" s="1" t="inlineStr">
        <is>
          <t>ORG_1817</t>
        </is>
      </c>
      <c r="C257" s="1" t="b">
        <v>1</v>
      </c>
      <c r="D257" s="1" t="inlineStr">
        <is>
          <t>laWEbox</t>
        </is>
      </c>
      <c r="E257" s="10" t="inlineStr">
        <is>
          <t>www.laWEbox.com</t>
        </is>
      </c>
      <c r="F257" t="inlineStr">
        <is>
          <t>lawebox.com</t>
        </is>
      </c>
      <c r="G257" s="1" t="inlineStr">
        <is>
          <t>laWEbox : AI for management.
This adaptative and collaborative innovative learning experience accelerate managerial transformation : mobilize, train and anchor.
laWEbox application offers different possibilities to learn and progress among peers and on his own, 3 of them are exclusive :
- Peer doing is the heart of the pedagogy: laWEbox contents enable people to experiment and challenge their practices, among peers, in teams sharing
- Lazare, laWEbox AI chatbot, answers all management questions by offering concrete techniques in reply. Lazare is a virtual "management assistant".
- Auto-adjustment of contents sent according to participants needs and feedbacks</t>
        </is>
      </c>
      <c r="H257" s="1" t="inlineStr">
        <is>
          <t>EdTech France</t>
        </is>
      </c>
      <c r="I257" s="1" t="inlineStr">
        <is>
          <t>English, French</t>
        </is>
      </c>
      <c r="J257" s="1" t="inlineStr">
        <is>
          <t>Paris</t>
        </is>
      </c>
      <c r="K257" s="1" t="inlineStr">
        <is>
          <t>France</t>
        </is>
      </c>
      <c r="L25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257" s="1" t="inlineStr">
        <is>
          <t>3 to 5</t>
        </is>
      </c>
      <c r="N257" s="1" t="inlineStr">
        <is>
          <t>Business to Business, Business to Consumer, Business to Schools</t>
        </is>
      </c>
      <c r="O257" s="1" t="inlineStr">
        <is>
          <t>Corporate Training, Lifelong learning/Adult education</t>
        </is>
      </c>
      <c r="P257" s="1" t="inlineStr">
        <is>
          <t>System/Administrative</t>
        </is>
      </c>
      <c r="Q257" s="10" t="inlineStr">
        <is>
          <t>laWEroom</t>
        </is>
      </c>
      <c r="R257" s="10" t="inlineStr">
        <is>
          <t>What’s the point? laWEbox platform serves as a common thread in the training courses or managerial transformation to anchor good practices and key actions. PeerDoing = transformation acceleration
What will you find in laWEroom?
-short contents to jump into action
-a cocoaching pair to choose among your peer group
-quizzes to test your knowledge
-a learning community of colleagues in your pocket to ask your questions and tips
-gamification to gain additional features
For which deliverables?
-Stimulation to grow: extend the virtual classroom with concrete technics answering the question « how can I use those learnings today? »
-Helpfull solutions: a managerial toolkit collecting the best practices of all the TEDI groups of manager (thanks to IA)
-Way forward: a personal map presenting your strengths and areas of progress</t>
        </is>
      </c>
      <c r="S257" s="10" t="inlineStr">
        <is>
          <t>https://drive.google.com/uc?export=view&amp;id=1btGQlVTjZ3akbFF6Z9bJGeFP_VLP3ili</t>
        </is>
      </c>
      <c r="T257" t="inlineStr">
        <is>
          <t>https://drive.google.com/uc?export=view&amp;id=1btGQlVTjZ3akbFF6Z9bJGeFP_VLP3ili</t>
        </is>
      </c>
      <c r="U257" s="1" t="inlineStr">
        <is>
          <t>https://drive.google.com/uc?export=view&amp;id=1btGQlVTjZ3akbFF6Z9bJGeFP_VLP3ili</t>
        </is>
      </c>
      <c r="V257" s="1" t="inlineStr">
        <is>
          <t>Unverified</t>
        </is>
      </c>
      <c r="Y257" s="10" t="n"/>
      <c r="Z257" s="1" t="n"/>
      <c r="AA257" t="inlineStr">
        <is>
          <t>Yes</t>
        </is>
      </c>
      <c r="AB257" t="inlineStr">
        <is>
          <t>https://www.instagram.com/lawebox/?hl=fr</t>
        </is>
      </c>
      <c r="AC257" t="inlineStr">
        <is>
          <t>https://mobile.twitter.com/adebernardy</t>
        </is>
      </c>
      <c r="AD257" t="inlineStr">
        <is>
          <t>https://www.linkedin.com/company/18363081/admin/</t>
        </is>
      </c>
    </row>
    <row r="258" ht="12.5" customHeight="1">
      <c r="A258" s="6" t="n">
        <v>45181</v>
      </c>
      <c r="B258" s="1" t="inlineStr">
        <is>
          <t>ORG_1819</t>
        </is>
      </c>
      <c r="C258" s="1" t="b">
        <v>1</v>
      </c>
      <c r="D258" s="1" t="inlineStr">
        <is>
          <t>Le Bahut</t>
        </is>
      </c>
      <c r="E258" s="10" t="inlineStr">
        <is>
          <t>https://le-bahut.com/</t>
        </is>
      </c>
      <c r="F258" t="inlineStr">
        <is>
          <t>le-bahut.com</t>
        </is>
      </c>
      <c r="G258" s="1" t="inlineStr">
        <is>
          <t>Le Bahut is a school dedicated to new jobs.
Our first course is dedicated to Digital Learning and opened in Lyon in September 2020.
Our ambition is to train Digital Learning Managers capable of designing complete training modules, from gathering requirements to the technical production of tools, including the popularisation of content, graphic design and project management.
Our second course is dedicated to the job of Artificial Intelligence Project Manager and will open in April 2024.
Our ambition is to train project managers capable of acting as the interface between operational business people and data scientists, in order to create truly useful and effective solutions.</t>
        </is>
      </c>
      <c r="H258" s="1" t="inlineStr">
        <is>
          <t>EdTech France</t>
        </is>
      </c>
      <c r="I258" s="1" t="inlineStr">
        <is>
          <t>French</t>
        </is>
      </c>
      <c r="J258" s="1" t="inlineStr">
        <is>
          <t>LYON</t>
        </is>
      </c>
      <c r="K258" s="1" t="inlineStr">
        <is>
          <t>France</t>
        </is>
      </c>
      <c r="L258" s="1" t="inlineStr">
        <is>
          <t>Belgium, France, Luxembourg, Monaco, Switzerland</t>
        </is>
      </c>
      <c r="M258" s="1" t="inlineStr">
        <is>
          <t>11 to 50</t>
        </is>
      </c>
      <c r="N258" s="1" t="inlineStr">
        <is>
          <t>Business to Business, Business to Government, Business to Schools</t>
        </is>
      </c>
      <c r="O258" s="1" t="inlineStr">
        <is>
          <t>Corporate Training, Lifelong learning/Adult education, Higher Education</t>
        </is>
      </c>
      <c r="P258" s="1" t="inlineStr">
        <is>
          <t>Teacher interfacing, System/Administrative, Student interfacing</t>
        </is>
      </c>
      <c r="Q258" t="inlineStr">
        <is>
          <t>Ecole Le Bahut</t>
        </is>
      </c>
      <c r="R258" s="10" t="inlineStr">
        <is>
          <t>Le Bahut is a school which trains Digital Learning Managers and AI Project Managers in 13 weeks.</t>
        </is>
      </c>
      <c r="S258" s="10" t="inlineStr">
        <is>
          <t>Formations Le Bahut</t>
        </is>
      </c>
      <c r="T258" t="inlineStr">
        <is>
          <t>Le Bahut offers trainings on Digital Learning and on AI for professionals and trainers.</t>
        </is>
      </c>
      <c r="U258" s="1" t="inlineStr">
        <is>
          <t>https://drive.google.com/uc?export=view&amp;id=18yCtVW8hwBti0HkRjnCog_NtZV5K4aCT</t>
        </is>
      </c>
      <c r="V258" s="1" t="inlineStr">
        <is>
          <t>Unverified</t>
        </is>
      </c>
      <c r="W258" s="1" t="inlineStr">
        <is>
          <t>https://drive.google.com/uc?export=view&amp;id=18yCtVW8hwBti0HkRjnCog_NtZV5K4aCT</t>
        </is>
      </c>
      <c r="X258" s="1" t="n"/>
      <c r="Y258" s="10" t="n"/>
      <c r="Z258" s="1" t="n"/>
      <c r="AA258" t="inlineStr">
        <is>
          <t>Yes</t>
        </is>
      </c>
      <c r="AB258" t="inlineStr">
        <is>
          <t>https://twitter.com/sydopedago</t>
        </is>
      </c>
      <c r="AC258" t="inlineStr">
        <is>
          <t>https://twitter.com/sydopedago</t>
        </is>
      </c>
      <c r="AD258" t="inlineStr">
        <is>
          <t>https://www.linkedin.com/school/le-bahut-lyon/</t>
        </is>
      </c>
    </row>
    <row r="259" ht="12.5" customHeight="1">
      <c r="A259" s="6" t="n">
        <v>45181</v>
      </c>
      <c r="B259" s="1" t="inlineStr">
        <is>
          <t>ORG_1820</t>
        </is>
      </c>
      <c r="C259" s="1" t="b">
        <v>1</v>
      </c>
      <c r="D259" s="1" t="inlineStr">
        <is>
          <t>Le Coin du Prof</t>
        </is>
      </c>
      <c r="E259" s="10" t="inlineStr">
        <is>
          <t>www.lecoinduprof.fr</t>
        </is>
      </c>
      <c r="F259" t="inlineStr">
        <is>
          <t>lecoinduprof.fr</t>
        </is>
      </c>
      <c r="G259" s="1" t="inlineStr">
        <is>
          <t>Le Coin du Prof is a all-in-one platform which :
- make teacher's work easier
- offer motivating learning material for students</t>
        </is>
      </c>
      <c r="H259" s="1" t="inlineStr">
        <is>
          <t>AFINEF, EdTech France</t>
        </is>
      </c>
      <c r="I259" s="1" t="inlineStr">
        <is>
          <t>French</t>
        </is>
      </c>
      <c r="J259" s="1" t="inlineStr">
        <is>
          <t>BORDEAUX</t>
        </is>
      </c>
      <c r="K259" s="1" t="inlineStr">
        <is>
          <t>France</t>
        </is>
      </c>
      <c r="L259" s="1" t="inlineStr">
        <is>
          <t>France</t>
        </is>
      </c>
      <c r="M259" s="1" t="inlineStr">
        <is>
          <t>0 to 2</t>
        </is>
      </c>
      <c r="N259" s="1" t="inlineStr">
        <is>
          <t>Business to Business, Business to Government, Business to Schools</t>
        </is>
      </c>
      <c r="O259" s="1" t="inlineStr">
        <is>
          <t>Secondary Education</t>
        </is>
      </c>
      <c r="P259" s="1" t="inlineStr">
        <is>
          <t>Teacher interfacing</t>
        </is>
      </c>
      <c r="Q259" t="inlineStr">
        <is>
          <t>MathTeacher's Corner</t>
        </is>
      </c>
      <c r="R259" t="inlineStr">
        <is>
          <t>Math Teacher's Corner is a all-in-one platform where math teachers can customize turnkey learning material (such as ritual activities, escape games, assessments), organize their work and use motivating tools for their students.</t>
        </is>
      </c>
      <c r="S259" s="10" t="inlineStr">
        <is>
          <t>https://drive.google.com/uc?export=view&amp;id=13nG-7BeWGwwRxgF81WIn8SqgPkE8WPcL</t>
        </is>
      </c>
      <c r="T259" t="inlineStr">
        <is>
          <t>https://drive.google.com/uc?export=view&amp;id=13nG-7BeWGwwRxgF81WIn8SqgPkE8WPcL</t>
        </is>
      </c>
      <c r="U259" s="1" t="inlineStr">
        <is>
          <t>https://drive.google.com/uc?export=view&amp;id=13nG-7BeWGwwRxgF81WIn8SqgPkE8WPcL</t>
        </is>
      </c>
      <c r="V259" s="1" t="inlineStr">
        <is>
          <t>Unverified</t>
        </is>
      </c>
      <c r="Y259" s="10" t="n"/>
      <c r="Z259" s="1" t="n"/>
      <c r="AA259" t="inlineStr">
        <is>
          <t>Yes</t>
        </is>
      </c>
      <c r="AC259" t="inlineStr">
        <is>
          <t>https://www.linkedin.com/company/le-coin-du-prof/</t>
        </is>
      </c>
      <c r="AD259" t="inlineStr">
        <is>
          <t>https://www.linkedin.com/company/le-coin-du-prof/</t>
        </is>
      </c>
    </row>
    <row r="260" ht="12.5" customHeight="1">
      <c r="A260" s="6" t="n">
        <v>45181</v>
      </c>
      <c r="B260" s="1" t="inlineStr">
        <is>
          <t>ORG_1821</t>
        </is>
      </c>
      <c r="C260" s="1" t="b">
        <v>1</v>
      </c>
      <c r="D260" s="1" t="inlineStr">
        <is>
          <t>Le Reacteur - Coding Bootcamp</t>
        </is>
      </c>
      <c r="E260" s="10" t="inlineStr">
        <is>
          <t>https://www.lereacteur.io</t>
        </is>
      </c>
      <c r="F260" t="inlineStr">
        <is>
          <t>lereacteur.io</t>
        </is>
      </c>
      <c r="G260" s="1" t="inlineStr">
        <is>
          <t>Le Reacteur est un coding bootcamp qui enseigne la programmation aux personnes en reconversion professionnelle. Initialement spécialisé dans le JavaScript et le framework React, notre organisme propose une formation qui se décline en deux formats - temps plein et temps partiel - afin de se former au métier de développeur Full-Stack Web et Mobile. Localisé à Paris, il est possible de suivre nos formations sur place ou à distance.</t>
        </is>
      </c>
      <c r="H260" s="1" t="inlineStr">
        <is>
          <t>EdTech France</t>
        </is>
      </c>
      <c r="J260" s="1" t="inlineStr">
        <is>
          <t>PARIS</t>
        </is>
      </c>
      <c r="K260" s="1" t="inlineStr">
        <is>
          <t>France</t>
        </is>
      </c>
      <c r="L260" s="1" t="inlineStr">
        <is>
          <t>Belgium, France, Luxembourg</t>
        </is>
      </c>
      <c r="M260" s="1" t="inlineStr">
        <is>
          <t>0 to 10</t>
        </is>
      </c>
      <c r="N260" s="1" t="inlineStr">
        <is>
          <t>Business to Business, Business to Government, Business to Schools</t>
        </is>
      </c>
      <c r="O260" s="1" t="inlineStr">
        <is>
          <t>Higher Education, Corporate Training, Lifelong learning/Adult education</t>
        </is>
      </c>
      <c r="P260" s="1" t="inlineStr">
        <is>
          <t>Student interfacing</t>
        </is>
      </c>
      <c r="Q260" s="10" t="inlineStr">
        <is>
          <t>Bootcamp Full-Stack JavaScript Web &amp; Mobile</t>
        </is>
      </c>
      <c r="R260" s="10" t="inlineStr">
        <is>
          <t>This training allows you to train as a Web and Mobile developer. In a 10-week full-time or 25-week part-time format, we teach different programming languages such as: JavaScript, Node.js, HTML/CSS, React and React Native. It is possible to follow the curriculum on site in Paris (France) or by distance learning. The training is project-oriented, which means that the students realize more than ten replicas of websites or mobile applications during their training. During the last two weeks, students are put in touch with startups to create MVPs. After the training, students are invited to go on a 4 to 6 month internship in a company, to complete their course with a professional experience.
Translated with www.DeepL.com/Translator (free version)</t>
        </is>
      </c>
      <c r="S260" s="10" t="inlineStr">
        <is>
          <t>https://drive.google.com/uc?export=view&amp;id=1JJs9LwYrFPgU0cS00mS_G0Ovw5G2HgkW</t>
        </is>
      </c>
      <c r="T260" t="inlineStr">
        <is>
          <t>https://drive.google.com/uc?export=view&amp;id=1JJs9LwYrFPgU0cS00mS_G0Ovw5G2HgkW</t>
        </is>
      </c>
      <c r="U260" s="1" t="inlineStr">
        <is>
          <t>https://drive.google.com/uc?export=view&amp;id=1JJs9LwYrFPgU0cS00mS_G0Ovw5G2HgkW</t>
        </is>
      </c>
      <c r="V260" s="1" t="inlineStr">
        <is>
          <t>Unverified</t>
        </is>
      </c>
      <c r="Y260" s="10" t="n"/>
      <c r="Z260" s="1" t="n"/>
      <c r="AA260" t="inlineStr">
        <is>
          <t>Yes</t>
        </is>
      </c>
      <c r="AB260" t="inlineStr">
        <is>
          <t>https://www.instagram.com/lereacteur.io</t>
        </is>
      </c>
      <c r="AC260" t="inlineStr">
        <is>
          <t>https://twitter.com/LeReacteurIO</t>
        </is>
      </c>
      <c r="AD260" t="inlineStr">
        <is>
          <t>https://www.linkedin.com/school/13211127/admin/</t>
        </is>
      </c>
    </row>
    <row r="261" ht="12.5" customHeight="1">
      <c r="A261" s="6" t="n">
        <v>45181</v>
      </c>
      <c r="B261" s="1" t="inlineStr">
        <is>
          <t>ORG_1918</t>
        </is>
      </c>
      <c r="C261" s="1" t="b">
        <v>1</v>
      </c>
      <c r="D261" s="1" t="inlineStr">
        <is>
          <t>Maria Schools</t>
        </is>
      </c>
      <c r="E261" s="10" t="inlineStr">
        <is>
          <t>https://www.mariaschools.com/</t>
        </is>
      </c>
      <c r="F261" t="inlineStr">
        <is>
          <t>mariaschools.com</t>
        </is>
      </c>
      <c r="G261" s="1" t="inlineStr">
        <is>
          <t>Maria, the campus that trains for the future
The creation of Maria Schools was born out of Agnes Alazard's and Annabelle Bignon's bet to create a place of meeting, exchange, experimentation, a big house where one accepts not to know, and to learn every day.
Maria Schools is a new kind of school campus to enable lifelong employability.
Our goal is to reinvent adult education to build confidence and empower people to take charge of their professional future. 
Today we have three schools on our campus, Lion, Maestro et Hero, with a fourth coming up in 2022.</t>
        </is>
      </c>
      <c r="H261" s="1" t="inlineStr">
        <is>
          <t>I'm not part of any EdTech association</t>
        </is>
      </c>
      <c r="J261" s="1" t="inlineStr">
        <is>
          <t>Paris</t>
        </is>
      </c>
      <c r="K261" s="1" t="inlineStr">
        <is>
          <t>France</t>
        </is>
      </c>
      <c r="L261" s="1" t="inlineStr">
        <is>
          <t>France</t>
        </is>
      </c>
      <c r="M261" s="1" t="inlineStr">
        <is>
          <t>11 to 50</t>
        </is>
      </c>
      <c r="N261" s="1" t="inlineStr">
        <is>
          <t>Business to Business, Business to Government, Business to Schools</t>
        </is>
      </c>
      <c r="O261" s="1" t="inlineStr">
        <is>
          <t>Corporate Training, Lifelong learning/Adult education</t>
        </is>
      </c>
      <c r="P261" s="1" t="inlineStr">
        <is>
          <t>Teacher interfacing, Student interfacing, System/Administrative</t>
        </is>
      </c>
      <c r="S261" t="inlineStr">
        <is>
          <t>https://drive.google.com/uc?export=view&amp;id=19lPxeoZ7D003S5ClcJ2bcpKIEZOj_nIo</t>
        </is>
      </c>
      <c r="T261" t="inlineStr">
        <is>
          <t>https://drive.google.com/uc?export=view&amp;id=19lPxeoZ7D003S5ClcJ2bcpKIEZOj_nIo</t>
        </is>
      </c>
      <c r="U261" t="inlineStr">
        <is>
          <t>https://drive.google.com/uc?export=view&amp;id=19lPxeoZ7D003S5ClcJ2bcpKIEZOj_nIo</t>
        </is>
      </c>
      <c r="V261" t="inlineStr">
        <is>
          <t>Unverified</t>
        </is>
      </c>
      <c r="Y261" s="10" t="n"/>
      <c r="Z261" s="1" t="n"/>
      <c r="AA261" t="inlineStr">
        <is>
          <t>No</t>
        </is>
      </c>
    </row>
    <row r="262" ht="12.5" customHeight="1">
      <c r="A262" s="6" t="n">
        <v>45181</v>
      </c>
      <c r="B262" s="1" t="inlineStr">
        <is>
          <t>ORG_1929</t>
        </is>
      </c>
      <c r="C262" s="1" t="b">
        <v>1</v>
      </c>
      <c r="D262" s="1" t="inlineStr">
        <is>
          <t>MathLive</t>
        </is>
      </c>
      <c r="E262" s="10" t="inlineStr">
        <is>
          <t>https://mathlive.fr/</t>
        </is>
      </c>
      <c r="F262" t="inlineStr">
        <is>
          <t>mathlive.fr</t>
        </is>
      </c>
      <c r="G262" s="1" t="inlineStr">
        <is>
          <t>Heureux Hasard is an EdTech company which creates, develops and sells collaborative and playful digital tools for scientific disciplines teaching. 
Our tools enable students during classes to perform collaborative activities in order to solve a problem or perform a demonstration. 
https://mathlive.fr/
https://xplive.fr/</t>
        </is>
      </c>
      <c r="H262" s="1" t="inlineStr">
        <is>
          <t>AFINEF, EdTech France</t>
        </is>
      </c>
      <c r="I262" s="1" t="inlineStr">
        <is>
          <t>French</t>
        </is>
      </c>
      <c r="J262" s="1" t="inlineStr">
        <is>
          <t>Velaux</t>
        </is>
      </c>
      <c r="K262" s="1" t="inlineStr">
        <is>
          <t>France</t>
        </is>
      </c>
      <c r="L262" s="1" t="inlineStr">
        <is>
          <t>Belgium, France, Luxembourg, Switzerland</t>
        </is>
      </c>
      <c r="M262" s="1" t="inlineStr">
        <is>
          <t>3 to 5</t>
        </is>
      </c>
      <c r="N262" s="1" t="inlineStr">
        <is>
          <t>Business to Business, Business to Government, Business to Schools</t>
        </is>
      </c>
      <c r="O262" s="1" t="inlineStr">
        <is>
          <t>Secondary Education</t>
        </is>
      </c>
      <c r="P262" s="1" t="inlineStr">
        <is>
          <t>Student interfacing, Teacher interfacing, System/Administrative</t>
        </is>
      </c>
      <c r="Q262" t="inlineStr">
        <is>
          <t>MathLive</t>
        </is>
      </c>
      <c r="R262" s="10" t="inlineStr">
        <is>
          <t>MathLive is an online platform which enables math teachers to perform collaborative and playful activities during classes. The platform is based on real time pooling, processing and analysis of results provided by students in order to solve problems and carry out demonstrations cooperatively. While doing an activity, students visualize their own impact and also the class collective effort. Students become actors of their own learning.</t>
        </is>
      </c>
      <c r="S262" s="10" t="inlineStr">
        <is>
          <t>XpLive</t>
        </is>
      </c>
      <c r="T262" t="inlineStr">
        <is>
          <t>XpLive is an online platform which enables experimental sciences (chemistry, physics, biology) teachers to perform collaborative and playful activities during classes. The platform is based on real time pooling, processing and analysis of results provided by students in order to solve problems and carry out scientific protocols cooperatively. While doing an activity, students visualise their own impact and also the class collective effort. Students become actors of their own learning.</t>
        </is>
      </c>
      <c r="U262" s="1" t="inlineStr">
        <is>
          <t>https://drive.google.com/uc?export=view&amp;id=1HXR6Sz5qrmYrebZcVo7i07Uq6L3nhhYJ</t>
        </is>
      </c>
      <c r="V262" s="1" t="inlineStr">
        <is>
          <t>Unverified</t>
        </is>
      </c>
      <c r="W262" s="1" t="inlineStr">
        <is>
          <t>https://drive.google.com/uc?export=view&amp;id=1HXR6Sz5qrmYrebZcVo7i07Uq6L3nhhYJ</t>
        </is>
      </c>
      <c r="X262" s="1" t="n"/>
      <c r="Y262" s="10" t="n"/>
      <c r="Z262" s="1" t="n"/>
      <c r="AA262" t="inlineStr">
        <is>
          <t>Yes</t>
        </is>
      </c>
      <c r="AB262" t="inlineStr">
        <is>
          <t>https://twitter.com/MathliveFR</t>
        </is>
      </c>
      <c r="AC262" t="inlineStr">
        <is>
          <t>https://twitter.com/MathliveFR</t>
        </is>
      </c>
      <c r="AD262" t="inlineStr">
        <is>
          <t>https://www.linkedin.com/company/75763624</t>
        </is>
      </c>
    </row>
    <row r="263" ht="12.5" customHeight="1">
      <c r="A263" s="6" t="n">
        <v>45181</v>
      </c>
      <c r="B263" s="1" t="inlineStr">
        <is>
          <t>ORG_1942</t>
        </is>
      </c>
      <c r="C263" s="1" t="b">
        <v>1</v>
      </c>
      <c r="D263" s="1" t="inlineStr">
        <is>
          <t>MeetYourSchool</t>
        </is>
      </c>
      <c r="E263" s="10" t="inlineStr">
        <is>
          <t>pro.meetyourschool.com</t>
        </is>
      </c>
      <c r="F263" t="inlineStr">
        <is>
          <t>pro.meetyourschool.com</t>
        </is>
      </c>
      <c r="G263" s="1" t="inlineStr">
        <is>
          <t>MeetYourSchool.com is the first virtual event platform dedicated to school and career guidance for young people. In just a few clicks and for free, you can meet hundreds of schools and companies.</t>
        </is>
      </c>
      <c r="H263" s="1" t="inlineStr">
        <is>
          <t>EdTech France</t>
        </is>
      </c>
      <c r="J263" s="1" t="inlineStr">
        <is>
          <t>Venelles</t>
        </is>
      </c>
      <c r="K263" s="1" t="inlineStr">
        <is>
          <t>France</t>
        </is>
      </c>
      <c r="L263" s="1" t="inlineStr">
        <is>
          <t>Belgium, France, Switzerland</t>
        </is>
      </c>
      <c r="M263" s="1" t="inlineStr">
        <is>
          <t>0 to 10</t>
        </is>
      </c>
      <c r="N263" s="1" t="inlineStr">
        <is>
          <t>Business to Business, Business to Government, Business to Schools</t>
        </is>
      </c>
      <c r="O263" s="1" t="inlineStr">
        <is>
          <t>Secondary Education, Higher Education</t>
        </is>
      </c>
      <c r="P263" s="1" t="inlineStr">
        <is>
          <t>System/Administrative, Student interfacing</t>
        </is>
      </c>
      <c r="Q263" t="inlineStr">
        <is>
          <t>MeetYourSchool</t>
        </is>
      </c>
      <c r="R263" t="inlineStr">
        <is>
          <t>MeetYourSchool.com is the first virtual event platform dedicated to school and career guidance for young people. In just a few clicks and for free, you can meet hundreds of schools and companies.</t>
        </is>
      </c>
      <c r="S263" t="inlineStr">
        <is>
          <t>https://drive.google.com/uc?export=view&amp;id=1LbvM2sfuK6q7TjO7DYYiabYdR47a9OPj</t>
        </is>
      </c>
      <c r="T263" t="inlineStr">
        <is>
          <t>https://drive.google.com/uc?export=view&amp;id=1LbvM2sfuK6q7TjO7DYYiabYdR47a9OPj</t>
        </is>
      </c>
      <c r="U263" s="1" t="inlineStr">
        <is>
          <t>https://drive.google.com/uc?export=view&amp;id=1LbvM2sfuK6q7TjO7DYYiabYdR47a9OPj</t>
        </is>
      </c>
      <c r="V263" s="1" t="inlineStr">
        <is>
          <t>Unverified</t>
        </is>
      </c>
      <c r="Y263" s="10" t="n"/>
      <c r="Z263" s="1" t="n"/>
      <c r="AA263" t="inlineStr">
        <is>
          <t>No</t>
        </is>
      </c>
    </row>
    <row r="264" ht="12.5" customHeight="1">
      <c r="A264" s="6" t="n">
        <v>45181</v>
      </c>
      <c r="B264" s="1" t="inlineStr">
        <is>
          <t>ORG_1954</t>
        </is>
      </c>
      <c r="C264" s="1" t="b">
        <v>1</v>
      </c>
      <c r="D264" s="1" t="inlineStr">
        <is>
          <t>merci e-commerce</t>
        </is>
      </c>
      <c r="E264" s="10" t="inlineStr">
        <is>
          <t>https://merci-ecommerce.fr</t>
        </is>
      </c>
      <c r="F264" t="inlineStr">
        <is>
          <t>merci-ecommerce.fr</t>
        </is>
      </c>
      <c r="G264" s="1" t="inlineStr">
        <is>
          <t>merci e-commerce is a French professional training organization for artisans, freelancers and retailors, which aims to help them acquire the necessary e-commerce skills required for their digital transition.</t>
        </is>
      </c>
      <c r="H264" s="1" t="inlineStr">
        <is>
          <t>EdTech France</t>
        </is>
      </c>
      <c r="J264" s="1" t="inlineStr">
        <is>
          <t>ARIS</t>
        </is>
      </c>
      <c r="K264" s="1" t="inlineStr">
        <is>
          <t>France</t>
        </is>
      </c>
      <c r="L264" s="1" t="inlineStr">
        <is>
          <t>France</t>
        </is>
      </c>
      <c r="M264" s="1" t="inlineStr">
        <is>
          <t>0 to 10</t>
        </is>
      </c>
      <c r="N264" s="1" t="inlineStr">
        <is>
          <t>Business to Business, Business to Government, Business to Schools</t>
        </is>
      </c>
      <c r="O264" s="1" t="inlineStr">
        <is>
          <t>Corporate Training, Lifelong learning/Adult education</t>
        </is>
      </c>
      <c r="P264" s="1" t="inlineStr">
        <is>
          <t>Student interfacing, Teacher interfacing, System/Administrative</t>
        </is>
      </c>
      <c r="Q264" s="10" t="inlineStr">
        <is>
          <t>Ma Première Boutique en ligne</t>
        </is>
      </c>
      <c r="R264" t="inlineStr">
        <is>
          <t>This 2 days training course (in French) aims to help all traditional retailors, freelancers and artisans acquire all the necessary skills to create their first e-commerce website. As we are Shopify Education partners, this focuses on using Shopify as a content management system.</t>
        </is>
      </c>
      <c r="S264" s="10" t="inlineStr">
        <is>
          <t>https://drive.google.com/uc?export=view&amp;id=1G0mfPbvyDjqDX8SSUVosRRaDO5-JPV4C</t>
        </is>
      </c>
      <c r="T264" t="inlineStr">
        <is>
          <t>https://drive.google.com/uc?export=view&amp;id=1G0mfPbvyDjqDX8SSUVosRRaDO5-JPV4C</t>
        </is>
      </c>
      <c r="U264" s="1" t="inlineStr">
        <is>
          <t>https://drive.google.com/uc?export=view&amp;id=1G0mfPbvyDjqDX8SSUVosRRaDO5-JPV4C</t>
        </is>
      </c>
      <c r="V264" s="1" t="inlineStr">
        <is>
          <t>Unverified</t>
        </is>
      </c>
      <c r="Y264" s="10" t="n"/>
      <c r="Z264" s="1" t="n"/>
      <c r="AA264" t="inlineStr">
        <is>
          <t>Yes</t>
        </is>
      </c>
      <c r="AB264" t="inlineStr">
        <is>
          <t>https://www.instagram.com/merciecommerce/?hl=fr</t>
        </is>
      </c>
      <c r="AC264" t="inlineStr">
        <is>
          <t>https://www.linkedin.com/company/merci-e-commerce</t>
        </is>
      </c>
      <c r="AD264" t="inlineStr">
        <is>
          <t>https://www.linkedin.com/company/merci-e-commerce</t>
        </is>
      </c>
    </row>
    <row r="265" ht="12.5" customHeight="1">
      <c r="A265" s="6" t="n">
        <v>45181</v>
      </c>
      <c r="B265" s="1" t="inlineStr">
        <is>
          <t>ORG_1958</t>
        </is>
      </c>
      <c r="C265" s="1" t="b">
        <v>1</v>
      </c>
      <c r="D265" s="10" t="inlineStr">
        <is>
          <t>Mescahiersnumeriques.com</t>
        </is>
      </c>
      <c r="E265" s="10" t="inlineStr">
        <is>
          <t>www.mescahiersnumeriques.com</t>
        </is>
      </c>
      <c r="F265" t="inlineStr">
        <is>
          <t>mescahiersnumeriques.com</t>
        </is>
      </c>
      <c r="G265" s="1" t="inlineStr">
        <is>
          <t>Our company has developped two webapps to help pupils to review mathematics, french, history, geography and english, in conformity with the programs of the National Education.
The first one is mescahiersdevacances.com, which is opened from the 1st of July to the 12th of september.
The second one is mescahiersderevisions.com, which is opened from the 13th of September to the 30th of June.
For both of them, there is a large accompaniement of the pupil with two helps very intuitives.
There is also an accompaniement of the parents to able them to help there child.
There are hundred of exercises to serenely prepare the child to be confortable with the level of his class.</t>
        </is>
      </c>
      <c r="H265" s="1" t="inlineStr">
        <is>
          <t>EdTech France</t>
        </is>
      </c>
      <c r="J265" s="1" t="inlineStr">
        <is>
          <t>Morières-lès-Avignon</t>
        </is>
      </c>
      <c r="K265" s="1" t="inlineStr">
        <is>
          <t>France</t>
        </is>
      </c>
      <c r="L265" s="1" t="inlineStr">
        <is>
          <t>Andorra, Austria, Belgium, France, Germany, Greece, Italy, Luxembourg, Netherlands, Russia, Spain, Switzerland, Turkey, United Kingdom</t>
        </is>
      </c>
      <c r="M265" s="1" t="inlineStr">
        <is>
          <t>0 to 10</t>
        </is>
      </c>
      <c r="N265" s="1" t="inlineStr">
        <is>
          <t>Business to Business, Business to Government, Business to Schools</t>
        </is>
      </c>
      <c r="O265" s="1" t="inlineStr">
        <is>
          <t>Primary Education</t>
        </is>
      </c>
      <c r="P265" s="1" t="inlineStr">
        <is>
          <t>System/Administrative, Student interfacing</t>
        </is>
      </c>
      <c r="Q265" s="10" t="inlineStr">
        <is>
          <t>mescahiersdevacances.com</t>
        </is>
      </c>
      <c r="R265" t="inlineStr">
        <is>
          <t>With mescahiersdevacances.com, children from 6 to 11 years old are accompanied to review the program of the level that they have just left.
Open from the 1st of July to the 12th of September, our webapp is in conformity with the programs of the National Education.
It includes intuitive helps for the child and his parents, rewards and games.
There are hundred of exercices to be serenely prepared for the next back to school.</t>
        </is>
      </c>
      <c r="S265" s="10" t="inlineStr">
        <is>
          <t>mescahiersderevisions.com</t>
        </is>
      </c>
      <c r="T265" t="inlineStr">
        <is>
          <t>With mescahiersderevisions.com, children from 6 to 11 years old are accompanied to review the program of their current class.
Open from the 13th of September to the 30th of June, our webapp is in conformity with the programs of the National Education.
It includes intuitive helps for the children and their parents, rewards and games.
There are also many tools that helps the children to be confident with the exercises. They can print the pedagogical references and use them to succeed.
There are hundred of exercices to be serenely accompanied in parallel of the work made at school.</t>
        </is>
      </c>
      <c r="U265" s="10" t="inlineStr">
        <is>
          <t>https://drive.google.com/uc?export=view&amp;id=1IhJxNiTdw-yDp_nRpPYkXq7EYdzLtOeG</t>
        </is>
      </c>
      <c r="V265" s="1" t="inlineStr">
        <is>
          <t>Unverified</t>
        </is>
      </c>
      <c r="W265" s="10" t="inlineStr">
        <is>
          <t>https://drive.google.com/uc?export=view&amp;id=1IhJxNiTdw-yDp_nRpPYkXq7EYdzLtOeG</t>
        </is>
      </c>
      <c r="X265" s="1" t="n"/>
      <c r="Y265" s="10" t="n"/>
      <c r="Z265" s="1" t="n"/>
      <c r="AA265" t="inlineStr">
        <is>
          <t>Yes</t>
        </is>
      </c>
      <c r="AB265" t="inlineStr">
        <is>
          <t>https://www.instagram.com/mescahiersnumeriques/</t>
        </is>
      </c>
      <c r="AC265" t="inlineStr">
        <is>
          <t>https://www.linkedin.com/company/mes-cahiers-num%C3%A9riques/?viewAsMember=true</t>
        </is>
      </c>
      <c r="AD265" t="inlineStr">
        <is>
          <t>https://www.linkedin.com/company/mes-cahiers-num%C3%A9riques/?viewAsMember=true</t>
        </is>
      </c>
    </row>
    <row r="266" ht="12.5" customHeight="1">
      <c r="A266" s="6" t="n">
        <v>45181</v>
      </c>
      <c r="B266" s="1" t="inlineStr">
        <is>
          <t>ORG_2104</t>
        </is>
      </c>
      <c r="C266" s="1" t="b">
        <v>1</v>
      </c>
      <c r="D266" s="1" t="inlineStr">
        <is>
          <t>Pipplet</t>
        </is>
      </c>
      <c r="E266" s="10" t="inlineStr">
        <is>
          <t>https://www.pipplet.com/</t>
        </is>
      </c>
      <c r="F266" t="inlineStr">
        <is>
          <t>pipplet.com</t>
        </is>
      </c>
      <c r="G266" s="1" t="inlineStr">
        <is>
          <t>Pipplet is the leading language testing solution for companies. Our test assesses the actual oral and written skills of your candidates, employees and learners in 40 languages. 100% human assessment, online and without appointment. Easy, fast and reliable. Trusted by prestigious clients such as Tiktok, Shopify, Accenture and Berlitz, Pipplet is now part of ETS Global (TOEIC, TOEFL).</t>
        </is>
      </c>
      <c r="H266" s="1" t="inlineStr">
        <is>
          <t>EdTech France</t>
        </is>
      </c>
      <c r="J266" s="1" t="inlineStr">
        <is>
          <t>PARIS</t>
        </is>
      </c>
      <c r="K266" s="1" t="inlineStr">
        <is>
          <t>France</t>
        </is>
      </c>
      <c r="L26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266" s="1" t="inlineStr">
        <is>
          <t>11 to 50</t>
        </is>
      </c>
      <c r="N266" s="1" t="inlineStr">
        <is>
          <t>Business to Business, Business to Schools</t>
        </is>
      </c>
      <c r="O266" s="1" t="inlineStr">
        <is>
          <t>Higher Education, Corporate Training, Lifelong learning/Adult education</t>
        </is>
      </c>
      <c r="P266" s="1" t="inlineStr">
        <is>
          <t>Teacher interfacing, System/Administrative</t>
        </is>
      </c>
      <c r="Q266" t="inlineStr">
        <is>
          <t>Pipplet</t>
        </is>
      </c>
      <c r="R266" s="10" t="inlineStr">
        <is>
          <t>The Pipplet test assesses the actual oral and written skills of your candidates, employees and learners in 40 languages. 100% human assessment, online and without appointment. Easy, fast and reliable.</t>
        </is>
      </c>
      <c r="S266" s="10" t="inlineStr">
        <is>
          <t>https://drive.google.com/uc?export=view&amp;id=1dVY7kcaZ3aEfEgJZzkOw12IO-5BAfVuj</t>
        </is>
      </c>
      <c r="T266" t="inlineStr">
        <is>
          <t>https://drive.google.com/uc?export=view&amp;id=1dVY7kcaZ3aEfEgJZzkOw12IO-5BAfVuj</t>
        </is>
      </c>
      <c r="U266" s="1" t="inlineStr">
        <is>
          <t>https://drive.google.com/uc?export=view&amp;id=1dVY7kcaZ3aEfEgJZzkOw12IO-5BAfVuj</t>
        </is>
      </c>
      <c r="V266" s="1" t="inlineStr">
        <is>
          <t>Unverified</t>
        </is>
      </c>
      <c r="Y266" s="10" t="n"/>
      <c r="Z266" s="1" t="n"/>
      <c r="AA266" t="inlineStr">
        <is>
          <t>Yes</t>
        </is>
      </c>
      <c r="AB266" t="inlineStr">
        <is>
          <t>https://twitter.com/pipplet</t>
        </is>
      </c>
      <c r="AC266" t="inlineStr">
        <is>
          <t>https://twitter.com/pipplet</t>
        </is>
      </c>
      <c r="AD266" t="inlineStr">
        <is>
          <t>https://fr.linkedin.com/company/pipplet</t>
        </is>
      </c>
    </row>
    <row r="267" ht="12.5" customHeight="1">
      <c r="A267" s="6" t="n">
        <v>45181</v>
      </c>
      <c r="B267" s="1" t="inlineStr">
        <is>
          <t>ORG_2167</t>
        </is>
      </c>
      <c r="C267" s="1" t="b">
        <v>1</v>
      </c>
      <c r="D267" s="1" t="inlineStr">
        <is>
          <t>Reality Academy</t>
        </is>
      </c>
      <c r="E267" s="10" t="inlineStr">
        <is>
          <t>www.reality-academy.fr</t>
        </is>
      </c>
      <c r="F267" t="inlineStr">
        <is>
          <t>reality-academy.fr</t>
        </is>
      </c>
      <c r="G267" s="1" t="inlineStr">
        <is>
          <t>Reality Academy is an edtech startup specialized in the production of immersive and interactive content. We developed a large catalogue of training in Virtual Reality that covers several topics such as : Management, Sales, Work Safety, Road Safety, Cybersecurity or Diversity.
Our pedagogical method based on the “Learning by Doing” approach allows to immerse the learner in conditional scenarios similar to reality, and thus to train him by practice while using the codes of gamification and emotion.
The results: 4x more efficient memorization of messages and 87% of learners who want to renew the experience.
To support the deployment of our solutions, we offer various related services:
- A VR headset pack with integrated training
- An LMS VR platform with results monitoring
- A session monitoring Application
From pedagogical design to filming, post-production and application development, Reality Academy develops the most innovative digital learning courses alongside recognized business experts.</t>
        </is>
      </c>
      <c r="H267" s="1" t="inlineStr">
        <is>
          <t>EdTech France</t>
        </is>
      </c>
      <c r="J267" s="1" t="inlineStr">
        <is>
          <t>Bagnolet</t>
        </is>
      </c>
      <c r="K267" s="1" t="inlineStr">
        <is>
          <t>France</t>
        </is>
      </c>
      <c r="L267" s="1" t="inlineStr">
        <is>
          <t>France</t>
        </is>
      </c>
      <c r="M267" s="1" t="inlineStr">
        <is>
          <t>11 to 50</t>
        </is>
      </c>
      <c r="N267" s="1" t="inlineStr">
        <is>
          <t>Business to Business, Business to Schools</t>
        </is>
      </c>
      <c r="O267" s="1" t="inlineStr">
        <is>
          <t>Higher Education, Corporate Training, Lifelong learning/Adult education</t>
        </is>
      </c>
      <c r="P267" s="1" t="inlineStr">
        <is>
          <t>Teacher interfacing, System/Administrative</t>
        </is>
      </c>
      <c r="Q267" t="inlineStr">
        <is>
          <t>VR training catalogue</t>
        </is>
      </c>
      <c r="R267" s="10" t="inlineStr">
        <is>
          <t>Reality Academy has developed the widest range of VR training catalogues. Our goal is to provide the best training solution with a playful, immersive and innovative solution that boosts professional skills and raises awareness on issues. A "Learning by Doing" pedagogy that places the learners at the center of their training, giving them a strong and lasting emotional impact that increases memorization rate.
Our current available catalogues : Management VR, Sales VR, Mobility VR, HSE VR, Diversity VR, Cybersecurity VR.</t>
        </is>
      </c>
      <c r="S267" s="10" t="inlineStr">
        <is>
          <t>Global Immersive Learning offer</t>
        </is>
      </c>
      <c r="T267" t="inlineStr">
        <is>
          <t>Reality Academy provide the most complete solution on the market worldwide to deploy Immersive Learning solution. Our goal is to revolutionize training with our playful, immersive and interactive approach. A major innovation to meet the training challenges of companies: attracting talent and effectively developing their skills.
It includes : VR training, VR headset pack, an LMS VR platform with both a learner and a trainer login, and a session monitoring Application.</t>
        </is>
      </c>
      <c r="U267" s="1" t="inlineStr">
        <is>
          <t>https://drive.google.com/uc?export=view&amp;id=1TVBy94oBak8NOpKYf99jIy20Mbb6l-Hi</t>
        </is>
      </c>
      <c r="V267" s="1" t="inlineStr">
        <is>
          <t>Unverified</t>
        </is>
      </c>
      <c r="W267" s="1" t="inlineStr">
        <is>
          <t>https://drive.google.com/uc?export=view&amp;id=1TVBy94oBak8NOpKYf99jIy20Mbb6l-Hi</t>
        </is>
      </c>
      <c r="X267" s="1" t="n"/>
      <c r="Y267" s="10" t="n"/>
      <c r="Z267" s="1" t="n"/>
      <c r="AA267" t="inlineStr">
        <is>
          <t>Yes</t>
        </is>
      </c>
      <c r="AB267" t="inlineStr">
        <is>
          <t>https://twitter.com/realityacademyf</t>
        </is>
      </c>
      <c r="AC267" t="inlineStr">
        <is>
          <t>https://twitter.com/realityacademyf</t>
        </is>
      </c>
      <c r="AD267" t="inlineStr">
        <is>
          <t>https://www.linkedin.com/company/reality-academy</t>
        </is>
      </c>
    </row>
    <row r="268" ht="12.5" customHeight="1">
      <c r="A268" s="6" t="n">
        <v>45181</v>
      </c>
      <c r="B268" s="1" t="inlineStr">
        <is>
          <t>ORG_2236</t>
        </is>
      </c>
      <c r="C268" s="1" t="b">
        <v>1</v>
      </c>
      <c r="D268" s="1" t="inlineStr">
        <is>
          <t>Sight-O</t>
        </is>
      </c>
      <c r="E268" s="10" t="inlineStr">
        <is>
          <t>https://www.sight-o.io</t>
        </is>
      </c>
      <c r="F268" t="inlineStr">
        <is>
          <t>sight-o.io</t>
        </is>
      </c>
      <c r="G268" s="1" t="inlineStr">
        <is>
          <t>Sight-O is a Music EdTech startup that develops and markets a digital and interactive method of sight reading. Sight reading is the action of playing a previously unknown score. This fundamental discipline gives the power to explore musical repertoires more easily.</t>
        </is>
      </c>
      <c r="H268" s="1" t="inlineStr">
        <is>
          <t>AFINEF, EdTech France</t>
        </is>
      </c>
      <c r="J268" s="1" t="inlineStr">
        <is>
          <t>Champs-sur-Marne</t>
        </is>
      </c>
      <c r="K268" s="1" t="inlineStr">
        <is>
          <t>France</t>
        </is>
      </c>
      <c r="L268" s="1" t="inlineStr">
        <is>
          <t>Belgium, France, Germany, Italy, Spain, Switzerland, United Kingdom</t>
        </is>
      </c>
      <c r="M268" s="1" t="inlineStr">
        <is>
          <t>0 to 10</t>
        </is>
      </c>
      <c r="N268" s="1" t="inlineStr">
        <is>
          <t>Business to Consumer</t>
        </is>
      </c>
      <c r="O268" s="1" t="inlineStr">
        <is>
          <t>Primary Education, Lifelong learning/Adult education</t>
        </is>
      </c>
      <c r="P268" s="1" t="inlineStr">
        <is>
          <t>System/Administrative, Student interfacing, Teacher interfacing</t>
        </is>
      </c>
      <c r="Q268" s="10" t="inlineStr">
        <is>
          <t>Sight-O - Sight reading interactive method</t>
        </is>
      </c>
      <c r="R268" s="10" t="inlineStr">
        <is>
          <t>With the help of 10,000 original adapted exercises and an animated rectangular "Mask" that moves over the score from pulse to pulse, the method helps to re-educate the musician's eye movement and to develop his reading reflexes. 
An ancestral method finally digitized, Sight-O wants to combine the ultra-efficient methods of the past with current technologies and uses, through a playful interface where the learning experience is at the heart of the concerns.
Thanks to the computer's microphone, the user is corrected by Sight-O which gives him a score and the possibility to listen to his performance again.</t>
        </is>
      </c>
      <c r="S268" s="10" t="inlineStr">
        <is>
          <t>https://drive.google.com/uc?export=view&amp;id=1RVw34vAkgVRdFhXUNtikn3V2lfUG0bC_</t>
        </is>
      </c>
      <c r="T268" t="inlineStr">
        <is>
          <t>https://drive.google.com/uc?export=view&amp;id=1RVw34vAkgVRdFhXUNtikn3V2lfUG0bC_</t>
        </is>
      </c>
      <c r="U268" s="1" t="inlineStr">
        <is>
          <t>https://drive.google.com/uc?export=view&amp;id=1RVw34vAkgVRdFhXUNtikn3V2lfUG0bC_</t>
        </is>
      </c>
      <c r="V268" s="1" t="inlineStr">
        <is>
          <t>Unverified</t>
        </is>
      </c>
      <c r="Y268" s="10" t="n"/>
      <c r="Z268" s="1" t="n"/>
      <c r="AA268" t="inlineStr">
        <is>
          <t>Yes</t>
        </is>
      </c>
      <c r="AB268" t="inlineStr">
        <is>
          <t>https://www.instagram.com/sighto.io/</t>
        </is>
      </c>
      <c r="AC268" t="inlineStr">
        <is>
          <t>https://twitter.com/sighto_io</t>
        </is>
      </c>
      <c r="AD268" t="inlineStr">
        <is>
          <t>https://fr.linkedin.com/company/sight-o</t>
        </is>
      </c>
    </row>
    <row r="269" ht="12.5" customHeight="1">
      <c r="A269" s="6" t="n">
        <v>45181</v>
      </c>
      <c r="B269" s="1" t="inlineStr">
        <is>
          <t>ORG_2259</t>
        </is>
      </c>
      <c r="C269" s="1" t="b">
        <v>1</v>
      </c>
      <c r="D269" s="1" t="inlineStr">
        <is>
          <t>Skillsoft/ Global KNowledge</t>
        </is>
      </c>
      <c r="E269" s="10" t="inlineStr">
        <is>
          <t>https://www.globalknowledge.com/fr-fr/</t>
        </is>
      </c>
      <c r="F269" t="inlineStr">
        <is>
          <t>globalknowledge.com/fr-fr</t>
        </is>
      </c>
      <c r="G269" s="1" t="inlineStr">
        <is>
          <t>Global Knowledge, une organisation du groupe Skillsoft ​
Global Knowledge est un leader mondial de la formation informatique et technologique, aidant les individus et les organisations à acquérir les compétences dont ils ont besoin pour réussir dans un monde en constante évolution.
Avec un réseau international de bureaux et centres de formation, Global Knowledge a la flexibilité unique de proposer un large portefeuille de cours dans plus de 100 pays, sur site ou distance et via un réseau de partenaires mondial.
Créée en 1995, Global Knowledge comprend 1000 employés à travers le monde et contribue au succès de plus de 200,000 professionnels IT chaque année.
En juin 2021, Global Knowledge fusionne avec Skillsoft pour créer le leader mondial de la formation en entreprise.
Leadership
Investisseurs
Que vous vous en doutiez ou non, vos compétences sont la clé de votre succès. La technologie et les processus sont essentiels pour atteindre les objectifs organisationnels. Même s'ils ont été démocratisés par la révolution numérique, le plus grand challenge reste le manque de compétences qui détourne votre retour sur les investissements technologiques. Les organisations qui utilisent avec succès la technologie pour accélérer leur performance transforment également avec succès les capacités de leurs employés afin de maximiser leurs investissements.
Un ancrage fort au sein de la communauté technologique
Notre contribution au sein de la communauté technologique mondiale va bien au-delà de la formation informatique. La portée croissante de la technologie fait en sorte que chaque collaborateur dans l'entreprise devient un professionnel de la technologie. Les rôles spécialisés hyper-ciblés sont plus que jamais nécessaires, mais nous devons aussi compter sur des compétences transverses. Notre mission est de répondre à un panorama complet de profils au sein des organisations. Ainsi, nous formons au-delà des sujets traditionnels de l'informatique et formons plus que les équipes IT des entreprises.
Nos équipes pédagogiques ont élaboré des programmes fondés sur les «Best Practices» pour répondre aux attentes des dirigeants et accompagner les managers et leurs équipes.
En synthèse, la performance durable et le développement d’une entreprise reposent sur la maîtrise de ses systèmes, l’organisation et les processus, mais aussi essentiellement, sur la qualité du management de son capital humain. Que vous gériez des initiatives technologiques critiques, que vous développiez votre vivier de talents ou que vous lanciez de nouveaux produits et services sur le marché, nos solutions de formation innovantes et flexibles vous permettront de réussir.
Pourquoi Global Knowledge?
Un IMPACT durable, évolutif et reproductible - avec un minimum d'interruption. Depuis plus de 25 ans, les organisations, petites et grandes, les éditeurs et constructeurs informatiques, et les gouvernements du monde entier s'adressent à Global Knowledge.
En offrant un accès à des experts en la matière, en délivrant des formations agréées et à la pointe de l'industrie grâce à de multiples formats, nous préparons le terrain pour votre succès en réduisant les écarts de compétences. Vous constaterez également des répercussions positives sur l'intégration et la fidélisation des employés grâce à l'amélioration des compétences et à une plus grande satisfaction au travail.
Tout cela dépend du niveau de qualité que nous nous sommes fixé. Nous croyons en l'uniformité et maintenons des normes internes rigoureuses afin de vous offrir une expérience de formation exceptionnelle partout dans le monde. Seul un organisme de formation indépendant, multi-spécialiste, peut vous garantir cela.
Les faits :
Le plus grand groupe de formation mondial dédié IT et Méthodes
+ 5 000 sessions garanties par an
+ 3 000 formations uniques
+ 1 100 experts 95% de taux de satisfaction global
Partenaire formation agréé sur : Amazon Web Services, Cisco, Citrix, IBM, Microsoft, VMware, etc, et d'autres références internationales comme ITIL® ou PMP.
Présent dans plus de 100 pays (et dans les eaux internationales)
Nos garanties qualité
Les garanties Global KnowledgeDécouvrez toutes les bonnes raisons de nous faire confiance
qualité formationGlobal Knowledge est certifié Qualiopi
Equipes pédagogiquesNos équipes pédagogiques
En ligne et dans le monde entier
Depuis 1995, le nombre d'employés a cru pour atteindre aujourd'hui 1500 personnes dans le monde. Le siège social du groupe est situé à Cary, en Caroline du Nord (États-Unis). Le siège social canadien se trouve à Toronto, et notre siège social EMEA (Europe, Moyen-Orient et Afrique) se trouve à Wokingham, au Royaume-Uni.
Sites internationaux : Belgique, Canada, Danemark, Égypte, France, Irlande, Pays-Bas, Norvège, Qatar, Arabie Saoudite, Espagne, Suède et Émirats Arabes Unis.
Rendez-vous sur globalknowledge.com
A travers nos centres et nos capacités de formation en ligne, nous délivrons ce que vous recherchez, au moment et où vous en avez besoin. Et cela, nous le faisons tous les jours.</t>
        </is>
      </c>
      <c r="H269" s="1" t="inlineStr">
        <is>
          <t>EdTech France</t>
        </is>
      </c>
      <c r="J269" s="1" t="inlineStr">
        <is>
          <t>RUEIL MALMAISON</t>
        </is>
      </c>
      <c r="K269" s="1" t="inlineStr">
        <is>
          <t>France</t>
        </is>
      </c>
      <c r="L269" s="1" t="inlineStr">
        <is>
          <t>Belgium, Denmark, France, Ireland, Luxembourg, Monaco, Netherlands, Norway, Spain, Sweden, Switzerland, United Kingdom</t>
        </is>
      </c>
      <c r="M269" s="1" t="inlineStr">
        <is>
          <t>500+</t>
        </is>
      </c>
      <c r="N269" s="1" t="inlineStr">
        <is>
          <t>Business to Consumer</t>
        </is>
      </c>
      <c r="O269" s="1" t="inlineStr">
        <is>
          <t>Secondary Education, Higher Education, Corporate Training, Lifelong learning/Adult education</t>
        </is>
      </c>
      <c r="P269" s="1" t="inlineStr">
        <is>
          <t>System/Administrative, Student interfacing</t>
        </is>
      </c>
      <c r="Q269" t="inlineStr">
        <is>
          <t>Formation Informatique et Business Management</t>
        </is>
      </c>
      <c r="R269" t="inlineStr">
        <is>
          <t>DOMAINES
Analyse Business
Architecture d'entreprise TOGAF®
Big Data
BlockchainBusiness et Management
Cloud Computing
Conteneurs
Cybersécurité
Datacenter
DevOps
Excellence Opérationnelle et Lean
Fondamentaux IT
Gestion de données
Gestion de projets
Gouvernance IT et Conformité
Infrastructure et Systèmes
Intelligence Artificielle (IA) et Machine Learning
Internet des Objets (IoT)
ITIL® : Gestion des services IT
Java
Langages et Développement
Linux Systèmes et Serveurs
Management de réseaux
Mobile Device 
Management
Méthode Agile Scrum
Réseaux informatiques
Réseaux Wireless (sans-fil)
Solutions collaboratives
Technologies Emergentes
Virtualisation des SI</t>
        </is>
      </c>
      <c r="S269" s="10" t="inlineStr">
        <is>
          <t>Formation Informatique et Business Management</t>
        </is>
      </c>
      <c r="T269" t="inlineStr">
        <is>
          <t>EDITEURS INFORMATIQUES
Formation (ISC)²
Formation Avaya
Formation AWS Amazon Web Services
Formation Cisco
Formation Citrix
Formation CompTIA
Formation Google Cloud Platform
Formation IBM : Systèmes et Software
Formation ISACAFormation Juniper Networks
Formation Microsoft
Formation Mirantis
Formation Nutanix
Formation Palo Alto
Formation Red Hat
Formation SAFe - Scaled Agile Framework
Formation ServiceNow
Formation Veeam
Formation VMware</t>
        </is>
      </c>
      <c r="U269" s="1" t="n"/>
      <c r="V269" s="1" t="inlineStr">
        <is>
          <t>Unverified</t>
        </is>
      </c>
      <c r="W269" s="1" t="n"/>
      <c r="X269" s="1" t="n"/>
      <c r="Z269" s="1" t="n"/>
      <c r="AA269" t="inlineStr">
        <is>
          <t>Yes</t>
        </is>
      </c>
      <c r="AC269" t="inlineStr">
        <is>
          <t>https://www.linkedin.com/company/global-knowledge-training/</t>
        </is>
      </c>
      <c r="AD269" t="inlineStr">
        <is>
          <t>https://www.linkedin.com/company/global-knowledge-training/</t>
        </is>
      </c>
    </row>
    <row r="270" ht="12.5" customHeight="1">
      <c r="A270" s="6" t="n">
        <v>45181</v>
      </c>
      <c r="B270" s="1" t="inlineStr">
        <is>
          <t>ORG_2276</t>
        </is>
      </c>
      <c r="C270" s="1" t="b">
        <v>1</v>
      </c>
      <c r="D270" s="1" t="inlineStr">
        <is>
          <t>Smartch</t>
        </is>
      </c>
      <c r="E270" s="10" t="inlineStr">
        <is>
          <t>http://www.smartch.fr/</t>
        </is>
      </c>
      <c r="F270" t="inlineStr">
        <is>
          <t>smartch.fr</t>
        </is>
      </c>
      <c r="G270" s="1" t="inlineStr">
        <is>
          <t>Smartch is a team of digital learning experts, supporting its customers on any subject linked to training and digital learning. 
From choosing and implementing tools / platforms fully integrated in their information system to developing tailor-made contents, with any technology (authoring tools as well as Full 3D, VR, IV...).
Smartch is an Edtech, as it develops its own technology, and a training company Qualiopi-certified (French quality certification).</t>
        </is>
      </c>
      <c r="H270" s="1" t="inlineStr">
        <is>
          <t>EdTech France</t>
        </is>
      </c>
      <c r="J270" s="1" t="inlineStr">
        <is>
          <t>Paris</t>
        </is>
      </c>
      <c r="K270" s="1" t="inlineStr">
        <is>
          <t>France</t>
        </is>
      </c>
      <c r="L270" s="1" t="inlineStr">
        <is>
          <t>France</t>
        </is>
      </c>
      <c r="M270" s="1" t="inlineStr">
        <is>
          <t>11 to 50</t>
        </is>
      </c>
      <c r="N270" s="1" t="inlineStr">
        <is>
          <t>Business to Consumer</t>
        </is>
      </c>
      <c r="O270" s="1" t="inlineStr">
        <is>
          <t>Corporate Training, Lifelong learning/Adult education</t>
        </is>
      </c>
      <c r="P270" s="1" t="inlineStr">
        <is>
          <t>Teacher interfacing, Student interfacing, System/Administrative</t>
        </is>
      </c>
      <c r="Q270" t="inlineStr">
        <is>
          <t>Ecosystems</t>
        </is>
      </c>
      <c r="R270" t="inlineStr">
        <is>
          <t>We support our customers in all phases for the choice, implementation and run of their training ecosystem. We provide fully personalized solutions, based on existing platforms on the market on which we add specific developments when required to fully integrate the ecosystem in the customer's information system.</t>
        </is>
      </c>
      <c r="S270" s="10" t="inlineStr">
        <is>
          <t>Tailor-made contents</t>
        </is>
      </c>
      <c r="T270" t="inlineStr">
        <is>
          <t>We create tailor-made contents, in fully digital, mobile or blended learning, using various technologies on the market (authoring tools, Full 3D, VR/AR...).
Our team is expert in pedagogy and technology and adapts to all your learning projects.</t>
        </is>
      </c>
      <c r="U270" s="1" t="inlineStr">
        <is>
          <t>https://drive.google.com/uc?export=view&amp;id=1dGNT6OLhI8APNt83gu61_YvR09aTKfgC</t>
        </is>
      </c>
      <c r="V270" s="1" t="inlineStr">
        <is>
          <t>Unverified</t>
        </is>
      </c>
      <c r="W270" s="1" t="inlineStr">
        <is>
          <t>https://drive.google.com/uc?export=view&amp;id=1dGNT6OLhI8APNt83gu61_YvR09aTKfgC</t>
        </is>
      </c>
      <c r="X270" s="1" t="n"/>
      <c r="Y270" s="10" t="n"/>
      <c r="Z270" s="1" t="n"/>
      <c r="AA270" t="inlineStr">
        <is>
          <t>Yes</t>
        </is>
      </c>
      <c r="AC270" t="inlineStr">
        <is>
          <t>https://www.linkedin.com/company/smartch/</t>
        </is>
      </c>
      <c r="AD270" t="inlineStr">
        <is>
          <t>https://www.linkedin.com/company/smartch/</t>
        </is>
      </c>
    </row>
    <row r="271" ht="12.5" customHeight="1">
      <c r="A271" s="6" t="n">
        <v>45181</v>
      </c>
      <c r="B271" s="1" t="inlineStr">
        <is>
          <t>ORG_2289</t>
        </is>
      </c>
      <c r="C271" s="1" t="b">
        <v>1</v>
      </c>
      <c r="D271" s="1" t="inlineStr">
        <is>
          <t>SOFT KIDS</t>
        </is>
      </c>
      <c r="E271" s="10" t="inlineStr">
        <is>
          <t>https://www.softkids.net/en/home/</t>
        </is>
      </c>
      <c r="F271" t="inlineStr">
        <is>
          <t>softkids.net/en/home</t>
        </is>
      </c>
      <c r="G271" s="1" t="inlineStr">
        <is>
          <t>Soft Kids is the 1st worldwilde application for developing kid's soft skills with gamification. 
It supports teachers and parents for developing 21st century skills.</t>
        </is>
      </c>
      <c r="H271" s="1" t="inlineStr">
        <is>
          <t>EdTech France</t>
        </is>
      </c>
      <c r="J271" s="1" t="inlineStr">
        <is>
          <t>Saint-Cloud</t>
        </is>
      </c>
      <c r="K271" s="1" t="inlineStr">
        <is>
          <t>France</t>
        </is>
      </c>
      <c r="L27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M271" s="1" t="inlineStr">
        <is>
          <t>0 to 10</t>
        </is>
      </c>
      <c r="N271" s="1" t="inlineStr">
        <is>
          <t>Business to Consumer</t>
        </is>
      </c>
      <c r="O271" s="1" t="inlineStr">
        <is>
          <t>Primary Education, Secondary Education</t>
        </is>
      </c>
      <c r="P271" s="1" t="inlineStr">
        <is>
          <t>System/Administrative, Student interfacing, Teacher interfacing</t>
        </is>
      </c>
      <c r="Q271" s="10" t="inlineStr">
        <is>
          <t>SOFT KIDS</t>
        </is>
      </c>
      <c r="R271" s="10" t="inlineStr">
        <is>
          <t>SOFT KIDS is the first interactive application for cultivating children's soft skills as a family. 
Soft Skills are the essential behavioural competencies of the 21st century (source OECD - Education Report 2030). 
With Soft Kids, children are fulfilled and prepared for tomorrow's world!
In addition, your child will learn to use the screen in a responsible and interactive way. We develop programmes for each soft skill with experts.
The whole family and teachers have their own interface to follow kid's progress.
Each programme consists of 10 modules with videos, quizzes and games. With each game, your child earns drops of water and can water and grow the Soft Kids tree.
An interface, dedicated to adults, allows to follow the answers and the progress made by the child. We also share tips and tricks in a library to help parents better understand the concept of soft skills. 
Programme 1: "Feeling good about yourself" to cultivate your self-confidence
Programme 2: "Super Polite" to cultivate politeness and good manners
Programme 3: "I can do it!" to cultivate perseverance
Programme 4: "I have opinions!" to cultivate critival thinking
Programme 5: "I have emotions!" to cultivate emotion management
+ new ones every month.</t>
        </is>
      </c>
      <c r="S271" s="10" t="inlineStr">
        <is>
          <t>https://drive.google.com/uc?export=view&amp;id=1DKOaVlm6LkveEnlDJqMknO58jsVr95NQ</t>
        </is>
      </c>
      <c r="T271" t="inlineStr">
        <is>
          <t>https://drive.google.com/uc?export=view&amp;id=1DKOaVlm6LkveEnlDJqMknO58jsVr95NQ</t>
        </is>
      </c>
      <c r="U271" s="1" t="inlineStr">
        <is>
          <t>https://drive.google.com/uc?export=view&amp;id=1DKOaVlm6LkveEnlDJqMknO58jsVr95NQ</t>
        </is>
      </c>
      <c r="V271" s="1" t="inlineStr">
        <is>
          <t>Unverified</t>
        </is>
      </c>
      <c r="Y271" s="10" t="n"/>
      <c r="Z271" s="1" t="n"/>
      <c r="AA271" t="inlineStr">
        <is>
          <t>Yes</t>
        </is>
      </c>
      <c r="AB271" t="inlineStr">
        <is>
          <t>https://www.instagram.com/soft_kids_apps/?hl=fr</t>
        </is>
      </c>
      <c r="AC271" t="inlineStr">
        <is>
          <t>https://twitter.com/kids_soft</t>
        </is>
      </c>
      <c r="AD271" t="inlineStr">
        <is>
          <t>https://www.linkedin.com/company/soft-kids/?viewAsMember=true</t>
        </is>
      </c>
    </row>
    <row r="272" ht="12.5" customHeight="1">
      <c r="A272" s="6" t="n">
        <v>45181</v>
      </c>
      <c r="B272" s="1" t="inlineStr">
        <is>
          <t>ORG_2298</t>
        </is>
      </c>
      <c r="C272" s="1" t="b">
        <v>1</v>
      </c>
      <c r="D272" s="1" t="inlineStr">
        <is>
          <t>SoWeSign</t>
        </is>
      </c>
      <c r="E272" s="10" t="inlineStr">
        <is>
          <t>https://sowesign.com</t>
        </is>
      </c>
      <c r="F272" t="inlineStr">
        <is>
          <t>sowesign.com</t>
        </is>
      </c>
      <c r="G272" s="1" t="inlineStr">
        <is>
          <t>Founded in 2017, JeSuisEnCours offers dematerialization solutions for training organizations.
Following the acquisition of key account customers. As well as the internationalization of the offer due to opportunities detected in the United States and Spain. JeSuisEnCours becomes SoWeSign in 2020: a name that fits any context and can be exported to other territories!</t>
        </is>
      </c>
      <c r="H272" s="1" t="inlineStr">
        <is>
          <t>EdTech France</t>
        </is>
      </c>
      <c r="J272" s="1" t="inlineStr">
        <is>
          <t>LA CHEVROLIERE</t>
        </is>
      </c>
      <c r="K272" s="1" t="inlineStr">
        <is>
          <t>France</t>
        </is>
      </c>
      <c r="L272" s="1" t="inlineStr">
        <is>
          <t>Belgium, France, Germany, Italy, Spain, Switzerland</t>
        </is>
      </c>
      <c r="M272" s="1" t="inlineStr">
        <is>
          <t>11 to 50</t>
        </is>
      </c>
      <c r="N272" s="1" t="inlineStr">
        <is>
          <t>Business to Consumer, Business to Government, Business to Schools</t>
        </is>
      </c>
      <c r="O272" s="1" t="inlineStr">
        <is>
          <t>Secondary Education, Higher Education, Corporate Training, Lifelong learning/Adult education</t>
        </is>
      </c>
      <c r="P272" s="1" t="inlineStr">
        <is>
          <t>System/Administrative, Student interfacing</t>
        </is>
      </c>
      <c r="Q272" s="10" t="inlineStr">
        <is>
          <t>SoWeSign</t>
        </is>
      </c>
      <c r="R272" s="10" t="inlineStr">
        <is>
          <t>SoWeSign facilitates enrolment! sowesign digitalizes the enrolment process for training centers. The solution is composed of a management interface available online on the one hand and an application on the other hand. The management interface allows you to plan training sessions, supervise attendance, consult all the documents in an EDM, have contracts and agreements signed online, etc. Applications and portals are available to sign-in from any device, from an application or a web browser.</t>
        </is>
      </c>
      <c r="S272" s="10" t="n"/>
      <c r="U272" s="1" t="n"/>
      <c r="V272" s="1" t="inlineStr">
        <is>
          <t>Unverified</t>
        </is>
      </c>
      <c r="Z272" s="1" t="n"/>
      <c r="AA272" t="inlineStr">
        <is>
          <t>Yes</t>
        </is>
      </c>
      <c r="AB272" t="inlineStr">
        <is>
          <t>https://www.instagram.com/sws_sowesign/</t>
        </is>
      </c>
      <c r="AC272" t="inlineStr">
        <is>
          <t>https://twitter.com/SoWeSign</t>
        </is>
      </c>
      <c r="AD272" t="inlineStr">
        <is>
          <t>https://www.linkedin.com/company/sowesign-1</t>
        </is>
      </c>
    </row>
    <row r="273" ht="12.5" customHeight="1">
      <c r="A273" s="6" t="n">
        <v>45181</v>
      </c>
      <c r="B273" s="1" t="inlineStr">
        <is>
          <t>ORG_2505</t>
        </is>
      </c>
      <c r="C273" s="1" t="b">
        <v>1</v>
      </c>
      <c r="D273" s="1" t="inlineStr">
        <is>
          <t>VocaCoach</t>
        </is>
      </c>
      <c r="E273" s="10" t="inlineStr">
        <is>
          <t>https://vocacoach.fr/</t>
        </is>
      </c>
      <c r="F273" t="inlineStr">
        <is>
          <t>vocacoach.fr</t>
        </is>
      </c>
      <c r="G273" s="1" t="inlineStr">
        <is>
          <t>74% of working people suffer from glossophobia, the fear of speaking in public. Yet it is an essential element of daily professional success.
VocaCoach is an oral expression training application powered by artificial intelligence and voice analysis. It allows you to practice independently in order to gain efficiency and self-confidence before your interviews or presentations.
In concrete terms, the user records himself and obtains a detailed analysis of his oral expression: speed, tone, hesitations, repetitions... and advice on how to progress. It works in English and French. Easily integrated into a training program, VocaCoach allows for a rapid diagnosis of oral skills and continuous training.
 VocaCoach's goal is to democratize access to this type of training for all working people throughout their professional lives, starting with their studies.</t>
        </is>
      </c>
      <c r="H273" s="1" t="inlineStr">
        <is>
          <t>EdTech France</t>
        </is>
      </c>
      <c r="J273" s="1" t="inlineStr">
        <is>
          <t>Evry-Courcouronnes</t>
        </is>
      </c>
      <c r="K273" s="1" t="inlineStr">
        <is>
          <t>France</t>
        </is>
      </c>
      <c r="L273" s="1" t="inlineStr">
        <is>
          <t>France</t>
        </is>
      </c>
      <c r="M273" s="1" t="inlineStr">
        <is>
          <t>0 to 10</t>
        </is>
      </c>
      <c r="N273" s="1" t="inlineStr">
        <is>
          <t>Business to Government</t>
        </is>
      </c>
      <c r="O273" s="1" t="inlineStr">
        <is>
          <t>Secondary Education, Higher Education, Corporate Training</t>
        </is>
      </c>
      <c r="P273" s="1" t="inlineStr">
        <is>
          <t>Teacher interfacing, Student interfacing, System/Administrative</t>
        </is>
      </c>
      <c r="Q273" s="10" t="inlineStr">
        <is>
          <t>VocaCoach App</t>
        </is>
      </c>
      <c r="R273" s="10" t="inlineStr">
        <is>
          <t>VocaCoach is an oral expression training application powered by artificial intelligence and voice analysis. It allows you to practice independently in order to gain efficiency and self-confidence before your interviews or presentations.
In concrete terms, the user records himself and obtains a detailed analysis of his oral expression: speed, tone, hesitations, repetitions... and advice on how to progress. It works in French and in English.</t>
        </is>
      </c>
      <c r="S273" s="10" t="inlineStr">
        <is>
          <t>https://drive.google.com/uc?export=view&amp;id=1_Mmk7mWmDwzqwjH3g6jMT5yAQ3KxAxpM</t>
        </is>
      </c>
      <c r="T273" t="inlineStr">
        <is>
          <t>https://drive.google.com/uc?export=view&amp;id=1_Mmk7mWmDwzqwjH3g6jMT5yAQ3KxAxpM</t>
        </is>
      </c>
      <c r="U273" s="1" t="inlineStr">
        <is>
          <t>https://drive.google.com/uc?export=view&amp;id=1_Mmk7mWmDwzqwjH3g6jMT5yAQ3KxAxpM</t>
        </is>
      </c>
      <c r="V273" s="1" t="inlineStr">
        <is>
          <t>Unverified</t>
        </is>
      </c>
      <c r="Y273" s="10" t="n"/>
      <c r="Z273" s="1" t="n"/>
      <c r="AA273" t="inlineStr">
        <is>
          <t>Yes</t>
        </is>
      </c>
      <c r="AB273" t="inlineStr">
        <is>
          <t>https://www.instagram.com/vocacoach/</t>
        </is>
      </c>
      <c r="AC273" t="inlineStr">
        <is>
          <t>https://twitter.com/VocaCoach</t>
        </is>
      </c>
      <c r="AD273" t="inlineStr">
        <is>
          <t>https://www.linkedin.com/company/30675854/</t>
        </is>
      </c>
    </row>
    <row r="274" ht="12.5" customHeight="1">
      <c r="A274" s="6" t="n">
        <v>45894</v>
      </c>
      <c r="B274" s="1" t="inlineStr">
        <is>
          <t>ORG_2451</t>
        </is>
      </c>
      <c r="C274" s="1" t="b">
        <v>1</v>
      </c>
      <c r="D274" s="1" t="inlineStr">
        <is>
          <t>UbiCast</t>
        </is>
      </c>
      <c r="E274" s="10" t="inlineStr">
        <is>
          <t>https://www.ubicast.eu/</t>
        </is>
      </c>
      <c r="F274" t="inlineStr">
        <is>
          <t>ubicast.eu</t>
        </is>
      </c>
      <c r="G274" s="1" t="inlineStr">
        <is>
          <t>Born in 2007, UbiCast is the European leader in video learning solutions. Our mission is to improve learning and communication by making video engaging, collaborative and durable. To do so, UbiCast has developed Nudgis, a customisable private video platform made for teachers to record, store and stream interactive and impactful content in video format. Thanks to its engaging sidebar and social features, Nudgis is the perfect tool to easily captivate students’ attention and enhance the whole learning experience!</t>
        </is>
      </c>
      <c r="H274" s="1" t="inlineStr">
        <is>
          <t>EdTech France</t>
        </is>
      </c>
      <c r="I274" s="1" t="inlineStr">
        <is>
          <t>English, French, German, Dutch, Spanish, Finnish</t>
        </is>
      </c>
      <c r="J274" s="1" t="inlineStr">
        <is>
          <t>Paris</t>
        </is>
      </c>
      <c r="K274" s="1" t="inlineStr">
        <is>
          <t>France</t>
        </is>
      </c>
      <c r="L274" s="1" t="inlineStr">
        <is>
          <t>Belgium, France, Germany, Finland, Ireland, Italy, Netherlands, Spain, Switzerland, United Kingdom, Austria, Monaco</t>
        </is>
      </c>
      <c r="M274" s="1" t="inlineStr">
        <is>
          <t>Small (10-49 FTE employees)</t>
        </is>
      </c>
      <c r="N274" s="1" t="inlineStr">
        <is>
          <t>Business to Business, Business to Schools, Business to Government</t>
        </is>
      </c>
      <c r="O274" s="1" t="inlineStr">
        <is>
          <t>Higher Education, Corporate Training, Lifelong learning/Adult education</t>
        </is>
      </c>
      <c r="P274" s="1" t="inlineStr">
        <is>
          <t>Student interfacing, Teacher interfacing, System/Administrative</t>
        </is>
      </c>
      <c r="Q274" s="10" t="inlineStr">
        <is>
          <t>Nudgis</t>
        </is>
      </c>
      <c r="R274" t="inlineStr">
        <is>
          <t>Nudgis is a private video platform that helps teachers create and share interactive lessons. They can enrich videos with quizzes and polls, while students learn at their own pace. The platform also gives teachers valuable insights to improve their content and integrates with all existing LMS!</t>
        </is>
      </c>
      <c r="S274" s="10" t="inlineStr">
        <is>
          <t>Miris</t>
        </is>
      </c>
      <c r="T274" t="inlineStr">
        <is>
          <t>Want to digitise your lectures, create video content for your courses, or broadcast live conferences? The Miris range has you covered. Miris provides turnkey recorders that automatically capture both the speaker and their presentation, helping you deliver a rich media experience to your au</t>
        </is>
      </c>
      <c r="U274" s="1" t="inlineStr">
        <is>
          <t>https://drive.google.com/uc?export=view&amp;id=1kBxp-jslfQ-avf9_eMvLk7Wb9zMgy_pK</t>
        </is>
      </c>
      <c r="V274" s="1" t="inlineStr">
        <is>
          <t>Verified</t>
        </is>
      </c>
      <c r="W274" s="1" t="inlineStr">
        <is>
          <t>Collaborations between EdTech organisations, Project consortium building, Public-private partnerships</t>
        </is>
      </c>
      <c r="X274" s="1" t="inlineStr">
        <is>
          <t>For-profit company</t>
        </is>
      </c>
      <c r="Y274" s="10" t="b">
        <v>1</v>
      </c>
      <c r="Z274" s="1" t="b">
        <v>1</v>
      </c>
      <c r="AA274" s="1" t="inlineStr">
        <is>
          <t>Yes</t>
        </is>
      </c>
      <c r="AB274" s="1" t="inlineStr">
        <is>
          <t>https://www.instagram.com/ubicast_official/</t>
        </is>
      </c>
      <c r="AC274" s="1" t="inlineStr">
        <is>
          <t>https://www.linkedin.com/company/ubicast</t>
        </is>
      </c>
      <c r="AD274" s="1" t="inlineStr">
        <is>
          <t>https://www.linkedin.com/company/ubicast</t>
        </is>
      </c>
    </row>
  </sheetData>
  <hyperlinks>
    <hyperlink xmlns:r="http://schemas.openxmlformats.org/officeDocument/2006/relationships" ref="E2" r:id="rId1"/>
    <hyperlink xmlns:r="http://schemas.openxmlformats.org/officeDocument/2006/relationships" ref="R2" r:id="rId2"/>
    <hyperlink xmlns:r="http://schemas.openxmlformats.org/officeDocument/2006/relationships" ref="W2" r:id="rId3"/>
    <hyperlink xmlns:r="http://schemas.openxmlformats.org/officeDocument/2006/relationships" ref="R3" r:id="rId4"/>
    <hyperlink xmlns:r="http://schemas.openxmlformats.org/officeDocument/2006/relationships" ref="W3" r:id="rId5"/>
    <hyperlink xmlns:r="http://schemas.openxmlformats.org/officeDocument/2006/relationships" ref="E4" r:id="rId6"/>
    <hyperlink xmlns:r="http://schemas.openxmlformats.org/officeDocument/2006/relationships" ref="R4" r:id="rId7"/>
    <hyperlink xmlns:r="http://schemas.openxmlformats.org/officeDocument/2006/relationships" ref="W4" r:id="rId8"/>
    <hyperlink xmlns:r="http://schemas.openxmlformats.org/officeDocument/2006/relationships" ref="E5" r:id="rId9"/>
    <hyperlink xmlns:r="http://schemas.openxmlformats.org/officeDocument/2006/relationships" ref="P5" r:id="rId10"/>
    <hyperlink xmlns:r="http://schemas.openxmlformats.org/officeDocument/2006/relationships" ref="R5" r:id="rId11"/>
    <hyperlink xmlns:r="http://schemas.openxmlformats.org/officeDocument/2006/relationships" ref="W5" r:id="rId12"/>
    <hyperlink xmlns:r="http://schemas.openxmlformats.org/officeDocument/2006/relationships" ref="AC5" r:id="rId13"/>
    <hyperlink xmlns:r="http://schemas.openxmlformats.org/officeDocument/2006/relationships" ref="E6" r:id="rId14"/>
    <hyperlink xmlns:r="http://schemas.openxmlformats.org/officeDocument/2006/relationships" ref="P6" r:id="rId15"/>
    <hyperlink xmlns:r="http://schemas.openxmlformats.org/officeDocument/2006/relationships" ref="R6" r:id="rId16"/>
    <hyperlink xmlns:r="http://schemas.openxmlformats.org/officeDocument/2006/relationships" ref="W6" r:id="rId17"/>
    <hyperlink xmlns:r="http://schemas.openxmlformats.org/officeDocument/2006/relationships" ref="E7" r:id="rId18"/>
    <hyperlink xmlns:r="http://schemas.openxmlformats.org/officeDocument/2006/relationships" ref="W7" r:id="rId19"/>
    <hyperlink xmlns:r="http://schemas.openxmlformats.org/officeDocument/2006/relationships" ref="E8" r:id="rId20"/>
    <hyperlink xmlns:r="http://schemas.openxmlformats.org/officeDocument/2006/relationships" ref="R8" r:id="rId21"/>
    <hyperlink xmlns:r="http://schemas.openxmlformats.org/officeDocument/2006/relationships" ref="W8" r:id="rId22"/>
    <hyperlink xmlns:r="http://schemas.openxmlformats.org/officeDocument/2006/relationships" ref="E9" r:id="rId23"/>
    <hyperlink xmlns:r="http://schemas.openxmlformats.org/officeDocument/2006/relationships" ref="R9" r:id="rId24"/>
    <hyperlink xmlns:r="http://schemas.openxmlformats.org/officeDocument/2006/relationships" ref="W9" r:id="rId25"/>
    <hyperlink xmlns:r="http://schemas.openxmlformats.org/officeDocument/2006/relationships" ref="E10" r:id="rId26"/>
    <hyperlink xmlns:r="http://schemas.openxmlformats.org/officeDocument/2006/relationships" ref="W10" r:id="rId27"/>
    <hyperlink xmlns:r="http://schemas.openxmlformats.org/officeDocument/2006/relationships" ref="E11" r:id="rId28"/>
    <hyperlink xmlns:r="http://schemas.openxmlformats.org/officeDocument/2006/relationships" ref="P11" r:id="rId29"/>
    <hyperlink xmlns:r="http://schemas.openxmlformats.org/officeDocument/2006/relationships" ref="Q11" r:id="rId30"/>
    <hyperlink xmlns:r="http://schemas.openxmlformats.org/officeDocument/2006/relationships" ref="R11" r:id="rId31"/>
    <hyperlink xmlns:r="http://schemas.openxmlformats.org/officeDocument/2006/relationships" ref="W11" r:id="rId32"/>
    <hyperlink xmlns:r="http://schemas.openxmlformats.org/officeDocument/2006/relationships" ref="AC11" r:id="rId33"/>
    <hyperlink xmlns:r="http://schemas.openxmlformats.org/officeDocument/2006/relationships" ref="E12" r:id="rId34"/>
    <hyperlink xmlns:r="http://schemas.openxmlformats.org/officeDocument/2006/relationships" ref="R12" r:id="rId35"/>
    <hyperlink xmlns:r="http://schemas.openxmlformats.org/officeDocument/2006/relationships" ref="W12" r:id="rId36"/>
    <hyperlink xmlns:r="http://schemas.openxmlformats.org/officeDocument/2006/relationships" ref="E13" r:id="rId37"/>
    <hyperlink xmlns:r="http://schemas.openxmlformats.org/officeDocument/2006/relationships" ref="W13" r:id="rId38"/>
    <hyperlink xmlns:r="http://schemas.openxmlformats.org/officeDocument/2006/relationships" ref="E14" r:id="rId39"/>
    <hyperlink xmlns:r="http://schemas.openxmlformats.org/officeDocument/2006/relationships" ref="W14" r:id="rId40"/>
    <hyperlink xmlns:r="http://schemas.openxmlformats.org/officeDocument/2006/relationships" ref="E15" r:id="rId41"/>
    <hyperlink xmlns:r="http://schemas.openxmlformats.org/officeDocument/2006/relationships" ref="P15" r:id="rId42"/>
    <hyperlink xmlns:r="http://schemas.openxmlformats.org/officeDocument/2006/relationships" ref="Q15" r:id="rId43"/>
    <hyperlink xmlns:r="http://schemas.openxmlformats.org/officeDocument/2006/relationships" ref="R15" r:id="rId44"/>
    <hyperlink xmlns:r="http://schemas.openxmlformats.org/officeDocument/2006/relationships" ref="W15" r:id="rId45"/>
    <hyperlink xmlns:r="http://schemas.openxmlformats.org/officeDocument/2006/relationships" ref="E16" r:id="rId46"/>
    <hyperlink xmlns:r="http://schemas.openxmlformats.org/officeDocument/2006/relationships" ref="R16" r:id="rId47"/>
    <hyperlink xmlns:r="http://schemas.openxmlformats.org/officeDocument/2006/relationships" ref="W16" r:id="rId48"/>
    <hyperlink xmlns:r="http://schemas.openxmlformats.org/officeDocument/2006/relationships" ref="E17" r:id="rId49"/>
    <hyperlink xmlns:r="http://schemas.openxmlformats.org/officeDocument/2006/relationships" ref="R17" r:id="rId50"/>
    <hyperlink xmlns:r="http://schemas.openxmlformats.org/officeDocument/2006/relationships" ref="W17" r:id="rId51"/>
    <hyperlink xmlns:r="http://schemas.openxmlformats.org/officeDocument/2006/relationships" ref="AC17" r:id="rId52"/>
    <hyperlink xmlns:r="http://schemas.openxmlformats.org/officeDocument/2006/relationships" ref="E18" r:id="rId53"/>
    <hyperlink xmlns:r="http://schemas.openxmlformats.org/officeDocument/2006/relationships" ref="R18" r:id="rId54"/>
    <hyperlink xmlns:r="http://schemas.openxmlformats.org/officeDocument/2006/relationships" ref="W18" r:id="rId55"/>
    <hyperlink xmlns:r="http://schemas.openxmlformats.org/officeDocument/2006/relationships" ref="E19" r:id="rId56"/>
    <hyperlink xmlns:r="http://schemas.openxmlformats.org/officeDocument/2006/relationships" ref="R19" r:id="rId57"/>
    <hyperlink xmlns:r="http://schemas.openxmlformats.org/officeDocument/2006/relationships" ref="W19" r:id="rId58"/>
    <hyperlink xmlns:r="http://schemas.openxmlformats.org/officeDocument/2006/relationships" ref="W20" r:id="rId59"/>
    <hyperlink xmlns:r="http://schemas.openxmlformats.org/officeDocument/2006/relationships" ref="E21" r:id="rId60"/>
    <hyperlink xmlns:r="http://schemas.openxmlformats.org/officeDocument/2006/relationships" ref="P21" r:id="rId61"/>
    <hyperlink xmlns:r="http://schemas.openxmlformats.org/officeDocument/2006/relationships" ref="Q21" r:id="rId62"/>
    <hyperlink xmlns:r="http://schemas.openxmlformats.org/officeDocument/2006/relationships" ref="R21" r:id="rId63"/>
    <hyperlink xmlns:r="http://schemas.openxmlformats.org/officeDocument/2006/relationships" ref="W21" r:id="rId64"/>
    <hyperlink xmlns:r="http://schemas.openxmlformats.org/officeDocument/2006/relationships" ref="AC21" r:id="rId65"/>
    <hyperlink xmlns:r="http://schemas.openxmlformats.org/officeDocument/2006/relationships" ref="E22" r:id="rId66"/>
    <hyperlink xmlns:r="http://schemas.openxmlformats.org/officeDocument/2006/relationships" ref="R22" r:id="rId67"/>
    <hyperlink xmlns:r="http://schemas.openxmlformats.org/officeDocument/2006/relationships" ref="W22" r:id="rId68"/>
    <hyperlink xmlns:r="http://schemas.openxmlformats.org/officeDocument/2006/relationships" ref="E23" r:id="rId69"/>
    <hyperlink xmlns:r="http://schemas.openxmlformats.org/officeDocument/2006/relationships" ref="W23" r:id="rId70"/>
    <hyperlink xmlns:r="http://schemas.openxmlformats.org/officeDocument/2006/relationships" ref="E24" r:id="rId71"/>
    <hyperlink xmlns:r="http://schemas.openxmlformats.org/officeDocument/2006/relationships" ref="R24" r:id="rId72"/>
    <hyperlink xmlns:r="http://schemas.openxmlformats.org/officeDocument/2006/relationships" ref="W24" r:id="rId73"/>
    <hyperlink xmlns:r="http://schemas.openxmlformats.org/officeDocument/2006/relationships" ref="E25" r:id="rId74"/>
    <hyperlink xmlns:r="http://schemas.openxmlformats.org/officeDocument/2006/relationships" ref="P25" r:id="rId75"/>
    <hyperlink xmlns:r="http://schemas.openxmlformats.org/officeDocument/2006/relationships" ref="R25" r:id="rId76"/>
    <hyperlink xmlns:r="http://schemas.openxmlformats.org/officeDocument/2006/relationships" ref="W25" r:id="rId77"/>
    <hyperlink xmlns:r="http://schemas.openxmlformats.org/officeDocument/2006/relationships" ref="E26" r:id="rId78"/>
    <hyperlink xmlns:r="http://schemas.openxmlformats.org/officeDocument/2006/relationships" ref="R26" r:id="rId79"/>
    <hyperlink xmlns:r="http://schemas.openxmlformats.org/officeDocument/2006/relationships" ref="E27" r:id="rId80"/>
    <hyperlink xmlns:r="http://schemas.openxmlformats.org/officeDocument/2006/relationships" ref="R27" r:id="rId81"/>
    <hyperlink xmlns:r="http://schemas.openxmlformats.org/officeDocument/2006/relationships" ref="E28" r:id="rId82"/>
    <hyperlink xmlns:r="http://schemas.openxmlformats.org/officeDocument/2006/relationships" ref="R28" r:id="rId83"/>
    <hyperlink xmlns:r="http://schemas.openxmlformats.org/officeDocument/2006/relationships" ref="E29" r:id="rId84"/>
    <hyperlink xmlns:r="http://schemas.openxmlformats.org/officeDocument/2006/relationships" ref="R29" r:id="rId85"/>
    <hyperlink xmlns:r="http://schemas.openxmlformats.org/officeDocument/2006/relationships" ref="E30" r:id="rId86"/>
    <hyperlink xmlns:r="http://schemas.openxmlformats.org/officeDocument/2006/relationships" ref="R30" r:id="rId87"/>
    <hyperlink xmlns:r="http://schemas.openxmlformats.org/officeDocument/2006/relationships" ref="E31" r:id="rId88"/>
    <hyperlink xmlns:r="http://schemas.openxmlformats.org/officeDocument/2006/relationships" ref="E32" r:id="rId89"/>
    <hyperlink xmlns:r="http://schemas.openxmlformats.org/officeDocument/2006/relationships" ref="E33" r:id="rId90"/>
    <hyperlink xmlns:r="http://schemas.openxmlformats.org/officeDocument/2006/relationships" ref="Q33" r:id="rId91"/>
    <hyperlink xmlns:r="http://schemas.openxmlformats.org/officeDocument/2006/relationships" ref="R33" r:id="rId92"/>
    <hyperlink xmlns:r="http://schemas.openxmlformats.org/officeDocument/2006/relationships" ref="E34" r:id="rId93"/>
    <hyperlink xmlns:r="http://schemas.openxmlformats.org/officeDocument/2006/relationships" ref="E35" r:id="rId94"/>
    <hyperlink xmlns:r="http://schemas.openxmlformats.org/officeDocument/2006/relationships" ref="R35" r:id="rId95"/>
    <hyperlink xmlns:r="http://schemas.openxmlformats.org/officeDocument/2006/relationships" ref="E36" r:id="rId96"/>
    <hyperlink xmlns:r="http://schemas.openxmlformats.org/officeDocument/2006/relationships" ref="E37" r:id="rId97"/>
    <hyperlink xmlns:r="http://schemas.openxmlformats.org/officeDocument/2006/relationships" ref="R37" r:id="rId98"/>
    <hyperlink xmlns:r="http://schemas.openxmlformats.org/officeDocument/2006/relationships" ref="S37" r:id="rId99"/>
    <hyperlink xmlns:r="http://schemas.openxmlformats.org/officeDocument/2006/relationships" ref="W37" r:id="rId100"/>
    <hyperlink xmlns:r="http://schemas.openxmlformats.org/officeDocument/2006/relationships" ref="E38" r:id="rId101"/>
    <hyperlink xmlns:r="http://schemas.openxmlformats.org/officeDocument/2006/relationships" ref="P38" r:id="rId102"/>
    <hyperlink xmlns:r="http://schemas.openxmlformats.org/officeDocument/2006/relationships" ref="Q38" r:id="rId103"/>
    <hyperlink xmlns:r="http://schemas.openxmlformats.org/officeDocument/2006/relationships" ref="R38" r:id="rId104"/>
    <hyperlink xmlns:r="http://schemas.openxmlformats.org/officeDocument/2006/relationships" ref="E39" r:id="rId105"/>
    <hyperlink xmlns:r="http://schemas.openxmlformats.org/officeDocument/2006/relationships" ref="Q39" r:id="rId106"/>
    <hyperlink xmlns:r="http://schemas.openxmlformats.org/officeDocument/2006/relationships" ref="R39" r:id="rId107"/>
    <hyperlink xmlns:r="http://schemas.openxmlformats.org/officeDocument/2006/relationships" ref="W39" r:id="rId108"/>
    <hyperlink xmlns:r="http://schemas.openxmlformats.org/officeDocument/2006/relationships" ref="E40" r:id="rId109"/>
    <hyperlink xmlns:r="http://schemas.openxmlformats.org/officeDocument/2006/relationships" ref="E41" r:id="rId110"/>
    <hyperlink xmlns:r="http://schemas.openxmlformats.org/officeDocument/2006/relationships" ref="P41" r:id="rId111"/>
    <hyperlink xmlns:r="http://schemas.openxmlformats.org/officeDocument/2006/relationships" ref="Q41" r:id="rId112"/>
    <hyperlink xmlns:r="http://schemas.openxmlformats.org/officeDocument/2006/relationships" ref="R41" r:id="rId113"/>
    <hyperlink xmlns:r="http://schemas.openxmlformats.org/officeDocument/2006/relationships" ref="E42" r:id="rId114"/>
    <hyperlink xmlns:r="http://schemas.openxmlformats.org/officeDocument/2006/relationships" ref="E43" r:id="rId115"/>
    <hyperlink xmlns:r="http://schemas.openxmlformats.org/officeDocument/2006/relationships" ref="P43" r:id="rId116"/>
    <hyperlink xmlns:r="http://schemas.openxmlformats.org/officeDocument/2006/relationships" ref="Q43" r:id="rId117"/>
    <hyperlink xmlns:r="http://schemas.openxmlformats.org/officeDocument/2006/relationships" ref="R43" r:id="rId118"/>
    <hyperlink xmlns:r="http://schemas.openxmlformats.org/officeDocument/2006/relationships" ref="E44" r:id="rId119"/>
    <hyperlink xmlns:r="http://schemas.openxmlformats.org/officeDocument/2006/relationships" ref="R44" r:id="rId120"/>
    <hyperlink xmlns:r="http://schemas.openxmlformats.org/officeDocument/2006/relationships" ref="E45" location="/landing/home" r:id="rId121"/>
    <hyperlink xmlns:r="http://schemas.openxmlformats.org/officeDocument/2006/relationships" ref="P45" r:id="rId122"/>
    <hyperlink xmlns:r="http://schemas.openxmlformats.org/officeDocument/2006/relationships" ref="R45" r:id="rId123"/>
    <hyperlink xmlns:r="http://schemas.openxmlformats.org/officeDocument/2006/relationships" ref="E46" r:id="rId124"/>
    <hyperlink xmlns:r="http://schemas.openxmlformats.org/officeDocument/2006/relationships" ref="E47" r:id="rId125"/>
    <hyperlink xmlns:r="http://schemas.openxmlformats.org/officeDocument/2006/relationships" ref="P47" r:id="rId126"/>
    <hyperlink xmlns:r="http://schemas.openxmlformats.org/officeDocument/2006/relationships" ref="Q47" r:id="rId127"/>
    <hyperlink xmlns:r="http://schemas.openxmlformats.org/officeDocument/2006/relationships" ref="R47" r:id="rId128"/>
    <hyperlink xmlns:r="http://schemas.openxmlformats.org/officeDocument/2006/relationships" ref="E48" r:id="rId129"/>
    <hyperlink xmlns:r="http://schemas.openxmlformats.org/officeDocument/2006/relationships" ref="Q48" r:id="rId130"/>
    <hyperlink xmlns:r="http://schemas.openxmlformats.org/officeDocument/2006/relationships" ref="R48" r:id="rId131"/>
    <hyperlink xmlns:r="http://schemas.openxmlformats.org/officeDocument/2006/relationships" ref="W48" r:id="rId132"/>
    <hyperlink xmlns:r="http://schemas.openxmlformats.org/officeDocument/2006/relationships" ref="E49" r:id="rId133"/>
    <hyperlink xmlns:r="http://schemas.openxmlformats.org/officeDocument/2006/relationships" ref="Q49" r:id="rId134"/>
    <hyperlink xmlns:r="http://schemas.openxmlformats.org/officeDocument/2006/relationships" ref="E50" r:id="rId135"/>
    <hyperlink xmlns:r="http://schemas.openxmlformats.org/officeDocument/2006/relationships" ref="P50" r:id="rId136"/>
    <hyperlink xmlns:r="http://schemas.openxmlformats.org/officeDocument/2006/relationships" ref="Q50" r:id="rId137"/>
    <hyperlink xmlns:r="http://schemas.openxmlformats.org/officeDocument/2006/relationships" ref="R50" r:id="rId138"/>
    <hyperlink xmlns:r="http://schemas.openxmlformats.org/officeDocument/2006/relationships" ref="W50" r:id="rId139"/>
    <hyperlink xmlns:r="http://schemas.openxmlformats.org/officeDocument/2006/relationships" ref="E51" r:id="rId140"/>
    <hyperlink xmlns:r="http://schemas.openxmlformats.org/officeDocument/2006/relationships" ref="P51" r:id="rId141"/>
    <hyperlink xmlns:r="http://schemas.openxmlformats.org/officeDocument/2006/relationships" ref="Q51" r:id="rId142"/>
    <hyperlink xmlns:r="http://schemas.openxmlformats.org/officeDocument/2006/relationships" ref="R51" r:id="rId143"/>
    <hyperlink xmlns:r="http://schemas.openxmlformats.org/officeDocument/2006/relationships" ref="P52" r:id="rId144"/>
    <hyperlink xmlns:r="http://schemas.openxmlformats.org/officeDocument/2006/relationships" ref="Q52" r:id="rId145"/>
    <hyperlink xmlns:r="http://schemas.openxmlformats.org/officeDocument/2006/relationships" ref="R52" r:id="rId146"/>
    <hyperlink xmlns:r="http://schemas.openxmlformats.org/officeDocument/2006/relationships" ref="E53" r:id="rId147"/>
    <hyperlink xmlns:r="http://schemas.openxmlformats.org/officeDocument/2006/relationships" ref="P53" r:id="rId148"/>
    <hyperlink xmlns:r="http://schemas.openxmlformats.org/officeDocument/2006/relationships" ref="Q53" r:id="rId149"/>
    <hyperlink xmlns:r="http://schemas.openxmlformats.org/officeDocument/2006/relationships" ref="R53" r:id="rId150"/>
    <hyperlink xmlns:r="http://schemas.openxmlformats.org/officeDocument/2006/relationships" ref="E54" r:id="rId151"/>
    <hyperlink xmlns:r="http://schemas.openxmlformats.org/officeDocument/2006/relationships" ref="Q54" r:id="rId152"/>
    <hyperlink xmlns:r="http://schemas.openxmlformats.org/officeDocument/2006/relationships" ref="R54" r:id="rId153"/>
    <hyperlink xmlns:r="http://schemas.openxmlformats.org/officeDocument/2006/relationships" ref="W54" r:id="rId154"/>
    <hyperlink xmlns:r="http://schemas.openxmlformats.org/officeDocument/2006/relationships" ref="E55" r:id="rId155"/>
    <hyperlink xmlns:r="http://schemas.openxmlformats.org/officeDocument/2006/relationships" ref="E56" r:id="rId156"/>
    <hyperlink xmlns:r="http://schemas.openxmlformats.org/officeDocument/2006/relationships" ref="E57" r:id="rId157"/>
    <hyperlink xmlns:r="http://schemas.openxmlformats.org/officeDocument/2006/relationships" ref="P57" r:id="rId158"/>
    <hyperlink xmlns:r="http://schemas.openxmlformats.org/officeDocument/2006/relationships" ref="Q57" r:id="rId159"/>
    <hyperlink xmlns:r="http://schemas.openxmlformats.org/officeDocument/2006/relationships" ref="R57" r:id="rId160"/>
    <hyperlink xmlns:r="http://schemas.openxmlformats.org/officeDocument/2006/relationships" ref="W57" r:id="rId161"/>
    <hyperlink xmlns:r="http://schemas.openxmlformats.org/officeDocument/2006/relationships" ref="E58" r:id="rId162"/>
    <hyperlink xmlns:r="http://schemas.openxmlformats.org/officeDocument/2006/relationships" ref="E59" r:id="rId163"/>
    <hyperlink xmlns:r="http://schemas.openxmlformats.org/officeDocument/2006/relationships" ref="P59" r:id="rId164"/>
    <hyperlink xmlns:r="http://schemas.openxmlformats.org/officeDocument/2006/relationships" ref="R59" r:id="rId165"/>
    <hyperlink xmlns:r="http://schemas.openxmlformats.org/officeDocument/2006/relationships" ref="W59" r:id="rId166"/>
    <hyperlink xmlns:r="http://schemas.openxmlformats.org/officeDocument/2006/relationships" ref="E60" r:id="rId167"/>
    <hyperlink xmlns:r="http://schemas.openxmlformats.org/officeDocument/2006/relationships" ref="R60" r:id="rId168"/>
    <hyperlink xmlns:r="http://schemas.openxmlformats.org/officeDocument/2006/relationships" ref="W60" r:id="rId169"/>
    <hyperlink xmlns:r="http://schemas.openxmlformats.org/officeDocument/2006/relationships" ref="E61" r:id="rId170"/>
    <hyperlink xmlns:r="http://schemas.openxmlformats.org/officeDocument/2006/relationships" ref="P61" r:id="rId171"/>
    <hyperlink xmlns:r="http://schemas.openxmlformats.org/officeDocument/2006/relationships" ref="Q61" r:id="rId172"/>
    <hyperlink xmlns:r="http://schemas.openxmlformats.org/officeDocument/2006/relationships" ref="R61" r:id="rId173"/>
    <hyperlink xmlns:r="http://schemas.openxmlformats.org/officeDocument/2006/relationships" ref="E62" r:id="rId174"/>
    <hyperlink xmlns:r="http://schemas.openxmlformats.org/officeDocument/2006/relationships" ref="R62" r:id="rId175"/>
    <hyperlink xmlns:r="http://schemas.openxmlformats.org/officeDocument/2006/relationships" ref="E63" r:id="rId176"/>
    <hyperlink xmlns:r="http://schemas.openxmlformats.org/officeDocument/2006/relationships" ref="E64" r:id="rId177"/>
    <hyperlink xmlns:r="http://schemas.openxmlformats.org/officeDocument/2006/relationships" ref="P64" r:id="rId178"/>
    <hyperlink xmlns:r="http://schemas.openxmlformats.org/officeDocument/2006/relationships" ref="R64" r:id="rId179"/>
    <hyperlink xmlns:r="http://schemas.openxmlformats.org/officeDocument/2006/relationships" ref="W64" r:id="rId180"/>
    <hyperlink xmlns:r="http://schemas.openxmlformats.org/officeDocument/2006/relationships" ref="E65" r:id="rId181"/>
    <hyperlink xmlns:r="http://schemas.openxmlformats.org/officeDocument/2006/relationships" ref="Q65" r:id="rId182"/>
    <hyperlink xmlns:r="http://schemas.openxmlformats.org/officeDocument/2006/relationships" ref="R65" r:id="rId183"/>
    <hyperlink xmlns:r="http://schemas.openxmlformats.org/officeDocument/2006/relationships" ref="W65" r:id="rId184"/>
    <hyperlink xmlns:r="http://schemas.openxmlformats.org/officeDocument/2006/relationships" ref="E66" r:id="rId185"/>
    <hyperlink xmlns:r="http://schemas.openxmlformats.org/officeDocument/2006/relationships" ref="P66" r:id="rId186"/>
    <hyperlink xmlns:r="http://schemas.openxmlformats.org/officeDocument/2006/relationships" ref="Q66" r:id="rId187"/>
    <hyperlink xmlns:r="http://schemas.openxmlformats.org/officeDocument/2006/relationships" ref="R66" r:id="rId188"/>
    <hyperlink xmlns:r="http://schemas.openxmlformats.org/officeDocument/2006/relationships" ref="E67" r:id="rId189"/>
    <hyperlink xmlns:r="http://schemas.openxmlformats.org/officeDocument/2006/relationships" ref="E68" r:id="rId190"/>
    <hyperlink xmlns:r="http://schemas.openxmlformats.org/officeDocument/2006/relationships" ref="E69" r:id="rId191"/>
    <hyperlink xmlns:r="http://schemas.openxmlformats.org/officeDocument/2006/relationships" ref="Q69" r:id="rId192"/>
    <hyperlink xmlns:r="http://schemas.openxmlformats.org/officeDocument/2006/relationships" ref="R69" r:id="rId193"/>
    <hyperlink xmlns:r="http://schemas.openxmlformats.org/officeDocument/2006/relationships" ref="W69" r:id="rId194"/>
    <hyperlink xmlns:r="http://schemas.openxmlformats.org/officeDocument/2006/relationships" ref="E70" r:id="rId195"/>
    <hyperlink xmlns:r="http://schemas.openxmlformats.org/officeDocument/2006/relationships" ref="P70" r:id="rId196"/>
    <hyperlink xmlns:r="http://schemas.openxmlformats.org/officeDocument/2006/relationships" ref="Q70" r:id="rId197"/>
    <hyperlink xmlns:r="http://schemas.openxmlformats.org/officeDocument/2006/relationships" ref="R70" r:id="rId198"/>
    <hyperlink xmlns:r="http://schemas.openxmlformats.org/officeDocument/2006/relationships" ref="W70" r:id="rId199"/>
    <hyperlink xmlns:r="http://schemas.openxmlformats.org/officeDocument/2006/relationships" ref="E71" r:id="rId200"/>
    <hyperlink xmlns:r="http://schemas.openxmlformats.org/officeDocument/2006/relationships" ref="E72" r:id="rId201"/>
    <hyperlink xmlns:r="http://schemas.openxmlformats.org/officeDocument/2006/relationships" ref="Q72" r:id="rId202"/>
    <hyperlink xmlns:r="http://schemas.openxmlformats.org/officeDocument/2006/relationships" ref="R72" r:id="rId203"/>
    <hyperlink xmlns:r="http://schemas.openxmlformats.org/officeDocument/2006/relationships" ref="E73" r:id="rId204"/>
    <hyperlink xmlns:r="http://schemas.openxmlformats.org/officeDocument/2006/relationships" ref="P73" r:id="rId205"/>
    <hyperlink xmlns:r="http://schemas.openxmlformats.org/officeDocument/2006/relationships" ref="Q73" r:id="rId206"/>
    <hyperlink xmlns:r="http://schemas.openxmlformats.org/officeDocument/2006/relationships" ref="R73" r:id="rId207"/>
    <hyperlink xmlns:r="http://schemas.openxmlformats.org/officeDocument/2006/relationships" ref="E74" r:id="rId208"/>
    <hyperlink xmlns:r="http://schemas.openxmlformats.org/officeDocument/2006/relationships" ref="E75" r:id="rId209"/>
    <hyperlink xmlns:r="http://schemas.openxmlformats.org/officeDocument/2006/relationships" ref="Q75" r:id="rId210"/>
    <hyperlink xmlns:r="http://schemas.openxmlformats.org/officeDocument/2006/relationships" ref="R75" r:id="rId211"/>
    <hyperlink xmlns:r="http://schemas.openxmlformats.org/officeDocument/2006/relationships" ref="E76" r:id="rId212"/>
    <hyperlink xmlns:r="http://schemas.openxmlformats.org/officeDocument/2006/relationships" ref="Q76" r:id="rId213"/>
    <hyperlink xmlns:r="http://schemas.openxmlformats.org/officeDocument/2006/relationships" ref="R76" r:id="rId214"/>
    <hyperlink xmlns:r="http://schemas.openxmlformats.org/officeDocument/2006/relationships" ref="E77" r:id="rId215"/>
    <hyperlink xmlns:r="http://schemas.openxmlformats.org/officeDocument/2006/relationships" ref="E78" r:id="rId216"/>
    <hyperlink xmlns:r="http://schemas.openxmlformats.org/officeDocument/2006/relationships" ref="R79" r:id="rId217"/>
    <hyperlink xmlns:r="http://schemas.openxmlformats.org/officeDocument/2006/relationships" ref="E80" r:id="rId218"/>
    <hyperlink xmlns:r="http://schemas.openxmlformats.org/officeDocument/2006/relationships" ref="P80" r:id="rId219"/>
    <hyperlink xmlns:r="http://schemas.openxmlformats.org/officeDocument/2006/relationships" ref="Q80" r:id="rId220"/>
    <hyperlink xmlns:r="http://schemas.openxmlformats.org/officeDocument/2006/relationships" ref="R80" r:id="rId221"/>
    <hyperlink xmlns:r="http://schemas.openxmlformats.org/officeDocument/2006/relationships" ref="W80" r:id="rId222"/>
    <hyperlink xmlns:r="http://schemas.openxmlformats.org/officeDocument/2006/relationships" ref="E81" r:id="rId223"/>
    <hyperlink xmlns:r="http://schemas.openxmlformats.org/officeDocument/2006/relationships" ref="E82" r:id="rId224"/>
    <hyperlink xmlns:r="http://schemas.openxmlformats.org/officeDocument/2006/relationships" ref="P82" r:id="rId225"/>
    <hyperlink xmlns:r="http://schemas.openxmlformats.org/officeDocument/2006/relationships" ref="Q82" r:id="rId226"/>
    <hyperlink xmlns:r="http://schemas.openxmlformats.org/officeDocument/2006/relationships" ref="R82" r:id="rId227"/>
    <hyperlink xmlns:r="http://schemas.openxmlformats.org/officeDocument/2006/relationships" ref="E83" r:id="rId228"/>
    <hyperlink xmlns:r="http://schemas.openxmlformats.org/officeDocument/2006/relationships" ref="E84" r:id="rId229"/>
    <hyperlink xmlns:r="http://schemas.openxmlformats.org/officeDocument/2006/relationships" ref="E85" r:id="rId230"/>
    <hyperlink xmlns:r="http://schemas.openxmlformats.org/officeDocument/2006/relationships" ref="E86" r:id="rId231"/>
    <hyperlink xmlns:r="http://schemas.openxmlformats.org/officeDocument/2006/relationships" ref="Q86" r:id="rId232"/>
    <hyperlink xmlns:r="http://schemas.openxmlformats.org/officeDocument/2006/relationships" ref="R86" r:id="rId233"/>
    <hyperlink xmlns:r="http://schemas.openxmlformats.org/officeDocument/2006/relationships" ref="W86" r:id="rId234"/>
    <hyperlink xmlns:r="http://schemas.openxmlformats.org/officeDocument/2006/relationships" ref="E87" r:id="rId235"/>
    <hyperlink xmlns:r="http://schemas.openxmlformats.org/officeDocument/2006/relationships" ref="E88" r:id="rId236"/>
    <hyperlink xmlns:r="http://schemas.openxmlformats.org/officeDocument/2006/relationships" ref="E89" r:id="rId237"/>
    <hyperlink xmlns:r="http://schemas.openxmlformats.org/officeDocument/2006/relationships" ref="W89" r:id="rId238"/>
    <hyperlink xmlns:r="http://schemas.openxmlformats.org/officeDocument/2006/relationships" ref="E90" r:id="rId239"/>
    <hyperlink xmlns:r="http://schemas.openxmlformats.org/officeDocument/2006/relationships" ref="Q90" r:id="rId240"/>
    <hyperlink xmlns:r="http://schemas.openxmlformats.org/officeDocument/2006/relationships" ref="R90" r:id="rId241"/>
    <hyperlink xmlns:r="http://schemas.openxmlformats.org/officeDocument/2006/relationships" ref="E91" r:id="rId242"/>
    <hyperlink xmlns:r="http://schemas.openxmlformats.org/officeDocument/2006/relationships" ref="R91" r:id="rId243"/>
    <hyperlink xmlns:r="http://schemas.openxmlformats.org/officeDocument/2006/relationships" ref="E92" r:id="rId244"/>
    <hyperlink xmlns:r="http://schemas.openxmlformats.org/officeDocument/2006/relationships" ref="E93" r:id="rId245"/>
    <hyperlink xmlns:r="http://schemas.openxmlformats.org/officeDocument/2006/relationships" ref="R93" r:id="rId246"/>
    <hyperlink xmlns:r="http://schemas.openxmlformats.org/officeDocument/2006/relationships" ref="E94" r:id="rId247"/>
    <hyperlink xmlns:r="http://schemas.openxmlformats.org/officeDocument/2006/relationships" ref="R94" r:id="rId248"/>
    <hyperlink xmlns:r="http://schemas.openxmlformats.org/officeDocument/2006/relationships" ref="E95" r:id="rId249"/>
    <hyperlink xmlns:r="http://schemas.openxmlformats.org/officeDocument/2006/relationships" ref="P95" r:id="rId250"/>
    <hyperlink xmlns:r="http://schemas.openxmlformats.org/officeDocument/2006/relationships" ref="Q95" r:id="rId251"/>
    <hyperlink xmlns:r="http://schemas.openxmlformats.org/officeDocument/2006/relationships" ref="R95" r:id="rId252"/>
    <hyperlink xmlns:r="http://schemas.openxmlformats.org/officeDocument/2006/relationships" ref="W95" r:id="rId253"/>
    <hyperlink xmlns:r="http://schemas.openxmlformats.org/officeDocument/2006/relationships" ref="E96" r:id="rId254"/>
    <hyperlink xmlns:r="http://schemas.openxmlformats.org/officeDocument/2006/relationships" ref="E97" r:id="rId255"/>
    <hyperlink xmlns:r="http://schemas.openxmlformats.org/officeDocument/2006/relationships" ref="E98" r:id="rId256"/>
    <hyperlink xmlns:r="http://schemas.openxmlformats.org/officeDocument/2006/relationships" ref="W98" r:id="rId257"/>
    <hyperlink xmlns:r="http://schemas.openxmlformats.org/officeDocument/2006/relationships" ref="E99" r:id="rId258"/>
    <hyperlink xmlns:r="http://schemas.openxmlformats.org/officeDocument/2006/relationships" ref="R99" r:id="rId259"/>
    <hyperlink xmlns:r="http://schemas.openxmlformats.org/officeDocument/2006/relationships" ref="W99" r:id="rId260"/>
    <hyperlink xmlns:r="http://schemas.openxmlformats.org/officeDocument/2006/relationships" ref="E100" r:id="rId261"/>
    <hyperlink xmlns:r="http://schemas.openxmlformats.org/officeDocument/2006/relationships" ref="Q100" r:id="rId262"/>
    <hyperlink xmlns:r="http://schemas.openxmlformats.org/officeDocument/2006/relationships" ref="R100" r:id="rId263"/>
    <hyperlink xmlns:r="http://schemas.openxmlformats.org/officeDocument/2006/relationships" ref="W100" r:id="rId264"/>
    <hyperlink xmlns:r="http://schemas.openxmlformats.org/officeDocument/2006/relationships" ref="E101" r:id="rId265"/>
    <hyperlink xmlns:r="http://schemas.openxmlformats.org/officeDocument/2006/relationships" ref="P101" r:id="rId266"/>
    <hyperlink xmlns:r="http://schemas.openxmlformats.org/officeDocument/2006/relationships" ref="R101" r:id="rId267"/>
    <hyperlink xmlns:r="http://schemas.openxmlformats.org/officeDocument/2006/relationships" ref="W101" r:id="rId268"/>
    <hyperlink xmlns:r="http://schemas.openxmlformats.org/officeDocument/2006/relationships" ref="E102" r:id="rId269"/>
    <hyperlink xmlns:r="http://schemas.openxmlformats.org/officeDocument/2006/relationships" ref="R102" r:id="rId270"/>
    <hyperlink xmlns:r="http://schemas.openxmlformats.org/officeDocument/2006/relationships" ref="W102" r:id="rId271"/>
    <hyperlink xmlns:r="http://schemas.openxmlformats.org/officeDocument/2006/relationships" ref="E103" r:id="rId272"/>
    <hyperlink xmlns:r="http://schemas.openxmlformats.org/officeDocument/2006/relationships" ref="Q103" r:id="rId273"/>
    <hyperlink xmlns:r="http://schemas.openxmlformats.org/officeDocument/2006/relationships" ref="R103" r:id="rId274"/>
    <hyperlink xmlns:r="http://schemas.openxmlformats.org/officeDocument/2006/relationships" ref="W103" r:id="rId275"/>
    <hyperlink xmlns:r="http://schemas.openxmlformats.org/officeDocument/2006/relationships" ref="E104" r:id="rId276"/>
    <hyperlink xmlns:r="http://schemas.openxmlformats.org/officeDocument/2006/relationships" ref="Q104" r:id="rId277"/>
    <hyperlink xmlns:r="http://schemas.openxmlformats.org/officeDocument/2006/relationships" ref="R104" r:id="rId278"/>
    <hyperlink xmlns:r="http://schemas.openxmlformats.org/officeDocument/2006/relationships" ref="S104" r:id="rId279"/>
    <hyperlink xmlns:r="http://schemas.openxmlformats.org/officeDocument/2006/relationships" ref="W104" r:id="rId280"/>
    <hyperlink xmlns:r="http://schemas.openxmlformats.org/officeDocument/2006/relationships" ref="E105" r:id="rId281"/>
    <hyperlink xmlns:r="http://schemas.openxmlformats.org/officeDocument/2006/relationships" ref="P105" r:id="rId282"/>
    <hyperlink xmlns:r="http://schemas.openxmlformats.org/officeDocument/2006/relationships" ref="R105" r:id="rId283"/>
    <hyperlink xmlns:r="http://schemas.openxmlformats.org/officeDocument/2006/relationships" ref="W105" r:id="rId284"/>
    <hyperlink xmlns:r="http://schemas.openxmlformats.org/officeDocument/2006/relationships" ref="E106" r:id="rId285"/>
    <hyperlink xmlns:r="http://schemas.openxmlformats.org/officeDocument/2006/relationships" ref="Q106" r:id="rId286"/>
    <hyperlink xmlns:r="http://schemas.openxmlformats.org/officeDocument/2006/relationships" ref="R106" r:id="rId287"/>
    <hyperlink xmlns:r="http://schemas.openxmlformats.org/officeDocument/2006/relationships" ref="W106" r:id="rId288"/>
    <hyperlink xmlns:r="http://schemas.openxmlformats.org/officeDocument/2006/relationships" ref="E107" r:id="rId289"/>
    <hyperlink xmlns:r="http://schemas.openxmlformats.org/officeDocument/2006/relationships" ref="P107" r:id="rId290"/>
    <hyperlink xmlns:r="http://schemas.openxmlformats.org/officeDocument/2006/relationships" ref="Q107" r:id="rId291"/>
    <hyperlink xmlns:r="http://schemas.openxmlformats.org/officeDocument/2006/relationships" ref="R107" r:id="rId292"/>
    <hyperlink xmlns:r="http://schemas.openxmlformats.org/officeDocument/2006/relationships" ref="W107" r:id="rId293"/>
    <hyperlink xmlns:r="http://schemas.openxmlformats.org/officeDocument/2006/relationships" ref="E108" r:id="rId294"/>
    <hyperlink xmlns:r="http://schemas.openxmlformats.org/officeDocument/2006/relationships" ref="E109" r:id="rId295"/>
    <hyperlink xmlns:r="http://schemas.openxmlformats.org/officeDocument/2006/relationships" ref="P109" r:id="rId296"/>
    <hyperlink xmlns:r="http://schemas.openxmlformats.org/officeDocument/2006/relationships" ref="Q109" r:id="rId297"/>
    <hyperlink xmlns:r="http://schemas.openxmlformats.org/officeDocument/2006/relationships" ref="R109" r:id="rId298"/>
    <hyperlink xmlns:r="http://schemas.openxmlformats.org/officeDocument/2006/relationships" ref="E110" r:id="rId299"/>
    <hyperlink xmlns:r="http://schemas.openxmlformats.org/officeDocument/2006/relationships" ref="P110" r:id="rId300"/>
    <hyperlink xmlns:r="http://schemas.openxmlformats.org/officeDocument/2006/relationships" ref="Q110" r:id="rId301"/>
    <hyperlink xmlns:r="http://schemas.openxmlformats.org/officeDocument/2006/relationships" ref="R110" r:id="rId302"/>
    <hyperlink xmlns:r="http://schemas.openxmlformats.org/officeDocument/2006/relationships" ref="W110" r:id="rId303"/>
    <hyperlink xmlns:r="http://schemas.openxmlformats.org/officeDocument/2006/relationships" ref="E111" r:id="rId304"/>
    <hyperlink xmlns:r="http://schemas.openxmlformats.org/officeDocument/2006/relationships" ref="P111" r:id="rId305"/>
    <hyperlink xmlns:r="http://schemas.openxmlformats.org/officeDocument/2006/relationships" ref="Q111" r:id="rId306"/>
    <hyperlink xmlns:r="http://schemas.openxmlformats.org/officeDocument/2006/relationships" ref="R111" r:id="rId307"/>
    <hyperlink xmlns:r="http://schemas.openxmlformats.org/officeDocument/2006/relationships" ref="W111" r:id="rId308"/>
    <hyperlink xmlns:r="http://schemas.openxmlformats.org/officeDocument/2006/relationships" ref="E112" r:id="rId309"/>
    <hyperlink xmlns:r="http://schemas.openxmlformats.org/officeDocument/2006/relationships" ref="P112" r:id="rId310"/>
    <hyperlink xmlns:r="http://schemas.openxmlformats.org/officeDocument/2006/relationships" ref="R112" r:id="rId311"/>
    <hyperlink xmlns:r="http://schemas.openxmlformats.org/officeDocument/2006/relationships" ref="E113" r:id="rId312"/>
    <hyperlink xmlns:r="http://schemas.openxmlformats.org/officeDocument/2006/relationships" ref="Q113" r:id="rId313"/>
    <hyperlink xmlns:r="http://schemas.openxmlformats.org/officeDocument/2006/relationships" ref="R113" r:id="rId314"/>
    <hyperlink xmlns:r="http://schemas.openxmlformats.org/officeDocument/2006/relationships" ref="W113" r:id="rId315"/>
    <hyperlink xmlns:r="http://schemas.openxmlformats.org/officeDocument/2006/relationships" ref="E114" r:id="rId316"/>
    <hyperlink xmlns:r="http://schemas.openxmlformats.org/officeDocument/2006/relationships" ref="Q114" r:id="rId317"/>
    <hyperlink xmlns:r="http://schemas.openxmlformats.org/officeDocument/2006/relationships" ref="R114" r:id="rId318"/>
    <hyperlink xmlns:r="http://schemas.openxmlformats.org/officeDocument/2006/relationships" ref="E115" r:id="rId319"/>
    <hyperlink xmlns:r="http://schemas.openxmlformats.org/officeDocument/2006/relationships" ref="E116" r:id="rId320"/>
    <hyperlink xmlns:r="http://schemas.openxmlformats.org/officeDocument/2006/relationships" ref="P116" r:id="rId321"/>
    <hyperlink xmlns:r="http://schemas.openxmlformats.org/officeDocument/2006/relationships" ref="Q116" r:id="rId322"/>
    <hyperlink xmlns:r="http://schemas.openxmlformats.org/officeDocument/2006/relationships" ref="R116" r:id="rId323"/>
    <hyperlink xmlns:r="http://schemas.openxmlformats.org/officeDocument/2006/relationships" ref="W116" r:id="rId324"/>
    <hyperlink xmlns:r="http://schemas.openxmlformats.org/officeDocument/2006/relationships" ref="E117" r:id="rId325"/>
    <hyperlink xmlns:r="http://schemas.openxmlformats.org/officeDocument/2006/relationships" ref="P117" r:id="rId326"/>
    <hyperlink xmlns:r="http://schemas.openxmlformats.org/officeDocument/2006/relationships" ref="Q117" r:id="rId327"/>
    <hyperlink xmlns:r="http://schemas.openxmlformats.org/officeDocument/2006/relationships" ref="R117" r:id="rId328"/>
    <hyperlink xmlns:r="http://schemas.openxmlformats.org/officeDocument/2006/relationships" ref="W117" r:id="rId329"/>
    <hyperlink xmlns:r="http://schemas.openxmlformats.org/officeDocument/2006/relationships" ref="E118" r:id="rId330"/>
    <hyperlink xmlns:r="http://schemas.openxmlformats.org/officeDocument/2006/relationships" ref="Q118" r:id="rId331"/>
    <hyperlink xmlns:r="http://schemas.openxmlformats.org/officeDocument/2006/relationships" ref="E119" r:id="rId332"/>
    <hyperlink xmlns:r="http://schemas.openxmlformats.org/officeDocument/2006/relationships" ref="P119" r:id="rId333"/>
    <hyperlink xmlns:r="http://schemas.openxmlformats.org/officeDocument/2006/relationships" ref="Q119" r:id="rId334"/>
    <hyperlink xmlns:r="http://schemas.openxmlformats.org/officeDocument/2006/relationships" ref="R119" r:id="rId335"/>
    <hyperlink xmlns:r="http://schemas.openxmlformats.org/officeDocument/2006/relationships" ref="U119" r:id="rId336"/>
    <hyperlink xmlns:r="http://schemas.openxmlformats.org/officeDocument/2006/relationships" ref="W119" r:id="rId337"/>
    <hyperlink xmlns:r="http://schemas.openxmlformats.org/officeDocument/2006/relationships" ref="E120" r:id="rId338"/>
    <hyperlink xmlns:r="http://schemas.openxmlformats.org/officeDocument/2006/relationships" ref="Q120" r:id="rId339"/>
    <hyperlink xmlns:r="http://schemas.openxmlformats.org/officeDocument/2006/relationships" ref="R120" r:id="rId340"/>
    <hyperlink xmlns:r="http://schemas.openxmlformats.org/officeDocument/2006/relationships" ref="W120" r:id="rId341"/>
    <hyperlink xmlns:r="http://schemas.openxmlformats.org/officeDocument/2006/relationships" ref="E121" r:id="rId342"/>
    <hyperlink xmlns:r="http://schemas.openxmlformats.org/officeDocument/2006/relationships" ref="P121" r:id="rId343"/>
    <hyperlink xmlns:r="http://schemas.openxmlformats.org/officeDocument/2006/relationships" ref="Q121" r:id="rId344"/>
    <hyperlink xmlns:r="http://schemas.openxmlformats.org/officeDocument/2006/relationships" ref="R121" r:id="rId345"/>
    <hyperlink xmlns:r="http://schemas.openxmlformats.org/officeDocument/2006/relationships" ref="E122" r:id="rId346"/>
    <hyperlink xmlns:r="http://schemas.openxmlformats.org/officeDocument/2006/relationships" ref="P122" r:id="rId347"/>
    <hyperlink xmlns:r="http://schemas.openxmlformats.org/officeDocument/2006/relationships" ref="R122" r:id="rId348"/>
    <hyperlink xmlns:r="http://schemas.openxmlformats.org/officeDocument/2006/relationships" ref="W122" r:id="rId349"/>
    <hyperlink xmlns:r="http://schemas.openxmlformats.org/officeDocument/2006/relationships" ref="E123" r:id="rId350"/>
    <hyperlink xmlns:r="http://schemas.openxmlformats.org/officeDocument/2006/relationships" ref="E124" r:id="rId351"/>
    <hyperlink xmlns:r="http://schemas.openxmlformats.org/officeDocument/2006/relationships" ref="E125" r:id="rId352"/>
    <hyperlink xmlns:r="http://schemas.openxmlformats.org/officeDocument/2006/relationships" ref="Q125" r:id="rId353"/>
    <hyperlink xmlns:r="http://schemas.openxmlformats.org/officeDocument/2006/relationships" ref="R125" r:id="rId354"/>
    <hyperlink xmlns:r="http://schemas.openxmlformats.org/officeDocument/2006/relationships" ref="W125" r:id="rId355"/>
    <hyperlink xmlns:r="http://schemas.openxmlformats.org/officeDocument/2006/relationships" ref="E126" r:id="rId356"/>
    <hyperlink xmlns:r="http://schemas.openxmlformats.org/officeDocument/2006/relationships" ref="E127" r:id="rId357"/>
    <hyperlink xmlns:r="http://schemas.openxmlformats.org/officeDocument/2006/relationships" ref="P127" r:id="rId358"/>
    <hyperlink xmlns:r="http://schemas.openxmlformats.org/officeDocument/2006/relationships" ref="Q127" r:id="rId359"/>
    <hyperlink xmlns:r="http://schemas.openxmlformats.org/officeDocument/2006/relationships" ref="R127" r:id="rId360"/>
    <hyperlink xmlns:r="http://schemas.openxmlformats.org/officeDocument/2006/relationships" ref="W127" r:id="rId361"/>
    <hyperlink xmlns:r="http://schemas.openxmlformats.org/officeDocument/2006/relationships" ref="E128" r:id="rId362"/>
    <hyperlink xmlns:r="http://schemas.openxmlformats.org/officeDocument/2006/relationships" ref="P128" r:id="rId363"/>
    <hyperlink xmlns:r="http://schemas.openxmlformats.org/officeDocument/2006/relationships" ref="Q128" r:id="rId364"/>
    <hyperlink xmlns:r="http://schemas.openxmlformats.org/officeDocument/2006/relationships" ref="R128" r:id="rId365"/>
    <hyperlink xmlns:r="http://schemas.openxmlformats.org/officeDocument/2006/relationships" ref="E129" r:id="rId366"/>
    <hyperlink xmlns:r="http://schemas.openxmlformats.org/officeDocument/2006/relationships" ref="E130" r:id="rId367"/>
    <hyperlink xmlns:r="http://schemas.openxmlformats.org/officeDocument/2006/relationships" ref="P130" r:id="rId368"/>
    <hyperlink xmlns:r="http://schemas.openxmlformats.org/officeDocument/2006/relationships" ref="R130" r:id="rId369"/>
    <hyperlink xmlns:r="http://schemas.openxmlformats.org/officeDocument/2006/relationships" ref="W130" r:id="rId370"/>
    <hyperlink xmlns:r="http://schemas.openxmlformats.org/officeDocument/2006/relationships" ref="E131" r:id="rId371"/>
    <hyperlink xmlns:r="http://schemas.openxmlformats.org/officeDocument/2006/relationships" ref="E132" r:id="rId372"/>
    <hyperlink xmlns:r="http://schemas.openxmlformats.org/officeDocument/2006/relationships" ref="P132" r:id="rId373"/>
    <hyperlink xmlns:r="http://schemas.openxmlformats.org/officeDocument/2006/relationships" ref="Q132" r:id="rId374"/>
    <hyperlink xmlns:r="http://schemas.openxmlformats.org/officeDocument/2006/relationships" ref="R132" r:id="rId375"/>
    <hyperlink xmlns:r="http://schemas.openxmlformats.org/officeDocument/2006/relationships" ref="W132" r:id="rId376"/>
    <hyperlink xmlns:r="http://schemas.openxmlformats.org/officeDocument/2006/relationships" ref="E133" r:id="rId377"/>
    <hyperlink xmlns:r="http://schemas.openxmlformats.org/officeDocument/2006/relationships" ref="E134" r:id="rId378"/>
    <hyperlink xmlns:r="http://schemas.openxmlformats.org/officeDocument/2006/relationships" ref="P134" r:id="rId379"/>
    <hyperlink xmlns:r="http://schemas.openxmlformats.org/officeDocument/2006/relationships" ref="R134" r:id="rId380"/>
    <hyperlink xmlns:r="http://schemas.openxmlformats.org/officeDocument/2006/relationships" ref="W134" r:id="rId381"/>
    <hyperlink xmlns:r="http://schemas.openxmlformats.org/officeDocument/2006/relationships" ref="E135" r:id="rId382"/>
    <hyperlink xmlns:r="http://schemas.openxmlformats.org/officeDocument/2006/relationships" ref="Q135" r:id="rId383"/>
    <hyperlink xmlns:r="http://schemas.openxmlformats.org/officeDocument/2006/relationships" ref="R135" r:id="rId384"/>
    <hyperlink xmlns:r="http://schemas.openxmlformats.org/officeDocument/2006/relationships" ref="W135" r:id="rId385"/>
    <hyperlink xmlns:r="http://schemas.openxmlformats.org/officeDocument/2006/relationships" ref="E137" r:id="rId386"/>
    <hyperlink xmlns:r="http://schemas.openxmlformats.org/officeDocument/2006/relationships" ref="R137" r:id="rId387"/>
    <hyperlink xmlns:r="http://schemas.openxmlformats.org/officeDocument/2006/relationships" ref="W137" r:id="rId388"/>
    <hyperlink xmlns:r="http://schemas.openxmlformats.org/officeDocument/2006/relationships" ref="E138" r:id="rId389"/>
    <hyperlink xmlns:r="http://schemas.openxmlformats.org/officeDocument/2006/relationships" ref="E139" r:id="rId390"/>
    <hyperlink xmlns:r="http://schemas.openxmlformats.org/officeDocument/2006/relationships" ref="R139" r:id="rId391"/>
    <hyperlink xmlns:r="http://schemas.openxmlformats.org/officeDocument/2006/relationships" ref="W139" r:id="rId392"/>
    <hyperlink xmlns:r="http://schemas.openxmlformats.org/officeDocument/2006/relationships" ref="E140" r:id="rId393"/>
    <hyperlink xmlns:r="http://schemas.openxmlformats.org/officeDocument/2006/relationships" ref="E141" r:id="rId394"/>
    <hyperlink xmlns:r="http://schemas.openxmlformats.org/officeDocument/2006/relationships" ref="R141" r:id="rId395"/>
    <hyperlink xmlns:r="http://schemas.openxmlformats.org/officeDocument/2006/relationships" ref="E142" r:id="rId396"/>
    <hyperlink xmlns:r="http://schemas.openxmlformats.org/officeDocument/2006/relationships" ref="E143" r:id="rId397"/>
    <hyperlink xmlns:r="http://schemas.openxmlformats.org/officeDocument/2006/relationships" ref="E144" r:id="rId398"/>
    <hyperlink xmlns:r="http://schemas.openxmlformats.org/officeDocument/2006/relationships" ref="Q144" r:id="rId399"/>
    <hyperlink xmlns:r="http://schemas.openxmlformats.org/officeDocument/2006/relationships" ref="R144" r:id="rId400"/>
    <hyperlink xmlns:r="http://schemas.openxmlformats.org/officeDocument/2006/relationships" ref="W144" r:id="rId401"/>
    <hyperlink xmlns:r="http://schemas.openxmlformats.org/officeDocument/2006/relationships" ref="E145" r:id="rId402"/>
    <hyperlink xmlns:r="http://schemas.openxmlformats.org/officeDocument/2006/relationships" ref="E146" r:id="rId403"/>
    <hyperlink xmlns:r="http://schemas.openxmlformats.org/officeDocument/2006/relationships" ref="Q146" r:id="rId404"/>
    <hyperlink xmlns:r="http://schemas.openxmlformats.org/officeDocument/2006/relationships" ref="R146" r:id="rId405"/>
    <hyperlink xmlns:r="http://schemas.openxmlformats.org/officeDocument/2006/relationships" ref="E147" r:id="rId406"/>
    <hyperlink xmlns:r="http://schemas.openxmlformats.org/officeDocument/2006/relationships" ref="R147" r:id="rId407"/>
    <hyperlink xmlns:r="http://schemas.openxmlformats.org/officeDocument/2006/relationships" ref="W147" r:id="rId408"/>
    <hyperlink xmlns:r="http://schemas.openxmlformats.org/officeDocument/2006/relationships" ref="E148" r:id="rId409"/>
    <hyperlink xmlns:r="http://schemas.openxmlformats.org/officeDocument/2006/relationships" ref="Q148" r:id="rId410"/>
    <hyperlink xmlns:r="http://schemas.openxmlformats.org/officeDocument/2006/relationships" ref="R148" r:id="rId411"/>
    <hyperlink xmlns:r="http://schemas.openxmlformats.org/officeDocument/2006/relationships" ref="W148" r:id="rId412"/>
    <hyperlink xmlns:r="http://schemas.openxmlformats.org/officeDocument/2006/relationships" ref="E149" r:id="rId413"/>
    <hyperlink xmlns:r="http://schemas.openxmlformats.org/officeDocument/2006/relationships" ref="Q149" r:id="rId414"/>
    <hyperlink xmlns:r="http://schemas.openxmlformats.org/officeDocument/2006/relationships" ref="R149" r:id="rId415"/>
    <hyperlink xmlns:r="http://schemas.openxmlformats.org/officeDocument/2006/relationships" ref="W149" r:id="rId416"/>
    <hyperlink xmlns:r="http://schemas.openxmlformats.org/officeDocument/2006/relationships" ref="E151" r:id="rId417"/>
    <hyperlink xmlns:r="http://schemas.openxmlformats.org/officeDocument/2006/relationships" ref="E152" r:id="rId418"/>
    <hyperlink xmlns:r="http://schemas.openxmlformats.org/officeDocument/2006/relationships" ref="Q152" r:id="rId419"/>
    <hyperlink xmlns:r="http://schemas.openxmlformats.org/officeDocument/2006/relationships" ref="R152" r:id="rId420"/>
    <hyperlink xmlns:r="http://schemas.openxmlformats.org/officeDocument/2006/relationships" ref="E153" r:id="rId421"/>
    <hyperlink xmlns:r="http://schemas.openxmlformats.org/officeDocument/2006/relationships" ref="E154" location="Accueil" r:id="rId422"/>
    <hyperlink xmlns:r="http://schemas.openxmlformats.org/officeDocument/2006/relationships" ref="R154" r:id="rId423"/>
    <hyperlink xmlns:r="http://schemas.openxmlformats.org/officeDocument/2006/relationships" ref="W154" r:id="rId424"/>
    <hyperlink xmlns:r="http://schemas.openxmlformats.org/officeDocument/2006/relationships" ref="E155" r:id="rId425"/>
    <hyperlink xmlns:r="http://schemas.openxmlformats.org/officeDocument/2006/relationships" ref="P155" r:id="rId426"/>
    <hyperlink xmlns:r="http://schemas.openxmlformats.org/officeDocument/2006/relationships" ref="Q155" r:id="rId427"/>
    <hyperlink xmlns:r="http://schemas.openxmlformats.org/officeDocument/2006/relationships" ref="R155" r:id="rId428"/>
    <hyperlink xmlns:r="http://schemas.openxmlformats.org/officeDocument/2006/relationships" ref="E156" r:id="rId429"/>
    <hyperlink xmlns:r="http://schemas.openxmlformats.org/officeDocument/2006/relationships" ref="W156" r:id="rId430"/>
    <hyperlink xmlns:r="http://schemas.openxmlformats.org/officeDocument/2006/relationships" ref="E157" r:id="rId431"/>
    <hyperlink xmlns:r="http://schemas.openxmlformats.org/officeDocument/2006/relationships" ref="E158" r:id="rId432"/>
    <hyperlink xmlns:r="http://schemas.openxmlformats.org/officeDocument/2006/relationships" ref="E159" r:id="rId433"/>
    <hyperlink xmlns:r="http://schemas.openxmlformats.org/officeDocument/2006/relationships" ref="Q159" r:id="rId434"/>
    <hyperlink xmlns:r="http://schemas.openxmlformats.org/officeDocument/2006/relationships" ref="R159" r:id="rId435"/>
    <hyperlink xmlns:r="http://schemas.openxmlformats.org/officeDocument/2006/relationships" ref="E160" r:id="rId436"/>
    <hyperlink xmlns:r="http://schemas.openxmlformats.org/officeDocument/2006/relationships" ref="P160" r:id="rId437"/>
    <hyperlink xmlns:r="http://schemas.openxmlformats.org/officeDocument/2006/relationships" ref="Q160" r:id="rId438"/>
    <hyperlink xmlns:r="http://schemas.openxmlformats.org/officeDocument/2006/relationships" ref="R160" r:id="rId439"/>
    <hyperlink xmlns:r="http://schemas.openxmlformats.org/officeDocument/2006/relationships" ref="W160" r:id="rId440"/>
    <hyperlink xmlns:r="http://schemas.openxmlformats.org/officeDocument/2006/relationships" ref="E161" r:id="rId441"/>
    <hyperlink xmlns:r="http://schemas.openxmlformats.org/officeDocument/2006/relationships" ref="Q161" r:id="rId442"/>
    <hyperlink xmlns:r="http://schemas.openxmlformats.org/officeDocument/2006/relationships" ref="R161" r:id="rId443"/>
    <hyperlink xmlns:r="http://schemas.openxmlformats.org/officeDocument/2006/relationships" ref="E162" r:id="rId444"/>
    <hyperlink xmlns:r="http://schemas.openxmlformats.org/officeDocument/2006/relationships" ref="P162" r:id="rId445"/>
    <hyperlink xmlns:r="http://schemas.openxmlformats.org/officeDocument/2006/relationships" ref="Q162" r:id="rId446"/>
    <hyperlink xmlns:r="http://schemas.openxmlformats.org/officeDocument/2006/relationships" ref="R162" r:id="rId447"/>
    <hyperlink xmlns:r="http://schemas.openxmlformats.org/officeDocument/2006/relationships" ref="W162" r:id="rId448"/>
    <hyperlink xmlns:r="http://schemas.openxmlformats.org/officeDocument/2006/relationships" ref="E163" r:id="rId449"/>
    <hyperlink xmlns:r="http://schemas.openxmlformats.org/officeDocument/2006/relationships" ref="D164" r:id="rId450"/>
    <hyperlink xmlns:r="http://schemas.openxmlformats.org/officeDocument/2006/relationships" ref="E164" r:id="rId451"/>
    <hyperlink xmlns:r="http://schemas.openxmlformats.org/officeDocument/2006/relationships" ref="E165" r:id="rId452"/>
    <hyperlink xmlns:r="http://schemas.openxmlformats.org/officeDocument/2006/relationships" ref="P165" r:id="rId453"/>
    <hyperlink xmlns:r="http://schemas.openxmlformats.org/officeDocument/2006/relationships" ref="Q165" r:id="rId454"/>
    <hyperlink xmlns:r="http://schemas.openxmlformats.org/officeDocument/2006/relationships" ref="R165" r:id="rId455"/>
    <hyperlink xmlns:r="http://schemas.openxmlformats.org/officeDocument/2006/relationships" ref="W165" r:id="rId456"/>
    <hyperlink xmlns:r="http://schemas.openxmlformats.org/officeDocument/2006/relationships" ref="E166" r:id="rId457"/>
    <hyperlink xmlns:r="http://schemas.openxmlformats.org/officeDocument/2006/relationships" ref="R166" r:id="rId458"/>
    <hyperlink xmlns:r="http://schemas.openxmlformats.org/officeDocument/2006/relationships" ref="W166" r:id="rId459"/>
    <hyperlink xmlns:r="http://schemas.openxmlformats.org/officeDocument/2006/relationships" ref="E167" r:id="rId460"/>
    <hyperlink xmlns:r="http://schemas.openxmlformats.org/officeDocument/2006/relationships" ref="Q167" r:id="rId461"/>
    <hyperlink xmlns:r="http://schemas.openxmlformats.org/officeDocument/2006/relationships" ref="R167" r:id="rId462"/>
    <hyperlink xmlns:r="http://schemas.openxmlformats.org/officeDocument/2006/relationships" ref="W167" r:id="rId463"/>
    <hyperlink xmlns:r="http://schemas.openxmlformats.org/officeDocument/2006/relationships" ref="E168" r:id="rId464"/>
    <hyperlink xmlns:r="http://schemas.openxmlformats.org/officeDocument/2006/relationships" ref="R168" r:id="rId465"/>
    <hyperlink xmlns:r="http://schemas.openxmlformats.org/officeDocument/2006/relationships" ref="E169" r:id="rId466"/>
    <hyperlink xmlns:r="http://schemas.openxmlformats.org/officeDocument/2006/relationships" ref="P169" r:id="rId467"/>
    <hyperlink xmlns:r="http://schemas.openxmlformats.org/officeDocument/2006/relationships" ref="R169" r:id="rId468"/>
    <hyperlink xmlns:r="http://schemas.openxmlformats.org/officeDocument/2006/relationships" ref="W169" r:id="rId469"/>
    <hyperlink xmlns:r="http://schemas.openxmlformats.org/officeDocument/2006/relationships" ref="E170" r:id="rId470"/>
    <hyperlink xmlns:r="http://schemas.openxmlformats.org/officeDocument/2006/relationships" ref="Q170" r:id="rId471"/>
    <hyperlink xmlns:r="http://schemas.openxmlformats.org/officeDocument/2006/relationships" ref="R170" r:id="rId472"/>
    <hyperlink xmlns:r="http://schemas.openxmlformats.org/officeDocument/2006/relationships" ref="W170" r:id="rId473"/>
    <hyperlink xmlns:r="http://schemas.openxmlformats.org/officeDocument/2006/relationships" ref="E171" r:id="rId474"/>
    <hyperlink xmlns:r="http://schemas.openxmlformats.org/officeDocument/2006/relationships" ref="P171" r:id="rId475"/>
    <hyperlink xmlns:r="http://schemas.openxmlformats.org/officeDocument/2006/relationships" ref="Q171" r:id="rId476"/>
    <hyperlink xmlns:r="http://schemas.openxmlformats.org/officeDocument/2006/relationships" ref="R171" r:id="rId477"/>
    <hyperlink xmlns:r="http://schemas.openxmlformats.org/officeDocument/2006/relationships" ref="W171" r:id="rId478"/>
    <hyperlink xmlns:r="http://schemas.openxmlformats.org/officeDocument/2006/relationships" ref="E172" r:id="rId479"/>
    <hyperlink xmlns:r="http://schemas.openxmlformats.org/officeDocument/2006/relationships" ref="R172" r:id="rId480"/>
    <hyperlink xmlns:r="http://schemas.openxmlformats.org/officeDocument/2006/relationships" ref="E173" r:id="rId481"/>
    <hyperlink xmlns:r="http://schemas.openxmlformats.org/officeDocument/2006/relationships" ref="P173" r:id="rId482"/>
    <hyperlink xmlns:r="http://schemas.openxmlformats.org/officeDocument/2006/relationships" ref="Q173" r:id="rId483"/>
    <hyperlink xmlns:r="http://schemas.openxmlformats.org/officeDocument/2006/relationships" ref="R173" r:id="rId484"/>
    <hyperlink xmlns:r="http://schemas.openxmlformats.org/officeDocument/2006/relationships" ref="W173" r:id="rId485"/>
    <hyperlink xmlns:r="http://schemas.openxmlformats.org/officeDocument/2006/relationships" ref="E174" r:id="rId486"/>
    <hyperlink xmlns:r="http://schemas.openxmlformats.org/officeDocument/2006/relationships" ref="P174" r:id="rId487"/>
    <hyperlink xmlns:r="http://schemas.openxmlformats.org/officeDocument/2006/relationships" ref="Q174" r:id="rId488"/>
    <hyperlink xmlns:r="http://schemas.openxmlformats.org/officeDocument/2006/relationships" ref="R174" r:id="rId489"/>
    <hyperlink xmlns:r="http://schemas.openxmlformats.org/officeDocument/2006/relationships" ref="W174" r:id="rId490"/>
    <hyperlink xmlns:r="http://schemas.openxmlformats.org/officeDocument/2006/relationships" ref="E175" r:id="rId491"/>
    <hyperlink xmlns:r="http://schemas.openxmlformats.org/officeDocument/2006/relationships" ref="P175" r:id="rId492"/>
    <hyperlink xmlns:r="http://schemas.openxmlformats.org/officeDocument/2006/relationships" ref="Q175" r:id="rId493"/>
    <hyperlink xmlns:r="http://schemas.openxmlformats.org/officeDocument/2006/relationships" ref="R175" r:id="rId494"/>
    <hyperlink xmlns:r="http://schemas.openxmlformats.org/officeDocument/2006/relationships" ref="E176" r:id="rId495"/>
    <hyperlink xmlns:r="http://schemas.openxmlformats.org/officeDocument/2006/relationships" ref="P176" r:id="rId496"/>
    <hyperlink xmlns:r="http://schemas.openxmlformats.org/officeDocument/2006/relationships" ref="R176" r:id="rId497"/>
    <hyperlink xmlns:r="http://schemas.openxmlformats.org/officeDocument/2006/relationships" ref="W176" r:id="rId498"/>
    <hyperlink xmlns:r="http://schemas.openxmlformats.org/officeDocument/2006/relationships" ref="E177" r:id="rId499"/>
    <hyperlink xmlns:r="http://schemas.openxmlformats.org/officeDocument/2006/relationships" ref="E178" r:id="rId500"/>
    <hyperlink xmlns:r="http://schemas.openxmlformats.org/officeDocument/2006/relationships" ref="P178" r:id="rId501"/>
    <hyperlink xmlns:r="http://schemas.openxmlformats.org/officeDocument/2006/relationships" ref="R178" r:id="rId502"/>
    <hyperlink xmlns:r="http://schemas.openxmlformats.org/officeDocument/2006/relationships" ref="E179" r:id="rId503"/>
    <hyperlink xmlns:r="http://schemas.openxmlformats.org/officeDocument/2006/relationships" ref="P179" r:id="rId504"/>
    <hyperlink xmlns:r="http://schemas.openxmlformats.org/officeDocument/2006/relationships" ref="R179" r:id="rId505"/>
    <hyperlink xmlns:r="http://schemas.openxmlformats.org/officeDocument/2006/relationships" ref="E180" r:id="rId506"/>
    <hyperlink xmlns:r="http://schemas.openxmlformats.org/officeDocument/2006/relationships" ref="E181" r:id="rId507"/>
    <hyperlink xmlns:r="http://schemas.openxmlformats.org/officeDocument/2006/relationships" ref="P181" r:id="rId508"/>
    <hyperlink xmlns:r="http://schemas.openxmlformats.org/officeDocument/2006/relationships" ref="R181" r:id="rId509"/>
    <hyperlink xmlns:r="http://schemas.openxmlformats.org/officeDocument/2006/relationships" ref="E182" r:id="rId510"/>
    <hyperlink xmlns:r="http://schemas.openxmlformats.org/officeDocument/2006/relationships" ref="E183" r:id="rId511"/>
    <hyperlink xmlns:r="http://schemas.openxmlformats.org/officeDocument/2006/relationships" ref="P183" r:id="rId512"/>
    <hyperlink xmlns:r="http://schemas.openxmlformats.org/officeDocument/2006/relationships" ref="Q183" r:id="rId513"/>
    <hyperlink xmlns:r="http://schemas.openxmlformats.org/officeDocument/2006/relationships" ref="R183" r:id="rId514"/>
    <hyperlink xmlns:r="http://schemas.openxmlformats.org/officeDocument/2006/relationships" ref="W183" r:id="rId515"/>
    <hyperlink xmlns:r="http://schemas.openxmlformats.org/officeDocument/2006/relationships" ref="D184" r:id="rId516"/>
    <hyperlink xmlns:r="http://schemas.openxmlformats.org/officeDocument/2006/relationships" ref="E184" r:id="rId517"/>
    <hyperlink xmlns:r="http://schemas.openxmlformats.org/officeDocument/2006/relationships" ref="P184" r:id="rId518"/>
    <hyperlink xmlns:r="http://schemas.openxmlformats.org/officeDocument/2006/relationships" ref="Q184" r:id="rId519"/>
    <hyperlink xmlns:r="http://schemas.openxmlformats.org/officeDocument/2006/relationships" ref="R184" r:id="rId520"/>
    <hyperlink xmlns:r="http://schemas.openxmlformats.org/officeDocument/2006/relationships" ref="W184" r:id="rId521"/>
    <hyperlink xmlns:r="http://schemas.openxmlformats.org/officeDocument/2006/relationships" ref="E185" r:id="rId522"/>
    <hyperlink xmlns:r="http://schemas.openxmlformats.org/officeDocument/2006/relationships" ref="R185" r:id="rId523"/>
    <hyperlink xmlns:r="http://schemas.openxmlformats.org/officeDocument/2006/relationships" ref="E186" r:id="rId524"/>
    <hyperlink xmlns:r="http://schemas.openxmlformats.org/officeDocument/2006/relationships" ref="P186" r:id="rId525"/>
    <hyperlink xmlns:r="http://schemas.openxmlformats.org/officeDocument/2006/relationships" ref="Q186" r:id="rId526"/>
    <hyperlink xmlns:r="http://schemas.openxmlformats.org/officeDocument/2006/relationships" ref="R186" r:id="rId527"/>
    <hyperlink xmlns:r="http://schemas.openxmlformats.org/officeDocument/2006/relationships" ref="E187" r:id="rId528"/>
    <hyperlink xmlns:r="http://schemas.openxmlformats.org/officeDocument/2006/relationships" ref="E188" r:id="rId529"/>
    <hyperlink xmlns:r="http://schemas.openxmlformats.org/officeDocument/2006/relationships" ref="R188" r:id="rId530"/>
    <hyperlink xmlns:r="http://schemas.openxmlformats.org/officeDocument/2006/relationships" ref="E189" r:id="rId531"/>
    <hyperlink xmlns:r="http://schemas.openxmlformats.org/officeDocument/2006/relationships" ref="R189" r:id="rId532"/>
    <hyperlink xmlns:r="http://schemas.openxmlformats.org/officeDocument/2006/relationships" ref="E190" r:id="rId533"/>
    <hyperlink xmlns:r="http://schemas.openxmlformats.org/officeDocument/2006/relationships" ref="P190" r:id="rId534"/>
    <hyperlink xmlns:r="http://schemas.openxmlformats.org/officeDocument/2006/relationships" ref="Q190" r:id="rId535"/>
    <hyperlink xmlns:r="http://schemas.openxmlformats.org/officeDocument/2006/relationships" ref="R190" r:id="rId536"/>
    <hyperlink xmlns:r="http://schemas.openxmlformats.org/officeDocument/2006/relationships" ref="W190" r:id="rId537"/>
    <hyperlink xmlns:r="http://schemas.openxmlformats.org/officeDocument/2006/relationships" ref="E191" r:id="rId538"/>
    <hyperlink xmlns:r="http://schemas.openxmlformats.org/officeDocument/2006/relationships" ref="E192" r:id="rId539"/>
    <hyperlink xmlns:r="http://schemas.openxmlformats.org/officeDocument/2006/relationships" ref="P192" r:id="rId540"/>
    <hyperlink xmlns:r="http://schemas.openxmlformats.org/officeDocument/2006/relationships" ref="Q192" r:id="rId541"/>
    <hyperlink xmlns:r="http://schemas.openxmlformats.org/officeDocument/2006/relationships" ref="R192" r:id="rId542"/>
    <hyperlink xmlns:r="http://schemas.openxmlformats.org/officeDocument/2006/relationships" ref="E193" r:id="rId543"/>
    <hyperlink xmlns:r="http://schemas.openxmlformats.org/officeDocument/2006/relationships" ref="E194" r:id="rId544"/>
    <hyperlink xmlns:r="http://schemas.openxmlformats.org/officeDocument/2006/relationships" ref="P194" r:id="rId545"/>
    <hyperlink xmlns:r="http://schemas.openxmlformats.org/officeDocument/2006/relationships" ref="Q194" r:id="rId546"/>
    <hyperlink xmlns:r="http://schemas.openxmlformats.org/officeDocument/2006/relationships" ref="R194" r:id="rId547"/>
    <hyperlink xmlns:r="http://schemas.openxmlformats.org/officeDocument/2006/relationships" ref="W194" r:id="rId548"/>
    <hyperlink xmlns:r="http://schemas.openxmlformats.org/officeDocument/2006/relationships" ref="E195" r:id="rId549"/>
    <hyperlink xmlns:r="http://schemas.openxmlformats.org/officeDocument/2006/relationships" ref="P195" r:id="rId550"/>
    <hyperlink xmlns:r="http://schemas.openxmlformats.org/officeDocument/2006/relationships" ref="Q195" r:id="rId551"/>
    <hyperlink xmlns:r="http://schemas.openxmlformats.org/officeDocument/2006/relationships" ref="R195" r:id="rId552"/>
    <hyperlink xmlns:r="http://schemas.openxmlformats.org/officeDocument/2006/relationships" ref="W195" r:id="rId553"/>
    <hyperlink xmlns:r="http://schemas.openxmlformats.org/officeDocument/2006/relationships" ref="E196" r:id="rId554"/>
    <hyperlink xmlns:r="http://schemas.openxmlformats.org/officeDocument/2006/relationships" ref="R196" r:id="rId555"/>
    <hyperlink xmlns:r="http://schemas.openxmlformats.org/officeDocument/2006/relationships" ref="W196" r:id="rId556"/>
    <hyperlink xmlns:r="http://schemas.openxmlformats.org/officeDocument/2006/relationships" ref="E197" r:id="rId557"/>
    <hyperlink xmlns:r="http://schemas.openxmlformats.org/officeDocument/2006/relationships" ref="P197" r:id="rId558"/>
    <hyperlink xmlns:r="http://schemas.openxmlformats.org/officeDocument/2006/relationships" ref="Q197" r:id="rId559"/>
    <hyperlink xmlns:r="http://schemas.openxmlformats.org/officeDocument/2006/relationships" ref="R197" r:id="rId560"/>
    <hyperlink xmlns:r="http://schemas.openxmlformats.org/officeDocument/2006/relationships" ref="W197" r:id="rId561"/>
    <hyperlink xmlns:r="http://schemas.openxmlformats.org/officeDocument/2006/relationships" ref="E198" r:id="rId562"/>
    <hyperlink xmlns:r="http://schemas.openxmlformats.org/officeDocument/2006/relationships" ref="R198" r:id="rId563"/>
    <hyperlink xmlns:r="http://schemas.openxmlformats.org/officeDocument/2006/relationships" ref="E199" r:id="rId564"/>
    <hyperlink xmlns:r="http://schemas.openxmlformats.org/officeDocument/2006/relationships" ref="E200" r:id="rId565"/>
    <hyperlink xmlns:r="http://schemas.openxmlformats.org/officeDocument/2006/relationships" ref="Q200" r:id="rId566"/>
    <hyperlink xmlns:r="http://schemas.openxmlformats.org/officeDocument/2006/relationships" ref="R200" r:id="rId567"/>
    <hyperlink xmlns:r="http://schemas.openxmlformats.org/officeDocument/2006/relationships" ref="E201" r:id="rId568"/>
    <hyperlink xmlns:r="http://schemas.openxmlformats.org/officeDocument/2006/relationships" ref="P201" r:id="rId569"/>
    <hyperlink xmlns:r="http://schemas.openxmlformats.org/officeDocument/2006/relationships" ref="Q201" r:id="rId570"/>
    <hyperlink xmlns:r="http://schemas.openxmlformats.org/officeDocument/2006/relationships" ref="R201" r:id="rId571"/>
    <hyperlink xmlns:r="http://schemas.openxmlformats.org/officeDocument/2006/relationships" ref="E202" r:id="rId572"/>
    <hyperlink xmlns:r="http://schemas.openxmlformats.org/officeDocument/2006/relationships" ref="E203" r:id="rId573"/>
    <hyperlink xmlns:r="http://schemas.openxmlformats.org/officeDocument/2006/relationships" ref="Q203" r:id="rId574"/>
    <hyperlink xmlns:r="http://schemas.openxmlformats.org/officeDocument/2006/relationships" ref="R203" r:id="rId575"/>
    <hyperlink xmlns:r="http://schemas.openxmlformats.org/officeDocument/2006/relationships" ref="E204" r:id="rId576"/>
    <hyperlink xmlns:r="http://schemas.openxmlformats.org/officeDocument/2006/relationships" ref="D205" r:id="rId577"/>
    <hyperlink xmlns:r="http://schemas.openxmlformats.org/officeDocument/2006/relationships" ref="E205" r:id="rId578"/>
    <hyperlink xmlns:r="http://schemas.openxmlformats.org/officeDocument/2006/relationships" ref="S205" r:id="rId579"/>
    <hyperlink xmlns:r="http://schemas.openxmlformats.org/officeDocument/2006/relationships" ref="U205" r:id="rId580"/>
    <hyperlink xmlns:r="http://schemas.openxmlformats.org/officeDocument/2006/relationships" ref="E206" r:id="rId581"/>
    <hyperlink xmlns:r="http://schemas.openxmlformats.org/officeDocument/2006/relationships" ref="E207" r:id="rId582"/>
    <hyperlink xmlns:r="http://schemas.openxmlformats.org/officeDocument/2006/relationships" ref="E208" r:id="rId583"/>
    <hyperlink xmlns:r="http://schemas.openxmlformats.org/officeDocument/2006/relationships" ref="P208" r:id="rId584"/>
    <hyperlink xmlns:r="http://schemas.openxmlformats.org/officeDocument/2006/relationships" ref="Q208" r:id="rId585"/>
    <hyperlink xmlns:r="http://schemas.openxmlformats.org/officeDocument/2006/relationships" ref="R208" r:id="rId586"/>
    <hyperlink xmlns:r="http://schemas.openxmlformats.org/officeDocument/2006/relationships" ref="W208" r:id="rId587"/>
    <hyperlink xmlns:r="http://schemas.openxmlformats.org/officeDocument/2006/relationships" ref="E209" r:id="rId588"/>
    <hyperlink xmlns:r="http://schemas.openxmlformats.org/officeDocument/2006/relationships" ref="P209" r:id="rId589"/>
    <hyperlink xmlns:r="http://schemas.openxmlformats.org/officeDocument/2006/relationships" ref="Q209" r:id="rId590"/>
    <hyperlink xmlns:r="http://schemas.openxmlformats.org/officeDocument/2006/relationships" ref="R209" r:id="rId591"/>
    <hyperlink xmlns:r="http://schemas.openxmlformats.org/officeDocument/2006/relationships" ref="E210" r:id="rId592"/>
    <hyperlink xmlns:r="http://schemas.openxmlformats.org/officeDocument/2006/relationships" ref="Q210" r:id="rId593"/>
    <hyperlink xmlns:r="http://schemas.openxmlformats.org/officeDocument/2006/relationships" ref="R210" r:id="rId594"/>
    <hyperlink xmlns:r="http://schemas.openxmlformats.org/officeDocument/2006/relationships" ref="W210" r:id="rId595"/>
    <hyperlink xmlns:r="http://schemas.openxmlformats.org/officeDocument/2006/relationships" ref="E211" r:id="rId596"/>
    <hyperlink xmlns:r="http://schemas.openxmlformats.org/officeDocument/2006/relationships" ref="R211" r:id="rId597"/>
    <hyperlink xmlns:r="http://schemas.openxmlformats.org/officeDocument/2006/relationships" ref="E212" r:id="rId598"/>
    <hyperlink xmlns:r="http://schemas.openxmlformats.org/officeDocument/2006/relationships" ref="R212" r:id="rId599"/>
    <hyperlink xmlns:r="http://schemas.openxmlformats.org/officeDocument/2006/relationships" ref="E213" r:id="rId600"/>
    <hyperlink xmlns:r="http://schemas.openxmlformats.org/officeDocument/2006/relationships" ref="P213" r:id="rId601"/>
    <hyperlink xmlns:r="http://schemas.openxmlformats.org/officeDocument/2006/relationships" ref="Q213" r:id="rId602"/>
    <hyperlink xmlns:r="http://schemas.openxmlformats.org/officeDocument/2006/relationships" ref="R213" r:id="rId603"/>
    <hyperlink xmlns:r="http://schemas.openxmlformats.org/officeDocument/2006/relationships" ref="E214" r:id="rId604"/>
    <hyperlink xmlns:r="http://schemas.openxmlformats.org/officeDocument/2006/relationships" ref="W214" r:id="rId605"/>
    <hyperlink xmlns:r="http://schemas.openxmlformats.org/officeDocument/2006/relationships" ref="E215" r:id="rId606"/>
    <hyperlink xmlns:r="http://schemas.openxmlformats.org/officeDocument/2006/relationships" ref="E216" r:id="rId607"/>
    <hyperlink xmlns:r="http://schemas.openxmlformats.org/officeDocument/2006/relationships" ref="R216" r:id="rId608"/>
    <hyperlink xmlns:r="http://schemas.openxmlformats.org/officeDocument/2006/relationships" ref="E217" r:id="rId609"/>
    <hyperlink xmlns:r="http://schemas.openxmlformats.org/officeDocument/2006/relationships" ref="R217" r:id="rId610"/>
    <hyperlink xmlns:r="http://schemas.openxmlformats.org/officeDocument/2006/relationships" ref="W217" r:id="rId611"/>
    <hyperlink xmlns:r="http://schemas.openxmlformats.org/officeDocument/2006/relationships" ref="E218" r:id="rId612"/>
    <hyperlink xmlns:r="http://schemas.openxmlformats.org/officeDocument/2006/relationships" ref="E219" r:id="rId613"/>
    <hyperlink xmlns:r="http://schemas.openxmlformats.org/officeDocument/2006/relationships" ref="R219" r:id="rId614"/>
    <hyperlink xmlns:r="http://schemas.openxmlformats.org/officeDocument/2006/relationships" ref="E220" r:id="rId615"/>
    <hyperlink xmlns:r="http://schemas.openxmlformats.org/officeDocument/2006/relationships" ref="E221" r:id="rId616"/>
    <hyperlink xmlns:r="http://schemas.openxmlformats.org/officeDocument/2006/relationships" ref="P221" r:id="rId617"/>
    <hyperlink xmlns:r="http://schemas.openxmlformats.org/officeDocument/2006/relationships" ref="Q221" r:id="rId618"/>
    <hyperlink xmlns:r="http://schemas.openxmlformats.org/officeDocument/2006/relationships" ref="R221" r:id="rId619"/>
    <hyperlink xmlns:r="http://schemas.openxmlformats.org/officeDocument/2006/relationships" ref="W221" r:id="rId620"/>
    <hyperlink xmlns:r="http://schemas.openxmlformats.org/officeDocument/2006/relationships" ref="E222" r:id="rId621"/>
    <hyperlink xmlns:r="http://schemas.openxmlformats.org/officeDocument/2006/relationships" ref="Q222" r:id="rId622"/>
    <hyperlink xmlns:r="http://schemas.openxmlformats.org/officeDocument/2006/relationships" ref="R222" r:id="rId623"/>
    <hyperlink xmlns:r="http://schemas.openxmlformats.org/officeDocument/2006/relationships" ref="W222" r:id="rId624"/>
    <hyperlink xmlns:r="http://schemas.openxmlformats.org/officeDocument/2006/relationships" ref="E223" r:id="rId625"/>
    <hyperlink xmlns:r="http://schemas.openxmlformats.org/officeDocument/2006/relationships" ref="Q223" r:id="rId626"/>
    <hyperlink xmlns:r="http://schemas.openxmlformats.org/officeDocument/2006/relationships" ref="R223" r:id="rId627"/>
    <hyperlink xmlns:r="http://schemas.openxmlformats.org/officeDocument/2006/relationships" ref="E224" r:id="rId628"/>
    <hyperlink xmlns:r="http://schemas.openxmlformats.org/officeDocument/2006/relationships" ref="P224" r:id="rId629"/>
    <hyperlink xmlns:r="http://schemas.openxmlformats.org/officeDocument/2006/relationships" ref="Q224" r:id="rId630"/>
    <hyperlink xmlns:r="http://schemas.openxmlformats.org/officeDocument/2006/relationships" ref="R224" r:id="rId631"/>
    <hyperlink xmlns:r="http://schemas.openxmlformats.org/officeDocument/2006/relationships" ref="E225" r:id="rId632"/>
    <hyperlink xmlns:r="http://schemas.openxmlformats.org/officeDocument/2006/relationships" ref="E226" r:id="rId633"/>
    <hyperlink xmlns:r="http://schemas.openxmlformats.org/officeDocument/2006/relationships" ref="Q226" r:id="rId634"/>
    <hyperlink xmlns:r="http://schemas.openxmlformats.org/officeDocument/2006/relationships" ref="R226" r:id="rId635"/>
    <hyperlink xmlns:r="http://schemas.openxmlformats.org/officeDocument/2006/relationships" ref="W226" r:id="rId636"/>
    <hyperlink xmlns:r="http://schemas.openxmlformats.org/officeDocument/2006/relationships" ref="E227" r:id="rId637"/>
    <hyperlink xmlns:r="http://schemas.openxmlformats.org/officeDocument/2006/relationships" ref="Q227" r:id="rId638"/>
    <hyperlink xmlns:r="http://schemas.openxmlformats.org/officeDocument/2006/relationships" ref="R227" r:id="rId639"/>
    <hyperlink xmlns:r="http://schemas.openxmlformats.org/officeDocument/2006/relationships" ref="W227" r:id="rId640"/>
    <hyperlink xmlns:r="http://schemas.openxmlformats.org/officeDocument/2006/relationships" ref="E228" r:id="rId641"/>
    <hyperlink xmlns:r="http://schemas.openxmlformats.org/officeDocument/2006/relationships" ref="Q228" r:id="rId642"/>
    <hyperlink xmlns:r="http://schemas.openxmlformats.org/officeDocument/2006/relationships" ref="R228" r:id="rId643"/>
    <hyperlink xmlns:r="http://schemas.openxmlformats.org/officeDocument/2006/relationships" ref="W228" r:id="rId644"/>
    <hyperlink xmlns:r="http://schemas.openxmlformats.org/officeDocument/2006/relationships" ref="E229" r:id="rId645"/>
    <hyperlink xmlns:r="http://schemas.openxmlformats.org/officeDocument/2006/relationships" ref="Q229" r:id="rId646"/>
    <hyperlink xmlns:r="http://schemas.openxmlformats.org/officeDocument/2006/relationships" ref="R229" r:id="rId647"/>
    <hyperlink xmlns:r="http://schemas.openxmlformats.org/officeDocument/2006/relationships" ref="E230" r:id="rId648"/>
    <hyperlink xmlns:r="http://schemas.openxmlformats.org/officeDocument/2006/relationships" ref="Q230" r:id="rId649"/>
    <hyperlink xmlns:r="http://schemas.openxmlformats.org/officeDocument/2006/relationships" ref="R230" r:id="rId650"/>
    <hyperlink xmlns:r="http://schemas.openxmlformats.org/officeDocument/2006/relationships" ref="W230" r:id="rId651"/>
    <hyperlink xmlns:r="http://schemas.openxmlformats.org/officeDocument/2006/relationships" ref="E231" r:id="rId652"/>
    <hyperlink xmlns:r="http://schemas.openxmlformats.org/officeDocument/2006/relationships" ref="P231" r:id="rId653"/>
    <hyperlink xmlns:r="http://schemas.openxmlformats.org/officeDocument/2006/relationships" ref="Q231" r:id="rId654"/>
    <hyperlink xmlns:r="http://schemas.openxmlformats.org/officeDocument/2006/relationships" ref="R231" r:id="rId655"/>
    <hyperlink xmlns:r="http://schemas.openxmlformats.org/officeDocument/2006/relationships" ref="W231" r:id="rId656"/>
    <hyperlink xmlns:r="http://schemas.openxmlformats.org/officeDocument/2006/relationships" ref="E232" r:id="rId657"/>
    <hyperlink xmlns:r="http://schemas.openxmlformats.org/officeDocument/2006/relationships" ref="R232" r:id="rId658"/>
    <hyperlink xmlns:r="http://schemas.openxmlformats.org/officeDocument/2006/relationships" ref="E233" r:id="rId659"/>
    <hyperlink xmlns:r="http://schemas.openxmlformats.org/officeDocument/2006/relationships" ref="R233" r:id="rId660"/>
    <hyperlink xmlns:r="http://schemas.openxmlformats.org/officeDocument/2006/relationships" ref="W233" r:id="rId661"/>
    <hyperlink xmlns:r="http://schemas.openxmlformats.org/officeDocument/2006/relationships" ref="E234" r:id="rId662"/>
    <hyperlink xmlns:r="http://schemas.openxmlformats.org/officeDocument/2006/relationships" ref="Q234" r:id="rId663"/>
    <hyperlink xmlns:r="http://schemas.openxmlformats.org/officeDocument/2006/relationships" ref="R234" r:id="rId664"/>
    <hyperlink xmlns:r="http://schemas.openxmlformats.org/officeDocument/2006/relationships" ref="W234" r:id="rId665"/>
    <hyperlink xmlns:r="http://schemas.openxmlformats.org/officeDocument/2006/relationships" ref="E235" r:id="rId666"/>
    <hyperlink xmlns:r="http://schemas.openxmlformats.org/officeDocument/2006/relationships" ref="Q235" r:id="rId667"/>
    <hyperlink xmlns:r="http://schemas.openxmlformats.org/officeDocument/2006/relationships" ref="R235" r:id="rId668"/>
    <hyperlink xmlns:r="http://schemas.openxmlformats.org/officeDocument/2006/relationships" ref="E236" r:id="rId669"/>
    <hyperlink xmlns:r="http://schemas.openxmlformats.org/officeDocument/2006/relationships" ref="P236" r:id="rId670"/>
    <hyperlink xmlns:r="http://schemas.openxmlformats.org/officeDocument/2006/relationships" ref="Q236" r:id="rId671"/>
    <hyperlink xmlns:r="http://schemas.openxmlformats.org/officeDocument/2006/relationships" ref="R236" r:id="rId672"/>
    <hyperlink xmlns:r="http://schemas.openxmlformats.org/officeDocument/2006/relationships" ref="E237" r:id="rId673"/>
    <hyperlink xmlns:r="http://schemas.openxmlformats.org/officeDocument/2006/relationships" ref="E238" r:id="rId674"/>
    <hyperlink xmlns:r="http://schemas.openxmlformats.org/officeDocument/2006/relationships" ref="P238" r:id="rId675"/>
    <hyperlink xmlns:r="http://schemas.openxmlformats.org/officeDocument/2006/relationships" ref="Q238" r:id="rId676"/>
    <hyperlink xmlns:r="http://schemas.openxmlformats.org/officeDocument/2006/relationships" ref="R238" r:id="rId677"/>
    <hyperlink xmlns:r="http://schemas.openxmlformats.org/officeDocument/2006/relationships" ref="E239" r:id="rId678"/>
    <hyperlink xmlns:r="http://schemas.openxmlformats.org/officeDocument/2006/relationships" ref="P239" r:id="rId679"/>
    <hyperlink xmlns:r="http://schemas.openxmlformats.org/officeDocument/2006/relationships" ref="Q239" r:id="rId680"/>
    <hyperlink xmlns:r="http://schemas.openxmlformats.org/officeDocument/2006/relationships" ref="R239" r:id="rId681"/>
    <hyperlink xmlns:r="http://schemas.openxmlformats.org/officeDocument/2006/relationships" ref="E240" r:id="rId682"/>
    <hyperlink xmlns:r="http://schemas.openxmlformats.org/officeDocument/2006/relationships" ref="E241" r:id="rId683"/>
    <hyperlink xmlns:r="http://schemas.openxmlformats.org/officeDocument/2006/relationships" ref="Q241" r:id="rId684"/>
    <hyperlink xmlns:r="http://schemas.openxmlformats.org/officeDocument/2006/relationships" ref="R241" r:id="rId685"/>
    <hyperlink xmlns:r="http://schemas.openxmlformats.org/officeDocument/2006/relationships" ref="W241" r:id="rId686"/>
    <hyperlink xmlns:r="http://schemas.openxmlformats.org/officeDocument/2006/relationships" ref="E242" r:id="rId687"/>
    <hyperlink xmlns:r="http://schemas.openxmlformats.org/officeDocument/2006/relationships" ref="R242" r:id="rId688"/>
    <hyperlink xmlns:r="http://schemas.openxmlformats.org/officeDocument/2006/relationships" ref="W242" r:id="rId689"/>
    <hyperlink xmlns:r="http://schemas.openxmlformats.org/officeDocument/2006/relationships" ref="E243" r:id="rId690"/>
    <hyperlink xmlns:r="http://schemas.openxmlformats.org/officeDocument/2006/relationships" ref="Q243" r:id="rId691"/>
    <hyperlink xmlns:r="http://schemas.openxmlformats.org/officeDocument/2006/relationships" ref="R243" r:id="rId692"/>
    <hyperlink xmlns:r="http://schemas.openxmlformats.org/officeDocument/2006/relationships" ref="W243" r:id="rId693"/>
    <hyperlink xmlns:r="http://schemas.openxmlformats.org/officeDocument/2006/relationships" ref="E244" r:id="rId694"/>
    <hyperlink xmlns:r="http://schemas.openxmlformats.org/officeDocument/2006/relationships" ref="Q244" r:id="rId695"/>
    <hyperlink xmlns:r="http://schemas.openxmlformats.org/officeDocument/2006/relationships" ref="R244" r:id="rId696"/>
    <hyperlink xmlns:r="http://schemas.openxmlformats.org/officeDocument/2006/relationships" ref="E245" r:id="rId697"/>
    <hyperlink xmlns:r="http://schemas.openxmlformats.org/officeDocument/2006/relationships" ref="Q245" r:id="rId698"/>
    <hyperlink xmlns:r="http://schemas.openxmlformats.org/officeDocument/2006/relationships" ref="R245" r:id="rId699"/>
    <hyperlink xmlns:r="http://schemas.openxmlformats.org/officeDocument/2006/relationships" ref="E246" r:id="rId700"/>
    <hyperlink xmlns:r="http://schemas.openxmlformats.org/officeDocument/2006/relationships" ref="R246" r:id="rId701"/>
    <hyperlink xmlns:r="http://schemas.openxmlformats.org/officeDocument/2006/relationships" ref="E247" r:id="rId702"/>
    <hyperlink xmlns:r="http://schemas.openxmlformats.org/officeDocument/2006/relationships" ref="Q247" r:id="rId703"/>
    <hyperlink xmlns:r="http://schemas.openxmlformats.org/officeDocument/2006/relationships" ref="R247" r:id="rId704"/>
    <hyperlink xmlns:r="http://schemas.openxmlformats.org/officeDocument/2006/relationships" ref="E248" r:id="rId705"/>
    <hyperlink xmlns:r="http://schemas.openxmlformats.org/officeDocument/2006/relationships" ref="R248" r:id="rId706"/>
    <hyperlink xmlns:r="http://schemas.openxmlformats.org/officeDocument/2006/relationships" ref="W248" r:id="rId707"/>
    <hyperlink xmlns:r="http://schemas.openxmlformats.org/officeDocument/2006/relationships" ref="E249" r:id="rId708"/>
    <hyperlink xmlns:r="http://schemas.openxmlformats.org/officeDocument/2006/relationships" ref="W249" r:id="rId709"/>
    <hyperlink xmlns:r="http://schemas.openxmlformats.org/officeDocument/2006/relationships" ref="E250" r:id="rId710"/>
    <hyperlink xmlns:r="http://schemas.openxmlformats.org/officeDocument/2006/relationships" ref="R250" r:id="rId711"/>
    <hyperlink xmlns:r="http://schemas.openxmlformats.org/officeDocument/2006/relationships" ref="W250" r:id="rId712"/>
    <hyperlink xmlns:r="http://schemas.openxmlformats.org/officeDocument/2006/relationships" ref="E251" r:id="rId713"/>
    <hyperlink xmlns:r="http://schemas.openxmlformats.org/officeDocument/2006/relationships" ref="W251" r:id="rId714"/>
    <hyperlink xmlns:r="http://schemas.openxmlformats.org/officeDocument/2006/relationships" ref="E252" r:id="rId715"/>
    <hyperlink xmlns:r="http://schemas.openxmlformats.org/officeDocument/2006/relationships" ref="P252" r:id="rId716"/>
    <hyperlink xmlns:r="http://schemas.openxmlformats.org/officeDocument/2006/relationships" ref="Q252" r:id="rId717"/>
    <hyperlink xmlns:r="http://schemas.openxmlformats.org/officeDocument/2006/relationships" ref="R252" r:id="rId718"/>
    <hyperlink xmlns:r="http://schemas.openxmlformats.org/officeDocument/2006/relationships" ref="W252" r:id="rId719"/>
    <hyperlink xmlns:r="http://schemas.openxmlformats.org/officeDocument/2006/relationships" ref="E253" r:id="rId720"/>
    <hyperlink xmlns:r="http://schemas.openxmlformats.org/officeDocument/2006/relationships" ref="E254" r:id="rId721"/>
    <hyperlink xmlns:r="http://schemas.openxmlformats.org/officeDocument/2006/relationships" ref="R254" r:id="rId722"/>
    <hyperlink xmlns:r="http://schemas.openxmlformats.org/officeDocument/2006/relationships" ref="W254" r:id="rId723"/>
    <hyperlink xmlns:r="http://schemas.openxmlformats.org/officeDocument/2006/relationships" ref="E255" r:id="rId724"/>
    <hyperlink xmlns:r="http://schemas.openxmlformats.org/officeDocument/2006/relationships" ref="E256" r:id="rId725"/>
    <hyperlink xmlns:r="http://schemas.openxmlformats.org/officeDocument/2006/relationships" ref="R256" r:id="rId726"/>
    <hyperlink xmlns:r="http://schemas.openxmlformats.org/officeDocument/2006/relationships" ref="W256" r:id="rId727"/>
    <hyperlink xmlns:r="http://schemas.openxmlformats.org/officeDocument/2006/relationships" ref="E257" r:id="rId728"/>
    <hyperlink xmlns:r="http://schemas.openxmlformats.org/officeDocument/2006/relationships" ref="P257" r:id="rId729"/>
    <hyperlink xmlns:r="http://schemas.openxmlformats.org/officeDocument/2006/relationships" ref="Q257" r:id="rId730"/>
    <hyperlink xmlns:r="http://schemas.openxmlformats.org/officeDocument/2006/relationships" ref="R257" r:id="rId731"/>
    <hyperlink xmlns:r="http://schemas.openxmlformats.org/officeDocument/2006/relationships" ref="E258" r:id="rId732"/>
    <hyperlink xmlns:r="http://schemas.openxmlformats.org/officeDocument/2006/relationships" ref="Q258" r:id="rId733"/>
    <hyperlink xmlns:r="http://schemas.openxmlformats.org/officeDocument/2006/relationships" ref="R258" r:id="rId734"/>
    <hyperlink xmlns:r="http://schemas.openxmlformats.org/officeDocument/2006/relationships" ref="W258" r:id="rId735"/>
    <hyperlink xmlns:r="http://schemas.openxmlformats.org/officeDocument/2006/relationships" ref="E259" r:id="rId736"/>
    <hyperlink xmlns:r="http://schemas.openxmlformats.org/officeDocument/2006/relationships" ref="R259" r:id="rId737"/>
    <hyperlink xmlns:r="http://schemas.openxmlformats.org/officeDocument/2006/relationships" ref="E260" r:id="rId738"/>
    <hyperlink xmlns:r="http://schemas.openxmlformats.org/officeDocument/2006/relationships" ref="P260" r:id="rId739"/>
    <hyperlink xmlns:r="http://schemas.openxmlformats.org/officeDocument/2006/relationships" ref="Q260" r:id="rId740"/>
    <hyperlink xmlns:r="http://schemas.openxmlformats.org/officeDocument/2006/relationships" ref="R260" r:id="rId741"/>
    <hyperlink xmlns:r="http://schemas.openxmlformats.org/officeDocument/2006/relationships" ref="E261" r:id="rId742"/>
    <hyperlink xmlns:r="http://schemas.openxmlformats.org/officeDocument/2006/relationships" ref="E262" r:id="rId743"/>
    <hyperlink xmlns:r="http://schemas.openxmlformats.org/officeDocument/2006/relationships" ref="Q262" r:id="rId744"/>
    <hyperlink xmlns:r="http://schemas.openxmlformats.org/officeDocument/2006/relationships" ref="R262" r:id="rId745"/>
    <hyperlink xmlns:r="http://schemas.openxmlformats.org/officeDocument/2006/relationships" ref="W262" r:id="rId746"/>
    <hyperlink xmlns:r="http://schemas.openxmlformats.org/officeDocument/2006/relationships" ref="E263" r:id="rId747"/>
    <hyperlink xmlns:r="http://schemas.openxmlformats.org/officeDocument/2006/relationships" ref="E264" r:id="rId748"/>
    <hyperlink xmlns:r="http://schemas.openxmlformats.org/officeDocument/2006/relationships" ref="P264" r:id="rId749"/>
    <hyperlink xmlns:r="http://schemas.openxmlformats.org/officeDocument/2006/relationships" ref="R264" r:id="rId750"/>
    <hyperlink xmlns:r="http://schemas.openxmlformats.org/officeDocument/2006/relationships" ref="D265" r:id="rId751"/>
    <hyperlink xmlns:r="http://schemas.openxmlformats.org/officeDocument/2006/relationships" ref="E265" r:id="rId752"/>
    <hyperlink xmlns:r="http://schemas.openxmlformats.org/officeDocument/2006/relationships" ref="P265" r:id="rId753"/>
    <hyperlink xmlns:r="http://schemas.openxmlformats.org/officeDocument/2006/relationships" ref="R265" r:id="rId754"/>
    <hyperlink xmlns:r="http://schemas.openxmlformats.org/officeDocument/2006/relationships" ref="S265" r:id="rId755"/>
    <hyperlink xmlns:r="http://schemas.openxmlformats.org/officeDocument/2006/relationships" ref="U265" r:id="rId756"/>
    <hyperlink xmlns:r="http://schemas.openxmlformats.org/officeDocument/2006/relationships" ref="W265" r:id="rId757"/>
    <hyperlink xmlns:r="http://schemas.openxmlformats.org/officeDocument/2006/relationships" ref="E266" r:id="rId758"/>
    <hyperlink xmlns:r="http://schemas.openxmlformats.org/officeDocument/2006/relationships" ref="Q266" r:id="rId759"/>
    <hyperlink xmlns:r="http://schemas.openxmlformats.org/officeDocument/2006/relationships" ref="R266" r:id="rId760"/>
    <hyperlink xmlns:r="http://schemas.openxmlformats.org/officeDocument/2006/relationships" ref="E267" r:id="rId761"/>
    <hyperlink xmlns:r="http://schemas.openxmlformats.org/officeDocument/2006/relationships" ref="Q267" r:id="rId762"/>
    <hyperlink xmlns:r="http://schemas.openxmlformats.org/officeDocument/2006/relationships" ref="R267" r:id="rId763"/>
    <hyperlink xmlns:r="http://schemas.openxmlformats.org/officeDocument/2006/relationships" ref="W267" r:id="rId764"/>
    <hyperlink xmlns:r="http://schemas.openxmlformats.org/officeDocument/2006/relationships" ref="E268" r:id="rId765"/>
    <hyperlink xmlns:r="http://schemas.openxmlformats.org/officeDocument/2006/relationships" ref="P268" r:id="rId766"/>
    <hyperlink xmlns:r="http://schemas.openxmlformats.org/officeDocument/2006/relationships" ref="Q268" r:id="rId767"/>
    <hyperlink xmlns:r="http://schemas.openxmlformats.org/officeDocument/2006/relationships" ref="R268" r:id="rId768"/>
    <hyperlink xmlns:r="http://schemas.openxmlformats.org/officeDocument/2006/relationships" ref="E269" r:id="rId769"/>
    <hyperlink xmlns:r="http://schemas.openxmlformats.org/officeDocument/2006/relationships" ref="R269" r:id="rId770"/>
    <hyperlink xmlns:r="http://schemas.openxmlformats.org/officeDocument/2006/relationships" ref="E270" r:id="rId771"/>
    <hyperlink xmlns:r="http://schemas.openxmlformats.org/officeDocument/2006/relationships" ref="R270" r:id="rId772"/>
    <hyperlink xmlns:r="http://schemas.openxmlformats.org/officeDocument/2006/relationships" ref="W270" r:id="rId773"/>
    <hyperlink xmlns:r="http://schemas.openxmlformats.org/officeDocument/2006/relationships" ref="E271" r:id="rId774"/>
    <hyperlink xmlns:r="http://schemas.openxmlformats.org/officeDocument/2006/relationships" ref="P271" r:id="rId775"/>
    <hyperlink xmlns:r="http://schemas.openxmlformats.org/officeDocument/2006/relationships" ref="Q271" r:id="rId776"/>
    <hyperlink xmlns:r="http://schemas.openxmlformats.org/officeDocument/2006/relationships" ref="R271" r:id="rId777"/>
    <hyperlink xmlns:r="http://schemas.openxmlformats.org/officeDocument/2006/relationships" ref="E272" r:id="rId778"/>
    <hyperlink xmlns:r="http://schemas.openxmlformats.org/officeDocument/2006/relationships" ref="P272" r:id="rId779"/>
    <hyperlink xmlns:r="http://schemas.openxmlformats.org/officeDocument/2006/relationships" ref="Q272" r:id="rId780"/>
    <hyperlink xmlns:r="http://schemas.openxmlformats.org/officeDocument/2006/relationships" ref="R272" r:id="rId781"/>
    <hyperlink xmlns:r="http://schemas.openxmlformats.org/officeDocument/2006/relationships" ref="E273" r:id="rId782"/>
    <hyperlink xmlns:r="http://schemas.openxmlformats.org/officeDocument/2006/relationships" ref="P273" r:id="rId783"/>
    <hyperlink xmlns:r="http://schemas.openxmlformats.org/officeDocument/2006/relationships" ref="Q273" r:id="rId784"/>
    <hyperlink xmlns:r="http://schemas.openxmlformats.org/officeDocument/2006/relationships" ref="R273" r:id="rId785"/>
    <hyperlink xmlns:r="http://schemas.openxmlformats.org/officeDocument/2006/relationships" ref="E274" r:id="rId786"/>
    <hyperlink xmlns:r="http://schemas.openxmlformats.org/officeDocument/2006/relationships" ref="P274" r:id="rId787"/>
    <hyperlink xmlns:r="http://schemas.openxmlformats.org/officeDocument/2006/relationships" ref="R274" r:id="rId788"/>
    <hyperlink xmlns:r="http://schemas.openxmlformats.org/officeDocument/2006/relationships" ref="W274" r:id="rId789"/>
  </hyperlink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N1716"/>
  <sheetViews>
    <sheetView workbookViewId="0">
      <selection activeCell="A1" sqref="A1"/>
    </sheetView>
  </sheetViews>
  <sheetFormatPr baseColWidth="8" defaultColWidth="12.6328125" defaultRowHeight="15.75" customHeight="1"/>
  <sheetData>
    <row r="1" ht="42" customHeight="1">
      <c r="A1" s="13">
        <f>IFERROR(__xludf.DUMMYFUNCTION("QUERY(IMPORTRANGE(""https://docs.google.com/spreadsheets/d/1SVCDwx4wIr1pfLcGvjNGx2xLy1NeEXw7-CuUCcKDwCk/edit?usp=sharing"", ""EdTech_Organisation_Map2025-06-18 DO NOT ALTER!A:CT""), ""SELECT Col2, Col3, Col4, Col5, Col7, Col12, Col13, Col37, Col56, Col57,"&amp;" Col59, Col61, Col62, Col65, Col70, Col71, Col72, Col77, Col78, Col79, Col80, Col81, Col82, Col83, Col97, Col98, Col92, Col93, Col94, Col95, Col96 WHERE Col4 = TRUE"", 1)"),"last_update_date")</f>
        <v/>
      </c>
      <c r="B1" s="13">
        <f>IFERROR(__xludf.DUMMYFUNCTION("""COMPUTED_VALUE"""),"org_id")</f>
        <v/>
      </c>
      <c r="C1" s="13">
        <f>IFERROR(__xludf.DUMMYFUNCTION("""COMPUTED_VALUE"""),"is_current")</f>
        <v/>
      </c>
      <c r="D1" s="13">
        <f>IFERROR(__xludf.DUMMYFUNCTION("""COMPUTED_VALUE"""),"public_name")</f>
        <v/>
      </c>
      <c r="E1" s="13">
        <f>IFERROR(__xludf.DUMMYFUNCTION("""COMPUTED_VALUE"""),"website")</f>
        <v/>
      </c>
      <c r="F1" s="13">
        <f>IFERROR(__xludf.DUMMYFUNCTION("""COMPUTED_VALUE"""),"org_desc")</f>
        <v/>
      </c>
      <c r="G1" s="13">
        <f>IFERROR(__xludf.DUMMYFUNCTION("""COMPUTED_VALUE"""),"member_association")</f>
        <v/>
      </c>
      <c r="H1" s="13">
        <f>IFERROR(__xludf.DUMMYFUNCTION("""COMPUTED_VALUE"""),"product_language")</f>
        <v/>
      </c>
      <c r="I1" s="13">
        <f>IFERROR(__xludf.DUMMYFUNCTION("""COMPUTED_VALUE"""),"email_public")</f>
        <v/>
      </c>
      <c r="J1" s="13">
        <f>IFERROR(__xludf.DUMMYFUNCTION("""COMPUTED_VALUE"""),"phone_public")</f>
        <v/>
      </c>
      <c r="K1" s="13">
        <f>IFERROR(__xludf.DUMMYFUNCTION("""COMPUTED_VALUE"""),"city")</f>
        <v/>
      </c>
      <c r="L1" s="13">
        <f>IFERROR(__xludf.DUMMYFUNCTION("""COMPUTED_VALUE"""),"country")</f>
        <v/>
      </c>
      <c r="M1" s="13">
        <f>IFERROR(__xludf.DUMMYFUNCTION("""COMPUTED_VALUE"""),"sell_countries")</f>
        <v/>
      </c>
      <c r="N1" s="13">
        <f>IFERROR(__xludf.DUMMYFUNCTION("""COMPUTED_VALUE"""),"employees_number")</f>
        <v/>
      </c>
      <c r="O1" s="13">
        <f>IFERROR(__xludf.DUMMYFUNCTION("""COMPUTED_VALUE"""),"business_model")</f>
        <v/>
      </c>
      <c r="P1" s="13">
        <f>IFERROR(__xludf.DUMMYFUNCTION("""COMPUTED_VALUE"""),"market_segments")</f>
        <v/>
      </c>
      <c r="Q1" s="13">
        <f>IFERROR(__xludf.DUMMYFUNCTION("""COMPUTED_VALUE"""),"target_audience")</f>
        <v/>
      </c>
      <c r="R1" s="13">
        <f>IFERROR(__xludf.DUMMYFUNCTION("""COMPUTED_VALUE"""),"socials_insta")</f>
        <v/>
      </c>
      <c r="S1" s="13">
        <f>IFERROR(__xludf.DUMMYFUNCTION("""COMPUTED_VALUE"""),"socials_x")</f>
        <v/>
      </c>
      <c r="T1" s="13">
        <f>IFERROR(__xludf.DUMMYFUNCTION("""COMPUTED_VALUE"""),"socials_linkedin")</f>
        <v/>
      </c>
      <c r="U1" s="13">
        <f>IFERROR(__xludf.DUMMYFUNCTION("""COMPUTED_VALUE"""),"product_1_name")</f>
        <v/>
      </c>
      <c r="V1" s="13">
        <f>IFERROR(__xludf.DUMMYFUNCTION("""COMPUTED_VALUE"""),"product_1_desc")</f>
        <v/>
      </c>
      <c r="W1" s="13">
        <f>IFERROR(__xludf.DUMMYFUNCTION("""COMPUTED_VALUE"""),"product_2_name")</f>
        <v/>
      </c>
      <c r="X1" s="13">
        <f>IFERROR(__xludf.DUMMYFUNCTION("""COMPUTED_VALUE"""),"product_2_desc")</f>
        <v/>
      </c>
      <c r="Y1" s="13">
        <f>IFERROR(__xludf.DUMMYFUNCTION("""COMPUTED_VALUE"""),"WeMap_URL")</f>
        <v/>
      </c>
      <c r="Z1" s="13">
        <f>IFERROR(__xludf.DUMMYFUNCTION("""COMPUTED_VALUE"""),"verified")</f>
        <v/>
      </c>
      <c r="AA1" s="13">
        <f>IFERROR(__xludf.DUMMYFUNCTION("""COMPUTED_VALUE"""),"partnerships")</f>
        <v/>
      </c>
      <c r="AB1" s="13">
        <f>IFERROR(__xludf.DUMMYFUNCTION("""COMPUTED_VALUE"""),"profit_status")</f>
        <v/>
      </c>
      <c r="AC1" s="13">
        <f>IFERROR(__xludf.DUMMYFUNCTION("""COMPUTED_VALUE"""),"edu_settings")</f>
        <v/>
      </c>
      <c r="AD1" s="13">
        <f>IFERROR(__xludf.DUMMYFUNCTION("""COMPUTED_VALUE"""),"edu_content")</f>
        <v/>
      </c>
      <c r="AE1" s="13">
        <f>IFERROR(__xludf.DUMMYFUNCTION("""COMPUTED_VALUE"""),"facebook")</f>
        <v/>
      </c>
      <c r="AF1" s="13" t="n"/>
      <c r="AG1" s="13" t="n"/>
      <c r="AH1" s="13" t="n"/>
      <c r="AI1" s="13" t="n"/>
      <c r="AJ1" s="13" t="n"/>
      <c r="AK1" s="13" t="n"/>
      <c r="AL1" s="13" t="n"/>
      <c r="AM1" s="13" t="n"/>
      <c r="AN1" s="13" t="n"/>
    </row>
    <row r="2" ht="42" customHeight="1">
      <c r="A2" s="14">
        <f>IFERROR(__xludf.DUMMYFUNCTION("""COMPUTED_VALUE"""),45896)</f>
        <v/>
      </c>
      <c r="B2" s="1">
        <f>IFERROR(__xludf.DUMMYFUNCTION("""COMPUTED_VALUE"""),"ORG_2164")</f>
        <v/>
      </c>
      <c r="C2" s="1">
        <f>IFERROR(__xludf.DUMMYFUNCTION("""COMPUTED_VALUE"""),TRUE)</f>
        <v/>
      </c>
      <c r="D2" s="1">
        <f>IFERROR(__xludf.DUMMYFUNCTION("""COMPUTED_VALUE"""),"ReadSpeaker")</f>
        <v/>
      </c>
      <c r="E2" s="15">
        <f>IFERROR(__xludf.DUMMYFUNCTION("""COMPUTED_VALUE"""),"www.readspeaker.com")</f>
        <v/>
      </c>
      <c r="F2" s="1">
        <f>IFERROR(__xludf.DUMMYFUNCTION("""COMPUTED_VALUE"""),"With 25 years of expertise, ReadSpeaker’s text-to-speech solutions and voice-enhanced learning tools help make content accessible and engaging for a diverse population of learners. Integrated directly in learning platforms, or as an individual tool, ReadS"&amp;"peaker provides easy-to-access and easy-to-use text to speech for any content, on any device, including assessments, assignments, STEM, OCR and quizzes. ReadSpeaker is 200+ voices in 70+ languages, working with 12000+ customers in over 70 countries. ")</f>
        <v/>
      </c>
      <c r="G2" s="1">
        <f>IFERROR(__xludf.DUMMYFUNCTION("""COMPUTED_VALUE"""),"EdTech Italia, EduTech Cluster Spain, EdTech France, AFINEF, Swedish EdTech Industry")</f>
        <v/>
      </c>
      <c r="H2" s="1">
        <f>IFERROR(__xludf.DUMMYFUNCTION("""COMPUTED_VALUE"""),"English, German, Portuguese, Czech, Finnish, Irish, Maltese, Slovak, Ukrainian, Catalan, Slovenian, Polish, Latvian, Greek, Danish, Bulgarian, Italian, French, Spanish, Dutch, Croatian, Estonian, Hungarian, Lithuanian, Romanian, Swedish")</f>
        <v/>
      </c>
      <c r="I2" s="1">
        <f>IFERROR(__xludf.DUMMYFUNCTION("""COMPUTED_VALUE"""),"contact@readspeaker.com")</f>
        <v/>
      </c>
      <c r="J2" s="1">
        <f>IFERROR(__xludf.DUMMYFUNCTION("""COMPUTED_VALUE"""),"+31306924490")</f>
        <v/>
      </c>
      <c r="K2" s="1">
        <f>IFERROR(__xludf.DUMMYFUNCTION("""COMPUTED_VALUE"""),"Driebergen-Rijsenburg")</f>
        <v/>
      </c>
      <c r="L2" s="1">
        <f>IFERROR(__xludf.DUMMYFUNCTION("""COMPUTED_VALUE"""),"Netherlands")</f>
        <v/>
      </c>
      <c r="M2" s="1">
        <f>IFERROR(__xludf.DUMMYFUNCTION("""COMPUTED_VALUE"""),"Albania, Belarus, Bulgaria, Czechia, Finland, Greece, Ireland, Latvia, Luxembourg, Monaco, North Macedonia, Portugal, Slovakia, Sweden, United Kingdom, Switzerland, Slovenia, Romania, Norway, Montenegro, Malta, Liechtenstein, Italy, Hungary, France, Denma"&amp;"rk, Croatia, Belgium, Andorra, Austria, Bosnia and Herzegovina, Republic of Cyprus, Estonia, Germany, Iceland, Kosovo, Lithuania, Moldova, Netherlands, Poland, San Marino, Spain, Turkey, Ukraine")</f>
        <v/>
      </c>
      <c r="N2" s="1">
        <f>IFERROR(__xludf.DUMMYFUNCTION("""COMPUTED_VALUE"""),"Medium (50-250 FTE employees)")</f>
        <v/>
      </c>
      <c r="O2" s="1">
        <f>IFERROR(__xludf.DUMMYFUNCTION("""COMPUTED_VALUE"""),"Business to Business, Business to Government, Business to Schools")</f>
        <v/>
      </c>
      <c r="P2" s="1">
        <f>IFERROR(__xludf.DUMMYFUNCTION("""COMPUTED_VALUE"""),"Primary Education, Secondary Education, Vocational Education and Training (VET), Higher Education, Corporate Training, Lifelong learning/Adult education, Special education")</f>
        <v/>
      </c>
      <c r="Q2" s="1">
        <f>IFERROR(__xludf.DUMMYFUNCTION("""COMPUTED_VALUE"""),"Student interfacing, Teacher interfacing, System/Administrative")</f>
        <v/>
      </c>
      <c r="R2" s="1">
        <f>IFERROR(__xludf.DUMMYFUNCTION("""COMPUTED_VALUE"""),"@readspeaker")</f>
        <v/>
      </c>
      <c r="S2" s="1" t="n"/>
      <c r="T2" s="15">
        <f>IFERROR(__xludf.DUMMYFUNCTION("""COMPUTED_VALUE"""),"https://www.linkedin.com/company/readspeaker/")</f>
        <v/>
      </c>
      <c r="U2" s="1">
        <f>IFERROR(__xludf.DUMMYFUNCTION("""COMPUTED_VALUE"""),"ReadSpeaker for Education")</f>
        <v/>
      </c>
      <c r="V2" s="1">
        <f>IFERROR(__xludf.DUMMYFUNCTION("""COMPUTED_VALUE"""),"Seamessly integrate audio across all platforms and content with one text to speech partner. ReadSpeaker allows you to add voice, text to speech (TTS) to all course content throughout your chosen platform environment and provide a suite of audio-enhanced l"&amp;"earning tools.")</f>
        <v/>
      </c>
      <c r="W2" s="1">
        <f>IFERROR(__xludf.DUMMYFUNCTION("""COMPUTED_VALUE"""),"ReadSpeaker TextAid")</f>
        <v/>
      </c>
      <c r="X2" s="1">
        <f>IFERROR(__xludf.DUMMYFUNCTION("""COMPUTED_VALUE"""),"Provide personal reading, writing and studying tools to individuals. Reads aloud any content including assessments, images, all file types and helps teachers, institutions, and parents face accessibility challenges with its reading, writing, and studying "&amp;"tools. ")</f>
        <v/>
      </c>
      <c r="Y2" s="15">
        <f>IFERROR(__xludf.DUMMYFUNCTION("""COMPUTED_VALUE"""),"https://drive.google.com/uc?export=view&amp;id=1EoXAOyrAChJ2L1USkuThFZzlJENfPDQl")</f>
        <v/>
      </c>
      <c r="Z2" s="1">
        <f>IFERROR(__xludf.DUMMYFUNCTION("""COMPUTED_VALUE"""),"Verified")</f>
        <v/>
      </c>
      <c r="AA2" s="1">
        <f>IFERROR(__xludf.DUMMYFUNCTION("""COMPUTED_VALUE"""),"Collaborations between EdTech organisations, Project consortium building, Public-private partnerships, Industry-academia partnerships")</f>
        <v/>
      </c>
      <c r="AB2" s="1">
        <f>IFERROR(__xludf.DUMMYFUNCTION("""COMPUTED_VALUE"""),"For-profit company")</f>
        <v/>
      </c>
      <c r="AC2" s="1">
        <f>IFERROR(__xludf.DUMMYFUNCTION("""COMPUTED_VALUE"""),TRUE)</f>
        <v/>
      </c>
      <c r="AD2" s="1">
        <f>IFERROR(__xludf.DUMMYFUNCTION("""COMPUTED_VALUE"""),FALSE)</f>
        <v/>
      </c>
      <c r="AE2" s="1">
        <f>IFERROR(__xludf.DUMMYFUNCTION("""COMPUTED_VALUE"""),"@readspeaker")</f>
        <v/>
      </c>
    </row>
    <row r="3" ht="42" customHeight="1">
      <c r="A3" s="14">
        <f>IFERROR(__xludf.DUMMYFUNCTION("""COMPUTED_VALUE"""),45896)</f>
        <v/>
      </c>
      <c r="B3" s="1">
        <f>IFERROR(__xludf.DUMMYFUNCTION("""COMPUTED_VALUE"""),"ORG_2187")</f>
        <v/>
      </c>
      <c r="C3" s="1">
        <f>IFERROR(__xludf.DUMMYFUNCTION("""COMPUTED_VALUE"""),TRUE)</f>
        <v/>
      </c>
      <c r="D3" s="1">
        <f>IFERROR(__xludf.DUMMYFUNCTION("""COMPUTED_VALUE"""),"RM Assessment")</f>
        <v/>
      </c>
      <c r="E3" s="15">
        <f>IFERROR(__xludf.DUMMYFUNCTION("""COMPUTED_VALUE"""),"https://www.rm.com/assessment")</f>
        <v/>
      </c>
      <c r="F3" s="1">
        <f>IFERROR(__xludf.DUMMYFUNCTION("""COMPUTED_VALUE"""),"RM has been enriching the lives of learners since 1973, harnessing the power of technology to improve educational outcomes.  Since developing its onscreen marking capability in 2005, and acquiring its end-to-end digital assessment platform in 2019, RM has"&amp;" gone on to provide its proven digital assessment technology and expertise to over 40 organisations in more than 150 countries.")</f>
        <v/>
      </c>
      <c r="G3" s="1">
        <f>IFERROR(__xludf.DUMMYFUNCTION("""COMPUTED_VALUE"""),"I'm not part of any EdTech association")</f>
        <v/>
      </c>
      <c r="H3" s="1">
        <f>IFERROR(__xludf.DUMMYFUNCTION("""COMPUTED_VALUE"""),"English, German, Portuguese, Czech, Finnish, Irish, Maltese, Slovak, Ukrainian, French, Italian, Bulgarian, Danish, Greek, Latvian, Polish, Slovenian, Catalan, Basque, Swedish, Romanian, Lithuanian, Hungarian, Estonian, Croatian, Dutch, Spanish")</f>
        <v/>
      </c>
      <c r="I3" s="1">
        <f>IFERROR(__xludf.DUMMYFUNCTION("""COMPUTED_VALUE"""),"rmcompare@rm.com")</f>
        <v/>
      </c>
      <c r="J3" s="1">
        <f>IFERROR(__xludf.DUMMYFUNCTION("""COMPUTED_VALUE"""),"+441235645316")</f>
        <v/>
      </c>
      <c r="K3" s="1">
        <f>IFERROR(__xludf.DUMMYFUNCTION("""COMPUTED_VALUE"""),"Oxford")</f>
        <v/>
      </c>
      <c r="L3" s="1">
        <f>IFERROR(__xludf.DUMMYFUNCTION("""COMPUTED_VALUE"""),"United Kingdom")</f>
        <v/>
      </c>
      <c r="M3" s="1">
        <f>IFERROR(__xludf.DUMMYFUNCTION("""COMPUTED_VALUE"""),"United Kingdom, Sweden, Switzerland, Spain, Netherlands, Malta, Ireland, Finland")</f>
        <v/>
      </c>
      <c r="N3" s="1">
        <f>IFERROR(__xludf.DUMMYFUNCTION("""COMPUTED_VALUE"""),"Large (250+ FTE employees)")</f>
        <v/>
      </c>
      <c r="O3" s="1">
        <f>IFERROR(__xludf.DUMMYFUNCTION("""COMPUTED_VALUE"""),"Business to Business, Business to Government, Business to Schools")</f>
        <v/>
      </c>
      <c r="P3" s="1">
        <f>IFERROR(__xludf.DUMMYFUNCTION("""COMPUTED_VALUE"""),"Primary Education, Secondary Education, Vocational Education and Training (VET), Higher Education, Corporate Training, Lifelong learning/Adult education, Special education")</f>
        <v/>
      </c>
      <c r="Q3" s="1">
        <f>IFERROR(__xludf.DUMMYFUNCTION("""COMPUTED_VALUE"""),"Student interfacing, Teacher interfacing, System/Administrative")</f>
        <v/>
      </c>
      <c r="R3" s="1" t="n"/>
      <c r="S3" s="1" t="n"/>
      <c r="T3" s="15">
        <f>IFERROR(__xludf.DUMMYFUNCTION("""COMPUTED_VALUE"""),"https://www.linkedin.com/company/assessment-from-rm/")</f>
        <v/>
      </c>
      <c r="U3" s="1">
        <f>IFERROR(__xludf.DUMMYFUNCTION("""COMPUTED_VALUE"""),"RM AVA")</f>
        <v/>
      </c>
      <c r="V3" s="1">
        <f>IFERROR(__xludf.DUMMYFUNCTION("""COMPUTED_VALUE"""),"Adaptive virtual accreditation platform")</f>
        <v/>
      </c>
      <c r="W3" s="1">
        <f>IFERROR(__xludf.DUMMYFUNCTION("""COMPUTED_VALUE"""),"RM Compare")</f>
        <v/>
      </c>
      <c r="X3" s="1">
        <f>IFERROR(__xludf.DUMMYFUNCTION("""COMPUTED_VALUE"""),"RM Compare is an online tool that uses Adaptive Comparative Judgement to efficiently rank, assess, and standardise various types of work, including documents, audio, and video, for educational and professional purposes.")</f>
        <v/>
      </c>
      <c r="Y3" s="15">
        <f>IFERROR(__xludf.DUMMYFUNCTION("""COMPUTED_VALUE"""),"https://drive.google.com/uc?export=view&amp;id=1swdiVSteVfaTfMJH_O2uzZ7Ux33ZPFg9")</f>
        <v/>
      </c>
      <c r="Z3" s="1">
        <f>IFERROR(__xludf.DUMMYFUNCTION("""COMPUTED_VALUE"""),"Verified")</f>
        <v/>
      </c>
      <c r="AA3" s="1">
        <f>IFERROR(__xludf.DUMMYFUNCTION("""COMPUTED_VALUE"""),"Collaborations between EdTech organisations, Project consortium building, Public-private partnerships, Industry-academia partnerships")</f>
        <v/>
      </c>
      <c r="AB3" s="1">
        <f>IFERROR(__xludf.DUMMYFUNCTION("""COMPUTED_VALUE"""),"For-profit company")</f>
        <v/>
      </c>
      <c r="AC3" s="1">
        <f>IFERROR(__xludf.DUMMYFUNCTION("""COMPUTED_VALUE"""),TRUE)</f>
        <v/>
      </c>
      <c r="AD3" s="1">
        <f>IFERROR(__xludf.DUMMYFUNCTION("""COMPUTED_VALUE"""),TRUE)</f>
        <v/>
      </c>
      <c r="AE3" s="1" t="n"/>
    </row>
    <row r="4" ht="42" customHeight="1">
      <c r="A4" s="14">
        <f>IFERROR(__xludf.DUMMYFUNCTION("""COMPUTED_VALUE"""),45895)</f>
        <v/>
      </c>
      <c r="B4" s="1">
        <f>IFERROR(__xludf.DUMMYFUNCTION("""COMPUTED_VALUE"""),"ORG_2667")</f>
        <v/>
      </c>
      <c r="C4" s="1">
        <f>IFERROR(__xludf.DUMMYFUNCTION("""COMPUTED_VALUE"""),TRUE)</f>
        <v/>
      </c>
      <c r="D4" s="1">
        <f>IFERROR(__xludf.DUMMYFUNCTION("""COMPUTED_VALUE"""),"EdTools AB")</f>
        <v/>
      </c>
      <c r="E4" s="15">
        <f>IFERROR(__xludf.DUMMYFUNCTION("""COMPUTED_VALUE"""),"mappi.ai")</f>
        <v/>
      </c>
      <c r="F4" s="1">
        <f>IFERROR(__xludf.DUMMYFUNCTION("""COMPUTED_VALUE"""),"Mappi, AI-Powered learning platform for computational subjects.  Mappi paves the way for a new study experience by acting as a teacher assistant in every students computer.  Seamless integration of learning materials, personal videos, infinite tasks allow"&amp;"s tailored learning for everybody!")</f>
        <v/>
      </c>
      <c r="G4" s="1">
        <f>IFERROR(__xludf.DUMMYFUNCTION("""COMPUTED_VALUE"""),"I'm not part of any EdTech association")</f>
        <v/>
      </c>
      <c r="H4" s="1">
        <f>IFERROR(__xludf.DUMMYFUNCTION("""COMPUTED_VALUE"""),"English, German, Spanish, Finnish, Swedish")</f>
        <v/>
      </c>
      <c r="I4" s="1">
        <f>IFERROR(__xludf.DUMMYFUNCTION("""COMPUTED_VALUE"""),"andreasahlin@mappi.ai")</f>
        <v/>
      </c>
      <c r="J4" s="1">
        <f>IFERROR(__xludf.DUMMYFUNCTION("""COMPUTED_VALUE"""),"+46729059568")</f>
        <v/>
      </c>
      <c r="K4" s="1">
        <f>IFERROR(__xludf.DUMMYFUNCTION("""COMPUTED_VALUE"""),"STOCKHOLM")</f>
        <v/>
      </c>
      <c r="L4" s="1">
        <f>IFERROR(__xludf.DUMMYFUNCTION("""COMPUTED_VALUE"""),"Sverige")</f>
        <v/>
      </c>
      <c r="M4" s="1">
        <f>IFERROR(__xludf.DUMMYFUNCTION("""COMPUTED_VALUE"""),"Sweden, United Kingdom, Spain, Germany, Norway, Denmark")</f>
        <v/>
      </c>
      <c r="N4" s="1">
        <f>IFERROR(__xludf.DUMMYFUNCTION("""COMPUTED_VALUE"""),"Micro (1-9 FTE employees)")</f>
        <v/>
      </c>
      <c r="O4" s="1">
        <f>IFERROR(__xludf.DUMMYFUNCTION("""COMPUTED_VALUE"""),"Business to Consumer, Business to Schools")</f>
        <v/>
      </c>
      <c r="P4" s="1">
        <f>IFERROR(__xludf.DUMMYFUNCTION("""COMPUTED_VALUE"""),"Secondary Education")</f>
        <v/>
      </c>
      <c r="Q4" s="1">
        <f>IFERROR(__xludf.DUMMYFUNCTION("""COMPUTED_VALUE"""),"Student interfacing, Teacher interfacing, System/Administrative")</f>
        <v/>
      </c>
      <c r="R4" s="1" t="n"/>
      <c r="S4" s="1" t="n"/>
      <c r="T4" s="15">
        <f>IFERROR(__xludf.DUMMYFUNCTION("""COMPUTED_VALUE"""),"https://www.linkedin.com/company/mappi-ab/")</f>
        <v/>
      </c>
      <c r="U4" s="1">
        <f>IFERROR(__xludf.DUMMYFUNCTION("""COMPUTED_VALUE"""),"AI Assistant")</f>
        <v/>
      </c>
      <c r="V4" s="1">
        <f>IFERROR(__xludf.DUMMYFUNCTION("""COMPUTED_VALUE"""),"AI Assistant for students within computational subjects")</f>
        <v/>
      </c>
      <c r="W4" s="1" t="n"/>
      <c r="X4" s="1" t="n"/>
      <c r="Y4" s="15">
        <f>IFERROR(__xludf.DUMMYFUNCTION("""COMPUTED_VALUE"""),"https://drive.google.com/uc?export=view&amp;id=1w0trt3dI4DobGqTes3kogcZMRJAewoEl")</f>
        <v/>
      </c>
      <c r="Z4" s="1">
        <f>IFERROR(__xludf.DUMMYFUNCTION("""COMPUTED_VALUE"""),"Verified")</f>
        <v/>
      </c>
      <c r="AA4" s="1">
        <f>IFERROR(__xludf.DUMMYFUNCTION("""COMPUTED_VALUE"""),"Collaborations between EdTech organisations, Public-private partnerships, Industry-academia partnerships")</f>
        <v/>
      </c>
      <c r="AB4" s="1">
        <f>IFERROR(__xludf.DUMMYFUNCTION("""COMPUTED_VALUE"""),"For-profit company")</f>
        <v/>
      </c>
      <c r="AC4" s="1">
        <f>IFERROR(__xludf.DUMMYFUNCTION("""COMPUTED_VALUE"""),TRUE)</f>
        <v/>
      </c>
      <c r="AD4" s="1">
        <f>IFERROR(__xludf.DUMMYFUNCTION("""COMPUTED_VALUE"""),TRUE)</f>
        <v/>
      </c>
      <c r="AE4" s="1" t="n"/>
    </row>
    <row r="5" ht="42" customHeight="1">
      <c r="A5" s="14">
        <f>IFERROR(__xludf.DUMMYFUNCTION("""COMPUTED_VALUE"""),45895)</f>
        <v/>
      </c>
      <c r="B5" s="1">
        <f>IFERROR(__xludf.DUMMYFUNCTION("""COMPUTED_VALUE"""),"ORG_2666")</f>
        <v/>
      </c>
      <c r="C5" s="1">
        <f>IFERROR(__xludf.DUMMYFUNCTION("""COMPUTED_VALUE"""),TRUE)</f>
        <v/>
      </c>
      <c r="D5" s="1">
        <f>IFERROR(__xludf.DUMMYFUNCTION("""COMPUTED_VALUE"""),"Gamifactory")</f>
        <v/>
      </c>
      <c r="E5" s="15">
        <f>IFERROR(__xludf.DUMMYFUNCTION("""COMPUTED_VALUE"""),"www.gamifactory.eu")</f>
        <v/>
      </c>
      <c r="F5" s="1">
        <f>IFERROR(__xludf.DUMMYFUNCTION("""COMPUTED_VALUE"""),"Gamifactory is a library of award winning learning and serious games. Games on Gamifactory are fun, curriculum based and supplemented by methodical guidelines for teachers and parents. ")</f>
        <v/>
      </c>
      <c r="G5" s="1">
        <f>IFERROR(__xludf.DUMMYFUNCTION("""COMPUTED_VALUE"""),"I'm not part of any EdTech association")</f>
        <v/>
      </c>
      <c r="H5" s="1">
        <f>IFERROR(__xludf.DUMMYFUNCTION("""COMPUTED_VALUE"""),"English, Slovak, Czech")</f>
        <v/>
      </c>
      <c r="I5" s="1">
        <f>IFERROR(__xludf.DUMMYFUNCTION("""COMPUTED_VALUE"""),"gamifactory@impactgames.eu")</f>
        <v/>
      </c>
      <c r="J5" s="1">
        <f>IFERROR(__xludf.DUMMYFUNCTION("""COMPUTED_VALUE"""),"+421907231768")</f>
        <v/>
      </c>
      <c r="K5" s="1">
        <f>IFERROR(__xludf.DUMMYFUNCTION("""COMPUTED_VALUE"""),"Bratislava")</f>
        <v/>
      </c>
      <c r="L5" s="1">
        <f>IFERROR(__xludf.DUMMYFUNCTION("""COMPUTED_VALUE"""),"Slovakia")</f>
        <v/>
      </c>
      <c r="M5" s="1">
        <f>IFERROR(__xludf.DUMMYFUNCTION("""COMPUTED_VALUE"""),"Slovakia, Global")</f>
        <v/>
      </c>
      <c r="N5" s="1">
        <f>IFERROR(__xludf.DUMMYFUNCTION("""COMPUTED_VALUE"""),"Small (10-49 FTE employees)")</f>
        <v/>
      </c>
      <c r="O5" s="1">
        <f>IFERROR(__xludf.DUMMYFUNCTION("""COMPUTED_VALUE"""),"Business to Government, Business to Schools, Business to Consumer")</f>
        <v/>
      </c>
      <c r="P5" s="1">
        <f>IFERROR(__xludf.DUMMYFUNCTION("""COMPUTED_VALUE"""),"Primary Education, Secondary Education")</f>
        <v/>
      </c>
      <c r="Q5" s="1">
        <f>IFERROR(__xludf.DUMMYFUNCTION("""COMPUTED_VALUE"""),"Student interfacing, Teacher interfacing")</f>
        <v/>
      </c>
      <c r="R5" s="15">
        <f>IFERROR(__xludf.DUMMYFUNCTION("""COMPUTED_VALUE"""),"https://www.instagram.com/gamifactory.sk/")</f>
        <v/>
      </c>
      <c r="S5" s="1" t="n"/>
      <c r="T5" s="15">
        <f>IFERROR(__xludf.DUMMYFUNCTION("""COMPUTED_VALUE"""),"https://www.linkedin.com/company/impact-games-eu/?viewAsMember=true")</f>
        <v/>
      </c>
      <c r="U5" s="1">
        <f>IFERROR(__xludf.DUMMYFUNCTION("""COMPUTED_VALUE"""),"Curated learning games library")</f>
        <v/>
      </c>
      <c r="V5" s="1" t="n"/>
      <c r="W5" s="1">
        <f>IFERROR(__xludf.DUMMYFUNCTION("""COMPUTED_VALUE"""),"Production and Distribution of 3rd party learning games to teachers and parents")</f>
        <v/>
      </c>
      <c r="X5" s="1" t="n"/>
      <c r="Y5" s="15">
        <f>IFERROR(__xludf.DUMMYFUNCTION("""COMPUTED_VALUE"""),"https://drive.google.com/uc?export=view&amp;id=1mHvSbKO5pkeYTqYnPAnUI8EGtyu3v3Ud")</f>
        <v/>
      </c>
      <c r="Z5" s="1">
        <f>IFERROR(__xludf.DUMMYFUNCTION("""COMPUTED_VALUE"""),"Verified")</f>
        <v/>
      </c>
      <c r="AA5" s="1">
        <f>IFERROR(__xludf.DUMMYFUNCTION("""COMPUTED_VALUE"""),"Project consortium building, Collaborations between EdTech organisations, Public-private partnerships, Industry-academia partnerships")</f>
        <v/>
      </c>
      <c r="AB5" s="1">
        <f>IFERROR(__xludf.DUMMYFUNCTION("""COMPUTED_VALUE"""),"Non-profit organisation")</f>
        <v/>
      </c>
      <c r="AC5" s="1">
        <f>IFERROR(__xludf.DUMMYFUNCTION("""COMPUTED_VALUE"""),TRUE)</f>
        <v/>
      </c>
      <c r="AD5" s="1">
        <f>IFERROR(__xludf.DUMMYFUNCTION("""COMPUTED_VALUE"""),TRUE)</f>
        <v/>
      </c>
      <c r="AE5" s="15">
        <f>IFERROR(__xludf.DUMMYFUNCTION("""COMPUTED_VALUE"""),"https://www.facebook.com/gamifactory")</f>
        <v/>
      </c>
    </row>
    <row r="6" ht="42" customHeight="1">
      <c r="A6" s="14">
        <f>IFERROR(__xludf.DUMMYFUNCTION("""COMPUTED_VALUE"""),45895)</f>
        <v/>
      </c>
      <c r="B6" s="1">
        <f>IFERROR(__xludf.DUMMYFUNCTION("""COMPUTED_VALUE"""),"ORG_2665")</f>
        <v/>
      </c>
      <c r="C6" s="1">
        <f>IFERROR(__xludf.DUMMYFUNCTION("""COMPUTED_VALUE"""),TRUE)</f>
        <v/>
      </c>
      <c r="D6" s="1">
        <f>IFERROR(__xludf.DUMMYFUNCTION("""COMPUTED_VALUE"""),"Gaptain")</f>
        <v/>
      </c>
      <c r="E6" s="15">
        <f>IFERROR(__xludf.DUMMYFUNCTION("""COMPUTED_VALUE"""),"https://www.gaptain.com")</f>
        <v/>
      </c>
      <c r="F6" s="1">
        <f>IFERROR(__xludf.DUMMYFUNCTION("""COMPUTED_VALUE"""),"Gaptain has developed Kids Centric Universe, the educational platform for schools that educate in the prevention of digital risks and healthy habits of use, enhancing the digital skills of students. Recognized in 2024 by UNESCO as 'Good educational practi"&amp;"ce', it helps teachers in generating a personalized didactic unit for the classroom.")</f>
        <v/>
      </c>
      <c r="G6" s="1">
        <f>IFERROR(__xludf.DUMMYFUNCTION("""COMPUTED_VALUE"""),"SEK Lab")</f>
        <v/>
      </c>
      <c r="H6" s="1">
        <f>IFERROR(__xludf.DUMMYFUNCTION("""COMPUTED_VALUE"""),"English, Spanish, Basque")</f>
        <v/>
      </c>
      <c r="I6" s="1">
        <f>IFERROR(__xludf.DUMMYFUNCTION("""COMPUTED_VALUE"""),"info@gaptain.com")</f>
        <v/>
      </c>
      <c r="J6" s="1">
        <f>IFERROR(__xludf.DUMMYFUNCTION("""COMPUTED_VALUE"""),"+34648281775")</f>
        <v/>
      </c>
      <c r="K6" s="1">
        <f>IFERROR(__xludf.DUMMYFUNCTION("""COMPUTED_VALUE"""),"Bilbao")</f>
        <v/>
      </c>
      <c r="L6" s="1">
        <f>IFERROR(__xludf.DUMMYFUNCTION("""COMPUTED_VALUE"""),"Spain")</f>
        <v/>
      </c>
      <c r="M6" s="1">
        <f>IFERROR(__xludf.DUMMYFUNCTION("""COMPUTED_VALUE"""),"Spain")</f>
        <v/>
      </c>
      <c r="N6" s="1">
        <f>IFERROR(__xludf.DUMMYFUNCTION("""COMPUTED_VALUE"""),"Micro (1-9 FTE employees)")</f>
        <v/>
      </c>
      <c r="O6" s="1">
        <f>IFERROR(__xludf.DUMMYFUNCTION("""COMPUTED_VALUE"""),"Business to Schools, Business to Consumer, Business to Government")</f>
        <v/>
      </c>
      <c r="P6" s="1">
        <f>IFERROR(__xludf.DUMMYFUNCTION("""COMPUTED_VALUE"""),"Primary Education, Secondary Education")</f>
        <v/>
      </c>
      <c r="Q6" s="1">
        <f>IFERROR(__xludf.DUMMYFUNCTION("""COMPUTED_VALUE"""),"Teacher interfacing")</f>
        <v/>
      </c>
      <c r="R6" s="1" t="n"/>
      <c r="S6" s="15">
        <f>IFERROR(__xludf.DUMMYFUNCTION("""COMPUTED_VALUE"""),"https://x.com/gaptain_es")</f>
        <v/>
      </c>
      <c r="T6" s="15">
        <f>IFERROR(__xludf.DUMMYFUNCTION("""COMPUTED_VALUE"""),"https://www.linkedin.com/company/gaptain/")</f>
        <v/>
      </c>
      <c r="U6" s="1">
        <f>IFERROR(__xludf.DUMMYFUNCTION("""COMPUTED_VALUE"""),"Kids Centric Universe")</f>
        <v/>
      </c>
      <c r="V6" s="1">
        <f>IFERROR(__xludf.DUMMYFUNCTION("""COMPUTED_VALUE"""),"Kids Centric Universe is the educational platform for schools that
educate in the prevention of digital risks and healthy habits of use,
enhancing the digital skills of students.")</f>
        <v/>
      </c>
      <c r="W6" s="1" t="n"/>
      <c r="X6" s="1" t="n"/>
      <c r="Y6" s="15">
        <f>IFERROR(__xludf.DUMMYFUNCTION("""COMPUTED_VALUE"""),"https://drive.google.com/uc?export=view&amp;id=1qv6JLxuvHhgUTrGgL-x15UdG-UOzxjwd")</f>
        <v/>
      </c>
      <c r="Z6" s="1">
        <f>IFERROR(__xludf.DUMMYFUNCTION("""COMPUTED_VALUE"""),"Verified")</f>
        <v/>
      </c>
      <c r="AA6" s="1">
        <f>IFERROR(__xludf.DUMMYFUNCTION("""COMPUTED_VALUE"""),"Project consortium building, Public-private partnerships, Collaborations between EdTech organisations")</f>
        <v/>
      </c>
      <c r="AB6" s="1">
        <f>IFERROR(__xludf.DUMMYFUNCTION("""COMPUTED_VALUE"""),"For-profit company")</f>
        <v/>
      </c>
      <c r="AC6" s="1">
        <f>IFERROR(__xludf.DUMMYFUNCTION("""COMPUTED_VALUE"""),TRUE)</f>
        <v/>
      </c>
      <c r="AD6" s="1">
        <f>IFERROR(__xludf.DUMMYFUNCTION("""COMPUTED_VALUE"""),TRUE)</f>
        <v/>
      </c>
      <c r="AE6" s="1" t="n"/>
    </row>
    <row r="7" ht="42" customHeight="1">
      <c r="A7" s="14">
        <f>IFERROR(__xludf.DUMMYFUNCTION("""COMPUTED_VALUE"""),45895)</f>
        <v/>
      </c>
      <c r="B7" s="1">
        <f>IFERROR(__xludf.DUMMYFUNCTION("""COMPUTED_VALUE"""),"ORG_2664")</f>
        <v/>
      </c>
      <c r="C7" s="1">
        <f>IFERROR(__xludf.DUMMYFUNCTION("""COMPUTED_VALUE"""),TRUE)</f>
        <v/>
      </c>
      <c r="D7" s="1">
        <f>IFERROR(__xludf.DUMMYFUNCTION("""COMPUTED_VALUE"""),"Ifous Edtest")</f>
        <v/>
      </c>
      <c r="E7" s="15">
        <f>IFERROR(__xludf.DUMMYFUNCTION("""COMPUTED_VALUE"""),"www.edtest.se")</f>
        <v/>
      </c>
      <c r="F7" s="1">
        <f>IFERROR(__xludf.DUMMYFUNCTION("""COMPUTED_VALUE"""),"Digital platform for testing edtech products")</f>
        <v/>
      </c>
      <c r="G7" s="1">
        <f>IFERROR(__xludf.DUMMYFUNCTION("""COMPUTED_VALUE"""),"I'm not part of any EdTech association")</f>
        <v/>
      </c>
      <c r="H7" s="1">
        <f>IFERROR(__xludf.DUMMYFUNCTION("""COMPUTED_VALUE"""),"Swedish")</f>
        <v/>
      </c>
      <c r="I7" s="1">
        <f>IFERROR(__xludf.DUMMYFUNCTION("""COMPUTED_VALUE"""),"hello@edtest.se")</f>
        <v/>
      </c>
      <c r="J7" s="1">
        <f>IFERROR(__xludf.DUMMYFUNCTION("""COMPUTED_VALUE"""),"+46763134614")</f>
        <v/>
      </c>
      <c r="K7" s="1">
        <f>IFERROR(__xludf.DUMMYFUNCTION("""COMPUTED_VALUE"""),"Stockholm")</f>
        <v/>
      </c>
      <c r="L7" s="1">
        <f>IFERROR(__xludf.DUMMYFUNCTION("""COMPUTED_VALUE"""),"Sweden")</f>
        <v/>
      </c>
      <c r="M7" s="1">
        <f>IFERROR(__xludf.DUMMYFUNCTION("""COMPUTED_VALUE"""),"Sweden")</f>
        <v/>
      </c>
      <c r="N7" s="1">
        <f>IFERROR(__xludf.DUMMYFUNCTION("""COMPUTED_VALUE"""),"Micro (1-9 FTE employees)")</f>
        <v/>
      </c>
      <c r="O7" s="1">
        <f>IFERROR(__xludf.DUMMYFUNCTION("""COMPUTED_VALUE"""),"Business to Schools, Business to Business")</f>
        <v/>
      </c>
      <c r="P7" s="1">
        <f>IFERROR(__xludf.DUMMYFUNCTION("""COMPUTED_VALUE"""),"Early childhood development (0-5 years), Primary Education, Secondary Education")</f>
        <v/>
      </c>
      <c r="Q7" s="1">
        <f>IFERROR(__xludf.DUMMYFUNCTION("""COMPUTED_VALUE"""),"Student interfacing, Teacher interfacing")</f>
        <v/>
      </c>
      <c r="R7" s="1" t="n"/>
      <c r="S7" s="1" t="n"/>
      <c r="T7" s="15">
        <f>IFERROR(__xludf.DUMMYFUNCTION("""COMPUTED_VALUE"""),"https://www.linkedin.com/company/36990427/")</f>
        <v/>
      </c>
      <c r="U7" s="1">
        <f>IFERROR(__xludf.DUMMYFUNCTION("""COMPUTED_VALUE"""),"Edtest platform")</f>
        <v/>
      </c>
      <c r="V7" s="1">
        <f>IFERROR(__xludf.DUMMYFUNCTION("""COMPUTED_VALUE"""),"Testbed for testning edtech products")</f>
        <v/>
      </c>
      <c r="W7" s="1" t="n"/>
      <c r="X7" s="1" t="n"/>
      <c r="Y7" s="15">
        <f>IFERROR(__xludf.DUMMYFUNCTION("""COMPUTED_VALUE"""),"https://drive.google.com/uc?export=view&amp;id=1cukMspgiP1DtGqXqXD7IpjKHf8trfj7J")</f>
        <v/>
      </c>
      <c r="Z7" s="1">
        <f>IFERROR(__xludf.DUMMYFUNCTION("""COMPUTED_VALUE"""),"Verified")</f>
        <v/>
      </c>
      <c r="AA7" s="1">
        <f>IFERROR(__xludf.DUMMYFUNCTION("""COMPUTED_VALUE"""),"Collaborations between EdTech organisations")</f>
        <v/>
      </c>
      <c r="AB7" s="1">
        <f>IFERROR(__xludf.DUMMYFUNCTION("""COMPUTED_VALUE"""),"Non-profit organisation")</f>
        <v/>
      </c>
      <c r="AC7" s="1">
        <f>IFERROR(__xludf.DUMMYFUNCTION("""COMPUTED_VALUE"""),TRUE)</f>
        <v/>
      </c>
      <c r="AD7" s="1">
        <f>IFERROR(__xludf.DUMMYFUNCTION("""COMPUTED_VALUE"""),FALSE)</f>
        <v/>
      </c>
      <c r="AE7" s="1" t="n"/>
    </row>
    <row r="8" ht="42" customHeight="1">
      <c r="A8" s="14">
        <f>IFERROR(__xludf.DUMMYFUNCTION("""COMPUTED_VALUE"""),45895)</f>
        <v/>
      </c>
      <c r="B8" s="1">
        <f>IFERROR(__xludf.DUMMYFUNCTION("""COMPUTED_VALUE"""),"ORG_2663")</f>
        <v/>
      </c>
      <c r="C8" s="1">
        <f>IFERROR(__xludf.DUMMYFUNCTION("""COMPUTED_VALUE"""),TRUE)</f>
        <v/>
      </c>
      <c r="D8" s="1">
        <f>IFERROR(__xludf.DUMMYFUNCTION("""COMPUTED_VALUE"""),"Ginntech AS")</f>
        <v/>
      </c>
      <c r="E8" s="15">
        <f>IFERROR(__xludf.DUMMYFUNCTION("""COMPUTED_VALUE"""),"ginntech.com")</f>
        <v/>
      </c>
      <c r="F8" s="1">
        <f>IFERROR(__xludf.DUMMYFUNCTION("""COMPUTED_VALUE"""),"Ginntech AS, founded in 2010 and based in Trondheim, develops SaaS tools tailored for higher education institutions and vocational colleges. Our flagship platform, Edutorium, simplifies study plan design, approval, publishing, and archiving through intuit"&amp;"ive workflows and dashboards. We also offers additional solutions that support data-driven management and academic administration. One such tool streamlines the creation and presentation of reading lists directly within the Edutorium platform. This soluti"&amp;"on ensures consistently updated, well-structured literature information for both internal users and students. Ginntech’s products integrate smoothly with educational sector systems, enabling efficient process automation and strategic insight. Designed to "&amp;"support academic staff, administrators, and leadership, the offerings enhance transparency, quality assurance, and operational efficiency across institutions.")</f>
        <v/>
      </c>
      <c r="G8" s="1">
        <f>IFERROR(__xludf.DUMMYFUNCTION("""COMPUTED_VALUE"""),"I'm not part of any EdTech association")</f>
        <v/>
      </c>
      <c r="H8" s="1">
        <f>IFERROR(__xludf.DUMMYFUNCTION("""COMPUTED_VALUE"""),"English, Swedish, Danish, German, Finnish, Norwegian")</f>
        <v/>
      </c>
      <c r="I8" s="1">
        <f>IFERROR(__xludf.DUMMYFUNCTION("""COMPUTED_VALUE"""),"post@ginntech.no")</f>
        <v/>
      </c>
      <c r="J8" s="1">
        <f>IFERROR(__xludf.DUMMYFUNCTION("""COMPUTED_VALUE"""),"+4790666864")</f>
        <v/>
      </c>
      <c r="K8" s="1">
        <f>IFERROR(__xludf.DUMMYFUNCTION("""COMPUTED_VALUE"""),"Trondheim")</f>
        <v/>
      </c>
      <c r="L8" s="1">
        <f>IFERROR(__xludf.DUMMYFUNCTION("""COMPUTED_VALUE"""),"Norway")</f>
        <v/>
      </c>
      <c r="M8" s="1">
        <f>IFERROR(__xludf.DUMMYFUNCTION("""COMPUTED_VALUE"""),"Denmark, Sweden, Norway")</f>
        <v/>
      </c>
      <c r="N8" s="1">
        <f>IFERROR(__xludf.DUMMYFUNCTION("""COMPUTED_VALUE"""),"Micro (1-9 FTE employees)")</f>
        <v/>
      </c>
      <c r="O8" s="1">
        <f>IFERROR(__xludf.DUMMYFUNCTION("""COMPUTED_VALUE"""),"Business to Schools")</f>
        <v/>
      </c>
      <c r="P8" s="1">
        <f>IFERROR(__xludf.DUMMYFUNCTION("""COMPUTED_VALUE"""),"Vocational Education and Training (VET), Higher Education")</f>
        <v/>
      </c>
      <c r="Q8" s="1">
        <f>IFERROR(__xludf.DUMMYFUNCTION("""COMPUTED_VALUE"""),"System/Administrative, Teacher interfacing")</f>
        <v/>
      </c>
      <c r="R8" s="1" t="n"/>
      <c r="S8" s="1" t="n"/>
      <c r="T8" s="1" t="n"/>
      <c r="U8" s="1">
        <f>IFERROR(__xludf.DUMMYFUNCTION("""COMPUTED_VALUE"""),"Edutorium")</f>
        <v/>
      </c>
      <c r="V8" s="1">
        <f>IFERROR(__xludf.DUMMYFUNCTION("""COMPUTED_VALUE"""),"Edutorium simplifies study plan design, approval, publishing, and archiving through intuitive workflows and dashboards. ")</f>
        <v/>
      </c>
      <c r="W8" s="1" t="n"/>
      <c r="X8" s="1" t="n"/>
      <c r="Y8" s="15">
        <f>IFERROR(__xludf.DUMMYFUNCTION("""COMPUTED_VALUE"""),"https://drive.google.com/uc?export=view&amp;id=1Qw2pCy3j6SVJnkQI4ylpqV81k7oquK-y")</f>
        <v/>
      </c>
      <c r="Z8" s="1">
        <f>IFERROR(__xludf.DUMMYFUNCTION("""COMPUTED_VALUE"""),"Verified")</f>
        <v/>
      </c>
      <c r="AA8" s="1">
        <f>IFERROR(__xludf.DUMMYFUNCTION("""COMPUTED_VALUE"""),"Collaborations between EdTech organisations, Industry-academia partnerships, Other, Project consortium building, Public-private partnerships")</f>
        <v/>
      </c>
      <c r="AB8" s="1">
        <f>IFERROR(__xludf.DUMMYFUNCTION("""COMPUTED_VALUE"""),"For-profit company")</f>
        <v/>
      </c>
      <c r="AC8" s="1">
        <f>IFERROR(__xludf.DUMMYFUNCTION("""COMPUTED_VALUE"""),FALSE)</f>
        <v/>
      </c>
      <c r="AD8" s="1">
        <f>IFERROR(__xludf.DUMMYFUNCTION("""COMPUTED_VALUE"""),TRUE)</f>
        <v/>
      </c>
      <c r="AE8" s="1" t="n"/>
    </row>
    <row r="9" ht="42" customHeight="1">
      <c r="A9" s="14">
        <f>IFERROR(__xludf.DUMMYFUNCTION("""COMPUTED_VALUE"""),45895)</f>
        <v/>
      </c>
      <c r="B9" s="1">
        <f>IFERROR(__xludf.DUMMYFUNCTION("""COMPUTED_VALUE"""),"ORG_2662")</f>
        <v/>
      </c>
      <c r="C9" s="1">
        <f>IFERROR(__xludf.DUMMYFUNCTION("""COMPUTED_VALUE"""),TRUE)</f>
        <v/>
      </c>
      <c r="D9" s="1">
        <f>IFERROR(__xludf.DUMMYFUNCTION("""COMPUTED_VALUE"""),"Swedish Edtech Industry")</f>
        <v/>
      </c>
      <c r="E9" s="15">
        <f>IFERROR(__xludf.DUMMYFUNCTION("""COMPUTED_VALUE"""),"https://swedishedtechindustry.se/")</f>
        <v/>
      </c>
      <c r="F9" s="1">
        <f>IFERROR(__xludf.DUMMYFUNCTION("""COMPUTED_VALUE"""),"Trade Association for Edtech Companies in Sweden")</f>
        <v/>
      </c>
      <c r="G9" s="1">
        <f>IFERROR(__xludf.DUMMYFUNCTION("""COMPUTED_VALUE"""),"Swedish EdTech Industry")</f>
        <v/>
      </c>
      <c r="H9" s="1">
        <f>IFERROR(__xludf.DUMMYFUNCTION("""COMPUTED_VALUE"""),"Swedish")</f>
        <v/>
      </c>
      <c r="I9" s="1">
        <f>IFERROR(__xludf.DUMMYFUNCTION("""COMPUTED_VALUE"""),"jannie@swedishedtechindustry.se")</f>
        <v/>
      </c>
      <c r="J9" s="1">
        <f>IFERROR(__xludf.DUMMYFUNCTION("""COMPUTED_VALUE"""),"+46702244865")</f>
        <v/>
      </c>
      <c r="K9" s="1">
        <f>IFERROR(__xludf.DUMMYFUNCTION("""COMPUTED_VALUE"""),"Stockholm")</f>
        <v/>
      </c>
      <c r="L9" s="1">
        <f>IFERROR(__xludf.DUMMYFUNCTION("""COMPUTED_VALUE"""),"Sverige")</f>
        <v/>
      </c>
      <c r="M9" s="1">
        <f>IFERROR(__xludf.DUMMYFUNCTION("""COMPUTED_VALUE"""),"Sweden")</f>
        <v/>
      </c>
      <c r="N9" s="1">
        <f>IFERROR(__xludf.DUMMYFUNCTION("""COMPUTED_VALUE"""),"Micro (1-9 FTE employees)")</f>
        <v/>
      </c>
      <c r="O9" s="1">
        <f>IFERROR(__xludf.DUMMYFUNCTION("""COMPUTED_VALUE"""),"Business to Government")</f>
        <v/>
      </c>
      <c r="P9" s="1">
        <f>IFERROR(__xludf.DUMMYFUNCTION("""COMPUTED_VALUE"""),"Early childhood development (0-5 years), Primary Education, Secondary Education, Vocational Education and Training (VET), Higher Education, Corporate Training, Lifelong learning/Adult education, Special education")</f>
        <v/>
      </c>
      <c r="Q9" s="1">
        <f>IFERROR(__xludf.DUMMYFUNCTION("""COMPUTED_VALUE"""),"Other")</f>
        <v/>
      </c>
      <c r="R9" s="1" t="n"/>
      <c r="S9" s="1" t="n"/>
      <c r="T9" s="15">
        <f>IFERROR(__xludf.DUMMYFUNCTION("""COMPUTED_VALUE"""),"https://www.linkedin.com/company/16192020")</f>
        <v/>
      </c>
      <c r="U9" s="15">
        <f>IFERROR(__xludf.DUMMYFUNCTION("""COMPUTED_VALUE"""),"Edtechkartan.se")</f>
        <v/>
      </c>
      <c r="V9" s="1">
        <f>IFERROR(__xludf.DUMMYFUNCTION("""COMPUTED_VALUE"""),"We are a trade association- do not have products/services to market")</f>
        <v/>
      </c>
      <c r="W9" s="1">
        <f>IFERROR(__xludf.DUMMYFUNCTION("""COMPUTED_VALUE"""),"We are a trade association- do not have products/services to market")</f>
        <v/>
      </c>
      <c r="X9" s="1">
        <f>IFERROR(__xludf.DUMMYFUNCTION("""COMPUTED_VALUE"""),"We are a trade association- do not have products/services to market")</f>
        <v/>
      </c>
      <c r="Y9" s="15">
        <f>IFERROR(__xludf.DUMMYFUNCTION("""COMPUTED_VALUE"""),"https://drive.google.com/uc?export=view&amp;id=1Gmx6dOrRjsFoS8t19Icqm0hQBJj1ywwv")</f>
        <v/>
      </c>
      <c r="Z9" s="1">
        <f>IFERROR(__xludf.DUMMYFUNCTION("""COMPUTED_VALUE"""),"Verified")</f>
        <v/>
      </c>
      <c r="AA9" s="1">
        <f>IFERROR(__xludf.DUMMYFUNCTION("""COMPUTED_VALUE"""),"Collaborations between EdTech organisations, Project consortium building, Public-private partnerships, Industry-academia partnerships")</f>
        <v/>
      </c>
      <c r="AB9" s="1">
        <f>IFERROR(__xludf.DUMMYFUNCTION("""COMPUTED_VALUE"""),"Non-profit organisation")</f>
        <v/>
      </c>
      <c r="AC9" s="1">
        <f>IFERROR(__xludf.DUMMYFUNCTION("""COMPUTED_VALUE"""),FALSE)</f>
        <v/>
      </c>
      <c r="AD9" s="1">
        <f>IFERROR(__xludf.DUMMYFUNCTION("""COMPUTED_VALUE"""),TRUE)</f>
        <v/>
      </c>
      <c r="AE9" s="1" t="n"/>
    </row>
    <row r="10" ht="42" customHeight="1">
      <c r="A10" s="14">
        <f>IFERROR(__xludf.DUMMYFUNCTION("""COMPUTED_VALUE"""),45895)</f>
        <v/>
      </c>
      <c r="B10" s="1">
        <f>IFERROR(__xludf.DUMMYFUNCTION("""COMPUTED_VALUE"""),"ORG_2661")</f>
        <v/>
      </c>
      <c r="C10" s="1">
        <f>IFERROR(__xludf.DUMMYFUNCTION("""COMPUTED_VALUE"""),TRUE)</f>
        <v/>
      </c>
      <c r="D10" s="1">
        <f>IFERROR(__xludf.DUMMYFUNCTION("""COMPUTED_VALUE"""),"Seidor")</f>
        <v/>
      </c>
      <c r="E10" s="15">
        <f>IFERROR(__xludf.DUMMYFUNCTION("""COMPUTED_VALUE"""),"www.seidor.es")</f>
        <v/>
      </c>
      <c r="F10" s="1">
        <f>IFERROR(__xludf.DUMMYFUNCTION("""COMPUTED_VALUE"""),"A large system integrator and ICT consultancy company, with an specific added value proposition for the Education Sector.")</f>
        <v/>
      </c>
      <c r="G10" s="1">
        <f>IFERROR(__xludf.DUMMYFUNCTION("""COMPUTED_VALUE"""),"EduTech Cluster Spain")</f>
        <v/>
      </c>
      <c r="H10" s="1">
        <f>IFERROR(__xludf.DUMMYFUNCTION("""COMPUTED_VALUE"""),"English, Spanish, French, German, Italian, Dutch, Catalan")</f>
        <v/>
      </c>
      <c r="I10" s="1">
        <f>IFERROR(__xludf.DUMMYFUNCTION("""COMPUTED_VALUE"""),"bborrell@seidor.com")</f>
        <v/>
      </c>
      <c r="J10" s="1">
        <f>IFERROR(__xludf.DUMMYFUNCTION("""COMPUTED_VALUE"""),"+33646139704")</f>
        <v/>
      </c>
      <c r="K10" s="1">
        <f>IFERROR(__xludf.DUMMYFUNCTION("""COMPUTED_VALUE"""),"España")</f>
        <v/>
      </c>
      <c r="L10" s="1">
        <f>IFERROR(__xludf.DUMMYFUNCTION("""COMPUTED_VALUE"""),"Spain")</f>
        <v/>
      </c>
      <c r="M10" s="1">
        <f>IFERROR(__xludf.DUMMYFUNCTION("""COMPUTED_VALUE"""),"Andorra, Italy, Spain")</f>
        <v/>
      </c>
      <c r="N10" s="1">
        <f>IFERROR(__xludf.DUMMYFUNCTION("""COMPUTED_VALUE"""),"Large (250+ FTE employees)")</f>
        <v/>
      </c>
      <c r="O10" s="1">
        <f>IFERROR(__xludf.DUMMYFUNCTION("""COMPUTED_VALUE"""),"Business to Business, Business to Government")</f>
        <v/>
      </c>
      <c r="P10" s="1">
        <f>IFERROR(__xludf.DUMMYFUNCTION("""COMPUTED_VALUE"""),"Higher Education, Corporate Training")</f>
        <v/>
      </c>
      <c r="Q10" s="1">
        <f>IFERROR(__xludf.DUMMYFUNCTION("""COMPUTED_VALUE"""),"Student interfacing, Teacher interfacing, System/Administrative")</f>
        <v/>
      </c>
      <c r="R10" s="1" t="n"/>
      <c r="S10" s="1" t="n"/>
      <c r="T10" s="1" t="n"/>
      <c r="U10" s="1">
        <f>IFERROR(__xludf.DUMMYFUNCTION("""COMPUTED_VALUE"""),"Student information Systems ")</f>
        <v/>
      </c>
      <c r="V10" s="1">
        <f>IFERROR(__xludf.DUMMYFUNCTION("""COMPUTED_VALUE"""),"Seidor has a broad knowledge of the main education processes with specific consultants coming from the education sector that combined with the capacities of a large systems integrator, allow to us to implement specific SIS solutions comimg from solid prov"&amp;"iders like Microsoft or Salesforce.")</f>
        <v/>
      </c>
      <c r="W10" s="1">
        <f>IFERROR(__xludf.DUMMYFUNCTION("""COMPUTED_VALUE"""),"LMS implementation")</f>
        <v/>
      </c>
      <c r="X10" s="1">
        <f>IFERROR(__xludf.DUMMYFUNCTION("""COMPUTED_VALUE"""),"Seidor has a broad knowledge of the main education processes with specific consultants skilled in differents LMS plattforms (Moodle, OPenLMS, Blackboard, Cornerstone, SAP Sucees Factors) that allow to us to implement specific LMS solutions ")</f>
        <v/>
      </c>
      <c r="Y10" s="15">
        <f>IFERROR(__xludf.DUMMYFUNCTION("""COMPUTED_VALUE"""),"https://drive.google.com/uc?export=view&amp;id=1P0Vufy_g3qa4ULHMIUOn058E_3962hMh")</f>
        <v/>
      </c>
      <c r="Z10" s="1">
        <f>IFERROR(__xludf.DUMMYFUNCTION("""COMPUTED_VALUE"""),"Verified")</f>
        <v/>
      </c>
      <c r="AA10" s="1">
        <f>IFERROR(__xludf.DUMMYFUNCTION("""COMPUTED_VALUE"""),"Public-private partnerships, Project consortium building, Collaborations between EdTech organisations")</f>
        <v/>
      </c>
      <c r="AB10" s="1">
        <f>IFERROR(__xludf.DUMMYFUNCTION("""COMPUTED_VALUE"""),"For-profit company")</f>
        <v/>
      </c>
      <c r="AC10" s="1">
        <f>IFERROR(__xludf.DUMMYFUNCTION("""COMPUTED_VALUE"""),TRUE)</f>
        <v/>
      </c>
      <c r="AD10" s="1">
        <f>IFERROR(__xludf.DUMMYFUNCTION("""COMPUTED_VALUE"""),FALSE)</f>
        <v/>
      </c>
      <c r="AE10" s="1" t="n"/>
    </row>
    <row r="11" ht="42" customHeight="1">
      <c r="A11" s="14">
        <f>IFERROR(__xludf.DUMMYFUNCTION("""COMPUTED_VALUE"""),45895)</f>
        <v/>
      </c>
      <c r="B11" s="1">
        <f>IFERROR(__xludf.DUMMYFUNCTION("""COMPUTED_VALUE"""),"ORG_2660")</f>
        <v/>
      </c>
      <c r="C11" s="1">
        <f>IFERROR(__xludf.DUMMYFUNCTION("""COMPUTED_VALUE"""),TRUE)</f>
        <v/>
      </c>
      <c r="D11" s="1">
        <f>IFERROR(__xludf.DUMMYFUNCTION("""COMPUTED_VALUE"""),"Climb ")</f>
        <v/>
      </c>
      <c r="E11" s="15">
        <f>IFERROR(__xludf.DUMMYFUNCTION("""COMPUTED_VALUE"""),"https://www.climb2learn.com/")</f>
        <v/>
      </c>
      <c r="F11" s="1">
        <f>IFERROR(__xludf.DUMMYFUNCTION("""COMPUTED_VALUE"""),"Climb uses technology tools to enhance the effectiveness of digital training.   Develop an interactive simulation for hands-on practice, leveraging game-based learning dynamics.   CLIMB uses a simple and concrete approach:  - Virtual world for the course "&amp;"- AI-based characters to interact with - AI trained with experts from the industry")</f>
        <v/>
      </c>
      <c r="G11" s="1">
        <f>IFERROR(__xludf.DUMMYFUNCTION("""COMPUTED_VALUE"""),"I'm not part of any EdTech association")</f>
        <v/>
      </c>
      <c r="H11" s="1">
        <f>IFERROR(__xludf.DUMMYFUNCTION("""COMPUTED_VALUE"""),"English")</f>
        <v/>
      </c>
      <c r="I11" s="1">
        <f>IFERROR(__xludf.DUMMYFUNCTION("""COMPUTED_VALUE"""),"m.perucca@climb2learn.com")</f>
        <v/>
      </c>
      <c r="J11" s="1">
        <f>IFERROR(__xludf.DUMMYFUNCTION("""COMPUTED_VALUE"""),"+393396281058")</f>
        <v/>
      </c>
      <c r="K11" s="1">
        <f>IFERROR(__xludf.DUMMYFUNCTION("""COMPUTED_VALUE"""),"Turin")</f>
        <v/>
      </c>
      <c r="L11" s="1">
        <f>IFERROR(__xludf.DUMMYFUNCTION("""COMPUTED_VALUE"""),"Italy")</f>
        <v/>
      </c>
      <c r="M11" s="1">
        <f>IFERROR(__xludf.DUMMYFUNCTION("""COMPUTED_VALUE"""),"Italy, San Marino")</f>
        <v/>
      </c>
      <c r="N11" s="1">
        <f>IFERROR(__xludf.DUMMYFUNCTION("""COMPUTED_VALUE"""),"Micro (1-9 FTE employees)")</f>
        <v/>
      </c>
      <c r="O11" s="1">
        <f>IFERROR(__xludf.DUMMYFUNCTION("""COMPUTED_VALUE"""),"Business to Business")</f>
        <v/>
      </c>
      <c r="P11" s="1">
        <f>IFERROR(__xludf.DUMMYFUNCTION("""COMPUTED_VALUE"""),"Corporate Training")</f>
        <v/>
      </c>
      <c r="Q11" s="1">
        <f>IFERROR(__xludf.DUMMYFUNCTION("""COMPUTED_VALUE"""),"Student interfacing")</f>
        <v/>
      </c>
      <c r="R11" s="1" t="n"/>
      <c r="S11" s="1" t="n"/>
      <c r="T11" s="15">
        <f>IFERROR(__xludf.DUMMYFUNCTION("""COMPUTED_VALUE"""),"https://www.linkedin.com/company/climb2learn/posts/?feedView=all")</f>
        <v/>
      </c>
      <c r="U11" s="1">
        <f>IFERROR(__xludf.DUMMYFUNCTION("""COMPUTED_VALUE"""),"Game as a service platform ")</f>
        <v/>
      </c>
      <c r="V11" s="1">
        <f>IFERROR(__xludf.DUMMYFUNCTION("""COMPUTED_VALUE"""),"We utilize a Retrieval-Augmented Generation (RAG) model integrated with Generative AI.
This enables our platform to create realistic NPCs (Non-Playable Characters) and adaptive challenges, making each scenario rich and contextually relevant.
")</f>
        <v/>
      </c>
      <c r="W11" s="1" t="n"/>
      <c r="X11" s="1" t="n"/>
      <c r="Y11" s="15">
        <f>IFERROR(__xludf.DUMMYFUNCTION("""COMPUTED_VALUE"""),"https://drive.google.com/uc?export=view&amp;id=1r5ES3ZwlkS74wDjc4NLkLGPnQxGvZ08c")</f>
        <v/>
      </c>
      <c r="Z11" s="1">
        <f>IFERROR(__xludf.DUMMYFUNCTION("""COMPUTED_VALUE"""),"Verified")</f>
        <v/>
      </c>
      <c r="AA11" s="1">
        <f>IFERROR(__xludf.DUMMYFUNCTION("""COMPUTED_VALUE"""),"Collaborations between EdTech organisations, Public-private partnerships, Project consortium building")</f>
        <v/>
      </c>
      <c r="AB11" s="1">
        <f>IFERROR(__xludf.DUMMYFUNCTION("""COMPUTED_VALUE"""),"For-profit company")</f>
        <v/>
      </c>
      <c r="AC11" s="1">
        <f>IFERROR(__xludf.DUMMYFUNCTION("""COMPUTED_VALUE"""),TRUE)</f>
        <v/>
      </c>
      <c r="AD11" s="1">
        <f>IFERROR(__xludf.DUMMYFUNCTION("""COMPUTED_VALUE"""),TRUE)</f>
        <v/>
      </c>
      <c r="AE11" s="1" t="n"/>
    </row>
    <row r="12" ht="42" customHeight="1">
      <c r="A12" s="14">
        <f>IFERROR(__xludf.DUMMYFUNCTION("""COMPUTED_VALUE"""),45895)</f>
        <v/>
      </c>
      <c r="B12" s="1">
        <f>IFERROR(__xludf.DUMMYFUNCTION("""COMPUTED_VALUE"""),"ORG_1626")</f>
        <v/>
      </c>
      <c r="C12" s="1">
        <f>IFERROR(__xludf.DUMMYFUNCTION("""COMPUTED_VALUE"""),TRUE)</f>
        <v/>
      </c>
      <c r="D12" s="1">
        <f>IFERROR(__xludf.DUMMYFUNCTION("""COMPUTED_VALUE"""),"GLIFING ")</f>
        <v/>
      </c>
      <c r="E12" s="15">
        <f>IFERROR(__xludf.DUMMYFUNCTION("""COMPUTED_VALUE"""),"www.glifing.com")</f>
        <v/>
      </c>
      <c r="F12" s="1">
        <f>IFERROR(__xludf.DUMMYFUNCTION("""COMPUTED_VALUE"""),"Evidence-based platform that trains reading skills through games, improving comprehension, speed, and early detection of reading difficulties. Used by 200,000+ users, 800 learning centers, and 750 schools.")</f>
        <v/>
      </c>
      <c r="G12" s="1">
        <f>IFERROR(__xludf.DUMMYFUNCTION("""COMPUTED_VALUE"""),"EduTech Cluster Spain")</f>
        <v/>
      </c>
      <c r="H12" s="1">
        <f>IFERROR(__xludf.DUMMYFUNCTION("""COMPUTED_VALUE"""),"Spanish, Catalan, Basque")</f>
        <v/>
      </c>
      <c r="I12" s="1">
        <f>IFERROR(__xludf.DUMMYFUNCTION("""COMPUTED_VALUE"""),"hola@glifing.com")</f>
        <v/>
      </c>
      <c r="J12" s="1">
        <f>IFERROR(__xludf.DUMMYFUNCTION("""COMPUTED_VALUE"""),"+34931646711")</f>
        <v/>
      </c>
      <c r="K12" s="1">
        <f>IFERROR(__xludf.DUMMYFUNCTION("""COMPUTED_VALUE"""),"Barcelona")</f>
        <v/>
      </c>
      <c r="L12" s="1">
        <f>IFERROR(__xludf.DUMMYFUNCTION("""COMPUTED_VALUE"""),"Spain")</f>
        <v/>
      </c>
      <c r="M12" s="1">
        <f>IFERROR(__xludf.DUMMYFUNCTION("""COMPUTED_VALUE"""),"Andorra, Belgium, Spain")</f>
        <v/>
      </c>
      <c r="N12" s="1">
        <f>IFERROR(__xludf.DUMMYFUNCTION("""COMPUTED_VALUE"""),"Small (10-49 FTE employees)")</f>
        <v/>
      </c>
      <c r="O12" s="1">
        <f>IFERROR(__xludf.DUMMYFUNCTION("""COMPUTED_VALUE"""),"Business to Business, Business to Consumer, Business to Government, Business to Schools")</f>
        <v/>
      </c>
      <c r="P12" s="1">
        <f>IFERROR(__xludf.DUMMYFUNCTION("""COMPUTED_VALUE"""),"Early childhood development (0-5 years), Primary Education, Secondary Education")</f>
        <v/>
      </c>
      <c r="Q12" s="1">
        <f>IFERROR(__xludf.DUMMYFUNCTION("""COMPUTED_VALUE"""),"Student interfacing, Teacher interfacing")</f>
        <v/>
      </c>
      <c r="R12" s="15">
        <f>IFERROR(__xludf.DUMMYFUNCTION("""COMPUTED_VALUE"""),"https://www.instagram.com/glifing/")</f>
        <v/>
      </c>
      <c r="S12" s="15">
        <f>IFERROR(__xludf.DUMMYFUNCTION("""COMPUTED_VALUE"""),"https://x.com/glifing")</f>
        <v/>
      </c>
      <c r="T12" s="15">
        <f>IFERROR(__xludf.DUMMYFUNCTION("""COMPUTED_VALUE"""),"https://www.linkedin.com/company/glifing/posts/?feedView=all")</f>
        <v/>
      </c>
      <c r="U12" s="1">
        <f>IFERROR(__xludf.DUMMYFUNCTION("""COMPUTED_VALUE"""),"GLIFING")</f>
        <v/>
      </c>
      <c r="V12" s="1">
        <f>IFERROR(__xludf.DUMMYFUNCTION("""COMPUTED_VALUE"""),"An evidence-based reading training method for professionals and families, designed to improve reading speed, comprehension, and early detection of reading difficulties through engaging, game-based practice.")</f>
        <v/>
      </c>
      <c r="W12" s="1">
        <f>IFERROR(__xludf.DUMMYFUNCTION("""COMPUTED_VALUE"""),"GLIFAULA")</f>
        <v/>
      </c>
      <c r="X12" s="1">
        <f>IFERROR(__xludf.DUMMYFUNCTION("""COMPUTED_VALUE"""),"A school-adapted version of Glifing that combines classroom group activities with individualized reading training, allowing each student to practice at their own level while teachers monitor progress and support literacy development.")</f>
        <v/>
      </c>
      <c r="Y12" s="15">
        <f>IFERROR(__xludf.DUMMYFUNCTION("""COMPUTED_VALUE"""),"https://drive.google.com/uc?export=view&amp;id=1BP-iD8dOWKxZ0rR_R_FUp6iO3_mg7QMK")</f>
        <v/>
      </c>
      <c r="Z12" s="1">
        <f>IFERROR(__xludf.DUMMYFUNCTION("""COMPUTED_VALUE"""),"Verified")</f>
        <v/>
      </c>
      <c r="AA12" s="1">
        <f>IFERROR(__xludf.DUMMYFUNCTION("""COMPUTED_VALUE"""),"Collaborations between EdTech organisations, Industry-academia partnerships, Public-private partnerships")</f>
        <v/>
      </c>
      <c r="AB12" s="1">
        <f>IFERROR(__xludf.DUMMYFUNCTION("""COMPUTED_VALUE"""),"For-profit company")</f>
        <v/>
      </c>
      <c r="AC12" s="1">
        <f>IFERROR(__xludf.DUMMYFUNCTION("""COMPUTED_VALUE"""),TRUE)</f>
        <v/>
      </c>
      <c r="AD12" s="1">
        <f>IFERROR(__xludf.DUMMYFUNCTION("""COMPUTED_VALUE"""),TRUE)</f>
        <v/>
      </c>
      <c r="AE12" s="15">
        <f>IFERROR(__xludf.DUMMYFUNCTION("""COMPUTED_VALUE"""),"https://www.facebook.com/glifing")</f>
        <v/>
      </c>
    </row>
    <row r="13" ht="42" customHeight="1">
      <c r="A13" s="14">
        <f>IFERROR(__xludf.DUMMYFUNCTION("""COMPUTED_VALUE"""),45894)</f>
        <v/>
      </c>
      <c r="B13" s="1">
        <f>IFERROR(__xludf.DUMMYFUNCTION("""COMPUTED_VALUE"""),"ORG_2659")</f>
        <v/>
      </c>
      <c r="C13" s="1">
        <f>IFERROR(__xludf.DUMMYFUNCTION("""COMPUTED_VALUE"""),TRUE)</f>
        <v/>
      </c>
      <c r="D13" s="1">
        <f>IFERROR(__xludf.DUMMYFUNCTION("""COMPUTED_VALUE"""),"Labirinth")</f>
        <v/>
      </c>
      <c r="E13" s="15">
        <f>IFERROR(__xludf.DUMMYFUNCTION("""COMPUTED_VALUE"""),"https://www.labirinth.it/")</f>
        <v/>
      </c>
      <c r="F13" s="1">
        <f>IFERROR(__xludf.DUMMYFUNCTION("""COMPUTED_VALUE"""),"Helping people find jobs that match their aptitudes, interests, and market opportunities")</f>
        <v/>
      </c>
      <c r="G13" s="1">
        <f>IFERROR(__xludf.DUMMYFUNCTION("""COMPUTED_VALUE"""),"EdTech Italia")</f>
        <v/>
      </c>
      <c r="H13" s="1">
        <f>IFERROR(__xludf.DUMMYFUNCTION("""COMPUTED_VALUE"""),"Italian")</f>
        <v/>
      </c>
      <c r="I13" s="1">
        <f>IFERROR(__xludf.DUMMYFUNCTION("""COMPUTED_VALUE"""),"alberto.liuzzo@virgilio.it")</f>
        <v/>
      </c>
      <c r="J13" s="1">
        <f>IFERROR(__xludf.DUMMYFUNCTION("""COMPUTED_VALUE"""),"+393401117647")</f>
        <v/>
      </c>
      <c r="K13" s="1">
        <f>IFERROR(__xludf.DUMMYFUNCTION("""COMPUTED_VALUE"""),"Milano")</f>
        <v/>
      </c>
      <c r="L13" s="1">
        <f>IFERROR(__xludf.DUMMYFUNCTION("""COMPUTED_VALUE"""),"Italia")</f>
        <v/>
      </c>
      <c r="M13" s="1">
        <f>IFERROR(__xludf.DUMMYFUNCTION("""COMPUTED_VALUE"""),"Italy")</f>
        <v/>
      </c>
      <c r="N13" s="1">
        <f>IFERROR(__xludf.DUMMYFUNCTION("""COMPUTED_VALUE"""),"Micro (1-9 FTE employees)")</f>
        <v/>
      </c>
      <c r="O13" s="1">
        <f>IFERROR(__xludf.DUMMYFUNCTION("""COMPUTED_VALUE"""),"Business to Consumer, Business to Business")</f>
        <v/>
      </c>
      <c r="P13" s="1">
        <f>IFERROR(__xludf.DUMMYFUNCTION("""COMPUTED_VALUE"""),"Lifelong learning/Adult education, Higher Education, Corporate Training")</f>
        <v/>
      </c>
      <c r="Q13" s="1">
        <f>IFERROR(__xludf.DUMMYFUNCTION("""COMPUTED_VALUE"""),"Student interfacing, System/Administrative")</f>
        <v/>
      </c>
      <c r="R13" s="1" t="n"/>
      <c r="S13" s="1" t="n"/>
      <c r="T13" s="15">
        <f>IFERROR(__xludf.DUMMYFUNCTION("""COMPUTED_VALUE"""),"https://www.linkedin.com/company/labirinth")</f>
        <v/>
      </c>
      <c r="U13" s="1">
        <f>IFERROR(__xludf.DUMMYFUNCTION("""COMPUTED_VALUE"""),"Virtual Internships")</f>
        <v/>
      </c>
      <c r="V13" s="1">
        <f>IFERROR(__xludf.DUMMYFUNCTION("""COMPUTED_VALUE"""),"Take on theoretical modules to understand the fundamentals, then put yourself to the test with real projects")</f>
        <v/>
      </c>
      <c r="W13" s="1" t="n"/>
      <c r="X13" s="1" t="n"/>
      <c r="Y13" s="15">
        <f>IFERROR(__xludf.DUMMYFUNCTION("""COMPUTED_VALUE"""),"https://drive.google.com/uc?export=view&amp;id=1JOwHJVCkhPDmSAZxn4vHyUHpoaKDitRa")</f>
        <v/>
      </c>
      <c r="Z13" s="1">
        <f>IFERROR(__xludf.DUMMYFUNCTION("""COMPUTED_VALUE"""),"Verified")</f>
        <v/>
      </c>
      <c r="AA13" s="1">
        <f>IFERROR(__xludf.DUMMYFUNCTION("""COMPUTED_VALUE"""),"Collaborations between EdTech organisations, Public-private partnerships")</f>
        <v/>
      </c>
      <c r="AB13" s="1">
        <f>IFERROR(__xludf.DUMMYFUNCTION("""COMPUTED_VALUE"""),"For-profit company")</f>
        <v/>
      </c>
      <c r="AC13" s="1">
        <f>IFERROR(__xludf.DUMMYFUNCTION("""COMPUTED_VALUE"""),FALSE)</f>
        <v/>
      </c>
      <c r="AD13" s="1" t="n"/>
      <c r="AE13" s="1" t="n"/>
    </row>
    <row r="14" ht="42" customHeight="1">
      <c r="A14" s="14">
        <f>IFERROR(__xludf.DUMMYFUNCTION("""COMPUTED_VALUE"""),45894)</f>
        <v/>
      </c>
      <c r="B14" s="1">
        <f>IFERROR(__xludf.DUMMYFUNCTION("""COMPUTED_VALUE"""),"ORG_2275")</f>
        <v/>
      </c>
      <c r="C14" s="1">
        <f>IFERROR(__xludf.DUMMYFUNCTION("""COMPUTED_VALUE"""),TRUE)</f>
        <v/>
      </c>
      <c r="D14" s="1">
        <f>IFERROR(__xludf.DUMMYFUNCTION("""COMPUTED_VALUE"""),"Smart Symbols")</f>
        <v/>
      </c>
      <c r="E14" s="15">
        <f>IFERROR(__xludf.DUMMYFUNCTION("""COMPUTED_VALUE"""),"www.smartsymbols.com")</f>
        <v/>
      </c>
      <c r="F14" s="1">
        <f>IFERROR(__xludf.DUMMYFUNCTION("""COMPUTED_VALUE"""),"Smart Symbols is a SaaS solution designed with a clear focus on early childhood education. We provide actionable insights into daily activities of toddlers in crowded classrooms by collecting data from both teachers and children. Smart Symbols translates "&amp;"theory (teachers schedule) into practice by providing digital activity boards for toddlers. Letting toddlers interact with our software by choosing activities, giving feedback and sharing their emotions enables teachers to obtain deeper insights about emo"&amp;"tions, interest, social interaction and much more.")</f>
        <v/>
      </c>
      <c r="G14" s="1">
        <f>IFERROR(__xludf.DUMMYFUNCTION("""COMPUTED_VALUE"""),"edtechstation")</f>
        <v/>
      </c>
      <c r="H14" s="1">
        <f>IFERROR(__xludf.DUMMYFUNCTION("""COMPUTED_VALUE"""),"English, French, Spanish, Dutch, German")</f>
        <v/>
      </c>
      <c r="I14" s="1">
        <f>IFERROR(__xludf.DUMMYFUNCTION("""COMPUTED_VALUE"""),"david.minne@smartsymbols.com")</f>
        <v/>
      </c>
      <c r="J14" s="1">
        <f>IFERROR(__xludf.DUMMYFUNCTION("""COMPUTED_VALUE"""),"+32499315580")</f>
        <v/>
      </c>
      <c r="K14" s="1">
        <f>IFERROR(__xludf.DUMMYFUNCTION("""COMPUTED_VALUE"""),"Ledegem")</f>
        <v/>
      </c>
      <c r="L14" s="1">
        <f>IFERROR(__xludf.DUMMYFUNCTION("""COMPUTED_VALUE"""),"Belgium")</f>
        <v/>
      </c>
      <c r="M14" s="1">
        <f>IFERROR(__xludf.DUMMYFUNCTION("""COMPUTED_VALUE"""),"Belgium, Bulgaria, Finland, Netherlands, United Kingdom, Spain")</f>
        <v/>
      </c>
      <c r="N14" s="1">
        <f>IFERROR(__xludf.DUMMYFUNCTION("""COMPUTED_VALUE"""),"Micro (1-9 FTE employees)")</f>
        <v/>
      </c>
      <c r="O14" s="1">
        <f>IFERROR(__xludf.DUMMYFUNCTION("""COMPUTED_VALUE"""),"Business to Schools")</f>
        <v/>
      </c>
      <c r="P14" s="1">
        <f>IFERROR(__xludf.DUMMYFUNCTION("""COMPUTED_VALUE"""),"Early childhood development (0-5 years), Primary Education")</f>
        <v/>
      </c>
      <c r="Q14" s="1">
        <f>IFERROR(__xludf.DUMMYFUNCTION("""COMPUTED_VALUE"""),"Student interfacing, Teacher interfacing")</f>
        <v/>
      </c>
      <c r="R14" s="15">
        <f>IFERROR(__xludf.DUMMYFUNCTION("""COMPUTED_VALUE"""),"https://www.instagram.com/smartsymbols/")</f>
        <v/>
      </c>
      <c r="S14" s="15">
        <f>IFERROR(__xludf.DUMMYFUNCTION("""COMPUTED_VALUE"""),"https://www.facebook.com/smartsymbols")</f>
        <v/>
      </c>
      <c r="T14" s="15">
        <f>IFERROR(__xludf.DUMMYFUNCTION("""COMPUTED_VALUE"""),"https://www.linkedin.com/company/smart-symbols/")</f>
        <v/>
      </c>
      <c r="U14" s="1">
        <f>IFERROR(__xludf.DUMMYFUNCTION("""COMPUTED_VALUE"""),"Smart Symbols")</f>
        <v/>
      </c>
      <c r="V14" s="1">
        <f>IFERROR(__xludf.DUMMYFUNCTION("""COMPUTED_VALUE"""),"Smart Symbols is a webapp designed with a clear focus on early childhood education &amp; care. We provide actionable dashboards and insights into daily activities of toddlers in crowded classrooms by collecting data from both teachers and children. We transfo"&amp;"rm mobile devices into pedagocical tools.")</f>
        <v/>
      </c>
      <c r="W14" s="1" t="n"/>
      <c r="X14" s="1" t="n"/>
      <c r="Y14" s="15">
        <f>IFERROR(__xludf.DUMMYFUNCTION("""COMPUTED_VALUE"""),"https://drive.google.com/uc?export=view&amp;id=1xOy8U-VZt4mrAlob73djAu7aOgxDnA1R")</f>
        <v/>
      </c>
      <c r="Z14" s="1">
        <f>IFERROR(__xludf.DUMMYFUNCTION("""COMPUTED_VALUE"""),"Verified")</f>
        <v/>
      </c>
      <c r="AA14" s="1">
        <f>IFERROR(__xludf.DUMMYFUNCTION("""COMPUTED_VALUE"""),"Collaborations between EdTech organisations, Industry-academia partnerships")</f>
        <v/>
      </c>
      <c r="AB14" s="1">
        <f>IFERROR(__xludf.DUMMYFUNCTION("""COMPUTED_VALUE"""),"For-profit company")</f>
        <v/>
      </c>
      <c r="AC14" s="1">
        <f>IFERROR(__xludf.DUMMYFUNCTION("""COMPUTED_VALUE"""),TRUE)</f>
        <v/>
      </c>
      <c r="AD14" s="1">
        <f>IFERROR(__xludf.DUMMYFUNCTION("""COMPUTED_VALUE"""),TRUE)</f>
        <v/>
      </c>
      <c r="AE14" s="1" t="n"/>
    </row>
    <row r="15" ht="42" customHeight="1">
      <c r="A15" s="14">
        <f>IFERROR(__xludf.DUMMYFUNCTION("""COMPUTED_VALUE"""),45894)</f>
        <v/>
      </c>
      <c r="B15" s="1">
        <f>IFERROR(__xludf.DUMMYFUNCTION("""COMPUTED_VALUE"""),"ORG_2451")</f>
        <v/>
      </c>
      <c r="C15" s="1">
        <f>IFERROR(__xludf.DUMMYFUNCTION("""COMPUTED_VALUE"""),TRUE)</f>
        <v/>
      </c>
      <c r="D15" s="1">
        <f>IFERROR(__xludf.DUMMYFUNCTION("""COMPUTED_VALUE"""),"UbiCast")</f>
        <v/>
      </c>
      <c r="E15" s="15">
        <f>IFERROR(__xludf.DUMMYFUNCTION("""COMPUTED_VALUE"""),"https://www.ubicast.eu/")</f>
        <v/>
      </c>
      <c r="F15" s="1">
        <f>IFERROR(__xludf.DUMMYFUNCTION("""COMPUTED_VALUE"""),"Born in 2007, UbiCast is the European leader in video learning solutions. Our mission is to improve learning and communication by making video engaging, collaborative and durable. To do so, UbiCast has developed Nudgis, a customisable private video platfo"&amp;"rm made for teachers to record, store and stream interactive and impactful content in video format. Thanks to its engaging sidebar and social features, Nudgis is the perfect tool to easily captivate students’ attention and enhance the whole learning exper"&amp;"ience!")</f>
        <v/>
      </c>
      <c r="G15" s="1">
        <f>IFERROR(__xludf.DUMMYFUNCTION("""COMPUTED_VALUE"""),"EdTech France")</f>
        <v/>
      </c>
      <c r="H15" s="1">
        <f>IFERROR(__xludf.DUMMYFUNCTION("""COMPUTED_VALUE"""),"English, French, German, Dutch, Spanish, Finnish")</f>
        <v/>
      </c>
      <c r="I15" s="1">
        <f>IFERROR(__xludf.DUMMYFUNCTION("""COMPUTED_VALUE"""),"contact@ubicast.eu")</f>
        <v/>
      </c>
      <c r="J15" s="1">
        <f>IFERROR(__xludf.DUMMYFUNCTION("""COMPUTED_VALUE"""),"+33177567767")</f>
        <v/>
      </c>
      <c r="K15" s="1">
        <f>IFERROR(__xludf.DUMMYFUNCTION("""COMPUTED_VALUE"""),"Paris")</f>
        <v/>
      </c>
      <c r="L15" s="1">
        <f>IFERROR(__xludf.DUMMYFUNCTION("""COMPUTED_VALUE"""),"France")</f>
        <v/>
      </c>
      <c r="M15" s="1">
        <f>IFERROR(__xludf.DUMMYFUNCTION("""COMPUTED_VALUE"""),"Belgium, France, Germany, Finland, Ireland, Italy, Netherlands, Spain, Switzerland, United Kingdom, Austria, Monaco")</f>
        <v/>
      </c>
      <c r="N15" s="1">
        <f>IFERROR(__xludf.DUMMYFUNCTION("""COMPUTED_VALUE"""),"Small (10-49 FTE employees)")</f>
        <v/>
      </c>
      <c r="O15" s="1">
        <f>IFERROR(__xludf.DUMMYFUNCTION("""COMPUTED_VALUE"""),"Business to Business, Business to Schools, Business to Government")</f>
        <v/>
      </c>
      <c r="P15" s="1">
        <f>IFERROR(__xludf.DUMMYFUNCTION("""COMPUTED_VALUE"""),"Higher Education, Corporate Training, Lifelong learning/Adult education")</f>
        <v/>
      </c>
      <c r="Q15" s="1">
        <f>IFERROR(__xludf.DUMMYFUNCTION("""COMPUTED_VALUE"""),"Student interfacing, Teacher interfacing, System/Administrative")</f>
        <v/>
      </c>
      <c r="R15" s="15">
        <f>IFERROR(__xludf.DUMMYFUNCTION("""COMPUTED_VALUE"""),"https://www.instagram.com/ubicast_official/")</f>
        <v/>
      </c>
      <c r="S15" s="1" t="n"/>
      <c r="T15" s="15">
        <f>IFERROR(__xludf.DUMMYFUNCTION("""COMPUTED_VALUE"""),"https://www.linkedin.com/company/ubicast")</f>
        <v/>
      </c>
      <c r="U15" s="1">
        <f>IFERROR(__xludf.DUMMYFUNCTION("""COMPUTED_VALUE"""),"Nudgis")</f>
        <v/>
      </c>
      <c r="V15" s="1">
        <f>IFERROR(__xludf.DUMMYFUNCTION("""COMPUTED_VALUE"""),"Nudgis is a private video platform that helps teachers create and share interactive lessons. They can enrich videos with quizzes and polls, while students learn at their own pace. The platform also gives teachers valuable insights to improve their content"&amp;" and integrates with all existing LMS!")</f>
        <v/>
      </c>
      <c r="W15" s="1">
        <f>IFERROR(__xludf.DUMMYFUNCTION("""COMPUTED_VALUE"""),"Miris")</f>
        <v/>
      </c>
      <c r="X15" s="1">
        <f>IFERROR(__xludf.DUMMYFUNCTION("""COMPUTED_VALUE"""),"Want to digitise your lectures, create video content for your courses, or broadcast live conferences? The Miris range has you covered. Miris provides turnkey recorders that automatically capture both the speaker and their presentation, helping you deliver"&amp;" a rich media experience to your au")</f>
        <v/>
      </c>
      <c r="Y15" s="15">
        <f>IFERROR(__xludf.DUMMYFUNCTION("""COMPUTED_VALUE"""),"https://drive.google.com/uc?export=view&amp;id=1kBxp-jslfQ-avf9_eMvLk7Wb9zMgy_pK")</f>
        <v/>
      </c>
      <c r="Z15" s="1">
        <f>IFERROR(__xludf.DUMMYFUNCTION("""COMPUTED_VALUE"""),"Verified")</f>
        <v/>
      </c>
      <c r="AA15" s="1">
        <f>IFERROR(__xludf.DUMMYFUNCTION("""COMPUTED_VALUE"""),"Collaborations between EdTech organisations, Project consortium building, Public-private partnerships")</f>
        <v/>
      </c>
      <c r="AB15" s="1">
        <f>IFERROR(__xludf.DUMMYFUNCTION("""COMPUTED_VALUE"""),"For-profit company")</f>
        <v/>
      </c>
      <c r="AC15" s="1">
        <f>IFERROR(__xludf.DUMMYFUNCTION("""COMPUTED_VALUE"""),TRUE)</f>
        <v/>
      </c>
      <c r="AD15" s="1">
        <f>IFERROR(__xludf.DUMMYFUNCTION("""COMPUTED_VALUE"""),TRUE)</f>
        <v/>
      </c>
      <c r="AE15" s="1" t="n"/>
    </row>
    <row r="16" ht="42" customHeight="1">
      <c r="A16" s="14">
        <f>IFERROR(__xludf.DUMMYFUNCTION("""COMPUTED_VALUE"""),45894)</f>
        <v/>
      </c>
      <c r="B16" s="1">
        <f>IFERROR(__xludf.DUMMYFUNCTION("""COMPUTED_VALUE"""),"ORG_2658")</f>
        <v/>
      </c>
      <c r="C16" s="1">
        <f>IFERROR(__xludf.DUMMYFUNCTION("""COMPUTED_VALUE"""),TRUE)</f>
        <v/>
      </c>
      <c r="D16" s="1">
        <f>IFERROR(__xludf.DUMMYFUNCTION("""COMPUTED_VALUE"""),"NINEFEB Technical Documentation GmbH")</f>
        <v/>
      </c>
      <c r="E16" s="15">
        <f>IFERROR(__xludf.DUMMYFUNCTION("""COMPUTED_VALUE"""),"www.ninefeb.com")</f>
        <v/>
      </c>
      <c r="F16" s="1">
        <f>IFERROR(__xludf.DUMMYFUNCTION("""COMPUTED_VALUE"""),"We are drafting eLearning and consulting eLearning for machinery, automotive, aviation, railway")</f>
        <v/>
      </c>
      <c r="G16" s="1">
        <f>IFERROR(__xludf.DUMMYFUNCTION("""COMPUTED_VALUE"""),"EdTech Austria")</f>
        <v/>
      </c>
      <c r="H16" s="1">
        <f>IFERROR(__xludf.DUMMYFUNCTION("""COMPUTED_VALUE"""),"English, German")</f>
        <v/>
      </c>
      <c r="I16" s="1">
        <f>IFERROR(__xludf.DUMMYFUNCTION("""COMPUTED_VALUE"""),"harald.stadlbauer@ninefeb.com")</f>
        <v/>
      </c>
      <c r="J16" s="1">
        <f>IFERROR(__xludf.DUMMYFUNCTION("""COMPUTED_VALUE"""),"+43676846020200")</f>
        <v/>
      </c>
      <c r="K16" s="1">
        <f>IFERROR(__xludf.DUMMYFUNCTION("""COMPUTED_VALUE"""),"Vienna")</f>
        <v/>
      </c>
      <c r="L16" s="1">
        <f>IFERROR(__xludf.DUMMYFUNCTION("""COMPUTED_VALUE"""),"Austria")</f>
        <v/>
      </c>
      <c r="M16" s="1">
        <f>IFERROR(__xludf.DUMMYFUNCTION("""COMPUTED_VALUE"""),"Austria, Germany, United Kingdom, Switzerland")</f>
        <v/>
      </c>
      <c r="N16" s="1">
        <f>IFERROR(__xludf.DUMMYFUNCTION("""COMPUTED_VALUE"""),"Medium (50-250 FTE employees)")</f>
        <v/>
      </c>
      <c r="O16" s="1">
        <f>IFERROR(__xludf.DUMMYFUNCTION("""COMPUTED_VALUE"""),"Business to Business")</f>
        <v/>
      </c>
      <c r="P16" s="1">
        <f>IFERROR(__xludf.DUMMYFUNCTION("""COMPUTED_VALUE"""),"Corporate Training")</f>
        <v/>
      </c>
      <c r="Q16" s="1">
        <f>IFERROR(__xludf.DUMMYFUNCTION("""COMPUTED_VALUE"""),"Other")</f>
        <v/>
      </c>
      <c r="R16" s="1" t="n"/>
      <c r="S16" s="1" t="n"/>
      <c r="T16" s="1" t="n"/>
      <c r="U16" s="1">
        <f>IFERROR(__xludf.DUMMYFUNCTION("""COMPUTED_VALUE"""),"drafting educationally sound eLearnings")</f>
        <v/>
      </c>
      <c r="V16" s="1">
        <f>IFERROR(__xludf.DUMMYFUNCTION("""COMPUTED_VALUE"""),"conceptualizing instructional paths")</f>
        <v/>
      </c>
      <c r="W16" s="1">
        <f>IFERROR(__xludf.DUMMYFUNCTION("""COMPUTED_VALUE"""),"AR/VR environments with learning analytics")</f>
        <v/>
      </c>
      <c r="X16" s="1" t="n"/>
      <c r="Y16" s="15">
        <f>IFERROR(__xludf.DUMMYFUNCTION("""COMPUTED_VALUE"""),"https://drive.google.com/uc?export=view&amp;id=1qGWZsyCai52rhZbM-MP3xLMqtBUW95Hf")</f>
        <v/>
      </c>
      <c r="Z16" s="1">
        <f>IFERROR(__xludf.DUMMYFUNCTION("""COMPUTED_VALUE"""),"Verified")</f>
        <v/>
      </c>
      <c r="AA16" s="1">
        <f>IFERROR(__xludf.DUMMYFUNCTION("""COMPUTED_VALUE"""),"Collaborations between EdTech organisations")</f>
        <v/>
      </c>
      <c r="AB16" s="1">
        <f>IFERROR(__xludf.DUMMYFUNCTION("""COMPUTED_VALUE"""),"For-profit company")</f>
        <v/>
      </c>
      <c r="AC16" s="1">
        <f>IFERROR(__xludf.DUMMYFUNCTION("""COMPUTED_VALUE"""),TRUE)</f>
        <v/>
      </c>
      <c r="AD16" s="1">
        <f>IFERROR(__xludf.DUMMYFUNCTION("""COMPUTED_VALUE"""),FALSE)</f>
        <v/>
      </c>
      <c r="AE16" s="1" t="n"/>
    </row>
    <row r="17" ht="42" customHeight="1">
      <c r="A17" s="14">
        <f>IFERROR(__xludf.DUMMYFUNCTION("""COMPUTED_VALUE"""),45894)</f>
        <v/>
      </c>
      <c r="B17" s="1">
        <f>IFERROR(__xludf.DUMMYFUNCTION("""COMPUTED_VALUE"""),"ORG_1888")</f>
        <v/>
      </c>
      <c r="C17" s="1">
        <f>IFERROR(__xludf.DUMMYFUNCTION("""COMPUTED_VALUE"""),TRUE)</f>
        <v/>
      </c>
      <c r="D17" s="1">
        <f>IFERROR(__xludf.DUMMYFUNCTION("""COMPUTED_VALUE"""),"Little Bridge")</f>
        <v/>
      </c>
      <c r="E17" s="15">
        <f>IFERROR(__xludf.DUMMYFUNCTION("""COMPUTED_VALUE"""),"https://www.littlebridge.com/")</f>
        <v/>
      </c>
      <c r="F17" s="1">
        <f>IFERROR(__xludf.DUMMYFUNCTION("""COMPUTED_VALUE"""),"Delivering English Language Learning to children (6-12 years) everywhere with a unique, AI supported combination of quality educational content and a safe, social experience.")</f>
        <v/>
      </c>
      <c r="G17" s="1">
        <f>IFERROR(__xludf.DUMMYFUNCTION("""COMPUTED_VALUE"""),"I'm not part of any EdTech association")</f>
        <v/>
      </c>
      <c r="H17" s="1">
        <f>IFERROR(__xludf.DUMMYFUNCTION("""COMPUTED_VALUE"""),"English, German, French, Spanish, Italian, Greek, Portuguese")</f>
        <v/>
      </c>
      <c r="I17" s="1">
        <f>IFERROR(__xludf.DUMMYFUNCTION("""COMPUTED_VALUE"""),"hello@littlebridge.com")</f>
        <v/>
      </c>
      <c r="J17" s="1">
        <f>IFERROR(__xludf.DUMMYFUNCTION("""COMPUTED_VALUE"""),"+447980743652")</f>
        <v/>
      </c>
      <c r="K17" s="1">
        <f>IFERROR(__xludf.DUMMYFUNCTION("""COMPUTED_VALUE"""),"London")</f>
        <v/>
      </c>
      <c r="L17" s="1">
        <f>IFERROR(__xludf.DUMMYFUNCTION("""COMPUTED_VALUE"""),"United Kingdom")</f>
        <v/>
      </c>
      <c r="M17" s="1">
        <f>IFERROR(__xludf.DUMMYFUNCTION("""COMPUTED_VALUE"""),"Greece, United Kingdom, France, Belgium, Germany, Netherlands, Spain, Turkey")</f>
        <v/>
      </c>
      <c r="N17" s="1">
        <f>IFERROR(__xludf.DUMMYFUNCTION("""COMPUTED_VALUE"""),"Micro (1-9 FTE employees)")</f>
        <v/>
      </c>
      <c r="O17" s="1">
        <f>IFERROR(__xludf.DUMMYFUNCTION("""COMPUTED_VALUE"""),"Business to Government, Business to Schools, Business to Consumer")</f>
        <v/>
      </c>
      <c r="P17" s="1">
        <f>IFERROR(__xludf.DUMMYFUNCTION("""COMPUTED_VALUE"""),"Primary Education")</f>
        <v/>
      </c>
      <c r="Q17" s="1">
        <f>IFERROR(__xludf.DUMMYFUNCTION("""COMPUTED_VALUE"""),"Student interfacing, Teacher interfacing, System/Administrative")</f>
        <v/>
      </c>
      <c r="R17" s="15">
        <f>IFERROR(__xludf.DUMMYFUNCTION("""COMPUTED_VALUE"""),"https://www.instagram.com/littlebridgeworld/")</f>
        <v/>
      </c>
      <c r="S17" s="15">
        <f>IFERROR(__xludf.DUMMYFUNCTION("""COMPUTED_VALUE"""),"https://x.com/Little_Bridge")</f>
        <v/>
      </c>
      <c r="T17" s="15">
        <f>IFERROR(__xludf.DUMMYFUNCTION("""COMPUTED_VALUE"""),"https://www.linkedin.com/company/little-bridge-world")</f>
        <v/>
      </c>
      <c r="U17" s="1">
        <f>IFERROR(__xludf.DUMMYFUNCTION("""COMPUTED_VALUE"""),"Little Bridge")</f>
        <v/>
      </c>
      <c r="V17" s="1">
        <f>IFERROR(__xludf.DUMMYFUNCTION("""COMPUTED_VALUE"""),"Research-backed, Ai supported, outcomes driven online platform, providing quality English Language Learning and a unique social experience for children (6-12 years) globally. Cultivating cultural curiosity, collaboration, critical thinking and connection.")</f>
        <v/>
      </c>
      <c r="W17" s="1" t="n"/>
      <c r="X17" s="1" t="n"/>
      <c r="Y17" s="15">
        <f>IFERROR(__xludf.DUMMYFUNCTION("""COMPUTED_VALUE"""),"https://drive.google.com/uc?export=view&amp;id=1lcp9F6wIdmfQO3s2l3kM-059qWwG9YlF")</f>
        <v/>
      </c>
      <c r="Z17" s="1">
        <f>IFERROR(__xludf.DUMMYFUNCTION("""COMPUTED_VALUE"""),"Verified")</f>
        <v/>
      </c>
      <c r="AA17" s="1">
        <f>IFERROR(__xludf.DUMMYFUNCTION("""COMPUTED_VALUE"""),"Collaborations between EdTech organisations, Project consortium building, Public-private partnerships, Industry-academia partnerships")</f>
        <v/>
      </c>
      <c r="AB17" s="1">
        <f>IFERROR(__xludf.DUMMYFUNCTION("""COMPUTED_VALUE"""),"For-profit company")</f>
        <v/>
      </c>
      <c r="AC17" s="1">
        <f>IFERROR(__xludf.DUMMYFUNCTION("""COMPUTED_VALUE"""),TRUE)</f>
        <v/>
      </c>
      <c r="AD17" s="1">
        <f>IFERROR(__xludf.DUMMYFUNCTION("""COMPUTED_VALUE"""),TRUE)</f>
        <v/>
      </c>
      <c r="AE17" s="15">
        <f>IFERROR(__xludf.DUMMYFUNCTION("""COMPUTED_VALUE"""),"https://www.facebook.com/LittleBridgeWorld/")</f>
        <v/>
      </c>
    </row>
    <row r="18" ht="42" customHeight="1">
      <c r="A18" s="14">
        <f>IFERROR(__xludf.DUMMYFUNCTION("""COMPUTED_VALUE"""),45894)</f>
        <v/>
      </c>
      <c r="B18" s="1">
        <f>IFERROR(__xludf.DUMMYFUNCTION("""COMPUTED_VALUE"""),"ORG_2657")</f>
        <v/>
      </c>
      <c r="C18" s="1">
        <f>IFERROR(__xludf.DUMMYFUNCTION("""COMPUTED_VALUE"""),TRUE)</f>
        <v/>
      </c>
      <c r="D18" s="1">
        <f>IFERROR(__xludf.DUMMYFUNCTION("""COMPUTED_VALUE"""),"Dokimazo")</f>
        <v/>
      </c>
      <c r="E18" s="15">
        <f>IFERROR(__xludf.DUMMYFUNCTION("""COMPUTED_VALUE"""),"www.dokimazo.io")</f>
        <v/>
      </c>
      <c r="F18" s="1">
        <f>IFERROR(__xludf.DUMMYFUNCTION("""COMPUTED_VALUE"""),"Dokimazo is a new EdTech startup that aims to transform skills into a universal currency. Thanks to an AI-based Skill Wallet, individuals, training providers, and organisations can easily define development goals, collect learning evidence and certificate"&amp;"s, and document their development over time In April 2025, a jury of experts and investors at the Innovation Training Summit in Rome awarded Dokimazo ""Startup of the Year"".")</f>
        <v/>
      </c>
      <c r="G18" s="1">
        <f>IFERROR(__xludf.DUMMYFUNCTION("""COMPUTED_VALUE"""),"EdTech Italia")</f>
        <v/>
      </c>
      <c r="H18" s="1">
        <f>IFERROR(__xludf.DUMMYFUNCTION("""COMPUTED_VALUE"""),"Italian, English")</f>
        <v/>
      </c>
      <c r="I18" s="1">
        <f>IFERROR(__xludf.DUMMYFUNCTION("""COMPUTED_VALUE"""),"welcome@dokimazo.io")</f>
        <v/>
      </c>
      <c r="J18" s="1">
        <f>IFERROR(__xludf.DUMMYFUNCTION("""COMPUTED_VALUE"""),"+393470782576")</f>
        <v/>
      </c>
      <c r="K18" s="1">
        <f>IFERROR(__xludf.DUMMYFUNCTION("""COMPUTED_VALUE"""),"Milan")</f>
        <v/>
      </c>
      <c r="L18" s="1">
        <f>IFERROR(__xludf.DUMMYFUNCTION("""COMPUTED_VALUE"""),"Italy")</f>
        <v/>
      </c>
      <c r="M18" s="1">
        <f>IFERROR(__xludf.DUMMYFUNCTION("""COMPUTED_VALUE"""),"Italy")</f>
        <v/>
      </c>
      <c r="N18" s="1">
        <f>IFERROR(__xludf.DUMMYFUNCTION("""COMPUTED_VALUE"""),"Micro (1-9 FTE employees)")</f>
        <v/>
      </c>
      <c r="O18" s="1">
        <f>IFERROR(__xludf.DUMMYFUNCTION("""COMPUTED_VALUE"""),"Business to Business, Business to Consumer, Business to Schools")</f>
        <v/>
      </c>
      <c r="P18" s="1">
        <f>IFERROR(__xludf.DUMMYFUNCTION("""COMPUTED_VALUE"""),"Higher Education, Vocational Education and Training (VET), Corporate Training, Lifelong learning/Adult education")</f>
        <v/>
      </c>
      <c r="Q18" s="1">
        <f>IFERROR(__xludf.DUMMYFUNCTION("""COMPUTED_VALUE"""),"System/Administrative, Teacher interfacing, Student interfacing")</f>
        <v/>
      </c>
      <c r="R18" s="1" t="n"/>
      <c r="S18" s="1" t="n"/>
      <c r="T18" s="15">
        <f>IFERROR(__xludf.DUMMYFUNCTION("""COMPUTED_VALUE"""),"https://www.linkedin.com/company/dokimazo")</f>
        <v/>
      </c>
      <c r="U18" s="1">
        <f>IFERROR(__xludf.DUMMYFUNCTION("""COMPUTED_VALUE"""),"Dokimazo for organisations")</f>
        <v/>
      </c>
      <c r="V18" s="1">
        <f>IFERROR(__xludf.DUMMYFUNCTION("""COMPUTED_VALUE"""),"Our innovative tool is a Skill Wallet to turn skills into tangible value with the aid of Dokipilot, our AI Assistant. 
Organisations can quickly create skills and job roles and assign them to the employees in their Skill Wallets, validate and monitor them"&amp;".")</f>
        <v/>
      </c>
      <c r="W18" s="1">
        <f>IFERROR(__xludf.DUMMYFUNCTION("""COMPUTED_VALUE"""),"Dokimazo for training providers")</f>
        <v/>
      </c>
      <c r="X18" s="1">
        <f>IFERROR(__xludf.DUMMYFUNCTION("""COMPUTED_VALUE"""),"Our innovative tool is a Skill Wallet to turn skill into tangible value with the aid of Dokipilot, our AI Assistant. 
Training providers can quickly extract target skills from syllabi and course descriptions, assign them to students, and validate them in "&amp;"the students' Skill Wallets.")</f>
        <v/>
      </c>
      <c r="Y18" s="15">
        <f>IFERROR(__xludf.DUMMYFUNCTION("""COMPUTED_VALUE"""),"https://drive.google.com/uc?export=view&amp;id=1l6XrvSusnNphymMofSdddulF5Vn7h67V")</f>
        <v/>
      </c>
      <c r="Z18" s="1">
        <f>IFERROR(__xludf.DUMMYFUNCTION("""COMPUTED_VALUE"""),"Verified")</f>
        <v/>
      </c>
      <c r="AA18" s="1">
        <f>IFERROR(__xludf.DUMMYFUNCTION("""COMPUTED_VALUE"""),"Collaborations between EdTech organisations, Project consortium building, Public-private partnerships, Industry-academia partnerships, Other")</f>
        <v/>
      </c>
      <c r="AB18" s="1">
        <f>IFERROR(__xludf.DUMMYFUNCTION("""COMPUTED_VALUE"""),"For-profit company")</f>
        <v/>
      </c>
      <c r="AC18" s="1">
        <f>IFERROR(__xludf.DUMMYFUNCTION("""COMPUTED_VALUE"""),TRUE)</f>
        <v/>
      </c>
      <c r="AD18" s="1">
        <f>IFERROR(__xludf.DUMMYFUNCTION("""COMPUTED_VALUE"""),TRUE)</f>
        <v/>
      </c>
      <c r="AE18" s="1" t="n"/>
    </row>
    <row r="19" ht="42" customHeight="1">
      <c r="A19" s="14">
        <f>IFERROR(__xludf.DUMMYFUNCTION("""COMPUTED_VALUE"""),45894)</f>
        <v/>
      </c>
      <c r="B19" s="1">
        <f>IFERROR(__xludf.DUMMYFUNCTION("""COMPUTED_VALUE"""),"ORG_2656")</f>
        <v/>
      </c>
      <c r="C19" s="1">
        <f>IFERROR(__xludf.DUMMYFUNCTION("""COMPUTED_VALUE"""),TRUE)</f>
        <v/>
      </c>
      <c r="D19" s="1">
        <f>IFERROR(__xludf.DUMMYFUNCTION("""COMPUTED_VALUE"""),"Scoolsy")</f>
        <v/>
      </c>
      <c r="E19" s="15">
        <f>IFERROR(__xludf.DUMMYFUNCTION("""COMPUTED_VALUE"""),"www.scoolsy.lt")</f>
        <v/>
      </c>
      <c r="F19" s="1">
        <f>IFERROR(__xludf.DUMMYFUNCTION("""COMPUTED_VALUE"""),"Scoolsy is an online solution for teachers and learners which helps to manage personalized learning at any school. Scoolsy has: subject matrixes that help to see the whole curriculum scope. Learning goals from basic to advanced level in each subject; diag"&amp;"nostics where student's knowledge in each subject might have gapped or exceeded the requirements; personalized learning plans with personal learning goals; a way to empower students to learn independently or in a group in the way suitable for them by prov"&amp;"iding content in different formats and multiple assessment possibilities; automated tracking of individual learner progress.")</f>
        <v/>
      </c>
      <c r="G19" s="1">
        <f>IFERROR(__xludf.DUMMYFUNCTION("""COMPUTED_VALUE"""),"EdTech Lithuania")</f>
        <v/>
      </c>
      <c r="H19" s="1">
        <f>IFERROR(__xludf.DUMMYFUNCTION("""COMPUTED_VALUE"""),"Lithuanian")</f>
        <v/>
      </c>
      <c r="I19" s="1">
        <f>IFERROR(__xludf.DUMMYFUNCTION("""COMPUTED_VALUE"""),"info@scoolsy.lt")</f>
        <v/>
      </c>
      <c r="J19" s="1">
        <f>IFERROR(__xludf.DUMMYFUNCTION("""COMPUTED_VALUE"""),"+37067163231")</f>
        <v/>
      </c>
      <c r="K19" s="1">
        <f>IFERROR(__xludf.DUMMYFUNCTION("""COMPUTED_VALUE"""),"Vilnius")</f>
        <v/>
      </c>
      <c r="L19" s="1">
        <f>IFERROR(__xludf.DUMMYFUNCTION("""COMPUTED_VALUE"""),"Lithuania")</f>
        <v/>
      </c>
      <c r="M19" s="1">
        <f>IFERROR(__xludf.DUMMYFUNCTION("""COMPUTED_VALUE"""),"Lithuania")</f>
        <v/>
      </c>
      <c r="N19" s="1">
        <f>IFERROR(__xludf.DUMMYFUNCTION("""COMPUTED_VALUE"""),"Micro (1-9 FTE employees)")</f>
        <v/>
      </c>
      <c r="O19" s="1">
        <f>IFERROR(__xludf.DUMMYFUNCTION("""COMPUTED_VALUE"""),"Business to Government, Business to Schools")</f>
        <v/>
      </c>
      <c r="P19" s="1">
        <f>IFERROR(__xludf.DUMMYFUNCTION("""COMPUTED_VALUE"""),"Secondary Education, Higher Education")</f>
        <v/>
      </c>
      <c r="Q19" s="1">
        <f>IFERROR(__xludf.DUMMYFUNCTION("""COMPUTED_VALUE"""),"Student interfacing, Teacher interfacing")</f>
        <v/>
      </c>
      <c r="R19" s="15">
        <f>IFERROR(__xludf.DUMMYFUNCTION("""COMPUTED_VALUE"""),"https://www.instagram.com/scoolsy_/")</f>
        <v/>
      </c>
      <c r="S19" s="1" t="n"/>
      <c r="T19" s="15">
        <f>IFERROR(__xludf.DUMMYFUNCTION("""COMPUTED_VALUE"""),"https://www.linkedin.com/company/77000831/admin/dashboard/")</f>
        <v/>
      </c>
      <c r="U19" s="1">
        <f>IFERROR(__xludf.DUMMYFUNCTION("""COMPUTED_VALUE"""),"Scoolsy")</f>
        <v/>
      </c>
      <c r="V19" s="1">
        <f>IFERROR(__xludf.DUMMYFUNCTION("""COMPUTED_VALUE"""),"Scoolsy is an online solution for teachers and learners which helps to manage personalized learning at any school. Scoolsy has:
subject matrixes that help to see the whole curriculum scope. Learning goals from basic to advanced level in each subject;
diag"&amp;"nostics where student's knowledge in each sub")</f>
        <v/>
      </c>
      <c r="W19" s="1" t="n"/>
      <c r="X19" s="1" t="n"/>
      <c r="Y19" s="15">
        <f>IFERROR(__xludf.DUMMYFUNCTION("""COMPUTED_VALUE"""),"https://drive.google.com/uc?export=view&amp;id=1mavns124-k1cHq0L_Kvy86e3mnLlqpKd")</f>
        <v/>
      </c>
      <c r="Z19" s="1">
        <f>IFERROR(__xludf.DUMMYFUNCTION("""COMPUTED_VALUE"""),"Verified")</f>
        <v/>
      </c>
      <c r="AA19" s="1">
        <f>IFERROR(__xludf.DUMMYFUNCTION("""COMPUTED_VALUE"""),"Collaborations between EdTech organisations, Project consortium building")</f>
        <v/>
      </c>
      <c r="AB19" s="1">
        <f>IFERROR(__xludf.DUMMYFUNCTION("""COMPUTED_VALUE"""),"For-profit company")</f>
        <v/>
      </c>
      <c r="AC19" s="1">
        <f>IFERROR(__xludf.DUMMYFUNCTION("""COMPUTED_VALUE"""),TRUE)</f>
        <v/>
      </c>
      <c r="AD19" s="1">
        <f>IFERROR(__xludf.DUMMYFUNCTION("""COMPUTED_VALUE"""),TRUE)</f>
        <v/>
      </c>
      <c r="AE19" s="15">
        <f>IFERROR(__xludf.DUMMYFUNCTION("""COMPUTED_VALUE"""),"https://www.facebook.com/scoolsy")</f>
        <v/>
      </c>
    </row>
    <row r="20" ht="42" customHeight="1">
      <c r="A20" s="14">
        <f>IFERROR(__xludf.DUMMYFUNCTION("""COMPUTED_VALUE"""),45894)</f>
        <v/>
      </c>
      <c r="B20" s="1">
        <f>IFERROR(__xludf.DUMMYFUNCTION("""COMPUTED_VALUE"""),"ORG_2655")</f>
        <v/>
      </c>
      <c r="C20" s="1">
        <f>IFERROR(__xludf.DUMMYFUNCTION("""COMPUTED_VALUE"""),TRUE)</f>
        <v/>
      </c>
      <c r="D20" s="1">
        <f>IFERROR(__xludf.DUMMYFUNCTION("""COMPUTED_VALUE"""),"BeeSpeaker AB")</f>
        <v/>
      </c>
      <c r="E20" s="15">
        <f>IFERROR(__xludf.DUMMYFUNCTION("""COMPUTED_VALUE"""),"beespeaker.com")</f>
        <v/>
      </c>
      <c r="F20" s="1">
        <f>IFERROR(__xludf.DUMMYFUNCTION("""COMPUTED_VALUE"""),"At BeeSpeaker, we believe in breaking down language barriers. Our mission is to make language learning accessible to everyone, regardless of background or resources, by delivering an experience that feels as close as possible to speaking with a native spe"&amp;"aker.  By leveraging the power of cutting-edge AI technology in dedicated mobile apps, we aim to offer a learning experience equivalent to live conversations with native speakers—at a cost up to 100 times lower for the user. Our vision is a world where ev"&amp;"eryone has equal opportunities to grow, connect, and succeed through fluent communication.")</f>
        <v/>
      </c>
      <c r="G20" s="1">
        <f>IFERROR(__xludf.DUMMYFUNCTION("""COMPUTED_VALUE"""),"I'm not part of any EdTech association")</f>
        <v/>
      </c>
      <c r="H20" s="1">
        <f>IFERROR(__xludf.DUMMYFUNCTION("""COMPUTED_VALUE"""),"English, Spanish, French, German, Italian, Dutch, Portuguese, Czech, Finnish, Hungarian, Polish, Swedish, Romanian, Slovenian, Slovak, Ukrainian")</f>
        <v/>
      </c>
      <c r="I20" s="1">
        <f>IFERROR(__xludf.DUMMYFUNCTION("""COMPUTED_VALUE"""),"bartosz@beespeaker.com")</f>
        <v/>
      </c>
      <c r="J20" s="1">
        <f>IFERROR(__xludf.DUMMYFUNCTION("""COMPUTED_VALUE"""),"+48609848001")</f>
        <v/>
      </c>
      <c r="K20" s="1">
        <f>IFERROR(__xludf.DUMMYFUNCTION("""COMPUTED_VALUE"""),"Stockholm")</f>
        <v/>
      </c>
      <c r="L20" s="1">
        <f>IFERROR(__xludf.DUMMYFUNCTION("""COMPUTED_VALUE"""),"Sweden")</f>
        <v/>
      </c>
      <c r="M20" s="1">
        <f>IFERROR(__xludf.DUMMYFUNCTION("""COMPUTED_VALUE"""),"Albania, Andorra, Austria, Bosnia and Herzegovina, Belgium, Belarus, Bulgaria, Croatia, Republic of Cyprus, Estonia, Denmark, Czechia, Finland, France, Germany, Iceland, Hungary, Greece, Ireland, Italy, Kosovo, Lithuania, Liechtenstein, Latvia, Luxembourg"&amp;", Malta, Moldova, Netherlands, Montenegro, Monaco, North Macedonia, Norway, Poland, San Marino, Romania, Portugal, Slovakia, Slovenia, Spain, Turkey, Switzerland, Sweden, Ukraine, United Kingdom, all")</f>
        <v/>
      </c>
      <c r="N20" s="1">
        <f>IFERROR(__xludf.DUMMYFUNCTION("""COMPUTED_VALUE"""),"Small (10-49 FTE employees)")</f>
        <v/>
      </c>
      <c r="O20" s="1">
        <f>IFERROR(__xludf.DUMMYFUNCTION("""COMPUTED_VALUE"""),"Business to Consumer, Business to Business")</f>
        <v/>
      </c>
      <c r="P20" s="1">
        <f>IFERROR(__xludf.DUMMYFUNCTION("""COMPUTED_VALUE"""),"Vocational Education and Training (VET), Corporate Training, Lifelong learning/Adult education")</f>
        <v/>
      </c>
      <c r="Q20" s="1">
        <f>IFERROR(__xludf.DUMMYFUNCTION("""COMPUTED_VALUE"""),"Student interfacing, System/Administrative")</f>
        <v/>
      </c>
      <c r="R20" s="15">
        <f>IFERROR(__xludf.DUMMYFUNCTION("""COMPUTED_VALUE"""),"https://www.instagram.com/beespeakerapp/")</f>
        <v/>
      </c>
      <c r="S20" s="1" t="n"/>
      <c r="T20" s="15">
        <f>IFERROR(__xludf.DUMMYFUNCTION("""COMPUTED_VALUE"""),"https://pl.linkedin.com/company/beespeaker")</f>
        <v/>
      </c>
      <c r="U20" s="1">
        <f>IFERROR(__xludf.DUMMYFUNCTION("""COMPUTED_VALUE"""),"BeeSpeaker mobile app")</f>
        <v/>
      </c>
      <c r="V20" s="1">
        <f>IFERROR(__xludf.DUMMYFUNCTION("""COMPUTED_VALUE"""),"BeeSpeaker is an AI-powered mobile application that enables users to have realistic English conversations with a virtual language partner. It uses advanced technologies such as speech recognition, natural language processing (NLP), and generative language"&amp;" models.")</f>
        <v/>
      </c>
      <c r="W20" s="1" t="n"/>
      <c r="X20" s="1" t="n"/>
      <c r="Y20" s="15">
        <f>IFERROR(__xludf.DUMMYFUNCTION("""COMPUTED_VALUE"""),"https://drive.google.com/uc?export=view&amp;id=1a1BExb6wEL2mlyQaDBCzrxeP9iq4t0OW")</f>
        <v/>
      </c>
      <c r="Z20" s="1">
        <f>IFERROR(__xludf.DUMMYFUNCTION("""COMPUTED_VALUE"""),"Verified")</f>
        <v/>
      </c>
      <c r="AA20" s="1" t="n"/>
      <c r="AB20" s="1">
        <f>IFERROR(__xludf.DUMMYFUNCTION("""COMPUTED_VALUE"""),"For-profit company")</f>
        <v/>
      </c>
      <c r="AC20" s="1">
        <f>IFERROR(__xludf.DUMMYFUNCTION("""COMPUTED_VALUE"""),TRUE)</f>
        <v/>
      </c>
      <c r="AD20" s="1">
        <f>IFERROR(__xludf.DUMMYFUNCTION("""COMPUTED_VALUE"""),TRUE)</f>
        <v/>
      </c>
      <c r="AE20" s="15">
        <f>IFERROR(__xludf.DUMMYFUNCTION("""COMPUTED_VALUE"""),"https://www.facebook.com/people/BeeSpeaker-Learn-to-SPEAK-English/61564122652907/")</f>
        <v/>
      </c>
    </row>
    <row r="21" ht="42" customHeight="1">
      <c r="A21" s="14">
        <f>IFERROR(__xludf.DUMMYFUNCTION("""COMPUTED_VALUE"""),45893)</f>
        <v/>
      </c>
      <c r="B21" s="1">
        <f>IFERROR(__xludf.DUMMYFUNCTION("""COMPUTED_VALUE"""),"ORG_2654")</f>
        <v/>
      </c>
      <c r="C21" s="1">
        <f>IFERROR(__xludf.DUMMYFUNCTION("""COMPUTED_VALUE"""),TRUE)</f>
        <v/>
      </c>
      <c r="D21" s="1">
        <f>IFERROR(__xludf.DUMMYFUNCTION("""COMPUTED_VALUE"""),"Worlds4Education - Jogos e Ambientes Educativos, Lda.")</f>
        <v/>
      </c>
      <c r="E21" s="15">
        <f>IFERROR(__xludf.DUMMYFUNCTION("""COMPUTED_VALUE"""),"www.kendirstudios.pt")</f>
        <v/>
      </c>
      <c r="F21" s="1">
        <f>IFERROR(__xludf.DUMMYFUNCTION("""COMPUTED_VALUE"""),"Creative studio that focuses on providing interactive and motivating learning experiences with an emphasis on visual and dynamic gamified architectures. We provide both companies and public sector with e-learning, gamified and game-based services and deve"&amp;"lop our own market solutions.")</f>
        <v/>
      </c>
      <c r="G21" s="1">
        <f>IFERROR(__xludf.DUMMYFUNCTION("""COMPUTED_VALUE"""),"I'm not part of any EdTech association")</f>
        <v/>
      </c>
      <c r="H21" s="1">
        <f>IFERROR(__xludf.DUMMYFUNCTION("""COMPUTED_VALUE"""),"Portuguese")</f>
        <v/>
      </c>
      <c r="I21" s="1">
        <f>IFERROR(__xludf.DUMMYFUNCTION("""COMPUTED_VALUE"""),"kendirstudios@kendirstudios.org")</f>
        <v/>
      </c>
      <c r="J21" s="1">
        <f>IFERROR(__xludf.DUMMYFUNCTION("""COMPUTED_VALUE"""),"+351910978666")</f>
        <v/>
      </c>
      <c r="K21" s="1">
        <f>IFERROR(__xludf.DUMMYFUNCTION("""COMPUTED_VALUE"""),"Vila Nova de Gaia")</f>
        <v/>
      </c>
      <c r="L21" s="1">
        <f>IFERROR(__xludf.DUMMYFUNCTION("""COMPUTED_VALUE"""),"Portugal")</f>
        <v/>
      </c>
      <c r="M21" s="1">
        <f>IFERROR(__xludf.DUMMYFUNCTION("""COMPUTED_VALUE"""),"Portugal")</f>
        <v/>
      </c>
      <c r="N21" s="1">
        <f>IFERROR(__xludf.DUMMYFUNCTION("""COMPUTED_VALUE"""),"Small (10-49 FTE employees)")</f>
        <v/>
      </c>
      <c r="O21" s="1">
        <f>IFERROR(__xludf.DUMMYFUNCTION("""COMPUTED_VALUE"""),"Business to Government, Business to Business, Business to Schools")</f>
        <v/>
      </c>
      <c r="P21" s="1">
        <f>IFERROR(__xludf.DUMMYFUNCTION("""COMPUTED_VALUE"""),"Primary Education, Secondary Education, Vocational Education and Training (VET), Corporate Training, Lifelong learning/Adult education")</f>
        <v/>
      </c>
      <c r="Q21" s="1">
        <f>IFERROR(__xludf.DUMMYFUNCTION("""COMPUTED_VALUE"""),"Student interfacing")</f>
        <v/>
      </c>
      <c r="R21" s="15">
        <f>IFERROR(__xludf.DUMMYFUNCTION("""COMPUTED_VALUE"""),"https://www.instagram.com/kendirstudios")</f>
        <v/>
      </c>
      <c r="S21" s="1" t="n"/>
      <c r="T21" s="15">
        <f>IFERROR(__xludf.DUMMYFUNCTION("""COMPUTED_VALUE"""),"https://www.linkedin.com/company/kendir-studios/")</f>
        <v/>
      </c>
      <c r="U21" s="1">
        <f>IFERROR(__xludf.DUMMYFUNCTION("""COMPUTED_VALUE"""),"Digital Educational Resources")</f>
        <v/>
      </c>
      <c r="V21" s="1">
        <f>IFERROR(__xludf.DUMMYFUNCTION("""COMPUTED_VALUE"""),"Sets of learning sequences that target learning objectives through a multitude of structured (and sometimes narrative-oriented) and interactive paths to guide students to reach autonomous and complete understanding of one or multiple subjects (often inter"&amp;"disciplinary) in a formal school setting.")</f>
        <v/>
      </c>
      <c r="W21" s="1" t="n"/>
      <c r="X21" s="1" t="n"/>
      <c r="Y21" s="15">
        <f>IFERROR(__xludf.DUMMYFUNCTION("""COMPUTED_VALUE"""),"https://drive.google.com/uc?export=view&amp;id=1iJiEG1O_r9Ed23hGrmkH0WX1yAbeDFA1")</f>
        <v/>
      </c>
      <c r="Z21" s="1">
        <f>IFERROR(__xludf.DUMMYFUNCTION("""COMPUTED_VALUE"""),"Verified")</f>
        <v/>
      </c>
      <c r="AA21" s="1">
        <f>IFERROR(__xludf.DUMMYFUNCTION("""COMPUTED_VALUE"""),"Collaborations between EdTech organisations, Project consortium building, Public-private partnerships, Industry-academia partnerships")</f>
        <v/>
      </c>
      <c r="AB21" s="1">
        <f>IFERROR(__xludf.DUMMYFUNCTION("""COMPUTED_VALUE"""),"For-profit company")</f>
        <v/>
      </c>
      <c r="AC21" s="1">
        <f>IFERROR(__xludf.DUMMYFUNCTION("""COMPUTED_VALUE"""),TRUE)</f>
        <v/>
      </c>
      <c r="AD21" s="1">
        <f>IFERROR(__xludf.DUMMYFUNCTION("""COMPUTED_VALUE"""),TRUE)</f>
        <v/>
      </c>
      <c r="AE21" s="1" t="n"/>
    </row>
    <row r="22" ht="42" customHeight="1">
      <c r="A22" s="14">
        <f>IFERROR(__xludf.DUMMYFUNCTION("""COMPUTED_VALUE"""),45893)</f>
        <v/>
      </c>
      <c r="B22" s="1">
        <f>IFERROR(__xludf.DUMMYFUNCTION("""COMPUTED_VALUE"""),"ORG_2653")</f>
        <v/>
      </c>
      <c r="C22" s="1">
        <f>IFERROR(__xludf.DUMMYFUNCTION("""COMPUTED_VALUE"""),TRUE)</f>
        <v/>
      </c>
      <c r="D22" s="1">
        <f>IFERROR(__xludf.DUMMYFUNCTION("""COMPUTED_VALUE"""),"IMPROOVO 12 S.R.L. SOCIETÀ BENEFIT")</f>
        <v/>
      </c>
      <c r="E22" s="15">
        <f>IFERROR(__xludf.DUMMYFUNCTION("""COMPUTED_VALUE"""),"www.improovo.com")</f>
        <v/>
      </c>
      <c r="F22" s="1">
        <f>IFERROR(__xludf.DUMMYFUNCTION("""COMPUTED_VALUE"""),"Improovo is an online, crowdsourced platform that helps companies quickly and affordably find, compare, and select corporate training providers tailored to their needs.")</f>
        <v/>
      </c>
      <c r="G22" s="1">
        <f>IFERROR(__xludf.DUMMYFUNCTION("""COMPUTED_VALUE"""),"EdTech Italia")</f>
        <v/>
      </c>
      <c r="H22" s="1">
        <f>IFERROR(__xludf.DUMMYFUNCTION("""COMPUTED_VALUE"""),"Italian")</f>
        <v/>
      </c>
      <c r="I22" s="1">
        <f>IFERROR(__xludf.DUMMYFUNCTION("""COMPUTED_VALUE"""),"info@improovo.com")</f>
        <v/>
      </c>
      <c r="J22" s="1">
        <f>IFERROR(__xludf.DUMMYFUNCTION("""COMPUTED_VALUE"""),"+393280357383")</f>
        <v/>
      </c>
      <c r="K22" s="1">
        <f>IFERROR(__xludf.DUMMYFUNCTION("""COMPUTED_VALUE"""),"Lugo (RA)")</f>
        <v/>
      </c>
      <c r="L22" s="1">
        <f>IFERROR(__xludf.DUMMYFUNCTION("""COMPUTED_VALUE"""),"Italy")</f>
        <v/>
      </c>
      <c r="M22" s="1">
        <f>IFERROR(__xludf.DUMMYFUNCTION("""COMPUTED_VALUE"""),"Italy")</f>
        <v/>
      </c>
      <c r="N22" s="1">
        <f>IFERROR(__xludf.DUMMYFUNCTION("""COMPUTED_VALUE"""),"Micro (1-9 FTE employees)")</f>
        <v/>
      </c>
      <c r="O22" s="1">
        <f>IFERROR(__xludf.DUMMYFUNCTION("""COMPUTED_VALUE"""),"Business to Business, Business to Consumer")</f>
        <v/>
      </c>
      <c r="P22" s="1">
        <f>IFERROR(__xludf.DUMMYFUNCTION("""COMPUTED_VALUE"""),"Corporate Training, Lifelong learning/Adult education")</f>
        <v/>
      </c>
      <c r="Q22" s="1">
        <f>IFERROR(__xludf.DUMMYFUNCTION("""COMPUTED_VALUE"""),"Other")</f>
        <v/>
      </c>
      <c r="R22" s="1" t="n"/>
      <c r="S22" s="1" t="n"/>
      <c r="T22" s="15">
        <f>IFERROR(__xludf.DUMMYFUNCTION("""COMPUTED_VALUE"""),"https://www.linkedin.com/company/improovo")</f>
        <v/>
      </c>
      <c r="U22" s="1">
        <f>IFERROR(__xludf.DUMMYFUNCTION("""COMPUTED_VALUE"""),"Improovo")</f>
        <v/>
      </c>
      <c r="V22" s="1">
        <f>IFERROR(__xludf.DUMMYFUNCTION("""COMPUTED_VALUE"""),"Improovo is an online, crowdsourced platform that helps companies quickly and affordably find, compare, and select corporate training providers tailored to their needs.")</f>
        <v/>
      </c>
      <c r="W22" s="1" t="n"/>
      <c r="X22" s="1" t="n"/>
      <c r="Y22" s="15">
        <f>IFERROR(__xludf.DUMMYFUNCTION("""COMPUTED_VALUE"""),"https://drive.google.com/uc?export=view&amp;id=1LSWaFU_g62NZWmAm_Prsev9HdkJS11uP")</f>
        <v/>
      </c>
      <c r="Z22" s="1">
        <f>IFERROR(__xludf.DUMMYFUNCTION("""COMPUTED_VALUE"""),"Verified")</f>
        <v/>
      </c>
      <c r="AA22" s="1">
        <f>IFERROR(__xludf.DUMMYFUNCTION("""COMPUTED_VALUE"""),"Collaborations between EdTech organisations, Project consortium building")</f>
        <v/>
      </c>
      <c r="AB22" s="1">
        <f>IFERROR(__xludf.DUMMYFUNCTION("""COMPUTED_VALUE"""),"For-profit company")</f>
        <v/>
      </c>
      <c r="AC22" s="1">
        <f>IFERROR(__xludf.DUMMYFUNCTION("""COMPUTED_VALUE"""),TRUE)</f>
        <v/>
      </c>
      <c r="AD22" s="1">
        <f>IFERROR(__xludf.DUMMYFUNCTION("""COMPUTED_VALUE"""),TRUE)</f>
        <v/>
      </c>
      <c r="AE22" s="1" t="n"/>
    </row>
    <row r="23" ht="42" customHeight="1">
      <c r="A23" s="14">
        <f>IFERROR(__xludf.DUMMYFUNCTION("""COMPUTED_VALUE"""),45893)</f>
        <v/>
      </c>
      <c r="B23" s="1">
        <f>IFERROR(__xludf.DUMMYFUNCTION("""COMPUTED_VALUE"""),"ORG_2306")</f>
        <v/>
      </c>
      <c r="C23" s="1">
        <f>IFERROR(__xludf.DUMMYFUNCTION("""COMPUTED_VALUE"""),TRUE)</f>
        <v/>
      </c>
      <c r="D23" s="1">
        <f>IFERROR(__xludf.DUMMYFUNCTION("""COMPUTED_VALUE"""),"SpeakTX")</f>
        <v/>
      </c>
      <c r="E23" s="15">
        <f>IFERROR(__xludf.DUMMYFUNCTION("""COMPUTED_VALUE"""),"www.speaktx.com")</f>
        <v/>
      </c>
      <c r="F23" s="1">
        <f>IFERROR(__xludf.DUMMYFUNCTION("""COMPUTED_VALUE"""),"Digital speech and language therapy platform for kindergartens, schools, hospitals, therapists and home users.")</f>
        <v/>
      </c>
      <c r="G23" s="1">
        <f>IFERROR(__xludf.DUMMYFUNCTION("""COMPUTED_VALUE"""),"EdTech Estonia")</f>
        <v/>
      </c>
      <c r="H23" s="1">
        <f>IFERROR(__xludf.DUMMYFUNCTION("""COMPUTED_VALUE"""),"English, German, Estonian, Greek, Lithuanian, Latvian, Maltese, Ukrainian, Serbian")</f>
        <v/>
      </c>
      <c r="I23" s="1">
        <f>IFERROR(__xludf.DUMMYFUNCTION("""COMPUTED_VALUE"""),"speaktx@speaktx.com")</f>
        <v/>
      </c>
      <c r="J23" s="1">
        <f>IFERROR(__xludf.DUMMYFUNCTION("""COMPUTED_VALUE"""),"+3725658388")</f>
        <v/>
      </c>
      <c r="K23" s="1">
        <f>IFERROR(__xludf.DUMMYFUNCTION("""COMPUTED_VALUE"""),"Tallinn")</f>
        <v/>
      </c>
      <c r="L23" s="1">
        <f>IFERROR(__xludf.DUMMYFUNCTION("""COMPUTED_VALUE"""),"Estonia")</f>
        <v/>
      </c>
      <c r="M23" s="1">
        <f>IFERROR(__xludf.DUMMYFUNCTION("""COMPUTED_VALUE"""),"Estonia, Germany, Greece, Latvia, Lithuania, Malta, United Kingdom, Ukraine, Serbia")</f>
        <v/>
      </c>
      <c r="N23" s="1">
        <f>IFERROR(__xludf.DUMMYFUNCTION("""COMPUTED_VALUE"""),"Micro (1-9 FTE employees)")</f>
        <v/>
      </c>
      <c r="O23" s="1">
        <f>IFERROR(__xludf.DUMMYFUNCTION("""COMPUTED_VALUE"""),"Business to Business, Business to Consumer, Business to Government, Business to Schools")</f>
        <v/>
      </c>
      <c r="P23" s="1">
        <f>IFERROR(__xludf.DUMMYFUNCTION("""COMPUTED_VALUE"""),"Early childhood development (0-5 years), Primary Education, Secondary Education, Vocational Education and Training (VET), Higher Education, Lifelong learning/Adult education, Special education, Other")</f>
        <v/>
      </c>
      <c r="Q23" s="1">
        <f>IFERROR(__xludf.DUMMYFUNCTION("""COMPUTED_VALUE"""),"Student interfacing, Teacher interfacing, System/Administrative, Other")</f>
        <v/>
      </c>
      <c r="R23" s="15">
        <f>IFERROR(__xludf.DUMMYFUNCTION("""COMPUTED_VALUE"""),"https://www.instagram.com/speak_tx/")</f>
        <v/>
      </c>
      <c r="S23" s="1" t="n"/>
      <c r="T23" s="15">
        <f>IFERROR(__xludf.DUMMYFUNCTION("""COMPUTED_VALUE"""),"https://www.linkedin.com/company/speaktx/")</f>
        <v/>
      </c>
      <c r="U23" s="15">
        <f>IFERROR(__xludf.DUMMYFUNCTION("""COMPUTED_VALUE"""),"SpeakTX.com")</f>
        <v/>
      </c>
      <c r="V23" s="1">
        <f>IFERROR(__xludf.DUMMYFUNCTION("""COMPUTED_VALUE"""),"SpeakTX is an online speech therapy platform that provides interactive exercises created by experienced speech therapists. The environment can be adapted to multiple devices and is location-independent. We personalise the therapy sessions and give flexibi"&amp;"lity and increased control over the exercises")</f>
        <v/>
      </c>
      <c r="W23" s="1" t="n"/>
      <c r="X23" s="1" t="n"/>
      <c r="Y23" s="15">
        <f>IFERROR(__xludf.DUMMYFUNCTION("""COMPUTED_VALUE"""),"https://drive.google.com/uc?export=view&amp;id=1csWbMWGhVExj_kk_QWgGWzkgzfmkfryK")</f>
        <v/>
      </c>
      <c r="Z23" s="1">
        <f>IFERROR(__xludf.DUMMYFUNCTION("""COMPUTED_VALUE"""),"Verified")</f>
        <v/>
      </c>
      <c r="AA23" s="1">
        <f>IFERROR(__xludf.DUMMYFUNCTION("""COMPUTED_VALUE"""),"Public-private partnerships, Collaborations between EdTech organisations, Project consortium building, Industry-academia partnerships, Other")</f>
        <v/>
      </c>
      <c r="AB23" s="1">
        <f>IFERROR(__xludf.DUMMYFUNCTION("""COMPUTED_VALUE"""),"For-profit company")</f>
        <v/>
      </c>
      <c r="AC23" s="1">
        <f>IFERROR(__xludf.DUMMYFUNCTION("""COMPUTED_VALUE"""),TRUE)</f>
        <v/>
      </c>
      <c r="AD23" s="1">
        <f>IFERROR(__xludf.DUMMYFUNCTION("""COMPUTED_VALUE"""),TRUE)</f>
        <v/>
      </c>
      <c r="AE23" s="15">
        <f>IFERROR(__xludf.DUMMYFUNCTION("""COMPUTED_VALUE"""),"https://www.facebook.com/SpeakTX")</f>
        <v/>
      </c>
    </row>
    <row r="24" ht="42" customHeight="1">
      <c r="A24" s="14">
        <f>IFERROR(__xludf.DUMMYFUNCTION("""COMPUTED_VALUE"""),45893)</f>
        <v/>
      </c>
      <c r="B24" s="1">
        <f>IFERROR(__xludf.DUMMYFUNCTION("""COMPUTED_VALUE"""),"ORG_2652")</f>
        <v/>
      </c>
      <c r="C24" s="1">
        <f>IFERROR(__xludf.DUMMYFUNCTION("""COMPUTED_VALUE"""),TRUE)</f>
        <v/>
      </c>
      <c r="D24" s="1">
        <f>IFERROR(__xludf.DUMMYFUNCTION("""COMPUTED_VALUE"""),"Alfa Space")</f>
        <v/>
      </c>
      <c r="E24" s="15">
        <f>IFERROR(__xludf.DUMMYFUNCTION("""COMPUTED_VALUE"""),"https://www.alfaerdve.lt/")</f>
        <v/>
      </c>
      <c r="F24" s="1">
        <f>IFERROR(__xludf.DUMMYFUNCTION("""COMPUTED_VALUE"""),"Alfa Space  – an innovative math learning platform for grades 5–12, already tested by 1,000+ teachers in Lithuania as of September 2025. The platform integrates an AI algorithm trained on the latest national math curriculum, helping teachers save time, pe"&amp;"rsonalize the learning process, and enabling students to get support with homework, test preparation, and exams.")</f>
        <v/>
      </c>
      <c r="G24" s="1">
        <f>IFERROR(__xludf.DUMMYFUNCTION("""COMPUTED_VALUE"""),"EdTech Lithuania")</f>
        <v/>
      </c>
      <c r="H24" s="1">
        <f>IFERROR(__xludf.DUMMYFUNCTION("""COMPUTED_VALUE"""),"Lithuanian")</f>
        <v/>
      </c>
      <c r="I24" s="1">
        <f>IFERROR(__xludf.DUMMYFUNCTION("""COMPUTED_VALUE"""),"info@alfaerdve.lt")</f>
        <v/>
      </c>
      <c r="J24" s="1">
        <f>IFERROR(__xludf.DUMMYFUNCTION("""COMPUTED_VALUE"""),"+37060501157")</f>
        <v/>
      </c>
      <c r="K24" s="1">
        <f>IFERROR(__xludf.DUMMYFUNCTION("""COMPUTED_VALUE"""),"Vilnius")</f>
        <v/>
      </c>
      <c r="L24" s="1">
        <f>IFERROR(__xludf.DUMMYFUNCTION("""COMPUTED_VALUE"""),"Lithuania")</f>
        <v/>
      </c>
      <c r="M24" s="1">
        <f>IFERROR(__xludf.DUMMYFUNCTION("""COMPUTED_VALUE"""),"Lithuania")</f>
        <v/>
      </c>
      <c r="N24" s="1">
        <f>IFERROR(__xludf.DUMMYFUNCTION("""COMPUTED_VALUE"""),"Micro (1-9 FTE employees)")</f>
        <v/>
      </c>
      <c r="O24" s="1">
        <f>IFERROR(__xludf.DUMMYFUNCTION("""COMPUTED_VALUE"""),"Business to Consumer, Business to Government, Business to Schools")</f>
        <v/>
      </c>
      <c r="P24" s="1">
        <f>IFERROR(__xludf.DUMMYFUNCTION("""COMPUTED_VALUE"""),"Secondary Education")</f>
        <v/>
      </c>
      <c r="Q24" s="1">
        <f>IFERROR(__xludf.DUMMYFUNCTION("""COMPUTED_VALUE"""),"Student interfacing, Teacher interfacing")</f>
        <v/>
      </c>
      <c r="R24" s="1" t="n"/>
      <c r="S24" s="1" t="n"/>
      <c r="T24" s="1" t="n"/>
      <c r="U24" s="1">
        <f>IFERROR(__xludf.DUMMYFUNCTION("""COMPUTED_VALUE"""),"Learning platform for students and teachers")</f>
        <v/>
      </c>
      <c r="V24" s="1" t="n"/>
      <c r="W24" s="1" t="n"/>
      <c r="X24" s="1" t="n"/>
      <c r="Y24" s="15">
        <f>IFERROR(__xludf.DUMMYFUNCTION("""COMPUTED_VALUE"""),"https://drive.google.com/uc?export=view&amp;id=19gjHJjrE-ML8_2O0f9WxWElM4kyQIQwt")</f>
        <v/>
      </c>
      <c r="Z24" s="1">
        <f>IFERROR(__xludf.DUMMYFUNCTION("""COMPUTED_VALUE"""),"Verified")</f>
        <v/>
      </c>
      <c r="AA24" s="1">
        <f>IFERROR(__xludf.DUMMYFUNCTION("""COMPUTED_VALUE"""),"Collaborations between EdTech organisations, Public-private partnerships")</f>
        <v/>
      </c>
      <c r="AB24" s="1">
        <f>IFERROR(__xludf.DUMMYFUNCTION("""COMPUTED_VALUE"""),"For-profit company")</f>
        <v/>
      </c>
      <c r="AC24" s="1">
        <f>IFERROR(__xludf.DUMMYFUNCTION("""COMPUTED_VALUE"""),TRUE)</f>
        <v/>
      </c>
      <c r="AD24" s="1">
        <f>IFERROR(__xludf.DUMMYFUNCTION("""COMPUTED_VALUE"""),TRUE)</f>
        <v/>
      </c>
      <c r="AE24" s="1" t="n"/>
    </row>
    <row r="25" ht="42" customHeight="1">
      <c r="A25" s="14">
        <f>IFERROR(__xludf.DUMMYFUNCTION("""COMPUTED_VALUE"""),45893)</f>
        <v/>
      </c>
      <c r="B25" s="1">
        <f>IFERROR(__xludf.DUMMYFUNCTION("""COMPUTED_VALUE"""),"ORG_1628")</f>
        <v/>
      </c>
      <c r="C25" s="1">
        <f>IFERROR(__xludf.DUMMYFUNCTION("""COMPUTED_VALUE"""),TRUE)</f>
        <v/>
      </c>
      <c r="D25" s="1">
        <f>IFERROR(__xludf.DUMMYFUNCTION("""COMPUTED_VALUE"""),"GlobalExam")</f>
        <v/>
      </c>
      <c r="E25" s="15">
        <f>IFERROR(__xludf.DUMMYFUNCTION("""COMPUTED_VALUE"""),"www.global-exam.com")</f>
        <v/>
      </c>
      <c r="F25" s="1">
        <f>IFERROR(__xludf.DUMMYFUNCTION("""COMPUTED_VALUE"""),"GlobalExam Founded in 2013 and based in Paris, GlobalExam empowers lifelong employability through innovative online language training. With over 800 B2B partners and more than 3 million learners worldwide, the platform offers adaptive level assessments, p"&amp;"reparation for 38 official certifications in 6 languages, professional English courses by skill and industry, and live lessons with certified native teachers.  GlobalExam’s personalized learning paths are designed to tackle the global challenge of languag"&amp;"e proficiency, helping learners progress effectively and companies overcome recruitment barriers. Its mission is clear: to give everyone the confidence and tools to acquire the skills they need to thrive at every stage of life")</f>
        <v/>
      </c>
      <c r="G25" s="1">
        <f>IFERROR(__xludf.DUMMYFUNCTION("""COMPUTED_VALUE"""),"EdTech France")</f>
        <v/>
      </c>
      <c r="H25" s="1">
        <f>IFERROR(__xludf.DUMMYFUNCTION("""COMPUTED_VALUE"""),"English, French, German, Italian, Spanish")</f>
        <v/>
      </c>
      <c r="I25" s="1">
        <f>IFERROR(__xludf.DUMMYFUNCTION("""COMPUTED_VALUE"""),"ce@global-exam.com")</f>
        <v/>
      </c>
      <c r="J25" s="1">
        <f>IFERROR(__xludf.DUMMYFUNCTION("""COMPUTED_VALUE"""),"+33659274487")</f>
        <v/>
      </c>
      <c r="K25" s="1">
        <f>IFERROR(__xludf.DUMMYFUNCTION("""COMPUTED_VALUE"""),"paris")</f>
        <v/>
      </c>
      <c r="L25" s="1">
        <f>IFERROR(__xludf.DUMMYFUNCTION("""COMPUTED_VALUE"""),"France")</f>
        <v/>
      </c>
      <c r="M25" s="1">
        <f>IFERROR(__xludf.DUMMYFUNCTION("""COMPUTED_VALUE"""),"Belgium, France, Germany, Italy, Spain, Monaco, Luxembourg, Poland")</f>
        <v/>
      </c>
      <c r="N25" s="1">
        <f>IFERROR(__xludf.DUMMYFUNCTION("""COMPUTED_VALUE"""),"Medium (50-250 FTE employees)")</f>
        <v/>
      </c>
      <c r="O25" s="1">
        <f>IFERROR(__xludf.DUMMYFUNCTION("""COMPUTED_VALUE"""),"Business to Schools, Business to Consumer, Business to Business, Business to Government")</f>
        <v/>
      </c>
      <c r="P25" s="1">
        <f>IFERROR(__xludf.DUMMYFUNCTION("""COMPUTED_VALUE"""),"Higher Education, Corporate Training, Lifelong learning/Adult education")</f>
        <v/>
      </c>
      <c r="Q25" s="1">
        <f>IFERROR(__xludf.DUMMYFUNCTION("""COMPUTED_VALUE"""),"Student interfacing, Teacher interfacing, System/Administrative")</f>
        <v/>
      </c>
      <c r="R25" s="1" t="n"/>
      <c r="S25" s="1" t="n"/>
      <c r="T25" s="15">
        <f>IFERROR(__xludf.DUMMYFUNCTION("""COMPUTED_VALUE"""),"https://www.linkedin.com/company/global-exam/")</f>
        <v/>
      </c>
      <c r="U25" s="1">
        <f>IFERROR(__xludf.DUMMYFUNCTION("""COMPUTED_VALUE"""),"Eval")</f>
        <v/>
      </c>
      <c r="V25" s="1">
        <f>IFERROR(__xludf.DUMMYFUNCTION("""COMPUTED_VALUE"""),"Adaptive CEFR level tests that quickly assess learners’ language proficiency with precision.")</f>
        <v/>
      </c>
      <c r="W25" s="1">
        <f>IFERROR(__xludf.DUMMYFUNCTION("""COMPUTED_VALUE"""),"Learn")</f>
        <v/>
      </c>
      <c r="X25" s="1">
        <f>IFERROR(__xludf.DUMMYFUNCTION("""COMPUTED_VALUE"""),"A complete online training solution combining general courses, business English, certification preparation, and live lessons with native teachers, personalized to each learner’s goals.")</f>
        <v/>
      </c>
      <c r="Y25" s="15">
        <f>IFERROR(__xludf.DUMMYFUNCTION("""COMPUTED_VALUE"""),"https://drive.google.com/uc?export=view&amp;id=1m34zCDVjTuvNNAlvXK9eJvYVzVn2eaWi")</f>
        <v/>
      </c>
      <c r="Z25" s="1">
        <f>IFERROR(__xludf.DUMMYFUNCTION("""COMPUTED_VALUE"""),"Verified")</f>
        <v/>
      </c>
      <c r="AA25" s="1">
        <f>IFERROR(__xludf.DUMMYFUNCTION("""COMPUTED_VALUE"""),"Collaborations between EdTech organisations, Project consortium building, Industry-academia partnerships")</f>
        <v/>
      </c>
      <c r="AB25" s="1">
        <f>IFERROR(__xludf.DUMMYFUNCTION("""COMPUTED_VALUE"""),"For-profit company")</f>
        <v/>
      </c>
      <c r="AC25" s="1">
        <f>IFERROR(__xludf.DUMMYFUNCTION("""COMPUTED_VALUE"""),TRUE)</f>
        <v/>
      </c>
      <c r="AD25" s="1">
        <f>IFERROR(__xludf.DUMMYFUNCTION("""COMPUTED_VALUE"""),TRUE)</f>
        <v/>
      </c>
      <c r="AE25" s="1" t="n"/>
    </row>
    <row r="26" ht="42" customHeight="1">
      <c r="A26" s="14">
        <f>IFERROR(__xludf.DUMMYFUNCTION("""COMPUTED_VALUE"""),45892)</f>
        <v/>
      </c>
      <c r="B26" s="1">
        <f>IFERROR(__xludf.DUMMYFUNCTION("""COMPUTED_VALUE"""),"ORG_2651")</f>
        <v/>
      </c>
      <c r="C26" s="1">
        <f>IFERROR(__xludf.DUMMYFUNCTION("""COMPUTED_VALUE"""),TRUE)</f>
        <v/>
      </c>
      <c r="D26" s="1">
        <f>IFERROR(__xludf.DUMMYFUNCTION("""COMPUTED_VALUE"""),"lablife gmbh")</f>
        <v/>
      </c>
      <c r="E26" s="15">
        <f>IFERROR(__xludf.DUMMYFUNCTION("""COMPUTED_VALUE"""),"https://lablife.video/")</f>
        <v/>
      </c>
      <c r="F26" s="1">
        <f>IFERROR(__xludf.DUMMYFUNCTION("""COMPUTED_VALUE"""),"LABLIFE develops, produces and distributes high-quality video tutorials and training material according to the highest standards of Good Cell Culture Practice (GCCP) for practical work in cell culture laboratories (life science, pharmaceuticals, biotechno"&amp;"logy). The video tutorials can be used by students, technicians, as well as higher level vocational schools, universities and research institutions. ")</f>
        <v/>
      </c>
      <c r="G26" s="1">
        <f>IFERROR(__xludf.DUMMYFUNCTION("""COMPUTED_VALUE"""),"EdTech Austria")</f>
        <v/>
      </c>
      <c r="H26" s="1">
        <f>IFERROR(__xludf.DUMMYFUNCTION("""COMPUTED_VALUE"""),"English, French, German")</f>
        <v/>
      </c>
      <c r="I26" s="1">
        <f>IFERROR(__xludf.DUMMYFUNCTION("""COMPUTED_VALUE"""),"office@lablife.video")</f>
        <v/>
      </c>
      <c r="J26" s="1">
        <f>IFERROR(__xludf.DUMMYFUNCTION("""COMPUTED_VALUE"""),"+436707007003")</f>
        <v/>
      </c>
      <c r="K26" s="1">
        <f>IFERROR(__xludf.DUMMYFUNCTION("""COMPUTED_VALUE"""),"Vienna")</f>
        <v/>
      </c>
      <c r="L26" s="1">
        <f>IFERROR(__xludf.DUMMYFUNCTION("""COMPUTED_VALUE"""),"Austria")</f>
        <v/>
      </c>
      <c r="M26" s="1">
        <f>IFERROR(__xludf.DUMMYFUNCTION("""COMPUTED_VALUE"""),"Austria, Belgium, Croatia, Bulgaria, Republic of Cyprus, Bosnia and Herzegovina, Albania, Andorra, Czechia, Finland, Greece, Ireland, Latvia, Luxembourg, Monaco, North Macedonia, Portugal, Denmark, France, Hungary, Italy, Liechtenstein, Malta, Montenegro,"&amp;" Norway, Romania, Estonia, Germany, Iceland, Kosovo, Lithuania, Moldova, Netherlands, Poland, San Marino, Spain, Turkey, Slovenia, Switzerland, United Kingdom, Slovakia, Sweden, Ukraine")</f>
        <v/>
      </c>
      <c r="N26" s="1">
        <f>IFERROR(__xludf.DUMMYFUNCTION("""COMPUTED_VALUE"""),"Micro (1-9 FTE employees)")</f>
        <v/>
      </c>
      <c r="O26" s="1">
        <f>IFERROR(__xludf.DUMMYFUNCTION("""COMPUTED_VALUE"""),"Business to Business, Business to Consumer, Business to Government, Business to Schools")</f>
        <v/>
      </c>
      <c r="P26" s="1">
        <f>IFERROR(__xludf.DUMMYFUNCTION("""COMPUTED_VALUE"""),"Lifelong learning/Adult education, Vocational Education and Training (VET), Higher Education, Corporate Training, Secondary Education")</f>
        <v/>
      </c>
      <c r="Q26" s="1">
        <f>IFERROR(__xludf.DUMMYFUNCTION("""COMPUTED_VALUE"""),"Student interfacing, Teacher interfacing")</f>
        <v/>
      </c>
      <c r="R26" s="15">
        <f>IFERROR(__xludf.DUMMYFUNCTION("""COMPUTED_VALUE"""),"https://www.instagram.com/lablife.video")</f>
        <v/>
      </c>
      <c r="S26" s="1" t="n"/>
      <c r="T26" s="15">
        <f>IFERROR(__xludf.DUMMYFUNCTION("""COMPUTED_VALUE"""),"https://www.linkedin.com/company/lablife-video")</f>
        <v/>
      </c>
      <c r="U26" s="1">
        <f>IFERROR(__xludf.DUMMYFUNCTION("""COMPUTED_VALUE"""),"Video tutorials")</f>
        <v/>
      </c>
      <c r="V26" s="1">
        <f>IFERROR(__xludf.DUMMYFUNCTION("""COMPUTED_VALUE"""),"Video tutorials and training material with special focus on practical skills for the cell culture laboratory and is best used before one-on-one trainings in person. The programme allows enormous time savings, standardized training outcomes, and enhanced r"&amp;"eproducibility of biological studies.")</f>
        <v/>
      </c>
      <c r="W26" s="1" t="n"/>
      <c r="X26" s="1" t="n"/>
      <c r="Y26" s="15">
        <f>IFERROR(__xludf.DUMMYFUNCTION("""COMPUTED_VALUE"""),"https://drive.google.com/uc?export=view&amp;id=1a7Yuk6SheSEng9Qy6HNbGtG3ig0-vu-h")</f>
        <v/>
      </c>
      <c r="Z26" s="1">
        <f>IFERROR(__xludf.DUMMYFUNCTION("""COMPUTED_VALUE"""),"Verified")</f>
        <v/>
      </c>
      <c r="AA26" s="1">
        <f>IFERROR(__xludf.DUMMYFUNCTION("""COMPUTED_VALUE"""),"Collaborations between EdTech organisations, Project consortium building, Public-private partnerships, Industry-academia partnerships")</f>
        <v/>
      </c>
      <c r="AB26" s="1">
        <f>IFERROR(__xludf.DUMMYFUNCTION("""COMPUTED_VALUE"""),"For-profit company")</f>
        <v/>
      </c>
      <c r="AC26" s="1">
        <f>IFERROR(__xludf.DUMMYFUNCTION("""COMPUTED_VALUE"""),TRUE)</f>
        <v/>
      </c>
      <c r="AD26" s="1">
        <f>IFERROR(__xludf.DUMMYFUNCTION("""COMPUTED_VALUE"""),TRUE)</f>
        <v/>
      </c>
      <c r="AE26" s="15">
        <f>IFERROR(__xludf.DUMMYFUNCTION("""COMPUTED_VALUE"""),"https://www.facebook.com/lablife.video")</f>
        <v/>
      </c>
    </row>
    <row r="27" ht="42" customHeight="1">
      <c r="A27" s="14">
        <f>IFERROR(__xludf.DUMMYFUNCTION("""COMPUTED_VALUE"""),45891)</f>
        <v/>
      </c>
      <c r="B27" s="1">
        <f>IFERROR(__xludf.DUMMYFUNCTION("""COMPUTED_VALUE"""),"ORG_1209")</f>
        <v/>
      </c>
      <c r="C27" s="1">
        <f>IFERROR(__xludf.DUMMYFUNCTION("""COMPUTED_VALUE"""),TRUE)</f>
        <v/>
      </c>
      <c r="D27" s="1">
        <f>IFERROR(__xludf.DUMMYFUNCTION("""COMPUTED_VALUE"""),"cabuu")</f>
        <v/>
      </c>
      <c r="E27" s="15">
        <f>IFERROR(__xludf.DUMMYFUNCTION("""COMPUTED_VALUE"""),"https://www.cabuu.app")</f>
        <v/>
      </c>
      <c r="F27" s="1">
        <f>IFERROR(__xludf.DUMMYFUNCTION("""COMPUTED_VALUE"""),"cabuu is the 21st century memorization app that helps learners to internalize fundamental concepts as quickly and easily as possible.")</f>
        <v/>
      </c>
      <c r="G27" s="1">
        <f>IFERROR(__xludf.DUMMYFUNCTION("""COMPUTED_VALUE"""),"I'm not part of any EdTech association")</f>
        <v/>
      </c>
      <c r="H27" s="1">
        <f>IFERROR(__xludf.DUMMYFUNCTION("""COMPUTED_VALUE"""),"French, Spanish, German, English")</f>
        <v/>
      </c>
      <c r="I27" s="1">
        <f>IFERROR(__xludf.DUMMYFUNCTION("""COMPUTED_VALUE"""),"info@cabuu.app")</f>
        <v/>
      </c>
      <c r="J27" s="1">
        <f>IFERROR(__xludf.DUMMYFUNCTION("""COMPUTED_VALUE"""),"+4915123456789")</f>
        <v/>
      </c>
      <c r="K27" s="1">
        <f>IFERROR(__xludf.DUMMYFUNCTION("""COMPUTED_VALUE"""),"Dreieich")</f>
        <v/>
      </c>
      <c r="L27" s="1">
        <f>IFERROR(__xludf.DUMMYFUNCTION("""COMPUTED_VALUE"""),"Germany")</f>
        <v/>
      </c>
      <c r="M27" s="1">
        <f>IFERROR(__xludf.DUMMYFUNCTION("""COMPUTED_VALUE"""),"Albania, Belarus, Belgium, Andorra, Austria, Bosnia and Herzegovina, Republic of Cyprus, Croatia, Bulgaria, Czechia, Denmark, Estonia, Germany, France, Finland, Greece, Iceland, Kosovo, Italy, Ireland, Latvia, Liechtenstein, Lithuania, Hungary, Moldova, M"&amp;"alta, Luxembourg, Monaco, Montenegro, Netherlands, Poland, Norway, North Macedonia, Portugal, Romania, San Marino, Spain, Slovenia, Slovakia, Sweden, Switzerland, Turkey, United Kingdom, Ukraine")</f>
        <v/>
      </c>
      <c r="N27" s="1">
        <f>IFERROR(__xludf.DUMMYFUNCTION("""COMPUTED_VALUE"""),"Small (10-49 FTE employees)")</f>
        <v/>
      </c>
      <c r="O27" s="1">
        <f>IFERROR(__xludf.DUMMYFUNCTION("""COMPUTED_VALUE"""),"Business to Consumer")</f>
        <v/>
      </c>
      <c r="P27" s="1">
        <f>IFERROR(__xludf.DUMMYFUNCTION("""COMPUTED_VALUE"""),"Primary Education, Secondary Education, Higher Education, Vocational Education and Training (VET)")</f>
        <v/>
      </c>
      <c r="Q27" s="1">
        <f>IFERROR(__xludf.DUMMYFUNCTION("""COMPUTED_VALUE"""),"Student interfacing")</f>
        <v/>
      </c>
      <c r="R27" s="15">
        <f>IFERROR(__xludf.DUMMYFUNCTION("""COMPUTED_VALUE"""),"https://www.instagram.com/cabuu_app/")</f>
        <v/>
      </c>
      <c r="S27" s="1" t="n"/>
      <c r="T27" s="15">
        <f>IFERROR(__xludf.DUMMYFUNCTION("""COMPUTED_VALUE"""),"https://www.linkedin.com/company/cabuugmbh/")</f>
        <v/>
      </c>
      <c r="U27" s="1">
        <f>IFERROR(__xludf.DUMMYFUNCTION("""COMPUTED_VALUE"""),"cabuu App")</f>
        <v/>
      </c>
      <c r="V27" s="1">
        <f>IFERROR(__xludf.DUMMYFUNCTION("""COMPUTED_VALUE"""),"memorization app that helps learners to internalize fundamental concepts as quickly and easily as possible.")</f>
        <v/>
      </c>
      <c r="W27" s="1" t="n"/>
      <c r="X27" s="1" t="n"/>
      <c r="Y27" s="15">
        <f>IFERROR(__xludf.DUMMYFUNCTION("""COMPUTED_VALUE"""),"https://drive.google.com/uc?export=view&amp;id=1kMJwiMrniLwvbN9nOAh8W-zerYB4a5od")</f>
        <v/>
      </c>
      <c r="Z27" s="1">
        <f>IFERROR(__xludf.DUMMYFUNCTION("""COMPUTED_VALUE"""),"Verified")</f>
        <v/>
      </c>
      <c r="AA27" s="1">
        <f>IFERROR(__xludf.DUMMYFUNCTION("""COMPUTED_VALUE"""),"Collaborations between EdTech organisations, Public-private partnerships, Industry-academia partnerships")</f>
        <v/>
      </c>
      <c r="AB27" s="1">
        <f>IFERROR(__xludf.DUMMYFUNCTION("""COMPUTED_VALUE"""),"For-profit company")</f>
        <v/>
      </c>
      <c r="AC27" s="1">
        <f>IFERROR(__xludf.DUMMYFUNCTION("""COMPUTED_VALUE"""),FALSE)</f>
        <v/>
      </c>
      <c r="AD27" s="1">
        <f>IFERROR(__xludf.DUMMYFUNCTION("""COMPUTED_VALUE"""),TRUE)</f>
        <v/>
      </c>
      <c r="AE27" s="15">
        <f>IFERROR(__xludf.DUMMYFUNCTION("""COMPUTED_VALUE"""),"https://www.facebook.com/cabuuApp")</f>
        <v/>
      </c>
    </row>
    <row r="28" ht="42" customHeight="1">
      <c r="A28" s="14">
        <f>IFERROR(__xludf.DUMMYFUNCTION("""COMPUTED_VALUE"""),45891)</f>
        <v/>
      </c>
      <c r="B28" s="1">
        <f>IFERROR(__xludf.DUMMYFUNCTION("""COMPUTED_VALUE"""),"ORG_1229")</f>
        <v/>
      </c>
      <c r="C28" s="1">
        <f>IFERROR(__xludf.DUMMYFUNCTION("""COMPUTED_VALUE"""),TRUE)</f>
        <v/>
      </c>
      <c r="D28" s="1">
        <f>IFERROR(__xludf.DUMMYFUNCTION("""COMPUTED_VALUE"""),"ChallengeMe")</f>
        <v/>
      </c>
      <c r="E28" s="15">
        <f>IFERROR(__xludf.DUMMYFUNCTION("""COMPUTED_VALUE"""),"www.challengeme.online")</f>
        <v/>
      </c>
      <c r="F28" s="1">
        <f>IFERROR(__xludf.DUMMYFUNCTION("""COMPUTED_VALUE"""),"ChallengeMe is an innovative learning and assessment platform dedicated to higher education. It helps teachers engage students through peer review, self-assessment, and collaborative feedback, enriched with AI-powered assistants. Flexible and easy to inte"&amp;"grate into LMS (Moodle, Blackboard, Brightspace, etc.), ChallengeMe supports more than 100 universities and business schools in Europe and North America. More than just an assessment tool, it fosters student engagement, critical thinking, and continuous i"&amp;"mprovement while saving time for educators.")</f>
        <v/>
      </c>
      <c r="G28" s="1">
        <f>IFERROR(__xludf.DUMMYFUNCTION("""COMPUTED_VALUE"""),"EdTech France")</f>
        <v/>
      </c>
      <c r="H28" s="1">
        <f>IFERROR(__xludf.DUMMYFUNCTION("""COMPUTED_VALUE"""),"English, French, Italian, Spanish")</f>
        <v/>
      </c>
      <c r="I28" s="1">
        <f>IFERROR(__xludf.DUMMYFUNCTION("""COMPUTED_VALUE"""),"coach@challengeme.online")</f>
        <v/>
      </c>
      <c r="J28" s="1">
        <f>IFERROR(__xludf.DUMMYFUNCTION("""COMPUTED_VALUE"""),"+33975181844")</f>
        <v/>
      </c>
      <c r="K28" s="1">
        <f>IFERROR(__xludf.DUMMYFUNCTION("""COMPUTED_VALUE"""),"Montpellier")</f>
        <v/>
      </c>
      <c r="L28" s="1">
        <f>IFERROR(__xludf.DUMMYFUNCTION("""COMPUTED_VALUE"""),"France")</f>
        <v/>
      </c>
      <c r="M28" s="1">
        <f>IFERROR(__xludf.DUMMYFUNCTION("""COMPUTED_VALUE"""),"Belgium, France, Italy, Monaco, Luxembourg, Spain, Switzerland")</f>
        <v/>
      </c>
      <c r="N28" s="1">
        <f>IFERROR(__xludf.DUMMYFUNCTION("""COMPUTED_VALUE"""),"Small (10-49 FTE employees)")</f>
        <v/>
      </c>
      <c r="O28" s="1">
        <f>IFERROR(__xludf.DUMMYFUNCTION("""COMPUTED_VALUE"""),"Business to Business, Business to Schools")</f>
        <v/>
      </c>
      <c r="P28" s="1">
        <f>IFERROR(__xludf.DUMMYFUNCTION("""COMPUTED_VALUE"""),"Higher Education, Corporate Training")</f>
        <v/>
      </c>
      <c r="Q28" s="1">
        <f>IFERROR(__xludf.DUMMYFUNCTION("""COMPUTED_VALUE"""),"Student interfacing, Teacher interfacing, System/Administrative")</f>
        <v/>
      </c>
      <c r="R28" s="1" t="n"/>
      <c r="S28" s="1" t="n"/>
      <c r="T28" s="15">
        <f>IFERROR(__xludf.DUMMYFUNCTION("""COMPUTED_VALUE"""),"https://fr.linkedin.com/company/challengemesup")</f>
        <v/>
      </c>
      <c r="U28" s="1">
        <f>IFERROR(__xludf.DUMMYFUNCTION("""COMPUTED_VALUE"""),"ChallengeMe")</f>
        <v/>
      </c>
      <c r="V28" s="1">
        <f>IFERROR(__xludf.DUMMYFUNCTION("""COMPUTED_VALUE"""),"ChallengeMe is a collaborative learning and assessment platform for higher education, combining peer review, self-assessment, and AI-powered feedback to engage students and save time for educators.")</f>
        <v/>
      </c>
      <c r="W28" s="1" t="n"/>
      <c r="X28" s="1" t="n"/>
      <c r="Y28" s="15">
        <f>IFERROR(__xludf.DUMMYFUNCTION("""COMPUTED_VALUE"""),"https://drive.google.com/uc?export=view&amp;id=17JwJJioEu5YypSKT2TU-1YXN8IQxLIS9")</f>
        <v/>
      </c>
      <c r="Z28" s="1">
        <f>IFERROR(__xludf.DUMMYFUNCTION("""COMPUTED_VALUE"""),"Verified")</f>
        <v/>
      </c>
      <c r="AA28" s="1">
        <f>IFERROR(__xludf.DUMMYFUNCTION("""COMPUTED_VALUE"""),"Project consortium building, Public-private partnerships")</f>
        <v/>
      </c>
      <c r="AB28" s="1">
        <f>IFERROR(__xludf.DUMMYFUNCTION("""COMPUTED_VALUE"""),"For-profit company")</f>
        <v/>
      </c>
      <c r="AC28" s="1">
        <f>IFERROR(__xludf.DUMMYFUNCTION("""COMPUTED_VALUE"""),TRUE)</f>
        <v/>
      </c>
      <c r="AD28" s="1">
        <f>IFERROR(__xludf.DUMMYFUNCTION("""COMPUTED_VALUE"""),TRUE)</f>
        <v/>
      </c>
      <c r="AE28" s="1" t="n"/>
    </row>
    <row r="29" ht="42" customHeight="1">
      <c r="A29" s="14">
        <f>IFERROR(__xludf.DUMMYFUNCTION("""COMPUTED_VALUE"""),45891)</f>
        <v/>
      </c>
      <c r="B29" s="1">
        <f>IFERROR(__xludf.DUMMYFUNCTION("""COMPUTED_VALUE"""),"ORG_2650")</f>
        <v/>
      </c>
      <c r="C29" s="1">
        <f>IFERROR(__xludf.DUMMYFUNCTION("""COMPUTED_VALUE"""),TRUE)</f>
        <v/>
      </c>
      <c r="D29" s="1">
        <f>IFERROR(__xludf.DUMMYFUNCTION("""COMPUTED_VALUE"""),"CxD - Child Experience Design")</f>
        <v/>
      </c>
      <c r="E29" s="15">
        <f>IFERROR(__xludf.DUMMYFUNCTION("""COMPUTED_VALUE"""),"https://www.hopspots.dk/en/")</f>
        <v/>
      </c>
      <c r="F29" s="1">
        <f>IFERROR(__xludf.DUMMYFUNCTION("""COMPUTED_VALUE"""),"CxD has developed the interactive learning tool, Hopspots. Learning is realized with interactive tiles, sound and games. ")</f>
        <v/>
      </c>
      <c r="G29" s="1">
        <f>IFERROR(__xludf.DUMMYFUNCTION("""COMPUTED_VALUE"""),"EdTech Denmark")</f>
        <v/>
      </c>
      <c r="H29" s="1">
        <f>IFERROR(__xludf.DUMMYFUNCTION("""COMPUTED_VALUE"""),"English, German, Danish, Lithuanian, Dutch")</f>
        <v/>
      </c>
      <c r="I29" s="1">
        <f>IFERROR(__xludf.DUMMYFUNCTION("""COMPUTED_VALUE"""),"abl@hopspots.dk")</f>
        <v/>
      </c>
      <c r="J29" s="1">
        <f>IFERROR(__xludf.DUMMYFUNCTION("""COMPUTED_VALUE"""),"+4531132618")</f>
        <v/>
      </c>
      <c r="K29" s="1">
        <f>IFERROR(__xludf.DUMMYFUNCTION("""COMPUTED_VALUE"""),"Aarhus V")</f>
        <v/>
      </c>
      <c r="L29" s="1">
        <f>IFERROR(__xludf.DUMMYFUNCTION("""COMPUTED_VALUE"""),"Denmark")</f>
        <v/>
      </c>
      <c r="M29" s="1">
        <f>IFERROR(__xludf.DUMMYFUNCTION("""COMPUTED_VALUE"""),"Belgium, Denmark, Finland, Lithuania, Netherlands, Germany")</f>
        <v/>
      </c>
      <c r="N29" s="1">
        <f>IFERROR(__xludf.DUMMYFUNCTION("""COMPUTED_VALUE"""),"Solo entrepreneur")</f>
        <v/>
      </c>
      <c r="O29" s="1">
        <f>IFERROR(__xludf.DUMMYFUNCTION("""COMPUTED_VALUE"""),"Business to Schools, Business to Business")</f>
        <v/>
      </c>
      <c r="P29" s="1">
        <f>IFERROR(__xludf.DUMMYFUNCTION("""COMPUTED_VALUE"""),"Primary Education, Early childhood development (0-5 years), Secondary Education, Special education")</f>
        <v/>
      </c>
      <c r="Q29" s="1">
        <f>IFERROR(__xludf.DUMMYFUNCTION("""COMPUTED_VALUE"""),"Student interfacing")</f>
        <v/>
      </c>
      <c r="R29" s="15">
        <f>IFERROR(__xludf.DUMMYFUNCTION("""COMPUTED_VALUE"""),"https://www.instagram.com/hopspots/")</f>
        <v/>
      </c>
      <c r="S29" s="1" t="n"/>
      <c r="T29" s="15">
        <f>IFERROR(__xludf.DUMMYFUNCTION("""COMPUTED_VALUE"""),"https://www.linkedin.com/company/4848854/")</f>
        <v/>
      </c>
      <c r="U29" s="1">
        <f>IFERROR(__xludf.DUMMYFUNCTION("""COMPUTED_VALUE"""),"Hopspots")</f>
        <v/>
      </c>
      <c r="V29" s="1">
        <f>IFERROR(__xludf.DUMMYFUNCTION("""COMPUTED_VALUE"""),"Hopspots is an interactive learning tool with wireless floor tiles that combine movement, play, and digital learning across subjects.")</f>
        <v/>
      </c>
      <c r="W29" s="1">
        <f>IFERROR(__xludf.DUMMYFUNCTION("""COMPUTED_VALUE"""),"Code:kit for Hopspots")</f>
        <v/>
      </c>
      <c r="X29" s="1">
        <f>IFERROR(__xludf.DUMMYFUNCTION("""COMPUTED_VALUE"""),"Code:kit uses micro:bit to let students code their own games for Hopspots, combining play, movement, and creative coding.")</f>
        <v/>
      </c>
      <c r="Y29" s="15">
        <f>IFERROR(__xludf.DUMMYFUNCTION("""COMPUTED_VALUE"""),"https://drive.google.com/uc?export=view&amp;id=1BFWvHl4kPnQ9QndLQ2FZ0v0NKiLnC5FZ")</f>
        <v/>
      </c>
      <c r="Z29" s="1">
        <f>IFERROR(__xludf.DUMMYFUNCTION("""COMPUTED_VALUE"""),"Verified")</f>
        <v/>
      </c>
      <c r="AA29" s="1">
        <f>IFERROR(__xludf.DUMMYFUNCTION("""COMPUTED_VALUE"""),"Collaborations between EdTech organisations, Project consortium building, Public-private partnerships, Industry-academia partnerships")</f>
        <v/>
      </c>
      <c r="AB29" s="1">
        <f>IFERROR(__xludf.DUMMYFUNCTION("""COMPUTED_VALUE"""),"For-profit company")</f>
        <v/>
      </c>
      <c r="AC29" s="1">
        <f>IFERROR(__xludf.DUMMYFUNCTION("""COMPUTED_VALUE"""),TRUE)</f>
        <v/>
      </c>
      <c r="AD29" s="1">
        <f>IFERROR(__xludf.DUMMYFUNCTION("""COMPUTED_VALUE"""),TRUE)</f>
        <v/>
      </c>
      <c r="AE29" s="15">
        <f>IFERROR(__xludf.DUMMYFUNCTION("""COMPUTED_VALUE"""),"https://www.facebook.com/hopspots.tm")</f>
        <v/>
      </c>
    </row>
    <row r="30" ht="42" customHeight="1">
      <c r="A30" s="14">
        <f>IFERROR(__xludf.DUMMYFUNCTION("""COMPUTED_VALUE"""),45891)</f>
        <v/>
      </c>
      <c r="B30" s="1">
        <f>IFERROR(__xludf.DUMMYFUNCTION("""COMPUTED_VALUE"""),"ORG_2450")</f>
        <v/>
      </c>
      <c r="C30" s="1">
        <f>IFERROR(__xludf.DUMMYFUNCTION("""COMPUTED_VALUE"""),TRUE)</f>
        <v/>
      </c>
      <c r="D30" s="1">
        <f>IFERROR(__xludf.DUMMYFUNCTION("""COMPUTED_VALUE"""),"Ubeeko")</f>
        <v/>
      </c>
      <c r="E30" s="15">
        <f>IFERROR(__xludf.DUMMYFUNCTION("""COMPUTED_VALUE"""),"https://ubeeko.com")</f>
        <v/>
      </c>
      <c r="F30" s="1">
        <f>IFERROR(__xludf.DUMMYFUNCTION("""COMPUTED_VALUE"""),"Development of the HFactory learning platform")</f>
        <v/>
      </c>
      <c r="G30" s="1">
        <f>IFERROR(__xludf.DUMMYFUNCTION("""COMPUTED_VALUE"""),"I'm not part of any EdTech association")</f>
        <v/>
      </c>
      <c r="H30" s="1">
        <f>IFERROR(__xludf.DUMMYFUNCTION("""COMPUTED_VALUE"""),"French, English")</f>
        <v/>
      </c>
      <c r="I30" s="1">
        <f>IFERROR(__xludf.DUMMYFUNCTION("""COMPUTED_VALUE"""),"contact@ubeeko.com")</f>
        <v/>
      </c>
      <c r="J30" s="1">
        <f>IFERROR(__xludf.DUMMYFUNCTION("""COMPUTED_VALUE"""),"+33160713598")</f>
        <v/>
      </c>
      <c r="K30" s="1">
        <f>IFERROR(__xludf.DUMMYFUNCTION("""COMPUTED_VALUE"""),"Fontainebleau")</f>
        <v/>
      </c>
      <c r="L30" s="1">
        <f>IFERROR(__xludf.DUMMYFUNCTION("""COMPUTED_VALUE"""),"France")</f>
        <v/>
      </c>
      <c r="M30" s="1">
        <f>IFERROR(__xludf.DUMMYFUNCTION("""COMPUTED_VALUE"""),"Switzerland, Germany, Spain, Netherlands, Belgium, France, Italy")</f>
        <v/>
      </c>
      <c r="N30" s="1">
        <f>IFERROR(__xludf.DUMMYFUNCTION("""COMPUTED_VALUE"""),"Micro (1-9 FTE employees)")</f>
        <v/>
      </c>
      <c r="O30" s="1">
        <f>IFERROR(__xludf.DUMMYFUNCTION("""COMPUTED_VALUE"""),"Business to Business")</f>
        <v/>
      </c>
      <c r="P30" s="1">
        <f>IFERROR(__xludf.DUMMYFUNCTION("""COMPUTED_VALUE"""),"Higher Education, Corporate Training, Lifelong learning/Adult education")</f>
        <v/>
      </c>
      <c r="Q30" s="1">
        <f>IFERROR(__xludf.DUMMYFUNCTION("""COMPUTED_VALUE"""),"Student interfacing, Teacher interfacing, System/Administrative")</f>
        <v/>
      </c>
      <c r="R30" s="1" t="n"/>
      <c r="S30" s="1" t="n"/>
      <c r="T30" s="15">
        <f>IFERROR(__xludf.DUMMYFUNCTION("""COMPUTED_VALUE"""),"https://linkedin.com/company/ubeeko")</f>
        <v/>
      </c>
      <c r="U30" s="1">
        <f>IFERROR(__xludf.DUMMYFUNCTION("""COMPUTED_VALUE"""),"HFactory")</f>
        <v/>
      </c>
      <c r="V30" s="1">
        <f>IFERROR(__xludf.DUMMYFUNCTION("""COMPUTED_VALUE"""),"Hybrid pedagogy platform for Higher education, Executive education and Lifelong learning")</f>
        <v/>
      </c>
      <c r="W30" s="1" t="n"/>
      <c r="X30" s="1" t="n"/>
      <c r="Y30" s="15">
        <f>IFERROR(__xludf.DUMMYFUNCTION("""COMPUTED_VALUE"""),"https://drive.google.com/uc?export=view&amp;id=12GhYpnmV3gizaXgo-COIuYi-17b7BxLC")</f>
        <v/>
      </c>
      <c r="Z30" s="1">
        <f>IFERROR(__xludf.DUMMYFUNCTION("""COMPUTED_VALUE"""),"Verified")</f>
        <v/>
      </c>
      <c r="AA30" s="1">
        <f>IFERROR(__xludf.DUMMYFUNCTION("""COMPUTED_VALUE"""),"Industry-academia partnerships, Other")</f>
        <v/>
      </c>
      <c r="AB30" s="1">
        <f>IFERROR(__xludf.DUMMYFUNCTION("""COMPUTED_VALUE"""),"For-profit company")</f>
        <v/>
      </c>
      <c r="AC30" s="1">
        <f>IFERROR(__xludf.DUMMYFUNCTION("""COMPUTED_VALUE"""),TRUE)</f>
        <v/>
      </c>
      <c r="AD30" s="1">
        <f>IFERROR(__xludf.DUMMYFUNCTION("""COMPUTED_VALUE"""),TRUE)</f>
        <v/>
      </c>
      <c r="AE30" s="1" t="n"/>
    </row>
    <row r="31" ht="42" customHeight="1">
      <c r="A31" s="14">
        <f>IFERROR(__xludf.DUMMYFUNCTION("""COMPUTED_VALUE"""),45891)</f>
        <v/>
      </c>
      <c r="B31" s="1">
        <f>IFERROR(__xludf.DUMMYFUNCTION("""COMPUTED_VALUE"""),"ORG_2649")</f>
        <v/>
      </c>
      <c r="C31" s="1">
        <f>IFERROR(__xludf.DUMMYFUNCTION("""COMPUTED_VALUE"""),TRUE)</f>
        <v/>
      </c>
      <c r="D31" s="1">
        <f>IFERROR(__xludf.DUMMYFUNCTION("""COMPUTED_VALUE"""),"Springlab Learning")</f>
        <v/>
      </c>
      <c r="E31" s="15">
        <f>IFERROR(__xludf.DUMMYFUNCTION("""COMPUTED_VALUE"""),"www.springlab.nl")</f>
        <v/>
      </c>
      <c r="F31" s="1">
        <f>IFERROR(__xludf.DUMMYFUNCTION("""COMPUTED_VALUE"""),"Springlab is a mission-driven social enterprise on a vibrant quest to tackle children’s inactivity in the Netherlands by making “bewegend spelen en leren” (active play and learning) the new standard—especially in early childhood settings and primary educa"&amp;"tion. We combine science, creativity, technology, and gamification in a smart, sustainable way to inspire movement, ignite joy, and boost learning—without adding pressure or complexity for educators.")</f>
        <v/>
      </c>
      <c r="G31" s="1">
        <f>IFERROR(__xludf.DUMMYFUNCTION("""COMPUTED_VALUE"""),"Dutch EdTech")</f>
        <v/>
      </c>
      <c r="H31" s="1">
        <f>IFERROR(__xludf.DUMMYFUNCTION("""COMPUTED_VALUE"""),"Dutch")</f>
        <v/>
      </c>
      <c r="I31" s="1">
        <f>IFERROR(__xludf.DUMMYFUNCTION("""COMPUTED_VALUE"""),"info@springlab.nl")</f>
        <v/>
      </c>
      <c r="J31" s="1">
        <f>IFERROR(__xludf.DUMMYFUNCTION("""COMPUTED_VALUE"""),"+31851046880")</f>
        <v/>
      </c>
      <c r="K31" s="1">
        <f>IFERROR(__xludf.DUMMYFUNCTION("""COMPUTED_VALUE"""),"Utrecht")</f>
        <v/>
      </c>
      <c r="L31" s="1">
        <f>IFERROR(__xludf.DUMMYFUNCTION("""COMPUTED_VALUE"""),"The Netherlands")</f>
        <v/>
      </c>
      <c r="M31" s="1">
        <f>IFERROR(__xludf.DUMMYFUNCTION("""COMPUTED_VALUE"""),"Netherlands")</f>
        <v/>
      </c>
      <c r="N31" s="1">
        <f>IFERROR(__xludf.DUMMYFUNCTION("""COMPUTED_VALUE"""),"Small (10-49 FTE employees)")</f>
        <v/>
      </c>
      <c r="O31" s="1">
        <f>IFERROR(__xludf.DUMMYFUNCTION("""COMPUTED_VALUE"""),"Business to Business, Business to Schools")</f>
        <v/>
      </c>
      <c r="P31" s="1">
        <f>IFERROR(__xludf.DUMMYFUNCTION("""COMPUTED_VALUE"""),"Early childhood development (0-5 years), Primary Education")</f>
        <v/>
      </c>
      <c r="Q31" s="1">
        <f>IFERROR(__xludf.DUMMYFUNCTION("""COMPUTED_VALUE"""),"Other")</f>
        <v/>
      </c>
      <c r="R31" s="15">
        <f>IFERROR(__xludf.DUMMYFUNCTION("""COMPUTED_VALUE"""),"https://www.instagram.com/springlabnl/")</f>
        <v/>
      </c>
      <c r="S31" s="1" t="n"/>
      <c r="T31" s="15">
        <f>IFERROR(__xludf.DUMMYFUNCTION("""COMPUTED_VALUE"""),"https://www.linkedin.com/company/10009167/admin/dashboard/")</f>
        <v/>
      </c>
      <c r="U31" s="1">
        <f>IFERROR(__xludf.DUMMYFUNCTION("""COMPUTED_VALUE"""),"Beweegvloer")</f>
        <v/>
      </c>
      <c r="V31" s="1">
        <f>IFERROR(__xludf.DUMMYFUNCTION("""COMPUTED_VALUE"""),"Interactive Floor which encourages embodied learning")</f>
        <v/>
      </c>
      <c r="W31" s="1">
        <f>IFERROR(__xludf.DUMMYFUNCTION("""COMPUTED_VALUE"""),"Springloop")</f>
        <v/>
      </c>
      <c r="X31" s="1">
        <f>IFERROR(__xludf.DUMMYFUNCTION("""COMPUTED_VALUE"""),"tablet app")</f>
        <v/>
      </c>
      <c r="Y31" s="15">
        <f>IFERROR(__xludf.DUMMYFUNCTION("""COMPUTED_VALUE"""),"https://drive.google.com/uc?export=view&amp;id=14nrXAx90b8CDdNRBaDYoUSdxGVtd5OwS")</f>
        <v/>
      </c>
      <c r="Z31" s="1">
        <f>IFERROR(__xludf.DUMMYFUNCTION("""COMPUTED_VALUE"""),"Verified")</f>
        <v/>
      </c>
      <c r="AA31" s="1">
        <f>IFERROR(__xludf.DUMMYFUNCTION("""COMPUTED_VALUE"""),"Industry-academia partnerships, Collaborations between EdTech organisations")</f>
        <v/>
      </c>
      <c r="AB31" s="1">
        <f>IFERROR(__xludf.DUMMYFUNCTION("""COMPUTED_VALUE"""),"For-profit company")</f>
        <v/>
      </c>
      <c r="AC31" s="1">
        <f>IFERROR(__xludf.DUMMYFUNCTION("""COMPUTED_VALUE"""),TRUE)</f>
        <v/>
      </c>
      <c r="AD31" s="1">
        <f>IFERROR(__xludf.DUMMYFUNCTION("""COMPUTED_VALUE"""),TRUE)</f>
        <v/>
      </c>
      <c r="AE31" s="15">
        <f>IFERROR(__xludf.DUMMYFUNCTION("""COMPUTED_VALUE"""),"https://www.facebook.com/p/Springlab-Learning-61559318542181/")</f>
        <v/>
      </c>
    </row>
    <row r="32" ht="42" customHeight="1">
      <c r="A32" s="14">
        <f>IFERROR(__xludf.DUMMYFUNCTION("""COMPUTED_VALUE"""),45891)</f>
        <v/>
      </c>
      <c r="B32" s="1">
        <f>IFERROR(__xludf.DUMMYFUNCTION("""COMPUTED_VALUE"""),"ORG_1007")</f>
        <v/>
      </c>
      <c r="C32" s="1">
        <f>IFERROR(__xludf.DUMMYFUNCTION("""COMPUTED_VALUE"""),TRUE)</f>
        <v/>
      </c>
      <c r="D32" s="1">
        <f>IFERROR(__xludf.DUMMYFUNCTION("""COMPUTED_VALUE"""),"2Simple")</f>
        <v/>
      </c>
      <c r="E32" s="15">
        <f>IFERROR(__xludf.DUMMYFUNCTION("""COMPUTED_VALUE"""),"https://www.2simple.com/")</f>
        <v/>
      </c>
      <c r="F32" s="1">
        <f>IFERROR(__xludf.DUMMYFUNCTION("""COMPUTED_VALUE"""),"2Simple has been making powerful and creative educational software for learners and schools since 1999. We are committed to providing creative, inclusive, and inspiring software to encourage children to love learning and prepare them for later life. Today"&amp;" our software and resources are used by learners in over 11,000 schools, in more than 70 countries.   ")</f>
        <v/>
      </c>
      <c r="G32" s="1">
        <f>IFERROR(__xludf.DUMMYFUNCTION("""COMPUTED_VALUE"""),"I'm not part of any EdTech association")</f>
        <v/>
      </c>
      <c r="H32" s="1">
        <f>IFERROR(__xludf.DUMMYFUNCTION("""COMPUTED_VALUE"""),"English")</f>
        <v/>
      </c>
      <c r="I32" s="1">
        <f>IFERROR(__xludf.DUMMYFUNCTION("""COMPUTED_VALUE"""),"hello@2simple.com")</f>
        <v/>
      </c>
      <c r="J32" s="1">
        <f>IFERROR(__xludf.DUMMYFUNCTION("""COMPUTED_VALUE"""),"+442082031781")</f>
        <v/>
      </c>
      <c r="K32" s="1">
        <f>IFERROR(__xludf.DUMMYFUNCTION("""COMPUTED_VALUE"""),"London")</f>
        <v/>
      </c>
      <c r="L32" s="1">
        <f>IFERROR(__xludf.DUMMYFUNCTION("""COMPUTED_VALUE"""),"United Kingdom")</f>
        <v/>
      </c>
      <c r="M32" s="1">
        <f>IFERROR(__xludf.DUMMYFUNCTION("""COMPUTED_VALUE"""),"Albania, Andorra, Austria, Bosnia and Herzegovina, Belgium, Belarus, Bulgaria, Croatia, Republic of Cyprus, Estonia, Denmark, Czechia, Finland, France, Germany, Iceland, Hungary, Greece, Ireland, Italy, Kosovo, Lithuania, Liechtenstein, Latvia, Luxembourg"&amp;", Malta, Moldova, Netherlands, Montenegro, Monaco, North Macedonia, Norway, Poland, San Marino, Romania, Portugal, Slovakia, Slovenia, Spain, Turkey, Switzerland, Sweden, Ukraine, United Kingdom")</f>
        <v/>
      </c>
      <c r="N32" s="1">
        <f>IFERROR(__xludf.DUMMYFUNCTION("""COMPUTED_VALUE"""),"Medium (50-250 FTE employees)")</f>
        <v/>
      </c>
      <c r="O32" s="1">
        <f>IFERROR(__xludf.DUMMYFUNCTION("""COMPUTED_VALUE"""),"Business to Schools, Business to Consumer")</f>
        <v/>
      </c>
      <c r="P32" s="1">
        <f>IFERROR(__xludf.DUMMYFUNCTION("""COMPUTED_VALUE"""),"Early childhood development (0-5 years), Primary Education, Secondary Education")</f>
        <v/>
      </c>
      <c r="Q32" s="1">
        <f>IFERROR(__xludf.DUMMYFUNCTION("""COMPUTED_VALUE"""),"Student interfacing, Teacher interfacing")</f>
        <v/>
      </c>
      <c r="R32" s="15">
        <f>IFERROR(__xludf.DUMMYFUNCTION("""COMPUTED_VALUE"""),"https://www.instagram.com/2simplesoftware")</f>
        <v/>
      </c>
      <c r="S32" s="15">
        <f>IFERROR(__xludf.DUMMYFUNCTION("""COMPUTED_VALUE"""),"https://x.com/2SimpleSoftware")</f>
        <v/>
      </c>
      <c r="T32" s="15">
        <f>IFERROR(__xludf.DUMMYFUNCTION("""COMPUTED_VALUE"""),"https://www.linkedin.com/company/2simple")</f>
        <v/>
      </c>
      <c r="U32" s="1">
        <f>IFERROR(__xludf.DUMMYFUNCTION("""COMPUTED_VALUE"""),"Purple Mash")</f>
        <v/>
      </c>
      <c r="V32" s="1">
        <f>IFERROR(__xludf.DUMMYFUNCTION("""COMPUTED_VALUE"""),"Purple Mash supports primary schools in delivering their curriculum through an easy-to-use learning platform with ready-made content. This ensures an enriched, engaging, and creative experience for every child, while simplifying lesson planning for teache"&amp;"rs.")</f>
        <v/>
      </c>
      <c r="W32" s="1">
        <f>IFERROR(__xludf.DUMMYFUNCTION("""COMPUTED_VALUE"""),"Python in Pieces")</f>
        <v/>
      </c>
      <c r="X32" s="1">
        <f>IFERROR(__xludf.DUMMYFUNCTION("""COMPUTED_VALUE"""),"Guide students from blocks to Python with interactive lessons, open activities, and bidirectional code translation.")</f>
        <v/>
      </c>
      <c r="Y32" s="15">
        <f>IFERROR(__xludf.DUMMYFUNCTION("""COMPUTED_VALUE"""),"https://drive.google.com/uc?export=view&amp;id=1mRNNyYfjQ2oeACEModsUp_ep4dSolv0d")</f>
        <v/>
      </c>
      <c r="Z32" s="1">
        <f>IFERROR(__xludf.DUMMYFUNCTION("""COMPUTED_VALUE"""),"Verified")</f>
        <v/>
      </c>
      <c r="AA32" s="1" t="n"/>
      <c r="AB32" s="1">
        <f>IFERROR(__xludf.DUMMYFUNCTION("""COMPUTED_VALUE"""),"For-profit company")</f>
        <v/>
      </c>
      <c r="AC32" s="1">
        <f>IFERROR(__xludf.DUMMYFUNCTION("""COMPUTED_VALUE"""),TRUE)</f>
        <v/>
      </c>
      <c r="AD32" s="1">
        <f>IFERROR(__xludf.DUMMYFUNCTION("""COMPUTED_VALUE"""),TRUE)</f>
        <v/>
      </c>
      <c r="AE32" s="15">
        <f>IFERROR(__xludf.DUMMYFUNCTION("""COMPUTED_VALUE"""),"https://www.facebook.com/2Simpleuk")</f>
        <v/>
      </c>
    </row>
    <row r="33" ht="42" customHeight="1">
      <c r="A33" s="14">
        <f>IFERROR(__xludf.DUMMYFUNCTION("""COMPUTED_VALUE"""),45891)</f>
        <v/>
      </c>
      <c r="B33" s="1">
        <f>IFERROR(__xludf.DUMMYFUNCTION("""COMPUTED_VALUE"""),"ORG_2182")</f>
        <v/>
      </c>
      <c r="C33" s="1">
        <f>IFERROR(__xludf.DUMMYFUNCTION("""COMPUTED_VALUE"""),TRUE)</f>
        <v/>
      </c>
      <c r="D33" s="1">
        <f>IFERROR(__xludf.DUMMYFUNCTION("""COMPUTED_VALUE"""),"Rflect")</f>
        <v/>
      </c>
      <c r="E33" s="15">
        <f>IFERROR(__xludf.DUMMYFUNCTION("""COMPUTED_VALUE"""),"www.rflect.ch")</f>
        <v/>
      </c>
      <c r="F33" s="1">
        <f>IFERROR(__xludf.DUMMYFUNCTION("""COMPUTED_VALUE"""),"Integrate student inner development into any curriculum, for credits, with a tech-enabled plug&amp;play platform that is high-quality, affordable and scalable")</f>
        <v/>
      </c>
      <c r="G33" s="1">
        <f>IFERROR(__xludf.DUMMYFUNCTION("""COMPUTED_VALUE"""),"Swiss EdTech Collider")</f>
        <v/>
      </c>
      <c r="H33" s="1" t="n"/>
      <c r="I33" s="1">
        <f>IFERROR(__xludf.DUMMYFUNCTION("""COMPUTED_VALUE"""),"info@rflect.ch")</f>
        <v/>
      </c>
      <c r="J33" s="1">
        <f>IFERROR(__xludf.DUMMYFUNCTION("""COMPUTED_VALUE"""),"+41786799332")</f>
        <v/>
      </c>
      <c r="K33" s="1">
        <f>IFERROR(__xludf.DUMMYFUNCTION("""COMPUTED_VALUE"""),"Zürich")</f>
        <v/>
      </c>
      <c r="L33" s="1">
        <f>IFERROR(__xludf.DUMMYFUNCTION("""COMPUTED_VALUE"""),"Switzerland")</f>
        <v/>
      </c>
      <c r="M33" s="1" t="n"/>
      <c r="N33" s="1">
        <f>IFERROR(__xludf.DUMMYFUNCTION("""COMPUTED_VALUE"""),"Micro (1-9 FTE employees)")</f>
        <v/>
      </c>
      <c r="O33" s="1">
        <f>IFERROR(__xludf.DUMMYFUNCTION("""COMPUTED_VALUE"""),"Business to Schools")</f>
        <v/>
      </c>
      <c r="P33" s="1">
        <f>IFERROR(__xludf.DUMMYFUNCTION("""COMPUTED_VALUE"""),"Higher Education, Lifelong learning/Adult education")</f>
        <v/>
      </c>
      <c r="Q33" s="1">
        <f>IFERROR(__xludf.DUMMYFUNCTION("""COMPUTED_VALUE"""),"Teacher interfacing, Student interfacing")</f>
        <v/>
      </c>
      <c r="R33" s="1" t="n"/>
      <c r="S33" s="1" t="n"/>
      <c r="T33" s="15">
        <f>IFERROR(__xludf.DUMMYFUNCTION("""COMPUTED_VALUE"""),"https://www.linkedin.com/company/79407274/")</f>
        <v/>
      </c>
      <c r="U33" s="1" t="n"/>
      <c r="V33" s="1" t="n"/>
      <c r="W33" s="1" t="n"/>
      <c r="X33" s="1" t="n"/>
      <c r="Y33" s="15">
        <f>IFERROR(__xludf.DUMMYFUNCTION("""COMPUTED_VALUE"""),"https://drive.google.com/uc?export=view&amp;id=1MtoTpYpsgS5ezHnYGtlZwzhxp5aNBclD")</f>
        <v/>
      </c>
      <c r="Z33" s="1">
        <f>IFERROR(__xludf.DUMMYFUNCTION("""COMPUTED_VALUE"""),"Verified")</f>
        <v/>
      </c>
      <c r="AA33" s="1">
        <f>IFERROR(__xludf.DUMMYFUNCTION("""COMPUTED_VALUE"""),"Project consortium building, Industry-academia partnerships")</f>
        <v/>
      </c>
      <c r="AB33" s="1">
        <f>IFERROR(__xludf.DUMMYFUNCTION("""COMPUTED_VALUE"""),"For-profit company")</f>
        <v/>
      </c>
      <c r="AC33" s="1">
        <f>IFERROR(__xludf.DUMMYFUNCTION("""COMPUTED_VALUE"""),TRUE)</f>
        <v/>
      </c>
      <c r="AD33" s="1">
        <f>IFERROR(__xludf.DUMMYFUNCTION("""COMPUTED_VALUE"""),TRUE)</f>
        <v/>
      </c>
      <c r="AE33" s="1" t="n"/>
    </row>
    <row r="34" ht="42" customHeight="1">
      <c r="A34" s="14">
        <f>IFERROR(__xludf.DUMMYFUNCTION("""COMPUTED_VALUE"""),45890)</f>
        <v/>
      </c>
      <c r="B34" s="1">
        <f>IFERROR(__xludf.DUMMYFUNCTION("""COMPUTED_VALUE"""),"ORG_2648")</f>
        <v/>
      </c>
      <c r="C34" s="1">
        <f>IFERROR(__xludf.DUMMYFUNCTION("""COMPUTED_VALUE"""),TRUE)</f>
        <v/>
      </c>
      <c r="D34" s="1">
        <f>IFERROR(__xludf.DUMMYFUNCTION("""COMPUTED_VALUE"""),"bidi Bildung Digital GmbH")</f>
        <v/>
      </c>
      <c r="E34" s="1">
        <f>IFERROR(__xludf.DUMMYFUNCTION("""COMPUTED_VALUE"""),"bidi.one")</f>
        <v/>
      </c>
      <c r="F34" s="1">
        <f>IFERROR(__xludf.DUMMYFUNCTION("""COMPUTED_VALUE"""),"bidi partners directly with schools and uses government-funded education programs to deliver free, high-quality one-to-one online tutoring for K–12 students.")</f>
        <v/>
      </c>
      <c r="G34" s="1">
        <f>IFERROR(__xludf.DUMMYFUNCTION("""COMPUTED_VALUE"""),"EdTech-Verband e.V.")</f>
        <v/>
      </c>
      <c r="H34" s="1">
        <f>IFERROR(__xludf.DUMMYFUNCTION("""COMPUTED_VALUE"""),"German")</f>
        <v/>
      </c>
      <c r="I34" s="1">
        <f>IFERROR(__xludf.DUMMYFUNCTION("""COMPUTED_VALUE"""),"support@bidi.one")</f>
        <v/>
      </c>
      <c r="J34" s="1">
        <f>IFERROR(__xludf.DUMMYFUNCTION("""COMPUTED_VALUE"""),"+4980020403040")</f>
        <v/>
      </c>
      <c r="K34" s="1">
        <f>IFERROR(__xludf.DUMMYFUNCTION("""COMPUTED_VALUE"""),"Dresden")</f>
        <v/>
      </c>
      <c r="L34" s="1">
        <f>IFERROR(__xludf.DUMMYFUNCTION("""COMPUTED_VALUE"""),"Germany")</f>
        <v/>
      </c>
      <c r="M34" s="1">
        <f>IFERROR(__xludf.DUMMYFUNCTION("""COMPUTED_VALUE"""),"Austria, Germany, Switzerland")</f>
        <v/>
      </c>
      <c r="N34" s="1">
        <f>IFERROR(__xludf.DUMMYFUNCTION("""COMPUTED_VALUE"""),"Small (10-49 FTE employees)")</f>
        <v/>
      </c>
      <c r="O34" s="1">
        <f>IFERROR(__xludf.DUMMYFUNCTION("""COMPUTED_VALUE"""),"Business to Government")</f>
        <v/>
      </c>
      <c r="P34" s="1">
        <f>IFERROR(__xludf.DUMMYFUNCTION("""COMPUTED_VALUE"""),"Primary Education, Secondary Education")</f>
        <v/>
      </c>
      <c r="Q34" s="1">
        <f>IFERROR(__xludf.DUMMYFUNCTION("""COMPUTED_VALUE"""),"Student interfacing")</f>
        <v/>
      </c>
      <c r="R34" s="15">
        <f>IFERROR(__xludf.DUMMYFUNCTION("""COMPUTED_VALUE"""),"https://www.instagram.com/bidi.one")</f>
        <v/>
      </c>
      <c r="S34" s="1" t="n"/>
      <c r="T34" s="15">
        <f>IFERROR(__xludf.DUMMYFUNCTION("""COMPUTED_VALUE"""),"https://www.linkedin.com/company/bidi-one")</f>
        <v/>
      </c>
      <c r="U34" s="1">
        <f>IFERROR(__xludf.DUMMYFUNCTION("""COMPUTED_VALUE"""),"online tutoring")</f>
        <v/>
      </c>
      <c r="V34" s="1">
        <f>IFERROR(__xludf.DUMMYFUNCTION("""COMPUTED_VALUE"""),"bidi delivers one-to-one online tutoring by matching carefully selected tutors with students across all school subjects.")</f>
        <v/>
      </c>
      <c r="W34" s="1">
        <f>IFERROR(__xludf.DUMMYFUNCTION("""COMPUTED_VALUE"""),"online mentoring")</f>
        <v/>
      </c>
      <c r="X34" s="1">
        <f>IFERROR(__xludf.DUMMYFUNCTION("""COMPUTED_VALUE"""),"bidi delivers online mentoring by matching carefully selected mentors with students to support academic-focused areas such as study skills and career orientation, as well as broader life skills like confidence, motivation, and well-being.")</f>
        <v/>
      </c>
      <c r="Y34" s="15">
        <f>IFERROR(__xludf.DUMMYFUNCTION("""COMPUTED_VALUE"""),"https://drive.google.com/uc?export=view&amp;id=1TUzUzF-siG_7-VJpEzOn8XLg9XY-asKv")</f>
        <v/>
      </c>
      <c r="Z34" s="1">
        <f>IFERROR(__xludf.DUMMYFUNCTION("""COMPUTED_VALUE"""),"Verified")</f>
        <v/>
      </c>
      <c r="AA34" s="1">
        <f>IFERROR(__xludf.DUMMYFUNCTION("""COMPUTED_VALUE"""),"Collaborations between EdTech organisations, Public-private partnerships, Industry-academia partnerships, Project consortium building, Other")</f>
        <v/>
      </c>
      <c r="AB34" s="1">
        <f>IFERROR(__xludf.DUMMYFUNCTION("""COMPUTED_VALUE"""),"For-profit company")</f>
        <v/>
      </c>
      <c r="AC34" s="1">
        <f>IFERROR(__xludf.DUMMYFUNCTION("""COMPUTED_VALUE"""),TRUE)</f>
        <v/>
      </c>
      <c r="AD34" s="1">
        <f>IFERROR(__xludf.DUMMYFUNCTION("""COMPUTED_VALUE"""),FALSE)</f>
        <v/>
      </c>
      <c r="AE34" s="1" t="n"/>
    </row>
    <row r="35" ht="42" customHeight="1">
      <c r="A35" s="14">
        <f>IFERROR(__xludf.DUMMYFUNCTION("""COMPUTED_VALUE"""),45890)</f>
        <v/>
      </c>
      <c r="B35" s="1">
        <f>IFERROR(__xludf.DUMMYFUNCTION("""COMPUTED_VALUE"""),"ORG_1843")</f>
        <v/>
      </c>
      <c r="C35" s="1">
        <f>IFERROR(__xludf.DUMMYFUNCTION("""COMPUTED_VALUE"""),TRUE)</f>
        <v/>
      </c>
      <c r="D35" s="1">
        <f>IFERROR(__xludf.DUMMYFUNCTION("""COMPUTED_VALUE"""),"LearnWise AI")</f>
        <v/>
      </c>
      <c r="E35" s="15">
        <f>IFERROR(__xludf.DUMMYFUNCTION("""COMPUTED_VALUE"""),"https://learnwise.ai")</f>
        <v/>
      </c>
      <c r="F35" s="1">
        <f>IFERROR(__xludf.DUMMYFUNCTION("""COMPUTED_VALUE"""),"LearnWise AI empowers educational institutions with an omni-data, omni-channel AI platform that enhances teaching, learning, and support. LearnWise solutions enable effective grading and feedback at scale, provide personalized student assistance, and opti"&amp;"mize support team efficiency through intelligent automation, knowledge management, and insights. Seamlessly integrated into leading LMSs and institutions’ entire digital ecosystem, LearnWise helps institutions unify fragmented services, improve faculty an"&amp;"d staff productivity, and deliver modern, scalable student experiences.")</f>
        <v/>
      </c>
      <c r="G35" s="1">
        <f>IFERROR(__xludf.DUMMYFUNCTION("""COMPUTED_VALUE"""),"Dutch EdTech")</f>
        <v/>
      </c>
      <c r="H35" s="1">
        <f>IFERROR(__xludf.DUMMYFUNCTION("""COMPUTED_VALUE"""),"English, French, Spanish, Dutch, Italian, German, Portuguese, Bulgarian, Croatian, Estonian, Danish, Czech, Finnish, Greek, Hungarian, Lithuanian, Latvian, Irish, Maltese, Polish, Romanian, Swedish, Slovenian, Slovak, Ukrainian")</f>
        <v/>
      </c>
      <c r="I35" s="1">
        <f>IFERROR(__xludf.DUMMYFUNCTION("""COMPUTED_VALUE"""),"hi@learnwise.ai")</f>
        <v/>
      </c>
      <c r="J35" s="1">
        <f>IFERROR(__xludf.DUMMYFUNCTION("""COMPUTED_VALUE"""),"+3197010286919")</f>
        <v/>
      </c>
      <c r="K35" s="1">
        <f>IFERROR(__xludf.DUMMYFUNCTION("""COMPUTED_VALUE"""),"Amsterdam")</f>
        <v/>
      </c>
      <c r="L35" s="1">
        <f>IFERROR(__xludf.DUMMYFUNCTION("""COMPUTED_VALUE"""),"The Netherlands")</f>
        <v/>
      </c>
      <c r="M35" s="1">
        <f>IFERROR(__xludf.DUMMYFUNCTION("""COMPUTED_VALUE"""),"United Kingdom, Ukraine, Turkey, Switzerland, Sweden, Spain, Slovenia, Slovakia, Portugal, Romania, San Marino, Poland, Norway, North Macedonia, Netherlands, Montenegro, Monaco, Luxembourg, Malta, Moldova, Lithuania, Liechtenstein, Latvia, Italy, Kosovo, "&amp;"Iceland, Hungary, Ireland, Greece, Finland, France, Germany, Estonia, Denmark, Czechia, Bulgaria, Croatia, Republic of Cyprus, Bosnia and Herzegovina, Belgium, Belarus, Albania, Andorra, Austria")</f>
        <v/>
      </c>
      <c r="N35" s="1">
        <f>IFERROR(__xludf.DUMMYFUNCTION("""COMPUTED_VALUE"""),"Small (10-49 FTE employees)")</f>
        <v/>
      </c>
      <c r="O35" s="1">
        <f>IFERROR(__xludf.DUMMYFUNCTION("""COMPUTED_VALUE"""),"Business to Schools, Business to Business")</f>
        <v/>
      </c>
      <c r="P35" s="1">
        <f>IFERROR(__xludf.DUMMYFUNCTION("""COMPUTED_VALUE"""),"Higher Education, Lifelong learning/Adult education, Vocational Education and Training (VET), Secondary Education")</f>
        <v/>
      </c>
      <c r="Q35" s="1">
        <f>IFERROR(__xludf.DUMMYFUNCTION("""COMPUTED_VALUE"""),"Student interfacing, Teacher interfacing, System/Administrative")</f>
        <v/>
      </c>
      <c r="R35" s="1" t="n"/>
      <c r="S35" s="1" t="n"/>
      <c r="T35" s="15">
        <f>IFERROR(__xludf.DUMMYFUNCTION("""COMPUTED_VALUE"""),"https://www.linkedin.com/company/learnwiseai")</f>
        <v/>
      </c>
      <c r="U35" s="1">
        <f>IFERROR(__xludf.DUMMYFUNCTION("""COMPUTED_VALUE"""),"AI Support &amp; Tutor")</f>
        <v/>
      </c>
      <c r="V35" s="1">
        <f>IFERROR(__xludf.DUMMYFUNCTION("""COMPUTED_VALUE"""),"LearnWise AI streamlines student and faculty support with intelligent, 24/7 available AI assistants. From answering routine questions to delivering personalized academic guidance, LearnWise reduces support team workload while making resources easier to ac"&amp;"cess across every channel students use.")</f>
        <v/>
      </c>
      <c r="W35" s="1">
        <f>IFERROR(__xludf.DUMMYFUNCTION("""COMPUTED_VALUE"""),"AI Feedback &amp; Grader")</f>
        <v/>
      </c>
      <c r="X35" s="1">
        <f>IFERROR(__xludf.DUMMYFUNCTION("""COMPUTED_VALUE"""),"LearnWise AI accelerates grading by generating high-quality, consistent, and personalized feedback for every student assignment within existing grading workflows in the LMS. Faculty save time, and ensure students receive the timely guidance they need to i"&amp;"mprove learning outcomes.")</f>
        <v/>
      </c>
      <c r="Y35" s="15">
        <f>IFERROR(__xludf.DUMMYFUNCTION("""COMPUTED_VALUE"""),"https://drive.google.com/uc?export=view&amp;id=1XW5-CsbXDZnSKrFVNFynTIEHKkdUJRvY")</f>
        <v/>
      </c>
      <c r="Z35" s="1">
        <f>IFERROR(__xludf.DUMMYFUNCTION("""COMPUTED_VALUE"""),"Verified")</f>
        <v/>
      </c>
      <c r="AA35" s="1">
        <f>IFERROR(__xludf.DUMMYFUNCTION("""COMPUTED_VALUE"""),"Industry-academia partnerships, Public-private partnerships, Project consortium building, Collaborations between EdTech organisations")</f>
        <v/>
      </c>
      <c r="AB35" s="1">
        <f>IFERROR(__xludf.DUMMYFUNCTION("""COMPUTED_VALUE"""),"For-profit company")</f>
        <v/>
      </c>
      <c r="AC35" s="1">
        <f>IFERROR(__xludf.DUMMYFUNCTION("""COMPUTED_VALUE"""),TRUE)</f>
        <v/>
      </c>
      <c r="AD35" s="1">
        <f>IFERROR(__xludf.DUMMYFUNCTION("""COMPUTED_VALUE"""),TRUE)</f>
        <v/>
      </c>
      <c r="AE35" s="1" t="n"/>
    </row>
    <row r="36" ht="42" customHeight="1">
      <c r="A36" s="14">
        <f>IFERROR(__xludf.DUMMYFUNCTION("""COMPUTED_VALUE"""),45890)</f>
        <v/>
      </c>
      <c r="B36" s="1">
        <f>IFERROR(__xludf.DUMMYFUNCTION("""COMPUTED_VALUE"""),"ORG_2647")</f>
        <v/>
      </c>
      <c r="C36" s="1">
        <f>IFERROR(__xludf.DUMMYFUNCTION("""COMPUTED_VALUE"""),TRUE)</f>
        <v/>
      </c>
      <c r="D36" s="1">
        <f>IFERROR(__xludf.DUMMYFUNCTION("""COMPUTED_VALUE"""),"Scéalprod - Scéal studio")</f>
        <v/>
      </c>
      <c r="E36" s="15">
        <f>IFERROR(__xludf.DUMMYFUNCTION("""COMPUTED_VALUE"""),"https://scealprod.fr")</f>
        <v/>
      </c>
      <c r="F36" s="1">
        <f>IFERROR(__xludf.DUMMYFUNCTION("""COMPUTED_VALUE"""),"Scéal Studio, the story creation platform that motivates writing among 10-18-year-olds. The platform offers integrated tools that facilitate the writing and editing of documentary or narrative projects, as well as literary support through writing workshop"&amp;"s or videoconferences.")</f>
        <v/>
      </c>
      <c r="G36" s="1">
        <f>IFERROR(__xludf.DUMMYFUNCTION("""COMPUTED_VALUE"""),"EdTech France")</f>
        <v/>
      </c>
      <c r="H36" s="1">
        <f>IFERROR(__xludf.DUMMYFUNCTION("""COMPUTED_VALUE"""),"English, French, Spanish, German, Italian")</f>
        <v/>
      </c>
      <c r="I36" s="1">
        <f>IFERROR(__xludf.DUMMYFUNCTION("""COMPUTED_VALUE"""),"contact@scealprod.com")</f>
        <v/>
      </c>
      <c r="J36" s="1">
        <f>IFERROR(__xludf.DUMMYFUNCTION("""COMPUTED_VALUE"""),"+33611197109")</f>
        <v/>
      </c>
      <c r="K36" s="1">
        <f>IFERROR(__xludf.DUMMYFUNCTION("""COMPUTED_VALUE"""),"Bordeaux")</f>
        <v/>
      </c>
      <c r="L36" s="1">
        <f>IFERROR(__xludf.DUMMYFUNCTION("""COMPUTED_VALUE"""),"France")</f>
        <v/>
      </c>
      <c r="M36" s="1">
        <f>IFERROR(__xludf.DUMMYFUNCTION("""COMPUTED_VALUE"""),"Belgium, Germany, Spain, United Kingdom, France, Italy")</f>
        <v/>
      </c>
      <c r="N36" s="1">
        <f>IFERROR(__xludf.DUMMYFUNCTION("""COMPUTED_VALUE"""),"Micro (1-9 FTE employees)")</f>
        <v/>
      </c>
      <c r="O36" s="1">
        <f>IFERROR(__xludf.DUMMYFUNCTION("""COMPUTED_VALUE"""),"Business to Schools, Business to Consumer")</f>
        <v/>
      </c>
      <c r="P36" s="1">
        <f>IFERROR(__xludf.DUMMYFUNCTION("""COMPUTED_VALUE"""),"Vocational Education and Training (VET), Secondary Education, Lifelong learning/Adult education")</f>
        <v/>
      </c>
      <c r="Q36" s="1">
        <f>IFERROR(__xludf.DUMMYFUNCTION("""COMPUTED_VALUE"""),"Student interfacing, Teacher interfacing")</f>
        <v/>
      </c>
      <c r="R36" s="15">
        <f>IFERROR(__xludf.DUMMYFUNCTION("""COMPUTED_VALUE"""),"https://www.instagram.com/scealprod.fr")</f>
        <v/>
      </c>
      <c r="S36" s="1" t="n"/>
      <c r="T36" s="15">
        <f>IFERROR(__xludf.DUMMYFUNCTION("""COMPUTED_VALUE"""),"https://www.linkedin.com/in/hugues-avit-callaud/")</f>
        <v/>
      </c>
      <c r="U36" s="1">
        <f>IFERROR(__xludf.DUMMYFUNCTION("""COMPUTED_VALUE"""),"Subscription to Scéal Studio for educational institutions")</f>
        <v/>
      </c>
      <c r="V36" s="1">
        <f>IFERROR(__xludf.DUMMYFUNCTION("""COMPUTED_VALUE"""),"Access to the playful-educational writing platform Scéal Studio for schools. Work independently on writing projects with the class.  Personalized writing spaces for students, teacher management interface, access to all editors (script, layout, editing).")</f>
        <v/>
      </c>
      <c r="W36" s="1">
        <f>IFERROR(__xludf.DUMMYFUNCTION("""COMPUTED_VALUE"""),"Writing workshop with facilitator")</f>
        <v/>
      </c>
      <c r="X36" s="1">
        <f>IFERROR(__xludf.DUMMYFUNCTION("""COMPUTED_VALUE"""),"Create a learning event focused on a specific topic from the program. The writing workshop allows adolescents' creativity to be expressed within a group setting. The service includes the presence of a facilitator and the use of the online tool Scéal Studi"&amp;"o.")</f>
        <v/>
      </c>
      <c r="Y36" s="15">
        <f>IFERROR(__xludf.DUMMYFUNCTION("""COMPUTED_VALUE"""),"https://drive.google.com/uc?export=view&amp;id=1FG8CD8w8MhntuwRn3BAZIQNA-F_cgyJs")</f>
        <v/>
      </c>
      <c r="Z36" s="1">
        <f>IFERROR(__xludf.DUMMYFUNCTION("""COMPUTED_VALUE"""),"Verified")</f>
        <v/>
      </c>
      <c r="AA36" s="1">
        <f>IFERROR(__xludf.DUMMYFUNCTION("""COMPUTED_VALUE"""),"Collaborations between EdTech organisations, Project consortium building, Public-private partnerships")</f>
        <v/>
      </c>
      <c r="AB36" s="1">
        <f>IFERROR(__xludf.DUMMYFUNCTION("""COMPUTED_VALUE"""),"For-profit company")</f>
        <v/>
      </c>
      <c r="AC36" s="1">
        <f>IFERROR(__xludf.DUMMYFUNCTION("""COMPUTED_VALUE"""),TRUE)</f>
        <v/>
      </c>
      <c r="AD36" s="1">
        <f>IFERROR(__xludf.DUMMYFUNCTION("""COMPUTED_VALUE"""),TRUE)</f>
        <v/>
      </c>
      <c r="AE36" s="15">
        <f>IFERROR(__xludf.DUMMYFUNCTION("""COMPUTED_VALUE"""),"https://www.facebook.com/scealstudio")</f>
        <v/>
      </c>
    </row>
    <row r="37" ht="42" customHeight="1">
      <c r="A37" s="14">
        <f>IFERROR(__xludf.DUMMYFUNCTION("""COMPUTED_VALUE"""),45890)</f>
        <v/>
      </c>
      <c r="B37" s="1">
        <f>IFERROR(__xludf.DUMMYFUNCTION("""COMPUTED_VALUE"""),"ORG_2323")</f>
        <v/>
      </c>
      <c r="C37" s="1">
        <f>IFERROR(__xludf.DUMMYFUNCTION("""COMPUTED_VALUE"""),TRUE)</f>
        <v/>
      </c>
      <c r="D37" s="1">
        <f>IFERROR(__xludf.DUMMYFUNCTION("""COMPUTED_VALUE"""),"STEER Education")</f>
        <v/>
      </c>
      <c r="E37" s="1">
        <f>IFERROR(__xludf.DUMMYFUNCTION("""COMPUTED_VALUE"""),"steer.education")</f>
        <v/>
      </c>
      <c r="F37" s="1">
        <f>IFERROR(__xludf.DUMMYFUNCTION("""COMPUTED_VALUE"""),"Provides whole school mental health tracking and targeted action plans to improve social, emotional and academic development")</f>
        <v/>
      </c>
      <c r="G37" s="1">
        <f>IFERROR(__xludf.DUMMYFUNCTION("""COMPUTED_VALUE"""),"I'm not part of any EdTech association")</f>
        <v/>
      </c>
      <c r="H37" s="1">
        <f>IFERROR(__xludf.DUMMYFUNCTION("""COMPUTED_VALUE"""),"English")</f>
        <v/>
      </c>
      <c r="I37" s="1">
        <f>IFERROR(__xludf.DUMMYFUNCTION("""COMPUTED_VALUE"""),"info@steer.global")</f>
        <v/>
      </c>
      <c r="J37" s="1">
        <f>IFERROR(__xludf.DUMMYFUNCTION("""COMPUTED_VALUE"""),"+441225667232")</f>
        <v/>
      </c>
      <c r="K37" s="1">
        <f>IFERROR(__xludf.DUMMYFUNCTION("""COMPUTED_VALUE"""),"Bath")</f>
        <v/>
      </c>
      <c r="L37" s="1">
        <f>IFERROR(__xludf.DUMMYFUNCTION("""COMPUTED_VALUE"""),"United Kingdom")</f>
        <v/>
      </c>
      <c r="M37" s="1">
        <f>IFERROR(__xludf.DUMMYFUNCTION("""COMPUTED_VALUE"""),"Spain, United Kingdom")</f>
        <v/>
      </c>
      <c r="N37" s="1">
        <f>IFERROR(__xludf.DUMMYFUNCTION("""COMPUTED_VALUE"""),"Small (10-49 FTE employees)")</f>
        <v/>
      </c>
      <c r="O37" s="1">
        <f>IFERROR(__xludf.DUMMYFUNCTION("""COMPUTED_VALUE"""),"Business to Business, Business to Government, Business to Schools")</f>
        <v/>
      </c>
      <c r="P37" s="1">
        <f>IFERROR(__xludf.DUMMYFUNCTION("""COMPUTED_VALUE"""),"Primary Education, Secondary Education, Vocational Education and Training (VET)")</f>
        <v/>
      </c>
      <c r="Q37" s="1">
        <f>IFERROR(__xludf.DUMMYFUNCTION("""COMPUTED_VALUE"""),"Student interfacing, Teacher interfacing, System/Administrative")</f>
        <v/>
      </c>
      <c r="R37" s="1" t="n"/>
      <c r="S37" s="1" t="n"/>
      <c r="T37" s="15">
        <f>IFERROR(__xludf.DUMMYFUNCTION("""COMPUTED_VALUE"""),"https://www.linkedin.com/company/11260631/admin/analytics/visitors/")</f>
        <v/>
      </c>
      <c r="U37" s="1">
        <f>IFERROR(__xludf.DUMMYFUNCTION("""COMPUTED_VALUE"""),"STEER Tracking")</f>
        <v/>
      </c>
      <c r="V37" s="1">
        <f>IFERROR(__xludf.DUMMYFUNCTION("""COMPUTED_VALUE"""),"Whole school mental health tracking and action planning")</f>
        <v/>
      </c>
      <c r="W37" s="1">
        <f>IFERROR(__xludf.DUMMYFUNCTION("""COMPUTED_VALUE"""),"STEER Student Wellbeing and Development ")</f>
        <v/>
      </c>
      <c r="X37" s="1">
        <f>IFERROR(__xludf.DUMMYFUNCTION("""COMPUTED_VALUE"""),"Personalised, direct guidance for every student to improve their social, mental and academic development")</f>
        <v/>
      </c>
      <c r="Y37" s="15">
        <f>IFERROR(__xludf.DUMMYFUNCTION("""COMPUTED_VALUE"""),"https://drive.google.com/uc?export=view&amp;id=1w3MoT4qficFItp0RwQ_gvgJkBrEV_RpY")</f>
        <v/>
      </c>
      <c r="Z37" s="1">
        <f>IFERROR(__xludf.DUMMYFUNCTION("""COMPUTED_VALUE"""),"Verified")</f>
        <v/>
      </c>
      <c r="AA37" s="1">
        <f>IFERROR(__xludf.DUMMYFUNCTION("""COMPUTED_VALUE"""),"Collaborations between EdTech organisations, Public-private partnerships, Project consortium building, Industry-academia partnerships")</f>
        <v/>
      </c>
      <c r="AB37" s="1">
        <f>IFERROR(__xludf.DUMMYFUNCTION("""COMPUTED_VALUE"""),"For-profit company")</f>
        <v/>
      </c>
      <c r="AC37" s="1">
        <f>IFERROR(__xludf.DUMMYFUNCTION("""COMPUTED_VALUE"""),TRUE)</f>
        <v/>
      </c>
      <c r="AD37" s="1">
        <f>IFERROR(__xludf.DUMMYFUNCTION("""COMPUTED_VALUE"""),TRUE)</f>
        <v/>
      </c>
      <c r="AE37" s="1" t="n"/>
    </row>
    <row r="38" ht="42" customHeight="1">
      <c r="A38" s="14">
        <f>IFERROR(__xludf.DUMMYFUNCTION("""COMPUTED_VALUE"""),45890)</f>
        <v/>
      </c>
      <c r="B38" s="1">
        <f>IFERROR(__xludf.DUMMYFUNCTION("""COMPUTED_VALUE"""),"ORG_2423")</f>
        <v/>
      </c>
      <c r="C38" s="1">
        <f>IFERROR(__xludf.DUMMYFUNCTION("""COMPUTED_VALUE"""),TRUE)</f>
        <v/>
      </c>
      <c r="D38" s="1">
        <f>IFERROR(__xludf.DUMMYFUNCTION("""COMPUTED_VALUE"""),"TopWorksheets")</f>
        <v/>
      </c>
      <c r="E38" s="15">
        <f>IFERROR(__xludf.DUMMYFUNCTION("""COMPUTED_VALUE"""),"https://www.topworksheets.com")</f>
        <v/>
      </c>
      <c r="F38" s="1">
        <f>IFERROR(__xludf.DUMMYFUNCTION("""COMPUTED_VALUE"""),"Interactive auto-grading worksheet creator")</f>
        <v/>
      </c>
      <c r="G38" s="1">
        <f>IFERROR(__xludf.DUMMYFUNCTION("""COMPUTED_VALUE"""),"I'm not part of any EdTech association")</f>
        <v/>
      </c>
      <c r="H38" s="1">
        <f>IFERROR(__xludf.DUMMYFUNCTION("""COMPUTED_VALUE"""),"English, French, Spanish, German, Italian, Portuguese, Czech, Catalan")</f>
        <v/>
      </c>
      <c r="I38" s="1">
        <f>IFERROR(__xludf.DUMMYFUNCTION("""COMPUTED_VALUE"""),"support@topworksheets.com")</f>
        <v/>
      </c>
      <c r="J38" s="1">
        <f>IFERROR(__xludf.DUMMYFUNCTION("""COMPUTED_VALUE"""),"+34613026881")</f>
        <v/>
      </c>
      <c r="K38" s="1">
        <f>IFERROR(__xludf.DUMMYFUNCTION("""COMPUTED_VALUE"""),"Barcelona")</f>
        <v/>
      </c>
      <c r="L38" s="1">
        <f>IFERROR(__xludf.DUMMYFUNCTION("""COMPUTED_VALUE"""),"Spain")</f>
        <v/>
      </c>
      <c r="M38" s="1">
        <f>IFERROR(__xludf.DUMMYFUNCTION("""COMPUTED_VALUE"""),"Albania, Belarus, Bulgaria, Czechia, Finland, Greece, Ireland, Latvia, Luxembourg, Andorra, Belgium, Croatia, Denmark, France, Hungary, Italy, Liechtenstein, Malta, Moldova, Lithuania, Kosovo, Iceland, Germany, Estonia, Republic of Cyprus, Bosnia and Herz"&amp;"egovina, Austria, Monaco, North Macedonia, Portugal, Slovakia, Sweden, Ukraine, United Kingdom, Switzerland, Slovenia, Romania, Norway, Montenegro, Netherlands, Poland, San Marino, Spain, Turkey")</f>
        <v/>
      </c>
      <c r="N38" s="1">
        <f>IFERROR(__xludf.DUMMYFUNCTION("""COMPUTED_VALUE"""),"Micro (1-9 FTE employees)")</f>
        <v/>
      </c>
      <c r="O38" s="1">
        <f>IFERROR(__xludf.DUMMYFUNCTION("""COMPUTED_VALUE"""),"Business to Schools, Business to Consumer")</f>
        <v/>
      </c>
      <c r="P38" s="1">
        <f>IFERROR(__xludf.DUMMYFUNCTION("""COMPUTED_VALUE"""),"Primary Education, Secondary Education, Higher Education, Corporate Training, Lifelong learning/Adult education")</f>
        <v/>
      </c>
      <c r="Q38" s="1">
        <f>IFERROR(__xludf.DUMMYFUNCTION("""COMPUTED_VALUE"""),"Student interfacing, Teacher interfacing")</f>
        <v/>
      </c>
      <c r="R38" s="15">
        <f>IFERROR(__xludf.DUMMYFUNCTION("""COMPUTED_VALUE"""),"https://www.instagram.com/topworksheets_en/")</f>
        <v/>
      </c>
      <c r="S38" s="15">
        <f>IFERROR(__xludf.DUMMYFUNCTION("""COMPUTED_VALUE"""),"https://x.com/topworksheetsen")</f>
        <v/>
      </c>
      <c r="T38" s="15">
        <f>IFERROR(__xludf.DUMMYFUNCTION("""COMPUTED_VALUE"""),"https://es.linkedin.com/company/topworksheets")</f>
        <v/>
      </c>
      <c r="U38" s="1">
        <f>IFERROR(__xludf.DUMMYFUNCTION("""COMPUTED_VALUE"""),"Interactive worksheet creator")</f>
        <v/>
      </c>
      <c r="V38" s="1">
        <f>IFERROR(__xludf.DUMMYFUNCTION("""COMPUTED_VALUE"""),"Transform paper worksheets into interactive auto-grading ones")</f>
        <v/>
      </c>
      <c r="W38" s="1">
        <f>IFERROR(__xludf.DUMMYFUNCTION("""COMPUTED_VALUE"""),"TopWorksheets AI")</f>
        <v/>
      </c>
      <c r="X38" s="1">
        <f>IFERROR(__xludf.DUMMYFUNCTION("""COMPUTED_VALUE"""),"Easily create new worksheets with the help of AI")</f>
        <v/>
      </c>
      <c r="Y38" s="15">
        <f>IFERROR(__xludf.DUMMYFUNCTION("""COMPUTED_VALUE"""),"https://drive.google.com/uc?export=view&amp;id=1G4b4LsDZzbr_fAqkrERguKB8Y-kr7h1n")</f>
        <v/>
      </c>
      <c r="Z38" s="1">
        <f>IFERROR(__xludf.DUMMYFUNCTION("""COMPUTED_VALUE"""),"Verified")</f>
        <v/>
      </c>
      <c r="AA38" s="1">
        <f>IFERROR(__xludf.DUMMYFUNCTION("""COMPUTED_VALUE"""),"Collaborations between EdTech organisations")</f>
        <v/>
      </c>
      <c r="AB38" s="1">
        <f>IFERROR(__xludf.DUMMYFUNCTION("""COMPUTED_VALUE"""),"For-profit company")</f>
        <v/>
      </c>
      <c r="AC38" s="1">
        <f>IFERROR(__xludf.DUMMYFUNCTION("""COMPUTED_VALUE"""),TRUE)</f>
        <v/>
      </c>
      <c r="AD38" s="1">
        <f>IFERROR(__xludf.DUMMYFUNCTION("""COMPUTED_VALUE"""),TRUE)</f>
        <v/>
      </c>
      <c r="AE38" s="1" t="n"/>
    </row>
    <row r="39" ht="42" customHeight="1">
      <c r="A39" s="14">
        <f>IFERROR(__xludf.DUMMYFUNCTION("""COMPUTED_VALUE"""),45890)</f>
        <v/>
      </c>
      <c r="B39" s="1">
        <f>IFERROR(__xludf.DUMMYFUNCTION("""COMPUTED_VALUE"""),"ORG_2646")</f>
        <v/>
      </c>
      <c r="C39" s="1">
        <f>IFERROR(__xludf.DUMMYFUNCTION("""COMPUTED_VALUE"""),TRUE)</f>
        <v/>
      </c>
      <c r="D39" s="1">
        <f>IFERROR(__xludf.DUMMYFUNCTION("""COMPUTED_VALUE"""),"Studyflow BV")</f>
        <v/>
      </c>
      <c r="E39" s="15">
        <f>IFERROR(__xludf.DUMMYFUNCTION("""COMPUTED_VALUE"""),"https://studyflow.nl")</f>
        <v/>
      </c>
      <c r="F39" s="1">
        <f>IFERROR(__xludf.DUMMYFUNCTION("""COMPUTED_VALUE"""),"E-Learning Provider")</f>
        <v/>
      </c>
      <c r="G39" s="1">
        <f>IFERROR(__xludf.DUMMYFUNCTION("""COMPUTED_VALUE"""),"Dutch EdTech")</f>
        <v/>
      </c>
      <c r="H39" s="1">
        <f>IFERROR(__xludf.DUMMYFUNCTION("""COMPUTED_VALUE"""),"Dutch")</f>
        <v/>
      </c>
      <c r="I39" s="1">
        <f>IFERROR(__xludf.DUMMYFUNCTION("""COMPUTED_VALUE"""),"info@studyflow.nl")</f>
        <v/>
      </c>
      <c r="J39" s="1">
        <f>IFERROR(__xludf.DUMMYFUNCTION("""COMPUTED_VALUE"""),"+31202611899")</f>
        <v/>
      </c>
      <c r="K39" s="1">
        <f>IFERROR(__xludf.DUMMYFUNCTION("""COMPUTED_VALUE"""),"Amsterdam")</f>
        <v/>
      </c>
      <c r="L39" s="1">
        <f>IFERROR(__xludf.DUMMYFUNCTION("""COMPUTED_VALUE"""),"The Netherlands")</f>
        <v/>
      </c>
      <c r="M39" s="1">
        <f>IFERROR(__xludf.DUMMYFUNCTION("""COMPUTED_VALUE"""),"Netherlands, Belgium")</f>
        <v/>
      </c>
      <c r="N39" s="1">
        <f>IFERROR(__xludf.DUMMYFUNCTION("""COMPUTED_VALUE"""),"Small (10-49 FTE employees)")</f>
        <v/>
      </c>
      <c r="O39" s="1">
        <f>IFERROR(__xludf.DUMMYFUNCTION("""COMPUTED_VALUE"""),"Business to Business, Business to Consumer, Business to Schools, Business to Government")</f>
        <v/>
      </c>
      <c r="P39" s="1">
        <f>IFERROR(__xludf.DUMMYFUNCTION("""COMPUTED_VALUE"""),"Higher Education, Secondary Education")</f>
        <v/>
      </c>
      <c r="Q39" s="1">
        <f>IFERROR(__xludf.DUMMYFUNCTION("""COMPUTED_VALUE"""),"Student interfacing, Teacher interfacing")</f>
        <v/>
      </c>
      <c r="R39" s="1" t="n"/>
      <c r="S39" s="1" t="n"/>
      <c r="T39" s="15">
        <f>IFERROR(__xludf.DUMMYFUNCTION("""COMPUTED_VALUE"""),"https://www.linkedin.com/company/studyflow/")</f>
        <v/>
      </c>
      <c r="U39" s="1">
        <f>IFERROR(__xludf.DUMMYFUNCTION("""COMPUTED_VALUE"""),"Logisch Rekenen")</f>
        <v/>
      </c>
      <c r="V39" s="1">
        <f>IFERROR(__xludf.DUMMYFUNCTION("""COMPUTED_VALUE"""),"Logical arithmetic")</f>
        <v/>
      </c>
      <c r="W39" s="1">
        <f>IFERROR(__xludf.DUMMYFUNCTION("""COMPUTED_VALUE"""),"Studyflow Taal")</f>
        <v/>
      </c>
      <c r="X39" s="1">
        <f>IFERROR(__xludf.DUMMYFUNCTION("""COMPUTED_VALUE"""),"Studyflow Language")</f>
        <v/>
      </c>
      <c r="Y39" s="15">
        <f>IFERROR(__xludf.DUMMYFUNCTION("""COMPUTED_VALUE"""),"https://drive.google.com/uc?export=view&amp;id=1jOdIHKDaOAz-t0o7gLr_YOJntr3nJixI")</f>
        <v/>
      </c>
      <c r="Z39" s="1">
        <f>IFERROR(__xludf.DUMMYFUNCTION("""COMPUTED_VALUE"""),"Verified")</f>
        <v/>
      </c>
      <c r="AA39" s="1">
        <f>IFERROR(__xludf.DUMMYFUNCTION("""COMPUTED_VALUE"""),"Collaborations between EdTech organisations, Project consortium building, Industry-academia partnerships, Other, Public-private partnerships")</f>
        <v/>
      </c>
      <c r="AB39" s="1">
        <f>IFERROR(__xludf.DUMMYFUNCTION("""COMPUTED_VALUE"""),"For-profit company")</f>
        <v/>
      </c>
      <c r="AC39" s="1">
        <f>IFERROR(__xludf.DUMMYFUNCTION("""COMPUTED_VALUE"""),TRUE)</f>
        <v/>
      </c>
      <c r="AD39" s="1">
        <f>IFERROR(__xludf.DUMMYFUNCTION("""COMPUTED_VALUE"""),TRUE)</f>
        <v/>
      </c>
      <c r="AE39" s="1" t="n"/>
    </row>
    <row r="40" ht="42" customHeight="1">
      <c r="A40" s="14">
        <f>IFERROR(__xludf.DUMMYFUNCTION("""COMPUTED_VALUE"""),45890)</f>
        <v/>
      </c>
      <c r="B40" s="1">
        <f>IFERROR(__xludf.DUMMYFUNCTION("""COMPUTED_VALUE"""),"ORG_1174")</f>
        <v/>
      </c>
      <c r="C40" s="1">
        <f>IFERROR(__xludf.DUMMYFUNCTION("""COMPUTED_VALUE"""),TRUE)</f>
        <v/>
      </c>
      <c r="D40" s="1">
        <f>IFERROR(__xludf.DUMMYFUNCTION("""COMPUTED_VALUE"""),"Bloomcoding")</f>
        <v/>
      </c>
      <c r="E40" s="15">
        <f>IFERROR(__xludf.DUMMYFUNCTION("""COMPUTED_VALUE"""),"bloomcoding.ro")</f>
        <v/>
      </c>
      <c r="F40" s="1">
        <f>IFERROR(__xludf.DUMMYFUNCTION("""COMPUTED_VALUE"""),"Bloomcoding is a rising star in the European online after-school coding education. We are focused on teaching one million children how to code by building Augmented and Virtual Reality games.  In two years, we've raised nearly €1.2 million, with our €1 mi"&amp;"llion seed round attracting investment from some of the top CEE venture capital funds, such as Credo and Inovo. The investment also included u.ventures, marking Ukraine's first cross-border VC investment into Moldova. Today, we are one of the largest and "&amp;"fastest-growing startups in Moldova.  Our impact extends to over 14,000 families, with a strong market presence in Romania, Bulgaria, Poland, and Turkey. With plans to attract Series A funding soon, we're expanding our team and aiming to serve 12,000 stud"&amp;"ents monthly.  Our success is marked by winning five international accelerators and being named Best Startup at the Moldova Innovation Awards.")</f>
        <v/>
      </c>
      <c r="G40" s="1">
        <f>IFERROR(__xludf.DUMMYFUNCTION("""COMPUTED_VALUE"""),"I'm not part of any EdTech association")</f>
        <v/>
      </c>
      <c r="H40" s="1">
        <f>IFERROR(__xludf.DUMMYFUNCTION("""COMPUTED_VALUE"""),"English, Romanian")</f>
        <v/>
      </c>
      <c r="I40" s="1">
        <f>IFERROR(__xludf.DUMMYFUNCTION("""COMPUTED_VALUE"""),"hq@bloomcoding.org")</f>
        <v/>
      </c>
      <c r="J40" s="1">
        <f>IFERROR(__xludf.DUMMYFUNCTION("""COMPUTED_VALUE"""),"+37360386969")</f>
        <v/>
      </c>
      <c r="K40" s="1">
        <f>IFERROR(__xludf.DUMMYFUNCTION("""COMPUTED_VALUE"""),"Chisinau")</f>
        <v/>
      </c>
      <c r="L40" s="1">
        <f>IFERROR(__xludf.DUMMYFUNCTION("""COMPUTED_VALUE"""),"Moldova")</f>
        <v/>
      </c>
      <c r="M40" s="1">
        <f>IFERROR(__xludf.DUMMYFUNCTION("""COMPUTED_VALUE"""),"Moldova, Romania, France, Germany, United Kingdom, Spain, Ireland, Belgium, Italy, Luxembourg, Denmark, Norway, Netherlands, Switzerland, Austria, US")</f>
        <v/>
      </c>
      <c r="N40" s="1">
        <f>IFERROR(__xludf.DUMMYFUNCTION("""COMPUTED_VALUE"""),"Small (10-49 FTE employees)")</f>
        <v/>
      </c>
      <c r="O40" s="1">
        <f>IFERROR(__xludf.DUMMYFUNCTION("""COMPUTED_VALUE"""),"Business to Consumer, Business to Schools, Business to Government, Business to Business")</f>
        <v/>
      </c>
      <c r="P40" s="1">
        <f>IFERROR(__xludf.DUMMYFUNCTION("""COMPUTED_VALUE"""),"Primary Education, Secondary Education")</f>
        <v/>
      </c>
      <c r="Q40" s="1">
        <f>IFERROR(__xludf.DUMMYFUNCTION("""COMPUTED_VALUE"""),"Student interfacing, Teacher interfacing")</f>
        <v/>
      </c>
      <c r="R40" s="15">
        <f>IFERROR(__xludf.DUMMYFUNCTION("""COMPUTED_VALUE"""),"https://www.instagram.com/bloomcoding.ro/")</f>
        <v/>
      </c>
      <c r="S40" s="1" t="n"/>
      <c r="T40" s="15">
        <f>IFERROR(__xludf.DUMMYFUNCTION("""COMPUTED_VALUE"""),"https://www.linkedin.com/company/bloomcoding/posts/?feedView=all")</f>
        <v/>
      </c>
      <c r="U40" s="1">
        <f>IFERROR(__xludf.DUMMYFUNCTION("""COMPUTED_VALUE"""),"Online coding after-school for children aged 7-14")</f>
        <v/>
      </c>
      <c r="V40" s="1">
        <f>IFERROR(__xludf.DUMMYFUNCTION("""COMPUTED_VALUE"""),"Award-winning curriculum that combines coding lessons with home-delivered AR/VR educational tools, supplemented by weekly training on life skills. With the help of our technology gadgets, which we send at home for free, children can immerse and emotionall"&amp;"y connect to their projects in a fun way.")</f>
        <v/>
      </c>
      <c r="W40" s="1">
        <f>IFERROR(__xludf.DUMMYFUNCTION("""COMPUTED_VALUE"""),"Augmented Reality Education (Haptilica)")</f>
        <v/>
      </c>
      <c r="X40" s="1">
        <f>IFERROR(__xludf.DUMMYFUNCTION("""COMPUTED_VALUE"""),"The Augmented Reality Education project aims to develop a globally commercially viable AR school product by focusing on building a feature-rich, content-rich, customizable, localizable, and LMS/existing system integration-ready solution. ")</f>
        <v/>
      </c>
      <c r="Y40" s="15">
        <f>IFERROR(__xludf.DUMMYFUNCTION("""COMPUTED_VALUE"""),"https://drive.google.com/uc?export=view&amp;id=1wtS_blmrAUsLmLZUJ-DKhfSof1ePnLg3")</f>
        <v/>
      </c>
      <c r="Z40" s="1">
        <f>IFERROR(__xludf.DUMMYFUNCTION("""COMPUTED_VALUE"""),"Verified")</f>
        <v/>
      </c>
      <c r="AA40" s="1">
        <f>IFERROR(__xludf.DUMMYFUNCTION("""COMPUTED_VALUE"""),"Collaborations between EdTech organisations, Public-private partnerships, Industry-academia partnerships")</f>
        <v/>
      </c>
      <c r="AB40" s="1">
        <f>IFERROR(__xludf.DUMMYFUNCTION("""COMPUTED_VALUE"""),"For-profit company")</f>
        <v/>
      </c>
      <c r="AC40" s="1">
        <f>IFERROR(__xludf.DUMMYFUNCTION("""COMPUTED_VALUE"""),TRUE)</f>
        <v/>
      </c>
      <c r="AD40" s="1">
        <f>IFERROR(__xludf.DUMMYFUNCTION("""COMPUTED_VALUE"""),TRUE)</f>
        <v/>
      </c>
      <c r="AE40" s="15">
        <f>IFERROR(__xludf.DUMMYFUNCTION("""COMPUTED_VALUE"""),"https://www.facebook.com/bloomcodingmoldova/")</f>
        <v/>
      </c>
    </row>
    <row r="41" ht="42" customHeight="1">
      <c r="A41" s="14">
        <f>IFERROR(__xludf.DUMMYFUNCTION("""COMPUTED_VALUE"""),45890)</f>
        <v/>
      </c>
      <c r="B41" s="1">
        <f>IFERROR(__xludf.DUMMYFUNCTION("""COMPUTED_VALUE"""),"ORG_1485")</f>
        <v/>
      </c>
      <c r="C41" s="1">
        <f>IFERROR(__xludf.DUMMYFUNCTION("""COMPUTED_VALUE"""),TRUE)</f>
        <v/>
      </c>
      <c r="D41" s="1">
        <f>IFERROR(__xludf.DUMMYFUNCTION("""COMPUTED_VALUE"""),"ELIIS")</f>
        <v/>
      </c>
      <c r="E41" s="1">
        <f>IFERROR(__xludf.DUMMYFUNCTION("""COMPUTED_VALUE"""),"eliis.ey")</f>
        <v/>
      </c>
      <c r="F41" s="1">
        <f>IFERROR(__xludf.DUMMYFUNCTION("""COMPUTED_VALUE"""),"Kindergarten and preschool management platform")</f>
        <v/>
      </c>
      <c r="G41" s="1">
        <f>IFERROR(__xludf.DUMMYFUNCTION("""COMPUTED_VALUE"""),"EdTech Estonia")</f>
        <v/>
      </c>
      <c r="H41" s="1">
        <f>IFERROR(__xludf.DUMMYFUNCTION("""COMPUTED_VALUE"""),"English, German, Czech, Finnish, Ukrainian, Danish, Latvian, Polish, Lithuanian, Estonian, Swedish")</f>
        <v/>
      </c>
      <c r="I41" s="1">
        <f>IFERROR(__xludf.DUMMYFUNCTION("""COMPUTED_VALUE"""),"info@eliis.eu")</f>
        <v/>
      </c>
      <c r="J41" s="1">
        <f>IFERROR(__xludf.DUMMYFUNCTION("""COMPUTED_VALUE"""),"+37256668389")</f>
        <v/>
      </c>
      <c r="K41" s="1">
        <f>IFERROR(__xludf.DUMMYFUNCTION("""COMPUTED_VALUE"""),"Tallinn")</f>
        <v/>
      </c>
      <c r="L41" s="1">
        <f>IFERROR(__xludf.DUMMYFUNCTION("""COMPUTED_VALUE"""),"Estonia")</f>
        <v/>
      </c>
      <c r="M41" s="1" t="n"/>
      <c r="N41" s="1">
        <f>IFERROR(__xludf.DUMMYFUNCTION("""COMPUTED_VALUE"""),"Small (10-49 FTE employees)")</f>
        <v/>
      </c>
      <c r="O41" s="1">
        <f>IFERROR(__xludf.DUMMYFUNCTION("""COMPUTED_VALUE"""),"Business to Business, Business to Consumer, Business to Government, Business to Schools")</f>
        <v/>
      </c>
      <c r="P41" s="1">
        <f>IFERROR(__xludf.DUMMYFUNCTION("""COMPUTED_VALUE"""),"Early childhood development (0-5 years)")</f>
        <v/>
      </c>
      <c r="Q41" s="1">
        <f>IFERROR(__xludf.DUMMYFUNCTION("""COMPUTED_VALUE"""),"Teacher interfacing, System/Administrative")</f>
        <v/>
      </c>
      <c r="R41" s="1" t="n"/>
      <c r="S41" s="1" t="n"/>
      <c r="T41" s="15">
        <f>IFERROR(__xludf.DUMMYFUNCTION("""COMPUTED_VALUE"""),"https://www.linkedin.com/company/10670987/")</f>
        <v/>
      </c>
      <c r="U41" s="1">
        <f>IFERROR(__xludf.DUMMYFUNCTION("""COMPUTED_VALUE"""),"Kindergarten platfrom")</f>
        <v/>
      </c>
      <c r="V41" s="1">
        <f>IFERROR(__xludf.DUMMYFUNCTION("""COMPUTED_VALUE"""),"Marketplace for vendors")</f>
        <v/>
      </c>
      <c r="W41" s="1" t="n"/>
      <c r="X41" s="1" t="n"/>
      <c r="Y41" s="15">
        <f>IFERROR(__xludf.DUMMYFUNCTION("""COMPUTED_VALUE"""),"https://drive.google.com/uc?export=view&amp;id=1trIalvfArdfxqTIPsGQkiENdZYCpc7nq")</f>
        <v/>
      </c>
      <c r="Z41" s="1">
        <f>IFERROR(__xludf.DUMMYFUNCTION("""COMPUTED_VALUE"""),"Verified")</f>
        <v/>
      </c>
      <c r="AA41" s="1">
        <f>IFERROR(__xludf.DUMMYFUNCTION("""COMPUTED_VALUE"""),"Collaborations between EdTech organisations, Project consortium building, Public-private partnerships, Industry-academia partnerships")</f>
        <v/>
      </c>
      <c r="AB41" s="1">
        <f>IFERROR(__xludf.DUMMYFUNCTION("""COMPUTED_VALUE"""),"For-profit company")</f>
        <v/>
      </c>
      <c r="AC41" s="1">
        <f>IFERROR(__xludf.DUMMYFUNCTION("""COMPUTED_VALUE"""),TRUE)</f>
        <v/>
      </c>
      <c r="AD41" s="1">
        <f>IFERROR(__xludf.DUMMYFUNCTION("""COMPUTED_VALUE"""),TRUE)</f>
        <v/>
      </c>
      <c r="AE41" s="15">
        <f>IFERROR(__xludf.DUMMYFUNCTION("""COMPUTED_VALUE"""),"https://www.facebook.com/eliis.international")</f>
        <v/>
      </c>
    </row>
    <row r="42" ht="42" customHeight="1">
      <c r="A42" s="14">
        <f>IFERROR(__xludf.DUMMYFUNCTION("""COMPUTED_VALUE"""),45890)</f>
        <v/>
      </c>
      <c r="B42" s="1">
        <f>IFERROR(__xludf.DUMMYFUNCTION("""COMPUTED_VALUE"""),"ORG_1468")</f>
        <v/>
      </c>
      <c r="C42" s="1">
        <f>IFERROR(__xludf.DUMMYFUNCTION("""COMPUTED_VALUE"""),TRUE)</f>
        <v/>
      </c>
      <c r="D42" s="1">
        <f>IFERROR(__xludf.DUMMYFUNCTION("""COMPUTED_VALUE"""),"Edventures")</f>
        <v/>
      </c>
      <c r="E42" s="15">
        <f>IFERROR(__xludf.DUMMYFUNCTION("""COMPUTED_VALUE"""),"https://edventures.ai")</f>
        <v/>
      </c>
      <c r="F42" s="1">
        <f>IFERROR(__xludf.DUMMYFUNCTION("""COMPUTED_VALUE"""),"Edventures is an edtech startup whose mission is to promote entrepreneurship by providing personalised entrepreneurship learning and guidance to budding entrepreneurs.")</f>
        <v/>
      </c>
      <c r="G42" s="1">
        <f>IFERROR(__xludf.DUMMYFUNCTION("""COMPUTED_VALUE"""),"I'm not part of any EdTech association")</f>
        <v/>
      </c>
      <c r="H42" s="1">
        <f>IFERROR(__xludf.DUMMYFUNCTION("""COMPUTED_VALUE"""),"English")</f>
        <v/>
      </c>
      <c r="I42" s="1">
        <f>IFERROR(__xludf.DUMMYFUNCTION("""COMPUTED_VALUE"""),"hello@edventures.ai")</f>
        <v/>
      </c>
      <c r="J42" s="1">
        <f>IFERROR(__xludf.DUMMYFUNCTION("""COMPUTED_VALUE"""),"+46793591990")</f>
        <v/>
      </c>
      <c r="K42" s="1">
        <f>IFERROR(__xludf.DUMMYFUNCTION("""COMPUTED_VALUE"""),"Norrköping")</f>
        <v/>
      </c>
      <c r="L42" s="1">
        <f>IFERROR(__xludf.DUMMYFUNCTION("""COMPUTED_VALUE"""),"Sweden")</f>
        <v/>
      </c>
      <c r="M42" s="1" t="n"/>
      <c r="N42" s="1">
        <f>IFERROR(__xludf.DUMMYFUNCTION("""COMPUTED_VALUE"""),"Micro (1-9 FTE employees)")</f>
        <v/>
      </c>
      <c r="O42" s="1">
        <f>IFERROR(__xludf.DUMMYFUNCTION("""COMPUTED_VALUE"""),"Business to Consumer")</f>
        <v/>
      </c>
      <c r="P42" s="1">
        <f>IFERROR(__xludf.DUMMYFUNCTION("""COMPUTED_VALUE"""),"Vocational Education and Training (VET), Lifelong learning/Adult education")</f>
        <v/>
      </c>
      <c r="Q42" s="1">
        <f>IFERROR(__xludf.DUMMYFUNCTION("""COMPUTED_VALUE"""),"Student interfacing, Teacher interfacing, System/Administrative")</f>
        <v/>
      </c>
      <c r="R42" s="15">
        <f>IFERROR(__xludf.DUMMYFUNCTION("""COMPUTED_VALUE"""),"https://instagram.com/edventures.ai")</f>
        <v/>
      </c>
      <c r="S42" s="1" t="n"/>
      <c r="T42" s="15">
        <f>IFERROR(__xludf.DUMMYFUNCTION("""COMPUTED_VALUE"""),"https://www.linkedin.com/company/edventuresai")</f>
        <v/>
      </c>
      <c r="U42" s="1">
        <f>IFERROR(__xludf.DUMMYFUNCTION("""COMPUTED_VALUE"""),"Anna")</f>
        <v/>
      </c>
      <c r="V42" s="1">
        <f>IFERROR(__xludf.DUMMYFUNCTION("""COMPUTED_VALUE"""),"Anna's coaching goes beyond concepts, providing actionable strategies to implement and transform your vision into a tangible, successful reality. ")</f>
        <v/>
      </c>
      <c r="W42" s="1" t="n"/>
      <c r="X42" s="1" t="n"/>
      <c r="Y42" s="15">
        <f>IFERROR(__xludf.DUMMYFUNCTION("""COMPUTED_VALUE"""),"https://drive.google.com/uc?export=view&amp;id=1gKJol1g_8zz-6kkrrAzBLnEaA3lkCJ3A")</f>
        <v/>
      </c>
      <c r="Z42" s="1">
        <f>IFERROR(__xludf.DUMMYFUNCTION("""COMPUTED_VALUE"""),"Verified")</f>
        <v/>
      </c>
      <c r="AA42" s="1">
        <f>IFERROR(__xludf.DUMMYFUNCTION("""COMPUTED_VALUE"""),"Project consortium building, Public-private partnerships")</f>
        <v/>
      </c>
      <c r="AB42" s="1">
        <f>IFERROR(__xludf.DUMMYFUNCTION("""COMPUTED_VALUE"""),"For-profit company")</f>
        <v/>
      </c>
      <c r="AC42" s="1">
        <f>IFERROR(__xludf.DUMMYFUNCTION("""COMPUTED_VALUE"""),FALSE)</f>
        <v/>
      </c>
      <c r="AD42" s="1">
        <f>IFERROR(__xludf.DUMMYFUNCTION("""COMPUTED_VALUE"""),TRUE)</f>
        <v/>
      </c>
      <c r="AE42" s="15">
        <f>IFERROR(__xludf.DUMMYFUNCTION("""COMPUTED_VALUE"""),"https://www.facebook.com/edventuresai")</f>
        <v/>
      </c>
    </row>
    <row r="43" ht="42" customHeight="1">
      <c r="A43" s="14">
        <f>IFERROR(__xludf.DUMMYFUNCTION("""COMPUTED_VALUE"""),45889)</f>
        <v/>
      </c>
      <c r="B43" s="1">
        <f>IFERROR(__xludf.DUMMYFUNCTION("""COMPUTED_VALUE"""),"ORG_2645")</f>
        <v/>
      </c>
      <c r="C43" s="1">
        <f>IFERROR(__xludf.DUMMYFUNCTION("""COMPUTED_VALUE"""),TRUE)</f>
        <v/>
      </c>
      <c r="D43" s="1">
        <f>IFERROR(__xludf.DUMMYFUNCTION("""COMPUTED_VALUE"""),"Science Entrepreneurship Technology University (SET)")</f>
        <v/>
      </c>
      <c r="E43" s="15">
        <f>IFERROR(__xludf.DUMMYFUNCTION("""COMPUTED_VALUE"""),"www.setuniversity.edu.ua")</f>
        <v/>
      </c>
      <c r="F43" s="1">
        <f>IFERROR(__xludf.DUMMYFUNCTION("""COMPUTED_VALUE"""),"SET is a private nonprofit higher education institution and is among the top-providers of digital innovation and entrepreneurial education in Ukraine. SET is aimed at tech business including startups and deep tech working in two dimensions: talents develo"&amp;"pment (skilling/upskilling/reskilling) and academic educational products (customer development approach) for youth and adults. It operates in a blended format, closely cooperating with IT business companies and startups to bring up-to-date agile knowledge"&amp;" and practice to its learners. The strategic educational areas are cybersecurity, AI, blockchain, DeepTech, innovations, and startups. Another strategic focus of interest is bringing science closer to market. SET is licensed to award master’s degrees in “"&amp;"Security, Quality and Data Analysis” (Cyber Defense) and “Computer Science and Innovation Engineering” (Computer Science: Machine Learning &amp; Cloud Computing; Computer Science: Innovation Engineering) and also delivers 4 MicroMasters programs and a number "&amp;"of short-term qualification advancement courses aimed at tech business. As of March 2025, SET boasts of 300+ founders trained through our programs (including ca 200 women), 70 startups graduated from bootcamps, who raised 300 000 USD. SET has launched two"&amp;" its own cybersecurity startups, and a SET Accelerator for IT professionals and deep tech entrepreneurs and innovators, with a special focus on women-led businesses and startups, as well as the wider public. SET is dedicated to sensitive social impact and"&amp;" is supporting Ukraine in international projects related to digital transformation and cybersecurity education. ")</f>
        <v/>
      </c>
      <c r="G43" s="1">
        <f>IFERROR(__xludf.DUMMYFUNCTION("""COMPUTED_VALUE"""),"I'm not part of any EdTech association")</f>
        <v/>
      </c>
      <c r="H43" s="1">
        <f>IFERROR(__xludf.DUMMYFUNCTION("""COMPUTED_VALUE"""),"English, Ukrainian")</f>
        <v/>
      </c>
      <c r="I43" s="1">
        <f>IFERROR(__xludf.DUMMYFUNCTION("""COMPUTED_VALUE"""),"hello@setuniversity.edu.ua")</f>
        <v/>
      </c>
      <c r="J43" s="1">
        <f>IFERROR(__xludf.DUMMYFUNCTION("""COMPUTED_VALUE"""),"+380634325085")</f>
        <v/>
      </c>
      <c r="K43" s="1">
        <f>IFERROR(__xludf.DUMMYFUNCTION("""COMPUTED_VALUE"""),"Kyiv")</f>
        <v/>
      </c>
      <c r="L43" s="1">
        <f>IFERROR(__xludf.DUMMYFUNCTION("""COMPUTED_VALUE"""),"Ukraine")</f>
        <v/>
      </c>
      <c r="M43" s="1">
        <f>IFERROR(__xludf.DUMMYFUNCTION("""COMPUTED_VALUE"""),"Ukraine")</f>
        <v/>
      </c>
      <c r="N43" s="1">
        <f>IFERROR(__xludf.DUMMYFUNCTION("""COMPUTED_VALUE"""),"Small (10-49 FTE employees)")</f>
        <v/>
      </c>
      <c r="O43" s="1">
        <f>IFERROR(__xludf.DUMMYFUNCTION("""COMPUTED_VALUE"""),"Business to Business, Business to Consumer")</f>
        <v/>
      </c>
      <c r="P43" s="1">
        <f>IFERROR(__xludf.DUMMYFUNCTION("""COMPUTED_VALUE"""),"Higher Education, Lifelong learning/Adult education, Corporate Training")</f>
        <v/>
      </c>
      <c r="Q43" s="1">
        <f>IFERROR(__xludf.DUMMYFUNCTION("""COMPUTED_VALUE"""),"Other")</f>
        <v/>
      </c>
      <c r="R43" s="15">
        <f>IFERROR(__xludf.DUMMYFUNCTION("""COMPUTED_VALUE"""),"http://instagram.com/setuniversity/")</f>
        <v/>
      </c>
      <c r="S43" s="1" t="n"/>
      <c r="T43" s="15">
        <f>IFERROR(__xludf.DUMMYFUNCTION("""COMPUTED_VALUE"""),"https://www.linkedin.com/company/set-university/")</f>
        <v/>
      </c>
      <c r="U43" s="1">
        <f>IFERROR(__xludf.DUMMYFUNCTION("""COMPUTED_VALUE"""),"master’s degrees in “Security, Quality and Data Analysis” and “Computer Science and Innovation Engineering”")</f>
        <v/>
      </c>
      <c r="V43" s="1">
        <f>IFERROR(__xludf.DUMMYFUNCTION("""COMPUTED_VALUE"""),"With top experts as teaching staff and multiple invited lecturers (e.g. ex CIA, ODNI, Tesla, ISACA, State Street, etc) SET is licensed to award master’s degrees in “Security, Quality and Data Analysis” and “Computer Science and Innovation Engineering”. ")</f>
        <v/>
      </c>
      <c r="W43" s="1">
        <f>IFERROR(__xludf.DUMMYFUNCTION("""COMPUTED_VALUE"""),"MicroMaster courses")</f>
        <v/>
      </c>
      <c r="X43" s="1">
        <f>IFERROR(__xludf.DUMMYFUNCTION("""COMPUTED_VALUE"""),"MicroMaster courses offer covers 6-14 weeks of “Information and Cybersecurity Management”, “Change Management”, “Generative AI for Developers”, “Solution Architecture”")</f>
        <v/>
      </c>
      <c r="Y43" s="15">
        <f>IFERROR(__xludf.DUMMYFUNCTION("""COMPUTED_VALUE"""),"https://drive.google.com/uc?export=view&amp;id=1JuuyuU2B-dRCEAHqjDddwDB9_iqZz8ck")</f>
        <v/>
      </c>
      <c r="Z43" s="1">
        <f>IFERROR(__xludf.DUMMYFUNCTION("""COMPUTED_VALUE"""),"Verified")</f>
        <v/>
      </c>
      <c r="AA43" s="1">
        <f>IFERROR(__xludf.DUMMYFUNCTION("""COMPUTED_VALUE"""),"Project consortium building")</f>
        <v/>
      </c>
      <c r="AB43" s="1">
        <f>IFERROR(__xludf.DUMMYFUNCTION("""COMPUTED_VALUE"""),"Non-profit organisation")</f>
        <v/>
      </c>
      <c r="AC43" s="1">
        <f>IFERROR(__xludf.DUMMYFUNCTION("""COMPUTED_VALUE"""),TRUE)</f>
        <v/>
      </c>
      <c r="AD43" s="1">
        <f>IFERROR(__xludf.DUMMYFUNCTION("""COMPUTED_VALUE"""),TRUE)</f>
        <v/>
      </c>
      <c r="AE43" s="15">
        <f>IFERROR(__xludf.DUMMYFUNCTION("""COMPUTED_VALUE"""),"https://www.facebook.com/setuniversity.tech")</f>
        <v/>
      </c>
    </row>
    <row r="44" ht="42" customHeight="1">
      <c r="A44" s="14">
        <f>IFERROR(__xludf.DUMMYFUNCTION("""COMPUTED_VALUE"""),45889)</f>
        <v/>
      </c>
      <c r="B44" s="1">
        <f>IFERROR(__xludf.DUMMYFUNCTION("""COMPUTED_VALUE"""),"ORG_2644")</f>
        <v/>
      </c>
      <c r="C44" s="1">
        <f>IFERROR(__xludf.DUMMYFUNCTION("""COMPUTED_VALUE"""),TRUE)</f>
        <v/>
      </c>
      <c r="D44" s="1">
        <f>IFERROR(__xludf.DUMMYFUNCTION("""COMPUTED_VALUE"""),"Senior Lingua, S.L.")</f>
        <v/>
      </c>
      <c r="E44" s="15">
        <f>IFERROR(__xludf.DUMMYFUNCTION("""COMPUTED_VALUE"""),"https://seniorlingua.com/")</f>
        <v/>
      </c>
      <c r="F44" s="1">
        <f>IFERROR(__xludf.DUMMYFUNCTION("""COMPUTED_VALUE"""),"We connect Spanish language students with seniors through safe and enjoyable video calls about a weekly topic.")</f>
        <v/>
      </c>
      <c r="G44" s="1">
        <f>IFERROR(__xludf.DUMMYFUNCTION("""COMPUTED_VALUE"""),"I'm not part of any EdTech association")</f>
        <v/>
      </c>
      <c r="H44" s="1">
        <f>IFERROR(__xludf.DUMMYFUNCTION("""COMPUTED_VALUE"""),"Spanish")</f>
        <v/>
      </c>
      <c r="I44" s="1">
        <f>IFERROR(__xludf.DUMMYFUNCTION("""COMPUTED_VALUE"""),"info@seniorlingua.com")</f>
        <v/>
      </c>
      <c r="J44" s="1">
        <f>IFERROR(__xludf.DUMMYFUNCTION("""COMPUTED_VALUE"""),"+34630550448")</f>
        <v/>
      </c>
      <c r="K44" s="1">
        <f>IFERROR(__xludf.DUMMYFUNCTION("""COMPUTED_VALUE"""),"A Coruña")</f>
        <v/>
      </c>
      <c r="L44" s="1">
        <f>IFERROR(__xludf.DUMMYFUNCTION("""COMPUTED_VALUE"""),"Spain")</f>
        <v/>
      </c>
      <c r="M44" s="1">
        <f>IFERROR(__xludf.DUMMYFUNCTION("""COMPUTED_VALUE"""),"Albania, Bulgaria, Andorra, Belarus, Belgium, Austria, Bosnia and Herzegovina, Republic of Cyprus, Croatia, Estonia, Czechia, Denmark, France, Finland, Greece, Hungary, Germany, Iceland, Kosovo, Lithuania, Liechtenstein, Italy, Ireland, Latvia, Luxembourg"&amp;", Monaco, North Macedonia, Portugal, Slovakia, Malta, Montenegro, Norway, Romania, Slovenia, Switzerland, Turkey, San Marino, Poland, Netherlands, Moldova, Spain, United Kingdom, Ukraine, Sweden")</f>
        <v/>
      </c>
      <c r="N44" s="1">
        <f>IFERROR(__xludf.DUMMYFUNCTION("""COMPUTED_VALUE"""),"Solo entrepreneur")</f>
        <v/>
      </c>
      <c r="O44" s="1">
        <f>IFERROR(__xludf.DUMMYFUNCTION("""COMPUTED_VALUE"""),"Business to Business, Business to Consumer")</f>
        <v/>
      </c>
      <c r="P44" s="1">
        <f>IFERROR(__xludf.DUMMYFUNCTION("""COMPUTED_VALUE"""),"Lifelong learning/Adult education, Higher Education, Other")</f>
        <v/>
      </c>
      <c r="Q44" s="1">
        <f>IFERROR(__xludf.DUMMYFUNCTION("""COMPUTED_VALUE"""),"Other")</f>
        <v/>
      </c>
      <c r="R44" s="15">
        <f>IFERROR(__xludf.DUMMYFUNCTION("""COMPUTED_VALUE"""),"https://www.instagram.com/seniorlingua/")</f>
        <v/>
      </c>
      <c r="S44" s="15">
        <f>IFERROR(__xludf.DUMMYFUNCTION("""COMPUTED_VALUE"""),"https://x.com/@Senior_Lingua")</f>
        <v/>
      </c>
      <c r="T44" s="15">
        <f>IFERROR(__xludf.DUMMYFUNCTION("""COMPUTED_VALUE"""),"https://www.linkedin.com/company/senior-lingua/")</f>
        <v/>
      </c>
      <c r="U44" s="1">
        <f>IFERROR(__xludf.DUMMYFUNCTION("""COMPUTED_VALUE"""),"Senior Lingua : Español")</f>
        <v/>
      </c>
      <c r="V44" s="1">
        <f>IFERROR(__xludf.DUMMYFUNCTION("""COMPUTED_VALUE"""),"An App that connects seniors with Spanish language students through videocalls")</f>
        <v/>
      </c>
      <c r="W44" s="1" t="n"/>
      <c r="X44" s="1" t="n"/>
      <c r="Y44" s="15">
        <f>IFERROR(__xludf.DUMMYFUNCTION("""COMPUTED_VALUE"""),"https://drive.google.com/uc?export=view&amp;id=1dRgYQgvZRaYW53c6KHK6UECdwmMhTQ7d")</f>
        <v/>
      </c>
      <c r="Z44" s="1">
        <f>IFERROR(__xludf.DUMMYFUNCTION("""COMPUTED_VALUE"""),"Verified")</f>
        <v/>
      </c>
      <c r="AA44" s="1">
        <f>IFERROR(__xludf.DUMMYFUNCTION("""COMPUTED_VALUE"""),"Project consortium building, Public-private partnerships, Industry-academia partnerships, Other, Collaborations between EdTech organisations")</f>
        <v/>
      </c>
      <c r="AB44" s="1">
        <f>IFERROR(__xludf.DUMMYFUNCTION("""COMPUTED_VALUE"""),"For-profit company")</f>
        <v/>
      </c>
      <c r="AC44" s="1">
        <f>IFERROR(__xludf.DUMMYFUNCTION("""COMPUTED_VALUE"""),TRUE)</f>
        <v/>
      </c>
      <c r="AD44" s="1">
        <f>IFERROR(__xludf.DUMMYFUNCTION("""COMPUTED_VALUE"""),TRUE)</f>
        <v/>
      </c>
      <c r="AE44" s="15">
        <f>IFERROR(__xludf.DUMMYFUNCTION("""COMPUTED_VALUE"""),"https://www.facebook.com/Seniorlingua")</f>
        <v/>
      </c>
    </row>
    <row r="45" ht="42" customHeight="1">
      <c r="A45" s="14">
        <f>IFERROR(__xludf.DUMMYFUNCTION("""COMPUTED_VALUE"""),45889)</f>
        <v/>
      </c>
      <c r="B45" s="1">
        <f>IFERROR(__xludf.DUMMYFUNCTION("""COMPUTED_VALUE"""),"ORG_1099")</f>
        <v/>
      </c>
      <c r="C45" s="1">
        <f>IFERROR(__xludf.DUMMYFUNCTION("""COMPUTED_VALUE"""),TRUE)</f>
        <v/>
      </c>
      <c r="D45" s="1">
        <f>IFERROR(__xludf.DUMMYFUNCTION("""COMPUTED_VALUE"""),"ArtCentrica")</f>
        <v/>
      </c>
      <c r="E45" s="15">
        <f>IFERROR(__xludf.DUMMYFUNCTION("""COMPUTED_VALUE"""),"https://www.artcentrica.com")</f>
        <v/>
      </c>
      <c r="F45" s="1">
        <f>IFERROR(__xludf.DUMMYFUNCTION("""COMPUTED_VALUE"""),"ArtCentrica is the EdTech/CultTech startup that revolutionizes how art is taught, learned and appreciated and the learning of other disciplines through art. ArtCentrica is a spin off of Centrica https://www.centrica.it an early mover in the intersection o"&amp;"f art, education, and innovation. ArtCentrica EDU is a cloud application with more than 8,000 artworks, from 21 global museums (Uffizi Galleries, Brera, MET, ,...) with images up to 10 GigaPixel. With ArtCentrica Platform we design customised projects, li"&amp;"ke «The Greatest Wildlife Photographs» for National Geographic. ArtCentrica is introducing a unique educational tool where human and artificial intelligence converge to create interactive multimedia narratives: AI ArtCentrica Stories, like in ""Renaissanc"&amp;"e and the Silk Road"" https://stories.art.centrica.it/shared/9QNQ5hsxGANbbetE https://tinyurl.com/3dnzxv5z")</f>
        <v/>
      </c>
      <c r="G45" s="1">
        <f>IFERROR(__xludf.DUMMYFUNCTION("""COMPUTED_VALUE"""),"EdTech Italia")</f>
        <v/>
      </c>
      <c r="H45" s="1">
        <f>IFERROR(__xludf.DUMMYFUNCTION("""COMPUTED_VALUE"""),"English, Italian, French, Spanish, Portuguese, German")</f>
        <v/>
      </c>
      <c r="I45" s="1">
        <f>IFERROR(__xludf.DUMMYFUNCTION("""COMPUTED_VALUE"""),"m.cappellini@artcentrica.com")</f>
        <v/>
      </c>
      <c r="J45" s="1">
        <f>IFERROR(__xludf.DUMMYFUNCTION("""COMPUTED_VALUE"""),"+390552466802")</f>
        <v/>
      </c>
      <c r="K45" s="1">
        <f>IFERROR(__xludf.DUMMYFUNCTION("""COMPUTED_VALUE"""),"Florence")</f>
        <v/>
      </c>
      <c r="L45" s="1">
        <f>IFERROR(__xludf.DUMMYFUNCTION("""COMPUTED_VALUE"""),"Italy")</f>
        <v/>
      </c>
      <c r="M45" s="1">
        <f>IFERROR(__xludf.DUMMYFUNCTION("""COMPUTED_VALUE"""),"France, Germany, Italy, United Kingdom, Switzerland")</f>
        <v/>
      </c>
      <c r="N45" s="1">
        <f>IFERROR(__xludf.DUMMYFUNCTION("""COMPUTED_VALUE"""),"Micro (1-9 FTE employees)")</f>
        <v/>
      </c>
      <c r="O45" s="1">
        <f>IFERROR(__xludf.DUMMYFUNCTION("""COMPUTED_VALUE"""),"Business to Business, Business to Government, Business to Schools")</f>
        <v/>
      </c>
      <c r="P45" s="1">
        <f>IFERROR(__xludf.DUMMYFUNCTION("""COMPUTED_VALUE"""),"Secondary Education, Primary Education, Higher Education, Lifelong learning/Adult education")</f>
        <v/>
      </c>
      <c r="Q45" s="1">
        <f>IFERROR(__xludf.DUMMYFUNCTION("""COMPUTED_VALUE"""),"Student interfacing, Teacher interfacing")</f>
        <v/>
      </c>
      <c r="R45" s="15">
        <f>IFERROR(__xludf.DUMMYFUNCTION("""COMPUTED_VALUE"""),"https://www.instagram.com/artcentrica/")</f>
        <v/>
      </c>
      <c r="S45" s="1" t="n"/>
      <c r="T45" s="15">
        <f>IFERROR(__xludf.DUMMYFUNCTION("""COMPUTED_VALUE"""),"https://www.linkedin.com/company/artcentrica")</f>
        <v/>
      </c>
      <c r="U45" s="1">
        <f>IFERROR(__xludf.DUMMYFUNCTION("""COMPUTED_VALUE"""),"ArtCentrica EDU")</f>
        <v/>
      </c>
      <c r="V45" s="1">
        <f>IFERROR(__xludf.DUMMYFUNCTION("""COMPUTED_VALUE"""),"ArtCentrica EDU is a cloud application with more than 8,000 artworks, from 21 global museums (Uffizi Galleries, Brera, MET,...) with images up to 10 GigaPixel for each artwork. Through the lens of art, it aims to provide students with essential soft skill"&amp;"s to tackle today’s and tomorrow challenges.")</f>
        <v/>
      </c>
      <c r="W45" s="1">
        <f>IFERROR(__xludf.DUMMYFUNCTION("""COMPUTED_VALUE"""),"AI ArtCentrica Stories ")</f>
        <v/>
      </c>
      <c r="X45" s="1">
        <f>IFERROR(__xludf.DUMMYFUNCTION("""COMPUTED_VALUE"""),"A unique educational tool where human and artificial intelligence converge to create interactive multimedia narratives centred around works of art, like in ""Renaissance and the Silk Road"" https://stories.art.centrica.it/shared/9QNQ5hsxGANbbetE ")</f>
        <v/>
      </c>
      <c r="Y45" s="15">
        <f>IFERROR(__xludf.DUMMYFUNCTION("""COMPUTED_VALUE"""),"https://drive.google.com/uc?export=view&amp;id=1YtvHoKbpSptFCweYTXU_tUzyyCYwAur0")</f>
        <v/>
      </c>
      <c r="Z45" s="1">
        <f>IFERROR(__xludf.DUMMYFUNCTION("""COMPUTED_VALUE"""),"Verified")</f>
        <v/>
      </c>
      <c r="AA45" s="1">
        <f>IFERROR(__xludf.DUMMYFUNCTION("""COMPUTED_VALUE"""),"Collaborations between EdTech organisations, Public-private partnerships, Industry-academia partnerships")</f>
        <v/>
      </c>
      <c r="AB45" s="1">
        <f>IFERROR(__xludf.DUMMYFUNCTION("""COMPUTED_VALUE"""),"For-profit company")</f>
        <v/>
      </c>
      <c r="AC45" s="1">
        <f>IFERROR(__xludf.DUMMYFUNCTION("""COMPUTED_VALUE"""),TRUE)</f>
        <v/>
      </c>
      <c r="AD45" s="1">
        <f>IFERROR(__xludf.DUMMYFUNCTION("""COMPUTED_VALUE"""),TRUE)</f>
        <v/>
      </c>
      <c r="AE45" s="15">
        <f>IFERROR(__xludf.DUMMYFUNCTION("""COMPUTED_VALUE"""),"https://www.facebook.com/ArtCentricaEDU")</f>
        <v/>
      </c>
    </row>
    <row r="46" ht="42" customHeight="1">
      <c r="A46" s="14">
        <f>IFERROR(__xludf.DUMMYFUNCTION("""COMPUTED_VALUE"""),45889)</f>
        <v/>
      </c>
      <c r="B46" s="1">
        <f>IFERROR(__xludf.DUMMYFUNCTION("""COMPUTED_VALUE"""),"ORG_2643")</f>
        <v/>
      </c>
      <c r="C46" s="1">
        <f>IFERROR(__xludf.DUMMYFUNCTION("""COMPUTED_VALUE"""),TRUE)</f>
        <v/>
      </c>
      <c r="D46" s="1">
        <f>IFERROR(__xludf.DUMMYFUNCTION("""COMPUTED_VALUE"""),"Eonesia")</f>
        <v/>
      </c>
      <c r="E46" s="15">
        <f>IFERROR(__xludf.DUMMYFUNCTION("""COMPUTED_VALUE"""),"www.eonesia.com")</f>
        <v/>
      </c>
      <c r="F46" s="1">
        <f>IFERROR(__xludf.DUMMYFUNCTION("""COMPUTED_VALUE"""),"Eonesia is an immersive learning infrastructure designed to accelerate onboarding, foster employability, and enable inclusive training through task-based simulation. We operate under a SaaS-enabled Marketplace model, allowing organizations to deploy, cust"&amp;"omize, and scale virtual training experiences with measurable KPIs (autonomy, retention, support hours). Our platform connects education, industry, and social impact by transforming real tasks into guided, accessible, and evaluable learning experiences—be"&amp;"fore Day 1.")</f>
        <v/>
      </c>
      <c r="G46" s="1">
        <f>IFERROR(__xludf.DUMMYFUNCTION("""COMPUTED_VALUE"""),"SEK Lab")</f>
        <v/>
      </c>
      <c r="H46" s="1">
        <f>IFERROR(__xludf.DUMMYFUNCTION("""COMPUTED_VALUE"""),"English, Spanish")</f>
        <v/>
      </c>
      <c r="I46" s="1">
        <f>IFERROR(__xludf.DUMMYFUNCTION("""COMPUTED_VALUE"""),"rafa.dorado@eonesia.com")</f>
        <v/>
      </c>
      <c r="J46" s="1">
        <f>IFERROR(__xludf.DUMMYFUNCTION("""COMPUTED_VALUE"""),"+34661266232")</f>
        <v/>
      </c>
      <c r="K46" s="1">
        <f>IFERROR(__xludf.DUMMYFUNCTION("""COMPUTED_VALUE"""),"Córdoba")</f>
        <v/>
      </c>
      <c r="L46" s="1">
        <f>IFERROR(__xludf.DUMMYFUNCTION("""COMPUTED_VALUE"""),"Spain")</f>
        <v/>
      </c>
      <c r="M46" s="1">
        <f>IFERROR(__xludf.DUMMYFUNCTION("""COMPUTED_VALUE"""),"Germany, France, Italy, Spain")</f>
        <v/>
      </c>
      <c r="N46" s="1">
        <f>IFERROR(__xludf.DUMMYFUNCTION("""COMPUTED_VALUE"""),"Micro (1-9 FTE employees)")</f>
        <v/>
      </c>
      <c r="O46" s="1">
        <f>IFERROR(__xludf.DUMMYFUNCTION("""COMPUTED_VALUE"""),"Business to Schools, Business to Business, Business to Government")</f>
        <v/>
      </c>
      <c r="P46" s="1">
        <f>IFERROR(__xludf.DUMMYFUNCTION("""COMPUTED_VALUE"""),"Corporate Training, Higher Education, Secondary Education, Lifelong learning/Adult education, Special education")</f>
        <v/>
      </c>
      <c r="Q46" s="1">
        <f>IFERROR(__xludf.DUMMYFUNCTION("""COMPUTED_VALUE"""),"Student interfacing, Teacher interfacing, Other")</f>
        <v/>
      </c>
      <c r="R46" s="1">
        <f>IFERROR(__xludf.DUMMYFUNCTION("""COMPUTED_VALUE"""),"@Eonesia_world")</f>
        <v/>
      </c>
      <c r="S46" s="1" t="n"/>
      <c r="T46" s="15">
        <f>IFERROR(__xludf.DUMMYFUNCTION("""COMPUTED_VALUE"""),"https://www.linkedin.com/company/eonesia/")</f>
        <v/>
      </c>
      <c r="U46" s="1">
        <f>IFERROR(__xludf.DUMMYFUNCTION("""COMPUTED_VALUE"""),"Eonesia Spaces &amp; Marketplace")</f>
        <v/>
      </c>
      <c r="V46" s="1">
        <f>IFERROR(__xludf.DUMMYFUNCTION("""COMPUTED_VALUE"""),"A flexible SaaS infrastructure to create immersive environments—such as onboarding worlds, interactive campuses, virtual job fairs, or branded showrooms.
Clients can build their own experiences using customizable templates, avatars, tasks, and spaces.
Int"&amp;"egrated with a creator-centric marketplace")</f>
        <v/>
      </c>
      <c r="W46" s="1">
        <f>IFERROR(__xludf.DUMMYFUNCTION("""COMPUTED_VALUE"""),"Eonesia Inclusion Suite (SaaS)")</f>
        <v/>
      </c>
      <c r="X46" s="1">
        <f>IFERROR(__xludf.DUMMYFUNCTION("""COMPUTED_VALUE"""),"A specialized SaaS platform that supports companies and institutions in training, onboarding, and including people with disabilities through immersive task-based simulations.
")</f>
        <v/>
      </c>
      <c r="Y46" s="15">
        <f>IFERROR(__xludf.DUMMYFUNCTION("""COMPUTED_VALUE"""),"https://drive.google.com/uc?export=view&amp;id=1w07dvcNtGybUXkh1WrMhbWnj6CIeptyJ")</f>
        <v/>
      </c>
      <c r="Z46" s="1">
        <f>IFERROR(__xludf.DUMMYFUNCTION("""COMPUTED_VALUE"""),"Verified")</f>
        <v/>
      </c>
      <c r="AA46" s="1">
        <f>IFERROR(__xludf.DUMMYFUNCTION("""COMPUTED_VALUE"""),"Collaborations between EdTech organisations, Public-private partnerships, Industry-academia partnerships, Project consortium building")</f>
        <v/>
      </c>
      <c r="AB46" s="1">
        <f>IFERROR(__xludf.DUMMYFUNCTION("""COMPUTED_VALUE"""),"For-profit company")</f>
        <v/>
      </c>
      <c r="AC46" s="1">
        <f>IFERROR(__xludf.DUMMYFUNCTION("""COMPUTED_VALUE"""),TRUE)</f>
        <v/>
      </c>
      <c r="AD46" s="1">
        <f>IFERROR(__xludf.DUMMYFUNCTION("""COMPUTED_VALUE"""),TRUE)</f>
        <v/>
      </c>
      <c r="AE46" s="1">
        <f>IFERROR(__xludf.DUMMYFUNCTION("""COMPUTED_VALUE"""),"@Eonesia_world")</f>
        <v/>
      </c>
    </row>
    <row r="47" ht="42" customHeight="1">
      <c r="A47" s="14">
        <f>IFERROR(__xludf.DUMMYFUNCTION("""COMPUTED_VALUE"""),45889)</f>
        <v/>
      </c>
      <c r="B47" s="1">
        <f>IFERROR(__xludf.DUMMYFUNCTION("""COMPUTED_VALUE"""),"ORG_2642")</f>
        <v/>
      </c>
      <c r="C47" s="1">
        <f>IFERROR(__xludf.DUMMYFUNCTION("""COMPUTED_VALUE"""),TRUE)</f>
        <v/>
      </c>
      <c r="D47" s="1">
        <f>IFERROR(__xludf.DUMMYFUNCTION("""COMPUTED_VALUE"""),"SkillsPlay Ltd.")</f>
        <v/>
      </c>
      <c r="E47" s="15">
        <f>IFERROR(__xludf.DUMMYFUNCTION("""COMPUTED_VALUE"""),"www.brightgame.com")</f>
        <v/>
      </c>
      <c r="F47" s="1">
        <f>IFERROR(__xludf.DUMMYFUNCTION("""COMPUTED_VALUE"""),"Platform for creating vocational SLG's (Serious Learning Games)")</f>
        <v/>
      </c>
      <c r="G47" s="1">
        <f>IFERROR(__xludf.DUMMYFUNCTION("""COMPUTED_VALUE"""),"I'm not part of any EdTech association")</f>
        <v/>
      </c>
      <c r="H47" s="1">
        <f>IFERROR(__xludf.DUMMYFUNCTION("""COMPUTED_VALUE"""),"English")</f>
        <v/>
      </c>
      <c r="I47" s="1">
        <f>IFERROR(__xludf.DUMMYFUNCTION("""COMPUTED_VALUE"""),"paul@skillsplay.com")</f>
        <v/>
      </c>
      <c r="J47" s="1">
        <f>IFERROR(__xludf.DUMMYFUNCTION("""COMPUTED_VALUE"""),"+447738284310")</f>
        <v/>
      </c>
      <c r="K47" s="1">
        <f>IFERROR(__xludf.DUMMYFUNCTION("""COMPUTED_VALUE"""),"Newcastle")</f>
        <v/>
      </c>
      <c r="L47" s="1">
        <f>IFERROR(__xludf.DUMMYFUNCTION("""COMPUTED_VALUE"""),"United Kingdom")</f>
        <v/>
      </c>
      <c r="M47" s="1">
        <f>IFERROR(__xludf.DUMMYFUNCTION("""COMPUTED_VALUE"""),"United Kingdom")</f>
        <v/>
      </c>
      <c r="N47" s="1">
        <f>IFERROR(__xludf.DUMMYFUNCTION("""COMPUTED_VALUE"""),"Micro (1-9 FTE employees)")</f>
        <v/>
      </c>
      <c r="O47" s="1">
        <f>IFERROR(__xludf.DUMMYFUNCTION("""COMPUTED_VALUE"""),"Business to Business, Business to Government, Business to Schools")</f>
        <v/>
      </c>
      <c r="P47" s="1">
        <f>IFERROR(__xludf.DUMMYFUNCTION("""COMPUTED_VALUE"""),"Vocational Education and Training (VET), Corporate Training")</f>
        <v/>
      </c>
      <c r="Q47" s="1">
        <f>IFERROR(__xludf.DUMMYFUNCTION("""COMPUTED_VALUE"""),"Student interfacing, Teacher interfacing, System/Administrative")</f>
        <v/>
      </c>
      <c r="R47" s="1" t="n"/>
      <c r="S47" s="1" t="n"/>
      <c r="T47" s="1">
        <f>IFERROR(__xludf.DUMMYFUNCTION("""COMPUTED_VALUE"""),"SkillsPlay Ltd.")</f>
        <v/>
      </c>
      <c r="U47" s="1">
        <f>IFERROR(__xludf.DUMMYFUNCTION("""COMPUTED_VALUE"""),"BrightGame")</f>
        <v/>
      </c>
      <c r="V47" s="1">
        <f>IFERROR(__xludf.DUMMYFUNCTION("""COMPUTED_VALUE"""),"Game creation platform for capturing complex situational processes")</f>
        <v/>
      </c>
      <c r="W47" s="1" t="n"/>
      <c r="X47" s="1" t="n"/>
      <c r="Y47" s="15">
        <f>IFERROR(__xludf.DUMMYFUNCTION("""COMPUTED_VALUE"""),"https://drive.google.com/uc?export=view&amp;id=1z1-TgwQMGhrksvrZxWQo8vf91N92IOWf")</f>
        <v/>
      </c>
      <c r="Z47" s="1">
        <f>IFERROR(__xludf.DUMMYFUNCTION("""COMPUTED_VALUE"""),"Verified")</f>
        <v/>
      </c>
      <c r="AA47" s="1">
        <f>IFERROR(__xludf.DUMMYFUNCTION("""COMPUTED_VALUE"""),"Collaborations between EdTech organisations, Project consortium building, Public-private partnerships, Industry-academia partnerships, Other")</f>
        <v/>
      </c>
      <c r="AB47" s="1">
        <f>IFERROR(__xludf.DUMMYFUNCTION("""COMPUTED_VALUE"""),"For-profit company")</f>
        <v/>
      </c>
      <c r="AC47" s="1">
        <f>IFERROR(__xludf.DUMMYFUNCTION("""COMPUTED_VALUE"""),TRUE)</f>
        <v/>
      </c>
      <c r="AD47" s="1">
        <f>IFERROR(__xludf.DUMMYFUNCTION("""COMPUTED_VALUE"""),TRUE)</f>
        <v/>
      </c>
      <c r="AE47" s="1" t="n"/>
    </row>
    <row r="48" ht="42" customHeight="1">
      <c r="A48" s="14">
        <f>IFERROR(__xludf.DUMMYFUNCTION("""COMPUTED_VALUE"""),45889)</f>
        <v/>
      </c>
      <c r="B48" s="1">
        <f>IFERROR(__xludf.DUMMYFUNCTION("""COMPUTED_VALUE"""),"ORG_1901")</f>
        <v/>
      </c>
      <c r="C48" s="1">
        <f>IFERROR(__xludf.DUMMYFUNCTION("""COMPUTED_VALUE"""),TRUE)</f>
        <v/>
      </c>
      <c r="D48" s="1">
        <f>IFERROR(__xludf.DUMMYFUNCTION("""COMPUTED_VALUE"""),"Magma")</f>
        <v/>
      </c>
      <c r="E48" s="15">
        <f>IFERROR(__xludf.DUMMYFUNCTION("""COMPUTED_VALUE"""),"https://magma.app/")</f>
        <v/>
      </c>
      <c r="F48" s="1">
        <f>IFERROR(__xludf.DUMMYFUNCTION("""COMPUTED_VALUE"""),"Magma is an ambassador engagement platform that helps schools, universities, and companies activate their communities. With Magma, organisations can launch tailored actions—such as content creation, reviews, referrals, challenges, or events—and track thei"&amp;"r impact in real time. By turning students and alumni into active ambassadors, Magma drives visibility, recruitment, and long-term loyalty.")</f>
        <v/>
      </c>
      <c r="G48" s="1">
        <f>IFERROR(__xludf.DUMMYFUNCTION("""COMPUTED_VALUE"""),"EdTech France")</f>
        <v/>
      </c>
      <c r="H48" s="1">
        <f>IFERROR(__xludf.DUMMYFUNCTION("""COMPUTED_VALUE"""),"English, French, Spanish, German, Italian, Portuguese")</f>
        <v/>
      </c>
      <c r="I48" s="1">
        <f>IFERROR(__xludf.DUMMYFUNCTION("""COMPUTED_VALUE"""),"hi@magma.app")</f>
        <v/>
      </c>
      <c r="J48" s="1">
        <f>IFERROR(__xludf.DUMMYFUNCTION("""COMPUTED_VALUE"""),"+33627580103")</f>
        <v/>
      </c>
      <c r="K48" s="1">
        <f>IFERROR(__xludf.DUMMYFUNCTION("""COMPUTED_VALUE"""),"Paris")</f>
        <v/>
      </c>
      <c r="L48" s="1">
        <f>IFERROR(__xludf.DUMMYFUNCTION("""COMPUTED_VALUE"""),"France")</f>
        <v/>
      </c>
      <c r="M48" s="1">
        <f>IFERROR(__xludf.DUMMYFUNCTION("""COMPUTED_VALUE"""),"Austria, Belgium, France, Germany, Italy, Ireland, Netherlands, Portugal, Spain, United Kingdom")</f>
        <v/>
      </c>
      <c r="N48" s="1">
        <f>IFERROR(__xludf.DUMMYFUNCTION("""COMPUTED_VALUE"""),"Small (10-49 FTE employees)")</f>
        <v/>
      </c>
      <c r="O48" s="1">
        <f>IFERROR(__xludf.DUMMYFUNCTION("""COMPUTED_VALUE"""),"Business to Business")</f>
        <v/>
      </c>
      <c r="P48" s="1">
        <f>IFERROR(__xludf.DUMMYFUNCTION("""COMPUTED_VALUE"""),"Higher Education, Vocational Education and Training (VET), Lifelong learning/Adult education, Corporate Training")</f>
        <v/>
      </c>
      <c r="Q48" s="1">
        <f>IFERROR(__xludf.DUMMYFUNCTION("""COMPUTED_VALUE"""),"Student interfacing, Other")</f>
        <v/>
      </c>
      <c r="R48" s="15">
        <f>IFERROR(__xludf.DUMMYFUNCTION("""COMPUTED_VALUE"""),"https://www.instagram.com/insidemagma/")</f>
        <v/>
      </c>
      <c r="S48" s="1" t="n"/>
      <c r="T48" s="15">
        <f>IFERROR(__xludf.DUMMYFUNCTION("""COMPUTED_VALUE"""),"https://www.linkedin.com/company/magmaapp/")</f>
        <v/>
      </c>
      <c r="U48" s="1">
        <f>IFERROR(__xludf.DUMMYFUNCTION("""COMPUTED_VALUE"""),"Magma Platform")</f>
        <v/>
      </c>
      <c r="V48" s="1">
        <f>IFERROR(__xludf.DUMMYFUNCTION("""COMPUTED_VALUE"""),"A SaaS platform that enables schools, universities, and companies to activate their communities through ambassador programs. It allows organisations to launch actions such as content creation, reviews, referrals, challenges, and events—all trackable in re"&amp;"al time.")</f>
        <v/>
      </c>
      <c r="W48" s="1">
        <f>IFERROR(__xludf.DUMMYFUNCTION("""COMPUTED_VALUE"""),"Ambassador Engagement Services")</f>
        <v/>
      </c>
      <c r="X48" s="1">
        <f>IFERROR(__xludf.DUMMYFUNCTION("""COMPUTED_VALUE"""),"Tailored support and strategy to design, launch, and scale ambassador programs. From defining profiles and engagement plans to setting up rewards and automations, we help organisations maximise impact and long-term loyalty.")</f>
        <v/>
      </c>
      <c r="Y48" s="15">
        <f>IFERROR(__xludf.DUMMYFUNCTION("""COMPUTED_VALUE"""),"https://drive.google.com/uc?export=view&amp;id=18YC9a1B3Qq2QWEZm4wDKCD_Vf5kdnS7H")</f>
        <v/>
      </c>
      <c r="Z48" s="1">
        <f>IFERROR(__xludf.DUMMYFUNCTION("""COMPUTED_VALUE"""),"Verified")</f>
        <v/>
      </c>
      <c r="AA48" s="1">
        <f>IFERROR(__xludf.DUMMYFUNCTION("""COMPUTED_VALUE"""),"Collaborations between EdTech organisations")</f>
        <v/>
      </c>
      <c r="AB48" s="1">
        <f>IFERROR(__xludf.DUMMYFUNCTION("""COMPUTED_VALUE"""),"For-profit company")</f>
        <v/>
      </c>
      <c r="AC48" s="1">
        <f>IFERROR(__xludf.DUMMYFUNCTION("""COMPUTED_VALUE"""),FALSE)</f>
        <v/>
      </c>
      <c r="AD48" s="1">
        <f>IFERROR(__xludf.DUMMYFUNCTION("""COMPUTED_VALUE"""),FALSE)</f>
        <v/>
      </c>
      <c r="AE48" s="1" t="n"/>
    </row>
    <row r="49" ht="42" customHeight="1">
      <c r="A49" s="14">
        <f>IFERROR(__xludf.DUMMYFUNCTION("""COMPUTED_VALUE"""),45889)</f>
        <v/>
      </c>
      <c r="B49" s="1">
        <f>IFERROR(__xludf.DUMMYFUNCTION("""COMPUTED_VALUE"""),"ORG_2403")</f>
        <v/>
      </c>
      <c r="C49" s="1">
        <f>IFERROR(__xludf.DUMMYFUNCTION("""COMPUTED_VALUE"""),TRUE)</f>
        <v/>
      </c>
      <c r="D49" s="1">
        <f>IFERROR(__xludf.DUMMYFUNCTION("""COMPUTED_VALUE"""),"The Simulation Crew")</f>
        <v/>
      </c>
      <c r="E49" s="15">
        <f>IFERROR(__xludf.DUMMYFUNCTION("""COMPUTED_VALUE"""),"thesimulationcrew.com")</f>
        <v/>
      </c>
      <c r="F49" s="1">
        <f>IFERROR(__xludf.DUMMYFUNCTION("""COMPUTED_VALUE"""),"Simulation software company with vast experience in Mobile and VR development using AI for natural speech input and AI for personal feedback. ")</f>
        <v/>
      </c>
      <c r="G49" s="1">
        <f>IFERROR(__xludf.DUMMYFUNCTION("""COMPUTED_VALUE"""),"Dutch EdTech")</f>
        <v/>
      </c>
      <c r="H49" s="1">
        <f>IFERROR(__xludf.DUMMYFUNCTION("""COMPUTED_VALUE"""),"English, Dutch, German, French")</f>
        <v/>
      </c>
      <c r="I49" s="1">
        <f>IFERROR(__xludf.DUMMYFUNCTION("""COMPUTED_VALUE"""),"Eric.jutten@simulationcrew.com")</f>
        <v/>
      </c>
      <c r="J49" s="1">
        <f>IFERROR(__xludf.DUMMYFUNCTION("""COMPUTED_VALUE"""),"+33621288682")</f>
        <v/>
      </c>
      <c r="K49" s="1">
        <f>IFERROR(__xludf.DUMMYFUNCTION("""COMPUTED_VALUE"""),"Nijmegen")</f>
        <v/>
      </c>
      <c r="L49" s="1">
        <f>IFERROR(__xludf.DUMMYFUNCTION("""COMPUTED_VALUE"""),"The Netherlands")</f>
        <v/>
      </c>
      <c r="M49" s="1">
        <f>IFERROR(__xludf.DUMMYFUNCTION("""COMPUTED_VALUE"""),"Belgium, Germany, Netherlands, United Kingdom, Sweden")</f>
        <v/>
      </c>
      <c r="N49" s="1">
        <f>IFERROR(__xludf.DUMMYFUNCTION("""COMPUTED_VALUE"""),"Micro (1-9 FTE employees)")</f>
        <v/>
      </c>
      <c r="O49" s="1">
        <f>IFERROR(__xludf.DUMMYFUNCTION("""COMPUTED_VALUE"""),"Business to Schools, Business to Government, Business to Business")</f>
        <v/>
      </c>
      <c r="P49" s="1">
        <f>IFERROR(__xludf.DUMMYFUNCTION("""COMPUTED_VALUE"""),"Higher Education")</f>
        <v/>
      </c>
      <c r="Q49" s="1">
        <f>IFERROR(__xludf.DUMMYFUNCTION("""COMPUTED_VALUE"""),"Student interfacing, Teacher interfacing")</f>
        <v/>
      </c>
      <c r="R49" s="1" t="n"/>
      <c r="S49" s="1" t="n"/>
      <c r="T49" s="15">
        <f>IFERROR(__xludf.DUMMYFUNCTION("""COMPUTED_VALUE"""),"https://www.linkedin.com/company/the-simulation-crew/")</f>
        <v/>
      </c>
      <c r="U49" s="1">
        <f>IFERROR(__xludf.DUMMYFUNCTION("""COMPUTED_VALUE"""),"Patient communication simulation")</f>
        <v/>
      </c>
      <c r="V49" s="1">
        <f>IFERROR(__xludf.DUMMYFUNCTION("""COMPUTED_VALUE"""),"Empathetic communication with patients improves recovery through positive placebo effects, but carelessness can cause nocebo effects. This simulation training will teach you how to communicate effectively to enhance placebo effects and limit nocebo effect"&amp;"s. You practice using free speech with virtua")</f>
        <v/>
      </c>
      <c r="W49" s="1">
        <f>IFERROR(__xludf.DUMMYFUNCTION("""COMPUTED_VALUE"""),"Student Coaching simulation")</f>
        <v/>
      </c>
      <c r="X49" s="1">
        <f>IFERROR(__xludf.DUMMYFUNCTION("""COMPUTED_VALUE"""),"The VR training Student Coaching is designed for (future) education professionals to develop effective coaching skills through realistic, interactive virtual scenarios. Participants engage in natural conversations with virtual students using speech intera"&amp;"ction, receiving detailed feedback on verbal ")</f>
        <v/>
      </c>
      <c r="Y49" s="15">
        <f>IFERROR(__xludf.DUMMYFUNCTION("""COMPUTED_VALUE"""),"https://drive.google.com/uc?export=view&amp;id=1Yv5qHlxyR3HWPugMr-7X-15nvWNU50My")</f>
        <v/>
      </c>
      <c r="Z49" s="1">
        <f>IFERROR(__xludf.DUMMYFUNCTION("""COMPUTED_VALUE"""),"Verified")</f>
        <v/>
      </c>
      <c r="AA49" s="1">
        <f>IFERROR(__xludf.DUMMYFUNCTION("""COMPUTED_VALUE"""),"Collaborations between EdTech organisations")</f>
        <v/>
      </c>
      <c r="AB49" s="1">
        <f>IFERROR(__xludf.DUMMYFUNCTION("""COMPUTED_VALUE"""),"For-profit company")</f>
        <v/>
      </c>
      <c r="AC49" s="1">
        <f>IFERROR(__xludf.DUMMYFUNCTION("""COMPUTED_VALUE"""),TRUE)</f>
        <v/>
      </c>
      <c r="AD49" s="1">
        <f>IFERROR(__xludf.DUMMYFUNCTION("""COMPUTED_VALUE"""),TRUE)</f>
        <v/>
      </c>
      <c r="AE49" s="1" t="n"/>
    </row>
    <row r="50" ht="42" customHeight="1">
      <c r="A50" s="14">
        <f>IFERROR(__xludf.DUMMYFUNCTION("""COMPUTED_VALUE"""),45889)</f>
        <v/>
      </c>
      <c r="B50" s="1">
        <f>IFERROR(__xludf.DUMMYFUNCTION("""COMPUTED_VALUE"""),"ORG_1968")</f>
        <v/>
      </c>
      <c r="C50" s="1">
        <f>IFERROR(__xludf.DUMMYFUNCTION("""COMPUTED_VALUE"""),TRUE)</f>
        <v/>
      </c>
      <c r="D50" s="1">
        <f>IFERROR(__xludf.DUMMYFUNCTION("""COMPUTED_VALUE"""),"MIMBUS")</f>
        <v/>
      </c>
      <c r="E50" s="15">
        <f>IFERROR(__xludf.DUMMYFUNCTION("""COMPUTED_VALUE"""),"www.mimbus.com")</f>
        <v/>
      </c>
      <c r="F50" s="1">
        <f>IFERROR(__xludf.DUMMYFUNCTION("""COMPUTED_VALUE"""),"Mimbus creates and deploys immersive training solutions for skilled trade schools and training centres.")</f>
        <v/>
      </c>
      <c r="G50" s="1">
        <f>IFERROR(__xludf.DUMMYFUNCTION("""COMPUTED_VALUE"""),"EdTech France")</f>
        <v/>
      </c>
      <c r="H50" s="1">
        <f>IFERROR(__xludf.DUMMYFUNCTION("""COMPUTED_VALUE"""),"English, French, Spanish, German")</f>
        <v/>
      </c>
      <c r="I50" s="1">
        <f>IFERROR(__xludf.DUMMYFUNCTION("""COMPUTED_VALUE"""),"sales@mimbus.com")</f>
        <v/>
      </c>
      <c r="J50" s="1">
        <f>IFERROR(__xludf.DUMMYFUNCTION("""COMPUTED_VALUE"""),"+33561707171")</f>
        <v/>
      </c>
      <c r="K50" s="1">
        <f>IFERROR(__xludf.DUMMYFUNCTION("""COMPUTED_VALUE"""),"Toulouse")</f>
        <v/>
      </c>
      <c r="L50" s="1">
        <f>IFERROR(__xludf.DUMMYFUNCTION("""COMPUTED_VALUE"""),"France")</f>
        <v/>
      </c>
      <c r="M50" s="1">
        <f>IFERROR(__xludf.DUMMYFUNCTION("""COMPUTED_VALUE"""),"Belgium, Denmark, Estonia, Finland, France, Germany, Greece, Hungary, Italy, Luxembourg, Norway, Poland, Portugal, Romania, Spain, Sweden, Switzerland, Turkey, Ukraine, United Kingdom")</f>
        <v/>
      </c>
      <c r="N50" s="1">
        <f>IFERROR(__xludf.DUMMYFUNCTION("""COMPUTED_VALUE"""),"Small (10-49 FTE employees)")</f>
        <v/>
      </c>
      <c r="O50" s="1">
        <f>IFERROR(__xludf.DUMMYFUNCTION("""COMPUTED_VALUE"""),"Business to Business")</f>
        <v/>
      </c>
      <c r="P50" s="1">
        <f>IFERROR(__xludf.DUMMYFUNCTION("""COMPUTED_VALUE"""),"Secondary Education, Vocational Education and Training (VET), Lifelong learning/Adult education, Corporate Training")</f>
        <v/>
      </c>
      <c r="Q50" s="1">
        <f>IFERROR(__xludf.DUMMYFUNCTION("""COMPUTED_VALUE"""),"Student interfacing, Teacher interfacing")</f>
        <v/>
      </c>
      <c r="R50" s="1" t="n"/>
      <c r="S50" s="1" t="n"/>
      <c r="T50" s="1" t="n"/>
      <c r="U50" s="1">
        <f>IFERROR(__xludf.DUMMYFUNCTION("""COMPUTED_VALUE"""),"Mimbus Discover")</f>
        <v/>
      </c>
      <c r="V50" s="1">
        <f>IFERROR(__xludf.DUMMYFUNCTION("""COMPUTED_VALUE"""),"Career Exploration solution using Stand Alone XR headsets")</f>
        <v/>
      </c>
      <c r="W50" s="1">
        <f>IFERROR(__xludf.DUMMYFUNCTION("""COMPUTED_VALUE"""),"Mimbus Construction")</f>
        <v/>
      </c>
      <c r="X50" s="1">
        <f>IFERROR(__xludf.DUMMYFUNCTION("""COMPUTED_VALUE"""),"XR Training for construction industry workforce")</f>
        <v/>
      </c>
      <c r="Y50" s="15">
        <f>IFERROR(__xludf.DUMMYFUNCTION("""COMPUTED_VALUE"""),"https://drive.google.com/uc?export=view&amp;id=1I5zW4Dd8VyabeRw2_Fi5OJvvUdNMTQ41")</f>
        <v/>
      </c>
      <c r="Z50" s="1">
        <f>IFERROR(__xludf.DUMMYFUNCTION("""COMPUTED_VALUE"""),"Verified")</f>
        <v/>
      </c>
      <c r="AA50" s="1">
        <f>IFERROR(__xludf.DUMMYFUNCTION("""COMPUTED_VALUE"""),"Collaborations between EdTech organisations, Project consortium building, Public-private partnerships, Industry-academia partnerships")</f>
        <v/>
      </c>
      <c r="AB50" s="1">
        <f>IFERROR(__xludf.DUMMYFUNCTION("""COMPUTED_VALUE"""),"For-profit company")</f>
        <v/>
      </c>
      <c r="AC50" s="1">
        <f>IFERROR(__xludf.DUMMYFUNCTION("""COMPUTED_VALUE"""),TRUE)</f>
        <v/>
      </c>
      <c r="AD50" s="1">
        <f>IFERROR(__xludf.DUMMYFUNCTION("""COMPUTED_VALUE"""),TRUE)</f>
        <v/>
      </c>
      <c r="AE50" s="1" t="n"/>
    </row>
    <row r="51" ht="42" customHeight="1">
      <c r="A51" s="14">
        <f>IFERROR(__xludf.DUMMYFUNCTION("""COMPUTED_VALUE"""),45889)</f>
        <v/>
      </c>
      <c r="B51" s="1">
        <f>IFERROR(__xludf.DUMMYFUNCTION("""COMPUTED_VALUE"""),"ORG_1058")</f>
        <v/>
      </c>
      <c r="C51" s="1">
        <f>IFERROR(__xludf.DUMMYFUNCTION("""COMPUTED_VALUE"""),TRUE)</f>
        <v/>
      </c>
      <c r="D51" s="1">
        <f>IFERROR(__xludf.DUMMYFUNCTION("""COMPUTED_VALUE"""),"Alteredu")</f>
        <v/>
      </c>
      <c r="E51" s="15">
        <f>IFERROR(__xludf.DUMMYFUNCTION("""COMPUTED_VALUE"""),"Www.alteredu.it")</f>
        <v/>
      </c>
      <c r="F51" s="1">
        <f>IFERROR(__xludf.DUMMYFUNCTION("""COMPUTED_VALUE"""),"Alteredu is an innovative EdTech company and the largest certified online course platform in Italy, offering over 600 accredited training programs. Our courses are certified by the Italian Ministry of Education (MIUR) and recognized by ICEP, ensuring part"&amp;"icipants gain formal and professional qualifications valid across Europe.  We specialize in e-learning solutions for both B2B and B2C markets, helping companies upskill their workforce and individuals reskill to improve employability. Our cutting-edge pla"&amp;"tform integrates a Virtual AI Tutor, which personalizes the learning journey, provides real-time feedback, and ensures high engagement through interactive learning.  Key Strengths: 	•	Certified online courses with ISO 9001:2015 quality standards. 	•	AI-dr"&amp;"iven personalization of training paths. 	•	Expertise in reskilling and upskilling for the modern workforce. 	•	Proven track record in developing tailored e-learning modules for diverse industries. 	•	Strong engagement in EU initiatives such as the Digital"&amp;" Skills and Jobs Coalition, the European Association of Distance Learning (EADL), and the European SME Alliance.  Impact: During the COVID-19 pandemic, Alteredu supported Italy’s Digital Solidarity initiative by offering over 50 certified courses free of "&amp;"charge, demonstrating our commitment to inclusivity and lifelong learning.  European Projects: Alteredu is an active partner in Erasmus+ and Horizon Europe projects, with experience in areas such as digital transformation in education, cybersecurity train"&amp;"ing (AI-SHIELD), NFT competences for the creative sector (NFT4Work), and AI &amp; coding in schools (AI-COSMIC) ")</f>
        <v/>
      </c>
      <c r="G51" s="1">
        <f>IFERROR(__xludf.DUMMYFUNCTION("""COMPUTED_VALUE"""),"EdTech Italia")</f>
        <v/>
      </c>
      <c r="H51" s="1" t="n"/>
      <c r="I51" s="1">
        <f>IFERROR(__xludf.DUMMYFUNCTION("""COMPUTED_VALUE"""),"info@alteredu.it")</f>
        <v/>
      </c>
      <c r="J51" s="1">
        <f>IFERROR(__xludf.DUMMYFUNCTION("""COMPUTED_VALUE"""),"+393207542346")</f>
        <v/>
      </c>
      <c r="K51" s="1">
        <f>IFERROR(__xludf.DUMMYFUNCTION("""COMPUTED_VALUE"""),"Terranova da Sibari ")</f>
        <v/>
      </c>
      <c r="L51" s="1">
        <f>IFERROR(__xludf.DUMMYFUNCTION("""COMPUTED_VALUE"""),"Italy")</f>
        <v/>
      </c>
      <c r="M51" s="1" t="n"/>
      <c r="N51" s="1">
        <f>IFERROR(__xludf.DUMMYFUNCTION("""COMPUTED_VALUE"""),"Small (10-49 FTE employees)")</f>
        <v/>
      </c>
      <c r="O51" s="1">
        <f>IFERROR(__xludf.DUMMYFUNCTION("""COMPUTED_VALUE"""),"Business to Business, Business to Consumer, Business to Government, Business to Schools")</f>
        <v/>
      </c>
      <c r="P51" s="1">
        <f>IFERROR(__xludf.DUMMYFUNCTION("""COMPUTED_VALUE"""),"Lifelong learning/Adult education, Corporate Training, Vocational Education and Training (VET)")</f>
        <v/>
      </c>
      <c r="Q51" s="1">
        <f>IFERROR(__xludf.DUMMYFUNCTION("""COMPUTED_VALUE"""),"Teacher interfacing")</f>
        <v/>
      </c>
      <c r="R51" s="1" t="n"/>
      <c r="S51" s="1" t="n"/>
      <c r="T51" s="1" t="n"/>
      <c r="U51" s="1">
        <f>IFERROR(__xludf.DUMMYFUNCTION("""COMPUTED_VALUE"""),"Mandatory training for companies ")</f>
        <v/>
      </c>
      <c r="V51" s="1">
        <f>IFERROR(__xludf.DUMMYFUNCTION("""COMPUTED_VALUE"""),"Mandatory Corporate Training (Health &amp; Safety, Compliance, Privacy, etc.)
Alteredu transforms traditional mandatory training into an engaging digital learning experience. Through short video modules, interactive quizzes, and an AI-powered Virtual Tutor, e"&amp;"mployees are guided in realistic scenarios th")</f>
        <v/>
      </c>
      <c r="W51" s="1" t="n"/>
      <c r="X51" s="1" t="n"/>
      <c r="Y51" s="15">
        <f>IFERROR(__xludf.DUMMYFUNCTION("""COMPUTED_VALUE"""),"https://drive.google.com/uc?export=view&amp;id=15fECYvvE62nx_hSNDXX-eIQccg0DrTWp")</f>
        <v/>
      </c>
      <c r="Z51" s="1">
        <f>IFERROR(__xludf.DUMMYFUNCTION("""COMPUTED_VALUE"""),"Verified")</f>
        <v/>
      </c>
      <c r="AA51" s="1">
        <f>IFERROR(__xludf.DUMMYFUNCTION("""COMPUTED_VALUE"""),"Project consortium building, Public-private partnerships")</f>
        <v/>
      </c>
      <c r="AB51" s="1">
        <f>IFERROR(__xludf.DUMMYFUNCTION("""COMPUTED_VALUE"""),"For-profit company")</f>
        <v/>
      </c>
      <c r="AC51" s="1">
        <f>IFERROR(__xludf.DUMMYFUNCTION("""COMPUTED_VALUE"""),TRUE)</f>
        <v/>
      </c>
      <c r="AD51" s="1" t="n"/>
      <c r="AE51" s="1" t="n"/>
    </row>
    <row r="52" ht="42" customHeight="1">
      <c r="A52" s="14">
        <f>IFERROR(__xludf.DUMMYFUNCTION("""COMPUTED_VALUE"""),45889)</f>
        <v/>
      </c>
      <c r="B52" s="1">
        <f>IFERROR(__xludf.DUMMYFUNCTION("""COMPUTED_VALUE"""),"ORG_2641")</f>
        <v/>
      </c>
      <c r="C52" s="1">
        <f>IFERROR(__xludf.DUMMYFUNCTION("""COMPUTED_VALUE"""),TRUE)</f>
        <v/>
      </c>
      <c r="D52" s="1">
        <f>IFERROR(__xludf.DUMMYFUNCTION("""COMPUTED_VALUE"""),"eXaminer AG")</f>
        <v/>
      </c>
      <c r="E52" s="15">
        <f>IFERROR(__xludf.DUMMYFUNCTION("""COMPUTED_VALUE"""),"https://www.examiner.ch/")</f>
        <v/>
      </c>
      <c r="F52" s="1">
        <f>IFERROR(__xludf.DUMMYFUNCTION("""COMPUTED_VALUE"""),"eXaminer is the innovative, web-based platform for exams, class tests, learning assessments and tests of all kinds. Developed in close cooperation with educators, the platform offers ideal solutions for formative and summative assessments.")</f>
        <v/>
      </c>
      <c r="G52" s="1">
        <f>IFERROR(__xludf.DUMMYFUNCTION("""COMPUTED_VALUE"""),"bitmark Association, EdTech-Verband e.V., Swiss EdTech Collider")</f>
        <v/>
      </c>
      <c r="H52" s="1">
        <f>IFERROR(__xludf.DUMMYFUNCTION("""COMPUTED_VALUE"""),"English, French, Italian, German")</f>
        <v/>
      </c>
      <c r="I52" s="1">
        <f>IFERROR(__xludf.DUMMYFUNCTION("""COMPUTED_VALUE"""),"info@examiner.ch")</f>
        <v/>
      </c>
      <c r="J52" s="1">
        <f>IFERROR(__xludf.DUMMYFUNCTION("""COMPUTED_VALUE"""),"+41712233231")</f>
        <v/>
      </c>
      <c r="K52" s="1">
        <f>IFERROR(__xludf.DUMMYFUNCTION("""COMPUTED_VALUE"""),"9000 St. Gallen")</f>
        <v/>
      </c>
      <c r="L52" s="1">
        <f>IFERROR(__xludf.DUMMYFUNCTION("""COMPUTED_VALUE"""),"Switzerland")</f>
        <v/>
      </c>
      <c r="M52" s="1">
        <f>IFERROR(__xludf.DUMMYFUNCTION("""COMPUTED_VALUE"""),"Germany, Liechtenstein, Switzerland, Austria")</f>
        <v/>
      </c>
      <c r="N52" s="1">
        <f>IFERROR(__xludf.DUMMYFUNCTION("""COMPUTED_VALUE"""),"Micro (1-9 FTE employees)")</f>
        <v/>
      </c>
      <c r="O52" s="1">
        <f>IFERROR(__xludf.DUMMYFUNCTION("""COMPUTED_VALUE"""),"Business to Business, Business to Consumer, Business to Schools, Business to Government")</f>
        <v/>
      </c>
      <c r="P52" s="1">
        <f>IFERROR(__xludf.DUMMYFUNCTION("""COMPUTED_VALUE"""),"Secondary Education, Vocational Education and Training (VET), Higher Education, Corporate Training, Lifelong learning/Adult education")</f>
        <v/>
      </c>
      <c r="Q52" s="1">
        <f>IFERROR(__xludf.DUMMYFUNCTION("""COMPUTED_VALUE"""),"Student interfacing, Teacher interfacing, System/Administrative")</f>
        <v/>
      </c>
      <c r="R52" s="15">
        <f>IFERROR(__xludf.DUMMYFUNCTION("""COMPUTED_VALUE"""),"https://www.instagram.com/examiner_official")</f>
        <v/>
      </c>
      <c r="S52" s="1" t="n"/>
      <c r="T52" s="15">
        <f>IFERROR(__xludf.DUMMYFUNCTION("""COMPUTED_VALUE"""),"https://www.linkedin.com/showcase/examiner")</f>
        <v/>
      </c>
      <c r="U52" s="1">
        <f>IFERROR(__xludf.DUMMYFUNCTION("""COMPUTED_VALUE"""),"Digital exam platform")</f>
        <v/>
      </c>
      <c r="V52" s="1">
        <f>IFERROR(__xludf.DUMMYFUNCTION("""COMPUTED_VALUE"""),"eXaminer ist die innovative, webbasierte Plattform für Prüfungen, Klassenarbeiten, Lernkontrollen und Tests jeglicher Art. Nebst einer gratis Testversion gibt es Einzellizenzen sowie Teamlizenzen für alle Anforderungen.")</f>
        <v/>
      </c>
      <c r="W52" s="1" t="n"/>
      <c r="X52" s="1" t="n"/>
      <c r="Y52" s="15">
        <f>IFERROR(__xludf.DUMMYFUNCTION("""COMPUTED_VALUE"""),"https://drive.google.com/uc?export=view&amp;id=1Ykfu1dmT6MyuVeI3FBpoIlWIcPC6lNX7")</f>
        <v/>
      </c>
      <c r="Z52" s="1">
        <f>IFERROR(__xludf.DUMMYFUNCTION("""COMPUTED_VALUE"""),"Verified")</f>
        <v/>
      </c>
      <c r="AA52" s="1">
        <f>IFERROR(__xludf.DUMMYFUNCTION("""COMPUTED_VALUE"""),"Collaborations between EdTech organisations, Industry-academia partnerships, Public-private partnerships, Project consortium building")</f>
        <v/>
      </c>
      <c r="AB52" s="1">
        <f>IFERROR(__xludf.DUMMYFUNCTION("""COMPUTED_VALUE"""),"For-profit company")</f>
        <v/>
      </c>
      <c r="AC52" s="1">
        <f>IFERROR(__xludf.DUMMYFUNCTION("""COMPUTED_VALUE"""),TRUE)</f>
        <v/>
      </c>
      <c r="AD52" s="1">
        <f>IFERROR(__xludf.DUMMYFUNCTION("""COMPUTED_VALUE"""),FALSE)</f>
        <v/>
      </c>
      <c r="AE52" s="1" t="n"/>
    </row>
    <row r="53" ht="42" customHeight="1">
      <c r="A53" s="14">
        <f>IFERROR(__xludf.DUMMYFUNCTION("""COMPUTED_VALUE"""),45889)</f>
        <v/>
      </c>
      <c r="B53" s="1">
        <f>IFERROR(__xludf.DUMMYFUNCTION("""COMPUTED_VALUE"""),"ORG_1989")</f>
        <v/>
      </c>
      <c r="C53" s="1">
        <f>IFERROR(__xludf.DUMMYFUNCTION("""COMPUTED_VALUE"""),TRUE)</f>
        <v/>
      </c>
      <c r="D53" s="1">
        <f>IFERROR(__xludf.DUMMYFUNCTION("""COMPUTED_VALUE"""),"MOS - MindOnSite")</f>
        <v/>
      </c>
      <c r="E53" s="15">
        <f>IFERROR(__xludf.DUMMYFUNCTION("""COMPUTED_VALUE"""),"https://www.mindonsite.com/en/")</f>
        <v/>
      </c>
      <c r="F53" s="1">
        <f>IFERROR(__xludf.DUMMYFUNCTION("""COMPUTED_VALUE"""),"MOS - MindOnSite, Swiss editor, expert in developing digital learning solutions. We develop and implement online innovative and engaging Smart Learning Solutions, to meet the specificities of extended learning enterprise. ")</f>
        <v/>
      </c>
      <c r="G53" s="1">
        <f>IFERROR(__xludf.DUMMYFUNCTION("""COMPUTED_VALUE"""),"I'm not part of any EdTech association")</f>
        <v/>
      </c>
      <c r="H53" s="1">
        <f>IFERROR(__xludf.DUMMYFUNCTION("""COMPUTED_VALUE"""),"English, French, Spanish, German, Italian, Dutch, Portuguese, Bulgarian, Croatian, Czech, Danish, Estonian, Finnish, Greek, Hungarian, Lithuanian, Latvian, Irish, Maltese, Polish, Romanian, Swedish, Slovenian, Slovak, Ukrainian, Catalan, Basque")</f>
        <v/>
      </c>
      <c r="I53" s="1">
        <f>IFERROR(__xludf.DUMMYFUNCTION("""COMPUTED_VALUE"""),"sales@mindonsite.com")</f>
        <v/>
      </c>
      <c r="J53" s="1">
        <f>IFERROR(__xludf.DUMMYFUNCTION("""COMPUTED_VALUE"""),"+41213312280")</f>
        <v/>
      </c>
      <c r="K53" s="1">
        <f>IFERROR(__xludf.DUMMYFUNCTION("""COMPUTED_VALUE"""),"Lausanne")</f>
        <v/>
      </c>
      <c r="L53" s="1">
        <f>IFERROR(__xludf.DUMMYFUNCTION("""COMPUTED_VALUE"""),"Switzerland")</f>
        <v/>
      </c>
      <c r="M53" s="1">
        <f>IFERROR(__xludf.DUMMYFUNCTION("""COMPUTED_VALUE"""),"Switzerland, United Kingdom, Spain, Monaco, Netherlands, Luxembourg, Austria, France, Portugal")</f>
        <v/>
      </c>
      <c r="N53" s="1">
        <f>IFERROR(__xludf.DUMMYFUNCTION("""COMPUTED_VALUE"""),"Small (10-49 FTE employees)")</f>
        <v/>
      </c>
      <c r="O53" s="1">
        <f>IFERROR(__xludf.DUMMYFUNCTION("""COMPUTED_VALUE"""),"Business to Business")</f>
        <v/>
      </c>
      <c r="P53" s="1">
        <f>IFERROR(__xludf.DUMMYFUNCTION("""COMPUTED_VALUE"""),"Corporate Training")</f>
        <v/>
      </c>
      <c r="Q53" s="1">
        <f>IFERROR(__xludf.DUMMYFUNCTION("""COMPUTED_VALUE"""),"System/Administrative")</f>
        <v/>
      </c>
      <c r="R53" s="1" t="n"/>
      <c r="S53" s="1" t="n"/>
      <c r="T53" s="15">
        <f>IFERROR(__xludf.DUMMYFUNCTION("""COMPUTED_VALUE"""),"https://www.linkedin.com/company/mos-mindonsite/")</f>
        <v/>
      </c>
      <c r="U53" s="1">
        <f>IFERROR(__xludf.DUMMYFUNCTION("""COMPUTED_VALUE"""),"MOS Chorus LMS")</f>
        <v/>
      </c>
      <c r="V53" s="1" t="n"/>
      <c r="W53" s="1" t="n"/>
      <c r="X53" s="1" t="n"/>
      <c r="Y53" s="15">
        <f>IFERROR(__xludf.DUMMYFUNCTION("""COMPUTED_VALUE"""),"https://drive.google.com/uc?export=view&amp;id=1LPr2HuEyJD1OeaIMx7b7yQXHRn0L3SLu")</f>
        <v/>
      </c>
      <c r="Z53" s="1">
        <f>IFERROR(__xludf.DUMMYFUNCTION("""COMPUTED_VALUE"""),"Verified")</f>
        <v/>
      </c>
      <c r="AA53" s="1">
        <f>IFERROR(__xludf.DUMMYFUNCTION("""COMPUTED_VALUE"""),"Project consortium building")</f>
        <v/>
      </c>
      <c r="AB53" s="1">
        <f>IFERROR(__xludf.DUMMYFUNCTION("""COMPUTED_VALUE"""),"For-profit company")</f>
        <v/>
      </c>
      <c r="AC53" s="1">
        <f>IFERROR(__xludf.DUMMYFUNCTION("""COMPUTED_VALUE"""),FALSE)</f>
        <v/>
      </c>
      <c r="AD53" s="1">
        <f>IFERROR(__xludf.DUMMYFUNCTION("""COMPUTED_VALUE"""),TRUE)</f>
        <v/>
      </c>
      <c r="AE53" s="1" t="n"/>
    </row>
    <row r="54" ht="42" customHeight="1">
      <c r="A54" s="14">
        <f>IFERROR(__xludf.DUMMYFUNCTION("""COMPUTED_VALUE"""),45889)</f>
        <v/>
      </c>
      <c r="B54" s="1">
        <f>IFERROR(__xludf.DUMMYFUNCTION("""COMPUTED_VALUE"""),"ORG_1030")</f>
        <v/>
      </c>
      <c r="C54" s="1">
        <f>IFERROR(__xludf.DUMMYFUNCTION("""COMPUTED_VALUE"""),TRUE)</f>
        <v/>
      </c>
      <c r="D54" s="1">
        <f>IFERROR(__xludf.DUMMYFUNCTION("""COMPUTED_VALUE"""),"Across Cultures")</f>
        <v/>
      </c>
      <c r="E54" s="15">
        <f>IFERROR(__xludf.DUMMYFUNCTION("""COMPUTED_VALUE"""),"www.axcultures.com")</f>
        <v/>
      </c>
      <c r="F54" s="1">
        <f>IFERROR(__xludf.DUMMYFUNCTION("""COMPUTED_VALUE"""),"Across Cultures is committed to transforming language learning and literacy through creative, blended learning experiences, supporting educators and learners to succeed in an interconnected world.")</f>
        <v/>
      </c>
      <c r="G54" s="1">
        <f>IFERROR(__xludf.DUMMYFUNCTION("""COMPUTED_VALUE"""),"I'm not part of any EdTech association")</f>
        <v/>
      </c>
      <c r="H54" s="1">
        <f>IFERROR(__xludf.DUMMYFUNCTION("""COMPUTED_VALUE"""),"English")</f>
        <v/>
      </c>
      <c r="I54" s="1">
        <f>IFERROR(__xludf.DUMMYFUNCTION("""COMPUTED_VALUE"""),"postforcaroline@hotmail.com")</f>
        <v/>
      </c>
      <c r="J54" s="1">
        <f>IFERROR(__xludf.DUMMYFUNCTION("""COMPUTED_VALUE"""),"+441183350035")</f>
        <v/>
      </c>
      <c r="K54" s="1">
        <f>IFERROR(__xludf.DUMMYFUNCTION("""COMPUTED_VALUE"""),"TROWBRIDGE")</f>
        <v/>
      </c>
      <c r="L54" s="1">
        <f>IFERROR(__xludf.DUMMYFUNCTION("""COMPUTED_VALUE"""),"United Kingdom")</f>
        <v/>
      </c>
      <c r="M54" s="1">
        <f>IFERROR(__xludf.DUMMYFUNCTION("""COMPUTED_VALUE"""),"Germany, France, Ireland, Spain, United Kingdom, Switzerland, Poland, Netherlands, Italy")</f>
        <v/>
      </c>
      <c r="N54" s="1">
        <f>IFERROR(__xludf.DUMMYFUNCTION("""COMPUTED_VALUE"""),"Micro (1-9 FTE employees)")</f>
        <v/>
      </c>
      <c r="O54" s="1">
        <f>IFERROR(__xludf.DUMMYFUNCTION("""COMPUTED_VALUE"""),"Business to Schools")</f>
        <v/>
      </c>
      <c r="P54" s="1">
        <f>IFERROR(__xludf.DUMMYFUNCTION("""COMPUTED_VALUE"""),"Primary Education, Secondary Education, Lifelong learning/Adult education, Special education")</f>
        <v/>
      </c>
      <c r="Q54" s="1">
        <f>IFERROR(__xludf.DUMMYFUNCTION("""COMPUTED_VALUE"""),"Student interfacing, Teacher interfacing")</f>
        <v/>
      </c>
      <c r="R54" s="15">
        <f>IFERROR(__xludf.DUMMYFUNCTION("""COMPUTED_VALUE"""),"www.instagram.com/ealteaching/")</f>
        <v/>
      </c>
      <c r="S54" s="15">
        <f>IFERROR(__xludf.DUMMYFUNCTION("""COMPUTED_VALUE"""),"x.com/eal_teaching")</f>
        <v/>
      </c>
      <c r="T54" s="15">
        <f>IFERROR(__xludf.DUMMYFUNCTION("""COMPUTED_VALUE"""),"www.linkedin.com/company/axcultures/")</f>
        <v/>
      </c>
      <c r="U54" s="1">
        <f>IFERROR(__xludf.DUMMYFUNCTION("""COMPUTED_VALUE"""),"Learning Village")</f>
        <v/>
      </c>
      <c r="V54" s="1">
        <f>IFERROR(__xludf.DUMMYFUNCTION("""COMPUTED_VALUE"""),"Learning Village is a blended vocabulary, language structure and reading programme for EAL, low-level literacy and SEND learners aged 6-11 and 12-16, now with live virtual teaching options.")</f>
        <v/>
      </c>
      <c r="W54" s="1">
        <f>IFERROR(__xludf.DUMMYFUNCTION("""COMPUTED_VALUE"""),"Community Village")</f>
        <v/>
      </c>
      <c r="X54" s="1">
        <f>IFERROR(__xludf.DUMMYFUNCTION("""COMPUTED_VALUE"""),"Community Village, which is designed for improving literacy for adult ESOL learners in schools, post-16 educational settings or the workplace, now with live virtual teaching options.")</f>
        <v/>
      </c>
      <c r="Y54" s="15">
        <f>IFERROR(__xludf.DUMMYFUNCTION("""COMPUTED_VALUE"""),"https://drive.google.com/uc?export=view&amp;id=16UWZgMj-_8hJyBhu5eH6ohDC5EhgiOxb")</f>
        <v/>
      </c>
      <c r="Z54" s="1">
        <f>IFERROR(__xludf.DUMMYFUNCTION("""COMPUTED_VALUE"""),"Verified")</f>
        <v/>
      </c>
      <c r="AA54" s="1">
        <f>IFERROR(__xludf.DUMMYFUNCTION("""COMPUTED_VALUE"""),"Public-private partnerships, Project consortium building, Collaborations between EdTech organisations, Industry-academia partnerships")</f>
        <v/>
      </c>
      <c r="AB54" s="1">
        <f>IFERROR(__xludf.DUMMYFUNCTION("""COMPUTED_VALUE"""),"For-profit company")</f>
        <v/>
      </c>
      <c r="AC54" s="1">
        <f>IFERROR(__xludf.DUMMYFUNCTION("""COMPUTED_VALUE"""),TRUE)</f>
        <v/>
      </c>
      <c r="AD54" s="1">
        <f>IFERROR(__xludf.DUMMYFUNCTION("""COMPUTED_VALUE"""),TRUE)</f>
        <v/>
      </c>
      <c r="AE54" s="15">
        <f>IFERROR(__xludf.DUMMYFUNCTION("""COMPUTED_VALUE"""),"www.facebook.com/ealteaching")</f>
        <v/>
      </c>
    </row>
    <row r="55" ht="42" customHeight="1">
      <c r="A55" s="14">
        <f>IFERROR(__xludf.DUMMYFUNCTION("""COMPUTED_VALUE"""),45889)</f>
        <v/>
      </c>
      <c r="B55" s="1">
        <f>IFERROR(__xludf.DUMMYFUNCTION("""COMPUTED_VALUE"""),"ORG_2640")</f>
        <v/>
      </c>
      <c r="C55" s="1">
        <f>IFERROR(__xludf.DUMMYFUNCTION("""COMPUTED_VALUE"""),TRUE)</f>
        <v/>
      </c>
      <c r="D55" s="1">
        <f>IFERROR(__xludf.DUMMYFUNCTION("""COMPUTED_VALUE"""),"3CL")</f>
        <v/>
      </c>
      <c r="E55" s="15">
        <f>IFERROR(__xludf.DUMMYFUNCTION("""COMPUTED_VALUE"""),"3cl.org")</f>
        <v/>
      </c>
      <c r="F55" s="1">
        <f>IFERROR(__xludf.DUMMYFUNCTION("""COMPUTED_VALUE"""),"The Foundation’s service portfolio includes: Knowledge Brokerage (matching stakeholder needs with wants); Applied Research (focusing on Lifelong Learning, Digital &amp; Media Literacies, and Emerging Technologies in Education); Accreditation of Online Learnin"&amp;"g (with an interest in Verifiable Credentials). Our advocacy work focuses on combating online disinformation; and promoting Inclusion &amp; Equity through Digital Education.")</f>
        <v/>
      </c>
      <c r="G55" s="1">
        <f>IFERROR(__xludf.DUMMYFUNCTION("""COMPUTED_VALUE"""),"I'm not part of any EdTech association")</f>
        <v/>
      </c>
      <c r="H55" s="1">
        <f>IFERROR(__xludf.DUMMYFUNCTION("""COMPUTED_VALUE"""),"English, Maltese")</f>
        <v/>
      </c>
      <c r="I55" s="1">
        <f>IFERROR(__xludf.DUMMYFUNCTION("""COMPUTED_VALUE"""),"alex.grech@3CL.org")</f>
        <v/>
      </c>
      <c r="J55" s="1">
        <f>IFERROR(__xludf.DUMMYFUNCTION("""COMPUTED_VALUE"""),"+35679323232")</f>
        <v/>
      </c>
      <c r="K55" s="1">
        <f>IFERROR(__xludf.DUMMYFUNCTION("""COMPUTED_VALUE"""),"Valletta, Malta")</f>
        <v/>
      </c>
      <c r="L55" s="1">
        <f>IFERROR(__xludf.DUMMYFUNCTION("""COMPUTED_VALUE"""),"Malta")</f>
        <v/>
      </c>
      <c r="M55" s="1" t="n"/>
      <c r="N55" s="1">
        <f>IFERROR(__xludf.DUMMYFUNCTION("""COMPUTED_VALUE"""),"Micro (1-9 FTE employees)")</f>
        <v/>
      </c>
      <c r="O55" s="1">
        <f>IFERROR(__xludf.DUMMYFUNCTION("""COMPUTED_VALUE"""),"Business to Business, Business to Consumer, Business to Government, Business to Schools")</f>
        <v/>
      </c>
      <c r="P55" s="1">
        <f>IFERROR(__xludf.DUMMYFUNCTION("""COMPUTED_VALUE"""),"Lifelong learning/Adult education, Higher Education, Secondary Education, Primary Education, Early childhood development (0-5 years), Corporate Training, Other")</f>
        <v/>
      </c>
      <c r="Q55" s="1">
        <f>IFERROR(__xludf.DUMMYFUNCTION("""COMPUTED_VALUE"""),"Other")</f>
        <v/>
      </c>
      <c r="R55" s="1" t="n"/>
      <c r="S55" s="15">
        <f>IFERROR(__xludf.DUMMYFUNCTION("""COMPUTED_VALUE"""),"https://x.com/3CLMT")</f>
        <v/>
      </c>
      <c r="T55" s="15">
        <f>IFERROR(__xludf.DUMMYFUNCTION("""COMPUTED_VALUE"""),"https://www.3cl.org/")</f>
        <v/>
      </c>
      <c r="U55" s="1">
        <f>IFERROR(__xludf.DUMMYFUNCTION("""COMPUTED_VALUE"""),"Knowledge Brokerage  and Advocacy")</f>
        <v/>
      </c>
      <c r="V55" s="1">
        <f>IFERROR(__xludf.DUMMYFUNCTION("""COMPUTED_VALUE"""),"Matching stakeholder needs with wants and promoting various key policies on how edtech can bridge the relationship between technology and society, such as our manifesto on young people and information and vox pops on AI and information disorders.")</f>
        <v/>
      </c>
      <c r="W55" s="1">
        <f>IFERROR(__xludf.DUMMYFUNCTION("""COMPUTED_VALUE"""),"Applied Research")</f>
        <v/>
      </c>
      <c r="X55" s="1">
        <f>IFERROR(__xludf.DUMMYFUNCTION("""COMPUTED_VALUE"""),"Researching and providing recommendations focusing on Lifelong Learning, Digital &amp; Media Literacies, Verifiable Credentials and Emerging Technologies in Education")</f>
        <v/>
      </c>
      <c r="Y55" s="15">
        <f>IFERROR(__xludf.DUMMYFUNCTION("""COMPUTED_VALUE"""),"https://drive.google.com/uc?export=view&amp;id=1k6p0pkuni8njarBYF9HrfSx9ZtUuAUg4")</f>
        <v/>
      </c>
      <c r="Z55" s="1">
        <f>IFERROR(__xludf.DUMMYFUNCTION("""COMPUTED_VALUE"""),"Verified")</f>
        <v/>
      </c>
      <c r="AA55" s="1">
        <f>IFERROR(__xludf.DUMMYFUNCTION("""COMPUTED_VALUE"""),"Collaborations between EdTech organisations, Project consortium building, Public-private partnerships, Industry-academia partnerships, Other")</f>
        <v/>
      </c>
      <c r="AB55" s="1">
        <f>IFERROR(__xludf.DUMMYFUNCTION("""COMPUTED_VALUE"""),"Other")</f>
        <v/>
      </c>
      <c r="AC55" s="1">
        <f>IFERROR(__xludf.DUMMYFUNCTION("""COMPUTED_VALUE"""),FALSE)</f>
        <v/>
      </c>
      <c r="AD55" s="1">
        <f>IFERROR(__xludf.DUMMYFUNCTION("""COMPUTED_VALUE"""),TRUE)</f>
        <v/>
      </c>
      <c r="AE55" s="1" t="n"/>
    </row>
    <row r="56" ht="42" customHeight="1">
      <c r="A56" s="14">
        <f>IFERROR(__xludf.DUMMYFUNCTION("""COMPUTED_VALUE"""),45889)</f>
        <v/>
      </c>
      <c r="B56" s="1">
        <f>IFERROR(__xludf.DUMMYFUNCTION("""COMPUTED_VALUE"""),"ORG_1417")</f>
        <v/>
      </c>
      <c r="C56" s="1">
        <f>IFERROR(__xludf.DUMMYFUNCTION("""COMPUTED_VALUE"""),TRUE)</f>
        <v/>
      </c>
      <c r="D56" s="1">
        <f>IFERROR(__xludf.DUMMYFUNCTION("""COMPUTED_VALUE"""),"EdSyl")</f>
        <v/>
      </c>
      <c r="E56" s="15">
        <f>IFERROR(__xludf.DUMMYFUNCTION("""COMPUTED_VALUE"""),"www.edsyl.ai")</f>
        <v/>
      </c>
      <c r="F56" s="1">
        <f>IFERROR(__xludf.DUMMYFUNCTION("""COMPUTED_VALUE"""),"Make Teaching Easy! Turn ideas into high-quality courses, lessons, and quizzes in no time.")</f>
        <v/>
      </c>
      <c r="G56" s="1">
        <f>IFERROR(__xludf.DUMMYFUNCTION("""COMPUTED_VALUE"""),"I'm not part of any EdTech association")</f>
        <v/>
      </c>
      <c r="H56" s="1">
        <f>IFERROR(__xludf.DUMMYFUNCTION("""COMPUTED_VALUE"""),"English")</f>
        <v/>
      </c>
      <c r="I56" s="1">
        <f>IFERROR(__xludf.DUMMYFUNCTION("""COMPUTED_VALUE"""),"info@edsyl.ai")</f>
        <v/>
      </c>
      <c r="J56" s="1">
        <f>IFERROR(__xludf.DUMMYFUNCTION("""COMPUTED_VALUE"""),"+37122313194")</f>
        <v/>
      </c>
      <c r="K56" s="1">
        <f>IFERROR(__xludf.DUMMYFUNCTION("""COMPUTED_VALUE"""),"Riga")</f>
        <v/>
      </c>
      <c r="L56" s="1">
        <f>IFERROR(__xludf.DUMMYFUNCTION("""COMPUTED_VALUE"""),"Latvia")</f>
        <v/>
      </c>
      <c r="M56" s="1">
        <f>IFERROR(__xludf.DUMMYFUNCTION("""COMPUTED_VALUE"""),"Worldwide")</f>
        <v/>
      </c>
      <c r="N56" s="1">
        <f>IFERROR(__xludf.DUMMYFUNCTION("""COMPUTED_VALUE"""),"Micro (1-9 FTE employees)")</f>
        <v/>
      </c>
      <c r="O56" s="1">
        <f>IFERROR(__xludf.DUMMYFUNCTION("""COMPUTED_VALUE"""),"Business to Business, Business to Schools, Business to Government, Business to Consumer")</f>
        <v/>
      </c>
      <c r="P56" s="1">
        <f>IFERROR(__xludf.DUMMYFUNCTION("""COMPUTED_VALUE"""),"Secondary Education, Higher Education, Corporate Training, Primary Education, Vocational Education and Training (VET), Lifelong learning/Adult education, Special education, Other")</f>
        <v/>
      </c>
      <c r="Q56" s="1">
        <f>IFERROR(__xludf.DUMMYFUNCTION("""COMPUTED_VALUE"""),"Teacher interfacing")</f>
        <v/>
      </c>
      <c r="R56" s="15">
        <f>IFERROR(__xludf.DUMMYFUNCTION("""COMPUTED_VALUE"""),"https://www.instagram.com/edsyl.ai")</f>
        <v/>
      </c>
      <c r="S56" s="15">
        <f>IFERROR(__xludf.DUMMYFUNCTION("""COMPUTED_VALUE"""),"https://x.com/edsylai")</f>
        <v/>
      </c>
      <c r="T56" s="15">
        <f>IFERROR(__xludf.DUMMYFUNCTION("""COMPUTED_VALUE"""),"https://www.linkedin.com/company/edsyl-ai")</f>
        <v/>
      </c>
      <c r="U56" s="1">
        <f>IFERROR(__xludf.DUMMYFUNCTION("""COMPUTED_VALUE"""),"EdSyl")</f>
        <v/>
      </c>
      <c r="V56" s="1">
        <f>IFERROR(__xludf.DUMMYFUNCTION("""COMPUTED_VALUE"""),"Make Teaching Easy! Turn ideas into high-quality courses, lessons, and quizzes in no time. Save time and get more done with EdSyl's powerful features. Effortlessly design courses, use AI support and manage your content with ease - all in one intuitive pla"&amp;"tform!")</f>
        <v/>
      </c>
      <c r="W56" s="1" t="n"/>
      <c r="X56" s="1" t="n"/>
      <c r="Y56" s="15">
        <f>IFERROR(__xludf.DUMMYFUNCTION("""COMPUTED_VALUE"""),"https://drive.google.com/uc?export=view&amp;id=1qF_yEYkDjPr2Bu2Yde5-5CXht29RHw8Y")</f>
        <v/>
      </c>
      <c r="Z56" s="1">
        <f>IFERROR(__xludf.DUMMYFUNCTION("""COMPUTED_VALUE"""),"Verified")</f>
        <v/>
      </c>
      <c r="AA56" s="1">
        <f>IFERROR(__xludf.DUMMYFUNCTION("""COMPUTED_VALUE"""),"Collaborations between EdTech organisations, Public-private partnerships, Industry-academia partnerships")</f>
        <v/>
      </c>
      <c r="AB56" s="1">
        <f>IFERROR(__xludf.DUMMYFUNCTION("""COMPUTED_VALUE"""),"For-profit company")</f>
        <v/>
      </c>
      <c r="AC56" s="1">
        <f>IFERROR(__xludf.DUMMYFUNCTION("""COMPUTED_VALUE"""),TRUE)</f>
        <v/>
      </c>
      <c r="AD56" s="1">
        <f>IFERROR(__xludf.DUMMYFUNCTION("""COMPUTED_VALUE"""),TRUE)</f>
        <v/>
      </c>
      <c r="AE56" s="15">
        <f>IFERROR(__xludf.DUMMYFUNCTION("""COMPUTED_VALUE"""),"https://www.facebook.com/edsyl.edu")</f>
        <v/>
      </c>
    </row>
    <row r="57" ht="42" customHeight="1">
      <c r="A57" s="14">
        <f>IFERROR(__xludf.DUMMYFUNCTION("""COMPUTED_VALUE"""),45889)</f>
        <v/>
      </c>
      <c r="B57" s="1">
        <f>IFERROR(__xludf.DUMMYFUNCTION("""COMPUTED_VALUE"""),"ORG_2639")</f>
        <v/>
      </c>
      <c r="C57" s="1">
        <f>IFERROR(__xludf.DUMMYFUNCTION("""COMPUTED_VALUE"""),TRUE)</f>
        <v/>
      </c>
      <c r="D57" s="1">
        <f>IFERROR(__xludf.DUMMYFUNCTION("""COMPUTED_VALUE"""),"War Child Alliance - Can't Wait to Learn programme")</f>
        <v/>
      </c>
      <c r="E57" s="15">
        <f>IFERROR(__xludf.DUMMYFUNCTION("""COMPUTED_VALUE"""),"https://www.warchild.net/intervention-cwtl/")</f>
        <v/>
      </c>
      <c r="F57" s="1">
        <f>IFERROR(__xludf.DUMMYFUNCTION("""COMPUTED_VALUE"""),"War Child is a specialist NGO that focuses on supporting children affected by war and conflict. They work to ensure a safe future for these children by providing psychosocial support, education, and child protection services. War Child aims to help childr"&amp;"en heal, learn, and build a brighter future. Can’t Wait to Learn is an innovative digital learning platform by War Child, designed to help children in crisis-affected areas build essential literacy and numeracy skills. Co-created with children, the platfo"&amp;"rm offers engaging, game-based learning experiences aligned with local curriculums, tailored to each child's needs and culture.   Though we primarily focus on children in crisis, we are also exploring how this approach can benefit children in other contex"&amp;"ts, ensuring no child is left behind. Through partnerships with governments and education experts, we ensure the programme is adaptable, impactful, and sustainable. ")</f>
        <v/>
      </c>
      <c r="G57" s="1">
        <f>IFERROR(__xludf.DUMMYFUNCTION("""COMPUTED_VALUE"""),"I'm not part of any EdTech association")</f>
        <v/>
      </c>
      <c r="H57" s="1">
        <f>IFERROR(__xludf.DUMMYFUNCTION("""COMPUTED_VALUE"""),"English, French, Ukrainian, Arabic")</f>
        <v/>
      </c>
      <c r="I57" s="1">
        <f>IFERROR(__xludf.DUMMYFUNCTION("""COMPUTED_VALUE"""),"eszter.nagy@warchild.net")</f>
        <v/>
      </c>
      <c r="J57" s="1">
        <f>IFERROR(__xludf.DUMMYFUNCTION("""COMPUTED_VALUE"""),"+31204227777")</f>
        <v/>
      </c>
      <c r="K57" s="1">
        <f>IFERROR(__xludf.DUMMYFUNCTION("""COMPUTED_VALUE"""),"Amsterdam")</f>
        <v/>
      </c>
      <c r="L57" s="1">
        <f>IFERROR(__xludf.DUMMYFUNCTION("""COMPUTED_VALUE"""),"The Netherlands")</f>
        <v/>
      </c>
      <c r="M57" s="1">
        <f>IFERROR(__xludf.DUMMYFUNCTION("""COMPUTED_VALUE"""),"Ukraine")</f>
        <v/>
      </c>
      <c r="N57" s="1">
        <f>IFERROR(__xludf.DUMMYFUNCTION("""COMPUTED_VALUE"""),"Large (250+ FTE employees)")</f>
        <v/>
      </c>
      <c r="O57" s="1">
        <f>IFERROR(__xludf.DUMMYFUNCTION("""COMPUTED_VALUE"""),"Business to Government, Business to Consumer, Business to Business, Business to Schools")</f>
        <v/>
      </c>
      <c r="P57" s="1">
        <f>IFERROR(__xludf.DUMMYFUNCTION("""COMPUTED_VALUE"""),"Primary Education")</f>
        <v/>
      </c>
      <c r="Q57" s="1">
        <f>IFERROR(__xludf.DUMMYFUNCTION("""COMPUTED_VALUE"""),"Student interfacing, Teacher interfacing, System/Administrative")</f>
        <v/>
      </c>
      <c r="R57" s="1" t="n"/>
      <c r="S57" s="1" t="n"/>
      <c r="T57" s="15">
        <f>IFERROR(__xludf.DUMMYFUNCTION("""COMPUTED_VALUE"""),"https://www.linkedin.com/showcase/cant-wait-to-learn/posts/?feedView=all")</f>
        <v/>
      </c>
      <c r="U57" s="1">
        <f>IFERROR(__xludf.DUMMYFUNCTION("""COMPUTED_VALUE"""),"Can't Wait to Learn")</f>
        <v/>
      </c>
      <c r="V57" s="1">
        <f>IFERROR(__xludf.DUMMYFUNCTION("""COMPUTED_VALUE"""),"Can’t Wait to Learn is an innovative digital learning platform, designed to help children in crisis-affected areas build essential literacy and numeracy skills. Co-created with children, the platform offers engaging, game-based learning experiences aligne"&amp;"d with local curriculums.")</f>
        <v/>
      </c>
      <c r="W57" s="1" t="n"/>
      <c r="X57" s="1" t="n"/>
      <c r="Y57" s="15">
        <f>IFERROR(__xludf.DUMMYFUNCTION("""COMPUTED_VALUE"""),"https://drive.google.com/uc?export=view&amp;id=1Zuz8_AQqUm3EzLHRvXLy_POYn2qMNIX_")</f>
        <v/>
      </c>
      <c r="Z57" s="1">
        <f>IFERROR(__xludf.DUMMYFUNCTION("""COMPUTED_VALUE"""),"Verified")</f>
        <v/>
      </c>
      <c r="AA57" s="1">
        <f>IFERROR(__xludf.DUMMYFUNCTION("""COMPUTED_VALUE"""),"Industry-academia partnerships, Public-private partnerships, Project consortium building, Collaborations between EdTech organisations, Other")</f>
        <v/>
      </c>
      <c r="AB57" s="1">
        <f>IFERROR(__xludf.DUMMYFUNCTION("""COMPUTED_VALUE"""),"Non-profit organisation")</f>
        <v/>
      </c>
      <c r="AC57" s="1">
        <f>IFERROR(__xludf.DUMMYFUNCTION("""COMPUTED_VALUE"""),TRUE)</f>
        <v/>
      </c>
      <c r="AD57" s="1">
        <f>IFERROR(__xludf.DUMMYFUNCTION("""COMPUTED_VALUE"""),TRUE)</f>
        <v/>
      </c>
      <c r="AE57" s="1" t="n"/>
    </row>
    <row r="58" ht="42" customHeight="1">
      <c r="A58" s="14">
        <f>IFERROR(__xludf.DUMMYFUNCTION("""COMPUTED_VALUE"""),45889)</f>
        <v/>
      </c>
      <c r="B58" s="1">
        <f>IFERROR(__xludf.DUMMYFUNCTION("""COMPUTED_VALUE"""),"ORG_2638")</f>
        <v/>
      </c>
      <c r="C58" s="1">
        <f>IFERROR(__xludf.DUMMYFUNCTION("""COMPUTED_VALUE"""),TRUE)</f>
        <v/>
      </c>
      <c r="D58" s="1">
        <f>IFERROR(__xludf.DUMMYFUNCTION("""COMPUTED_VALUE"""),"BASIC-X")</f>
        <v/>
      </c>
      <c r="E58" s="15">
        <f>IFERROR(__xludf.DUMMYFUNCTION("""COMPUTED_VALUE"""),"https://www.ludo-vic.com")</f>
        <v/>
      </c>
      <c r="F58" s="1">
        <f>IFERROR(__xludf.DUMMYFUNCTION("""COMPUTED_VALUE"""),"We build multilingual educational apps that ""break the wall of words"" by giving the instructions needed to acquire a given concept ( a new language for instance), orally in the learner's mother tongue")</f>
        <v/>
      </c>
      <c r="G58" s="1">
        <f>IFERROR(__xludf.DUMMYFUNCTION("""COMPUTED_VALUE"""),"I'm not part of any EdTech association")</f>
        <v/>
      </c>
      <c r="H58" s="1">
        <f>IFERROR(__xludf.DUMMYFUNCTION("""COMPUTED_VALUE"""),"English, German, Portuguese, French, Bulgarian, Spanish, Dutch, Romanian, Ukrainian")</f>
        <v/>
      </c>
      <c r="I58" s="1">
        <f>IFERROR(__xludf.DUMMYFUNCTION("""COMPUTED_VALUE"""),"jack@ludo-vic.com")</f>
        <v/>
      </c>
      <c r="J58" s="1">
        <f>IFERROR(__xludf.DUMMYFUNCTION("""COMPUTED_VALUE"""),"+33609662074")</f>
        <v/>
      </c>
      <c r="K58" s="1">
        <f>IFERROR(__xludf.DUMMYFUNCTION("""COMPUTED_VALUE"""),"STRASBOURG")</f>
        <v/>
      </c>
      <c r="L58" s="1">
        <f>IFERROR(__xludf.DUMMYFUNCTION("""COMPUTED_VALUE"""),"France")</f>
        <v/>
      </c>
      <c r="M58" s="1">
        <f>IFERROR(__xludf.DUMMYFUNCTION("""COMPUTED_VALUE"""),"Albania, Andorra, Austria, Bosnia and Herzegovina, Belgium, Belarus, Bulgaria, Croatia, Republic of Cyprus, Estonia, Denmark, Czechia, Finland, Greece, Ireland, Latvia, Luxembourg, Malta, Liechtenstein, Italy, Hungary, France, Germany, Iceland, Kosovo, Li"&amp;"thuania, Moldova, Netherlands, Poland, San Marino, Spain, Slovenia, Romania, Norway, Montenegro, Monaco, North Macedonia, Portugal, Slovakia, Sweden, Ukraine, Switzerland, United Kingdom, Turkey, world")</f>
        <v/>
      </c>
      <c r="N58" s="1">
        <f>IFERROR(__xludf.DUMMYFUNCTION("""COMPUTED_VALUE"""),"Micro (1-9 FTE employees)")</f>
        <v/>
      </c>
      <c r="O58" s="1">
        <f>IFERROR(__xludf.DUMMYFUNCTION("""COMPUTED_VALUE"""),"Business to Business, Business to Consumer, Business to Government, Business to Schools")</f>
        <v/>
      </c>
      <c r="P58" s="1">
        <f>IFERROR(__xludf.DUMMYFUNCTION("""COMPUTED_VALUE"""),"Lifelong learning/Adult education, Primary Education, Secondary Education, Vocational Education and Training (VET)")</f>
        <v/>
      </c>
      <c r="Q58" s="1">
        <f>IFERROR(__xludf.DUMMYFUNCTION("""COMPUTED_VALUE"""),"Student interfacing, Teacher interfacing")</f>
        <v/>
      </c>
      <c r="R58" s="1" t="n"/>
      <c r="S58" s="1" t="n"/>
      <c r="T58" s="15">
        <f>IFERROR(__xludf.DUMMYFUNCTION("""COMPUTED_VALUE"""),"https://www.linkedin.com/company/ludo-vic/?originalSubdomain=fr")</f>
        <v/>
      </c>
      <c r="U58" s="1">
        <f>IFERROR(__xludf.DUMMYFUNCTION("""COMPUTED_VALUE"""),"Basic-Français")</f>
        <v/>
      </c>
      <c r="V58" s="1">
        <f>IFERROR(__xludf.DUMMYFUNCTION("""COMPUTED_VALUE"""),"This App enables the autonomous acquisition of the Basics of French upto level A1 of the CEFRL in 25 languages to date, through 2463 instructions in 70 lessons regrouped in 22 modules.")</f>
        <v/>
      </c>
      <c r="W58" s="1" t="n"/>
      <c r="X58" s="1" t="n"/>
      <c r="Y58" s="15">
        <f>IFERROR(__xludf.DUMMYFUNCTION("""COMPUTED_VALUE"""),"https://drive.google.com/uc?export=view&amp;id=1_ngIySarFNZUMAFisHM1K-t8CRMoipoZ")</f>
        <v/>
      </c>
      <c r="Z58" s="1">
        <f>IFERROR(__xludf.DUMMYFUNCTION("""COMPUTED_VALUE"""),"Verified")</f>
        <v/>
      </c>
      <c r="AA58" s="1">
        <f>IFERROR(__xludf.DUMMYFUNCTION("""COMPUTED_VALUE"""),"Collaborations between EdTech organisations, Project consortium building, Public-private partnerships, Industry-academia partnerships")</f>
        <v/>
      </c>
      <c r="AB58" s="1">
        <f>IFERROR(__xludf.DUMMYFUNCTION("""COMPUTED_VALUE"""),"For-profit company")</f>
        <v/>
      </c>
      <c r="AC58" s="1">
        <f>IFERROR(__xludf.DUMMYFUNCTION("""COMPUTED_VALUE"""),FALSE)</f>
        <v/>
      </c>
      <c r="AD58" s="1">
        <f>IFERROR(__xludf.DUMMYFUNCTION("""COMPUTED_VALUE"""),TRUE)</f>
        <v/>
      </c>
      <c r="AE58" s="1" t="n"/>
    </row>
    <row r="59" ht="42" customHeight="1">
      <c r="A59" s="14">
        <f>IFERROR(__xludf.DUMMYFUNCTION("""COMPUTED_VALUE"""),45889)</f>
        <v/>
      </c>
      <c r="B59" s="1">
        <f>IFERROR(__xludf.DUMMYFUNCTION("""COMPUTED_VALUE"""),"ORG_2097")</f>
        <v/>
      </c>
      <c r="C59" s="1">
        <f>IFERROR(__xludf.DUMMYFUNCTION("""COMPUTED_VALUE"""),TRUE)</f>
        <v/>
      </c>
      <c r="D59" s="1">
        <f>IFERROR(__xludf.DUMMYFUNCTION("""COMPUTED_VALUE"""),"Pharmuni")</f>
        <v/>
      </c>
      <c r="E59" s="15">
        <f>IFERROR(__xludf.DUMMYFUNCTION("""COMPUTED_VALUE"""),"https://pharmuni.com/")</f>
        <v/>
      </c>
      <c r="F59" s="1">
        <f>IFERROR(__xludf.DUMMYFUNCTION("""COMPUTED_VALUE"""),"Pharmuni is an e-learning platform and recruitment tool designed specifically for professionals and business in Pharma and MedTech It aims to empower learners by providing access to high-quality educational content, resources, and industry-specific knowle"&amp;"dge. By offering a range of courses, Pharmuni enables individuals to develop both their technical skills and soft skills, thereby enhancing their employability and career prospects. In addition to offering courses and educational content, Pharmuni also pr"&amp;"ovides a recruitment platform for businesses to hire new qualified candidates. This includes Career Site, Job Advertising and Job Board, Applicant Tracking System and Candidate Messaging. For our members the career site includes Resume Builder, Cover Lett"&amp;"er Builder, Job Board, Direct Applications, Application Updates and Messaging systems.")</f>
        <v/>
      </c>
      <c r="G59" s="1">
        <f>IFERROR(__xludf.DUMMYFUNCTION("""COMPUTED_VALUE"""),"I'm not part of any EdTech association")</f>
        <v/>
      </c>
      <c r="H59" s="1">
        <f>IFERROR(__xludf.DUMMYFUNCTION("""COMPUTED_VALUE"""),"English")</f>
        <v/>
      </c>
      <c r="I59" s="1">
        <f>IFERROR(__xludf.DUMMYFUNCTION("""COMPUTED_VALUE"""),"info@pharmuni.com")</f>
        <v/>
      </c>
      <c r="J59" s="1">
        <f>IFERROR(__xludf.DUMMYFUNCTION("""COMPUTED_VALUE"""),"+4962067036570")</f>
        <v/>
      </c>
      <c r="K59" s="1">
        <f>IFERROR(__xludf.DUMMYFUNCTION("""COMPUTED_VALUE"""),"Lampertheim")</f>
        <v/>
      </c>
      <c r="L59" s="1">
        <f>IFERROR(__xludf.DUMMYFUNCTION("""COMPUTED_VALUE"""),"Germany")</f>
        <v/>
      </c>
      <c r="M59" s="1">
        <f>IFERROR(__xludf.DUMMYFUNCTION("""COMPUTED_VALUE"""),"Albania, Andorra, Austria, Belarus, Belgium, Bosnia and Herzegovina, Bulgaria, Croatia, Republic of Cyprus, Czechia, Denmark, Estonia, Finland, France, Germany, Greece, Hungary, Iceland, Ireland, Italy, Kosovo, Latvia, Liechtenstein, Lithuania, Luxembourg"&amp;", Malta, Moldova, Monaco, Montenegro, Netherlands, North Macedonia, Norway, Poland, Portugal, Romania, San Marino, Slovakia, Slovenia, Spain, Sweden, Switzerland, Turkey, United Kingdom, Ukraine")</f>
        <v/>
      </c>
      <c r="N59" s="1">
        <f>IFERROR(__xludf.DUMMYFUNCTION("""COMPUTED_VALUE"""),"Small (10-49 FTE employees)")</f>
        <v/>
      </c>
      <c r="O59" s="1">
        <f>IFERROR(__xludf.DUMMYFUNCTION("""COMPUTED_VALUE"""),"Business to Consumer, Business to Schools, Business to Business")</f>
        <v/>
      </c>
      <c r="P59" s="1">
        <f>IFERROR(__xludf.DUMMYFUNCTION("""COMPUTED_VALUE"""),"Vocational Education and Training (VET), Higher Education, Corporate Training, Lifelong learning/Adult education")</f>
        <v/>
      </c>
      <c r="Q59" s="1">
        <f>IFERROR(__xludf.DUMMYFUNCTION("""COMPUTED_VALUE"""),"Student interfacing, Teacher interfacing, System/Administrative, Other")</f>
        <v/>
      </c>
      <c r="R59" s="1" t="n"/>
      <c r="S59" s="1" t="n"/>
      <c r="T59" s="15">
        <f>IFERROR(__xludf.DUMMYFUNCTION("""COMPUTED_VALUE"""),"https://www.linkedin.com/company/pharmuni")</f>
        <v/>
      </c>
      <c r="U59" s="1">
        <f>IFERROR(__xludf.DUMMYFUNCTION("""COMPUTED_VALUE"""),"Pharmuni")</f>
        <v/>
      </c>
      <c r="V59" s="1">
        <f>IFERROR(__xludf.DUMMYFUNCTION("""COMPUTED_VALUE"""),"Pharmuni is an e-learning platform and recruitment tool designed specifically for professionals and business in Pharma and MedTech It aims to empower learners by providing access to high-quality educational content, resources, and industry-specific knowle"&amp;"dge.")</f>
        <v/>
      </c>
      <c r="W59" s="1" t="n"/>
      <c r="X59" s="1" t="n"/>
      <c r="Y59" s="15">
        <f>IFERROR(__xludf.DUMMYFUNCTION("""COMPUTED_VALUE"""),"https://drive.google.com/uc?export=view&amp;id=1uM2CN7jn-3tF2ACwOCabO91vRCL00SAk")</f>
        <v/>
      </c>
      <c r="Z59" s="1">
        <f>IFERROR(__xludf.DUMMYFUNCTION("""COMPUTED_VALUE"""),"Verified")</f>
        <v/>
      </c>
      <c r="AA59" s="1">
        <f>IFERROR(__xludf.DUMMYFUNCTION("""COMPUTED_VALUE"""),"Collaborations between EdTech organisations, Public-private partnerships, Industry-academia partnerships")</f>
        <v/>
      </c>
      <c r="AB59" s="1">
        <f>IFERROR(__xludf.DUMMYFUNCTION("""COMPUTED_VALUE"""),"For-profit company")</f>
        <v/>
      </c>
      <c r="AC59" s="1">
        <f>IFERROR(__xludf.DUMMYFUNCTION("""COMPUTED_VALUE"""),TRUE)</f>
        <v/>
      </c>
      <c r="AD59" s="1">
        <f>IFERROR(__xludf.DUMMYFUNCTION("""COMPUTED_VALUE"""),TRUE)</f>
        <v/>
      </c>
      <c r="AE59" s="1" t="n"/>
    </row>
    <row r="60" ht="42" customHeight="1">
      <c r="A60" s="14">
        <f>IFERROR(__xludf.DUMMYFUNCTION("""COMPUTED_VALUE"""),45889)</f>
        <v/>
      </c>
      <c r="B60" s="1">
        <f>IFERROR(__xludf.DUMMYFUNCTION("""COMPUTED_VALUE"""),"ORG_1715")</f>
        <v/>
      </c>
      <c r="C60" s="1">
        <f>IFERROR(__xludf.DUMMYFUNCTION("""COMPUTED_VALUE"""),TRUE)</f>
        <v/>
      </c>
      <c r="D60" s="1">
        <f>IFERROR(__xludf.DUMMYFUNCTION("""COMPUTED_VALUE"""),"Impact Connecting")</f>
        <v/>
      </c>
      <c r="E60" s="15">
        <f>IFERROR(__xludf.DUMMYFUNCTION("""COMPUTED_VALUE"""),"https://www.impactconnecting.education")</f>
        <v/>
      </c>
      <c r="F60" s="1">
        <f>IFERROR(__xludf.DUMMYFUNCTION("""COMPUTED_VALUE"""),"Communication and event to promote the use of EdTech in education and connect edtech and schools with impact.")</f>
        <v/>
      </c>
      <c r="G60" s="1">
        <f>IFERROR(__xludf.DUMMYFUNCTION("""COMPUTED_VALUE"""),"edtechstation")</f>
        <v/>
      </c>
      <c r="H60" s="1">
        <f>IFERROR(__xludf.DUMMYFUNCTION("""COMPUTED_VALUE"""),"Dutch")</f>
        <v/>
      </c>
      <c r="I60" s="1">
        <f>IFERROR(__xludf.DUMMYFUNCTION("""COMPUTED_VALUE"""),"info@impactco.be")</f>
        <v/>
      </c>
      <c r="J60" s="1">
        <f>IFERROR(__xludf.DUMMYFUNCTION("""COMPUTED_VALUE"""),"+32497435233")</f>
        <v/>
      </c>
      <c r="K60" s="1">
        <f>IFERROR(__xludf.DUMMYFUNCTION("""COMPUTED_VALUE"""),"Ghent")</f>
        <v/>
      </c>
      <c r="L60" s="1">
        <f>IFERROR(__xludf.DUMMYFUNCTION("""COMPUTED_VALUE"""),"Belgium")</f>
        <v/>
      </c>
      <c r="M60" s="1">
        <f>IFERROR(__xludf.DUMMYFUNCTION("""COMPUTED_VALUE"""),"Belgium")</f>
        <v/>
      </c>
      <c r="N60" s="1">
        <f>IFERROR(__xludf.DUMMYFUNCTION("""COMPUTED_VALUE"""),"Micro (1-9 FTE employees)")</f>
        <v/>
      </c>
      <c r="O60" s="1">
        <f>IFERROR(__xludf.DUMMYFUNCTION("""COMPUTED_VALUE"""),"Business to Schools")</f>
        <v/>
      </c>
      <c r="P60" s="1">
        <f>IFERROR(__xludf.DUMMYFUNCTION("""COMPUTED_VALUE"""),"Early childhood development (0-5 years), Primary Education, Secondary Education, Vocational Education and Training (VET)")</f>
        <v/>
      </c>
      <c r="Q60" s="1">
        <f>IFERROR(__xludf.DUMMYFUNCTION("""COMPUTED_VALUE"""),"Student interfacing, Teacher interfacing")</f>
        <v/>
      </c>
      <c r="R60" s="1" t="n"/>
      <c r="S60" s="1" t="n"/>
      <c r="T60" s="15">
        <f>IFERROR(__xludf.DUMMYFUNCTION("""COMPUTED_VALUE"""),"https://www.linkedin.com/company/impactconnecting")</f>
        <v/>
      </c>
      <c r="U60" s="1">
        <f>IFERROR(__xludf.DUMMYFUNCTION("""COMPUTED_VALUE"""),"ICT-praktijkdag")</f>
        <v/>
      </c>
      <c r="V60" s="1">
        <f>IFERROR(__xludf.DUMMYFUNCTION("""COMPUTED_VALUE"""),"Yearly event by and for 1000 teachers learning from each other in hands-on workshops, supported by 50 edtech partners.")</f>
        <v/>
      </c>
      <c r="W60" s="1">
        <f>IFERROR(__xludf.DUMMYFUNCTION("""COMPUTED_VALUE"""),"Informaticalessen")</f>
        <v/>
      </c>
      <c r="X60" s="1">
        <f>IFERROR(__xludf.DUMMYFUNCTION("""COMPUTED_VALUE"""),"Support, marketing and authorship of one of the most used online courses for IT and Informatics in education.")</f>
        <v/>
      </c>
      <c r="Y60" s="15">
        <f>IFERROR(__xludf.DUMMYFUNCTION("""COMPUTED_VALUE"""),"https://drive.google.com/uc?export=view&amp;id=1cSoLFQaqSsOMFv0HgUmEblCgK16_CKHG")</f>
        <v/>
      </c>
      <c r="Z60" s="1">
        <f>IFERROR(__xludf.DUMMYFUNCTION("""COMPUTED_VALUE"""),"Verified")</f>
        <v/>
      </c>
      <c r="AA60" s="1">
        <f>IFERROR(__xludf.DUMMYFUNCTION("""COMPUTED_VALUE"""),"Other, Collaborations between EdTech organisations")</f>
        <v/>
      </c>
      <c r="AB60" s="1">
        <f>IFERROR(__xludf.DUMMYFUNCTION("""COMPUTED_VALUE"""),"For-profit company")</f>
        <v/>
      </c>
      <c r="AC60" s="1">
        <f>IFERROR(__xludf.DUMMYFUNCTION("""COMPUTED_VALUE"""),TRUE)</f>
        <v/>
      </c>
      <c r="AD60" s="1">
        <f>IFERROR(__xludf.DUMMYFUNCTION("""COMPUTED_VALUE"""),TRUE)</f>
        <v/>
      </c>
      <c r="AE60" s="1" t="n"/>
    </row>
    <row r="61" ht="42" customHeight="1">
      <c r="A61" s="14">
        <f>IFERROR(__xludf.DUMMYFUNCTION("""COMPUTED_VALUE"""),45889)</f>
        <v/>
      </c>
      <c r="B61" s="1">
        <f>IFERROR(__xludf.DUMMYFUNCTION("""COMPUTED_VALUE"""),"ORG_2227")</f>
        <v/>
      </c>
      <c r="C61" s="1">
        <f>IFERROR(__xludf.DUMMYFUNCTION("""COMPUTED_VALUE"""),TRUE)</f>
        <v/>
      </c>
      <c r="D61" s="1">
        <f>IFERROR(__xludf.DUMMYFUNCTION("""COMPUTED_VALUE"""),"SelfStartGlobal")</f>
        <v/>
      </c>
      <c r="E61" s="15">
        <f>IFERROR(__xludf.DUMMYFUNCTION("""COMPUTED_VALUE"""),"www.selfstartglobal.com")</f>
        <v/>
      </c>
      <c r="F61" s="1">
        <f>IFERROR(__xludf.DUMMYFUNCTION("""COMPUTED_VALUE"""),"We open doors to world-class universities, cutting costs by 50-100% through scholarships, empowering students to shape the future.")</f>
        <v/>
      </c>
      <c r="G61" s="1">
        <f>IFERROR(__xludf.DUMMYFUNCTION("""COMPUTED_VALUE"""),"Dutch EdTech")</f>
        <v/>
      </c>
      <c r="H61" s="1">
        <f>IFERROR(__xludf.DUMMYFUNCTION("""COMPUTED_VALUE"""),"English, Russian")</f>
        <v/>
      </c>
      <c r="I61" s="1">
        <f>IFERROR(__xludf.DUMMYFUNCTION("""COMPUTED_VALUE"""),"hello@selfstartglobal.com")</f>
        <v/>
      </c>
      <c r="J61" s="1">
        <f>IFERROR(__xludf.DUMMYFUNCTION("""COMPUTED_VALUE"""),"+33633887508")</f>
        <v/>
      </c>
      <c r="K61" s="1">
        <f>IFERROR(__xludf.DUMMYFUNCTION("""COMPUTED_VALUE"""),"Haarlem")</f>
        <v/>
      </c>
      <c r="L61" s="1">
        <f>IFERROR(__xludf.DUMMYFUNCTION("""COMPUTED_VALUE"""),"The Netherlands")</f>
        <v/>
      </c>
      <c r="M61" s="1">
        <f>IFERROR(__xludf.DUMMYFUNCTION("""COMPUTED_VALUE"""),"Ukraine, Poland, Latvia, Lithuania, Moldova")</f>
        <v/>
      </c>
      <c r="N61" s="1">
        <f>IFERROR(__xludf.DUMMYFUNCTION("""COMPUTED_VALUE"""),"Small (10-49 FTE employees)")</f>
        <v/>
      </c>
      <c r="O61" s="1">
        <f>IFERROR(__xludf.DUMMYFUNCTION("""COMPUTED_VALUE"""),"Business to Consumer")</f>
        <v/>
      </c>
      <c r="P61" s="1">
        <f>IFERROR(__xludf.DUMMYFUNCTION("""COMPUTED_VALUE"""),"Higher Education")</f>
        <v/>
      </c>
      <c r="Q61" s="1">
        <f>IFERROR(__xludf.DUMMYFUNCTION("""COMPUTED_VALUE"""),"Student interfacing, System/Administrative")</f>
        <v/>
      </c>
      <c r="R61" s="15">
        <f>IFERROR(__xludf.DUMMYFUNCTION("""COMPUTED_VALUE"""),"https://www.instagram.com/selfstartglobal/?hl=en")</f>
        <v/>
      </c>
      <c r="S61" s="1" t="n"/>
      <c r="T61" s="15">
        <f>IFERROR(__xludf.DUMMYFUNCTION("""COMPUTED_VALUE"""),"https://www.linkedin.com/company/selfstartglobal/")</f>
        <v/>
      </c>
      <c r="U61" s="1">
        <f>IFERROR(__xludf.DUMMYFUNCTION("""COMPUTED_VALUE"""),"Full Guidance")</f>
        <v/>
      </c>
      <c r="V61" s="1">
        <f>IFERROR(__xludf.DUMMYFUNCTION("""COMPUTED_VALUE"""),"Our Full Guidance program is a comprehensive, end-to-end admissions service that supports clients through every stage of applying abroad. From building personal brand and Passion Project to assisting with documents, essays, and interviews.")</f>
        <v/>
      </c>
      <c r="W61" s="1">
        <f>IFERROR(__xludf.DUMMYFUNCTION("""COMPUTED_VALUE"""),"Mentorship")</f>
        <v/>
      </c>
      <c r="X61" s="1">
        <f>IFERROR(__xludf.DUMMYFUNCTION("""COMPUTED_VALUE"""),"The Mentorship program offers flexible, expert guidance tailored to clients' specific needs during the admissions journey. Whether it’s essay review, university selection, or interview prep, clients get strategic support without the full structure of the "&amp;"Full Guidance package.")</f>
        <v/>
      </c>
      <c r="Y61" s="15">
        <f>IFERROR(__xludf.DUMMYFUNCTION("""COMPUTED_VALUE"""),"https://drive.google.com/uc?export=view&amp;id=1dmCHGfpHUkV3WCkWGPKk15INYid5QViz")</f>
        <v/>
      </c>
      <c r="Z61" s="1">
        <f>IFERROR(__xludf.DUMMYFUNCTION("""COMPUTED_VALUE"""),"Verified")</f>
        <v/>
      </c>
      <c r="AA61" s="1">
        <f>IFERROR(__xludf.DUMMYFUNCTION("""COMPUTED_VALUE"""),"Collaborations between EdTech organisations")</f>
        <v/>
      </c>
      <c r="AB61" s="1">
        <f>IFERROR(__xludf.DUMMYFUNCTION("""COMPUTED_VALUE"""),"For-profit company")</f>
        <v/>
      </c>
      <c r="AC61" s="1">
        <f>IFERROR(__xludf.DUMMYFUNCTION("""COMPUTED_VALUE"""),FALSE)</f>
        <v/>
      </c>
      <c r="AD61" s="1">
        <f>IFERROR(__xludf.DUMMYFUNCTION("""COMPUTED_VALUE"""),TRUE)</f>
        <v/>
      </c>
      <c r="AE61" s="1" t="n"/>
    </row>
    <row r="62" ht="42" customHeight="1">
      <c r="A62" s="14">
        <f>IFERROR(__xludf.DUMMYFUNCTION("""COMPUTED_VALUE"""),45889)</f>
        <v/>
      </c>
      <c r="B62" s="1">
        <f>IFERROR(__xludf.DUMMYFUNCTION("""COMPUTED_VALUE"""),"ORG_2003")</f>
        <v/>
      </c>
      <c r="C62" s="1">
        <f>IFERROR(__xludf.DUMMYFUNCTION("""COMPUTED_VALUE"""),TRUE)</f>
        <v/>
      </c>
      <c r="D62" s="1">
        <f>IFERROR(__xludf.DUMMYFUNCTION("""COMPUTED_VALUE"""),"MY Synergy")</f>
        <v/>
      </c>
      <c r="E62" s="15">
        <f>IFERROR(__xludf.DUMMYFUNCTION("""COMPUTED_VALUE"""),"www.mysynergy.eu")</f>
        <v/>
      </c>
      <c r="F62" s="1">
        <f>IFERROR(__xludf.DUMMYFUNCTION("""COMPUTED_VALUE"""),"MY Synergy is an award-winning health-tech company focused on transformation across healthcare, the pharmaceutical industry and medical education. We combine deep industry expertise with advanced technology to bridge the gap between business needs and inn"&amp;"ovative digital solutions. Our solutions leverage advanced analytics, automation, and cloud-native technologies to support real-time, data-driven decision-making, ensure end-to-end compliance, and integrate seamlessly with existing infrastructure, empower"&amp;"ing our clients to innovate securely and at scale. Our success is built on proven processes, exceptional ability to translate business needs into technology solutions, and strong problem-solving capabilities, ensuring that innovation is not only technical"&amp;"ly sound but also aligned with strategic goals, operational efficiency, and measurable outcomes - factors that truly set us apart.")</f>
        <v/>
      </c>
      <c r="G62" s="1">
        <f>IFERROR(__xludf.DUMMYFUNCTION("""COMPUTED_VALUE"""),"EdTech Bulgaria")</f>
        <v/>
      </c>
      <c r="H62" s="1">
        <f>IFERROR(__xludf.DUMMYFUNCTION("""COMPUTED_VALUE"""),"English, Bulgarian")</f>
        <v/>
      </c>
      <c r="I62" s="1">
        <f>IFERROR(__xludf.DUMMYFUNCTION("""COMPUTED_VALUE"""),"elitsa.lazarova@mysynergy.bg")</f>
        <v/>
      </c>
      <c r="J62" s="1">
        <f>IFERROR(__xludf.DUMMYFUNCTION("""COMPUTED_VALUE"""),"+359878284821")</f>
        <v/>
      </c>
      <c r="K62" s="1">
        <f>IFERROR(__xludf.DUMMYFUNCTION("""COMPUTED_VALUE"""),"Bulgaria")</f>
        <v/>
      </c>
      <c r="L62" s="1">
        <f>IFERROR(__xludf.DUMMYFUNCTION("""COMPUTED_VALUE"""),"Bulgaria")</f>
        <v/>
      </c>
      <c r="M62" s="1">
        <f>IFERROR(__xludf.DUMMYFUNCTION("""COMPUTED_VALUE"""),"Bulgaria, France, United Kingdom")</f>
        <v/>
      </c>
      <c r="N62" s="1">
        <f>IFERROR(__xludf.DUMMYFUNCTION("""COMPUTED_VALUE"""),"Small (10-49 FTE employees)")</f>
        <v/>
      </c>
      <c r="O62" s="1">
        <f>IFERROR(__xludf.DUMMYFUNCTION("""COMPUTED_VALUE"""),"Business to Business, Business to Government")</f>
        <v/>
      </c>
      <c r="P62" s="1">
        <f>IFERROR(__xludf.DUMMYFUNCTION("""COMPUTED_VALUE"""),"Higher Education")</f>
        <v/>
      </c>
      <c r="Q62" s="1">
        <f>IFERROR(__xludf.DUMMYFUNCTION("""COMPUTED_VALUE"""),"Student interfacing, Teacher interfacing, System/Administrative")</f>
        <v/>
      </c>
      <c r="R62" s="1" t="n"/>
      <c r="S62" s="1" t="n"/>
      <c r="T62" s="15">
        <f>IFERROR(__xludf.DUMMYFUNCTION("""COMPUTED_VALUE"""),"https://www.linkedin.com/company/my-synergy/")</f>
        <v/>
      </c>
      <c r="U62" s="1">
        <f>IFERROR(__xludf.DUMMYFUNCTION("""COMPUTED_VALUE"""),"AI Library")</f>
        <v/>
      </c>
      <c r="V62" s="1">
        <f>IFERROR(__xludf.DUMMYFUNCTION("""COMPUTED_VALUE"""),"Address the challenges faced in academia, such as information overload and underutilized academic materials. Key functionalities include a centralized database, semantic search, citation and referencing, flexible integration, and secure access.")</f>
        <v/>
      </c>
      <c r="W62" s="1">
        <f>IFERROR(__xludf.DUMMYFUNCTION("""COMPUTED_VALUE"""),"Data &amp; Analytics")</f>
        <v/>
      </c>
      <c r="X62" s="1">
        <f>IFERROR(__xludf.DUMMYFUNCTION("""COMPUTED_VALUE"""),"Reporting automation, monitoring of operational and clinical KPIs, improving operational efficiency and financial performance, forecasting resources allocation and financial planning, building ML models for disease prediction and prevention, and optimizin"&amp;"g clinical trials")</f>
        <v/>
      </c>
      <c r="Y62" s="15">
        <f>IFERROR(__xludf.DUMMYFUNCTION("""COMPUTED_VALUE"""),"https://drive.google.com/uc?export=view&amp;id=1IQ5N3_AAmRpf9ZLvwwh9pZrYXiIyDm9b")</f>
        <v/>
      </c>
      <c r="Z62" s="1">
        <f>IFERROR(__xludf.DUMMYFUNCTION("""COMPUTED_VALUE"""),"Verified")</f>
        <v/>
      </c>
      <c r="AA62" s="1">
        <f>IFERROR(__xludf.DUMMYFUNCTION("""COMPUTED_VALUE"""),"Industry-academia partnerships, Public-private partnerships, Collaborations between EdTech organisations, Project consortium building")</f>
        <v/>
      </c>
      <c r="AB62" s="1">
        <f>IFERROR(__xludf.DUMMYFUNCTION("""COMPUTED_VALUE"""),"For-profit company")</f>
        <v/>
      </c>
      <c r="AC62" s="1">
        <f>IFERROR(__xludf.DUMMYFUNCTION("""COMPUTED_VALUE"""),TRUE)</f>
        <v/>
      </c>
      <c r="AD62" s="1">
        <f>IFERROR(__xludf.DUMMYFUNCTION("""COMPUTED_VALUE"""),FALSE)</f>
        <v/>
      </c>
      <c r="AE62" s="15">
        <f>IFERROR(__xludf.DUMMYFUNCTION("""COMPUTED_VALUE"""),"https://www.facebook.com/mysynergybg")</f>
        <v/>
      </c>
    </row>
    <row r="63" ht="42" customHeight="1">
      <c r="A63" s="14">
        <f>IFERROR(__xludf.DUMMYFUNCTION("""COMPUTED_VALUE"""),45889)</f>
        <v/>
      </c>
      <c r="B63" s="1">
        <f>IFERROR(__xludf.DUMMYFUNCTION("""COMPUTED_VALUE"""),"ORG_2235")</f>
        <v/>
      </c>
      <c r="C63" s="1">
        <f>IFERROR(__xludf.DUMMYFUNCTION("""COMPUTED_VALUE"""),TRUE)</f>
        <v/>
      </c>
      <c r="D63" s="1">
        <f>IFERROR(__xludf.DUMMYFUNCTION("""COMPUTED_VALUE"""),"Short Edition")</f>
        <v/>
      </c>
      <c r="E63" s="15">
        <f>IFERROR(__xludf.DUMMYFUNCTION("""COMPUTED_VALUE"""),"https://short-edition.com/en/")</f>
        <v/>
      </c>
      <c r="F63" s="1">
        <f>IFERROR(__xludf.DUMMYFUNCTION("""COMPUTED_VALUE"""),"Short Édition revolutionizes reading and writing by making short literature instantly accessible anywhere. Through our unique Short Story Dispensers and digital platforms, we deliver bite-sized stories, poems, and comics directly into schools, libraries, "&amp;"and public spaces—sparking literary curiosity and creativity for all ages. Our engaging, interactive solutions empower communities and educators to inspire a love of reading and creative expression in just a few minutes a day.")</f>
        <v/>
      </c>
      <c r="G63" s="1">
        <f>IFERROR(__xludf.DUMMYFUNCTION("""COMPUTED_VALUE"""),"AFINEF, EdTech France")</f>
        <v/>
      </c>
      <c r="H63" s="1">
        <f>IFERROR(__xludf.DUMMYFUNCTION("""COMPUTED_VALUE"""),"English, French, Spanish, German, Italian, Dutch")</f>
        <v/>
      </c>
      <c r="I63" s="1">
        <f>IFERROR(__xludf.DUMMYFUNCTION("""COMPUTED_VALUE"""),"contact@short-edition.com")</f>
        <v/>
      </c>
      <c r="J63" s="1">
        <f>IFERROR(__xludf.DUMMYFUNCTION("""COMPUTED_VALUE"""),"+33631214778")</f>
        <v/>
      </c>
      <c r="K63" s="1">
        <f>IFERROR(__xludf.DUMMYFUNCTION("""COMPUTED_VALUE"""),"Paris")</f>
        <v/>
      </c>
      <c r="L63" s="1">
        <f>IFERROR(__xludf.DUMMYFUNCTION("""COMPUTED_VALUE"""),"France")</f>
        <v/>
      </c>
      <c r="M63" s="1">
        <f>IFERROR(__xludf.DUMMYFUNCTION("""COMPUTED_VALUE"""),"Belgium, France, United Kingdom, Germany, Switzerland, Netherlands, Luxembourg, Ireland, Malta")</f>
        <v/>
      </c>
      <c r="N63" s="1">
        <f>IFERROR(__xludf.DUMMYFUNCTION("""COMPUTED_VALUE"""),"Small (10-49 FTE employees)")</f>
        <v/>
      </c>
      <c r="O63" s="1">
        <f>IFERROR(__xludf.DUMMYFUNCTION("""COMPUTED_VALUE"""),"Business to Business")</f>
        <v/>
      </c>
      <c r="P63" s="1">
        <f>IFERROR(__xludf.DUMMYFUNCTION("""COMPUTED_VALUE"""),"Primary Education, Secondary Education, Higher Education")</f>
        <v/>
      </c>
      <c r="Q63" s="1">
        <f>IFERROR(__xludf.DUMMYFUNCTION("""COMPUTED_VALUE"""),"Student interfacing, Teacher interfacing")</f>
        <v/>
      </c>
      <c r="R63" s="1">
        <f>IFERROR(__xludf.DUMMYFUNCTION("""COMPUTED_VALUE"""),"@shortedition")</f>
        <v/>
      </c>
      <c r="S63" s="1" t="n"/>
      <c r="T63" s="15">
        <f>IFERROR(__xludf.DUMMYFUNCTION("""COMPUTED_VALUE"""),"https://www.linkedin.com/company/shortedition/")</f>
        <v/>
      </c>
      <c r="U63" s="1">
        <f>IFERROR(__xludf.DUMMYFUNCTION("""COMPUTED_VALUE"""),"Short Story Dispenser")</f>
        <v/>
      </c>
      <c r="V63" s="1">
        <f>IFERROR(__xludf.DUMMYFUNCTION("""COMPUTED_VALUE"""),"Short Story Dispensers are innovative kiosks that deliver free one-, three-, or five-minute stories at the push of a button. Installed in cities worldwide, they turn waiting time into reading time, connect communities across cultures, and showcase local w"&amp;"riters to millions of readers.")</f>
        <v/>
      </c>
      <c r="W63" s="1">
        <f>IFERROR(__xludf.DUMMYFUNCTION("""COMPUTED_VALUE"""),"Short Story Cube")</f>
        <v/>
      </c>
      <c r="X63" s="1">
        <f>IFERROR(__xludf.DUMMYFUNCTION("""COMPUTED_VALUE"""),"The Short Story Cube is a portable, affordable student engagement tool for teachers and librarians on the go. It delivers short fiction on eco-friendly paper to boost reading for fun while teaching creative thinking and analysis. ")</f>
        <v/>
      </c>
      <c r="Y63" s="15">
        <f>IFERROR(__xludf.DUMMYFUNCTION("""COMPUTED_VALUE"""),"https://drive.google.com/uc?export=view&amp;id=1jwlI1Lx0JqqiTuHmcMtZ3_HG89g08B6M")</f>
        <v/>
      </c>
      <c r="Z63" s="1">
        <f>IFERROR(__xludf.DUMMYFUNCTION("""COMPUTED_VALUE"""),"Verified")</f>
        <v/>
      </c>
      <c r="AA63" s="1">
        <f>IFERROR(__xludf.DUMMYFUNCTION("""COMPUTED_VALUE"""),"Project consortium building, Collaborations between EdTech organisations, Public-private partnerships, Industry-academia partnerships")</f>
        <v/>
      </c>
      <c r="AB63" s="1">
        <f>IFERROR(__xludf.DUMMYFUNCTION("""COMPUTED_VALUE"""),"For-profit company")</f>
        <v/>
      </c>
      <c r="AC63" s="1">
        <f>IFERROR(__xludf.DUMMYFUNCTION("""COMPUTED_VALUE"""),TRUE)</f>
        <v/>
      </c>
      <c r="AD63" s="1">
        <f>IFERROR(__xludf.DUMMYFUNCTION("""COMPUTED_VALUE"""),TRUE)</f>
        <v/>
      </c>
      <c r="AE63" s="1">
        <f>IFERROR(__xludf.DUMMYFUNCTION("""COMPUTED_VALUE"""),"@ShortEdition")</f>
        <v/>
      </c>
    </row>
    <row r="64" ht="42" customHeight="1">
      <c r="A64" s="14">
        <f>IFERROR(__xludf.DUMMYFUNCTION("""COMPUTED_VALUE"""),45889)</f>
        <v/>
      </c>
      <c r="B64" s="1">
        <f>IFERROR(__xludf.DUMMYFUNCTION("""COMPUTED_VALUE"""),"ORG_1721")</f>
        <v/>
      </c>
      <c r="C64" s="1">
        <f>IFERROR(__xludf.DUMMYFUNCTION("""COMPUTED_VALUE"""),TRUE)</f>
        <v/>
      </c>
      <c r="D64" s="1">
        <f>IFERROR(__xludf.DUMMYFUNCTION("""COMPUTED_VALUE"""),"InfoMentor")</f>
        <v/>
      </c>
      <c r="E64" s="15">
        <f>IFERROR(__xludf.DUMMYFUNCTION("""COMPUTED_VALUE"""),"infomentor.se")</f>
        <v/>
      </c>
      <c r="F64" s="1">
        <f>IFERROR(__xludf.DUMMYFUNCTION("""COMPUTED_VALUE"""),"InfoMentor is an established international EdTech company with deep experience in K–12 education. We provide a modern, user-friendly SaaS platform that supports schools with administration, assessment, documentation, and communication between teachers, st"&amp;"udents, and guardians.")</f>
        <v/>
      </c>
      <c r="G64" s="1">
        <f>IFERROR(__xludf.DUMMYFUNCTION("""COMPUTED_VALUE"""),"Swedish EdTech Industry")</f>
        <v/>
      </c>
      <c r="H64" s="1">
        <f>IFERROR(__xludf.DUMMYFUNCTION("""COMPUTED_VALUE"""),"English, German, Swedish, Icelandic")</f>
        <v/>
      </c>
      <c r="I64" s="1">
        <f>IFERROR(__xludf.DUMMYFUNCTION("""COMPUTED_VALUE"""),"info@infomentor.se")</f>
        <v/>
      </c>
      <c r="J64" s="1">
        <f>IFERROR(__xludf.DUMMYFUNCTION("""COMPUTED_VALUE"""),"+4644200123")</f>
        <v/>
      </c>
      <c r="K64" s="1">
        <f>IFERROR(__xludf.DUMMYFUNCTION("""COMPUTED_VALUE"""),"Kristianstad")</f>
        <v/>
      </c>
      <c r="L64" s="1">
        <f>IFERROR(__xludf.DUMMYFUNCTION("""COMPUTED_VALUE"""),"Sweden")</f>
        <v/>
      </c>
      <c r="M64" s="1">
        <f>IFERROR(__xludf.DUMMYFUNCTION("""COMPUTED_VALUE"""),"Iceland, Spain, Sweden, Switzerland, United Kingdom")</f>
        <v/>
      </c>
      <c r="N64" s="1">
        <f>IFERROR(__xludf.DUMMYFUNCTION("""COMPUTED_VALUE"""),"Small (10-49 FTE employees)")</f>
        <v/>
      </c>
      <c r="O64" s="1">
        <f>IFERROR(__xludf.DUMMYFUNCTION("""COMPUTED_VALUE"""),"Business to Schools, Business to Government")</f>
        <v/>
      </c>
      <c r="P64" s="1">
        <f>IFERROR(__xludf.DUMMYFUNCTION("""COMPUTED_VALUE"""),"Early childhood development (0-5 years), Primary Education, Secondary Education, Vocational Education and Training (VET)")</f>
        <v/>
      </c>
      <c r="Q64" s="1">
        <f>IFERROR(__xludf.DUMMYFUNCTION("""COMPUTED_VALUE"""),"Teacher interfacing, Student interfacing, System/Administrative")</f>
        <v/>
      </c>
      <c r="R64" s="1" t="n"/>
      <c r="S64" s="1" t="n"/>
      <c r="T64" s="1" t="n"/>
      <c r="U64" s="1">
        <f>IFERROR(__xludf.DUMMYFUNCTION("""COMPUTED_VALUE"""),"InfoMentor")</f>
        <v/>
      </c>
      <c r="V64" s="1">
        <f>IFERROR(__xludf.DUMMYFUNCTION("""COMPUTED_VALUE"""),"The platform helps educators track and align with the national curriculum, making everyday schoolwork more efficient and transparent. Today, InfoMentor is a market leader in Sweden and Iceland, used by around 2,500 schools and over 1,000,000 users every d"&amp;"ay.")</f>
        <v/>
      </c>
      <c r="W64" s="1" t="n"/>
      <c r="X64" s="1" t="n"/>
      <c r="Y64" s="15">
        <f>IFERROR(__xludf.DUMMYFUNCTION("""COMPUTED_VALUE"""),"https://drive.google.com/uc?export=view&amp;id=1RlMZE-ri4cPI48lkNTdojz5E82sVcQjE")</f>
        <v/>
      </c>
      <c r="Z64" s="1">
        <f>IFERROR(__xludf.DUMMYFUNCTION("""COMPUTED_VALUE"""),"Verified")</f>
        <v/>
      </c>
      <c r="AA64" s="1">
        <f>IFERROR(__xludf.DUMMYFUNCTION("""COMPUTED_VALUE"""),"Collaborations between EdTech organisations, Public-private partnerships")</f>
        <v/>
      </c>
      <c r="AB64" s="1">
        <f>IFERROR(__xludf.DUMMYFUNCTION("""COMPUTED_VALUE"""),"For-profit company")</f>
        <v/>
      </c>
      <c r="AC64" s="1">
        <f>IFERROR(__xludf.DUMMYFUNCTION("""COMPUTED_VALUE"""),TRUE)</f>
        <v/>
      </c>
      <c r="AD64" s="1">
        <f>IFERROR(__xludf.DUMMYFUNCTION("""COMPUTED_VALUE"""),TRUE)</f>
        <v/>
      </c>
      <c r="AE64" s="1" t="n"/>
    </row>
    <row r="65" ht="42" customHeight="1">
      <c r="A65" s="14">
        <f>IFERROR(__xludf.DUMMYFUNCTION("""COMPUTED_VALUE"""),45889)</f>
        <v/>
      </c>
      <c r="B65" s="1">
        <f>IFERROR(__xludf.DUMMYFUNCTION("""COMPUTED_VALUE"""),"ORG_2637")</f>
        <v/>
      </c>
      <c r="C65" s="1">
        <f>IFERROR(__xludf.DUMMYFUNCTION("""COMPUTED_VALUE"""),TRUE)</f>
        <v/>
      </c>
      <c r="D65" s="1">
        <f>IFERROR(__xludf.DUMMYFUNCTION("""COMPUTED_VALUE"""),"Indícia")</f>
        <v/>
      </c>
      <c r="E65" s="15">
        <f>IFERROR(__xludf.DUMMYFUNCTION("""COMPUTED_VALUE"""),"https://www.indicia.sk/english")</f>
        <v/>
      </c>
      <c r="F65" s="1">
        <f>IFERROR(__xludf.DUMMYFUNCTION("""COMPUTED_VALUE"""),"Indicia is a Slovak non-profit organization dedicated to improving education through innovation, teacher support, and systemic change. For over 15 years, Indicia has developed and implemented practical tools, training programs, and educational events that"&amp;" empower teachers and help schools transform learning. The organization works closely with educators, policymakers, and international partners, combining pedagogical expertise with bold ideas to reimagine what school can be.")</f>
        <v/>
      </c>
      <c r="G65" s="1">
        <f>IFERROR(__xludf.DUMMYFUNCTION("""COMPUTED_VALUE"""),"I'm not part of any EdTech association")</f>
        <v/>
      </c>
      <c r="H65" s="1">
        <f>IFERROR(__xludf.DUMMYFUNCTION("""COMPUTED_VALUE"""),"English, French, Czech, Slovak, Hungarian, Norwegian")</f>
        <v/>
      </c>
      <c r="I65" s="1">
        <f>IFERROR(__xludf.DUMMYFUNCTION("""COMPUTED_VALUE"""),"emil@robotemil.com")</f>
        <v/>
      </c>
      <c r="J65" s="1">
        <f>IFERROR(__xludf.DUMMYFUNCTION("""COMPUTED_VALUE"""),"+421903926011")</f>
        <v/>
      </c>
      <c r="K65" s="1">
        <f>IFERROR(__xludf.DUMMYFUNCTION("""COMPUTED_VALUE"""),"Bratislava")</f>
        <v/>
      </c>
      <c r="L65" s="1">
        <f>IFERROR(__xludf.DUMMYFUNCTION("""COMPUTED_VALUE"""),"Slovakia")</f>
        <v/>
      </c>
      <c r="M65" s="1">
        <f>IFERROR(__xludf.DUMMYFUNCTION("""COMPUTED_VALUE"""),"Czechia, Slovakia")</f>
        <v/>
      </c>
      <c r="N65" s="1">
        <f>IFERROR(__xludf.DUMMYFUNCTION("""COMPUTED_VALUE"""),"Small (10-49 FTE employees)")</f>
        <v/>
      </c>
      <c r="O65" s="1">
        <f>IFERROR(__xludf.DUMMYFUNCTION("""COMPUTED_VALUE"""),"Business to Schools")</f>
        <v/>
      </c>
      <c r="P65" s="1">
        <f>IFERROR(__xludf.DUMMYFUNCTION("""COMPUTED_VALUE"""),"Early childhood development (0-5 years), Primary Education, Secondary Education")</f>
        <v/>
      </c>
      <c r="Q65" s="1">
        <f>IFERROR(__xludf.DUMMYFUNCTION("""COMPUTED_VALUE"""),"Student interfacing")</f>
        <v/>
      </c>
      <c r="R65" s="15">
        <f>IFERROR(__xludf.DUMMYFUNCTION("""COMPUTED_VALUE"""),"https://www.instagram.com/indicia.sk/")</f>
        <v/>
      </c>
      <c r="S65" s="1" t="n"/>
      <c r="T65" s="15">
        <f>IFERROR(__xludf.DUMMYFUNCTION("""COMPUTED_VALUE"""),"https://www.linkedin.com/company/ind%C3%ADcia/")</f>
        <v/>
      </c>
      <c r="U65" s="1">
        <f>IFERROR(__xludf.DUMMYFUNCTION("""COMPUTED_VALUE"""),"Informatics with Emil")</f>
        <v/>
      </c>
      <c r="V65" s="1">
        <f>IFERROR(__xludf.DUMMYFUNCTION("""COMPUTED_VALUE"""),"Informatics with Emil is a playful, story-based program that teaches young children computational thinking through exploration, collaboration, and hands-on activities—no prior coding skills needed.")</f>
        <v/>
      </c>
      <c r="W65" s="1" t="n"/>
      <c r="X65" s="1" t="n"/>
      <c r="Y65" s="15">
        <f>IFERROR(__xludf.DUMMYFUNCTION("""COMPUTED_VALUE"""),"https://drive.google.com/uc?export=view&amp;id=1O5HAo1AWzGFpEdXmpaW7-baLeCciN6kk")</f>
        <v/>
      </c>
      <c r="Z65" s="1">
        <f>IFERROR(__xludf.DUMMYFUNCTION("""COMPUTED_VALUE"""),"Verified")</f>
        <v/>
      </c>
      <c r="AA65" s="1">
        <f>IFERROR(__xludf.DUMMYFUNCTION("""COMPUTED_VALUE"""),"Public-private partnerships, Collaborations between EdTech organisations")</f>
        <v/>
      </c>
      <c r="AB65" s="1">
        <f>IFERROR(__xludf.DUMMYFUNCTION("""COMPUTED_VALUE"""),"Non-profit organisation")</f>
        <v/>
      </c>
      <c r="AC65" s="1">
        <f>IFERROR(__xludf.DUMMYFUNCTION("""COMPUTED_VALUE"""),TRUE)</f>
        <v/>
      </c>
      <c r="AD65" s="1">
        <f>IFERROR(__xludf.DUMMYFUNCTION("""COMPUTED_VALUE"""),TRUE)</f>
        <v/>
      </c>
      <c r="AE65" s="15">
        <f>IFERROR(__xludf.DUMMYFUNCTION("""COMPUTED_VALUE"""),"https://www.facebook.com/indicia.sk/")</f>
        <v/>
      </c>
    </row>
    <row r="66" ht="42" customHeight="1">
      <c r="A66" s="14">
        <f>IFERROR(__xludf.DUMMYFUNCTION("""COMPUTED_VALUE"""),45889)</f>
        <v/>
      </c>
      <c r="B66" s="1">
        <f>IFERROR(__xludf.DUMMYFUNCTION("""COMPUTED_VALUE"""),"ORG_2636")</f>
        <v/>
      </c>
      <c r="C66" s="1">
        <f>IFERROR(__xludf.DUMMYFUNCTION("""COMPUTED_VALUE"""),TRUE)</f>
        <v/>
      </c>
      <c r="D66" s="1">
        <f>IFERROR(__xludf.DUMMYFUNCTION("""COMPUTED_VALUE"""),"EMRAUDE")</f>
        <v/>
      </c>
      <c r="E66" s="15">
        <f>IFERROR(__xludf.DUMMYFUNCTION("""COMPUTED_VALUE"""),"www.emraude.com")</f>
        <v/>
      </c>
      <c r="F66" s="1">
        <f>IFERROR(__xludf.DUMMYFUNCTION("""COMPUTED_VALUE"""),"We design gamify learning solutions that merge storytelling, micro learning, and adaptive learning into engaging digital journeys. Our expertise spans open world adventures, 3D experiences, and WebGL development, complemented by 2D illustrations, motion d"&amp;"esign, and micro interactions. We create gamified quizzes, custom avatars, and leaderboards to boost motivation, while ensuring compatibility with SCORM, Rise, Storyline, and webapps. Our learning paths integrate mobile learning, hybrid, and classroom for"&amp;"mats, enhanced by AI learning and enhanced data analytics.")</f>
        <v/>
      </c>
      <c r="G66" s="1">
        <f>IFERROR(__xludf.DUMMYFUNCTION("""COMPUTED_VALUE"""),"EdTech France")</f>
        <v/>
      </c>
      <c r="H66" s="1">
        <f>IFERROR(__xludf.DUMMYFUNCTION("""COMPUTED_VALUE"""),"English, German, Portuguese, Czech, Finnish, Irish, Maltese, Slovak, Ukrainian, Catalan, Slovenian, Polish, Latvian, Greek, Italian, French, Bulgarian, Danish, Spanish, Dutch, Croatian, Estonian, Hungarian, Lithuanian, Romanian, Swedish, Basque")</f>
        <v/>
      </c>
      <c r="I66" s="1">
        <f>IFERROR(__xludf.DUMMYFUNCTION("""COMPUTED_VALUE"""),"contact@emraude.com")</f>
        <v/>
      </c>
      <c r="J66" s="1">
        <f>IFERROR(__xludf.DUMMYFUNCTION("""COMPUTED_VALUE"""),"+33630681614")</f>
        <v/>
      </c>
      <c r="K66" s="1">
        <f>IFERROR(__xludf.DUMMYFUNCTION("""COMPUTED_VALUE"""),"Paris")</f>
        <v/>
      </c>
      <c r="L66" s="1">
        <f>IFERROR(__xludf.DUMMYFUNCTION("""COMPUTED_VALUE"""),"France")</f>
        <v/>
      </c>
      <c r="M66" s="1" t="n"/>
      <c r="N66" s="1">
        <f>IFERROR(__xludf.DUMMYFUNCTION("""COMPUTED_VALUE"""),"Medium (50-250 FTE employees)")</f>
        <v/>
      </c>
      <c r="O66" s="1">
        <f>IFERROR(__xludf.DUMMYFUNCTION("""COMPUTED_VALUE"""),"Business to Business")</f>
        <v/>
      </c>
      <c r="P66" s="1">
        <f>IFERROR(__xludf.DUMMYFUNCTION("""COMPUTED_VALUE"""),"Corporate Training")</f>
        <v/>
      </c>
      <c r="Q66" s="1">
        <f>IFERROR(__xludf.DUMMYFUNCTION("""COMPUTED_VALUE"""),"Other, System/Administrative")</f>
        <v/>
      </c>
      <c r="R66" s="1" t="n"/>
      <c r="S66" s="1" t="n"/>
      <c r="T66" s="15">
        <f>IFERROR(__xludf.DUMMYFUNCTION("""COMPUTED_VALUE"""),"https://fr.linkedin.com/company/emraudeagency")</f>
        <v/>
      </c>
      <c r="U66" s="1" t="n"/>
      <c r="V66" s="1" t="n"/>
      <c r="W66" s="1" t="n"/>
      <c r="X66" s="1" t="n"/>
      <c r="Y66" s="15">
        <f>IFERROR(__xludf.DUMMYFUNCTION("""COMPUTED_VALUE"""),"https://drive.google.com/uc?export=view&amp;id=13ofQrWW3m0jZuNl40tybQmeDvTkOmcF-")</f>
        <v/>
      </c>
      <c r="Z66" s="1">
        <f>IFERROR(__xludf.DUMMYFUNCTION("""COMPUTED_VALUE"""),"Verified")</f>
        <v/>
      </c>
      <c r="AA66" s="1">
        <f>IFERROR(__xludf.DUMMYFUNCTION("""COMPUTED_VALUE"""),"Collaborations between EdTech organisations")</f>
        <v/>
      </c>
      <c r="AB66" s="1">
        <f>IFERROR(__xludf.DUMMYFUNCTION("""COMPUTED_VALUE"""),"For-profit company")</f>
        <v/>
      </c>
      <c r="AC66" s="1">
        <f>IFERROR(__xludf.DUMMYFUNCTION("""COMPUTED_VALUE"""),TRUE)</f>
        <v/>
      </c>
      <c r="AD66" s="1">
        <f>IFERROR(__xludf.DUMMYFUNCTION("""COMPUTED_VALUE"""),TRUE)</f>
        <v/>
      </c>
      <c r="AE66" s="1" t="n"/>
    </row>
    <row r="67" ht="42" customHeight="1">
      <c r="A67" s="14">
        <f>IFERROR(__xludf.DUMMYFUNCTION("""COMPUTED_VALUE"""),45889)</f>
        <v/>
      </c>
      <c r="B67" s="1">
        <f>IFERROR(__xludf.DUMMYFUNCTION("""COMPUTED_VALUE"""),"ORG_1334")</f>
        <v/>
      </c>
      <c r="C67" s="1">
        <f>IFERROR(__xludf.DUMMYFUNCTION("""COMPUTED_VALUE"""),TRUE)</f>
        <v/>
      </c>
      <c r="D67" s="1">
        <f>IFERROR(__xludf.DUMMYFUNCTION("""COMPUTED_VALUE"""),"DeepSkill")</f>
        <v/>
      </c>
      <c r="E67" s="15">
        <f>IFERROR(__xludf.DUMMYFUNCTION("""COMPUTED_VALUE"""),"www.deepskill.com")</f>
        <v/>
      </c>
      <c r="F67" s="1">
        <f>IFERROR(__xludf.DUMMYFUNCTION("""COMPUTED_VALUE"""),"DeepSkill is an innovative provider of Future Skills, specializing in the development of leaders, experts, and talents. Through tailored, data-driven learning journeys, DeepSkill supports companies in achieving a sustainable Return on Learning and measura"&amp;"ble business success. Its AI-powered content on an innovative platform helps organizations build the critical capabilities needed for successful transformation and effective leadership in uncertain times.")</f>
        <v/>
      </c>
      <c r="G67" s="1">
        <f>IFERROR(__xludf.DUMMYFUNCTION("""COMPUTED_VALUE"""),"I'm not part of any EdTech association")</f>
        <v/>
      </c>
      <c r="H67" s="1">
        <f>IFERROR(__xludf.DUMMYFUNCTION("""COMPUTED_VALUE"""),"English, German, French, Italian, Spanish, Dutch, Portuguese, Greek, Polish")</f>
        <v/>
      </c>
      <c r="I67" s="1">
        <f>IFERROR(__xludf.DUMMYFUNCTION("""COMPUTED_VALUE"""),"mail@deepskill.com")</f>
        <v/>
      </c>
      <c r="J67" s="1">
        <f>IFERROR(__xludf.DUMMYFUNCTION("""COMPUTED_VALUE"""),"+4922165032182")</f>
        <v/>
      </c>
      <c r="K67" s="1">
        <f>IFERROR(__xludf.DUMMYFUNCTION("""COMPUTED_VALUE"""),"Cologne")</f>
        <v/>
      </c>
      <c r="L67" s="1">
        <f>IFERROR(__xludf.DUMMYFUNCTION("""COMPUTED_VALUE"""),"Germany")</f>
        <v/>
      </c>
      <c r="M67" s="1" t="n"/>
      <c r="N67" s="1">
        <f>IFERROR(__xludf.DUMMYFUNCTION("""COMPUTED_VALUE"""),"Small (10-49 FTE employees)")</f>
        <v/>
      </c>
      <c r="O67" s="1">
        <f>IFERROR(__xludf.DUMMYFUNCTION("""COMPUTED_VALUE"""),"Business to Business")</f>
        <v/>
      </c>
      <c r="P67" s="1">
        <f>IFERROR(__xludf.DUMMYFUNCTION("""COMPUTED_VALUE"""),"Corporate Training")</f>
        <v/>
      </c>
      <c r="Q67" s="1">
        <f>IFERROR(__xludf.DUMMYFUNCTION("""COMPUTED_VALUE"""),"System/Administrative, Student interfacing, Teacher interfacing")</f>
        <v/>
      </c>
      <c r="R67" s="1" t="n"/>
      <c r="S67" s="1" t="n"/>
      <c r="T67" s="15">
        <f>IFERROR(__xludf.DUMMYFUNCTION("""COMPUTED_VALUE"""),"http://linkedin.com/company/deepskillpeopledevelopment")</f>
        <v/>
      </c>
      <c r="U67" s="1" t="n"/>
      <c r="V67" s="1" t="n"/>
      <c r="W67" s="1" t="n"/>
      <c r="X67" s="1" t="n"/>
      <c r="Y67" s="15">
        <f>IFERROR(__xludf.DUMMYFUNCTION("""COMPUTED_VALUE"""),"https://drive.google.com/uc?export=view&amp;id=1bYYmlYF0LwB8sIaW3SZrYP7M6YsTG1bB")</f>
        <v/>
      </c>
      <c r="Z67" s="1">
        <f>IFERROR(__xludf.DUMMYFUNCTION("""COMPUTED_VALUE"""),"Verified")</f>
        <v/>
      </c>
      <c r="AA67" s="1">
        <f>IFERROR(__xludf.DUMMYFUNCTION("""COMPUTED_VALUE"""),"Collaborations between EdTech organisations, Industry-academia partnerships")</f>
        <v/>
      </c>
      <c r="AB67" s="1">
        <f>IFERROR(__xludf.DUMMYFUNCTION("""COMPUTED_VALUE"""),"For-profit company")</f>
        <v/>
      </c>
      <c r="AC67" s="1">
        <f>IFERROR(__xludf.DUMMYFUNCTION("""COMPUTED_VALUE"""),TRUE)</f>
        <v/>
      </c>
      <c r="AD67" s="1">
        <f>IFERROR(__xludf.DUMMYFUNCTION("""COMPUTED_VALUE"""),TRUE)</f>
        <v/>
      </c>
      <c r="AE67" s="1" t="n"/>
    </row>
    <row r="68" ht="42" customHeight="1">
      <c r="A68" s="14">
        <f>IFERROR(__xludf.DUMMYFUNCTION("""COMPUTED_VALUE"""),45889)</f>
        <v/>
      </c>
      <c r="B68" s="1">
        <f>IFERROR(__xludf.DUMMYFUNCTION("""COMPUTED_VALUE"""),"ORG_1344")</f>
        <v/>
      </c>
      <c r="C68" s="1">
        <f>IFERROR(__xludf.DUMMYFUNCTION("""COMPUTED_VALUE"""),TRUE)</f>
        <v/>
      </c>
      <c r="D68" s="1">
        <f>IFERROR(__xludf.DUMMYFUNCTION("""COMPUTED_VALUE"""),"DiBL")</f>
        <v/>
      </c>
      <c r="E68" s="15">
        <f>IFERROR(__xludf.DUMMYFUNCTION("""COMPUTED_VALUE"""),"https://dibl.eu")</f>
        <v/>
      </c>
      <c r="F68" s="1">
        <f>IFERROR(__xludf.DUMMYFUNCTION("""COMPUTED_VALUE"""),"DiBL was born out of a wish to put people at the center of digital learning in the classroom. We believe digital tools should empower facilitators to involve learners in active learning.  With DiBL, the facilitators runs a scenario with key dilemmas, wher"&amp;"e all participants actively participate throughout with each their voice.")</f>
        <v/>
      </c>
      <c r="G68" s="1">
        <f>IFERROR(__xludf.DUMMYFUNCTION("""COMPUTED_VALUE"""),"EdTech Denmark")</f>
        <v/>
      </c>
      <c r="H68" s="1">
        <f>IFERROR(__xludf.DUMMYFUNCTION("""COMPUTED_VALUE"""),"English, German, Danish")</f>
        <v/>
      </c>
      <c r="I68" s="1">
        <f>IFERROR(__xludf.DUMMYFUNCTION("""COMPUTED_VALUE"""),"info@dibl.eu")</f>
        <v/>
      </c>
      <c r="J68" s="1">
        <f>IFERROR(__xludf.DUMMYFUNCTION("""COMPUTED_VALUE"""),"+4544223030")</f>
        <v/>
      </c>
      <c r="K68" s="1">
        <f>IFERROR(__xludf.DUMMYFUNCTION("""COMPUTED_VALUE"""),"Copenhagen")</f>
        <v/>
      </c>
      <c r="L68" s="1">
        <f>IFERROR(__xludf.DUMMYFUNCTION("""COMPUTED_VALUE"""),"Denmark")</f>
        <v/>
      </c>
      <c r="M68" s="1">
        <f>IFERROR(__xludf.DUMMYFUNCTION("""COMPUTED_VALUE"""),"Albania, Andorra, Austria, United Kingdom, Ukraine, Sweden, Switzerland, Turkey, Spain, Slovenia, Slovakia, Portugal, Romania, San Marino, Poland, Norway, North Macedonia, Monaco, Montenegro, Netherlands, Moldova, Malta, Luxembourg, Latvia, Ireland, Greec"&amp;"e, Hungary, Italy, Liechtenstein, Lithuania, Kosovo, Iceland, Germany, Estonia, Republic of Cyprus, Bosnia and Herzegovina, Belgium, Belarus, Bulgaria, Czechia, Finland, France, Denmark, Croatia")</f>
        <v/>
      </c>
      <c r="N68" s="1">
        <f>IFERROR(__xludf.DUMMYFUNCTION("""COMPUTED_VALUE"""),"Micro (1-9 FTE employees)")</f>
        <v/>
      </c>
      <c r="O68" s="1">
        <f>IFERROR(__xludf.DUMMYFUNCTION("""COMPUTED_VALUE"""),"Business to Business, Business to Government, Business to Schools")</f>
        <v/>
      </c>
      <c r="P68" s="1">
        <f>IFERROR(__xludf.DUMMYFUNCTION("""COMPUTED_VALUE"""),"Secondary Education, Vocational Education and Training (VET), Higher Education, Corporate Training, Lifelong learning/Adult education")</f>
        <v/>
      </c>
      <c r="Q68" s="1">
        <f>IFERROR(__xludf.DUMMYFUNCTION("""COMPUTED_VALUE"""),"Teacher interfacing, Student interfacing")</f>
        <v/>
      </c>
      <c r="R68" s="1" t="n"/>
      <c r="S68" s="1" t="n"/>
      <c r="T68" s="15">
        <f>IFERROR(__xludf.DUMMYFUNCTION("""COMPUTED_VALUE"""),"https://www.linkedin.com/company/dibl")</f>
        <v/>
      </c>
      <c r="U68" s="1">
        <f>IFERROR(__xludf.DUMMYFUNCTION("""COMPUTED_VALUE"""),"DiBL - Learning platform for dilemma-based-learning-games")</f>
        <v/>
      </c>
      <c r="V68" s="1">
        <f>IFERROR(__xludf.DUMMYFUNCTION("""COMPUTED_VALUE"""),"DiBL is a digital SaaS platform that helps organizations and educators create facilitated immersive, collaborative learning experiences. Using scenario-based approaches while providing analytics. ")</f>
        <v/>
      </c>
      <c r="W68" s="1" t="n"/>
      <c r="X68" s="1" t="n"/>
      <c r="Y68" s="15">
        <f>IFERROR(__xludf.DUMMYFUNCTION("""COMPUTED_VALUE"""),"https://drive.google.com/uc?export=view&amp;id=1Kg3IE5kyajgJV6CCM9QjyCOtscIasdlh")</f>
        <v/>
      </c>
      <c r="Z68" s="1">
        <f>IFERROR(__xludf.DUMMYFUNCTION("""COMPUTED_VALUE"""),"Verified")</f>
        <v/>
      </c>
      <c r="AA68" s="1">
        <f>IFERROR(__xludf.DUMMYFUNCTION("""COMPUTED_VALUE"""),"Collaborations between EdTech organisations, Project consortium building, Public-private partnerships, Industry-academia partnerships")</f>
        <v/>
      </c>
      <c r="AB68" s="1">
        <f>IFERROR(__xludf.DUMMYFUNCTION("""COMPUTED_VALUE"""),"For-profit company")</f>
        <v/>
      </c>
      <c r="AC68" s="1">
        <f>IFERROR(__xludf.DUMMYFUNCTION("""COMPUTED_VALUE"""),TRUE)</f>
        <v/>
      </c>
      <c r="AD68" s="1">
        <f>IFERROR(__xludf.DUMMYFUNCTION("""COMPUTED_VALUE"""),TRUE)</f>
        <v/>
      </c>
      <c r="AE68" s="1" t="n"/>
    </row>
    <row r="69" ht="42" customHeight="1">
      <c r="A69" s="14">
        <f>IFERROR(__xludf.DUMMYFUNCTION("""COMPUTED_VALUE"""),45889)</f>
        <v/>
      </c>
      <c r="B69" s="1">
        <f>IFERROR(__xludf.DUMMYFUNCTION("""COMPUTED_VALUE"""),"ORG_1911")</f>
        <v/>
      </c>
      <c r="C69" s="1">
        <f>IFERROR(__xludf.DUMMYFUNCTION("""COMPUTED_VALUE"""),TRUE)</f>
        <v/>
      </c>
      <c r="D69" s="1">
        <f>IFERROR(__xludf.DUMMYFUNCTION("""COMPUTED_VALUE"""),"MAMA.codes Ltd")</f>
        <v/>
      </c>
      <c r="E69" s="15">
        <f>IFERROR(__xludf.DUMMYFUNCTION("""COMPUTED_VALUE"""),"https://www.mama.codes")</f>
        <v/>
      </c>
      <c r="F69" s="1">
        <f>IFERROR(__xludf.DUMMYFUNCTION("""COMPUTED_VALUE"""),"We teach 3-13yr olds how to code. Our primary offering is Looparoo:  a self-serve, story-led, bespoke learning coding app for children aged 3–7.")</f>
        <v/>
      </c>
      <c r="G69" s="1">
        <f>IFERROR(__xludf.DUMMYFUNCTION("""COMPUTED_VALUE"""),"I'm not part of any EdTech association")</f>
        <v/>
      </c>
      <c r="H69" s="1">
        <f>IFERROR(__xludf.DUMMYFUNCTION("""COMPUTED_VALUE"""),"English")</f>
        <v/>
      </c>
      <c r="I69" s="1">
        <f>IFERROR(__xludf.DUMMYFUNCTION("""COMPUTED_VALUE"""),"hello@mama.codes")</f>
        <v/>
      </c>
      <c r="J69" s="1">
        <f>IFERROR(__xludf.DUMMYFUNCTION("""COMPUTED_VALUE"""),"+447952233008")</f>
        <v/>
      </c>
      <c r="K69" s="1">
        <f>IFERROR(__xludf.DUMMYFUNCTION("""COMPUTED_VALUE"""),"London")</f>
        <v/>
      </c>
      <c r="L69" s="1">
        <f>IFERROR(__xludf.DUMMYFUNCTION("""COMPUTED_VALUE"""),"United Kingdom")</f>
        <v/>
      </c>
      <c r="M69" s="1">
        <f>IFERROR(__xludf.DUMMYFUNCTION("""COMPUTED_VALUE"""),"United Kingdom")</f>
        <v/>
      </c>
      <c r="N69" s="1">
        <f>IFERROR(__xludf.DUMMYFUNCTION("""COMPUTED_VALUE"""),"Micro (1-9 FTE employees)")</f>
        <v/>
      </c>
      <c r="O69" s="1">
        <f>IFERROR(__xludf.DUMMYFUNCTION("""COMPUTED_VALUE"""),"Business to Consumer")</f>
        <v/>
      </c>
      <c r="P69" s="1">
        <f>IFERROR(__xludf.DUMMYFUNCTION("""COMPUTED_VALUE"""),"Early childhood development (0-5 years), Primary Education")</f>
        <v/>
      </c>
      <c r="Q69" s="1">
        <f>IFERROR(__xludf.DUMMYFUNCTION("""COMPUTED_VALUE"""),"Student interfacing")</f>
        <v/>
      </c>
      <c r="R69" s="1" t="n"/>
      <c r="S69" s="1" t="n"/>
      <c r="T69" s="1" t="n"/>
      <c r="U69" s="1">
        <f>IFERROR(__xludf.DUMMYFUNCTION("""COMPUTED_VALUE"""),"Looparoo")</f>
        <v/>
      </c>
      <c r="V69" s="1">
        <f>IFERROR(__xludf.DUMMYFUNCTION("""COMPUTED_VALUE"""),"Looparoo is a groundbreaking, story-led coding platform designed specifically for children aged 3-7, addressing the critical gap in early years digital education, with digital wellbeing education built in from the start.")</f>
        <v/>
      </c>
      <c r="W69" s="1">
        <f>IFERROR(__xludf.DUMMYFUNCTION("""COMPUTED_VALUE"""),"Online and in-person code clubs for 7-13yr olds")</f>
        <v/>
      </c>
      <c r="X69" s="1" t="n"/>
      <c r="Y69" s="15">
        <f>IFERROR(__xludf.DUMMYFUNCTION("""COMPUTED_VALUE"""),"https://drive.google.com/uc?export=view&amp;id=1BlDrMluB82zk2zT09rXfTvM1kmdUaBuE")</f>
        <v/>
      </c>
      <c r="Z69" s="1">
        <f>IFERROR(__xludf.DUMMYFUNCTION("""COMPUTED_VALUE"""),"Verified")</f>
        <v/>
      </c>
      <c r="AA69" s="1">
        <f>IFERROR(__xludf.DUMMYFUNCTION("""COMPUTED_VALUE"""),"Public-private partnerships, Collaborations between EdTech organisations, Other")</f>
        <v/>
      </c>
      <c r="AB69" s="1">
        <f>IFERROR(__xludf.DUMMYFUNCTION("""COMPUTED_VALUE"""),"For-profit company")</f>
        <v/>
      </c>
      <c r="AC69" s="1">
        <f>IFERROR(__xludf.DUMMYFUNCTION("""COMPUTED_VALUE"""),FALSE)</f>
        <v/>
      </c>
      <c r="AD69" s="1">
        <f>IFERROR(__xludf.DUMMYFUNCTION("""COMPUTED_VALUE"""),TRUE)</f>
        <v/>
      </c>
      <c r="AE69" s="1" t="n"/>
    </row>
    <row r="70" ht="42" customHeight="1">
      <c r="A70" s="14">
        <f>IFERROR(__xludf.DUMMYFUNCTION("""COMPUTED_VALUE"""),45889)</f>
        <v/>
      </c>
      <c r="B70" s="1">
        <f>IFERROR(__xludf.DUMMYFUNCTION("""COMPUTED_VALUE"""),"ORG_2635")</f>
        <v/>
      </c>
      <c r="C70" s="1">
        <f>IFERROR(__xludf.DUMMYFUNCTION("""COMPUTED_VALUE"""),TRUE)</f>
        <v/>
      </c>
      <c r="D70" s="1">
        <f>IFERROR(__xludf.DUMMYFUNCTION("""COMPUTED_VALUE"""),"Readlax, Inc.")</f>
        <v/>
      </c>
      <c r="E70" s="15">
        <f>IFERROR(__xludf.DUMMYFUNCTION("""COMPUTED_VALUE"""),"https://www.readlax.com/")</f>
        <v/>
      </c>
      <c r="F70" s="1">
        <f>IFERROR(__xludf.DUMMYFUNCTION("""COMPUTED_VALUE"""),"Readlax is #1 All-In-One Productivity Platform")</f>
        <v/>
      </c>
      <c r="G70" s="1">
        <f>IFERROR(__xludf.DUMMYFUNCTION("""COMPUTED_VALUE"""),"EdTech Ukraine")</f>
        <v/>
      </c>
      <c r="H70" s="1">
        <f>IFERROR(__xludf.DUMMYFUNCTION("""COMPUTED_VALUE"""),"English, German, French, Italian, Spanish, Ukrainian, Dutch, Portuguese")</f>
        <v/>
      </c>
      <c r="I70" s="1">
        <f>IFERROR(__xludf.DUMMYFUNCTION("""COMPUTED_VALUE"""),"sasha@readlax.com")</f>
        <v/>
      </c>
      <c r="J70" s="1">
        <f>IFERROR(__xludf.DUMMYFUNCTION("""COMPUTED_VALUE"""),"+18563936545")</f>
        <v/>
      </c>
      <c r="K70" s="1">
        <f>IFERROR(__xludf.DUMMYFUNCTION("""COMPUTED_VALUE"""),"Kyiv")</f>
        <v/>
      </c>
      <c r="L70" s="1">
        <f>IFERROR(__xludf.DUMMYFUNCTION("""COMPUTED_VALUE"""),"Ukraine")</f>
        <v/>
      </c>
      <c r="M70" s="1">
        <f>IFERROR(__xludf.DUMMYFUNCTION("""COMPUTED_VALUE"""),"Germany, France, Italy, Iceland, Lithuania, Latvia, Netherlands, Poland, Portugal, Spain, Turkey, United Kingdom, Sweden, Ukraine")</f>
        <v/>
      </c>
      <c r="N70" s="1">
        <f>IFERROR(__xludf.DUMMYFUNCTION("""COMPUTED_VALUE"""),"Solo entrepreneur")</f>
        <v/>
      </c>
      <c r="O70" s="1">
        <f>IFERROR(__xludf.DUMMYFUNCTION("""COMPUTED_VALUE"""),"Business to Consumer")</f>
        <v/>
      </c>
      <c r="P70" s="1">
        <f>IFERROR(__xludf.DUMMYFUNCTION("""COMPUTED_VALUE"""),"Higher Education, Corporate Training, Lifelong learning/Adult education")</f>
        <v/>
      </c>
      <c r="Q70" s="1">
        <f>IFERROR(__xludf.DUMMYFUNCTION("""COMPUTED_VALUE"""),"Student interfacing")</f>
        <v/>
      </c>
      <c r="R70" s="15">
        <f>IFERROR(__xludf.DUMMYFUNCTION("""COMPUTED_VALUE"""),"https://www.instagram.com/readlax/")</f>
        <v/>
      </c>
      <c r="S70" s="15">
        <f>IFERROR(__xludf.DUMMYFUNCTION("""COMPUTED_VALUE"""),"https://x.com/Readlax_Reading")</f>
        <v/>
      </c>
      <c r="T70" s="15">
        <f>IFERROR(__xludf.DUMMYFUNCTION("""COMPUTED_VALUE"""),"https://www.linkedin.com/company/readlax/")</f>
        <v/>
      </c>
      <c r="U70" s="1">
        <f>IFERROR(__xludf.DUMMYFUNCTION("""COMPUTED_VALUE"""),"#1 All-In-One Productivity Platform")</f>
        <v/>
      </c>
      <c r="V70" s="1">
        <f>IFERROR(__xludf.DUMMYFUNCTION("""COMPUTED_VALUE"""),"Productivity Platform")</f>
        <v/>
      </c>
      <c r="W70" s="1" t="n"/>
      <c r="X70" s="1" t="n"/>
      <c r="Y70" s="15">
        <f>IFERROR(__xludf.DUMMYFUNCTION("""COMPUTED_VALUE"""),"https://drive.google.com/uc?export=view&amp;id=1jmPiJ4_I0qMU0PTRySRqYrSires3Mt7x")</f>
        <v/>
      </c>
      <c r="Z70" s="1">
        <f>IFERROR(__xludf.DUMMYFUNCTION("""COMPUTED_VALUE"""),"Verified")</f>
        <v/>
      </c>
      <c r="AA70" s="1">
        <f>IFERROR(__xludf.DUMMYFUNCTION("""COMPUTED_VALUE"""),"Collaborations between EdTech organisations")</f>
        <v/>
      </c>
      <c r="AB70" s="1">
        <f>IFERROR(__xludf.DUMMYFUNCTION("""COMPUTED_VALUE"""),"For-profit company")</f>
        <v/>
      </c>
      <c r="AC70" s="1">
        <f>IFERROR(__xludf.DUMMYFUNCTION("""COMPUTED_VALUE"""),TRUE)</f>
        <v/>
      </c>
      <c r="AD70" s="1">
        <f>IFERROR(__xludf.DUMMYFUNCTION("""COMPUTED_VALUE"""),TRUE)</f>
        <v/>
      </c>
      <c r="AE70" s="15">
        <f>IFERROR(__xludf.DUMMYFUNCTION("""COMPUTED_VALUE"""),"https://www.facebook.com/ReadlaxBrainFitness")</f>
        <v/>
      </c>
    </row>
    <row r="71" ht="42" customHeight="1">
      <c r="A71" s="14">
        <f>IFERROR(__xludf.DUMMYFUNCTION("""COMPUTED_VALUE"""),45889)</f>
        <v/>
      </c>
      <c r="B71" s="1">
        <f>IFERROR(__xludf.DUMMYFUNCTION("""COMPUTED_VALUE"""),"ORG_1273")</f>
        <v/>
      </c>
      <c r="C71" s="1">
        <f>IFERROR(__xludf.DUMMYFUNCTION("""COMPUTED_VALUE"""),TRUE)</f>
        <v/>
      </c>
      <c r="D71" s="1">
        <f>IFERROR(__xludf.DUMMYFUNCTION("""COMPUTED_VALUE"""),"Coding Park")</f>
        <v/>
      </c>
      <c r="E71" s="15">
        <f>IFERROR(__xludf.DUMMYFUNCTION("""COMPUTED_VALUE"""),"www.codingpark.io/en")</f>
        <v/>
      </c>
      <c r="F71" s="1">
        <f>IFERROR(__xludf.DUMMYFUNCTION("""COMPUTED_VALUE"""),"Coding Park is a French EdTech company offering a gamified platform to teach computer science to children and teenagers aged 7–18. We provide progressive coding journeys with Blockly, pseudocode, and Python, featuring automatic progress tracking and inter"&amp;"active tutorials. Our hands-on platform empowers students to create video games and web projects (HTML/CSS), making it a unique solution for both schools and families.")</f>
        <v/>
      </c>
      <c r="G71" s="1">
        <f>IFERROR(__xludf.DUMMYFUNCTION("""COMPUTED_VALUE"""),"EdTech France")</f>
        <v/>
      </c>
      <c r="H71" s="1">
        <f>IFERROR(__xludf.DUMMYFUNCTION("""COMPUTED_VALUE"""),"English, French")</f>
        <v/>
      </c>
      <c r="I71" s="1">
        <f>IFERROR(__xludf.DUMMYFUNCTION("""COMPUTED_VALUE"""),"support@codingpark.io")</f>
        <v/>
      </c>
      <c r="J71" s="1">
        <f>IFERROR(__xludf.DUMMYFUNCTION("""COMPUTED_VALUE"""),"+33623756198")</f>
        <v/>
      </c>
      <c r="K71" s="1">
        <f>IFERROR(__xludf.DUMMYFUNCTION("""COMPUTED_VALUE"""),"Paris")</f>
        <v/>
      </c>
      <c r="L71" s="1">
        <f>IFERROR(__xludf.DUMMYFUNCTION("""COMPUTED_VALUE"""),"France")</f>
        <v/>
      </c>
      <c r="M71" s="1">
        <f>IFERROR(__xludf.DUMMYFUNCTION("""COMPUTED_VALUE"""),"France, United Kingdom, Belgium")</f>
        <v/>
      </c>
      <c r="N71" s="1">
        <f>IFERROR(__xludf.DUMMYFUNCTION("""COMPUTED_VALUE"""),"Micro (1-9 FTE employees)")</f>
        <v/>
      </c>
      <c r="O71" s="1">
        <f>IFERROR(__xludf.DUMMYFUNCTION("""COMPUTED_VALUE"""),"Business to Consumer, Business to Business, Business to Government, Business to Schools")</f>
        <v/>
      </c>
      <c r="P71" s="1">
        <f>IFERROR(__xludf.DUMMYFUNCTION("""COMPUTED_VALUE"""),"Primary Education, Secondary Education, Higher Education")</f>
        <v/>
      </c>
      <c r="Q71" s="1">
        <f>IFERROR(__xludf.DUMMYFUNCTION("""COMPUTED_VALUE"""),"Student interfacing, Teacher interfacing")</f>
        <v/>
      </c>
      <c r="R71" s="15">
        <f>IFERROR(__xludf.DUMMYFUNCTION("""COMPUTED_VALUE"""),"https://www.instagram.com/coding.park/")</f>
        <v/>
      </c>
      <c r="S71" s="15">
        <f>IFERROR(__xludf.DUMMYFUNCTION("""COMPUTED_VALUE"""),"https://x.com/codingpark")</f>
        <v/>
      </c>
      <c r="T71" s="15">
        <f>IFERROR(__xludf.DUMMYFUNCTION("""COMPUTED_VALUE"""),"https://www.linkedin.com/company/codingpark")</f>
        <v/>
      </c>
      <c r="U71" s="1">
        <f>IFERROR(__xludf.DUMMYFUNCTION("""COMPUTED_VALUE"""),"Coding Park School")</f>
        <v/>
      </c>
      <c r="V71" s="1">
        <f>IFERROR(__xludf.DUMMYFUNCTION("""COMPUTED_VALUE"""),"A classroom-ready platform for teaching computer science in primary and secondary schools. Includes the gamified Golden Quest, a teacher dashboard for student monitoring, ready-to-use resources, and curriculum-aligned content. Available via annual school "&amp;"plans (Club, Classroom, or Custom).")</f>
        <v/>
      </c>
      <c r="W71" s="1">
        <f>IFERROR(__xludf.DUMMYFUNCTION("""COMPUTED_VALUE"""),"Coding Park Academy")</f>
        <v/>
      </c>
      <c r="X71" s="1">
        <f>IFERROR(__xludf.DUMMYFUNCTION("""COMPUTED_VALUE"""),"A professional browser-based coding environment for teens and high school students. Supports Python (with Pygame), HTML/CSS, and JavaScript, with instant game rendering and live web preview. Includes built-in tutorials, real-time activity tracking, and is"&amp;"olated student workspaces.")</f>
        <v/>
      </c>
      <c r="Y71" s="15">
        <f>IFERROR(__xludf.DUMMYFUNCTION("""COMPUTED_VALUE"""),"https://drive.google.com/uc?export=view&amp;id=1sduAWNqCWBa8mIxWzgE76I0WZD-WMwmh")</f>
        <v/>
      </c>
      <c r="Z71" s="1">
        <f>IFERROR(__xludf.DUMMYFUNCTION("""COMPUTED_VALUE"""),"Verified")</f>
        <v/>
      </c>
      <c r="AA71" s="1">
        <f>IFERROR(__xludf.DUMMYFUNCTION("""COMPUTED_VALUE"""),"Collaborations between EdTech organisations, Industry-academia partnerships, Public-private partnerships, Project consortium building")</f>
        <v/>
      </c>
      <c r="AB71" s="1">
        <f>IFERROR(__xludf.DUMMYFUNCTION("""COMPUTED_VALUE"""),"For-profit company")</f>
        <v/>
      </c>
      <c r="AC71" s="1">
        <f>IFERROR(__xludf.DUMMYFUNCTION("""COMPUTED_VALUE"""),TRUE)</f>
        <v/>
      </c>
      <c r="AD71" s="1">
        <f>IFERROR(__xludf.DUMMYFUNCTION("""COMPUTED_VALUE"""),TRUE)</f>
        <v/>
      </c>
      <c r="AE71" s="15">
        <f>IFERROR(__xludf.DUMMYFUNCTION("""COMPUTED_VALUE"""),"https://www.facebook.com/codingpark")</f>
        <v/>
      </c>
    </row>
    <row r="72" ht="42" customHeight="1">
      <c r="A72" s="14">
        <f>IFERROR(__xludf.DUMMYFUNCTION("""COMPUTED_VALUE"""),45889)</f>
        <v/>
      </c>
      <c r="B72" s="1">
        <f>IFERROR(__xludf.DUMMYFUNCTION("""COMPUTED_VALUE"""),"ORG_1213")</f>
        <v/>
      </c>
      <c r="C72" s="1">
        <f>IFERROR(__xludf.DUMMYFUNCTION("""COMPUTED_VALUE"""),TRUE)</f>
        <v/>
      </c>
      <c r="D72" s="1">
        <f>IFERROR(__xludf.DUMMYFUNCTION("""COMPUTED_VALUE"""),"CampuStore")</f>
        <v/>
      </c>
      <c r="E72" s="15">
        <f>IFERROR(__xludf.DUMMYFUNCTION("""COMPUTED_VALUE"""),"www.campustore.it")</f>
        <v/>
      </c>
      <c r="F72" s="1">
        <f>IFERROR(__xludf.DUMMYFUNCTION("""COMPUTED_VALUE"""),"CampuStore is a benefit company and an Italian family business, leader in the education market, which for 30 years has created innovative educational projects for schools, teachers and other players in the education sector. It manages the largest e-commer"&amp;"ce dedicated to schools in Italy based on the best brands of the industry.   Over the past years CampuStore has started developing its own solutions such as Miri, the unique immersive classroom for schools developed with Giunti Scuola. Since its foundatio"&amp;"n, it has developed innovative projects for learning environments, complete and designed for schools of different levels, ""turnkey"" ideas, which include furniture, technologies, STEM and other educational tools and even high-quality ""hands-on"" trainin"&amp;"g courses for teachers, school managers, school staff. The courses are provided by IFE Academy, a training body recognized by the Ministry, which also offers many free services to support the educational community. CampuStore was the first company to brin"&amp;"g STEM and educational robotics to Italy, and today has the largest catalog of educational robotics and STEAM in Europe. Over time, it has spread articles that have changed the way of teaching, such as LIM, interactive monitors and unique and characterizi"&amp;"ng furnishings and is particularly associated with educational robotics, edtech, STEAM and digital innovation. With a constantly updated general catalog  dedicated to various subjects often released based on ministerial news, CampuStore today is configure"&amp;"d as the point of reference for purchases by schools relating to tenders and big funds.")</f>
        <v/>
      </c>
      <c r="G72" s="1">
        <f>IFERROR(__xludf.DUMMYFUNCTION("""COMPUTED_VALUE"""),"I'm not part of any EdTech association")</f>
        <v/>
      </c>
      <c r="H72" s="1">
        <f>IFERROR(__xludf.DUMMYFUNCTION("""COMPUTED_VALUE"""),"English, German, Italian, Spanish")</f>
        <v/>
      </c>
      <c r="I72" s="1">
        <f>IFERROR(__xludf.DUMMYFUNCTION("""COMPUTED_VALUE"""),"info@campustore.it")</f>
        <v/>
      </c>
      <c r="J72" s="1">
        <f>IFERROR(__xludf.DUMMYFUNCTION("""COMPUTED_VALUE"""),"+390424252925")</f>
        <v/>
      </c>
      <c r="K72" s="1">
        <f>IFERROR(__xludf.DUMMYFUNCTION("""COMPUTED_VALUE"""),"Bassano del Grappa")</f>
        <v/>
      </c>
      <c r="L72" s="1">
        <f>IFERROR(__xludf.DUMMYFUNCTION("""COMPUTED_VALUE"""),"Italy")</f>
        <v/>
      </c>
      <c r="M72" s="1">
        <f>IFERROR(__xludf.DUMMYFUNCTION("""COMPUTED_VALUE"""),"Italy, Spain, Germany")</f>
        <v/>
      </c>
      <c r="N72" s="1">
        <f>IFERROR(__xludf.DUMMYFUNCTION("""COMPUTED_VALUE"""),"Small (10-49 FTE employees)")</f>
        <v/>
      </c>
      <c r="O72" s="1">
        <f>IFERROR(__xludf.DUMMYFUNCTION("""COMPUTED_VALUE"""),"Business to Business, Business to Consumer, Business to Schools, Business to Government")</f>
        <v/>
      </c>
      <c r="P72" s="1">
        <f>IFERROR(__xludf.DUMMYFUNCTION("""COMPUTED_VALUE"""),"Early childhood development (0-5 years), Primary Education, Secondary Education, Vocational Education and Training (VET), Higher Education, Special education")</f>
        <v/>
      </c>
      <c r="Q72" s="1">
        <f>IFERROR(__xludf.DUMMYFUNCTION("""COMPUTED_VALUE"""),"Student interfacing, Teacher interfacing, System/Administrative")</f>
        <v/>
      </c>
      <c r="R72" s="15">
        <f>IFERROR(__xludf.DUMMYFUNCTION("""COMPUTED_VALUE"""),"https://www.instagram.com/campustore.it/")</f>
        <v/>
      </c>
      <c r="S72" s="1" t="n"/>
      <c r="T72" s="1" t="n"/>
      <c r="U72" s="1">
        <f>IFERROR(__xludf.DUMMYFUNCTION("""COMPUTED_VALUE"""),"Miri - THE immersive room")</f>
        <v/>
      </c>
      <c r="V72" s="1">
        <f>IFERROR(__xludf.DUMMYFUNCTION("""COMPUTED_VALUE"""),"Miri is an immersive classroom is a physical environment that allows users to access to digital content in a new way. Miri is the first real immersive room specifically developed for schools. It's a new media. ")</f>
        <v/>
      </c>
      <c r="W72" s="1">
        <f>IFERROR(__xludf.DUMMYFUNCTION("""COMPUTED_VALUE"""),"CarrellONE")</f>
        <v/>
      </c>
      <c r="X72" s="1">
        <f>IFERROR(__xludf.DUMMYFUNCTION("""COMPUTED_VALUE"""),"CarrellONE is STEAM on the move: a scientific lab on wheels.
Born for the schools needs, perfect for MakerSpaces and museums.
Sustainable and made with receicle material.
It can host several tools as 3D printers, laser cutters, microscopes, and powers all"&amp;" of them.")</f>
        <v/>
      </c>
      <c r="Y72" s="15">
        <f>IFERROR(__xludf.DUMMYFUNCTION("""COMPUTED_VALUE"""),"https://drive.google.com/uc?export=view&amp;id=1MqDQw_vI1Gpg7WGZyUfK0z7c2wze2CN0")</f>
        <v/>
      </c>
      <c r="Z72" s="1">
        <f>IFERROR(__xludf.DUMMYFUNCTION("""COMPUTED_VALUE"""),"Verified")</f>
        <v/>
      </c>
      <c r="AA72" s="1">
        <f>IFERROR(__xludf.DUMMYFUNCTION("""COMPUTED_VALUE"""),"Collaborations between EdTech organisations, Project consortium building")</f>
        <v/>
      </c>
      <c r="AB72" s="1">
        <f>IFERROR(__xludf.DUMMYFUNCTION("""COMPUTED_VALUE"""),"For-profit company")</f>
        <v/>
      </c>
      <c r="AC72" s="1">
        <f>IFERROR(__xludf.DUMMYFUNCTION("""COMPUTED_VALUE"""),TRUE)</f>
        <v/>
      </c>
      <c r="AD72" s="1">
        <f>IFERROR(__xludf.DUMMYFUNCTION("""COMPUTED_VALUE"""),TRUE)</f>
        <v/>
      </c>
      <c r="AE72" s="15">
        <f>IFERROR(__xludf.DUMMYFUNCTION("""COMPUTED_VALUE"""),"https://www.facebook.com/CampuStoreIT")</f>
        <v/>
      </c>
    </row>
    <row r="73" ht="42" customHeight="1">
      <c r="A73" s="14">
        <f>IFERROR(__xludf.DUMMYFUNCTION("""COMPUTED_VALUE"""),45889)</f>
        <v/>
      </c>
      <c r="B73" s="1">
        <f>IFERROR(__xludf.DUMMYFUNCTION("""COMPUTED_VALUE"""),"ORG_2634")</f>
        <v/>
      </c>
      <c r="C73" s="1">
        <f>IFERROR(__xludf.DUMMYFUNCTION("""COMPUTED_VALUE"""),TRUE)</f>
        <v/>
      </c>
      <c r="D73" s="1">
        <f>IFERROR(__xludf.DUMMYFUNCTION("""COMPUTED_VALUE"""),"DoctorateHub - Institute for Advanced Studies")</f>
        <v/>
      </c>
      <c r="E73" s="15">
        <f>IFERROR(__xludf.DUMMYFUNCTION("""COMPUTED_VALUE"""),"www.doctorateHub.com")</f>
        <v/>
      </c>
      <c r="F73" s="1">
        <f>IFERROR(__xludf.DUMMYFUNCTION("""COMPUTED_VALUE"""),"DoctorateHub is a Higher Education Institution for Advanced Studies that is focusing on doctoral level education and advanced studies.")</f>
        <v/>
      </c>
      <c r="G73" s="1">
        <f>IFERROR(__xludf.DUMMYFUNCTION("""COMPUTED_VALUE"""),"SuperCharger Ventures")</f>
        <v/>
      </c>
      <c r="H73" s="1" t="n"/>
      <c r="I73" s="1">
        <f>IFERROR(__xludf.DUMMYFUNCTION("""COMPUTED_VALUE"""),"contact@doctoratehub.com")</f>
        <v/>
      </c>
      <c r="J73" s="1">
        <f>IFERROR(__xludf.DUMMYFUNCTION("""COMPUTED_VALUE"""),"+35699195878")</f>
        <v/>
      </c>
      <c r="K73" s="1">
        <f>IFERROR(__xludf.DUMMYFUNCTION("""COMPUTED_VALUE"""),"Zebbug")</f>
        <v/>
      </c>
      <c r="L73" s="1">
        <f>IFERROR(__xludf.DUMMYFUNCTION("""COMPUTED_VALUE"""),"Malta")</f>
        <v/>
      </c>
      <c r="M73" s="1" t="n"/>
      <c r="N73" s="1">
        <f>IFERROR(__xludf.DUMMYFUNCTION("""COMPUTED_VALUE"""),"Small (10-49 FTE employees)")</f>
        <v/>
      </c>
      <c r="O73" s="1">
        <f>IFERROR(__xludf.DUMMYFUNCTION("""COMPUTED_VALUE"""),"Business to Business, Business to Consumer")</f>
        <v/>
      </c>
      <c r="P73" s="1">
        <f>IFERROR(__xludf.DUMMYFUNCTION("""COMPUTED_VALUE"""),"Other, Higher Education")</f>
        <v/>
      </c>
      <c r="Q73" s="1">
        <f>IFERROR(__xludf.DUMMYFUNCTION("""COMPUTED_VALUE"""),"Student interfacing, Teacher interfacing, System/Administrative")</f>
        <v/>
      </c>
      <c r="R73" s="1" t="n"/>
      <c r="S73" s="1" t="n"/>
      <c r="T73" s="15">
        <f>IFERROR(__xludf.DUMMYFUNCTION("""COMPUTED_VALUE"""),"https://www.linkedin.com/company/doctoratehub/")</f>
        <v/>
      </c>
      <c r="U73" s="1">
        <f>IFERROR(__xludf.DUMMYFUNCTION("""COMPUTED_VALUE"""),"Doctorate in Business Administration ")</f>
        <v/>
      </c>
      <c r="V73" s="1">
        <f>IFERROR(__xludf.DUMMYFUNCTION("""COMPUTED_VALUE"""),"Accredited Doctorate in Business Administration Programme")</f>
        <v/>
      </c>
      <c r="W73" s="1">
        <f>IFERROR(__xludf.DUMMYFUNCTION("""COMPUTED_VALUE"""),"Advanced Executive Training Programme")</f>
        <v/>
      </c>
      <c r="X73" s="1">
        <f>IFERROR(__xludf.DUMMYFUNCTION("""COMPUTED_VALUE"""),"Doctoral level executive education modular programme")</f>
        <v/>
      </c>
      <c r="Y73" s="15">
        <f>IFERROR(__xludf.DUMMYFUNCTION("""COMPUTED_VALUE"""),"https://drive.google.com/uc?export=view&amp;id=1q8iROPw_nnHJLJH4hVnwjnnqrhbj-f3g")</f>
        <v/>
      </c>
      <c r="Z73" s="1">
        <f>IFERROR(__xludf.DUMMYFUNCTION("""COMPUTED_VALUE"""),"Verified")</f>
        <v/>
      </c>
      <c r="AA73" s="1">
        <f>IFERROR(__xludf.DUMMYFUNCTION("""COMPUTED_VALUE"""),"Industry-academia partnerships, Collaborations between EdTech organisations, Public-private partnerships, Project consortium building")</f>
        <v/>
      </c>
      <c r="AB73" s="1">
        <f>IFERROR(__xludf.DUMMYFUNCTION("""COMPUTED_VALUE"""),"University")</f>
        <v/>
      </c>
      <c r="AC73" s="1">
        <f>IFERROR(__xludf.DUMMYFUNCTION("""COMPUTED_VALUE"""),FALSE)</f>
        <v/>
      </c>
      <c r="AD73" s="1" t="n"/>
      <c r="AE73" s="1" t="n"/>
    </row>
    <row r="74" ht="42" customHeight="1">
      <c r="A74" s="14">
        <f>IFERROR(__xludf.DUMMYFUNCTION("""COMPUTED_VALUE"""),45889)</f>
        <v/>
      </c>
      <c r="B74" s="1">
        <f>IFERROR(__xludf.DUMMYFUNCTION("""COMPUTED_VALUE"""),"ORG_1161")</f>
        <v/>
      </c>
      <c r="C74" s="1">
        <f>IFERROR(__xludf.DUMMYFUNCTION("""COMPUTED_VALUE"""),TRUE)</f>
        <v/>
      </c>
      <c r="D74" s="1">
        <f>IFERROR(__xludf.DUMMYFUNCTION("""COMPUTED_VALUE"""),"Beyond Words")</f>
        <v/>
      </c>
      <c r="E74" s="15">
        <f>IFERROR(__xludf.DUMMYFUNCTION("""COMPUTED_VALUE"""),"https://www.beyond-words-vr.com")</f>
        <v/>
      </c>
      <c r="F74" s="1">
        <f>IFERROR(__xludf.DUMMYFUNCTION("""COMPUTED_VALUE"""),"Beyond Words is a French EdTech company pioneering AI-driven language learning through immersive 360° video and voice technology. Its solutions combine human-centered AI, phoneme-based speech recognition, and interactive scenarios to make language acquisi"&amp;"tion more accessible and effective for schools and enterprises worldwide.")</f>
        <v/>
      </c>
      <c r="G74" s="1">
        <f>IFERROR(__xludf.DUMMYFUNCTION("""COMPUTED_VALUE"""),"AFINEF")</f>
        <v/>
      </c>
      <c r="H74" s="1">
        <f>IFERROR(__xludf.DUMMYFUNCTION("""COMPUTED_VALUE"""),"English, German, Portuguese, Finnish, Czech, French, Italian, Danish, Greek, Latvian, Polish, Bulgarian, Slovenian, Spanish, Dutch, Croatian, Estonian, Hungarian, Lithuanian, Romanian, Swedish")</f>
        <v/>
      </c>
      <c r="I74" s="1">
        <f>IFERROR(__xludf.DUMMYFUNCTION("""COMPUTED_VALUE"""),"maria@beyond-words.fr")</f>
        <v/>
      </c>
      <c r="J74" s="1">
        <f>IFERROR(__xludf.DUMMYFUNCTION("""COMPUTED_VALUE"""),"+33665927163")</f>
        <v/>
      </c>
      <c r="K74" s="1">
        <f>IFERROR(__xludf.DUMMYFUNCTION("""COMPUTED_VALUE"""),"Montpellier")</f>
        <v/>
      </c>
      <c r="L74" s="1">
        <f>IFERROR(__xludf.DUMMYFUNCTION("""COMPUTED_VALUE"""),"France")</f>
        <v/>
      </c>
      <c r="M74" s="1">
        <f>IFERROR(__xludf.DUMMYFUNCTION("""COMPUTED_VALUE"""),"Latvia, Sweden, France, Belgium, Germany, Netherlands, Spain, Italy")</f>
        <v/>
      </c>
      <c r="N74" s="1">
        <f>IFERROR(__xludf.DUMMYFUNCTION("""COMPUTED_VALUE"""),"Micro (1-9 FTE employees)")</f>
        <v/>
      </c>
      <c r="O74" s="1">
        <f>IFERROR(__xludf.DUMMYFUNCTION("""COMPUTED_VALUE"""),"Business to Business, Business to Government, Business to Schools")</f>
        <v/>
      </c>
      <c r="P74" s="1">
        <f>IFERROR(__xludf.DUMMYFUNCTION("""COMPUTED_VALUE"""),"Secondary Education, Vocational Education and Training (VET), Higher Education, Corporate Training, Lifelong learning/Adult education")</f>
        <v/>
      </c>
      <c r="Q74" s="1">
        <f>IFERROR(__xludf.DUMMYFUNCTION("""COMPUTED_VALUE"""),"Student interfacing, Teacher interfacing, System/Administrative")</f>
        <v/>
      </c>
      <c r="R74" s="1">
        <f>IFERROR(__xludf.DUMMYFUNCTION("""COMPUTED_VALUE"""),"beyond words VR")</f>
        <v/>
      </c>
      <c r="S74" s="1" t="n"/>
      <c r="T74" s="15">
        <f>IFERROR(__xludf.DUMMYFUNCTION("""COMPUTED_VALUE"""),"https://www.linkedin.com/company/103495283")</f>
        <v/>
      </c>
      <c r="U74" s="1">
        <f>IFERROR(__xludf.DUMMYFUNCTION("""COMPUTED_VALUE"""),"Beyond Words")</f>
        <v/>
      </c>
      <c r="V74" s="1">
        <f>IFERROR(__xludf.DUMMYFUNCTION("""COMPUTED_VALUE"""),"An AI-powered language learning platform combining immersive 360° video, real-time voice interaction, and phoneme-level feedback to help learners practice speaking and improve fluency in authentic, contextual scenarios.")</f>
        <v/>
      </c>
      <c r="W74" s="1" t="n"/>
      <c r="X74" s="1" t="n"/>
      <c r="Y74" s="15">
        <f>IFERROR(__xludf.DUMMYFUNCTION("""COMPUTED_VALUE"""),"https://drive.google.com/uc?export=view&amp;id=1Ub6xdMbyHW9gJ3cK5QHGSGkGeGeTBpoC")</f>
        <v/>
      </c>
      <c r="Z74" s="1">
        <f>IFERROR(__xludf.DUMMYFUNCTION("""COMPUTED_VALUE"""),"Verified")</f>
        <v/>
      </c>
      <c r="AA74" s="1">
        <f>IFERROR(__xludf.DUMMYFUNCTION("""COMPUTED_VALUE"""),"Collaborations between EdTech organisations, Project consortium building, Public-private partnerships, Industry-academia partnerships")</f>
        <v/>
      </c>
      <c r="AB74" s="1">
        <f>IFERROR(__xludf.DUMMYFUNCTION("""COMPUTED_VALUE"""),"For-profit company")</f>
        <v/>
      </c>
      <c r="AC74" s="1">
        <f>IFERROR(__xludf.DUMMYFUNCTION("""COMPUTED_VALUE"""),TRUE)</f>
        <v/>
      </c>
      <c r="AD74" s="1">
        <f>IFERROR(__xludf.DUMMYFUNCTION("""COMPUTED_VALUE"""),TRUE)</f>
        <v/>
      </c>
      <c r="AE74" s="1" t="n"/>
    </row>
    <row r="75" ht="42" customHeight="1">
      <c r="A75" s="14">
        <f>IFERROR(__xludf.DUMMYFUNCTION("""COMPUTED_VALUE"""),45889)</f>
        <v/>
      </c>
      <c r="B75" s="1">
        <f>IFERROR(__xludf.DUMMYFUNCTION("""COMPUTED_VALUE"""),"ORG_1359")</f>
        <v/>
      </c>
      <c r="C75" s="1">
        <f>IFERROR(__xludf.DUMMYFUNCTION("""COMPUTED_VALUE"""),TRUE)</f>
        <v/>
      </c>
      <c r="D75" s="1">
        <f>IFERROR(__xludf.DUMMYFUNCTION("""COMPUTED_VALUE"""),"Digital Learning Associates")</f>
        <v/>
      </c>
      <c r="E75" s="15">
        <f>IFERROR(__xludf.DUMMYFUNCTION("""COMPUTED_VALUE"""),"www.digitallearningassociates.com")</f>
        <v/>
      </c>
      <c r="F75" s="1">
        <f>IFERROR(__xludf.DUMMYFUNCTION("""COMPUTED_VALUE"""),"Digital Learnign Associates is a developer and publisher of video-led solutions for learning operators such as publishers, universities, school chains and Ministries. Our library of authentic video resources is developed to align to syllabi in ELT, STEM a"&amp;"nd Skills. Our partners license the materials from us. ")</f>
        <v/>
      </c>
      <c r="G75" s="1">
        <f>IFERROR(__xludf.DUMMYFUNCTION("""COMPUTED_VALUE"""),"I'm not part of any EdTech association")</f>
        <v/>
      </c>
      <c r="H75" s="1">
        <f>IFERROR(__xludf.DUMMYFUNCTION("""COMPUTED_VALUE"""),"English, Spanish, French")</f>
        <v/>
      </c>
      <c r="I75" s="1">
        <f>IFERROR(__xludf.DUMMYFUNCTION("""COMPUTED_VALUE"""),"stephen@digitallearningassociates.com")</f>
        <v/>
      </c>
      <c r="J75" s="1">
        <f>IFERROR(__xludf.DUMMYFUNCTION("""COMPUTED_VALUE"""),"+447956370294")</f>
        <v/>
      </c>
      <c r="K75" s="1">
        <f>IFERROR(__xludf.DUMMYFUNCTION("""COMPUTED_VALUE"""),"London")</f>
        <v/>
      </c>
      <c r="L75" s="1">
        <f>IFERROR(__xludf.DUMMYFUNCTION("""COMPUTED_VALUE"""),"United Kingdom")</f>
        <v/>
      </c>
      <c r="M75" s="1">
        <f>IFERROR(__xludf.DUMMYFUNCTION("""COMPUTED_VALUE"""),"Austria, Germany, Czechia, Netherlands, Poland, Portugal, Spain, Turkey, Ukraine, Greece, Italy")</f>
        <v/>
      </c>
      <c r="N75" s="1">
        <f>IFERROR(__xludf.DUMMYFUNCTION("""COMPUTED_VALUE"""),"Small (10-49 FTE employees)")</f>
        <v/>
      </c>
      <c r="O75" s="1">
        <f>IFERROR(__xludf.DUMMYFUNCTION("""COMPUTED_VALUE"""),"Business to Business, Business to Schools")</f>
        <v/>
      </c>
      <c r="P75" s="1">
        <f>IFERROR(__xludf.DUMMYFUNCTION("""COMPUTED_VALUE"""),"Early childhood development (0-5 years), Primary Education, Secondary Education, Vocational Education and Training (VET), Higher Education")</f>
        <v/>
      </c>
      <c r="Q75" s="1">
        <f>IFERROR(__xludf.DUMMYFUNCTION("""COMPUTED_VALUE"""),"Student interfacing")</f>
        <v/>
      </c>
      <c r="R75" s="1" t="n"/>
      <c r="S75" s="1" t="n"/>
      <c r="T75" s="15">
        <f>IFERROR(__xludf.DUMMYFUNCTION("""COMPUTED_VALUE"""),"https://www.linkedin.com/company/11021563/admin/dashboard/")</f>
        <v/>
      </c>
      <c r="U75" s="1">
        <f>IFERROR(__xludf.DUMMYFUNCTION("""COMPUTED_VALUE"""),"Ready to Run library of video-led curriculum resources")</f>
        <v/>
      </c>
      <c r="V75" s="1">
        <f>IFERROR(__xludf.DUMMYFUNCTION("""COMPUTED_VALUE"""),"Around 1000 syllabus-aligned levelled videos with teacher and student learning designs, ready for insertion into our partners student-facing products")</f>
        <v/>
      </c>
      <c r="W75" s="1">
        <f>IFERROR(__xludf.DUMMYFUNCTION("""COMPUTED_VALUE"""),"Learn English with Astro Boy")</f>
        <v/>
      </c>
      <c r="X75" s="1">
        <f>IFERROR(__xludf.DUMMYFUNCTION("""COMPUTED_VALUE"""),"A set of graded readers for Gen Alpha's multimodal students age 6-12, in which video and audio complement a levelled text aligned to Englihs, STEM and SDG curriculm. ")</f>
        <v/>
      </c>
      <c r="Y75" s="15">
        <f>IFERROR(__xludf.DUMMYFUNCTION("""COMPUTED_VALUE"""),"https://drive.google.com/uc?export=view&amp;id=1AiJq0FT_096KxQJAfi_UZf8_7dq-J-be")</f>
        <v/>
      </c>
      <c r="Z75" s="1">
        <f>IFERROR(__xludf.DUMMYFUNCTION("""COMPUTED_VALUE"""),"Verified")</f>
        <v/>
      </c>
      <c r="AA75" s="1">
        <f>IFERROR(__xludf.DUMMYFUNCTION("""COMPUTED_VALUE"""),"Public-private partnerships, Collaborations between EdTech organisations")</f>
        <v/>
      </c>
      <c r="AB75" s="1">
        <f>IFERROR(__xludf.DUMMYFUNCTION("""COMPUTED_VALUE"""),"For-profit company")</f>
        <v/>
      </c>
      <c r="AC75" s="1">
        <f>IFERROR(__xludf.DUMMYFUNCTION("""COMPUTED_VALUE"""),TRUE)</f>
        <v/>
      </c>
      <c r="AD75" s="1">
        <f>IFERROR(__xludf.DUMMYFUNCTION("""COMPUTED_VALUE"""),TRUE)</f>
        <v/>
      </c>
      <c r="AE75" s="1" t="n"/>
    </row>
    <row r="76" ht="42" customHeight="1">
      <c r="A76" s="14">
        <f>IFERROR(__xludf.DUMMYFUNCTION("""COMPUTED_VALUE"""),45889)</f>
        <v/>
      </c>
      <c r="B76" s="1">
        <f>IFERROR(__xludf.DUMMYFUNCTION("""COMPUTED_VALUE"""),"ORG_2582")</f>
        <v/>
      </c>
      <c r="C76" s="1">
        <f>IFERROR(__xludf.DUMMYFUNCTION("""COMPUTED_VALUE"""),TRUE)</f>
        <v/>
      </c>
      <c r="D76" s="1">
        <f>IFERROR(__xludf.DUMMYFUNCTION("""COMPUTED_VALUE"""),"Diotima")</f>
        <v/>
      </c>
      <c r="E76" s="15">
        <f>IFERROR(__xludf.DUMMYFUNCTION("""COMPUTED_VALUE"""),"www.diotima.ai")</f>
        <v/>
      </c>
      <c r="F76" s="1">
        <f>IFERROR(__xludf.DUMMYFUNCTION("""COMPUTED_VALUE"""),"Diotima is a project in The Learnovate Centre in Trinity College Dublin developing a platform for the use of AI in formative assessment and feedback.")</f>
        <v/>
      </c>
      <c r="G76" s="1">
        <f>IFERROR(__xludf.DUMMYFUNCTION("""COMPUTED_VALUE"""),"I'm not part of any EdTech association")</f>
        <v/>
      </c>
      <c r="H76" s="1">
        <f>IFERROR(__xludf.DUMMYFUNCTION("""COMPUTED_VALUE"""),"English")</f>
        <v/>
      </c>
      <c r="I76" s="1">
        <f>IFERROR(__xludf.DUMMYFUNCTION("""COMPUTED_VALUE"""),"info@diotima.ai")</f>
        <v/>
      </c>
      <c r="J76" s="1">
        <f>IFERROR(__xludf.DUMMYFUNCTION("""COMPUTED_VALUE"""),"+353876060465")</f>
        <v/>
      </c>
      <c r="K76" s="1">
        <f>IFERROR(__xludf.DUMMYFUNCTION("""COMPUTED_VALUE"""),"Dublin")</f>
        <v/>
      </c>
      <c r="L76" s="1">
        <f>IFERROR(__xludf.DUMMYFUNCTION("""COMPUTED_VALUE"""),"Ireland")</f>
        <v/>
      </c>
      <c r="M76" s="1" t="n"/>
      <c r="N76" s="1">
        <f>IFERROR(__xludf.DUMMYFUNCTION("""COMPUTED_VALUE"""),"Micro (1-9 FTE employees)")</f>
        <v/>
      </c>
      <c r="O76" s="1">
        <f>IFERROR(__xludf.DUMMYFUNCTION("""COMPUTED_VALUE"""),"Business to Business, Business to Government, Business to Schools")</f>
        <v/>
      </c>
      <c r="P76" s="1">
        <f>IFERROR(__xludf.DUMMYFUNCTION("""COMPUTED_VALUE"""),"Secondary Education, Higher Education, Lifelong learning/Adult education, Other")</f>
        <v/>
      </c>
      <c r="Q76" s="1">
        <f>IFERROR(__xludf.DUMMYFUNCTION("""COMPUTED_VALUE"""),"Student interfacing, Teacher interfacing")</f>
        <v/>
      </c>
      <c r="R76" s="1" t="n"/>
      <c r="S76" s="1" t="n"/>
      <c r="T76" s="1">
        <f>IFERROR(__xludf.DUMMYFUNCTION("""COMPUTED_VALUE"""),"diotima4education")</f>
        <v/>
      </c>
      <c r="U76" s="1">
        <f>IFERROR(__xludf.DUMMYFUNCTION("""COMPUTED_VALUE"""),"Diotima")</f>
        <v/>
      </c>
      <c r="V76" s="1">
        <f>IFERROR(__xludf.DUMMYFUNCTION("""COMPUTED_VALUE"""),"AI enabled platform for formative assessment and feedback")</f>
        <v/>
      </c>
      <c r="W76" s="1" t="n"/>
      <c r="X76" s="1" t="n"/>
      <c r="Y76" s="15">
        <f>IFERROR(__xludf.DUMMYFUNCTION("""COMPUTED_VALUE"""),"https://drive.google.com/uc?export=view&amp;id=1ft0POUMKUhH4sqf9z8ZyCpWGKGP4yyJ6")</f>
        <v/>
      </c>
      <c r="Z76" s="1">
        <f>IFERROR(__xludf.DUMMYFUNCTION("""COMPUTED_VALUE"""),"Verified")</f>
        <v/>
      </c>
      <c r="AA76" s="1">
        <f>IFERROR(__xludf.DUMMYFUNCTION("""COMPUTED_VALUE"""),"Collaborations between EdTech organisations, Project consortium building, Public-private partnerships, Other, Industry-academia partnerships")</f>
        <v/>
      </c>
      <c r="AB76" s="1">
        <f>IFERROR(__xludf.DUMMYFUNCTION("""COMPUTED_VALUE"""),"Public institution")</f>
        <v/>
      </c>
      <c r="AC76" s="1">
        <f>IFERROR(__xludf.DUMMYFUNCTION("""COMPUTED_VALUE"""),TRUE)</f>
        <v/>
      </c>
      <c r="AD76" s="1">
        <f>IFERROR(__xludf.DUMMYFUNCTION("""COMPUTED_VALUE"""),TRUE)</f>
        <v/>
      </c>
      <c r="AE76" s="1" t="n"/>
    </row>
    <row r="77" ht="42" customHeight="1">
      <c r="A77" s="14">
        <f>IFERROR(__xludf.DUMMYFUNCTION("""COMPUTED_VALUE"""),45889)</f>
        <v/>
      </c>
      <c r="B77" s="1">
        <f>IFERROR(__xludf.DUMMYFUNCTION("""COMPUTED_VALUE"""),"ORG_2143")</f>
        <v/>
      </c>
      <c r="C77" s="1">
        <f>IFERROR(__xludf.DUMMYFUNCTION("""COMPUTED_VALUE"""),TRUE)</f>
        <v/>
      </c>
      <c r="D77" s="1">
        <f>IFERROR(__xludf.DUMMYFUNCTION("""COMPUTED_VALUE"""),"Qubo")</f>
        <v/>
      </c>
      <c r="E77" s="15">
        <f>IFERROR(__xludf.DUMMYFUNCTION("""COMPUTED_VALUE"""),"https://www.qubo.nl")</f>
        <v/>
      </c>
      <c r="F77" s="1">
        <f>IFERROR(__xludf.DUMMYFUNCTION("""COMPUTED_VALUE"""),"Qubo helps children in primary education to express their feelings with an playful cube")</f>
        <v/>
      </c>
      <c r="G77" s="1">
        <f>IFERROR(__xludf.DUMMYFUNCTION("""COMPUTED_VALUE"""),"Dutch EdTech")</f>
        <v/>
      </c>
      <c r="H77" s="1">
        <f>IFERROR(__xludf.DUMMYFUNCTION("""COMPUTED_VALUE"""),"Dutch")</f>
        <v/>
      </c>
      <c r="I77" s="1">
        <f>IFERROR(__xludf.DUMMYFUNCTION("""COMPUTED_VALUE"""),"info@qubo.nl")</f>
        <v/>
      </c>
      <c r="J77" s="1">
        <f>IFERROR(__xludf.DUMMYFUNCTION("""COMPUTED_VALUE"""),"+31623808984")</f>
        <v/>
      </c>
      <c r="K77" s="1">
        <f>IFERROR(__xludf.DUMMYFUNCTION("""COMPUTED_VALUE"""),"Ede")</f>
        <v/>
      </c>
      <c r="L77" s="1">
        <f>IFERROR(__xludf.DUMMYFUNCTION("""COMPUTED_VALUE"""),"The Netherlands")</f>
        <v/>
      </c>
      <c r="M77" s="1">
        <f>IFERROR(__xludf.DUMMYFUNCTION("""COMPUTED_VALUE"""),"Netherlands")</f>
        <v/>
      </c>
      <c r="N77" s="1">
        <f>IFERROR(__xludf.DUMMYFUNCTION("""COMPUTED_VALUE"""),"Micro (1-9 FTE employees)")</f>
        <v/>
      </c>
      <c r="O77" s="1">
        <f>IFERROR(__xludf.DUMMYFUNCTION("""COMPUTED_VALUE"""),"Business to Schools")</f>
        <v/>
      </c>
      <c r="P77" s="1">
        <f>IFERROR(__xludf.DUMMYFUNCTION("""COMPUTED_VALUE"""),"Primary Education")</f>
        <v/>
      </c>
      <c r="Q77" s="1">
        <f>IFERROR(__xludf.DUMMYFUNCTION("""COMPUTED_VALUE"""),"Student interfacing, Teacher interfacing")</f>
        <v/>
      </c>
      <c r="R77" s="15">
        <f>IFERROR(__xludf.DUMMYFUNCTION("""COMPUTED_VALUE"""),"https://www.instagram.com/quboonderwijs")</f>
        <v/>
      </c>
      <c r="S77" s="1" t="n"/>
      <c r="T77" s="15">
        <f>IFERROR(__xludf.DUMMYFUNCTION("""COMPUTED_VALUE"""),"https://www.linkedin.com/company/qubo-onderwijs/")</f>
        <v/>
      </c>
      <c r="U77" s="1">
        <f>IFERROR(__xludf.DUMMYFUNCTION("""COMPUTED_VALUE"""),"Qubo cube")</f>
        <v/>
      </c>
      <c r="V77" s="1">
        <f>IFERROR(__xludf.DUMMYFUNCTION("""COMPUTED_VALUE"""),"A user-friendly cube designed for playful, intuitive use by every student in school to express their feelings")</f>
        <v/>
      </c>
      <c r="W77" s="1" t="n"/>
      <c r="X77" s="1" t="n"/>
      <c r="Y77" s="15">
        <f>IFERROR(__xludf.DUMMYFUNCTION("""COMPUTED_VALUE"""),"https://drive.google.com/uc?export=view&amp;id=1Z22JIHvsIA0qqqajx_pdnzjuRIQNGVg_")</f>
        <v/>
      </c>
      <c r="Z77" s="1">
        <f>IFERROR(__xludf.DUMMYFUNCTION("""COMPUTED_VALUE"""),"Verified")</f>
        <v/>
      </c>
      <c r="AA77" s="1">
        <f>IFERROR(__xludf.DUMMYFUNCTION("""COMPUTED_VALUE"""),"Public-private partnerships, Other")</f>
        <v/>
      </c>
      <c r="AB77" s="1">
        <f>IFERROR(__xludf.DUMMYFUNCTION("""COMPUTED_VALUE"""),"For-profit company")</f>
        <v/>
      </c>
      <c r="AC77" s="1">
        <f>IFERROR(__xludf.DUMMYFUNCTION("""COMPUTED_VALUE"""),FALSE)</f>
        <v/>
      </c>
      <c r="AD77" s="1">
        <f>IFERROR(__xludf.DUMMYFUNCTION("""COMPUTED_VALUE"""),TRUE)</f>
        <v/>
      </c>
      <c r="AE77" s="15">
        <f>IFERROR(__xludf.DUMMYFUNCTION("""COMPUTED_VALUE"""),"https://www.facebook.com/QuboOnderwijs")</f>
        <v/>
      </c>
    </row>
    <row r="78" ht="42" customHeight="1">
      <c r="A78" s="14">
        <f>IFERROR(__xludf.DUMMYFUNCTION("""COMPUTED_VALUE"""),45889)</f>
        <v/>
      </c>
      <c r="B78" s="1">
        <f>IFERROR(__xludf.DUMMYFUNCTION("""COMPUTED_VALUE"""),"ORG_2310")</f>
        <v/>
      </c>
      <c r="C78" s="1">
        <f>IFERROR(__xludf.DUMMYFUNCTION("""COMPUTED_VALUE"""),TRUE)</f>
        <v/>
      </c>
      <c r="D78" s="1">
        <f>IFERROR(__xludf.DUMMYFUNCTION("""COMPUTED_VALUE"""),"Spotiself")</f>
        <v/>
      </c>
      <c r="E78" s="15">
        <f>IFERROR(__xludf.DUMMYFUNCTION("""COMPUTED_VALUE"""),"www.spotiself.com")</f>
        <v/>
      </c>
      <c r="F78" s="1">
        <f>IFERROR(__xludf.DUMMYFUNCTION("""COMPUTED_VALUE"""),"Spotiself - platform for student progress and career planning. We help students understand their strengths, set goals and make informed decisions about their future. The platform provides personalised learning and career planning, allows you to track prog"&amp;"ress, assess competences through artificial intelligence (AI) and develop strategies for a successful future.  For teachers and schools, it is a data-driven solution to manage the education process more effectively, to foster student engagement and to mak"&amp;"e informed decisions about each student's progress.")</f>
        <v/>
      </c>
      <c r="G78" s="1">
        <f>IFERROR(__xludf.DUMMYFUNCTION("""COMPUTED_VALUE"""),"EdTech Lithuania")</f>
        <v/>
      </c>
      <c r="H78" s="1">
        <f>IFERROR(__xludf.DUMMYFUNCTION("""COMPUTED_VALUE"""),"English, French, Lithuanian")</f>
        <v/>
      </c>
      <c r="I78" s="1">
        <f>IFERROR(__xludf.DUMMYFUNCTION("""COMPUTED_VALUE"""),"info@spotiself.lt")</f>
        <v/>
      </c>
      <c r="J78" s="1">
        <f>IFERROR(__xludf.DUMMYFUNCTION("""COMPUTED_VALUE"""),"+37068218950")</f>
        <v/>
      </c>
      <c r="K78" s="1">
        <f>IFERROR(__xludf.DUMMYFUNCTION("""COMPUTED_VALUE"""),"Vilnius")</f>
        <v/>
      </c>
      <c r="L78" s="1">
        <f>IFERROR(__xludf.DUMMYFUNCTION("""COMPUTED_VALUE"""),"Lithuania")</f>
        <v/>
      </c>
      <c r="M78" s="1">
        <f>IFERROR(__xludf.DUMMYFUNCTION("""COMPUTED_VALUE"""),"Lithuania, France")</f>
        <v/>
      </c>
      <c r="N78" s="1">
        <f>IFERROR(__xludf.DUMMYFUNCTION("""COMPUTED_VALUE"""),"Small (10-49 FTE employees)")</f>
        <v/>
      </c>
      <c r="O78" s="1">
        <f>IFERROR(__xludf.DUMMYFUNCTION("""COMPUTED_VALUE"""),"Business to Government, Business to Schools, Business to Consumer, Business to Business")</f>
        <v/>
      </c>
      <c r="P78" s="1">
        <f>IFERROR(__xludf.DUMMYFUNCTION("""COMPUTED_VALUE"""),"Secondary Education, Vocational Education and Training (VET)")</f>
        <v/>
      </c>
      <c r="Q78" s="1">
        <f>IFERROR(__xludf.DUMMYFUNCTION("""COMPUTED_VALUE"""),"Student interfacing, Teacher interfacing, System/Administrative")</f>
        <v/>
      </c>
      <c r="R78" s="15">
        <f>IFERROR(__xludf.DUMMYFUNCTION("""COMPUTED_VALUE"""),"https://www.instagram.com/spotiself/")</f>
        <v/>
      </c>
      <c r="S78" s="1" t="n"/>
      <c r="T78" s="15">
        <f>IFERROR(__xludf.DUMMYFUNCTION("""COMPUTED_VALUE"""),"https://www.linkedin.com/company/79924424/")</f>
        <v/>
      </c>
      <c r="U78" s="1">
        <f>IFERROR(__xludf.DUMMYFUNCTION("""COMPUTED_VALUE"""),"Career Education - a consistent and modern career education process (grades 8–12), designed to support students in self-discovery, future planning, and informed decision-making. Developed in collaboration with Vilnius University psychologists and the Cent"&amp;"er for Contemporary Didactics, the program is based on a structured, step-by-step model grounded in psychological research.  Students explore their cognitive abilities, personality traits, values, and career interests, helping them set meaningful goals, i"&amp;"ncrease motivation, and strengthen decision-making skills.  For educators, Spotiself offers a centralized, time-saving tool for lesson planning and student counseling. Built-in analytics help identify trends in student strengths and career inclinations, e"&amp;"nabling more personalized support and data-informed planning.")</f>
        <v/>
      </c>
      <c r="V78" s="1">
        <f>IFERROR(__xludf.DUMMYFUNCTION("""COMPUTED_VALUE"""),"Child’s Individual Progress (CIP) tool supports teachers in planning purposeful, step-by-step classroom activities that foster real student growth.
Students use the tool to set SMART goals, conduct self-assessments, and reflect on their academic, emotion"&amp;"al, and social progress. They t")</f>
        <v/>
      </c>
      <c r="W78" s="1" t="n"/>
      <c r="X78" s="1" t="n"/>
      <c r="Y78" s="15">
        <f>IFERROR(__xludf.DUMMYFUNCTION("""COMPUTED_VALUE"""),"https://drive.google.com/uc?export=view&amp;id=10RZ3zFxPVmkNygXenjAwUpvKAg02j8O7")</f>
        <v/>
      </c>
      <c r="Z78" s="1">
        <f>IFERROR(__xludf.DUMMYFUNCTION("""COMPUTED_VALUE"""),"Verified")</f>
        <v/>
      </c>
      <c r="AA78" s="1">
        <f>IFERROR(__xludf.DUMMYFUNCTION("""COMPUTED_VALUE"""),"Collaborations between EdTech organisations, Project consortium building, Public-private partnerships, Industry-academia partnerships")</f>
        <v/>
      </c>
      <c r="AB78" s="1">
        <f>IFERROR(__xludf.DUMMYFUNCTION("""COMPUTED_VALUE"""),"For-profit company")</f>
        <v/>
      </c>
      <c r="AC78" s="1">
        <f>IFERROR(__xludf.DUMMYFUNCTION("""COMPUTED_VALUE"""),TRUE)</f>
        <v/>
      </c>
      <c r="AD78" s="1">
        <f>IFERROR(__xludf.DUMMYFUNCTION("""COMPUTED_VALUE"""),TRUE)</f>
        <v/>
      </c>
      <c r="AE78" s="15">
        <f>IFERROR(__xludf.DUMMYFUNCTION("""COMPUTED_VALUE"""),"https://www.facebook.com/spotiself")</f>
        <v/>
      </c>
    </row>
    <row r="79" ht="42" customHeight="1">
      <c r="A79" s="14">
        <f>IFERROR(__xludf.DUMMYFUNCTION("""COMPUTED_VALUE"""),45889)</f>
        <v/>
      </c>
      <c r="B79" s="1">
        <f>IFERROR(__xludf.DUMMYFUNCTION("""COMPUTED_VALUE"""),"ORG_1783")</f>
        <v/>
      </c>
      <c r="C79" s="1">
        <f>IFERROR(__xludf.DUMMYFUNCTION("""COMPUTED_VALUE"""),TRUE)</f>
        <v/>
      </c>
      <c r="D79" s="1">
        <f>IFERROR(__xludf.DUMMYFUNCTION("""COMPUTED_VALUE"""),"Knoocker")</f>
        <v/>
      </c>
      <c r="E79" s="15">
        <f>IFERROR(__xludf.DUMMYFUNCTION("""COMPUTED_VALUE"""),"www.knoocker.com")</f>
        <v/>
      </c>
      <c r="F79" s="1">
        <f>IFERROR(__xludf.DUMMYFUNCTION("""COMPUTED_VALUE"""),"Knoocker is a technology company from Poznań that designs and implements innovative interactive educational solutions. ")</f>
        <v/>
      </c>
      <c r="G79" s="1">
        <f>IFERROR(__xludf.DUMMYFUNCTION("""COMPUTED_VALUE"""),"I'm not part of any EdTech association")</f>
        <v/>
      </c>
      <c r="H79" s="1">
        <f>IFERROR(__xludf.DUMMYFUNCTION("""COMPUTED_VALUE"""),"English, French, Spanish, Italian, German, Bulgarian, Croatian, Czech, Estonian, Finnish, Greek, Hungarian, Latvian, Lithuanian, Polish, Slovak, Slovenian, Romanian, Ukrainian, Catalan")</f>
        <v/>
      </c>
      <c r="I79" s="1">
        <f>IFERROR(__xludf.DUMMYFUNCTION("""COMPUTED_VALUE"""),"knoocker@knoocker.com")</f>
        <v/>
      </c>
      <c r="J79" s="1">
        <f>IFERROR(__xludf.DUMMYFUNCTION("""COMPUTED_VALUE"""),"+48501769268")</f>
        <v/>
      </c>
      <c r="K79" s="1">
        <f>IFERROR(__xludf.DUMMYFUNCTION("""COMPUTED_VALUE"""),"Poznan")</f>
        <v/>
      </c>
      <c r="L79" s="1">
        <f>IFERROR(__xludf.DUMMYFUNCTION("""COMPUTED_VALUE"""),"Poland")</f>
        <v/>
      </c>
      <c r="M79" s="1">
        <f>IFERROR(__xludf.DUMMYFUNCTION("""COMPUTED_VALUE"""),"Austria, Bosnia and Herzegovina, Bulgaria, Croatia, Republic of Cyprus, Czechia, Estonia, Finland, France, Germany, Hungary, Greece, Italy, Latvia, Lithuania, Montenegro, North Macedonia, Poland, Romania, San Marino, Slovakia, Slovenia, Spain, Andorra, Al"&amp;"bania, Kosovo")</f>
        <v/>
      </c>
      <c r="N79" s="1">
        <f>IFERROR(__xludf.DUMMYFUNCTION("""COMPUTED_VALUE"""),"Small (10-49 FTE employees)")</f>
        <v/>
      </c>
      <c r="O79" s="1">
        <f>IFERROR(__xludf.DUMMYFUNCTION("""COMPUTED_VALUE"""),"Business to Business, Business to Government, Business to Schools")</f>
        <v/>
      </c>
      <c r="P79" s="1">
        <f>IFERROR(__xludf.DUMMYFUNCTION("""COMPUTED_VALUE"""),"Early childhood development (0-5 years), Primary Education, Lifelong learning/Adult education, Special education")</f>
        <v/>
      </c>
      <c r="Q79" s="1">
        <f>IFERROR(__xludf.DUMMYFUNCTION("""COMPUTED_VALUE"""),"Student interfacing")</f>
        <v/>
      </c>
      <c r="R79" s="1" t="n"/>
      <c r="S79" s="1" t="n"/>
      <c r="T79" s="15">
        <f>IFERROR(__xludf.DUMMYFUNCTION("""COMPUTED_VALUE"""),"https://www.linkedin.com/company/knoocker")</f>
        <v/>
      </c>
      <c r="U79" s="1">
        <f>IFERROR(__xludf.DUMMYFUNCTION("""COMPUTED_VALUE"""),"Knowla")</f>
        <v/>
      </c>
      <c r="V79" s="1">
        <f>IFERROR(__xludf.DUMMYFUNCTION("""COMPUTED_VALUE"""),"Here’s Knowla. Multimedia, interactive ICT teaching tool for schools and kindergartens. Educational entertainment that will make every class an exciting game. Knowla puts boredom in a corner!")</f>
        <v/>
      </c>
      <c r="W79" s="1" t="n"/>
      <c r="X79" s="1" t="n"/>
      <c r="Y79" s="15">
        <f>IFERROR(__xludf.DUMMYFUNCTION("""COMPUTED_VALUE"""),"https://drive.google.com/uc?export=view&amp;id=15Q5QCJ4oJByURFhTtJAcyc5VwbhaqVeR")</f>
        <v/>
      </c>
      <c r="Z79" s="1">
        <f>IFERROR(__xludf.DUMMYFUNCTION("""COMPUTED_VALUE"""),"Verified")</f>
        <v/>
      </c>
      <c r="AA79" s="1">
        <f>IFERROR(__xludf.DUMMYFUNCTION("""COMPUTED_VALUE"""),"Collaborations between EdTech organisations, Project consortium building, Public-private partnerships")</f>
        <v/>
      </c>
      <c r="AB79" s="1">
        <f>IFERROR(__xludf.DUMMYFUNCTION("""COMPUTED_VALUE"""),"For-profit company")</f>
        <v/>
      </c>
      <c r="AC79" s="1">
        <f>IFERROR(__xludf.DUMMYFUNCTION("""COMPUTED_VALUE"""),TRUE)</f>
        <v/>
      </c>
      <c r="AD79" s="1">
        <f>IFERROR(__xludf.DUMMYFUNCTION("""COMPUTED_VALUE"""),TRUE)</f>
        <v/>
      </c>
      <c r="AE79" s="1" t="n"/>
    </row>
    <row r="80" ht="42" customHeight="1">
      <c r="A80" s="14">
        <f>IFERROR(__xludf.DUMMYFUNCTION("""COMPUTED_VALUE"""),45889)</f>
        <v/>
      </c>
      <c r="B80" s="1">
        <f>IFERROR(__xludf.DUMMYFUNCTION("""COMPUTED_VALUE"""),"ORG_1542")</f>
        <v/>
      </c>
      <c r="C80" s="1">
        <f>IFERROR(__xludf.DUMMYFUNCTION("""COMPUTED_VALUE"""),TRUE)</f>
        <v/>
      </c>
      <c r="D80" s="1">
        <f>IFERROR(__xludf.DUMMYFUNCTION("""COMPUTED_VALUE"""),"Experiential Academy")</f>
        <v/>
      </c>
      <c r="E80" s="15">
        <f>IFERROR(__xludf.DUMMYFUNCTION("""COMPUTED_VALUE"""),"thexpa.com")</f>
        <v/>
      </c>
      <c r="F80" s="1">
        <f>IFERROR(__xludf.DUMMYFUNCTION("""COMPUTED_VALUE"""),"Experiential Academy, a dynamic space that connects management students with businesses for meaningful knowledge exchange and strategic growth.  Through our collaborative ecosystem, businesses introduce valuable projects on market research, business plann"&amp;"ing, and growth strategies. Students then select from a pool of businesses that align with their academic goals and career aspirations and collaborate directly with these businesses on real projects.  This interactive experience allows businesses to lever"&amp;"age academic insights to tackle industry challenges while offering students a chance to gain practical skills and develop their professional portfolios.")</f>
        <v/>
      </c>
      <c r="G80" s="1">
        <f>IFERROR(__xludf.DUMMYFUNCTION("""COMPUTED_VALUE"""),"DOHE")</f>
        <v/>
      </c>
      <c r="H80" s="1" t="n"/>
      <c r="I80" s="1">
        <f>IFERROR(__xludf.DUMMYFUNCTION("""COMPUTED_VALUE"""),"info@thexpa.com")</f>
        <v/>
      </c>
      <c r="J80" s="1">
        <f>IFERROR(__xludf.DUMMYFUNCTION("""COMPUTED_VALUE"""),"+447436772421")</f>
        <v/>
      </c>
      <c r="K80" s="1">
        <f>IFERROR(__xludf.DUMMYFUNCTION("""COMPUTED_VALUE"""),"Leeds")</f>
        <v/>
      </c>
      <c r="L80" s="1">
        <f>IFERROR(__xludf.DUMMYFUNCTION("""COMPUTED_VALUE"""),"United Kingdom")</f>
        <v/>
      </c>
      <c r="M80" s="1" t="n"/>
      <c r="N80" s="1">
        <f>IFERROR(__xludf.DUMMYFUNCTION("""COMPUTED_VALUE"""),"Micro (1-9 FTE employees)")</f>
        <v/>
      </c>
      <c r="O80" s="1">
        <f>IFERROR(__xludf.DUMMYFUNCTION("""COMPUTED_VALUE"""),"Business to Consumer, Business to Business, Business to Schools")</f>
        <v/>
      </c>
      <c r="P80" s="1">
        <f>IFERROR(__xludf.DUMMYFUNCTION("""COMPUTED_VALUE"""),"Higher Education")</f>
        <v/>
      </c>
      <c r="Q80" s="1">
        <f>IFERROR(__xludf.DUMMYFUNCTION("""COMPUTED_VALUE"""),"Student interfacing, Teacher interfacing")</f>
        <v/>
      </c>
      <c r="R80" s="15">
        <f>IFERROR(__xludf.DUMMYFUNCTION("""COMPUTED_VALUE"""),"https://www.instagram.com/experientialacademyltd/")</f>
        <v/>
      </c>
      <c r="S80" s="1" t="n"/>
      <c r="T80" s="15">
        <f>IFERROR(__xludf.DUMMYFUNCTION("""COMPUTED_VALUE"""),"https://www.linkedin.com/company/experiential-academy/")</f>
        <v/>
      </c>
      <c r="U80" s="1">
        <f>IFERROR(__xludf.DUMMYFUNCTION("""COMPUTED_VALUE"""),"Project Matching")</f>
        <v/>
      </c>
      <c r="V80" s="1">
        <f>IFERROR(__xludf.DUMMYFUNCTION("""COMPUTED_VALUE"""),"Companies create projects using our AI Helper tool that maps their live challenges to academic frameworks. These projects will be matched with students and recent graduates based on their academic and career aspirations.")</f>
        <v/>
      </c>
      <c r="W80" s="1">
        <f>IFERROR(__xludf.DUMMYFUNCTION("""COMPUTED_VALUE"""),"University Subscriptions")</f>
        <v/>
      </c>
      <c r="X80" s="1">
        <f>IFERROR(__xludf.DUMMYFUNCTION("""COMPUTED_VALUE"""),"Alongside providing students access to live projects, University Subscription includes the outcome reports, i.e. skill development and knowledge acquisition, and the impact report.")</f>
        <v/>
      </c>
      <c r="Y80" s="15">
        <f>IFERROR(__xludf.DUMMYFUNCTION("""COMPUTED_VALUE"""),"https://drive.google.com/uc?export=view&amp;id=1CErKlSEjgjpiyA-cqrQBx3lte6O0gqsx")</f>
        <v/>
      </c>
      <c r="Z80" s="1">
        <f>IFERROR(__xludf.DUMMYFUNCTION("""COMPUTED_VALUE"""),"Verified")</f>
        <v/>
      </c>
      <c r="AA80" s="1">
        <f>IFERROR(__xludf.DUMMYFUNCTION("""COMPUTED_VALUE"""),"Collaborations between EdTech organisations, Project consortium building, Public-private partnerships, Industry-academia partnerships")</f>
        <v/>
      </c>
      <c r="AB80" s="1">
        <f>IFERROR(__xludf.DUMMYFUNCTION("""COMPUTED_VALUE"""),"For-profit company")</f>
        <v/>
      </c>
      <c r="AC80" s="1">
        <f>IFERROR(__xludf.DUMMYFUNCTION("""COMPUTED_VALUE"""),TRUE)</f>
        <v/>
      </c>
      <c r="AD80" s="1" t="n"/>
      <c r="AE80" s="1" t="n"/>
    </row>
    <row r="81" ht="42" customHeight="1">
      <c r="A81" s="14">
        <f>IFERROR(__xludf.DUMMYFUNCTION("""COMPUTED_VALUE"""),45889)</f>
        <v/>
      </c>
      <c r="B81" s="1">
        <f>IFERROR(__xludf.DUMMYFUNCTION("""COMPUTED_VALUE"""),"ORG_2633")</f>
        <v/>
      </c>
      <c r="C81" s="1">
        <f>IFERROR(__xludf.DUMMYFUNCTION("""COMPUTED_VALUE"""),TRUE)</f>
        <v/>
      </c>
      <c r="D81" s="1">
        <f>IFERROR(__xludf.DUMMYFUNCTION("""COMPUTED_VALUE"""),"Claire Labs")</f>
        <v/>
      </c>
      <c r="E81" s="15">
        <f>IFERROR(__xludf.DUMMYFUNCTION("""COMPUTED_VALUE"""),"www.clairelabs.ai")</f>
        <v/>
      </c>
      <c r="F81" s="1">
        <f>IFERROR(__xludf.DUMMYFUNCTION("""COMPUTED_VALUE"""),"Claire is a human-centric AI copilot for faster grading and better student feedback.")</f>
        <v/>
      </c>
      <c r="G81" s="1">
        <f>IFERROR(__xludf.DUMMYFUNCTION("""COMPUTED_VALUE"""),"I'm not part of any EdTech association")</f>
        <v/>
      </c>
      <c r="H81" s="1">
        <f>IFERROR(__xludf.DUMMYFUNCTION("""COMPUTED_VALUE"""),"English")</f>
        <v/>
      </c>
      <c r="I81" s="1">
        <f>IFERROR(__xludf.DUMMYFUNCTION("""COMPUTED_VALUE"""),"alex@clairelabs.ai")</f>
        <v/>
      </c>
      <c r="J81" s="1">
        <f>IFERROR(__xludf.DUMMYFUNCTION("""COMPUTED_VALUE"""),"+85294467445")</f>
        <v/>
      </c>
      <c r="K81" s="1">
        <f>IFERROR(__xludf.DUMMYFUNCTION("""COMPUTED_VALUE"""),"Hong Kong")</f>
        <v/>
      </c>
      <c r="L81" s="1">
        <f>IFERROR(__xludf.DUMMYFUNCTION("""COMPUTED_VALUE"""),"Hong Kong SAR")</f>
        <v/>
      </c>
      <c r="M81" s="1">
        <f>IFERROR(__xludf.DUMMYFUNCTION("""COMPUTED_VALUE"""),"Andorra, Austria, Belgium, Estonia, Denmark, Czechia, Finland, France, Germany, Iceland, Greece, Liechtenstein, Ireland, Italy, Luxembourg, Malta, Netherlands, Norway, Latvia, Lithuania, Poland, Portugal, Spain, United Kingdom, Sweden, Slovakia, Slovenia,"&amp;" Switzerland, Hong Kong")</f>
        <v/>
      </c>
      <c r="N81" s="1">
        <f>IFERROR(__xludf.DUMMYFUNCTION("""COMPUTED_VALUE"""),"Micro (1-9 FTE employees)")</f>
        <v/>
      </c>
      <c r="O81" s="1">
        <f>IFERROR(__xludf.DUMMYFUNCTION("""COMPUTED_VALUE"""),"Business to Schools")</f>
        <v/>
      </c>
      <c r="P81" s="1">
        <f>IFERROR(__xludf.DUMMYFUNCTION("""COMPUTED_VALUE"""),"Higher Education, Secondary Education")</f>
        <v/>
      </c>
      <c r="Q81" s="1">
        <f>IFERROR(__xludf.DUMMYFUNCTION("""COMPUTED_VALUE"""),"Teacher interfacing")</f>
        <v/>
      </c>
      <c r="R81" s="1" t="n"/>
      <c r="S81" s="1" t="n"/>
      <c r="T81" s="1" t="n"/>
      <c r="U81" s="1">
        <f>IFERROR(__xludf.DUMMYFUNCTION("""COMPUTED_VALUE"""),"Claire")</f>
        <v/>
      </c>
      <c r="V81" s="1">
        <f>IFERROR(__xludf.DUMMYFUNCTION("""COMPUTED_VALUE"""),"Claire is an AI copilot that helps educators grade faster and provide personalized, formative feedback to all students without adding to their workload.")</f>
        <v/>
      </c>
      <c r="W81" s="1" t="n"/>
      <c r="X81" s="1" t="n"/>
      <c r="Y81" s="15">
        <f>IFERROR(__xludf.DUMMYFUNCTION("""COMPUTED_VALUE"""),"https://drive.google.com/uc?export=view&amp;id=1YejLRnX3y_vRlzHoeMfz3GFYrx9nCCxC")</f>
        <v/>
      </c>
      <c r="Z81" s="1">
        <f>IFERROR(__xludf.DUMMYFUNCTION("""COMPUTED_VALUE"""),"Verified")</f>
        <v/>
      </c>
      <c r="AA81" s="1">
        <f>IFERROR(__xludf.DUMMYFUNCTION("""COMPUTED_VALUE"""),"Collaborations between EdTech organisations, Industry-academia partnerships, Project consortium building")</f>
        <v/>
      </c>
      <c r="AB81" s="1">
        <f>IFERROR(__xludf.DUMMYFUNCTION("""COMPUTED_VALUE"""),"For-profit company")</f>
        <v/>
      </c>
      <c r="AC81" s="1">
        <f>IFERROR(__xludf.DUMMYFUNCTION("""COMPUTED_VALUE"""),TRUE)</f>
        <v/>
      </c>
      <c r="AD81" s="1">
        <f>IFERROR(__xludf.DUMMYFUNCTION("""COMPUTED_VALUE"""),FALSE)</f>
        <v/>
      </c>
      <c r="AE81" s="1" t="n"/>
    </row>
    <row r="82" ht="42" customHeight="1">
      <c r="A82" s="14">
        <f>IFERROR(__xludf.DUMMYFUNCTION("""COMPUTED_VALUE"""),45888)</f>
        <v/>
      </c>
      <c r="B82" s="1">
        <f>IFERROR(__xludf.DUMMYFUNCTION("""COMPUTED_VALUE"""),"ORG_2632")</f>
        <v/>
      </c>
      <c r="C82" s="1">
        <f>IFERROR(__xludf.DUMMYFUNCTION("""COMPUTED_VALUE"""),TRUE)</f>
        <v/>
      </c>
      <c r="D82" s="1">
        <f>IFERROR(__xludf.DUMMYFUNCTION("""COMPUTED_VALUE"""),"Lanura")</f>
        <v/>
      </c>
      <c r="E82" s="15">
        <f>IFERROR(__xludf.DUMMYFUNCTION("""COMPUTED_VALUE"""),"https://lanura.ai/")</f>
        <v/>
      </c>
      <c r="F82" s="1">
        <f>IFERROR(__xludf.DUMMYFUNCTION("""COMPUTED_VALUE"""),"Lanura is an AI-powered learning platform that helps employees practise real workplace conversations through interactive simulations, instant feedback and behavioural tracking. Unlike traditional training, Lanura is built to change behaviour, not just sha"&amp;"re knowledge - enabling teams to improve communication, build confidence and close critical soft-skill gaps in a measurable way.")</f>
        <v/>
      </c>
      <c r="G82" s="1">
        <f>IFERROR(__xludf.DUMMYFUNCTION("""COMPUTED_VALUE"""),"I'm not part of any EdTech association")</f>
        <v/>
      </c>
      <c r="H82" s="1">
        <f>IFERROR(__xludf.DUMMYFUNCTION("""COMPUTED_VALUE"""),"English")</f>
        <v/>
      </c>
      <c r="I82" s="1">
        <f>IFERROR(__xludf.DUMMYFUNCTION("""COMPUTED_VALUE"""),"jenny@lanura.ai")</f>
        <v/>
      </c>
      <c r="J82" s="1">
        <f>IFERROR(__xludf.DUMMYFUNCTION("""COMPUTED_VALUE"""),"+447415888938")</f>
        <v/>
      </c>
      <c r="K82" s="1">
        <f>IFERROR(__xludf.DUMMYFUNCTION("""COMPUTED_VALUE"""),"London")</f>
        <v/>
      </c>
      <c r="L82" s="1">
        <f>IFERROR(__xludf.DUMMYFUNCTION("""COMPUTED_VALUE"""),"United Kingdom")</f>
        <v/>
      </c>
      <c r="M82" s="1">
        <f>IFERROR(__xludf.DUMMYFUNCTION("""COMPUTED_VALUE"""),"United Kingdom")</f>
        <v/>
      </c>
      <c r="N82" s="1">
        <f>IFERROR(__xludf.DUMMYFUNCTION("""COMPUTED_VALUE"""),"Micro (1-9 FTE employees)")</f>
        <v/>
      </c>
      <c r="O82" s="1">
        <f>IFERROR(__xludf.DUMMYFUNCTION("""COMPUTED_VALUE"""),"Business to Business")</f>
        <v/>
      </c>
      <c r="P82" s="1">
        <f>IFERROR(__xludf.DUMMYFUNCTION("""COMPUTED_VALUE"""),"Corporate Training, Lifelong learning/Adult education")</f>
        <v/>
      </c>
      <c r="Q82" s="1">
        <f>IFERROR(__xludf.DUMMYFUNCTION("""COMPUTED_VALUE"""),"System/Administrative, Other")</f>
        <v/>
      </c>
      <c r="R82" s="1" t="n"/>
      <c r="S82" s="1" t="n"/>
      <c r="T82" s="15">
        <f>IFERROR(__xludf.DUMMYFUNCTION("""COMPUTED_VALUE"""),"https://www.linkedin.com/company/lanura")</f>
        <v/>
      </c>
      <c r="U82" s="1">
        <f>IFERROR(__xludf.DUMMYFUNCTION("""COMPUTED_VALUE"""),"Lanura")</f>
        <v/>
      </c>
      <c r="V82" s="1">
        <f>IFERROR(__xludf.DUMMYFUNCTION("""COMPUTED_VALUE"""),"AI-powered roleplay platform where employees practice real workplace conversations, receive instant feedback and build lasting soft skills through adaptive simulations.")</f>
        <v/>
      </c>
      <c r="W82" s="1" t="n"/>
      <c r="X82" s="1" t="n"/>
      <c r="Y82" s="15">
        <f>IFERROR(__xludf.DUMMYFUNCTION("""COMPUTED_VALUE"""),"https://drive.google.com/uc?export=view&amp;id=19CqXhx5xMEGc6IqgdTY1V4QN9bhwvloS")</f>
        <v/>
      </c>
      <c r="Z82" s="1">
        <f>IFERROR(__xludf.DUMMYFUNCTION("""COMPUTED_VALUE"""),"Verified")</f>
        <v/>
      </c>
      <c r="AA82" s="1">
        <f>IFERROR(__xludf.DUMMYFUNCTION("""COMPUTED_VALUE"""),"Collaborations between EdTech organisations, Public-private partnerships, Project consortium building, Other, Industry-academia partnerships")</f>
        <v/>
      </c>
      <c r="AB82" s="1">
        <f>IFERROR(__xludf.DUMMYFUNCTION("""COMPUTED_VALUE"""),"Non-profit organisation")</f>
        <v/>
      </c>
      <c r="AC82" s="1">
        <f>IFERROR(__xludf.DUMMYFUNCTION("""COMPUTED_VALUE"""),FALSE)</f>
        <v/>
      </c>
      <c r="AD82" s="1">
        <f>IFERROR(__xludf.DUMMYFUNCTION("""COMPUTED_VALUE"""),TRUE)</f>
        <v/>
      </c>
      <c r="AE82" s="1" t="n"/>
    </row>
    <row r="83" ht="42" customHeight="1">
      <c r="A83" s="14">
        <f>IFERROR(__xludf.DUMMYFUNCTION("""COMPUTED_VALUE"""),45888)</f>
        <v/>
      </c>
      <c r="B83" s="1">
        <f>IFERROR(__xludf.DUMMYFUNCTION("""COMPUTED_VALUE"""),"ORG_1501")</f>
        <v/>
      </c>
      <c r="C83" s="1">
        <f>IFERROR(__xludf.DUMMYFUNCTION("""COMPUTED_VALUE"""),TRUE)</f>
        <v/>
      </c>
      <c r="D83" s="1">
        <f>IFERROR(__xludf.DUMMYFUNCTION("""COMPUTED_VALUE"""),"Entornos de Formación S.L")</f>
        <v/>
      </c>
      <c r="E83" s="15">
        <f>IFERROR(__xludf.DUMMYFUNCTION("""COMPUTED_VALUE"""),"www.edf.global")</f>
        <v/>
      </c>
      <c r="F83" s="1">
        <f>IFERROR(__xludf.DUMMYFUNCTION("""COMPUTED_VALUE"""),"We work with Next Generation Digital Learning Environment technologies (NGDLE) to offer our clients efficiency and technological security")</f>
        <v/>
      </c>
      <c r="G83" s="1">
        <f>IFERROR(__xludf.DUMMYFUNCTION("""COMPUTED_VALUE"""),"EduTech Cluster Spain")</f>
        <v/>
      </c>
      <c r="H83" s="1">
        <f>IFERROR(__xludf.DUMMYFUNCTION("""COMPUTED_VALUE"""),"English, Spanish, German, Catalan")</f>
        <v/>
      </c>
      <c r="I83" s="1">
        <f>IFERROR(__xludf.DUMMYFUNCTION("""COMPUTED_VALUE"""),"salvador.pellicer@entornosdeformacion.com")</f>
        <v/>
      </c>
      <c r="J83" s="1">
        <f>IFERROR(__xludf.DUMMYFUNCTION("""COMPUTED_VALUE"""),"+34686473754")</f>
        <v/>
      </c>
      <c r="K83" s="1">
        <f>IFERROR(__xludf.DUMMYFUNCTION("""COMPUTED_VALUE"""),"Valencia")</f>
        <v/>
      </c>
      <c r="L83" s="1">
        <f>IFERROR(__xludf.DUMMYFUNCTION("""COMPUTED_VALUE"""),"Spain")</f>
        <v/>
      </c>
      <c r="M83" s="1">
        <f>IFERROR(__xludf.DUMMYFUNCTION("""COMPUTED_VALUE"""),"Belgium, Portugal, Romania, Spain, United Kingdom")</f>
        <v/>
      </c>
      <c r="N83" s="1">
        <f>IFERROR(__xludf.DUMMYFUNCTION("""COMPUTED_VALUE"""),"Small (10-49 FTE employees)")</f>
        <v/>
      </c>
      <c r="O83" s="1">
        <f>IFERROR(__xludf.DUMMYFUNCTION("""COMPUTED_VALUE"""),"Business to Government, Business to Business, Business to Schools")</f>
        <v/>
      </c>
      <c r="P83" s="1">
        <f>IFERROR(__xludf.DUMMYFUNCTION("""COMPUTED_VALUE"""),"Higher Education, Corporate Training, Lifelong learning/Adult education")</f>
        <v/>
      </c>
      <c r="Q83" s="1">
        <f>IFERROR(__xludf.DUMMYFUNCTION("""COMPUTED_VALUE"""),"System/Administrative, Teacher interfacing, Student interfacing")</f>
        <v/>
      </c>
      <c r="R83" s="1" t="n"/>
      <c r="S83" s="1" t="n"/>
      <c r="T83" s="15">
        <f>IFERROR(__xludf.DUMMYFUNCTION("""COMPUTED_VALUE"""),"https://www.linkedin.com/company/entornosdeformacion")</f>
        <v/>
      </c>
      <c r="U83" s="1" t="n"/>
      <c r="V83" s="1" t="n"/>
      <c r="W83" s="1" t="n"/>
      <c r="X83" s="1" t="n"/>
      <c r="Y83" s="15">
        <f>IFERROR(__xludf.DUMMYFUNCTION("""COMPUTED_VALUE"""),"https://drive.google.com/uc?export=view&amp;id=1_5FFc0p4GboJDTMh4c41dGsyiuOo62cq")</f>
        <v/>
      </c>
      <c r="Z83" s="1">
        <f>IFERROR(__xludf.DUMMYFUNCTION("""COMPUTED_VALUE"""),"Verified")</f>
        <v/>
      </c>
      <c r="AA83" s="1">
        <f>IFERROR(__xludf.DUMMYFUNCTION("""COMPUTED_VALUE"""),"Collaborations between EdTech organisations, Project consortium building, Public-private partnerships")</f>
        <v/>
      </c>
      <c r="AB83" s="1">
        <f>IFERROR(__xludf.DUMMYFUNCTION("""COMPUTED_VALUE"""),"For-profit company")</f>
        <v/>
      </c>
      <c r="AC83" s="1">
        <f>IFERROR(__xludf.DUMMYFUNCTION("""COMPUTED_VALUE"""),TRUE)</f>
        <v/>
      </c>
      <c r="AD83" s="1">
        <f>IFERROR(__xludf.DUMMYFUNCTION("""COMPUTED_VALUE"""),FALSE)</f>
        <v/>
      </c>
      <c r="AE83" s="1" t="n"/>
    </row>
    <row r="84" ht="42" customHeight="1">
      <c r="A84" s="14">
        <f>IFERROR(__xludf.DUMMYFUNCTION("""COMPUTED_VALUE"""),45887)</f>
        <v/>
      </c>
      <c r="B84" s="1">
        <f>IFERROR(__xludf.DUMMYFUNCTION("""COMPUTED_VALUE"""),"ORG_2631")</f>
        <v/>
      </c>
      <c r="C84" s="1">
        <f>IFERROR(__xludf.DUMMYFUNCTION("""COMPUTED_VALUE"""),TRUE)</f>
        <v/>
      </c>
      <c r="D84" s="15">
        <f>IFERROR(__xludf.DUMMYFUNCTION("""COMPUTED_VALUE"""),"Slide-Speed.com")</f>
        <v/>
      </c>
      <c r="E84" s="15">
        <f>IFERROR(__xludf.DUMMYFUNCTION("""COMPUTED_VALUE"""),"https://slide-speed.com")</f>
        <v/>
      </c>
      <c r="F84" s="1">
        <f>IFERROR(__xludf.DUMMYFUNCTION("""COMPUTED_VALUE"""),"Slide-Speed.com helps organize and create presentations for lectures and trainings in a standardized, collaborative and AI driven manner")</f>
        <v/>
      </c>
      <c r="G84" s="1">
        <f>IFERROR(__xludf.DUMMYFUNCTION("""COMPUTED_VALUE"""),"EdTech Austria")</f>
        <v/>
      </c>
      <c r="H84" s="1">
        <f>IFERROR(__xludf.DUMMYFUNCTION("""COMPUTED_VALUE"""),"English, German")</f>
        <v/>
      </c>
      <c r="I84" s="1">
        <f>IFERROR(__xludf.DUMMYFUNCTION("""COMPUTED_VALUE"""),"info@slide-speed.com")</f>
        <v/>
      </c>
      <c r="J84" s="1">
        <f>IFERROR(__xludf.DUMMYFUNCTION("""COMPUTED_VALUE"""),"+436503017556")</f>
        <v/>
      </c>
      <c r="K84" s="1">
        <f>IFERROR(__xludf.DUMMYFUNCTION("""COMPUTED_VALUE"""),"Wien")</f>
        <v/>
      </c>
      <c r="L84" s="1">
        <f>IFERROR(__xludf.DUMMYFUNCTION("""COMPUTED_VALUE"""),"Austria")</f>
        <v/>
      </c>
      <c r="M84" s="1">
        <f>IFERROR(__xludf.DUMMYFUNCTION("""COMPUTED_VALUE"""),"Austria, Germany, Switzerland")</f>
        <v/>
      </c>
      <c r="N84" s="1">
        <f>IFERROR(__xludf.DUMMYFUNCTION("""COMPUTED_VALUE"""),"Solo entrepreneur")</f>
        <v/>
      </c>
      <c r="O84" s="1">
        <f>IFERROR(__xludf.DUMMYFUNCTION("""COMPUTED_VALUE"""),"Business to Business, Business to Consumer, Business to Government, Business to Schools")</f>
        <v/>
      </c>
      <c r="P84" s="1">
        <f>IFERROR(__xludf.DUMMYFUNCTION("""COMPUTED_VALUE"""),"Higher Education, Corporate Training, Lifelong learning/Adult education, Secondary Education")</f>
        <v/>
      </c>
      <c r="Q84" s="1">
        <f>IFERROR(__xludf.DUMMYFUNCTION("""COMPUTED_VALUE"""),"Teacher interfacing")</f>
        <v/>
      </c>
      <c r="R84" s="1" t="n"/>
      <c r="S84" s="1" t="n"/>
      <c r="T84" s="15">
        <f>IFERROR(__xludf.DUMMYFUNCTION("""COMPUTED_VALUE"""),"https://www.linkedin.com/company/101921502/")</f>
        <v/>
      </c>
      <c r="U84" s="15">
        <f>IFERROR(__xludf.DUMMYFUNCTION("""COMPUTED_VALUE"""),"Slide-Speed.com")</f>
        <v/>
      </c>
      <c r="V84" s="1">
        <f>IFERROR(__xludf.DUMMYFUNCTION("""COMPUTED_VALUE"""),"Slide-Speed.com is a Web-Application that helps teachers and trainers to manage and create presentations and other material for courses in a collaborative and AI driven manner.
The goal is to save time by automating the process of course generation while"&amp;" building a knowledge space for the future")</f>
        <v/>
      </c>
      <c r="W84" s="1" t="n"/>
      <c r="X84" s="1" t="n"/>
      <c r="Y84" s="15">
        <f>IFERROR(__xludf.DUMMYFUNCTION("""COMPUTED_VALUE"""),"https://drive.google.com/uc?export=view&amp;id=1-r-GPRf1nbw6dA7J-2VbYoUrQlIt2SDO")</f>
        <v/>
      </c>
      <c r="Z84" s="1">
        <f>IFERROR(__xludf.DUMMYFUNCTION("""COMPUTED_VALUE"""),"Verified")</f>
        <v/>
      </c>
      <c r="AA84" s="1">
        <f>IFERROR(__xludf.DUMMYFUNCTION("""COMPUTED_VALUE"""),"Public-private partnerships, Collaborations between EdTech organisations, Industry-academia partnerships")</f>
        <v/>
      </c>
      <c r="AB84" s="1">
        <f>IFERROR(__xludf.DUMMYFUNCTION("""COMPUTED_VALUE"""),"For-profit company")</f>
        <v/>
      </c>
      <c r="AC84" s="1">
        <f>IFERROR(__xludf.DUMMYFUNCTION("""COMPUTED_VALUE"""),TRUE)</f>
        <v/>
      </c>
      <c r="AD84" s="1">
        <f>IFERROR(__xludf.DUMMYFUNCTION("""COMPUTED_VALUE"""),TRUE)</f>
        <v/>
      </c>
      <c r="AE84" s="1" t="n"/>
    </row>
    <row r="85" ht="42" customHeight="1">
      <c r="A85" s="14">
        <f>IFERROR(__xludf.DUMMYFUNCTION("""COMPUTED_VALUE"""),45884)</f>
        <v/>
      </c>
      <c r="B85" s="1">
        <f>IFERROR(__xludf.DUMMYFUNCTION("""COMPUTED_VALUE"""),"ORG_2630")</f>
        <v/>
      </c>
      <c r="C85" s="1">
        <f>IFERROR(__xludf.DUMMYFUNCTION("""COMPUTED_VALUE"""),TRUE)</f>
        <v/>
      </c>
      <c r="D85" s="1">
        <f>IFERROR(__xludf.DUMMYFUNCTION("""COMPUTED_VALUE"""),"Bloom AI")</f>
        <v/>
      </c>
      <c r="E85" s="15">
        <f>IFERROR(__xludf.DUMMYFUNCTION("""COMPUTED_VALUE"""),"https://bloom.study")</f>
        <v/>
      </c>
      <c r="F85" s="1">
        <f>IFERROR(__xludf.DUMMYFUNCTION("""COMPUTED_VALUE"""),"AI tutor platform for schools and universities")</f>
        <v/>
      </c>
      <c r="G85" s="1">
        <f>IFERROR(__xludf.DUMMYFUNCTION("""COMPUTED_VALUE"""),"I'm not part of any EdTech association")</f>
        <v/>
      </c>
      <c r="H85" s="1">
        <f>IFERROR(__xludf.DUMMYFUNCTION("""COMPUTED_VALUE"""),"English")</f>
        <v/>
      </c>
      <c r="I85" s="1">
        <f>IFERROR(__xludf.DUMMYFUNCTION("""COMPUTED_VALUE"""),"hi@bloom.study")</f>
        <v/>
      </c>
      <c r="J85" s="1">
        <f>IFERROR(__xludf.DUMMYFUNCTION("""COMPUTED_VALUE"""),"+61479091901")</f>
        <v/>
      </c>
      <c r="K85" s="1">
        <f>IFERROR(__xludf.DUMMYFUNCTION("""COMPUTED_VALUE"""),"Sydney")</f>
        <v/>
      </c>
      <c r="L85" s="1">
        <f>IFERROR(__xludf.DUMMYFUNCTION("""COMPUTED_VALUE"""),"Australia")</f>
        <v/>
      </c>
      <c r="M85" s="1">
        <f>IFERROR(__xludf.DUMMYFUNCTION("""COMPUTED_VALUE"""),"Ireland, United Kingdom")</f>
        <v/>
      </c>
      <c r="N85" s="1">
        <f>IFERROR(__xludf.DUMMYFUNCTION("""COMPUTED_VALUE"""),"Micro (1-9 FTE employees)")</f>
        <v/>
      </c>
      <c r="O85" s="1">
        <f>IFERROR(__xludf.DUMMYFUNCTION("""COMPUTED_VALUE"""),"Business to Business, Business to Government, Business to Schools")</f>
        <v/>
      </c>
      <c r="P85" s="1">
        <f>IFERROR(__xludf.DUMMYFUNCTION("""COMPUTED_VALUE"""),"Secondary Education, Vocational Education and Training (VET), Higher Education, Lifelong learning/Adult education, Corporate Training")</f>
        <v/>
      </c>
      <c r="Q85" s="1">
        <f>IFERROR(__xludf.DUMMYFUNCTION("""COMPUTED_VALUE"""),"Student interfacing, Teacher interfacing")</f>
        <v/>
      </c>
      <c r="R85" s="1" t="n"/>
      <c r="S85" s="15">
        <f>IFERROR(__xludf.DUMMYFUNCTION("""COMPUTED_VALUE"""),"x.com/BloomAITutor")</f>
        <v/>
      </c>
      <c r="T85" s="15">
        <f>IFERROR(__xludf.DUMMYFUNCTION("""COMPUTED_VALUE"""),"https://www.linkedin.com/company/aibloom")</f>
        <v/>
      </c>
      <c r="U85" s="1">
        <f>IFERROR(__xludf.DUMMYFUNCTION("""COMPUTED_VALUE"""),"Bloom AI Tutor")</f>
        <v/>
      </c>
      <c r="V85" s="1">
        <f>IFERROR(__xludf.DUMMYFUNCTION("""COMPUTED_VALUE"""),"AI tutor platform for schools and universities")</f>
        <v/>
      </c>
      <c r="W85" s="1" t="n"/>
      <c r="X85" s="1" t="n"/>
      <c r="Y85" s="15">
        <f>IFERROR(__xludf.DUMMYFUNCTION("""COMPUTED_VALUE"""),"https://drive.google.com/uc?export=view&amp;id=1VUyCiwF_39xVJ1SlgUV2qUcvXLdtAPob")</f>
        <v/>
      </c>
      <c r="Z85" s="1">
        <f>IFERROR(__xludf.DUMMYFUNCTION("""COMPUTED_VALUE"""),"Verified")</f>
        <v/>
      </c>
      <c r="AA85" s="1">
        <f>IFERROR(__xludf.DUMMYFUNCTION("""COMPUTED_VALUE"""),"Collaborations between EdTech organisations, Project consortium building, Public-private partnerships, Industry-academia partnerships")</f>
        <v/>
      </c>
      <c r="AB85" s="1">
        <f>IFERROR(__xludf.DUMMYFUNCTION("""COMPUTED_VALUE"""),"For-profit company")</f>
        <v/>
      </c>
      <c r="AC85" s="1">
        <f>IFERROR(__xludf.DUMMYFUNCTION("""COMPUTED_VALUE"""),TRUE)</f>
        <v/>
      </c>
      <c r="AD85" s="1">
        <f>IFERROR(__xludf.DUMMYFUNCTION("""COMPUTED_VALUE"""),TRUE)</f>
        <v/>
      </c>
      <c r="AE85" s="1" t="n"/>
    </row>
    <row r="86" ht="42" customHeight="1">
      <c r="A86" s="14">
        <f>IFERROR(__xludf.DUMMYFUNCTION("""COMPUTED_VALUE"""),45884)</f>
        <v/>
      </c>
      <c r="B86" s="1">
        <f>IFERROR(__xludf.DUMMYFUNCTION("""COMPUTED_VALUE"""),"ORG_2629")</f>
        <v/>
      </c>
      <c r="C86" s="1">
        <f>IFERROR(__xludf.DUMMYFUNCTION("""COMPUTED_VALUE"""),TRUE)</f>
        <v/>
      </c>
      <c r="D86" s="15">
        <f>IFERROR(__xludf.DUMMYFUNCTION("""COMPUTED_VALUE"""),"Motionstorybooks.com")</f>
        <v/>
      </c>
      <c r="E86" s="15">
        <f>IFERROR(__xludf.DUMMYFUNCTION("""COMPUTED_VALUE"""),"www.motionstorybooks.com")</f>
        <v/>
      </c>
      <c r="F86" s="1">
        <f>IFERROR(__xludf.DUMMYFUNCTION("""COMPUTED_VALUE"""),"Reading and literacy support for young children using animated storybooks online. Also helps young children who have SEN or EAL/ESL. Recommended by over 5500 teachers. ")</f>
        <v/>
      </c>
      <c r="G86" s="1">
        <f>IFERROR(__xludf.DUMMYFUNCTION("""COMPUTED_VALUE"""),"DOHE")</f>
        <v/>
      </c>
      <c r="H86" s="1">
        <f>IFERROR(__xludf.DUMMYFUNCTION("""COMPUTED_VALUE"""),"English")</f>
        <v/>
      </c>
      <c r="I86" s="1">
        <f>IFERROR(__xludf.DUMMYFUNCTION("""COMPUTED_VALUE"""),"vik@motionstorybooks.com")</f>
        <v/>
      </c>
      <c r="J86" s="1">
        <f>IFERROR(__xludf.DUMMYFUNCTION("""COMPUTED_VALUE"""),"+447300849888")</f>
        <v/>
      </c>
      <c r="K86" s="1">
        <f>IFERROR(__xludf.DUMMYFUNCTION("""COMPUTED_VALUE"""),"London")</f>
        <v/>
      </c>
      <c r="L86" s="1">
        <f>IFERROR(__xludf.DUMMYFUNCTION("""COMPUTED_VALUE"""),"United Kingdom")</f>
        <v/>
      </c>
      <c r="M86" s="1">
        <f>IFERROR(__xludf.DUMMYFUNCTION("""COMPUTED_VALUE"""),"Albania, Andorra, Austria, Belarus, Belgium, Bosnia and Herzegovina, Bulgaria, Croatia, Republic of Cyprus, Czechia, Denmark, Estonia, Finland, France, Germany, Greece, Hungary, Iceland, Ireland, Italy, Kosovo, Latvia, Liechtenstein, Lithuania, Luxembourg"&amp;", Malta, Moldova, Monaco, Montenegro, Netherlands, North Macedonia, Norway, Poland, Portugal, Romania, San Marino, Slovakia, Slovenia, Spain, Sweden, Switzerland, Turkey, Ukraine, United Kingdom")</f>
        <v/>
      </c>
      <c r="N86" s="1">
        <f>IFERROR(__xludf.DUMMYFUNCTION("""COMPUTED_VALUE"""),"Micro (1-9 FTE employees)")</f>
        <v/>
      </c>
      <c r="O86" s="1">
        <f>IFERROR(__xludf.DUMMYFUNCTION("""COMPUTED_VALUE"""),"Business to Business, Business to Consumer, Business to Government, Business to Schools")</f>
        <v/>
      </c>
      <c r="P86" s="1">
        <f>IFERROR(__xludf.DUMMYFUNCTION("""COMPUTED_VALUE"""),"Early childhood development (0-5 years), Primary Education")</f>
        <v/>
      </c>
      <c r="Q86" s="1">
        <f>IFERROR(__xludf.DUMMYFUNCTION("""COMPUTED_VALUE"""),"Student interfacing, Other")</f>
        <v/>
      </c>
      <c r="R86" s="1" t="n"/>
      <c r="S86" s="1" t="n"/>
      <c r="T86" s="1" t="n"/>
      <c r="U86" s="1">
        <f>IFERROR(__xludf.DUMMYFUNCTION("""COMPUTED_VALUE"""),"Animated Children's Book: Digital Bundle ")</f>
        <v/>
      </c>
      <c r="V86" s="1">
        <f>IFERROR(__xludf.DUMMYFUNCTION("""COMPUTED_VALUE"""),"Access to a library of over 400 children's animated books. Proven to help with reading, literacy and engagement. Also recommended for children with SEN and EAL/ESL.")</f>
        <v/>
      </c>
      <c r="W86" s="1" t="n"/>
      <c r="X86" s="1" t="n"/>
      <c r="Y86" s="15">
        <f>IFERROR(__xludf.DUMMYFUNCTION("""COMPUTED_VALUE"""),"https://drive.google.com/uc?export=view&amp;id=1HNWtPP2x65WIpINASPC7_BeE9gnUVgcE")</f>
        <v/>
      </c>
      <c r="Z86" s="1">
        <f>IFERROR(__xludf.DUMMYFUNCTION("""COMPUTED_VALUE"""),"Verified")</f>
        <v/>
      </c>
      <c r="AA86" s="1">
        <f>IFERROR(__xludf.DUMMYFUNCTION("""COMPUTED_VALUE"""),"Collaborations between EdTech organisations, Project consortium building, Public-private partnerships, Industry-academia partnerships, Other")</f>
        <v/>
      </c>
      <c r="AB86" s="1">
        <f>IFERROR(__xludf.DUMMYFUNCTION("""COMPUTED_VALUE"""),"For-profit company")</f>
        <v/>
      </c>
      <c r="AC86" s="1">
        <f>IFERROR(__xludf.DUMMYFUNCTION("""COMPUTED_VALUE"""),TRUE)</f>
        <v/>
      </c>
      <c r="AD86" s="1">
        <f>IFERROR(__xludf.DUMMYFUNCTION("""COMPUTED_VALUE"""),TRUE)</f>
        <v/>
      </c>
      <c r="AE86" s="1" t="n"/>
    </row>
    <row r="87" ht="42" customHeight="1">
      <c r="A87" s="14">
        <f>IFERROR(__xludf.DUMMYFUNCTION("""COMPUTED_VALUE"""),45884)</f>
        <v/>
      </c>
      <c r="B87" s="1">
        <f>IFERROR(__xludf.DUMMYFUNCTION("""COMPUTED_VALUE"""),"ORG_2628")</f>
        <v/>
      </c>
      <c r="C87" s="1">
        <f>IFERROR(__xludf.DUMMYFUNCTION("""COMPUTED_VALUE"""),TRUE)</f>
        <v/>
      </c>
      <c r="D87" s="1">
        <f>IFERROR(__xludf.DUMMYFUNCTION("""COMPUTED_VALUE"""),"MEDEX LAB")</f>
        <v/>
      </c>
      <c r="E87" s="15">
        <f>IFERROR(__xludf.DUMMYFUNCTION("""COMPUTED_VALUE"""),"https://www.medexlab.co/explorerrazgar.html")</f>
        <v/>
      </c>
      <c r="F87" s="1">
        <f>IFERROR(__xludf.DUMMYFUNCTION("""COMPUTED_VALUE"""),"MEDEX LAB is an XR development company that builds immersive edutaintment content.")</f>
        <v/>
      </c>
      <c r="G87" s="1">
        <f>IFERROR(__xludf.DUMMYFUNCTION("""COMPUTED_VALUE"""),"I'm not part of any EdTech association")</f>
        <v/>
      </c>
      <c r="H87" s="1">
        <f>IFERROR(__xludf.DUMMYFUNCTION("""COMPUTED_VALUE"""),"English, Polish, Turkish")</f>
        <v/>
      </c>
      <c r="I87" s="1">
        <f>IFERROR(__xludf.DUMMYFUNCTION("""COMPUTED_VALUE"""),"firat@medexlab.co")</f>
        <v/>
      </c>
      <c r="J87" s="1">
        <f>IFERROR(__xludf.DUMMYFUNCTION("""COMPUTED_VALUE"""),"+14086679897")</f>
        <v/>
      </c>
      <c r="K87" s="1">
        <f>IFERROR(__xludf.DUMMYFUNCTION("""COMPUTED_VALUE"""),"ISTANBUL")</f>
        <v/>
      </c>
      <c r="L87" s="1">
        <f>IFERROR(__xludf.DUMMYFUNCTION("""COMPUTED_VALUE"""),"Türkiye")</f>
        <v/>
      </c>
      <c r="M87" s="1">
        <f>IFERROR(__xludf.DUMMYFUNCTION("""COMPUTED_VALUE"""),"Poland, Turkey, France")</f>
        <v/>
      </c>
      <c r="N87" s="1">
        <f>IFERROR(__xludf.DUMMYFUNCTION("""COMPUTED_VALUE"""),"Micro (1-9 FTE employees)")</f>
        <v/>
      </c>
      <c r="O87" s="1">
        <f>IFERROR(__xludf.DUMMYFUNCTION("""COMPUTED_VALUE"""),"Business to Business, Business to Consumer, Business to Government, Business to Schools")</f>
        <v/>
      </c>
      <c r="P87" s="1">
        <f>IFERROR(__xludf.DUMMYFUNCTION("""COMPUTED_VALUE"""),"Primary Education, Secondary Education")</f>
        <v/>
      </c>
      <c r="Q87" s="1">
        <f>IFERROR(__xludf.DUMMYFUNCTION("""COMPUTED_VALUE"""),"Student interfacing")</f>
        <v/>
      </c>
      <c r="R87" s="1" t="n"/>
      <c r="S87" s="1" t="n"/>
      <c r="T87" s="15">
        <f>IFERROR(__xludf.DUMMYFUNCTION("""COMPUTED_VALUE"""),"https://www.linkedin.com/company/medex-lab/")</f>
        <v/>
      </c>
      <c r="U87" s="1">
        <f>IFERROR(__xludf.DUMMYFUNCTION("""COMPUTED_VALUE"""),"Razgar The Explorer")</f>
        <v/>
      </c>
      <c r="V87" s="1">
        <f>IFERROR(__xludf.DUMMYFUNCTION("""COMPUTED_VALUE"""),"Immerse yourself in a virtual world, explore ancient ruins, dive into the Mediterranean and travel to the moon. Learn about history, science and nature in an interactive and fun way.")</f>
        <v/>
      </c>
      <c r="W87" s="1">
        <f>IFERROR(__xludf.DUMMYFUNCTION("""COMPUTED_VALUE"""),"Razgar The Explorer for Language Learning")</f>
        <v/>
      </c>
      <c r="X87" s="1">
        <f>IFERROR(__xludf.DUMMYFUNCTION("""COMPUTED_VALUE"""),"Experience the adventures in different languages followed by quizzes according to the proficiency level.")</f>
        <v/>
      </c>
      <c r="Y87" s="15">
        <f>IFERROR(__xludf.DUMMYFUNCTION("""COMPUTED_VALUE"""),"https://drive.google.com/uc?export=view&amp;id=12HhjDKydLTy0-YGW27FQn84tcSvv3_iU")</f>
        <v/>
      </c>
      <c r="Z87" s="1">
        <f>IFERROR(__xludf.DUMMYFUNCTION("""COMPUTED_VALUE"""),"Verified")</f>
        <v/>
      </c>
      <c r="AA87" s="1">
        <f>IFERROR(__xludf.DUMMYFUNCTION("""COMPUTED_VALUE"""),"Collaborations between EdTech organisations, Project consortium building, Public-private partnerships, Other")</f>
        <v/>
      </c>
      <c r="AB87" s="1">
        <f>IFERROR(__xludf.DUMMYFUNCTION("""COMPUTED_VALUE"""),"For-profit company")</f>
        <v/>
      </c>
      <c r="AC87" s="1">
        <f>IFERROR(__xludf.DUMMYFUNCTION("""COMPUTED_VALUE"""),TRUE)</f>
        <v/>
      </c>
      <c r="AD87" s="1">
        <f>IFERROR(__xludf.DUMMYFUNCTION("""COMPUTED_VALUE"""),TRUE)</f>
        <v/>
      </c>
      <c r="AE87" s="1" t="n"/>
    </row>
    <row r="88" ht="42" customHeight="1">
      <c r="A88" s="14">
        <f>IFERROR(__xludf.DUMMYFUNCTION("""COMPUTED_VALUE"""),45884)</f>
        <v/>
      </c>
      <c r="B88" s="1">
        <f>IFERROR(__xludf.DUMMYFUNCTION("""COMPUTED_VALUE"""),"ORG_1858")</f>
        <v/>
      </c>
      <c r="C88" s="1">
        <f>IFERROR(__xludf.DUMMYFUNCTION("""COMPUTED_VALUE"""),TRUE)</f>
        <v/>
      </c>
      <c r="D88" s="1">
        <f>IFERROR(__xludf.DUMMYFUNCTION("""COMPUTED_VALUE"""),"LessonApp")</f>
        <v/>
      </c>
      <c r="E88" s="15">
        <f>IFERROR(__xludf.DUMMYFUNCTION("""COMPUTED_VALUE"""),"www.lessonapp.fi")</f>
        <v/>
      </c>
      <c r="F88" s="1">
        <f>IFERROR(__xludf.DUMMYFUNCTION("""COMPUTED_VALUE"""),"LessonApp helps teachers to design engaging and efficients lessons, to save time and to apply activating teaching methods to improve students performance. ")</f>
        <v/>
      </c>
      <c r="G88" s="1">
        <f>IFERROR(__xludf.DUMMYFUNCTION("""COMPUTED_VALUE"""),"EdTech Finland, xEdu")</f>
        <v/>
      </c>
      <c r="H88" s="1">
        <f>IFERROR(__xludf.DUMMYFUNCTION("""COMPUTED_VALUE"""),"English, Spanish, Romanian, Portuguese, Burmese")</f>
        <v/>
      </c>
      <c r="I88" s="1">
        <f>IFERROR(__xludf.DUMMYFUNCTION("""COMPUTED_VALUE"""),"info@lessonapp.fi")</f>
        <v/>
      </c>
      <c r="J88" s="1">
        <f>IFERROR(__xludf.DUMMYFUNCTION("""COMPUTED_VALUE"""),"+358407037337")</f>
        <v/>
      </c>
      <c r="K88" s="1">
        <f>IFERROR(__xludf.DUMMYFUNCTION("""COMPUTED_VALUE"""),"Tampere")</f>
        <v/>
      </c>
      <c r="L88" s="1">
        <f>IFERROR(__xludf.DUMMYFUNCTION("""COMPUTED_VALUE"""),"Finland")</f>
        <v/>
      </c>
      <c r="M88" s="1">
        <f>IFERROR(__xludf.DUMMYFUNCTION("""COMPUTED_VALUE"""),"Finland, Malta, Moldova, Romania")</f>
        <v/>
      </c>
      <c r="N88" s="1">
        <f>IFERROR(__xludf.DUMMYFUNCTION("""COMPUTED_VALUE"""),"Micro (1-9 FTE employees)")</f>
        <v/>
      </c>
      <c r="O88" s="1">
        <f>IFERROR(__xludf.DUMMYFUNCTION("""COMPUTED_VALUE"""),"Business to Business, Business to Consumer, Business to Schools")</f>
        <v/>
      </c>
      <c r="P88" s="1">
        <f>IFERROR(__xludf.DUMMYFUNCTION("""COMPUTED_VALUE"""),"Primary Education, Early childhood development (0-5 years), Secondary Education")</f>
        <v/>
      </c>
      <c r="Q88" s="1">
        <f>IFERROR(__xludf.DUMMYFUNCTION("""COMPUTED_VALUE"""),"Teacher interfacing")</f>
        <v/>
      </c>
      <c r="R88" s="15">
        <f>IFERROR(__xludf.DUMMYFUNCTION("""COMPUTED_VALUE"""),"https://www.instagram.com/lesson_app/")</f>
        <v/>
      </c>
      <c r="S88" s="1" t="n"/>
      <c r="T88" s="15">
        <f>IFERROR(__xludf.DUMMYFUNCTION("""COMPUTED_VALUE"""),"https://www.linkedin.com/company/lessonapp-oy/")</f>
        <v/>
      </c>
      <c r="U88" s="1">
        <f>IFERROR(__xludf.DUMMYFUNCTION("""COMPUTED_VALUE"""),"LessonApp Premium")</f>
        <v/>
      </c>
      <c r="V88" s="1">
        <f>IFERROR(__xludf.DUMMYFUNCTION("""COMPUTED_VALUE"""),"A mobile lesson planning tool and resource storage.")</f>
        <v/>
      </c>
      <c r="W88" s="1" t="n"/>
      <c r="X88" s="1" t="n"/>
      <c r="Y88" s="15">
        <f>IFERROR(__xludf.DUMMYFUNCTION("""COMPUTED_VALUE"""),"https://drive.google.com/uc?export=view&amp;id=16E9joFzZbQCv95wOg9gg647_FA8gwJax")</f>
        <v/>
      </c>
      <c r="Z88" s="1">
        <f>IFERROR(__xludf.DUMMYFUNCTION("""COMPUTED_VALUE"""),"Verified")</f>
        <v/>
      </c>
      <c r="AA88" s="1">
        <f>IFERROR(__xludf.DUMMYFUNCTION("""COMPUTED_VALUE"""),"Project consortium building, Public-private partnerships, Collaborations between EdTech organisations")</f>
        <v/>
      </c>
      <c r="AB88" s="1">
        <f>IFERROR(__xludf.DUMMYFUNCTION("""COMPUTED_VALUE"""),"For-profit company")</f>
        <v/>
      </c>
      <c r="AC88" s="1">
        <f>IFERROR(__xludf.DUMMYFUNCTION("""COMPUTED_VALUE"""),TRUE)</f>
        <v/>
      </c>
      <c r="AD88" s="1">
        <f>IFERROR(__xludf.DUMMYFUNCTION("""COMPUTED_VALUE"""),TRUE)</f>
        <v/>
      </c>
      <c r="AE88" s="1" t="n"/>
    </row>
    <row r="89" ht="42" customHeight="1">
      <c r="A89" s="14">
        <f>IFERROR(__xludf.DUMMYFUNCTION("""COMPUTED_VALUE"""),45883)</f>
        <v/>
      </c>
      <c r="B89" s="1">
        <f>IFERROR(__xludf.DUMMYFUNCTION("""COMPUTED_VALUE"""),"ORG_1863")</f>
        <v/>
      </c>
      <c r="C89" s="1">
        <f>IFERROR(__xludf.DUMMYFUNCTION("""COMPUTED_VALUE"""),TRUE)</f>
        <v/>
      </c>
      <c r="D89" s="1">
        <f>IFERROR(__xludf.DUMMYFUNCTION("""COMPUTED_VALUE"""),"Level Up Academy")</f>
        <v/>
      </c>
      <c r="E89" s="15">
        <f>IFERROR(__xludf.DUMMYFUNCTION("""COMPUTED_VALUE"""),"www.levelupacademy.nl")</f>
        <v/>
      </c>
      <c r="F89" s="1">
        <f>IFERROR(__xludf.DUMMYFUNCTION("""COMPUTED_VALUE"""),"Level Up Academy delievers high-quality online language courses in Dutch and English for both private individuals and corporate clients. We offer flexible, tailored courses that focus on practical, engaging learning, all taught by experienced teachers.")</f>
        <v/>
      </c>
      <c r="G89" s="1">
        <f>IFERROR(__xludf.DUMMYFUNCTION("""COMPUTED_VALUE"""),"I'm not part of any EdTech association")</f>
        <v/>
      </c>
      <c r="H89" s="1">
        <f>IFERROR(__xludf.DUMMYFUNCTION("""COMPUTED_VALUE"""),"English, Ukrainian, Polish, Spanish, Dutch, German, Romanian")</f>
        <v/>
      </c>
      <c r="I89" s="1">
        <f>IFERROR(__xludf.DUMMYFUNCTION("""COMPUTED_VALUE"""),"info@levelupacademy.nl")</f>
        <v/>
      </c>
      <c r="J89" s="1">
        <f>IFERROR(__xludf.DUMMYFUNCTION("""COMPUTED_VALUE"""),"+31640830281")</f>
        <v/>
      </c>
      <c r="K89" s="1">
        <f>IFERROR(__xludf.DUMMYFUNCTION("""COMPUTED_VALUE"""),"Leiden")</f>
        <v/>
      </c>
      <c r="L89" s="1">
        <f>IFERROR(__xludf.DUMMYFUNCTION("""COMPUTED_VALUE"""),"The Netherlands")</f>
        <v/>
      </c>
      <c r="M89" s="1">
        <f>IFERROR(__xludf.DUMMYFUNCTION("""COMPUTED_VALUE"""),"Netherlands")</f>
        <v/>
      </c>
      <c r="N89" s="1">
        <f>IFERROR(__xludf.DUMMYFUNCTION("""COMPUTED_VALUE"""),"Solo entrepreneur")</f>
        <v/>
      </c>
      <c r="O89" s="1">
        <f>IFERROR(__xludf.DUMMYFUNCTION("""COMPUTED_VALUE"""),"Business to Business, Business to Consumer")</f>
        <v/>
      </c>
      <c r="P89" s="1">
        <f>IFERROR(__xludf.DUMMYFUNCTION("""COMPUTED_VALUE"""),"Corporate Training, Lifelong learning/Adult education, Other")</f>
        <v/>
      </c>
      <c r="Q89" s="1">
        <f>IFERROR(__xludf.DUMMYFUNCTION("""COMPUTED_VALUE"""),"Other")</f>
        <v/>
      </c>
      <c r="R89" s="15">
        <f>IFERROR(__xludf.DUMMYFUNCTION("""COMPUTED_VALUE"""),"https://www.instagram.com/levelupacademynl/")</f>
        <v/>
      </c>
      <c r="S89" s="1" t="n"/>
      <c r="T89" s="15">
        <f>IFERROR(__xludf.DUMMYFUNCTION("""COMPUTED_VALUE"""),"https://www.linkedin.com/company/level-up-academy-language-school/")</f>
        <v/>
      </c>
      <c r="U89" s="1">
        <f>IFERROR(__xludf.DUMMYFUNCTION("""COMPUTED_VALUE"""),"Online Language Courses")</f>
        <v/>
      </c>
      <c r="V89" s="1" t="n"/>
      <c r="W89" s="1" t="n"/>
      <c r="X89" s="1" t="n"/>
      <c r="Y89" s="15">
        <f>IFERROR(__xludf.DUMMYFUNCTION("""COMPUTED_VALUE"""),"https://drive.google.com/uc?export=view&amp;id=1kr98jna08RnRMWiTK7FeaFbbn4ZbF3zp")</f>
        <v/>
      </c>
      <c r="Z89" s="1">
        <f>IFERROR(__xludf.DUMMYFUNCTION("""COMPUTED_VALUE"""),"Verified")</f>
        <v/>
      </c>
      <c r="AA89" s="1">
        <f>IFERROR(__xludf.DUMMYFUNCTION("""COMPUTED_VALUE"""),"Collaborations between EdTech organisations, Public-private partnerships")</f>
        <v/>
      </c>
      <c r="AB89" s="1">
        <f>IFERROR(__xludf.DUMMYFUNCTION("""COMPUTED_VALUE"""),"For-profit company")</f>
        <v/>
      </c>
      <c r="AC89" s="1">
        <f>IFERROR(__xludf.DUMMYFUNCTION("""COMPUTED_VALUE"""),TRUE)</f>
        <v/>
      </c>
      <c r="AD89" s="1">
        <f>IFERROR(__xludf.DUMMYFUNCTION("""COMPUTED_VALUE"""),TRUE)</f>
        <v/>
      </c>
      <c r="AE89" s="1" t="n"/>
    </row>
    <row r="90" ht="42" customHeight="1">
      <c r="A90" s="14">
        <f>IFERROR(__xludf.DUMMYFUNCTION("""COMPUTED_VALUE"""),45882)</f>
        <v/>
      </c>
      <c r="B90" s="1">
        <f>IFERROR(__xludf.DUMMYFUNCTION("""COMPUTED_VALUE"""),"ORG_2627")</f>
        <v/>
      </c>
      <c r="C90" s="1">
        <f>IFERROR(__xludf.DUMMYFUNCTION("""COMPUTED_VALUE"""),TRUE)</f>
        <v/>
      </c>
      <c r="D90" s="1">
        <f>IFERROR(__xludf.DUMMYFUNCTION("""COMPUTED_VALUE"""),"ATERMON BV")</f>
        <v/>
      </c>
      <c r="E90" s="15">
        <f>IFERROR(__xludf.DUMMYFUNCTION("""COMPUTED_VALUE"""),"https://www.atermon.nl")</f>
        <v/>
      </c>
      <c r="F90" s="1">
        <f>IFERROR(__xludf.DUMMYFUNCTION("""COMPUTED_VALUE"""),"Educational gaming")</f>
        <v/>
      </c>
      <c r="G90" s="1">
        <f>IFERROR(__xludf.DUMMYFUNCTION("""COMPUTED_VALUE"""),"I'm not part of any EdTech association")</f>
        <v/>
      </c>
      <c r="H90" s="1">
        <f>IFERROR(__xludf.DUMMYFUNCTION("""COMPUTED_VALUE"""),"English")</f>
        <v/>
      </c>
      <c r="I90" s="1">
        <f>IFERROR(__xludf.DUMMYFUNCTION("""COMPUTED_VALUE"""),"info@atermon.nl")</f>
        <v/>
      </c>
      <c r="J90" s="1">
        <f>IFERROR(__xludf.DUMMYFUNCTION("""COMPUTED_VALUE"""),"+31684008150")</f>
        <v/>
      </c>
      <c r="K90" s="1">
        <f>IFERROR(__xludf.DUMMYFUNCTION("""COMPUTED_VALUE"""),"Rotterdam")</f>
        <v/>
      </c>
      <c r="L90" s="1">
        <f>IFERROR(__xludf.DUMMYFUNCTION("""COMPUTED_VALUE"""),"The Netherlands")</f>
        <v/>
      </c>
      <c r="M90" s="1">
        <f>IFERROR(__xludf.DUMMYFUNCTION("""COMPUTED_VALUE"""),"Greece, Republic of Cyprus, United Kingdom, Poland")</f>
        <v/>
      </c>
      <c r="N90" s="1">
        <f>IFERROR(__xludf.DUMMYFUNCTION("""COMPUTED_VALUE"""),"Micro (1-9 FTE employees)")</f>
        <v/>
      </c>
      <c r="O90" s="1">
        <f>IFERROR(__xludf.DUMMYFUNCTION("""COMPUTED_VALUE"""),"Business to Business, Business to Consumer, Business to Government, Business to Schools")</f>
        <v/>
      </c>
      <c r="P90" s="1">
        <f>IFERROR(__xludf.DUMMYFUNCTION("""COMPUTED_VALUE"""),"Primary Education, Secondary Education, Vocational Education and Training (VET), Higher Education, Corporate Training, Lifelong learning/Adult education, Special education, Other")</f>
        <v/>
      </c>
      <c r="Q90" s="1">
        <f>IFERROR(__xludf.DUMMYFUNCTION("""COMPUTED_VALUE"""),"Other")</f>
        <v/>
      </c>
      <c r="R90" s="1" t="n"/>
      <c r="S90" s="1" t="n"/>
      <c r="T90" s="15">
        <f>IFERROR(__xludf.DUMMYFUNCTION("""COMPUTED_VALUE"""),"https://www.linkedin.com/company/atermon-rotterdam")</f>
        <v/>
      </c>
      <c r="U90" s="1">
        <f>IFERROR(__xludf.DUMMYFUNCTION("""COMPUTED_VALUE"""),"City of Gridlock")</f>
        <v/>
      </c>
      <c r="V90" s="1">
        <f>IFERROR(__xludf.DUMMYFUNCTION("""COMPUTED_VALUE"""),"Parkour game ")</f>
        <v/>
      </c>
      <c r="W90" s="1">
        <f>IFERROR(__xludf.DUMMYFUNCTION("""COMPUTED_VALUE"""),"Around the city")</f>
        <v/>
      </c>
      <c r="X90" s="1">
        <f>IFERROR(__xludf.DUMMYFUNCTION("""COMPUTED_VALUE"""),"English Language Teaching game")</f>
        <v/>
      </c>
      <c r="Y90" s="15">
        <f>IFERROR(__xludf.DUMMYFUNCTION("""COMPUTED_VALUE"""),"https://drive.google.com/uc?export=view&amp;id=1LvFjqm729253h5uH_CEIoD_nZh9I_U66")</f>
        <v/>
      </c>
      <c r="Z90" s="1">
        <f>IFERROR(__xludf.DUMMYFUNCTION("""COMPUTED_VALUE"""),"Verified")</f>
        <v/>
      </c>
      <c r="AA90" s="1">
        <f>IFERROR(__xludf.DUMMYFUNCTION("""COMPUTED_VALUE"""),"Collaborations between EdTech organisations, Project consortium building, Industry-academia partnerships, Public-private partnerships")</f>
        <v/>
      </c>
      <c r="AB90" s="1">
        <f>IFERROR(__xludf.DUMMYFUNCTION("""COMPUTED_VALUE"""),"For-profit company")</f>
        <v/>
      </c>
      <c r="AC90" s="1">
        <f>IFERROR(__xludf.DUMMYFUNCTION("""COMPUTED_VALUE"""),FALSE)</f>
        <v/>
      </c>
      <c r="AD90" s="1">
        <f>IFERROR(__xludf.DUMMYFUNCTION("""COMPUTED_VALUE"""),TRUE)</f>
        <v/>
      </c>
      <c r="AE90" s="15">
        <f>IFERROR(__xludf.DUMMYFUNCTION("""COMPUTED_VALUE"""),"https://www.instagram.com/atermonnl?igsh=Y2JleXpxcmNrYWN5")</f>
        <v/>
      </c>
    </row>
    <row r="91" ht="42" customHeight="1">
      <c r="A91" s="14">
        <f>IFERROR(__xludf.DUMMYFUNCTION("""COMPUTED_VALUE"""),45882)</f>
        <v/>
      </c>
      <c r="B91" s="1">
        <f>IFERROR(__xludf.DUMMYFUNCTION("""COMPUTED_VALUE"""),"ORG_2626")</f>
        <v/>
      </c>
      <c r="C91" s="1">
        <f>IFERROR(__xludf.DUMMYFUNCTION("""COMPUTED_VALUE"""),TRUE)</f>
        <v/>
      </c>
      <c r="D91" s="1">
        <f>IFERROR(__xludf.DUMMYFUNCTION("""COMPUTED_VALUE"""),"DATA SWEEP")</f>
        <v/>
      </c>
      <c r="E91" s="15">
        <f>IFERROR(__xludf.DUMMYFUNCTION("""COMPUTED_VALUE"""),"https://datasweep.app/")</f>
        <v/>
      </c>
      <c r="F91" s="1">
        <f>IFERROR(__xludf.DUMMYFUNCTION("""COMPUTED_VALUE"""),"DATA SWEEP helps researchers, professors, PhD students, and students cut data-gathering time from 80% to just 1% by providing lightning-fast access to over 3.1 million indicators and advanced search across 214 million scientific papers, authored by more t"&amp;"han 79 million researchers with a combined 2.49 billion citations.")</f>
        <v/>
      </c>
      <c r="G91" s="1">
        <f>IFERROR(__xludf.DUMMYFUNCTION("""COMPUTED_VALUE"""),"I'm not part of any EdTech association")</f>
        <v/>
      </c>
      <c r="H91" s="1">
        <f>IFERROR(__xludf.DUMMYFUNCTION("""COMPUTED_VALUE"""),"English")</f>
        <v/>
      </c>
      <c r="I91" s="1">
        <f>IFERROR(__xludf.DUMMYFUNCTION("""COMPUTED_VALUE"""),"cosmin.botoroga@datasweep.app")</f>
        <v/>
      </c>
      <c r="J91" s="1">
        <f>IFERROR(__xludf.DUMMYFUNCTION("""COMPUTED_VALUE"""),"+40764543298")</f>
        <v/>
      </c>
      <c r="K91" s="1">
        <f>IFERROR(__xludf.DUMMYFUNCTION("""COMPUTED_VALUE"""),"Bucharest ")</f>
        <v/>
      </c>
      <c r="L91" s="1">
        <f>IFERROR(__xludf.DUMMYFUNCTION("""COMPUTED_VALUE"""),"Romania")</f>
        <v/>
      </c>
      <c r="M91" s="1">
        <f>IFERROR(__xludf.DUMMYFUNCTION("""COMPUTED_VALUE"""),"Germany, Ireland, Romania, Switzerland, Turkey, Spain, United Kingdom, Malta, Greece, Austria")</f>
        <v/>
      </c>
      <c r="N91" s="1">
        <f>IFERROR(__xludf.DUMMYFUNCTION("""COMPUTED_VALUE"""),"Micro (1-9 FTE employees)")</f>
        <v/>
      </c>
      <c r="O91" s="1">
        <f>IFERROR(__xludf.DUMMYFUNCTION("""COMPUTED_VALUE"""),"Business to Schools, Business to Consumer, Business to Business")</f>
        <v/>
      </c>
      <c r="P91" s="1">
        <f>IFERROR(__xludf.DUMMYFUNCTION("""COMPUTED_VALUE"""),"Higher Education, Corporate Training")</f>
        <v/>
      </c>
      <c r="Q91" s="1">
        <f>IFERROR(__xludf.DUMMYFUNCTION("""COMPUTED_VALUE"""),"Other")</f>
        <v/>
      </c>
      <c r="R91" s="15">
        <f>IFERROR(__xludf.DUMMYFUNCTION("""COMPUTED_VALUE"""),"https://www.instagram.com/datasweep.app/")</f>
        <v/>
      </c>
      <c r="S91" s="1" t="n"/>
      <c r="T91" s="15">
        <f>IFERROR(__xludf.DUMMYFUNCTION("""COMPUTED_VALUE"""),"https://www.linkedin.com/company/data-sweep/")</f>
        <v/>
      </c>
      <c r="U91" s="1">
        <f>IFERROR(__xludf.DUMMYFUNCTION("""COMPUTED_VALUE"""),"DATA SWEEP - quantitative indicators ")</f>
        <v/>
      </c>
      <c r="V91" s="1">
        <f>IFERROR(__xludf.DUMMYFUNCTION("""COMPUTED_VALUE"""),"DATA SWEEP gives you instant access to 3.1 million reliable indicators, cutting data-collection time from months to minutes so you can focus on analysis, not searching.")</f>
        <v/>
      </c>
      <c r="W91" s="1">
        <f>IFERROR(__xludf.DUMMYFUNCTION("""COMPUTED_VALUE"""),"DATA SWEEP - scientific papers ")</f>
        <v/>
      </c>
      <c r="X91" s="1">
        <f>IFERROR(__xludf.DUMMYFUNCTION("""COMPUTED_VALUE"""),"DATA SWEEP lets you search through 214 million scientific papers from 79 million authors with 2.49 billion citations, all in seconds.")</f>
        <v/>
      </c>
      <c r="Y91" s="15">
        <f>IFERROR(__xludf.DUMMYFUNCTION("""COMPUTED_VALUE"""),"https://drive.google.com/uc?export=view&amp;id=1BAr6DR9Ungz7HdK6w-J6xDDjWSVoxTlI")</f>
        <v/>
      </c>
      <c r="Z91" s="1">
        <f>IFERROR(__xludf.DUMMYFUNCTION("""COMPUTED_VALUE"""),"Verified")</f>
        <v/>
      </c>
      <c r="AA91" s="1">
        <f>IFERROR(__xludf.DUMMYFUNCTION("""COMPUTED_VALUE"""),"Collaborations between EdTech organisations, Project consortium building, Public-private partnerships, Industry-academia partnerships, Other")</f>
        <v/>
      </c>
      <c r="AB91" s="1">
        <f>IFERROR(__xludf.DUMMYFUNCTION("""COMPUTED_VALUE"""),"For-profit company")</f>
        <v/>
      </c>
      <c r="AC91" s="1">
        <f>IFERROR(__xludf.DUMMYFUNCTION("""COMPUTED_VALUE"""),TRUE)</f>
        <v/>
      </c>
      <c r="AD91" s="1">
        <f>IFERROR(__xludf.DUMMYFUNCTION("""COMPUTED_VALUE"""),TRUE)</f>
        <v/>
      </c>
      <c r="AE91" s="15">
        <f>IFERROR(__xludf.DUMMYFUNCTION("""COMPUTED_VALUE"""),"https://www.facebook.com/profile.php?id=61558460196916")</f>
        <v/>
      </c>
    </row>
    <row r="92" ht="42" customHeight="1">
      <c r="A92" s="14">
        <f>IFERROR(__xludf.DUMMYFUNCTION("""COMPUTED_VALUE"""),45880)</f>
        <v/>
      </c>
      <c r="B92" s="1">
        <f>IFERROR(__xludf.DUMMYFUNCTION("""COMPUTED_VALUE"""),"ORG_2625")</f>
        <v/>
      </c>
      <c r="C92" s="1">
        <f>IFERROR(__xludf.DUMMYFUNCTION("""COMPUTED_VALUE"""),TRUE)</f>
        <v/>
      </c>
      <c r="D92" s="1">
        <f>IFERROR(__xludf.DUMMYFUNCTION("""COMPUTED_VALUE"""),"QURECA ")</f>
        <v/>
      </c>
      <c r="E92" s="15">
        <f>IFERROR(__xludf.DUMMYFUNCTION("""COMPUTED_VALUE"""),"www.qureca.com")</f>
        <v/>
      </c>
      <c r="F92" s="1">
        <f>IFERROR(__xludf.DUMMYFUNCTION("""COMPUTED_VALUE"""),"QURECA is the leading company specialising in quantum technology education and workforce development. We offer:   - Online training courses and skills development programs focused on quantum technologies, aiming to address the global shortage of quantum t"&amp;"alent. - A dedicated recruitment and resourcing platform to connect quantum experts with businesses and institutions seeking quantum skills. - Professional services, including business development, strategic consulting, and support for startups and establ"&amp;"ished companies integrating quantum technologies. - Business support in integrating quantum technology primarily through tailored business consulting and strategic development services. We help companies understand how quantum technologies can benefit the"&amp;"ir operations and assist in developing a customised quantum strategy aligned with their business goals.   QURECA’s mission is to bridge gaps in the quantum community, helping individuals and organisations become part of the quantum revolution by providing"&amp;" the necessary resources, education, and connections.")</f>
        <v/>
      </c>
      <c r="G92" s="1">
        <f>IFERROR(__xludf.DUMMYFUNCTION("""COMPUTED_VALUE"""),"I'm not part of any EdTech association")</f>
        <v/>
      </c>
      <c r="H92" s="1">
        <f>IFERROR(__xludf.DUMMYFUNCTION("""COMPUTED_VALUE"""),"English, Spanish, French")</f>
        <v/>
      </c>
      <c r="I92" s="1">
        <f>IFERROR(__xludf.DUMMYFUNCTION("""COMPUTED_VALUE"""),"info@qureca.com")</f>
        <v/>
      </c>
      <c r="J92" s="1">
        <f>IFERROR(__xludf.DUMMYFUNCTION("""COMPUTED_VALUE"""),"+447960434886")</f>
        <v/>
      </c>
      <c r="K92" s="1">
        <f>IFERROR(__xludf.DUMMYFUNCTION("""COMPUTED_VALUE"""),"Glasgow")</f>
        <v/>
      </c>
      <c r="L92" s="1">
        <f>IFERROR(__xludf.DUMMYFUNCTION("""COMPUTED_VALUE"""),"United Kingdom")</f>
        <v/>
      </c>
      <c r="M92" s="1">
        <f>IFERROR(__xludf.DUMMYFUNCTION("""COMPUTED_VALUE"""),"Albania, Andorra, Austria, Belarus, Belgium, Bosnia and Herzegovina, Bulgaria, Croatia, Republic of Cyprus, Czechia, Denmark, Estonia, Finland, France, Germany, Greece, Hungary, Iceland, Ireland, Italy, Kosovo, Latvia, Luxembourg, Monaco, North Macedonia,"&amp;" Portugal, Slovakia, Sweden, Ukraine, United Kingdom, Switzerland, Slovenia, Romania, Norway, Montenegro, Malta, Liechtenstein, Lithuania, Moldova, Netherlands, Poland, San Marino, Spain, Turkey, all the world")</f>
        <v/>
      </c>
      <c r="N92" s="1">
        <f>IFERROR(__xludf.DUMMYFUNCTION("""COMPUTED_VALUE"""),"Micro (1-9 FTE employees)")</f>
        <v/>
      </c>
      <c r="O92" s="1">
        <f>IFERROR(__xludf.DUMMYFUNCTION("""COMPUTED_VALUE"""),"Business to Business, Business to Consumer, Business to Government, Business to Schools")</f>
        <v/>
      </c>
      <c r="P92" s="1">
        <f>IFERROR(__xludf.DUMMYFUNCTION("""COMPUTED_VALUE"""),"Secondary Education, Vocational Education and Training (VET), Higher Education, Corporate Training, Lifelong learning/Adult education, Primary Education")</f>
        <v/>
      </c>
      <c r="Q92" s="1">
        <f>IFERROR(__xludf.DUMMYFUNCTION("""COMPUTED_VALUE"""),"Student interfacing")</f>
        <v/>
      </c>
      <c r="R92" s="1" t="n"/>
      <c r="S92" s="1" t="n"/>
      <c r="T92" s="15">
        <f>IFERROR(__xludf.DUMMYFUNCTION("""COMPUTED_VALUE"""),"https://www.linkedin.com/company/qureca/")</f>
        <v/>
      </c>
      <c r="U92" s="1">
        <f>IFERROR(__xludf.DUMMYFUNCTION("""COMPUTED_VALUE"""),"Online Training Courses")</f>
        <v/>
      </c>
      <c r="V92" s="1">
        <f>IFERROR(__xludf.DUMMYFUNCTION("""COMPUTED_VALUE"""),"Join QURECA’s Quantum Learning Platform for top-rated content in quantum technologies and practical applications, from beginner to advanced level. Learn from industry experts and leading universities. Start your quantum journey today !")</f>
        <v/>
      </c>
      <c r="W92" s="1">
        <f>IFERROR(__xludf.DUMMYFUNCTION("""COMPUTED_VALUE"""),"Business Consulting")</f>
        <v/>
      </c>
      <c r="X92" s="1">
        <f>IFERROR(__xludf.DUMMYFUNCTION("""COMPUTED_VALUE"""),"From business development for start-ups to strategic decision-making with business intelligence, we offer expert guidance to help your organisation thrive with quantum technologies. Redefine your business strategy, identify opportunities early, and stay a"&amp;"head of the curve for sustained growth.")</f>
        <v/>
      </c>
      <c r="Y92" s="15">
        <f>IFERROR(__xludf.DUMMYFUNCTION("""COMPUTED_VALUE"""),"https://drive.google.com/uc?export=view&amp;id=1lFcWRjooXNT56pmDxkhqE41BlbNbPoML")</f>
        <v/>
      </c>
      <c r="Z92" s="1">
        <f>IFERROR(__xludf.DUMMYFUNCTION("""COMPUTED_VALUE"""),"Verified")</f>
        <v/>
      </c>
      <c r="AA92" s="1">
        <f>IFERROR(__xludf.DUMMYFUNCTION("""COMPUTED_VALUE"""),"Collaborations between EdTech organisations, Project consortium building, Public-private partnerships, Industry-academia partnerships")</f>
        <v/>
      </c>
      <c r="AB92" s="1">
        <f>IFERROR(__xludf.DUMMYFUNCTION("""COMPUTED_VALUE"""),"For-profit company")</f>
        <v/>
      </c>
      <c r="AC92" s="1">
        <f>IFERROR(__xludf.DUMMYFUNCTION("""COMPUTED_VALUE"""),TRUE)</f>
        <v/>
      </c>
      <c r="AD92" s="1">
        <f>IFERROR(__xludf.DUMMYFUNCTION("""COMPUTED_VALUE"""),TRUE)</f>
        <v/>
      </c>
      <c r="AE92" s="1" t="n"/>
    </row>
    <row r="93" ht="42" customHeight="1">
      <c r="A93" s="14">
        <f>IFERROR(__xludf.DUMMYFUNCTION("""COMPUTED_VALUE"""),45880)</f>
        <v/>
      </c>
      <c r="B93" s="1">
        <f>IFERROR(__xludf.DUMMYFUNCTION("""COMPUTED_VALUE"""),"ORG_2237")</f>
        <v/>
      </c>
      <c r="C93" s="1">
        <f>IFERROR(__xludf.DUMMYFUNCTION("""COMPUTED_VALUE"""),TRUE)</f>
        <v/>
      </c>
      <c r="D93" s="1">
        <f>IFERROR(__xludf.DUMMYFUNCTION("""COMPUTED_VALUE"""),"SignLab")</f>
        <v/>
      </c>
      <c r="E93" s="15">
        <f>IFERROR(__xludf.DUMMYFUNCTION("""COMPUTED_VALUE"""),"Signlab.co")</f>
        <v/>
      </c>
      <c r="F93" s="1">
        <f>IFERROR(__xludf.DUMMYFUNCTION("""COMPUTED_VALUE"""),"We make learning sign language more available, affordable and effective worldwide ")</f>
        <v/>
      </c>
      <c r="G93" s="1">
        <f>IFERROR(__xludf.DUMMYFUNCTION("""COMPUTED_VALUE"""),"I'm not part of any EdTech association")</f>
        <v/>
      </c>
      <c r="H93" s="1">
        <f>IFERROR(__xludf.DUMMYFUNCTION("""COMPUTED_VALUE"""),"French, English, Spanish, German, Italian, Ukrainian, Norwegian")</f>
        <v/>
      </c>
      <c r="I93" s="1">
        <f>IFERROR(__xludf.DUMMYFUNCTION("""COMPUTED_VALUE"""),"hello@signlab.co")</f>
        <v/>
      </c>
      <c r="J93" s="1">
        <f>IFERROR(__xludf.DUMMYFUNCTION("""COMPUTED_VALUE"""),"+4748141881")</f>
        <v/>
      </c>
      <c r="K93" s="1">
        <f>IFERROR(__xludf.DUMMYFUNCTION("""COMPUTED_VALUE"""),"Oslo")</f>
        <v/>
      </c>
      <c r="L93" s="1">
        <f>IFERROR(__xludf.DUMMYFUNCTION("""COMPUTED_VALUE"""),"Norway")</f>
        <v/>
      </c>
      <c r="M93" s="1">
        <f>IFERROR(__xludf.DUMMYFUNCTION("""COMPUTED_VALUE"""),"Germany, France, Italy, Norway, United Kingdom, Ukraine")</f>
        <v/>
      </c>
      <c r="N93" s="1">
        <f>IFERROR(__xludf.DUMMYFUNCTION("""COMPUTED_VALUE"""),"Small (10-49 FTE employees)")</f>
        <v/>
      </c>
      <c r="O93" s="1">
        <f>IFERROR(__xludf.DUMMYFUNCTION("""COMPUTED_VALUE"""),"Business to Consumer, Business to Business, Business to Government, Business to Schools")</f>
        <v/>
      </c>
      <c r="P93" s="1">
        <f>IFERROR(__xludf.DUMMYFUNCTION("""COMPUTED_VALUE"""),"Lifelong learning/Adult education, Special education, Primary Education, Early childhood development (0-5 years), Secondary Education, Higher Education, Corporate Training")</f>
        <v/>
      </c>
      <c r="Q93" s="1">
        <f>IFERROR(__xludf.DUMMYFUNCTION("""COMPUTED_VALUE"""),"Student interfacing, Teacher interfacing")</f>
        <v/>
      </c>
      <c r="R93" s="1" t="n"/>
      <c r="S93" s="1" t="n"/>
      <c r="T93" s="1" t="n"/>
      <c r="U93" s="1">
        <f>IFERROR(__xludf.DUMMYFUNCTION("""COMPUTED_VALUE"""),"ASL Bloom")</f>
        <v/>
      </c>
      <c r="V93" s="1">
        <f>IFERROR(__xludf.DUMMYFUNCTION("""COMPUTED_VALUE"""),"Sign language app for American Sign Language")</f>
        <v/>
      </c>
      <c r="W93" s="1">
        <f>IFERROR(__xludf.DUMMYFUNCTION("""COMPUTED_VALUE"""),"Bright BSL")</f>
        <v/>
      </c>
      <c r="X93" s="1">
        <f>IFERROR(__xludf.DUMMYFUNCTION("""COMPUTED_VALUE"""),"Sign language app for British Sign Language ")</f>
        <v/>
      </c>
      <c r="Y93" s="15">
        <f>IFERROR(__xludf.DUMMYFUNCTION("""COMPUTED_VALUE"""),"https://drive.google.com/uc?export=view&amp;id=1saUjsf9BF5NlKnKdaZChRoEMtsDZOYDD")</f>
        <v/>
      </c>
      <c r="Z93" s="1">
        <f>IFERROR(__xludf.DUMMYFUNCTION("""COMPUTED_VALUE"""),"Verified")</f>
        <v/>
      </c>
      <c r="AA93" s="1">
        <f>IFERROR(__xludf.DUMMYFUNCTION("""COMPUTED_VALUE"""),"Collaborations between EdTech organisations, Project consortium building, Public-private partnerships, Industry-academia partnerships")</f>
        <v/>
      </c>
      <c r="AB93" s="1">
        <f>IFERROR(__xludf.DUMMYFUNCTION("""COMPUTED_VALUE"""),"For-profit company")</f>
        <v/>
      </c>
      <c r="AC93" s="1">
        <f>IFERROR(__xludf.DUMMYFUNCTION("""COMPUTED_VALUE"""),TRUE)</f>
        <v/>
      </c>
      <c r="AD93" s="1">
        <f>IFERROR(__xludf.DUMMYFUNCTION("""COMPUTED_VALUE"""),TRUE)</f>
        <v/>
      </c>
      <c r="AE93" s="1" t="n"/>
    </row>
    <row r="94" ht="42" customHeight="1">
      <c r="A94" s="14">
        <f>IFERROR(__xludf.DUMMYFUNCTION("""COMPUTED_VALUE"""),45877)</f>
        <v/>
      </c>
      <c r="B94" s="1">
        <f>IFERROR(__xludf.DUMMYFUNCTION("""COMPUTED_VALUE"""),"ORG_2624")</f>
        <v/>
      </c>
      <c r="C94" s="1">
        <f>IFERROR(__xludf.DUMMYFUNCTION("""COMPUTED_VALUE"""),TRUE)</f>
        <v/>
      </c>
      <c r="D94" s="1">
        <f>IFERROR(__xludf.DUMMYFUNCTION("""COMPUTED_VALUE"""),"Miranda Mobile Learning OG")</f>
        <v/>
      </c>
      <c r="E94" s="1">
        <f>IFERROR(__xludf.DUMMYFUNCTION("""COMPUTED_VALUE"""),"miranda.works")</f>
        <v/>
      </c>
      <c r="F94" s="1">
        <f>IFERROR(__xludf.DUMMYFUNCTION("""COMPUTED_VALUE"""),"Miranda is a math learning app that brings personal tutoring to your smartphone. With its innovative “Floating Tutor,” it delivers math content in a personalized, interactive, and engaging way. Our goal: to provide high-quality, affordable, digital one-on"&amp;"-one tutoring for everyone – regardless of income. Already over 25,000 users in Austria are learning with Miranda.")</f>
        <v/>
      </c>
      <c r="G94" s="1">
        <f>IFERROR(__xludf.DUMMYFUNCTION("""COMPUTED_VALUE"""),"EdTech Austria")</f>
        <v/>
      </c>
      <c r="H94" s="1">
        <f>IFERROR(__xludf.DUMMYFUNCTION("""COMPUTED_VALUE"""),"German")</f>
        <v/>
      </c>
      <c r="I94" s="1">
        <f>IFERROR(__xludf.DUMMYFUNCTION("""COMPUTED_VALUE"""),"julia@miranda.works")</f>
        <v/>
      </c>
      <c r="J94" s="1">
        <f>IFERROR(__xludf.DUMMYFUNCTION("""COMPUTED_VALUE"""),"+4367762313852")</f>
        <v/>
      </c>
      <c r="K94" s="1">
        <f>IFERROR(__xludf.DUMMYFUNCTION("""COMPUTED_VALUE"""),"Manning")</f>
        <v/>
      </c>
      <c r="L94" s="1">
        <f>IFERROR(__xludf.DUMMYFUNCTION("""COMPUTED_VALUE"""),"Austria")</f>
        <v/>
      </c>
      <c r="M94" s="1">
        <f>IFERROR(__xludf.DUMMYFUNCTION("""COMPUTED_VALUE"""),"Austria")</f>
        <v/>
      </c>
      <c r="N94" s="1">
        <f>IFERROR(__xludf.DUMMYFUNCTION("""COMPUTED_VALUE"""),"Micro (1-9 FTE employees)")</f>
        <v/>
      </c>
      <c r="O94" s="1">
        <f>IFERROR(__xludf.DUMMYFUNCTION("""COMPUTED_VALUE"""),"Business to Consumer")</f>
        <v/>
      </c>
      <c r="P94" s="1">
        <f>IFERROR(__xludf.DUMMYFUNCTION("""COMPUTED_VALUE"""),"Secondary Education")</f>
        <v/>
      </c>
      <c r="Q94" s="1">
        <f>IFERROR(__xludf.DUMMYFUNCTION("""COMPUTED_VALUE"""),"Student interfacing, Other")</f>
        <v/>
      </c>
      <c r="R94" s="15">
        <f>IFERROR(__xludf.DUMMYFUNCTION("""COMPUTED_VALUE"""),"https://www.instagram.com/miranda.works/")</f>
        <v/>
      </c>
      <c r="S94" s="1" t="n"/>
      <c r="T94" s="15">
        <f>IFERROR(__xludf.DUMMYFUNCTION("""COMPUTED_VALUE"""),"https://www.linkedin.com/company/miranda-42/")</f>
        <v/>
      </c>
      <c r="U94" s="1">
        <f>IFERROR(__xludf.DUMMYFUNCTION("""COMPUTED_VALUE"""),"Upper Secondary Course (AHS &amp; BHS)")</f>
        <v/>
      </c>
      <c r="V94" s="1">
        <f>IFERROR(__xludf.DUMMYFUNCTION("""COMPUTED_VALUE"""),"An interactive course with theory and self-practice exercises, including all official final exams (Matura).")</f>
        <v/>
      </c>
      <c r="W94" s="1">
        <f>IFERROR(__xludf.DUMMYFUNCTION("""COMPUTED_VALUE"""),"Lower Secondary Parent Course")</f>
        <v/>
      </c>
      <c r="X94" s="1">
        <f>IFERROR(__xludf.DUMMYFUNCTION("""COMPUTED_VALUE"""),"A theory-based course with exercises that are fully explained and solved step-by-step.")</f>
        <v/>
      </c>
      <c r="Y94" s="15">
        <f>IFERROR(__xludf.DUMMYFUNCTION("""COMPUTED_VALUE"""),"https://drive.google.com/uc?export=view&amp;id=1irRSo7kC1lBOb-U5tQyrK-pSeR9Zq1EV")</f>
        <v/>
      </c>
      <c r="Z94" s="1">
        <f>IFERROR(__xludf.DUMMYFUNCTION("""COMPUTED_VALUE"""),"Verified")</f>
        <v/>
      </c>
      <c r="AA94" s="1">
        <f>IFERROR(__xludf.DUMMYFUNCTION("""COMPUTED_VALUE"""),"Collaborations between EdTech organisations, Public-private partnerships, Other")</f>
        <v/>
      </c>
      <c r="AB94" s="1">
        <f>IFERROR(__xludf.DUMMYFUNCTION("""COMPUTED_VALUE"""),"For-profit company")</f>
        <v/>
      </c>
      <c r="AC94" s="1">
        <f>IFERROR(__xludf.DUMMYFUNCTION("""COMPUTED_VALUE"""),FALSE)</f>
        <v/>
      </c>
      <c r="AD94" s="1">
        <f>IFERROR(__xludf.DUMMYFUNCTION("""COMPUTED_VALUE"""),TRUE)</f>
        <v/>
      </c>
      <c r="AE94" s="15">
        <f>IFERROR(__xludf.DUMMYFUNCTION("""COMPUTED_VALUE"""),"https://www.facebook.com/profile.php?id=100077751545307")</f>
        <v/>
      </c>
    </row>
    <row r="95" ht="42" customHeight="1">
      <c r="A95" s="14">
        <f>IFERROR(__xludf.DUMMYFUNCTION("""COMPUTED_VALUE"""),45877)</f>
        <v/>
      </c>
      <c r="B95" s="1">
        <f>IFERROR(__xludf.DUMMYFUNCTION("""COMPUTED_VALUE"""),"ORG_2623")</f>
        <v/>
      </c>
      <c r="C95" s="1">
        <f>IFERROR(__xludf.DUMMYFUNCTION("""COMPUTED_VALUE"""),TRUE)</f>
        <v/>
      </c>
      <c r="D95" s="1">
        <f>IFERROR(__xludf.DUMMYFUNCTION("""COMPUTED_VALUE"""),"DigiEd d.o.o.")</f>
        <v/>
      </c>
      <c r="E95" s="15">
        <f>IFERROR(__xludf.DUMMYFUNCTION("""COMPUTED_VALUE"""),"www.digied.si")</f>
        <v/>
      </c>
      <c r="F95" s="1">
        <f>IFERROR(__xludf.DUMMYFUNCTION("""COMPUTED_VALUE"""),"A Digital Agency Focused On E-learning, Technology And People.")</f>
        <v/>
      </c>
      <c r="G95" s="1">
        <f>IFERROR(__xludf.DUMMYFUNCTION("""COMPUTED_VALUE"""),"EdTech Slovenia")</f>
        <v/>
      </c>
      <c r="H95" s="1">
        <f>IFERROR(__xludf.DUMMYFUNCTION("""COMPUTED_VALUE"""),"English, German, Slovenian, Croatian")</f>
        <v/>
      </c>
      <c r="I95" s="1">
        <f>IFERROR(__xludf.DUMMYFUNCTION("""COMPUTED_VALUE"""),"info@digied.si")</f>
        <v/>
      </c>
      <c r="J95" s="1">
        <f>IFERROR(__xludf.DUMMYFUNCTION("""COMPUTED_VALUE"""),"+38641384988")</f>
        <v/>
      </c>
      <c r="K95" s="1">
        <f>IFERROR(__xludf.DUMMYFUNCTION("""COMPUTED_VALUE"""),"Ljubljana")</f>
        <v/>
      </c>
      <c r="L95" s="1">
        <f>IFERROR(__xludf.DUMMYFUNCTION("""COMPUTED_VALUE"""),"Slovenia")</f>
        <v/>
      </c>
      <c r="M95" s="1">
        <f>IFERROR(__xludf.DUMMYFUNCTION("""COMPUTED_VALUE"""),"Slovenia, Germany, Croatia, Serbia")</f>
        <v/>
      </c>
      <c r="N95" s="1">
        <f>IFERROR(__xludf.DUMMYFUNCTION("""COMPUTED_VALUE"""),"Micro (1-9 FTE employees)")</f>
        <v/>
      </c>
      <c r="O95" s="1">
        <f>IFERROR(__xludf.DUMMYFUNCTION("""COMPUTED_VALUE"""),"Business to Business, Business to Government")</f>
        <v/>
      </c>
      <c r="P95" s="1">
        <f>IFERROR(__xludf.DUMMYFUNCTION("""COMPUTED_VALUE"""),"Early childhood development (0-5 years), Primary Education, Secondary Education, Vocational Education and Training (VET), Corporate Training")</f>
        <v/>
      </c>
      <c r="Q95" s="1">
        <f>IFERROR(__xludf.DUMMYFUNCTION("""COMPUTED_VALUE"""),"Teacher interfacing, Student interfacing")</f>
        <v/>
      </c>
      <c r="R95" s="1" t="n"/>
      <c r="S95" s="1" t="n"/>
      <c r="T95" s="15">
        <f>IFERROR(__xludf.DUMMYFUNCTION("""COMPUTED_VALUE"""),"https://www.linkedin.com/company/digied-keep-learning/")</f>
        <v/>
      </c>
      <c r="U95" s="1">
        <f>IFERROR(__xludf.DUMMYFUNCTION("""COMPUTED_VALUE"""),"Quest ")</f>
        <v/>
      </c>
      <c r="V95" s="1">
        <f>IFERROR(__xludf.DUMMYFUNCTION("""COMPUTED_VALUE"""),"Quest is an outdoor adventure platform, serving as a mobile guide for independent outdoor learning. Embark on numerous educational paths with challenges, interesting tasks, and if you complete enough, you receive a reward at the end!")</f>
        <v/>
      </c>
      <c r="W95" s="1">
        <f>IFERROR(__xludf.DUMMYFUNCTION("""COMPUTED_VALUE"""),"E-learning production services")</f>
        <v/>
      </c>
      <c r="X95" s="1">
        <f>IFERROR(__xludf.DUMMYFUNCTION("""COMPUTED_VALUE"""),"We offer production services for digital education learning materials. Our products meet the changed needs and habits of students and teachers of the 21st century, and introduces the advantages of modern technologies and new didactic approaches to their c"&amp;"lassrooms.")</f>
        <v/>
      </c>
      <c r="Y95" s="15">
        <f>IFERROR(__xludf.DUMMYFUNCTION("""COMPUTED_VALUE"""),"https://drive.google.com/uc?export=view&amp;id=1zVKysMN-1eSsw_H-0iWumVhljG7W6UeZ")</f>
        <v/>
      </c>
      <c r="Z95" s="1">
        <f>IFERROR(__xludf.DUMMYFUNCTION("""COMPUTED_VALUE"""),"Verified")</f>
        <v/>
      </c>
      <c r="AA95" s="1">
        <f>IFERROR(__xludf.DUMMYFUNCTION("""COMPUTED_VALUE"""),"Project consortium building, Public-private partnerships, Collaborations between EdTech organisations")</f>
        <v/>
      </c>
      <c r="AB95" s="1">
        <f>IFERROR(__xludf.DUMMYFUNCTION("""COMPUTED_VALUE"""),"For-profit company")</f>
        <v/>
      </c>
      <c r="AC95" s="1">
        <f>IFERROR(__xludf.DUMMYFUNCTION("""COMPUTED_VALUE"""),TRUE)</f>
        <v/>
      </c>
      <c r="AD95" s="1">
        <f>IFERROR(__xludf.DUMMYFUNCTION("""COMPUTED_VALUE"""),TRUE)</f>
        <v/>
      </c>
      <c r="AE95" s="1" t="n"/>
    </row>
    <row r="96" ht="42" customHeight="1">
      <c r="A96" s="14">
        <f>IFERROR(__xludf.DUMMYFUNCTION("""COMPUTED_VALUE"""),45877)</f>
        <v/>
      </c>
      <c r="B96" s="1">
        <f>IFERROR(__xludf.DUMMYFUNCTION("""COMPUTED_VALUE"""),"ORG_2622")</f>
        <v/>
      </c>
      <c r="C96" s="1">
        <f>IFERROR(__xludf.DUMMYFUNCTION("""COMPUTED_VALUE"""),TRUE)</f>
        <v/>
      </c>
      <c r="D96" s="1">
        <f>IFERROR(__xludf.DUMMYFUNCTION("""COMPUTED_VALUE"""),"inventorio")</f>
        <v/>
      </c>
      <c r="E96" s="15">
        <f>IFERROR(__xludf.DUMMYFUNCTION("""COMPUTED_VALUE"""),"https://inventorio.de/")</f>
        <v/>
      </c>
      <c r="F96" s="1">
        <f>IFERROR(__xludf.DUMMYFUNCTION("""COMPUTED_VALUE"""),"Inventorio is the first all-in-one solution for education institutes and public facilities that streamlines inventory management &amp; demand planning. inventorio is the backbone for managing all the objects in your school and community.")</f>
        <v/>
      </c>
      <c r="G96" s="1">
        <f>IFERROR(__xludf.DUMMYFUNCTION("""COMPUTED_VALUE"""),"EdTech-Verband e.V.")</f>
        <v/>
      </c>
      <c r="H96" s="1">
        <f>IFERROR(__xludf.DUMMYFUNCTION("""COMPUTED_VALUE"""),"German, English")</f>
        <v/>
      </c>
      <c r="I96" s="1">
        <f>IFERROR(__xludf.DUMMYFUNCTION("""COMPUTED_VALUE"""),"kontakt@inventorio.de")</f>
        <v/>
      </c>
      <c r="J96" s="1">
        <f>IFERROR(__xludf.DUMMYFUNCTION("""COMPUTED_VALUE"""),"+4973059589400")</f>
        <v/>
      </c>
      <c r="K96" s="1">
        <f>IFERROR(__xludf.DUMMYFUNCTION("""COMPUTED_VALUE"""),"Ulm")</f>
        <v/>
      </c>
      <c r="L96" s="1">
        <f>IFERROR(__xludf.DUMMYFUNCTION("""COMPUTED_VALUE"""),"Germany")</f>
        <v/>
      </c>
      <c r="M96" s="1">
        <f>IFERROR(__xludf.DUMMYFUNCTION("""COMPUTED_VALUE"""),"Albania, Austria, Belgium, Croatia, Denmark, Estonia, Czechia, Finland, France, Germany, Greece, Ireland, Italy, Latvia, Lithuania, Luxembourg, Netherlands, Norway, Poland, Romania, Portugal, Slovakia, Slovenia, Spain, Switzerland, Sweden, Ukraine, United"&amp;" Kingdom")</f>
        <v/>
      </c>
      <c r="N96" s="1">
        <f>IFERROR(__xludf.DUMMYFUNCTION("""COMPUTED_VALUE"""),"Small (10-49 FTE employees)")</f>
        <v/>
      </c>
      <c r="O96" s="1">
        <f>IFERROR(__xludf.DUMMYFUNCTION("""COMPUTED_VALUE"""),"Business to Government, Business to Schools")</f>
        <v/>
      </c>
      <c r="P96" s="1">
        <f>IFERROR(__xludf.DUMMYFUNCTION("""COMPUTED_VALUE"""),"Primary Education, Secondary Education, Higher Education")</f>
        <v/>
      </c>
      <c r="Q96" s="1">
        <f>IFERROR(__xludf.DUMMYFUNCTION("""COMPUTED_VALUE"""),"Teacher interfacing, System/Administrative")</f>
        <v/>
      </c>
      <c r="R96" s="15">
        <f>IFERROR(__xludf.DUMMYFUNCTION("""COMPUTED_VALUE"""),"https://www.instagram.com/inventorio_edu/")</f>
        <v/>
      </c>
      <c r="S96" s="1" t="n"/>
      <c r="T96" s="15">
        <f>IFERROR(__xludf.DUMMYFUNCTION("""COMPUTED_VALUE"""),"https://www.linkedin.com/company/inventorio/")</f>
        <v/>
      </c>
      <c r="U96" s="1">
        <f>IFERROR(__xludf.DUMMYFUNCTION("""COMPUTED_VALUE"""),"inventorio Asset-Management")</f>
        <v/>
      </c>
      <c r="V96" s="1">
        <f>IFERROR(__xludf.DUMMYFUNCTION("""COMPUTED_VALUE"""),"inventorio combines multiple platforms in one software: Inventory, Ticket System, Guides &amp; FAQs, Reports and Planning.")</f>
        <v/>
      </c>
      <c r="W96" s="1" t="n"/>
      <c r="X96" s="1" t="n"/>
      <c r="Y96" s="15">
        <f>IFERROR(__xludf.DUMMYFUNCTION("""COMPUTED_VALUE"""),"https://drive.google.com/uc?export=view&amp;id=1s11TI5XrrZGgGXsOi_hrmRMiXUn4azmF")</f>
        <v/>
      </c>
      <c r="Z96" s="1">
        <f>IFERROR(__xludf.DUMMYFUNCTION("""COMPUTED_VALUE"""),"Verified")</f>
        <v/>
      </c>
      <c r="AA96" s="1">
        <f>IFERROR(__xludf.DUMMYFUNCTION("""COMPUTED_VALUE"""),"Public-private partnerships, Collaborations between EdTech organisations")</f>
        <v/>
      </c>
      <c r="AB96" s="1">
        <f>IFERROR(__xludf.DUMMYFUNCTION("""COMPUTED_VALUE"""),"For-profit company")</f>
        <v/>
      </c>
      <c r="AC96" s="1">
        <f>IFERROR(__xludf.DUMMYFUNCTION("""COMPUTED_VALUE"""),TRUE)</f>
        <v/>
      </c>
      <c r="AD96" s="1">
        <f>IFERROR(__xludf.DUMMYFUNCTION("""COMPUTED_VALUE"""),FALSE)</f>
        <v/>
      </c>
      <c r="AE96" s="1" t="n"/>
    </row>
    <row r="97" ht="42" customHeight="1">
      <c r="A97" s="14">
        <f>IFERROR(__xludf.DUMMYFUNCTION("""COMPUTED_VALUE"""),45876)</f>
        <v/>
      </c>
      <c r="B97" s="1">
        <f>IFERROR(__xludf.DUMMYFUNCTION("""COMPUTED_VALUE"""),"ORG_2621")</f>
        <v/>
      </c>
      <c r="C97" s="1">
        <f>IFERROR(__xludf.DUMMYFUNCTION("""COMPUTED_VALUE"""),TRUE)</f>
        <v/>
      </c>
      <c r="D97" s="1">
        <f>IFERROR(__xludf.DUMMYFUNCTION("""COMPUTED_VALUE"""),"Magic EdTech")</f>
        <v/>
      </c>
      <c r="E97" s="15">
        <f>IFERROR(__xludf.DUMMYFUNCTION("""COMPUTED_VALUE"""),"https://www.magicedtech.com/")</f>
        <v/>
      </c>
      <c r="F97" s="1">
        <f>IFERROR(__xludf.DUMMYFUNCTION("""COMPUTED_VALUE"""),"Magic began its journey in 1990, with the simple idea of leveraging digital technology to bring learning to life. Over the years, Magic has reimagined content and built digital learning platforms by leveraging different technologies to create an immersive"&amp;" learning experience that is accessible and affordable for everyone. Magic has a longstanding relationship with many educational publishers like Pearson, Macmillan, and Wiley. We retain these relationships by blending technology and content solutions to d"&amp;"eliver effective and leading-edge digital learning products. ")</f>
        <v/>
      </c>
      <c r="G97" s="1">
        <f>IFERROR(__xludf.DUMMYFUNCTION("""COMPUTED_VALUE"""),"I'm not part of any EdTech association")</f>
        <v/>
      </c>
      <c r="H97" s="1">
        <f>IFERROR(__xludf.DUMMYFUNCTION("""COMPUTED_VALUE"""),"English, French, Spanish, German, Italian, Urdu")</f>
        <v/>
      </c>
      <c r="I97" s="1">
        <f>IFERROR(__xludf.DUMMYFUNCTION("""COMPUTED_VALUE"""),"farheen.foad@magicedtech.com")</f>
        <v/>
      </c>
      <c r="J97" s="1">
        <f>IFERROR(__xludf.DUMMYFUNCTION("""COMPUTED_VALUE"""),"+447877588804")</f>
        <v/>
      </c>
      <c r="K97" s="1">
        <f>IFERROR(__xludf.DUMMYFUNCTION("""COMPUTED_VALUE"""),"New York")</f>
        <v/>
      </c>
      <c r="L97" s="1">
        <f>IFERROR(__xludf.DUMMYFUNCTION("""COMPUTED_VALUE"""),"United States")</f>
        <v/>
      </c>
      <c r="M97" s="1">
        <f>IFERROR(__xludf.DUMMYFUNCTION("""COMPUTED_VALUE"""),"Ireland, United Kingdom, Spain, Portugal, Germany, France, Finland, Netherlands, Sweden")</f>
        <v/>
      </c>
      <c r="N97" s="1">
        <f>IFERROR(__xludf.DUMMYFUNCTION("""COMPUTED_VALUE"""),"Medium (50-250 FTE employees)")</f>
        <v/>
      </c>
      <c r="O97" s="1">
        <f>IFERROR(__xludf.DUMMYFUNCTION("""COMPUTED_VALUE"""),"Business to Business, Business to Government")</f>
        <v/>
      </c>
      <c r="P97" s="1">
        <f>IFERROR(__xludf.DUMMYFUNCTION("""COMPUTED_VALUE"""),"Higher Education, Vocational Education and Training (VET), Secondary Education, Primary Education, Early childhood development (0-5 years), Special education")</f>
        <v/>
      </c>
      <c r="Q97" s="1">
        <f>IFERROR(__xludf.DUMMYFUNCTION("""COMPUTED_VALUE"""),"Student interfacing, Teacher interfacing, System/Administrative, Other")</f>
        <v/>
      </c>
      <c r="R97" s="15">
        <f>IFERROR(__xludf.DUMMYFUNCTION("""COMPUTED_VALUE"""),"https://www.instagram.com/magic_edtech/")</f>
        <v/>
      </c>
      <c r="S97" s="1" t="n"/>
      <c r="T97" s="15">
        <f>IFERROR(__xludf.DUMMYFUNCTION("""COMPUTED_VALUE"""),"https://www.linkedin.com/company/magic-edtech/posts/?feedView=all")</f>
        <v/>
      </c>
      <c r="U97" s="1">
        <f>IFERROR(__xludf.DUMMYFUNCTION("""COMPUTED_VALUE"""),"Custom EdTech Development Services ")</f>
        <v/>
      </c>
      <c r="V97" s="1">
        <f>IFERROR(__xludf.DUMMYFUNCTION("""COMPUTED_VALUE"""),"Magic EdTech provides several services including: AI and Cloud for Learning, End-to-end Accessibility Solutions, Custom Platform Development and Transformation, and Immersive Modules - AR and more.")</f>
        <v/>
      </c>
      <c r="W97" s="1">
        <f>IFERROR(__xludf.DUMMYFUNCTION("""COMPUTED_VALUE"""),"MagicBox™ (Flagship Platform)")</f>
        <v/>
      </c>
      <c r="X97" s="1">
        <f>IFERROR(__xludf.DUMMYFUNCTION("""COMPUTED_VALUE"""),"MagicBox™ is a digital learning platform for K12 and higher education that serves as a content distribution platform, easing continuous publishing of content to educational institutions across the world. It's an award-winning cloud-based mobile learning p"&amp;"latform used by K-12, higher education etc.")</f>
        <v/>
      </c>
      <c r="Y97" s="15">
        <f>IFERROR(__xludf.DUMMYFUNCTION("""COMPUTED_VALUE"""),"https://drive.google.com/uc?export=view&amp;id=1sW632izew8MXPUp6d4LHYe4SU99fm8fY")</f>
        <v/>
      </c>
      <c r="Z97" s="1">
        <f>IFERROR(__xludf.DUMMYFUNCTION("""COMPUTED_VALUE"""),"Verified")</f>
        <v/>
      </c>
      <c r="AA97" s="1">
        <f>IFERROR(__xludf.DUMMYFUNCTION("""COMPUTED_VALUE"""),"Collaborations between EdTech organisations, Project consortium building, Public-private partnerships, Industry-academia partnerships, Other")</f>
        <v/>
      </c>
      <c r="AB97" s="1">
        <f>IFERROR(__xludf.DUMMYFUNCTION("""COMPUTED_VALUE"""),"For-profit company")</f>
        <v/>
      </c>
      <c r="AC97" s="1">
        <f>IFERROR(__xludf.DUMMYFUNCTION("""COMPUTED_VALUE"""),TRUE)</f>
        <v/>
      </c>
      <c r="AD97" s="1">
        <f>IFERROR(__xludf.DUMMYFUNCTION("""COMPUTED_VALUE"""),TRUE)</f>
        <v/>
      </c>
      <c r="AE97" s="1" t="n"/>
    </row>
    <row r="98" ht="42" customHeight="1">
      <c r="A98" s="14">
        <f>IFERROR(__xludf.DUMMYFUNCTION("""COMPUTED_VALUE"""),45876)</f>
        <v/>
      </c>
      <c r="B98" s="1">
        <f>IFERROR(__xludf.DUMMYFUNCTION("""COMPUTED_VALUE"""),"ORG_2620")</f>
        <v/>
      </c>
      <c r="C98" s="1">
        <f>IFERROR(__xludf.DUMMYFUNCTION("""COMPUTED_VALUE"""),TRUE)</f>
        <v/>
      </c>
      <c r="D98" s="1">
        <f>IFERROR(__xludf.DUMMYFUNCTION("""COMPUTED_VALUE"""),"Learning Glass Europe B.V.")</f>
        <v/>
      </c>
      <c r="E98" s="15">
        <f>IFERROR(__xludf.DUMMYFUNCTION("""COMPUTED_VALUE"""),"www.learningglass.eu")</f>
        <v/>
      </c>
      <c r="F98" s="1">
        <f>IFERROR(__xludf.DUMMYFUNCTION("""COMPUTED_VALUE"""),"Manufacturers of Lightboard technology used by educators for creating and delivering online learning content")</f>
        <v/>
      </c>
      <c r="G98" s="1">
        <f>IFERROR(__xludf.DUMMYFUNCTION("""COMPUTED_VALUE"""),"I'm not part of any EdTech association")</f>
        <v/>
      </c>
      <c r="H98" s="1">
        <f>IFERROR(__xludf.DUMMYFUNCTION("""COMPUTED_VALUE"""),"English, French, German, Italian, Spanish, Dutch")</f>
        <v/>
      </c>
      <c r="I98" s="1">
        <f>IFERROR(__xludf.DUMMYFUNCTION("""COMPUTED_VALUE"""),"info@learningglass.eu")</f>
        <v/>
      </c>
      <c r="J98" s="1">
        <f>IFERROR(__xludf.DUMMYFUNCTION("""COMPUTED_VALUE"""),"+31108906623")</f>
        <v/>
      </c>
      <c r="K98" s="1">
        <f>IFERROR(__xludf.DUMMYFUNCTION("""COMPUTED_VALUE"""),"Rotterdam")</f>
        <v/>
      </c>
      <c r="L98" s="1">
        <f>IFERROR(__xludf.DUMMYFUNCTION("""COMPUTED_VALUE"""),"The Netherlands")</f>
        <v/>
      </c>
      <c r="M98" s="1">
        <f>IFERROR(__xludf.DUMMYFUNCTION("""COMPUTED_VALUE"""),"Austria, Belgium, Denmark, Germany, France, Finland, Iceland, Ireland, Italy, Lithuania, Luxembourg, Netherlands, Portugal, Norway, Spain, Sweden, Switzerland, United Kingdom")</f>
        <v/>
      </c>
      <c r="N98" s="1">
        <f>IFERROR(__xludf.DUMMYFUNCTION("""COMPUTED_VALUE"""),"Small (10-49 FTE employees)")</f>
        <v/>
      </c>
      <c r="O98" s="1">
        <f>IFERROR(__xludf.DUMMYFUNCTION("""COMPUTED_VALUE"""),"Business to Business")</f>
        <v/>
      </c>
      <c r="P98" s="1">
        <f>IFERROR(__xludf.DUMMYFUNCTION("""COMPUTED_VALUE"""),"Corporate Training, Higher Education")</f>
        <v/>
      </c>
      <c r="Q98" s="1">
        <f>IFERROR(__xludf.DUMMYFUNCTION("""COMPUTED_VALUE"""),"Student interfacing")</f>
        <v/>
      </c>
      <c r="R98" s="1" t="n"/>
      <c r="S98" s="1" t="n"/>
      <c r="T98" s="15">
        <f>IFERROR(__xludf.DUMMYFUNCTION("""COMPUTED_VALUE"""),"https://www.linkedin.com/company/learning-glass-europe/")</f>
        <v/>
      </c>
      <c r="U98" s="1">
        <f>IFERROR(__xludf.DUMMYFUNCTION("""COMPUTED_VALUE"""),"Lightboard")</f>
        <v/>
      </c>
      <c r="V98" s="1">
        <f>IFERROR(__xludf.DUMMYFUNCTION("""COMPUTED_VALUE"""),"A lightboard is a transparent board usually made from glass where the teacher or presenter writes on the surface with a neon pen while a camera is recording their content. The neon writing is illuminated using special LEDs around the board. ")</f>
        <v/>
      </c>
      <c r="W98" s="1">
        <f>IFERROR(__xludf.DUMMYFUNCTION("""COMPUTED_VALUE"""),"Smart-Lightboard™ ")</f>
        <v/>
      </c>
      <c r="X98" s="1">
        <f>IFERROR(__xludf.DUMMYFUNCTION("""COMPUTED_VALUE"""),"A Smart-Lightboard uses a new technology which integrates a digital ’layer’ over the glass transforming the surface into a large transparent touch screen. ")</f>
        <v/>
      </c>
      <c r="Y98" s="15">
        <f>IFERROR(__xludf.DUMMYFUNCTION("""COMPUTED_VALUE"""),"https://drive.google.com/uc?export=view&amp;id=1EqHAkGuHBwTl0erMDeO6TQMYBfmUjTV5")</f>
        <v/>
      </c>
      <c r="Z98" s="1">
        <f>IFERROR(__xludf.DUMMYFUNCTION("""COMPUTED_VALUE"""),"Verified")</f>
        <v/>
      </c>
      <c r="AA98" s="1">
        <f>IFERROR(__xludf.DUMMYFUNCTION("""COMPUTED_VALUE"""),"Collaborations between EdTech organisations, Project consortium building, Public-private partnerships, Industry-academia partnerships")</f>
        <v/>
      </c>
      <c r="AB98" s="1">
        <f>IFERROR(__xludf.DUMMYFUNCTION("""COMPUTED_VALUE"""),"For-profit company")</f>
        <v/>
      </c>
      <c r="AC98" s="1">
        <f>IFERROR(__xludf.DUMMYFUNCTION("""COMPUTED_VALUE"""),TRUE)</f>
        <v/>
      </c>
      <c r="AD98" s="1">
        <f>IFERROR(__xludf.DUMMYFUNCTION("""COMPUTED_VALUE"""),FALSE)</f>
        <v/>
      </c>
      <c r="AE98" s="1" t="n"/>
    </row>
    <row r="99" ht="42" customHeight="1">
      <c r="A99" s="14">
        <f>IFERROR(__xludf.DUMMYFUNCTION("""COMPUTED_VALUE"""),45876)</f>
        <v/>
      </c>
      <c r="B99" s="1">
        <f>IFERROR(__xludf.DUMMYFUNCTION("""COMPUTED_VALUE"""),"ORG_2619")</f>
        <v/>
      </c>
      <c r="C99" s="1">
        <f>IFERROR(__xludf.DUMMYFUNCTION("""COMPUTED_VALUE"""),TRUE)</f>
        <v/>
      </c>
      <c r="D99" s="1">
        <f>IFERROR(__xludf.DUMMYFUNCTION("""COMPUTED_VALUE"""),"Habitat Learn GroupLimited")</f>
        <v/>
      </c>
      <c r="E99" s="15">
        <f>IFERROR(__xludf.DUMMYFUNCTION("""COMPUTED_VALUE"""),"https://www.habitatlearn.com")</f>
        <v/>
      </c>
      <c r="F99" s="1">
        <f>IFERROR(__xludf.DUMMYFUNCTION("""COMPUTED_VALUE"""),"Habitat Learn has developed cross-platform App, Messenger Pigeon, which incorporates multi-modal AI to record lectures in Higher Education, create abstracts and transcripts, and enable the students to accessibly engage with their content in multiple ways ")</f>
        <v/>
      </c>
      <c r="G99" s="1">
        <f>IFERROR(__xludf.DUMMYFUNCTION("""COMPUTED_VALUE"""),"I'm not part of any EdTech association")</f>
        <v/>
      </c>
      <c r="H99" s="1">
        <f>IFERROR(__xludf.DUMMYFUNCTION("""COMPUTED_VALUE"""),"English, French, Spanish")</f>
        <v/>
      </c>
      <c r="I99" s="1">
        <f>IFERROR(__xludf.DUMMYFUNCTION("""COMPUTED_VALUE"""),"jeremy.brassington@habitatlearn.com")</f>
        <v/>
      </c>
      <c r="J99" s="1">
        <f>IFERROR(__xludf.DUMMYFUNCTION("""COMPUTED_VALUE"""),"+447785225600")</f>
        <v/>
      </c>
      <c r="K99" s="1">
        <f>IFERROR(__xludf.DUMMYFUNCTION("""COMPUTED_VALUE"""),"Woking")</f>
        <v/>
      </c>
      <c r="L99" s="1">
        <f>IFERROR(__xludf.DUMMYFUNCTION("""COMPUTED_VALUE"""),"United Kingdom")</f>
        <v/>
      </c>
      <c r="M99" s="1">
        <f>IFERROR(__xludf.DUMMYFUNCTION("""COMPUTED_VALUE"""),"United Kingdom")</f>
        <v/>
      </c>
      <c r="N99" s="1">
        <f>IFERROR(__xludf.DUMMYFUNCTION("""COMPUTED_VALUE"""),"Small (10-49 FTE employees)")</f>
        <v/>
      </c>
      <c r="O99" s="1">
        <f>IFERROR(__xludf.DUMMYFUNCTION("""COMPUTED_VALUE"""),"Business to Business, Business to Consumer")</f>
        <v/>
      </c>
      <c r="P99" s="1">
        <f>IFERROR(__xludf.DUMMYFUNCTION("""COMPUTED_VALUE"""),"Higher Education")</f>
        <v/>
      </c>
      <c r="Q99" s="1">
        <f>IFERROR(__xludf.DUMMYFUNCTION("""COMPUTED_VALUE"""),"Student interfacing, Teacher interfacing, System/Administrative")</f>
        <v/>
      </c>
      <c r="R99" s="1" t="n"/>
      <c r="S99" s="1" t="n"/>
      <c r="T99" s="15">
        <f>IFERROR(__xludf.DUMMYFUNCTION("""COMPUTED_VALUE"""),"https://www.linkedin.com/in/habitatlearn/")</f>
        <v/>
      </c>
      <c r="U99" s="1">
        <f>IFERROR(__xludf.DUMMYFUNCTION("""COMPUTED_VALUE"""),"Messenger Pigeon")</f>
        <v/>
      </c>
      <c r="V99" s="1">
        <f>IFERROR(__xludf.DUMMYFUNCTION("""COMPUTED_VALUE"""),"Multi-modal AI study tutor, note taking and engagement tool")</f>
        <v/>
      </c>
      <c r="W99" s="1">
        <f>IFERROR(__xludf.DUMMYFUNCTION("""COMPUTED_VALUE"""),"UDL Classroom of the Future")</f>
        <v/>
      </c>
      <c r="X99" s="1">
        <f>IFERROR(__xludf.DUMMYFUNCTION("""COMPUTED_VALUE"""),"Lecture recording, storage and engagement tool for all students in the class")</f>
        <v/>
      </c>
      <c r="Y99" s="15">
        <f>IFERROR(__xludf.DUMMYFUNCTION("""COMPUTED_VALUE"""),"https://drive.google.com/uc?export=view&amp;id=110FklqyoCXTSEZO2C_sdzWgMFhrzzAUo")</f>
        <v/>
      </c>
      <c r="Z99" s="1">
        <f>IFERROR(__xludf.DUMMYFUNCTION("""COMPUTED_VALUE"""),"Verified")</f>
        <v/>
      </c>
      <c r="AA99" s="1">
        <f>IFERROR(__xludf.DUMMYFUNCTION("""COMPUTED_VALUE"""),"Collaborations between EdTech organisations, Project consortium building, Industry-academia partnerships, Public-private partnerships")</f>
        <v/>
      </c>
      <c r="AB99" s="1">
        <f>IFERROR(__xludf.DUMMYFUNCTION("""COMPUTED_VALUE"""),"For-profit company")</f>
        <v/>
      </c>
      <c r="AC99" s="1">
        <f>IFERROR(__xludf.DUMMYFUNCTION("""COMPUTED_VALUE"""),TRUE)</f>
        <v/>
      </c>
      <c r="AD99" s="1">
        <f>IFERROR(__xludf.DUMMYFUNCTION("""COMPUTED_VALUE"""),TRUE)</f>
        <v/>
      </c>
      <c r="AE99" s="1" t="n"/>
    </row>
    <row r="100" ht="42" customHeight="1">
      <c r="A100" s="14">
        <f>IFERROR(__xludf.DUMMYFUNCTION("""COMPUTED_VALUE"""),45869)</f>
        <v/>
      </c>
      <c r="B100" s="1">
        <f>IFERROR(__xludf.DUMMYFUNCTION("""COMPUTED_VALUE"""),"ORG_2452")</f>
        <v/>
      </c>
      <c r="C100" s="1">
        <f>IFERROR(__xludf.DUMMYFUNCTION("""COMPUTED_VALUE"""),TRUE)</f>
        <v/>
      </c>
      <c r="D100" s="1">
        <f>IFERROR(__xludf.DUMMYFUNCTION("""COMPUTED_VALUE"""),"ubiMaster")</f>
        <v/>
      </c>
      <c r="E100" s="15">
        <f>IFERROR(__xludf.DUMMYFUNCTION("""COMPUTED_VALUE"""),"https://www.ubimaster.com/de/")</f>
        <v/>
      </c>
      <c r="F100" s="1">
        <f>IFERROR(__xludf.DUMMYFUNCTION("""COMPUTED_VALUE"""),"ubiMaster’s mission is to scale access to human knowledge. With its innovative business model the company serves already today 590.000+ beneficiaries and is the fastest growing EdTech in Germany. The company partners with all mid-cap/ large corporates and"&amp;" financial institutions offering them an emotional gateway to their employees/customers at low cost.")</f>
        <v/>
      </c>
      <c r="G100" s="1">
        <f>IFERROR(__xludf.DUMMYFUNCTION("""COMPUTED_VALUE"""),"I'm not part of any EdTech association")</f>
        <v/>
      </c>
      <c r="H100" s="1">
        <f>IFERROR(__xludf.DUMMYFUNCTION("""COMPUTED_VALUE"""),"Spanish, German")</f>
        <v/>
      </c>
      <c r="I100" s="1">
        <f>IFERROR(__xludf.DUMMYFUNCTION("""COMPUTED_VALUE"""),"support@ubimaster.de")</f>
        <v/>
      </c>
      <c r="J100" s="1">
        <f>IFERROR(__xludf.DUMMYFUNCTION("""COMPUTED_VALUE"""),"+498969326975")</f>
        <v/>
      </c>
      <c r="K100" s="1">
        <f>IFERROR(__xludf.DUMMYFUNCTION("""COMPUTED_VALUE"""),"Munich")</f>
        <v/>
      </c>
      <c r="L100" s="1">
        <f>IFERROR(__xludf.DUMMYFUNCTION("""COMPUTED_VALUE"""),"Germany")</f>
        <v/>
      </c>
      <c r="M100" s="1">
        <f>IFERROR(__xludf.DUMMYFUNCTION("""COMPUTED_VALUE"""),"Austria, Germany, Switzerland, Spain")</f>
        <v/>
      </c>
      <c r="N100" s="1">
        <f>IFERROR(__xludf.DUMMYFUNCTION("""COMPUTED_VALUE"""),"Small (10-49 FTE employees)")</f>
        <v/>
      </c>
      <c r="O100" s="1">
        <f>IFERROR(__xludf.DUMMYFUNCTION("""COMPUTED_VALUE"""),"Business to Business")</f>
        <v/>
      </c>
      <c r="P100" s="1">
        <f>IFERROR(__xludf.DUMMYFUNCTION("""COMPUTED_VALUE"""),"Secondary Education")</f>
        <v/>
      </c>
      <c r="Q100" s="1">
        <f>IFERROR(__xludf.DUMMYFUNCTION("""COMPUTED_VALUE"""),"Student interfacing")</f>
        <v/>
      </c>
      <c r="R100" s="1" t="n"/>
      <c r="S100" s="1" t="n"/>
      <c r="T100" s="15">
        <f>IFERROR(__xludf.DUMMYFUNCTION("""COMPUTED_VALUE"""),"https://www.linkedin.com/company/30168127/")</f>
        <v/>
      </c>
      <c r="U100" s="1">
        <f>IFERROR(__xludf.DUMMYFUNCTION("""COMPUTED_VALUE"""),"ubiMaster SCHOOL")</f>
        <v/>
      </c>
      <c r="V100" s="1">
        <f>IFERROR(__xludf.DUMMYFUNCTION("""COMPUTED_VALUE"""),"ubiMaster SCHOOL is a digital platform that connects students and tutors at the touch of a button. 
")</f>
        <v/>
      </c>
      <c r="W100" s="1">
        <f>IFERROR(__xludf.DUMMYFUNCTION("""COMPUTED_VALUE"""),"ubiMaster FINANCE")</f>
        <v/>
      </c>
      <c r="X100" s="1">
        <f>IFERROR(__xludf.DUMMYFUNCTION("""COMPUTED_VALUE"""),"ubiMaster FINANCE is a digital platform that connects young adults and financial experts at the touch of a button. ")</f>
        <v/>
      </c>
      <c r="Y100" s="15">
        <f>IFERROR(__xludf.DUMMYFUNCTION("""COMPUTED_VALUE"""),"https://drive.google.com/uc?export=view&amp;id=1gEigOctT9xnQYJQKPPH1RKLtIPciV-Jx")</f>
        <v/>
      </c>
      <c r="Z100" s="1">
        <f>IFERROR(__xludf.DUMMYFUNCTION("""COMPUTED_VALUE"""),"Verified")</f>
        <v/>
      </c>
      <c r="AA100" s="1">
        <f>IFERROR(__xludf.DUMMYFUNCTION("""COMPUTED_VALUE"""),"Public-private partnerships, Collaborations between EdTech organisations")</f>
        <v/>
      </c>
      <c r="AB100" s="1">
        <f>IFERROR(__xludf.DUMMYFUNCTION("""COMPUTED_VALUE"""),"For-profit company")</f>
        <v/>
      </c>
      <c r="AC100" s="1">
        <f>IFERROR(__xludf.DUMMYFUNCTION("""COMPUTED_VALUE"""),FALSE)</f>
        <v/>
      </c>
      <c r="AD100" s="1">
        <f>IFERROR(__xludf.DUMMYFUNCTION("""COMPUTED_VALUE"""),FALSE)</f>
        <v/>
      </c>
      <c r="AE100" s="15">
        <f>IFERROR(__xludf.DUMMYFUNCTION("""COMPUTED_VALUE"""),"https://www.facebook.com/ubiMasterNachhilfe/")</f>
        <v/>
      </c>
    </row>
    <row r="101" ht="42" customHeight="1">
      <c r="A101" s="14">
        <f>IFERROR(__xludf.DUMMYFUNCTION("""COMPUTED_VALUE"""),45866)</f>
        <v/>
      </c>
      <c r="B101" s="1">
        <f>IFERROR(__xludf.DUMMYFUNCTION("""COMPUTED_VALUE"""),"ORG_1851")</f>
        <v/>
      </c>
      <c r="C101" s="1">
        <f>IFERROR(__xludf.DUMMYFUNCTION("""COMPUTED_VALUE"""),TRUE)</f>
        <v/>
      </c>
      <c r="D101" s="1">
        <f>IFERROR(__xludf.DUMMYFUNCTION("""COMPUTED_VALUE"""),"Lektor")</f>
        <v/>
      </c>
      <c r="E101" s="15">
        <f>IFERROR(__xludf.DUMMYFUNCTION("""COMPUTED_VALUE"""),"www.lektor.nl")</f>
        <v/>
      </c>
      <c r="F101" s="1">
        <f>IFERROR(__xludf.DUMMYFUNCTION("""COMPUTED_VALUE"""),"Lektor.nl is a Dutch digital platform designed to help secondary schools combat lesson cancellations (""lesuitval"") by providing a centralized repository of high-quality video lessons. Teachers across the Netherlands can easily upload and categorize thei"&amp;"r own lesson videos—covering every subject, year level, and curriculum method—making them accessible to other educators and students nationwide. Through its collaborative approach, Lektor.nl empowers teachers to share content, support learning continuity,"&amp;" and contribute to reducing the impact of teacher shortages and class disruptions")</f>
        <v/>
      </c>
      <c r="G101" s="1">
        <f>IFERROR(__xludf.DUMMYFUNCTION("""COMPUTED_VALUE"""),"I'm not part of any EdTech association")</f>
        <v/>
      </c>
      <c r="H101" s="1">
        <f>IFERROR(__xludf.DUMMYFUNCTION("""COMPUTED_VALUE"""),"Dutch")</f>
        <v/>
      </c>
      <c r="I101" s="1">
        <f>IFERROR(__xludf.DUMMYFUNCTION("""COMPUTED_VALUE"""),"info@lektor.nl")</f>
        <v/>
      </c>
      <c r="J101" s="1">
        <f>IFERROR(__xludf.DUMMYFUNCTION("""COMPUTED_VALUE"""),"+33622246146")</f>
        <v/>
      </c>
      <c r="K101" s="1">
        <f>IFERROR(__xludf.DUMMYFUNCTION("""COMPUTED_VALUE"""),"Abcoude")</f>
        <v/>
      </c>
      <c r="L101" s="1">
        <f>IFERROR(__xludf.DUMMYFUNCTION("""COMPUTED_VALUE"""),"The Netherlands")</f>
        <v/>
      </c>
      <c r="M101" s="1">
        <f>IFERROR(__xludf.DUMMYFUNCTION("""COMPUTED_VALUE"""),"Netherlands")</f>
        <v/>
      </c>
      <c r="N101" s="1">
        <f>IFERROR(__xludf.DUMMYFUNCTION("""COMPUTED_VALUE"""),"Micro (1-9 FTE employees)")</f>
        <v/>
      </c>
      <c r="O101" s="1">
        <f>IFERROR(__xludf.DUMMYFUNCTION("""COMPUTED_VALUE"""),"Business to Consumer, Business to Schools")</f>
        <v/>
      </c>
      <c r="P101" s="1">
        <f>IFERROR(__xludf.DUMMYFUNCTION("""COMPUTED_VALUE"""),"Secondary Education")</f>
        <v/>
      </c>
      <c r="Q101" s="1">
        <f>IFERROR(__xludf.DUMMYFUNCTION("""COMPUTED_VALUE"""),"Student interfacing, Teacher interfacing")</f>
        <v/>
      </c>
      <c r="R101" s="15">
        <f>IFERROR(__xludf.DUMMYFUNCTION("""COMPUTED_VALUE"""),"https://www.instagram.com/lektor.nl/")</f>
        <v/>
      </c>
      <c r="S101" s="1" t="n"/>
      <c r="T101" s="15">
        <f>IFERROR(__xludf.DUMMYFUNCTION("""COMPUTED_VALUE"""),"https://www.linkedin.com/company/lektor-nl/")</f>
        <v/>
      </c>
      <c r="U101" s="1">
        <f>IFERROR(__xludf.DUMMYFUNCTION("""COMPUTED_VALUE"""),"Lektor")</f>
        <v/>
      </c>
      <c r="V101" s="1">
        <f>IFERROR(__xludf.DUMMYFUNCTION("""COMPUTED_VALUE"""),"Platform with video lessons (all subjects/all classes) for secondary schools - to be used in the classroom")</f>
        <v/>
      </c>
      <c r="W101" s="1">
        <f>IFERROR(__xludf.DUMMYFUNCTION("""COMPUTED_VALUE"""),"My-Lektor")</f>
        <v/>
      </c>
      <c r="X101" s="1">
        <f>IFERROR(__xludf.DUMMYFUNCTION("""COMPUTED_VALUE"""),"Platform with video lessons for students (to be used at home or at school)")</f>
        <v/>
      </c>
      <c r="Y101" s="15">
        <f>IFERROR(__xludf.DUMMYFUNCTION("""COMPUTED_VALUE"""),"https://drive.google.com/uc?export=view&amp;id=1Tu9XT6t2LD-hGaNGYfrG-7pqsZ2tBrFq")</f>
        <v/>
      </c>
      <c r="Z101" s="1">
        <f>IFERROR(__xludf.DUMMYFUNCTION("""COMPUTED_VALUE"""),"Verified")</f>
        <v/>
      </c>
      <c r="AA101" s="1">
        <f>IFERROR(__xludf.DUMMYFUNCTION("""COMPUTED_VALUE"""),"Collaborations between EdTech organisations, Project consortium building, Public-private partnerships, Other")</f>
        <v/>
      </c>
      <c r="AB101" s="1">
        <f>IFERROR(__xludf.DUMMYFUNCTION("""COMPUTED_VALUE"""),"For-profit company")</f>
        <v/>
      </c>
      <c r="AC101" s="1">
        <f>IFERROR(__xludf.DUMMYFUNCTION("""COMPUTED_VALUE"""),TRUE)</f>
        <v/>
      </c>
      <c r="AD101" s="1">
        <f>IFERROR(__xludf.DUMMYFUNCTION("""COMPUTED_VALUE"""),TRUE)</f>
        <v/>
      </c>
      <c r="AE101" s="1" t="n"/>
    </row>
    <row r="102" ht="42" customHeight="1">
      <c r="A102" s="14">
        <f>IFERROR(__xludf.DUMMYFUNCTION("""COMPUTED_VALUE"""),45863)</f>
        <v/>
      </c>
      <c r="B102" s="1">
        <f>IFERROR(__xludf.DUMMYFUNCTION("""COMPUTED_VALUE"""),"ORG_2618")</f>
        <v/>
      </c>
      <c r="C102" s="1">
        <f>IFERROR(__xludf.DUMMYFUNCTION("""COMPUTED_VALUE"""),TRUE)</f>
        <v/>
      </c>
      <c r="D102" s="1">
        <f>IFERROR(__xludf.DUMMYFUNCTION("""COMPUTED_VALUE"""),"DOHE Europe ")</f>
        <v/>
      </c>
      <c r="E102" s="15">
        <f>IFERROR(__xludf.DUMMYFUNCTION("""COMPUTED_VALUE"""),"https://www.doheglobal.com")</f>
        <v/>
      </c>
      <c r="F102" s="1">
        <f>IFERROR(__xludf.DUMMYFUNCTION("""COMPUTED_VALUE"""),"Our ambition is to accelerate 5,000 EdTech startups in the next 10 years. Our 24-week tailored program begins with an in-depth analysis of both the business and the founders' capabilities. This process identifies key objectives for each startup, which wil"&amp;"l be supported through weekly coaching and various resources throughout the acceleration period. We believe in collaboration, not competition as collective ideas and efforts create synergy. We are building a global EdTech ecosystem. ")</f>
        <v/>
      </c>
      <c r="G102" s="1">
        <f>IFERROR(__xludf.DUMMYFUNCTION("""COMPUTED_VALUE"""),"DOHE")</f>
        <v/>
      </c>
      <c r="H102" s="1">
        <f>IFERROR(__xludf.DUMMYFUNCTION("""COMPUTED_VALUE"""),"English")</f>
        <v/>
      </c>
      <c r="I102" s="1">
        <f>IFERROR(__xludf.DUMMYFUNCTION("""COMPUTED_VALUE"""),"INFO@DOHEGLOBAL.COM")</f>
        <v/>
      </c>
      <c r="J102" s="1">
        <f>IFERROR(__xludf.DUMMYFUNCTION("""COMPUTED_VALUE"""),"+447912261110")</f>
        <v/>
      </c>
      <c r="K102" s="1">
        <f>IFERROR(__xludf.DUMMYFUNCTION("""COMPUTED_VALUE"""),"London")</f>
        <v/>
      </c>
      <c r="L102" s="1">
        <f>IFERROR(__xludf.DUMMYFUNCTION("""COMPUTED_VALUE"""),"United Kingdom")</f>
        <v/>
      </c>
      <c r="M102" s="1">
        <f>IFERROR(__xludf.DUMMYFUNCTION("""COMPUTED_VALUE"""),"Global")</f>
        <v/>
      </c>
      <c r="N102" s="1">
        <f>IFERROR(__xludf.DUMMYFUNCTION("""COMPUTED_VALUE"""),"Small (10-49 FTE employees)")</f>
        <v/>
      </c>
      <c r="O102" s="1">
        <f>IFERROR(__xludf.DUMMYFUNCTION("""COMPUTED_VALUE"""),"Business to Business, Business to Consumer, Business to Government, Business to Schools")</f>
        <v/>
      </c>
      <c r="P102" s="1">
        <f>IFERROR(__xludf.DUMMYFUNCTION("""COMPUTED_VALUE"""),"Early childhood development (0-5 years), Primary Education, Secondary Education, Vocational Education and Training (VET), Higher Education, Corporate Training, Lifelong learning/Adult education, Special education")</f>
        <v/>
      </c>
      <c r="Q102" s="1">
        <f>IFERROR(__xludf.DUMMYFUNCTION("""COMPUTED_VALUE"""),"Student interfacing, Teacher interfacing, System/Administrative")</f>
        <v/>
      </c>
      <c r="R102" s="1" t="n"/>
      <c r="S102" s="1" t="n"/>
      <c r="T102" s="15">
        <f>IFERROR(__xludf.DUMMYFUNCTION("""COMPUTED_VALUE"""),"https://www.linkedin.com/company/dohe/?viewAsMember=true")</f>
        <v/>
      </c>
      <c r="U102" s="1">
        <f>IFERROR(__xludf.DUMMYFUNCTION("""COMPUTED_VALUE"""),"EdTech Acceleration programme ")</f>
        <v/>
      </c>
      <c r="V102" s="1">
        <f>IFERROR(__xludf.DUMMYFUNCTION("""COMPUTED_VALUE"""),"Our 24-week tailored program begins with an in-depth analysis of both the business and the founders' capabilities. This process identifies key objectives for each startup, which will be supported through weekly coaching and various resources throughout th"&amp;"e acceleration period.")</f>
        <v/>
      </c>
      <c r="W102" s="1">
        <f>IFERROR(__xludf.DUMMYFUNCTION("""COMPUTED_VALUE"""),"EdTech Together events ")</f>
        <v/>
      </c>
      <c r="X102" s="1">
        <f>IFERROR(__xludf.DUMMYFUNCTION("""COMPUTED_VALUE"""),"Monthly EdTech Together events (London, Seoul, Online)")</f>
        <v/>
      </c>
      <c r="Y102" s="15">
        <f>IFERROR(__xludf.DUMMYFUNCTION("""COMPUTED_VALUE"""),"https://drive.google.com/uc?export=view&amp;id=1s4AmWun650ghFYBfaw8jwFfPOSHI4WBf")</f>
        <v/>
      </c>
      <c r="Z102" s="1">
        <f>IFERROR(__xludf.DUMMYFUNCTION("""COMPUTED_VALUE"""),"Unverified")</f>
        <v/>
      </c>
      <c r="AA102" s="1">
        <f>IFERROR(__xludf.DUMMYFUNCTION("""COMPUTED_VALUE"""),"Project consortium building, Public-private partnerships, Industry-academia partnerships")</f>
        <v/>
      </c>
      <c r="AB102" s="1">
        <f>IFERROR(__xludf.DUMMYFUNCTION("""COMPUTED_VALUE"""),"Other")</f>
        <v/>
      </c>
      <c r="AC102" s="1">
        <f>IFERROR(__xludf.DUMMYFUNCTION("""COMPUTED_VALUE"""),TRUE)</f>
        <v/>
      </c>
      <c r="AD102" s="1">
        <f>IFERROR(__xludf.DUMMYFUNCTION("""COMPUTED_VALUE"""),TRUE)</f>
        <v/>
      </c>
      <c r="AE102" s="1" t="n"/>
    </row>
    <row r="103" ht="42" customHeight="1">
      <c r="A103" s="14">
        <f>IFERROR(__xludf.DUMMYFUNCTION("""COMPUTED_VALUE"""),45862)</f>
        <v/>
      </c>
      <c r="B103" s="1">
        <f>IFERROR(__xludf.DUMMYFUNCTION("""COMPUTED_VALUE"""),"ORG_2617")</f>
        <v/>
      </c>
      <c r="C103" s="1">
        <f>IFERROR(__xludf.DUMMYFUNCTION("""COMPUTED_VALUE"""),TRUE)</f>
        <v/>
      </c>
      <c r="D103" s="1">
        <f>IFERROR(__xludf.DUMMYFUNCTION("""COMPUTED_VALUE"""),"GAMS  Platform")</f>
        <v/>
      </c>
      <c r="E103" s="15">
        <f>IFERROR(__xludf.DUMMYFUNCTION("""COMPUTED_VALUE"""),"gamsplatform.com")</f>
        <v/>
      </c>
      <c r="F103" s="1">
        <f>IFERROR(__xludf.DUMMYFUNCTION("""COMPUTED_VALUE"""),"Want more enagement on your corporate trainings? GAMS Platform enables challenge based learning that your employees will love like a video game for their upskilling Want to find the right talent? GAMS Platform makes skill assessments efficient and bias-fr"&amp;"ee and lets you find the right match.")</f>
        <v/>
      </c>
      <c r="G103" s="1">
        <f>IFERROR(__xludf.DUMMYFUNCTION("""COMPUTED_VALUE"""),"EdTech Italia")</f>
        <v/>
      </c>
      <c r="H103" s="1">
        <f>IFERROR(__xludf.DUMMYFUNCTION("""COMPUTED_VALUE"""),"English, Italian")</f>
        <v/>
      </c>
      <c r="I103" s="1">
        <f>IFERROR(__xludf.DUMMYFUNCTION("""COMPUTED_VALUE"""),"learn@gamsplatform.com")</f>
        <v/>
      </c>
      <c r="J103" s="1">
        <f>IFERROR(__xludf.DUMMYFUNCTION("""COMPUTED_VALUE"""),"+393471535344")</f>
        <v/>
      </c>
      <c r="K103" s="1">
        <f>IFERROR(__xludf.DUMMYFUNCTION("""COMPUTED_VALUE"""),"ROME")</f>
        <v/>
      </c>
      <c r="L103" s="1">
        <f>IFERROR(__xludf.DUMMYFUNCTION("""COMPUTED_VALUE"""),"Italy")</f>
        <v/>
      </c>
      <c r="M103" s="1">
        <f>IFERROR(__xludf.DUMMYFUNCTION("""COMPUTED_VALUE"""),"Albania, Belarus, Bulgaria, Czechia, Finland, Greece, Ireland, Latvia, Luxembourg, Monaco, North Macedonia, Portugal, Slovakia, Sweden, Ukraine, Andorra, Belgium, Austria, Bosnia and Herzegovina, Croatia, Republic of Cyprus, Denmark, Estonia, France, Germ"&amp;"any, Hungary, Kosovo, Liechtenstein, Italy, Lithuania, Malta, Moldova, Montenegro, Netherlands, Norway, Poland, Romania, San Marino, Slovenia, Spain, Switzerland, United Kingdom, Turkey")</f>
        <v/>
      </c>
      <c r="N103" s="1">
        <f>IFERROR(__xludf.DUMMYFUNCTION("""COMPUTED_VALUE"""),"Micro (1-9 FTE employees)")</f>
        <v/>
      </c>
      <c r="O103" s="1">
        <f>IFERROR(__xludf.DUMMYFUNCTION("""COMPUTED_VALUE"""),"Business to Business, Business to Schools")</f>
        <v/>
      </c>
      <c r="P103" s="1">
        <f>IFERROR(__xludf.DUMMYFUNCTION("""COMPUTED_VALUE"""),"Lifelong learning/Adult education, Corporate Training, Higher Education")</f>
        <v/>
      </c>
      <c r="Q103" s="1">
        <f>IFERROR(__xludf.DUMMYFUNCTION("""COMPUTED_VALUE"""),"Student interfacing, Teacher interfacing, System/Administrative")</f>
        <v/>
      </c>
      <c r="R103" s="15">
        <f>IFERROR(__xludf.DUMMYFUNCTION("""COMPUTED_VALUE"""),"https://www.instagram.com/GAMSPlatform/")</f>
        <v/>
      </c>
      <c r="S103" s="1" t="n"/>
      <c r="T103" s="15">
        <f>IFERROR(__xludf.DUMMYFUNCTION("""COMPUTED_VALUE"""),"https://it.linkedin.com/company/gamsplatform")</f>
        <v/>
      </c>
      <c r="U103" s="1">
        <f>IFERROR(__xludf.DUMMYFUNCTION("""COMPUTED_VALUE"""),"Challenge based learning and skill assessment")</f>
        <v/>
      </c>
      <c r="V103" s="1" t="n"/>
      <c r="W103" s="1" t="n"/>
      <c r="X103" s="1" t="n"/>
      <c r="Y103" s="15">
        <f>IFERROR(__xludf.DUMMYFUNCTION("""COMPUTED_VALUE"""),"https://drive.google.com/uc?export=view&amp;id=1F_A5P5S2_zwTQaXCzAJN9bxRyiPi-0nb")</f>
        <v/>
      </c>
      <c r="Z103" s="1">
        <f>IFERROR(__xludf.DUMMYFUNCTION("""COMPUTED_VALUE"""),"Unverified")</f>
        <v/>
      </c>
      <c r="AA103" s="1">
        <f>IFERROR(__xludf.DUMMYFUNCTION("""COMPUTED_VALUE"""),"Public-private partnerships, Industry-academia partnerships")</f>
        <v/>
      </c>
      <c r="AB103" s="1">
        <f>IFERROR(__xludf.DUMMYFUNCTION("""COMPUTED_VALUE"""),"For-profit company")</f>
        <v/>
      </c>
      <c r="AC103" s="1">
        <f>IFERROR(__xludf.DUMMYFUNCTION("""COMPUTED_VALUE"""),TRUE)</f>
        <v/>
      </c>
      <c r="AD103" s="1">
        <f>IFERROR(__xludf.DUMMYFUNCTION("""COMPUTED_VALUE"""),TRUE)</f>
        <v/>
      </c>
      <c r="AE103" s="15">
        <f>IFERROR(__xludf.DUMMYFUNCTION("""COMPUTED_VALUE"""),"https://www.facebook.com/GAMSPlatform/")</f>
        <v/>
      </c>
    </row>
    <row r="104" ht="42" customHeight="1">
      <c r="A104" s="14">
        <f>IFERROR(__xludf.DUMMYFUNCTION("""COMPUTED_VALUE"""),45861)</f>
        <v/>
      </c>
      <c r="B104" s="1">
        <f>IFERROR(__xludf.DUMMYFUNCTION("""COMPUTED_VALUE"""),"ORG_2616")</f>
        <v/>
      </c>
      <c r="C104" s="1">
        <f>IFERROR(__xludf.DUMMYFUNCTION("""COMPUTED_VALUE"""),TRUE)</f>
        <v/>
      </c>
      <c r="D104" s="1">
        <f>IFERROR(__xludf.DUMMYFUNCTION("""COMPUTED_VALUE"""),"VERIABLE")</f>
        <v/>
      </c>
      <c r="E104" s="15">
        <f>IFERROR(__xludf.DUMMYFUNCTION("""COMPUTED_VALUE"""),"veriable.at")</f>
        <v/>
      </c>
      <c r="F104" s="1">
        <f>IFERROR(__xludf.DUMMYFUNCTION("""COMPUTED_VALUE"""),"Our SaaS product VERIABLE empowers lecturers to digitize their expertise by offering self-paced or guided courses, course bundles, and certifications verified through blockchain technology. This ensures a seamless, secure, and trusted learning experience "&amp;"for students, while enabling educators to reach a wider audience and expand their impact. VERIABLE is the ideal solution for both internal training and external knowledge sharing, whether you are a solo entrepreneur or a training company.  Effortlessly cr"&amp;"eate learning content with rapid e-learning tools and deliver courses seamlessly through automated processes, including an e-commerce interface. Customize your digital presence with personalized configurations, including your own domain. Elevate the value"&amp;" of your training by offering knowledge verification through blockchain-secured certificates, ensuring credibility and trust.")</f>
        <v/>
      </c>
      <c r="G104" s="1">
        <f>IFERROR(__xludf.DUMMYFUNCTION("""COMPUTED_VALUE"""),"EdTech Austria")</f>
        <v/>
      </c>
      <c r="H104" s="1">
        <f>IFERROR(__xludf.DUMMYFUNCTION("""COMPUTED_VALUE"""),"German, English")</f>
        <v/>
      </c>
      <c r="I104" s="1">
        <f>IFERROR(__xludf.DUMMYFUNCTION("""COMPUTED_VALUE"""),"sales@veriable.at")</f>
        <v/>
      </c>
      <c r="J104" s="1">
        <f>IFERROR(__xludf.DUMMYFUNCTION("""COMPUTED_VALUE"""),"+436766463033")</f>
        <v/>
      </c>
      <c r="K104" s="1">
        <f>IFERROR(__xludf.DUMMYFUNCTION("""COMPUTED_VALUE"""),"Klagenfurt am Wörthersee")</f>
        <v/>
      </c>
      <c r="L104" s="1">
        <f>IFERROR(__xludf.DUMMYFUNCTION("""COMPUTED_VALUE"""),"Austria")</f>
        <v/>
      </c>
      <c r="M104" s="1">
        <f>IFERROR(__xludf.DUMMYFUNCTION("""COMPUTED_VALUE"""),"Austria, Germany")</f>
        <v/>
      </c>
      <c r="N104" s="1">
        <f>IFERROR(__xludf.DUMMYFUNCTION("""COMPUTED_VALUE"""),"Micro (1-9 FTE employees)")</f>
        <v/>
      </c>
      <c r="O104" s="1">
        <f>IFERROR(__xludf.DUMMYFUNCTION("""COMPUTED_VALUE"""),"Business to Business")</f>
        <v/>
      </c>
      <c r="P104" s="1">
        <f>IFERROR(__xludf.DUMMYFUNCTION("""COMPUTED_VALUE"""),"Vocational Education and Training (VET), Corporate Training, Lifelong learning/Adult education")</f>
        <v/>
      </c>
      <c r="Q104" s="1">
        <f>IFERROR(__xludf.DUMMYFUNCTION("""COMPUTED_VALUE"""),"Student interfacing, Teacher interfacing, System/Administrative")</f>
        <v/>
      </c>
      <c r="R104" s="1" t="n"/>
      <c r="S104" s="1" t="n"/>
      <c r="T104" s="1" t="n"/>
      <c r="U104" s="1">
        <f>IFERROR(__xludf.DUMMYFUNCTION("""COMPUTED_VALUE"""),"VERIABLE Platform")</f>
        <v/>
      </c>
      <c r="V104" s="1">
        <f>IFERROR(__xludf.DUMMYFUNCTION("""COMPUTED_VALUE"""),"Our Public Cloud empowers you to create and sell courses and certifications to a global audience, making them accessible to anyone in your target market.
For more controlled access, our Private Cloud allows you to offer courses exclusively to your employ"&amp;"ees, customers, business partners etc.")</f>
        <v/>
      </c>
      <c r="W104" s="1">
        <f>IFERROR(__xludf.DUMMYFUNCTION("""COMPUTED_VALUE"""),"IC Academy")</f>
        <v/>
      </c>
      <c r="X104" s="1">
        <f>IFERROR(__xludf.DUMMYFUNCTION("""COMPUTED_VALUE"""),"At IC Academy, we are passionate about guiding developers and enthusiasts on the journey from Web2 to Web3 transformation, empowering them to create solutions that are only possible on the Internet Computer. Our courses provide easy-to-follow guidelines a"&amp;"nd hands-on examples.")</f>
        <v/>
      </c>
      <c r="Y104" s="15">
        <f>IFERROR(__xludf.DUMMYFUNCTION("""COMPUTED_VALUE"""),"https://drive.google.com/uc?export=view&amp;id=1BN9OJF5Juaq106GKb1e6AXvcgLu3YmWE")</f>
        <v/>
      </c>
      <c r="Z104" s="1">
        <f>IFERROR(__xludf.DUMMYFUNCTION("""COMPUTED_VALUE"""),"Unverified")</f>
        <v/>
      </c>
      <c r="AA104" s="1">
        <f>IFERROR(__xludf.DUMMYFUNCTION("""COMPUTED_VALUE"""),"Collaborations between EdTech organisations, Project consortium building")</f>
        <v/>
      </c>
      <c r="AB104" s="1">
        <f>IFERROR(__xludf.DUMMYFUNCTION("""COMPUTED_VALUE"""),"For-profit company")</f>
        <v/>
      </c>
      <c r="AC104" s="1">
        <f>IFERROR(__xludf.DUMMYFUNCTION("""COMPUTED_VALUE"""),TRUE)</f>
        <v/>
      </c>
      <c r="AD104" s="1">
        <f>IFERROR(__xludf.DUMMYFUNCTION("""COMPUTED_VALUE"""),TRUE)</f>
        <v/>
      </c>
      <c r="AE104" s="1" t="n"/>
    </row>
    <row r="105" ht="42" customHeight="1">
      <c r="A105" s="14">
        <f>IFERROR(__xludf.DUMMYFUNCTION("""COMPUTED_VALUE"""),45860)</f>
        <v/>
      </c>
      <c r="B105" s="1">
        <f>IFERROR(__xludf.DUMMYFUNCTION("""COMPUTED_VALUE"""),"ORG_2113")</f>
        <v/>
      </c>
      <c r="C105" s="1">
        <f>IFERROR(__xludf.DUMMYFUNCTION("""COMPUTED_VALUE"""),TRUE)</f>
        <v/>
      </c>
      <c r="D105" s="1">
        <f>IFERROR(__xludf.DUMMYFUNCTION("""COMPUTED_VALUE"""),"PLVSVLTRA OÜ")</f>
        <v/>
      </c>
      <c r="E105" s="15">
        <f>IFERROR(__xludf.DUMMYFUNCTION("""COMPUTED_VALUE"""),"www.plvsvltra.eu")</f>
        <v/>
      </c>
      <c r="F105" s="1">
        <f>IFERROR(__xludf.DUMMYFUNCTION("""COMPUTED_VALUE"""),"PLVSVLTRA develops and commercializes digital products in the EdTech sector, with a special focus on classical languages.")</f>
        <v/>
      </c>
      <c r="G105" s="1">
        <f>IFERROR(__xludf.DUMMYFUNCTION("""COMPUTED_VALUE"""),"EdTech Italia")</f>
        <v/>
      </c>
      <c r="H105" s="1">
        <f>IFERROR(__xludf.DUMMYFUNCTION("""COMPUTED_VALUE"""),"Italian")</f>
        <v/>
      </c>
      <c r="I105" s="1">
        <f>IFERROR(__xludf.DUMMYFUNCTION("""COMPUTED_VALUE"""),"info@plvsvltra.eu")</f>
        <v/>
      </c>
      <c r="J105" s="1" t="n"/>
      <c r="K105" s="1">
        <f>IFERROR(__xludf.DUMMYFUNCTION("""COMPUTED_VALUE"""),"Tallinn")</f>
        <v/>
      </c>
      <c r="L105" s="1">
        <f>IFERROR(__xludf.DUMMYFUNCTION("""COMPUTED_VALUE"""),"Estonia")</f>
        <v/>
      </c>
      <c r="M105" s="1">
        <f>IFERROR(__xludf.DUMMYFUNCTION("""COMPUTED_VALUE"""),"Italy")</f>
        <v/>
      </c>
      <c r="N105" s="1">
        <f>IFERROR(__xludf.DUMMYFUNCTION("""COMPUTED_VALUE"""),"Solo entrepreneur")</f>
        <v/>
      </c>
      <c r="O105" s="1">
        <f>IFERROR(__xludf.DUMMYFUNCTION("""COMPUTED_VALUE"""),"Business to Schools, Business to Consumer")</f>
        <v/>
      </c>
      <c r="P105" s="1">
        <f>IFERROR(__xludf.DUMMYFUNCTION("""COMPUTED_VALUE"""),"Secondary Education, Higher Education")</f>
        <v/>
      </c>
      <c r="Q105" s="1">
        <f>IFERROR(__xludf.DUMMYFUNCTION("""COMPUTED_VALUE"""),"Student interfacing, Teacher interfacing")</f>
        <v/>
      </c>
      <c r="R105" s="1" t="n"/>
      <c r="S105" s="1" t="n"/>
      <c r="T105" s="15">
        <f>IFERROR(__xludf.DUMMYFUNCTION("""COMPUTED_VALUE"""),"https://www.linkedin.com/company/plvsvltra")</f>
        <v/>
      </c>
      <c r="U105" s="1">
        <f>IFERROR(__xludf.DUMMYFUNCTION("""COMPUTED_VALUE"""),"latin|era&gt;")</f>
        <v/>
      </c>
      <c r="V105" s="1">
        <f>IFERROR(__xludf.DUMMYFUNCTION("""COMPUTED_VALUE"""),"A cards-based Latin Translation Assistant")</f>
        <v/>
      </c>
      <c r="W105" s="1" t="n"/>
      <c r="X105" s="1" t="n"/>
      <c r="Y105" s="15">
        <f>IFERROR(__xludf.DUMMYFUNCTION("""COMPUTED_VALUE"""),"https://drive.google.com/uc?export=view&amp;id=17Ke66KDL60pnSVUlDiUC3sGjWbpiKNpG")</f>
        <v/>
      </c>
      <c r="Z105" s="1">
        <f>IFERROR(__xludf.DUMMYFUNCTION("""COMPUTED_VALUE"""),"Unverified")</f>
        <v/>
      </c>
      <c r="AA105" s="1">
        <f>IFERROR(__xludf.DUMMYFUNCTION("""COMPUTED_VALUE"""),"Collaborations between EdTech organisations, Public-private partnerships, Industry-academia partnerships")</f>
        <v/>
      </c>
      <c r="AB105" s="1">
        <f>IFERROR(__xludf.DUMMYFUNCTION("""COMPUTED_VALUE"""),"For-profit company")</f>
        <v/>
      </c>
      <c r="AC105" s="1">
        <f>IFERROR(__xludf.DUMMYFUNCTION("""COMPUTED_VALUE"""),TRUE)</f>
        <v/>
      </c>
      <c r="AD105" s="1">
        <f>IFERROR(__xludf.DUMMYFUNCTION("""COMPUTED_VALUE"""),TRUE)</f>
        <v/>
      </c>
      <c r="AE105" s="1" t="n"/>
    </row>
    <row r="106" ht="42" customHeight="1">
      <c r="A106" s="14">
        <f>IFERROR(__xludf.DUMMYFUNCTION("""COMPUTED_VALUE"""),45860)</f>
        <v/>
      </c>
      <c r="B106" s="1">
        <f>IFERROR(__xludf.DUMMYFUNCTION("""COMPUTED_VALUE"""),"ORG_2615")</f>
        <v/>
      </c>
      <c r="C106" s="1">
        <f>IFERROR(__xludf.DUMMYFUNCTION("""COMPUTED_VALUE"""),TRUE)</f>
        <v/>
      </c>
      <c r="D106" s="1">
        <f>IFERROR(__xludf.DUMMYFUNCTION("""COMPUTED_VALUE"""),"Prowise")</f>
        <v/>
      </c>
      <c r="E106" s="15">
        <f>IFERROR(__xludf.DUMMYFUNCTION("""COMPUTED_VALUE"""),"www.prowise.com")</f>
        <v/>
      </c>
      <c r="F106" s="1">
        <f>IFERROR(__xludf.DUMMYFUNCTION("""COMPUTED_VALUE"""),"Prowise is an innovative technology company from the Netherlands dedicated to enhancing education worldwide. The company develops and manufactures touchscreens, educational software, and other IT solutions specifically for the education sector. What sets "&amp;"Prowise apart is its fully in-house development process—from hardware to software—with a strong focus on user-friendliness, security, and privacy. Moreover, Prowise is the only EdTech company in the world to hold the BSI IT-Grundschutz certification, demo"&amp;"nstrating an exceptionally high standard of information security.")</f>
        <v/>
      </c>
      <c r="G106" s="1">
        <f>IFERROR(__xludf.DUMMYFUNCTION("""COMPUTED_VALUE"""),"Dutch EdTech, edtechstation")</f>
        <v/>
      </c>
      <c r="H106" s="1">
        <f>IFERROR(__xludf.DUMMYFUNCTION("""COMPUTED_VALUE"""),"English, German, French, Italian, Danish, Spanish, Dutch, Croatian, Hungarian, Romanian, Swedish, Polish, Czech, Bulgarian")</f>
        <v/>
      </c>
      <c r="I106" s="1">
        <f>IFERROR(__xludf.DUMMYFUNCTION("""COMPUTED_VALUE"""),"info@prowise.com")</f>
        <v/>
      </c>
      <c r="J106" s="1">
        <f>IFERROR(__xludf.DUMMYFUNCTION("""COMPUTED_VALUE"""),"+31495497110")</f>
        <v/>
      </c>
      <c r="K106" s="1">
        <f>IFERROR(__xludf.DUMMYFUNCTION("""COMPUTED_VALUE"""),"Budel")</f>
        <v/>
      </c>
      <c r="L106" s="1">
        <f>IFERROR(__xludf.DUMMYFUNCTION("""COMPUTED_VALUE"""),"The Netherlands")</f>
        <v/>
      </c>
      <c r="M106" s="1">
        <f>IFERROR(__xludf.DUMMYFUNCTION("""COMPUTED_VALUE"""),"Czechia, Bulgaria, Ireland, Latvia, Luxembourg, Slovakia, Sweden, Ukraine, Belgium, Croatia, Denmark, France, Hungary, Italy, Norway, Romania, Slovenia, Switzerland, United Kingdom, Estonia, Germany, Iceland, Netherlands, Poland, Spain")</f>
        <v/>
      </c>
      <c r="N106" s="1">
        <f>IFERROR(__xludf.DUMMYFUNCTION("""COMPUTED_VALUE"""),"Medium (50-250 FTE employees)")</f>
        <v/>
      </c>
      <c r="O106" s="1">
        <f>IFERROR(__xludf.DUMMYFUNCTION("""COMPUTED_VALUE"""),"Business to Business, Business to Schools, Business to Government")</f>
        <v/>
      </c>
      <c r="P106" s="1">
        <f>IFERROR(__xludf.DUMMYFUNCTION("""COMPUTED_VALUE"""),"Primary Education, Secondary Education, Higher Education, Corporate Training, Special education")</f>
        <v/>
      </c>
      <c r="Q106" s="1">
        <f>IFERROR(__xludf.DUMMYFUNCTION("""COMPUTED_VALUE"""),"Teacher interfacing")</f>
        <v/>
      </c>
      <c r="R106" s="15">
        <f>IFERROR(__xludf.DUMMYFUNCTION("""COMPUTED_VALUE"""),"https://www.instagram.com/prowise_nl/")</f>
        <v/>
      </c>
      <c r="S106" s="1" t="n"/>
      <c r="T106" s="15">
        <f>IFERROR(__xludf.DUMMYFUNCTION("""COMPUTED_VALUE"""),"https://www.linkedin.com/company/prowise-nl/")</f>
        <v/>
      </c>
      <c r="U106" s="1">
        <f>IFERROR(__xludf.DUMMYFUNCTION("""COMPUTED_VALUE"""),"Interactive Touchscreen")</f>
        <v/>
      </c>
      <c r="V106" s="1">
        <f>IFERROR(__xludf.DUMMYFUNCTION("""COMPUTED_VALUE"""),"The Prowise Touchscreen is a state-of-the-art display for education.
With software, 100% developed in-house in the Netherlands, it offers quality, privacy, and security by design. With no intermediaries, we ensure great value. Built in Europe, shaped by e"&amp;"ducators—perfectly for every classroom.")</f>
        <v/>
      </c>
      <c r="W106" s="1">
        <f>IFERROR(__xludf.DUMMYFUNCTION("""COMPUTED_VALUE"""),"Ergonomic liftsystem for touchscreen")</f>
        <v/>
      </c>
      <c r="X106" s="1">
        <f>IFERROR(__xludf.DUMMYFUNCTION("""COMPUTED_VALUE"""),"Easily adjust screen height for any age or activity—sitting, standing, or collaborating on the floor. Silent, stable, and child-safe. Developed in-house to perfectly match the Prowise Touchscreen. Durable quality, made in Europe.")</f>
        <v/>
      </c>
      <c r="Y106" s="15">
        <f>IFERROR(__xludf.DUMMYFUNCTION("""COMPUTED_VALUE"""),"https://drive.google.com/uc?export=view&amp;id=17HFmQK-h6ioQCxt9laEm1gDqEDOEWraR")</f>
        <v/>
      </c>
      <c r="Z106" s="1">
        <f>IFERROR(__xludf.DUMMYFUNCTION("""COMPUTED_VALUE"""),"Unverified")</f>
        <v/>
      </c>
      <c r="AA106" s="1">
        <f>IFERROR(__xludf.DUMMYFUNCTION("""COMPUTED_VALUE"""),"Public-private partnerships, Other, Industry-academia partnerships, Project consortium building")</f>
        <v/>
      </c>
      <c r="AB106" s="1">
        <f>IFERROR(__xludf.DUMMYFUNCTION("""COMPUTED_VALUE"""),"For-profit company")</f>
        <v/>
      </c>
      <c r="AC106" s="1">
        <f>IFERROR(__xludf.DUMMYFUNCTION("""COMPUTED_VALUE"""),TRUE)</f>
        <v/>
      </c>
      <c r="AD106" s="1">
        <f>IFERROR(__xludf.DUMMYFUNCTION("""COMPUTED_VALUE"""),TRUE)</f>
        <v/>
      </c>
      <c r="AE106" s="1" t="n"/>
    </row>
    <row r="107" ht="42" customHeight="1">
      <c r="A107" s="14">
        <f>IFERROR(__xludf.DUMMYFUNCTION("""COMPUTED_VALUE"""),45860)</f>
        <v/>
      </c>
      <c r="B107" s="1">
        <f>IFERROR(__xludf.DUMMYFUNCTION("""COMPUTED_VALUE"""),"ORG_2614")</f>
        <v/>
      </c>
      <c r="C107" s="1">
        <f>IFERROR(__xludf.DUMMYFUNCTION("""COMPUTED_VALUE"""),TRUE)</f>
        <v/>
      </c>
      <c r="D107" s="1">
        <f>IFERROR(__xludf.DUMMYFUNCTION("""COMPUTED_VALUE"""),"School of Gaming")</f>
        <v/>
      </c>
      <c r="E107" s="15">
        <f>IFERROR(__xludf.DUMMYFUNCTION("""COMPUTED_VALUE"""),"www.sog.gg")</f>
        <v/>
      </c>
      <c r="F107" s="1">
        <f>IFERROR(__xludf.DUMMYFUNCTION("""COMPUTED_VALUE"""),"We play computer games (eg. Minecraft) with children online. We help children learn critical skills of the future using games and the power of play in a safe and friendly community.")</f>
        <v/>
      </c>
      <c r="G107" s="1">
        <f>IFERROR(__xludf.DUMMYFUNCTION("""COMPUTED_VALUE"""),"EdTech Finland")</f>
        <v/>
      </c>
      <c r="H107" s="1">
        <f>IFERROR(__xludf.DUMMYFUNCTION("""COMPUTED_VALUE"""),"English, Finnish, Swedish, Spanish, Ukrainian, Sami")</f>
        <v/>
      </c>
      <c r="I107" s="1">
        <f>IFERROR(__xludf.DUMMYFUNCTION("""COMPUTED_VALUE"""),"hello@sog.gg")</f>
        <v/>
      </c>
      <c r="J107" s="1">
        <f>IFERROR(__xludf.DUMMYFUNCTION("""COMPUTED_VALUE"""),"+358407453749")</f>
        <v/>
      </c>
      <c r="K107" s="1">
        <f>IFERROR(__xludf.DUMMYFUNCTION("""COMPUTED_VALUE"""),"Oulu")</f>
        <v/>
      </c>
      <c r="L107" s="1">
        <f>IFERROR(__xludf.DUMMYFUNCTION("""COMPUTED_VALUE"""),"Finland")</f>
        <v/>
      </c>
      <c r="M107" s="1">
        <f>IFERROR(__xludf.DUMMYFUNCTION("""COMPUTED_VALUE"""),"Finland, Ireland, United Kingdom, Sweden, Ukraine, Spain, Malta, Norway, Netherlands, Denmark, Estonia, Belgium")</f>
        <v/>
      </c>
      <c r="N107" s="1">
        <f>IFERROR(__xludf.DUMMYFUNCTION("""COMPUTED_VALUE"""),"Micro (1-9 FTE employees)")</f>
        <v/>
      </c>
      <c r="O107" s="1">
        <f>IFERROR(__xludf.DUMMYFUNCTION("""COMPUTED_VALUE"""),"Business to Consumer")</f>
        <v/>
      </c>
      <c r="P107" s="1">
        <f>IFERROR(__xludf.DUMMYFUNCTION("""COMPUTED_VALUE"""),"Other")</f>
        <v/>
      </c>
      <c r="Q107" s="1">
        <f>IFERROR(__xludf.DUMMYFUNCTION("""COMPUTED_VALUE"""),"Other, Student interfacing")</f>
        <v/>
      </c>
      <c r="R107" s="15">
        <f>IFERROR(__xludf.DUMMYFUNCTION("""COMPUTED_VALUE"""),"https://www.instagram.com/sogversum")</f>
        <v/>
      </c>
      <c r="S107" s="1" t="n"/>
      <c r="T107" s="15">
        <f>IFERROR(__xludf.DUMMYFUNCTION("""COMPUTED_VALUE"""),"https://www.linkedin.com/company/school-of-gaming")</f>
        <v/>
      </c>
      <c r="U107" s="1">
        <f>IFERROR(__xludf.DUMMYFUNCTION("""COMPUTED_VALUE"""),"Weekly Minecraft Club")</f>
        <v/>
      </c>
      <c r="V107" s="1">
        <f>IFERROR(__xludf.DUMMYFUNCTION("""COMPUTED_VALUE"""),"School of Gaming's Minecraft clubs are designed to educate children through gaming, helping them become responsible digital citizens. They will learn to confidently interact in large groups, express their opinions and engage in civilized discussions while"&amp;" respecting others' space. ")</f>
        <v/>
      </c>
      <c r="W107" s="1" t="n"/>
      <c r="X107" s="1" t="n"/>
      <c r="Y107" s="15">
        <f>IFERROR(__xludf.DUMMYFUNCTION("""COMPUTED_VALUE"""),"https://drive.google.com/uc?export=view&amp;id=1ABgSkKl-btHRZkgk0RHCbMzeztsWqo3Z")</f>
        <v/>
      </c>
      <c r="Z107" s="1">
        <f>IFERROR(__xludf.DUMMYFUNCTION("""COMPUTED_VALUE"""),"Unverified")</f>
        <v/>
      </c>
      <c r="AA107" s="1">
        <f>IFERROR(__xludf.DUMMYFUNCTION("""COMPUTED_VALUE"""),"Collaborations between EdTech organisations, Public-private partnerships, Project consortium building, Industry-academia partnerships")</f>
        <v/>
      </c>
      <c r="AB107" s="1">
        <f>IFERROR(__xludf.DUMMYFUNCTION("""COMPUTED_VALUE"""),"Other")</f>
        <v/>
      </c>
      <c r="AC107" s="1">
        <f>IFERROR(__xludf.DUMMYFUNCTION("""COMPUTED_VALUE"""),FALSE)</f>
        <v/>
      </c>
      <c r="AD107" s="1">
        <f>IFERROR(__xludf.DUMMYFUNCTION("""COMPUTED_VALUE"""),TRUE)</f>
        <v/>
      </c>
      <c r="AE107" s="15">
        <f>IFERROR(__xludf.DUMMYFUNCTION("""COMPUTED_VALUE"""),"https://www.facebook.com/sogversum")</f>
        <v/>
      </c>
    </row>
    <row r="108" ht="42" customHeight="1">
      <c r="A108" s="14">
        <f>IFERROR(__xludf.DUMMYFUNCTION("""COMPUTED_VALUE"""),45859)</f>
        <v/>
      </c>
      <c r="B108" s="1">
        <f>IFERROR(__xludf.DUMMYFUNCTION("""COMPUTED_VALUE"""),"ORG_1481")</f>
        <v/>
      </c>
      <c r="C108" s="1">
        <f>IFERROR(__xludf.DUMMYFUNCTION("""COMPUTED_VALUE"""),TRUE)</f>
        <v/>
      </c>
      <c r="D108" s="1">
        <f>IFERROR(__xludf.DUMMYFUNCTION("""COMPUTED_VALUE"""),"Electude")</f>
        <v/>
      </c>
      <c r="E108" s="15">
        <f>IFERROR(__xludf.DUMMYFUNCTION("""COMPUTED_VALUE"""),"www.electude.com")</f>
        <v/>
      </c>
      <c r="F108" s="1">
        <f>IFERROR(__xludf.DUMMYFUNCTION("""COMPUTED_VALUE"""),"Built upon 35 years of research and expertise, Electude has revolutionized the automotive education industry by leveraging hands-on gaming technologies and a discovery-based learning environment. Our interactive and engaging teaching solutions empower voc"&amp;"ational students to learn effectively and give teachers custom time-saving tools. To this day, Electude is driven by its founders’ vision: with the right tools, anyone can achieve their full potential.   With programs in light vehicles, heavy vehicles, an"&amp;"d systems technologies, Electude offers a highly adaptable platform that performs equally well in the classroom, in the shop, or at home. ")</f>
        <v/>
      </c>
      <c r="G108" s="1">
        <f>IFERROR(__xludf.DUMMYFUNCTION("""COMPUTED_VALUE"""),"Dutch EdTech")</f>
        <v/>
      </c>
      <c r="H108" s="1">
        <f>IFERROR(__xludf.DUMMYFUNCTION("""COMPUTED_VALUE"""),"English, German, Portuguese, Czech, Finnish, Irish, Ukrainian, French, Italian, Danish, Latvian, Polish, Spanish, Dutch, Croatian, Estonian, Hungarian, Lithuanian, Romanian, Swedish, Basque, Bulgarian, Catalan, Slovenian, Greek")</f>
        <v/>
      </c>
      <c r="I108" s="1">
        <f>IFERROR(__xludf.DUMMYFUNCTION("""COMPUTED_VALUE"""),"marketing@electude.com")</f>
        <v/>
      </c>
      <c r="J108" s="1">
        <f>IFERROR(__xludf.DUMMYFUNCTION("""COMPUTED_VALUE"""),"+31621463261")</f>
        <v/>
      </c>
      <c r="K108" s="1">
        <f>IFERROR(__xludf.DUMMYFUNCTION("""COMPUTED_VALUE"""),"Eindhoven")</f>
        <v/>
      </c>
      <c r="L108" s="1">
        <f>IFERROR(__xludf.DUMMYFUNCTION("""COMPUTED_VALUE"""),"The Netherlands")</f>
        <v/>
      </c>
      <c r="M108" s="1">
        <f>IFERROR(__xludf.DUMMYFUNCTION("""COMPUTED_VALUE"""),"Albania, Austria, Belgium, Bosnia and Herzegovina, Bulgaria, Croatia, Republic of Cyprus, Czechia, Denmark, Estonia, Finland, France, Germany, Greece, Hungary, Iceland, Ireland, Italy, Kosovo, Latvia, Lithuania, Luxembourg, Malta, Moldova, Montenegro, Net"&amp;"herlands, North Macedonia, Norway, Poland, Portugal, Romania, Slovakia, Slovenia, Spain, Sweden, Switzerland, Turkey, Ukraine, United Kingdom")</f>
        <v/>
      </c>
      <c r="N108" s="1">
        <f>IFERROR(__xludf.DUMMYFUNCTION("""COMPUTED_VALUE"""),"Medium (50-250 FTE employees)")</f>
        <v/>
      </c>
      <c r="O108" s="1">
        <f>IFERROR(__xludf.DUMMYFUNCTION("""COMPUTED_VALUE"""),"Business to Business, Business to Government, Business to Schools")</f>
        <v/>
      </c>
      <c r="P108" s="1">
        <f>IFERROR(__xludf.DUMMYFUNCTION("""COMPUTED_VALUE"""),"Vocational Education and Training (VET)")</f>
        <v/>
      </c>
      <c r="Q108" s="1">
        <f>IFERROR(__xludf.DUMMYFUNCTION("""COMPUTED_VALUE"""),"Student interfacing, Teacher interfacing")</f>
        <v/>
      </c>
      <c r="R108" s="15">
        <f>IFERROR(__xludf.DUMMYFUNCTION("""COMPUTED_VALUE"""),"https://www.instagram.com/electudeinternational/")</f>
        <v/>
      </c>
      <c r="S108" s="1" t="n"/>
      <c r="T108" s="15">
        <f>IFERROR(__xludf.DUMMYFUNCTION("""COMPUTED_VALUE"""),"https://www.linkedin.com/company/electudeinternational/")</f>
        <v/>
      </c>
      <c r="U108" s="1">
        <f>IFERROR(__xludf.DUMMYFUNCTION("""COMPUTED_VALUE"""),"Electude")</f>
        <v/>
      </c>
      <c r="V108" s="1">
        <f>IFERROR(__xludf.DUMMYFUNCTION("""COMPUTED_VALUE"""),"Electude Light Vehicle, Heavy Vehicle, and Electric Vehicle are didactic solutions for automotive technology learners in vocational education. They comprise 3000+ interactive, formative lessons designed for learning and practicing all the topics related t"&amp;"o automotive technology.")</f>
        <v/>
      </c>
      <c r="W108" s="1" t="n"/>
      <c r="X108" s="1" t="n"/>
      <c r="Y108" s="15">
        <f>IFERROR(__xludf.DUMMYFUNCTION("""COMPUTED_VALUE"""),"https://drive.google.com/uc?export=view&amp;id=1F5ktQbNj5i1vdnSX8F_SdYNtJLk7gN23")</f>
        <v/>
      </c>
      <c r="Z108" s="1">
        <f>IFERROR(__xludf.DUMMYFUNCTION("""COMPUTED_VALUE"""),"Unverified")</f>
        <v/>
      </c>
      <c r="AA108" s="1">
        <f>IFERROR(__xludf.DUMMYFUNCTION("""COMPUTED_VALUE"""),"Other")</f>
        <v/>
      </c>
      <c r="AB108" s="1">
        <f>IFERROR(__xludf.DUMMYFUNCTION("""COMPUTED_VALUE"""),"For-profit company")</f>
        <v/>
      </c>
      <c r="AC108" s="1">
        <f>IFERROR(__xludf.DUMMYFUNCTION("""COMPUTED_VALUE"""),TRUE)</f>
        <v/>
      </c>
      <c r="AD108" s="1">
        <f>IFERROR(__xludf.DUMMYFUNCTION("""COMPUTED_VALUE"""),TRUE)</f>
        <v/>
      </c>
      <c r="AE108" s="15">
        <f>IFERROR(__xludf.DUMMYFUNCTION("""COMPUTED_VALUE"""),"https://www.facebook.com/electudeinternational")</f>
        <v/>
      </c>
    </row>
    <row r="109" ht="42" customHeight="1">
      <c r="A109" s="14">
        <f>IFERROR(__xludf.DUMMYFUNCTION("""COMPUTED_VALUE"""),45859)</f>
        <v/>
      </c>
      <c r="B109" s="1">
        <f>IFERROR(__xludf.DUMMYFUNCTION("""COMPUTED_VALUE"""),"ORG_2613")</f>
        <v/>
      </c>
      <c r="C109" s="1">
        <f>IFERROR(__xludf.DUMMYFUNCTION("""COMPUTED_VALUE"""),TRUE)</f>
        <v/>
      </c>
      <c r="D109" s="1">
        <f>IFERROR(__xludf.DUMMYFUNCTION("""COMPUTED_VALUE"""),"Reducate EdTech Group")</f>
        <v/>
      </c>
      <c r="E109" s="15">
        <f>IFERROR(__xludf.DUMMYFUNCTION("""COMPUTED_VALUE"""),"www.reducate.com")</f>
        <v/>
      </c>
      <c r="F109" s="1">
        <f>IFERROR(__xludf.DUMMYFUNCTION("""COMPUTED_VALUE"""),"We specialize in offering mission-critical, online continuing professional development for various groups who are required to maintain and update their knowledge. Active in the Netherlands, Denmark, Germany and the UK.")</f>
        <v/>
      </c>
      <c r="G109" s="1">
        <f>IFERROR(__xludf.DUMMYFUNCTION("""COMPUTED_VALUE"""),"I'm not part of any EdTech association")</f>
        <v/>
      </c>
      <c r="H109" s="1">
        <f>IFERROR(__xludf.DUMMYFUNCTION("""COMPUTED_VALUE"""),"English, German, Danish, Dutch")</f>
        <v/>
      </c>
      <c r="I109" s="1">
        <f>IFERROR(__xludf.DUMMYFUNCTION("""COMPUTED_VALUE"""),"info@reducate.com")</f>
        <v/>
      </c>
      <c r="J109" s="1">
        <f>IFERROR(__xludf.DUMMYFUNCTION("""COMPUTED_VALUE"""),"+31611392111")</f>
        <v/>
      </c>
      <c r="K109" s="1">
        <f>IFERROR(__xludf.DUMMYFUNCTION("""COMPUTED_VALUE"""),"Utrecht")</f>
        <v/>
      </c>
      <c r="L109" s="1">
        <f>IFERROR(__xludf.DUMMYFUNCTION("""COMPUTED_VALUE"""),"The Netherlands")</f>
        <v/>
      </c>
      <c r="M109" s="1">
        <f>IFERROR(__xludf.DUMMYFUNCTION("""COMPUTED_VALUE"""),"Denmark, Germany, Netherlands, United Kingdom")</f>
        <v/>
      </c>
      <c r="N109" s="1">
        <f>IFERROR(__xludf.DUMMYFUNCTION("""COMPUTED_VALUE"""),"Medium (50-250 FTE employees)")</f>
        <v/>
      </c>
      <c r="O109" s="1">
        <f>IFERROR(__xludf.DUMMYFUNCTION("""COMPUTED_VALUE"""),"Business to Business, Business to Government, Business to Schools")</f>
        <v/>
      </c>
      <c r="P109" s="1">
        <f>IFERROR(__xludf.DUMMYFUNCTION("""COMPUTED_VALUE"""),"Lifelong learning/Adult education")</f>
        <v/>
      </c>
      <c r="Q109" s="1">
        <f>IFERROR(__xludf.DUMMYFUNCTION("""COMPUTED_VALUE"""),"Student interfacing")</f>
        <v/>
      </c>
      <c r="R109" s="1" t="n"/>
      <c r="S109" s="1" t="n"/>
      <c r="T109" s="15">
        <f>IFERROR(__xludf.DUMMYFUNCTION("""COMPUTED_VALUE"""),"https://www.linkedin.com/company/reducate")</f>
        <v/>
      </c>
      <c r="U109" s="1">
        <f>IFERROR(__xludf.DUMMYFUNCTION("""COMPUTED_VALUE"""),"E-learning for professionals")</f>
        <v/>
      </c>
      <c r="V109" s="1">
        <f>IFERROR(__xludf.DUMMYFUNCTION("""COMPUTED_VALUE"""),"Mission-critical online continuing professional education")</f>
        <v/>
      </c>
      <c r="W109" s="1">
        <f>IFERROR(__xludf.DUMMYFUNCTION("""COMPUTED_VALUE"""),"Learning experience platform")</f>
        <v/>
      </c>
      <c r="X109" s="1">
        <f>IFERROR(__xludf.DUMMYFUNCTION("""COMPUTED_VALUE"""),"LMS with broader functionalities like own content, logo, colouring etc.")</f>
        <v/>
      </c>
      <c r="Y109" s="15">
        <f>IFERROR(__xludf.DUMMYFUNCTION("""COMPUTED_VALUE"""),"https://drive.google.com/uc?export=view&amp;id=1ph_qR9AGcEvmgHGTduIQA76BecAgAxwJ")</f>
        <v/>
      </c>
      <c r="Z109" s="1">
        <f>IFERROR(__xludf.DUMMYFUNCTION("""COMPUTED_VALUE"""),"Unverified")</f>
        <v/>
      </c>
      <c r="AA109" s="1">
        <f>IFERROR(__xludf.DUMMYFUNCTION("""COMPUTED_VALUE"""),"Other")</f>
        <v/>
      </c>
      <c r="AB109" s="1">
        <f>IFERROR(__xludf.DUMMYFUNCTION("""COMPUTED_VALUE"""),"For-profit company")</f>
        <v/>
      </c>
      <c r="AC109" s="1">
        <f>IFERROR(__xludf.DUMMYFUNCTION("""COMPUTED_VALUE"""),FALSE)</f>
        <v/>
      </c>
      <c r="AD109" s="1">
        <f>IFERROR(__xludf.DUMMYFUNCTION("""COMPUTED_VALUE"""),TRUE)</f>
        <v/>
      </c>
      <c r="AE109" s="1" t="n"/>
    </row>
    <row r="110" ht="42" customHeight="1">
      <c r="A110" s="14">
        <f>IFERROR(__xludf.DUMMYFUNCTION("""COMPUTED_VALUE"""),45859)</f>
        <v/>
      </c>
      <c r="B110" s="1">
        <f>IFERROR(__xludf.DUMMYFUNCTION("""COMPUTED_VALUE"""),"ORG_2503")</f>
        <v/>
      </c>
      <c r="C110" s="1">
        <f>IFERROR(__xludf.DUMMYFUNCTION("""COMPUTED_VALUE"""),TRUE)</f>
        <v/>
      </c>
      <c r="D110" s="1">
        <f>IFERROR(__xludf.DUMMYFUNCTION("""COMPUTED_VALUE"""),"Vittascience")</f>
        <v/>
      </c>
      <c r="E110" s="15">
        <f>IFERROR(__xludf.DUMMYFUNCTION("""COMPUTED_VALUE"""),"https://vittascience.com/")</f>
        <v/>
      </c>
      <c r="F110" s="1">
        <f>IFERROR(__xludf.DUMMYFUNCTION("""COMPUTED_VALUE"""),"Founded in 2018, Vittascience designs digital tools to teach programming, algorithms and artificial intelligence in schools. Its ambition is to make digital learning accessible to all, by stimulating user curiosity and offering innovative, turnkey solutio"&amp;"ns.")</f>
        <v/>
      </c>
      <c r="G110" s="1">
        <f>IFERROR(__xludf.DUMMYFUNCTION("""COMPUTED_VALUE"""),"AFINEF, EdTech France")</f>
        <v/>
      </c>
      <c r="H110" s="1">
        <f>IFERROR(__xludf.DUMMYFUNCTION("""COMPUTED_VALUE"""),"English, French, Italian, Spanish")</f>
        <v/>
      </c>
      <c r="I110" s="1">
        <f>IFERROR(__xludf.DUMMYFUNCTION("""COMPUTED_VALUE"""),"contact@vittascience.com")</f>
        <v/>
      </c>
      <c r="J110" s="1">
        <f>IFERROR(__xludf.DUMMYFUNCTION("""COMPUTED_VALUE"""),"+33606758186")</f>
        <v/>
      </c>
      <c r="K110" s="1">
        <f>IFERROR(__xludf.DUMMYFUNCTION("""COMPUTED_VALUE"""),"Paris")</f>
        <v/>
      </c>
      <c r="L110" s="1">
        <f>IFERROR(__xludf.DUMMYFUNCTION("""COMPUTED_VALUE"""),"France")</f>
        <v/>
      </c>
      <c r="M110" s="1">
        <f>IFERROR(__xludf.DUMMYFUNCTION("""COMPUTED_VALUE"""),"Albania, Andorra, Austria, Bosnia and Herzegovina, Belgium, Belarus, Bulgaria, Croatia, Republic of Cyprus, Estonia, Denmark, Czechia, Finland, France, Germany, Iceland, Hungary, Greece, Ireland, Italy, Kosovo, Lithuania, Liechtenstein, Latvia, Luxembourg"&amp;", Malta, Moldova, Monaco, Montenegro, Netherlands, Poland, Norway, North Macedonia, Portugal, Romania, San Marino, Slovakia, Slovenia, Spain, Turkey, Switzerland, Sweden, Ukraine, United Kingdom")</f>
        <v/>
      </c>
      <c r="N110" s="1">
        <f>IFERROR(__xludf.DUMMYFUNCTION("""COMPUTED_VALUE"""),"Small (10-49 FTE employees)")</f>
        <v/>
      </c>
      <c r="O110" s="1">
        <f>IFERROR(__xludf.DUMMYFUNCTION("""COMPUTED_VALUE"""),"Business to Business, Business to Schools, Business to Government")</f>
        <v/>
      </c>
      <c r="P110" s="1">
        <f>IFERROR(__xludf.DUMMYFUNCTION("""COMPUTED_VALUE"""),"Primary Education, Secondary Education")</f>
        <v/>
      </c>
      <c r="Q110" s="1">
        <f>IFERROR(__xludf.DUMMYFUNCTION("""COMPUTED_VALUE"""),"Student interfacing, Teacher interfacing")</f>
        <v/>
      </c>
      <c r="R110" s="1" t="n"/>
      <c r="S110" s="1" t="n"/>
      <c r="T110" s="1" t="n"/>
      <c r="U110" s="1">
        <f>IFERROR(__xludf.DUMMYFUNCTION("""COMPUTED_VALUE"""),"Programming interface with bi-directional translation")</f>
        <v/>
      </c>
      <c r="V110" s="1">
        <f>IFERROR(__xludf.DUMMYFUNCTION("""COMPUTED_VALUE"""),"Vittascience empowers STEM education with coding interfaces, featuring a bi-directional translation (blocks ↔ text) for inclusion and accessibility. This features enabling blocks to be automatically translated into text and vice versa, it's bridges the ac"&amp;"cessibility gap of block-based programming.")</f>
        <v/>
      </c>
      <c r="W110" s="1">
        <f>IFERROR(__xludf.DUMMYFUNCTION("""COMPUTED_VALUE"""),"Artificial intelligence learning interface")</f>
        <v/>
      </c>
      <c r="X110" s="1">
        <f>IFERROR(__xludf.DUMMYFUNCTION("""COMPUTED_VALUE"""),"Interactive Artificial Intelligence (AI) teaching tools aim to “open the black box” of complex models. These tools enable students and teachers to visualize and understand LLM training processes, thus promoting in-depth learning of AI fundamentals.")</f>
        <v/>
      </c>
      <c r="Y110" s="15">
        <f>IFERROR(__xludf.DUMMYFUNCTION("""COMPUTED_VALUE"""),"https://drive.google.com/uc?export=view&amp;id=1s4dUBrdKBYzXviTJIfizi3OcYvwmznnh")</f>
        <v/>
      </c>
      <c r="Z110" s="1">
        <f>IFERROR(__xludf.DUMMYFUNCTION("""COMPUTED_VALUE"""),"Unverified")</f>
        <v/>
      </c>
      <c r="AA110" s="1">
        <f>IFERROR(__xludf.DUMMYFUNCTION("""COMPUTED_VALUE"""),"Collaborations between EdTech organisations, Project consortium building, Public-private partnerships, Industry-academia partnerships")</f>
        <v/>
      </c>
      <c r="AB110" s="1">
        <f>IFERROR(__xludf.DUMMYFUNCTION("""COMPUTED_VALUE"""),"For-profit company")</f>
        <v/>
      </c>
      <c r="AC110" s="1">
        <f>IFERROR(__xludf.DUMMYFUNCTION("""COMPUTED_VALUE"""),TRUE)</f>
        <v/>
      </c>
      <c r="AD110" s="1">
        <f>IFERROR(__xludf.DUMMYFUNCTION("""COMPUTED_VALUE"""),TRUE)</f>
        <v/>
      </c>
      <c r="AE110" s="1" t="n"/>
    </row>
    <row r="111" ht="42" customHeight="1">
      <c r="A111" s="14">
        <f>IFERROR(__xludf.DUMMYFUNCTION("""COMPUTED_VALUE"""),45858)</f>
        <v/>
      </c>
      <c r="B111" s="1">
        <f>IFERROR(__xludf.DUMMYFUNCTION("""COMPUTED_VALUE"""),"ORG_2609")</f>
        <v/>
      </c>
      <c r="C111" s="1">
        <f>IFERROR(__xludf.DUMMYFUNCTION("""COMPUTED_VALUE"""),TRUE)</f>
        <v/>
      </c>
      <c r="D111" s="1">
        <f>IFERROR(__xludf.DUMMYFUNCTION("""COMPUTED_VALUE"""),"Matcha ")</f>
        <v/>
      </c>
      <c r="E111" s="15">
        <f>IFERROR(__xludf.DUMMYFUNCTION("""COMPUTED_VALUE"""),"www.matcha.mobi")</f>
        <v/>
      </c>
      <c r="F111" s="1">
        <f>IFERROR(__xludf.DUMMYFUNCTION("""COMPUTED_VALUE"""),"We are an organisation that enables teacher to better support students with diverse learning needs by reducing the effort and time it take generate tailored material ")</f>
        <v/>
      </c>
      <c r="G111" s="1">
        <f>IFERROR(__xludf.DUMMYFUNCTION("""COMPUTED_VALUE"""),"I'm not part of any EdTech association")</f>
        <v/>
      </c>
      <c r="H111" s="1">
        <f>IFERROR(__xludf.DUMMYFUNCTION("""COMPUTED_VALUE"""),"English, Polish, Spanish, French, Portuguese, German, Italian")</f>
        <v/>
      </c>
      <c r="I111" s="1">
        <f>IFERROR(__xludf.DUMMYFUNCTION("""COMPUTED_VALUE"""),"chris@matcha.mobi")</f>
        <v/>
      </c>
      <c r="J111" s="1">
        <f>IFERROR(__xludf.DUMMYFUNCTION("""COMPUTED_VALUE"""),"+447837704317")</f>
        <v/>
      </c>
      <c r="K111" s="1">
        <f>IFERROR(__xludf.DUMMYFUNCTION("""COMPUTED_VALUE"""),"London")</f>
        <v/>
      </c>
      <c r="L111" s="1">
        <f>IFERROR(__xludf.DUMMYFUNCTION("""COMPUTED_VALUE"""),"United Kingdom")</f>
        <v/>
      </c>
      <c r="M111" s="1">
        <f>IFERROR(__xludf.DUMMYFUNCTION("""COMPUTED_VALUE"""),"United Kingdom")</f>
        <v/>
      </c>
      <c r="N111" s="1">
        <f>IFERROR(__xludf.DUMMYFUNCTION("""COMPUTED_VALUE"""),"Micro (1-9 FTE employees)")</f>
        <v/>
      </c>
      <c r="O111" s="1">
        <f>IFERROR(__xludf.DUMMYFUNCTION("""COMPUTED_VALUE"""),"Business to Schools, Business to Consumer")</f>
        <v/>
      </c>
      <c r="P111" s="1">
        <f>IFERROR(__xludf.DUMMYFUNCTION("""COMPUTED_VALUE"""),"Secondary Education, Primary Education, Special education")</f>
        <v/>
      </c>
      <c r="Q111" s="1">
        <f>IFERROR(__xludf.DUMMYFUNCTION("""COMPUTED_VALUE"""),"Teacher interfacing, System/Administrative")</f>
        <v/>
      </c>
      <c r="R111" s="1" t="n"/>
      <c r="S111" s="1" t="n"/>
      <c r="T111" s="1" t="n"/>
      <c r="U111" s="1">
        <f>IFERROR(__xludf.DUMMYFUNCTION("""COMPUTED_VALUE"""),"Content Assessment Service")</f>
        <v/>
      </c>
      <c r="V111" s="1">
        <f>IFERROR(__xludf.DUMMYFUNCTION("""COMPUTED_VALUE"""),"This service will scan and score existing school material against different learner profiles and make suggestions on how to adapt the content.")</f>
        <v/>
      </c>
      <c r="W111" s="1">
        <f>IFERROR(__xludf.DUMMYFUNCTION("""COMPUTED_VALUE"""),"Content Adaptation and Creation Service")</f>
        <v/>
      </c>
      <c r="X111" s="1">
        <f>IFERROR(__xludf.DUMMYFUNCTION("""COMPUTED_VALUE"""),"This service will adapt content to different learner profiles as will generate content for a single or multiple leaner profile")</f>
        <v/>
      </c>
      <c r="Y111" s="15">
        <f>IFERROR(__xludf.DUMMYFUNCTION("""COMPUTED_VALUE"""),"https://drive.google.com/uc?export=view&amp;id=1fBuMdbLYafOXaY7gSHoh2Jjcw4NOfJW8")</f>
        <v/>
      </c>
      <c r="Z111" s="1">
        <f>IFERROR(__xludf.DUMMYFUNCTION("""COMPUTED_VALUE"""),"Unverified")</f>
        <v/>
      </c>
      <c r="AA111" s="1">
        <f>IFERROR(__xludf.DUMMYFUNCTION("""COMPUTED_VALUE"""),"Collaborations between EdTech organisations, Project consortium building, Public-private partnerships, Industry-academia partnerships")</f>
        <v/>
      </c>
      <c r="AB111" s="1">
        <f>IFERROR(__xludf.DUMMYFUNCTION("""COMPUTED_VALUE"""),"For-profit company")</f>
        <v/>
      </c>
      <c r="AC111" s="1">
        <f>IFERROR(__xludf.DUMMYFUNCTION("""COMPUTED_VALUE"""),TRUE)</f>
        <v/>
      </c>
      <c r="AD111" s="1">
        <f>IFERROR(__xludf.DUMMYFUNCTION("""COMPUTED_VALUE"""),TRUE)</f>
        <v/>
      </c>
      <c r="AE111" s="1" t="n"/>
    </row>
    <row r="112" ht="42" customHeight="1">
      <c r="A112" s="14">
        <f>IFERROR(__xludf.DUMMYFUNCTION("""COMPUTED_VALUE"""),45856)</f>
        <v/>
      </c>
      <c r="B112" s="1">
        <f>IFERROR(__xludf.DUMMYFUNCTION("""COMPUTED_VALUE"""),"ORG_2610")</f>
        <v/>
      </c>
      <c r="C112" s="1">
        <f>IFERROR(__xludf.DUMMYFUNCTION("""COMPUTED_VALUE"""),TRUE)</f>
        <v/>
      </c>
      <c r="D112" s="1">
        <f>IFERROR(__xludf.DUMMYFUNCTION("""COMPUTED_VALUE"""),"Happy Kids Academy")</f>
        <v/>
      </c>
      <c r="E112" s="15">
        <f>IFERROR(__xludf.DUMMYFUNCTION("""COMPUTED_VALUE"""),"www.happykids.ai")</f>
        <v/>
      </c>
      <c r="F112" s="1">
        <f>IFERROR(__xludf.DUMMYFUNCTION("""COMPUTED_VALUE"""),"At happy kids we want to empower students to become beyonders through emotional literacy, resilience training, and self-knowledge. It is time to Shine!")</f>
        <v/>
      </c>
      <c r="G112" s="1">
        <f>IFERROR(__xludf.DUMMYFUNCTION("""COMPUTED_VALUE"""),"I'm not part of any EdTech association")</f>
        <v/>
      </c>
      <c r="H112" s="1">
        <f>IFERROR(__xludf.DUMMYFUNCTION("""COMPUTED_VALUE"""),"English, French, German, Portuguese")</f>
        <v/>
      </c>
      <c r="I112" s="1">
        <f>IFERROR(__xludf.DUMMYFUNCTION("""COMPUTED_VALUE"""),"hello@happykids.ai")</f>
        <v/>
      </c>
      <c r="J112" s="1">
        <f>IFERROR(__xludf.DUMMYFUNCTION("""COMPUTED_VALUE"""),"+491729003924")</f>
        <v/>
      </c>
      <c r="K112" s="1">
        <f>IFERROR(__xludf.DUMMYFUNCTION("""COMPUTED_VALUE"""),"Luxembourg")</f>
        <v/>
      </c>
      <c r="L112" s="1">
        <f>IFERROR(__xludf.DUMMYFUNCTION("""COMPUTED_VALUE"""),"Luxembourg")</f>
        <v/>
      </c>
      <c r="M112" s="1">
        <f>IFERROR(__xludf.DUMMYFUNCTION("""COMPUTED_VALUE"""),"Luxembourg")</f>
        <v/>
      </c>
      <c r="N112" s="1">
        <f>IFERROR(__xludf.DUMMYFUNCTION("""COMPUTED_VALUE"""),"Micro (1-9 FTE employees)")</f>
        <v/>
      </c>
      <c r="O112" s="1">
        <f>IFERROR(__xludf.DUMMYFUNCTION("""COMPUTED_VALUE"""),"Business to Government, Business to Schools, Business to Consumer")</f>
        <v/>
      </c>
      <c r="P112" s="1">
        <f>IFERROR(__xludf.DUMMYFUNCTION("""COMPUTED_VALUE"""),"Secondary Education, Primary Education, Special education, Corporate Training")</f>
        <v/>
      </c>
      <c r="Q112" s="1">
        <f>IFERROR(__xludf.DUMMYFUNCTION("""COMPUTED_VALUE"""),"Student interfacing, Teacher interfacing, System/Administrative, Other")</f>
        <v/>
      </c>
      <c r="R112" s="1" t="n"/>
      <c r="S112" s="1" t="n"/>
      <c r="T112" s="15">
        <f>IFERROR(__xludf.DUMMYFUNCTION("""COMPUTED_VALUE"""),"https://lu.linkedin.com/company/happykids-ai-the-book-of-life")</f>
        <v/>
      </c>
      <c r="U112" s="1">
        <f>IFERROR(__xludf.DUMMYFUNCTION("""COMPUTED_VALUE"""),"LULU - Your LLM for all things Luxembourg")</f>
        <v/>
      </c>
      <c r="V112" s="1">
        <f>IFERROR(__xludf.DUMMYFUNCTION("""COMPUTED_VALUE"""),"Lulu is here to support expat families arrive smoothly to luxembourg. Help with training languages, and emotionl safe space, is the right person to meet to enjoy a safe arrival.")</f>
        <v/>
      </c>
      <c r="W112" s="1">
        <f>IFERROR(__xludf.DUMMYFUNCTION("""COMPUTED_VALUE"""),"My Atlas of Emotions")</f>
        <v/>
      </c>
      <c r="X112" s="1">
        <f>IFERROR(__xludf.DUMMYFUNCTION("""COMPUTED_VALUE"""),"A map of emotions that help students to learn about their difrferences, what each emotion makes with our bodies, how to name or recognize them, ideal for class discussions of exercises on emotional literacy.")</f>
        <v/>
      </c>
      <c r="Y112" s="15">
        <f>IFERROR(__xludf.DUMMYFUNCTION("""COMPUTED_VALUE"""),"https://drive.google.com/uc?export=view&amp;id=1SOdb4oi6XSFkgFjGRpoTKIUB2LRDQ8tj")</f>
        <v/>
      </c>
      <c r="Z112" s="1">
        <f>IFERROR(__xludf.DUMMYFUNCTION("""COMPUTED_VALUE"""),"Unverified")</f>
        <v/>
      </c>
      <c r="AA112" s="1">
        <f>IFERROR(__xludf.DUMMYFUNCTION("""COMPUTED_VALUE"""),"Public-private partnerships, Collaborations between EdTech organisations, Project consortium building")</f>
        <v/>
      </c>
      <c r="AB112" s="1">
        <f>IFERROR(__xludf.DUMMYFUNCTION("""COMPUTED_VALUE"""),"For-profit company")</f>
        <v/>
      </c>
      <c r="AC112" s="1">
        <f>IFERROR(__xludf.DUMMYFUNCTION("""COMPUTED_VALUE"""),TRUE)</f>
        <v/>
      </c>
      <c r="AD112" s="1">
        <f>IFERROR(__xludf.DUMMYFUNCTION("""COMPUTED_VALUE"""),TRUE)</f>
        <v/>
      </c>
      <c r="AE112" s="1" t="n"/>
    </row>
    <row r="113" ht="42" customHeight="1">
      <c r="A113" s="14">
        <f>IFERROR(__xludf.DUMMYFUNCTION("""COMPUTED_VALUE"""),45856)</f>
        <v/>
      </c>
      <c r="B113" s="1">
        <f>IFERROR(__xludf.DUMMYFUNCTION("""COMPUTED_VALUE"""),"ORG_2611")</f>
        <v/>
      </c>
      <c r="C113" s="1">
        <f>IFERROR(__xludf.DUMMYFUNCTION("""COMPUTED_VALUE"""),TRUE)</f>
        <v/>
      </c>
      <c r="D113" s="1">
        <f>IFERROR(__xludf.DUMMYFUNCTION("""COMPUTED_VALUE"""),"Finanzwissen e.V.")</f>
        <v/>
      </c>
      <c r="E113" s="15">
        <f>IFERROR(__xludf.DUMMYFUNCTION("""COMPUTED_VALUE"""),"https://finanzwissen.club/")</f>
        <v/>
      </c>
      <c r="F113" s="1">
        <f>IFERROR(__xludf.DUMMYFUNCTION("""COMPUTED_VALUE"""),"Seit 2025 setzen wir mit Leidenschaft auf finanzielle Selbstbestimmung – gestützt auf jahrelanger Expertise unserer Gründer:innen in Finanzbildung, digitalen Lernformaten und Technologie.. Wir schließen die Lücke an strukturierten Bildungsangeboten für Re"&amp;"tail-Investor:innen im deutschsprachigen Raum – mit technologiegestützten und sozial wirksamen Ansätzen.")</f>
        <v/>
      </c>
      <c r="G113" s="1">
        <f>IFERROR(__xludf.DUMMYFUNCTION("""COMPUTED_VALUE"""),"EdTech Austria")</f>
        <v/>
      </c>
      <c r="H113" s="1">
        <f>IFERROR(__xludf.DUMMYFUNCTION("""COMPUTED_VALUE"""),"German")</f>
        <v/>
      </c>
      <c r="I113" s="1">
        <f>IFERROR(__xludf.DUMMYFUNCTION("""COMPUTED_VALUE"""),"kassier@finanzwissen.club")</f>
        <v/>
      </c>
      <c r="J113" s="1">
        <f>IFERROR(__xludf.DUMMYFUNCTION("""COMPUTED_VALUE"""),"+436645379194")</f>
        <v/>
      </c>
      <c r="K113" s="1">
        <f>IFERROR(__xludf.DUMMYFUNCTION("""COMPUTED_VALUE"""),"Ramsau im Zillertal")</f>
        <v/>
      </c>
      <c r="L113" s="1">
        <f>IFERROR(__xludf.DUMMYFUNCTION("""COMPUTED_VALUE"""),"Austria")</f>
        <v/>
      </c>
      <c r="M113" s="1">
        <f>IFERROR(__xludf.DUMMYFUNCTION("""COMPUTED_VALUE"""),"Austria")</f>
        <v/>
      </c>
      <c r="N113" s="1">
        <f>IFERROR(__xludf.DUMMYFUNCTION("""COMPUTED_VALUE"""),"Micro (1-9 FTE employees)")</f>
        <v/>
      </c>
      <c r="O113" s="1">
        <f>IFERROR(__xludf.DUMMYFUNCTION("""COMPUTED_VALUE"""),"Business to Business, Business to Consumer, Business to Government, Business to Schools")</f>
        <v/>
      </c>
      <c r="P113" s="1">
        <f>IFERROR(__xludf.DUMMYFUNCTION("""COMPUTED_VALUE"""),"Lifelong learning/Adult education")</f>
        <v/>
      </c>
      <c r="Q113" s="1">
        <f>IFERROR(__xludf.DUMMYFUNCTION("""COMPUTED_VALUE"""),"Student interfacing")</f>
        <v/>
      </c>
      <c r="R113" s="1" t="n"/>
      <c r="S113" s="1" t="n"/>
      <c r="T113" s="1" t="n"/>
      <c r="U113" s="1">
        <f>IFERROR(__xludf.DUMMYFUNCTION("""COMPUTED_VALUE"""),"Unser Projektteam bringt fundiertes Wissen in Finanzbildung, KI, Lerntechnologien und soziale Innovation – für eine maßgeschneiderte Lernplattform.")</f>
        <v/>
      </c>
      <c r="V113" s="1" t="n"/>
      <c r="W113" s="1" t="n"/>
      <c r="X113" s="1" t="n"/>
      <c r="Y113" s="15">
        <f>IFERROR(__xludf.DUMMYFUNCTION("""COMPUTED_VALUE"""),"https://drive.google.com/uc?export=view&amp;id=18Dcn90NsEdIkbnCVQWGgIQel8nCAPAxx")</f>
        <v/>
      </c>
      <c r="Z113" s="1">
        <f>IFERROR(__xludf.DUMMYFUNCTION("""COMPUTED_VALUE"""),"Unverified")</f>
        <v/>
      </c>
      <c r="AA113" s="1">
        <f>IFERROR(__xludf.DUMMYFUNCTION("""COMPUTED_VALUE"""),"Collaborations between EdTech organisations, Project consortium building, Public-private partnerships, Industry-academia partnerships, Other")</f>
        <v/>
      </c>
      <c r="AB113" s="1">
        <f>IFERROR(__xludf.DUMMYFUNCTION("""COMPUTED_VALUE"""),"Non-profit organisation")</f>
        <v/>
      </c>
      <c r="AC113" s="1">
        <f>IFERROR(__xludf.DUMMYFUNCTION("""COMPUTED_VALUE"""),TRUE)</f>
        <v/>
      </c>
      <c r="AD113" s="1">
        <f>IFERROR(__xludf.DUMMYFUNCTION("""COMPUTED_VALUE"""),TRUE)</f>
        <v/>
      </c>
      <c r="AE113" s="1" t="n"/>
    </row>
    <row r="114" ht="42" customHeight="1">
      <c r="A114" s="14">
        <f>IFERROR(__xludf.DUMMYFUNCTION("""COMPUTED_VALUE"""),45856)</f>
        <v/>
      </c>
      <c r="B114" s="1">
        <f>IFERROR(__xludf.DUMMYFUNCTION("""COMPUTED_VALUE"""),"ORG_2612")</f>
        <v/>
      </c>
      <c r="C114" s="1">
        <f>IFERROR(__xludf.DUMMYFUNCTION("""COMPUTED_VALUE"""),TRUE)</f>
        <v/>
      </c>
      <c r="D114" s="1">
        <f>IFERROR(__xludf.DUMMYFUNCTION("""COMPUTED_VALUE"""),"Investling")</f>
        <v/>
      </c>
      <c r="E114" s="15">
        <f>IFERROR(__xludf.DUMMYFUNCTION("""COMPUTED_VALUE"""),"https://www.investling.org/")</f>
        <v/>
      </c>
      <c r="F114" s="1">
        <f>IFERROR(__xludf.DUMMYFUNCTION("""COMPUTED_VALUE"""),"Investling empowers people to make informed investment decisions. With our AI-driven online learning journey, people will learn the key concepts of investing and will apply this knowledge in an virtual environment. ")</f>
        <v/>
      </c>
      <c r="G114" s="1">
        <f>IFERROR(__xludf.DUMMYFUNCTION("""COMPUTED_VALUE"""),"EdTech Estonia")</f>
        <v/>
      </c>
      <c r="H114" s="1">
        <f>IFERROR(__xludf.DUMMYFUNCTION("""COMPUTED_VALUE"""),"English")</f>
        <v/>
      </c>
      <c r="I114" s="1">
        <f>IFERROR(__xludf.DUMMYFUNCTION("""COMPUTED_VALUE"""),"georg@investling.org")</f>
        <v/>
      </c>
      <c r="J114" s="1">
        <f>IFERROR(__xludf.DUMMYFUNCTION("""COMPUTED_VALUE"""),"+436645379194")</f>
        <v/>
      </c>
      <c r="K114" s="1">
        <f>IFERROR(__xludf.DUMMYFUNCTION("""COMPUTED_VALUE"""),"Tallinn")</f>
        <v/>
      </c>
      <c r="L114" s="1">
        <f>IFERROR(__xludf.DUMMYFUNCTION("""COMPUTED_VALUE"""),"Estonia")</f>
        <v/>
      </c>
      <c r="M114" s="1">
        <f>IFERROR(__xludf.DUMMYFUNCTION("""COMPUTED_VALUE"""),"Austria, Estonia, Germany, Spain")</f>
        <v/>
      </c>
      <c r="N114" s="1">
        <f>IFERROR(__xludf.DUMMYFUNCTION("""COMPUTED_VALUE"""),"Micro (1-9 FTE employees)")</f>
        <v/>
      </c>
      <c r="O114" s="1">
        <f>IFERROR(__xludf.DUMMYFUNCTION("""COMPUTED_VALUE"""),"Business to Consumer, Business to Business")</f>
        <v/>
      </c>
      <c r="P114" s="1">
        <f>IFERROR(__xludf.DUMMYFUNCTION("""COMPUTED_VALUE"""),"Lifelong learning/Adult education")</f>
        <v/>
      </c>
      <c r="Q114" s="1">
        <f>IFERROR(__xludf.DUMMYFUNCTION("""COMPUTED_VALUE"""),"Student interfacing")</f>
        <v/>
      </c>
      <c r="R114" s="1" t="n"/>
      <c r="S114" s="1" t="n"/>
      <c r="T114" s="15">
        <f>IFERROR(__xludf.DUMMYFUNCTION("""COMPUTED_VALUE"""),"https://www.linkedin.com/company/investlingedu")</f>
        <v/>
      </c>
      <c r="U114" s="1">
        <f>IFERROR(__xludf.DUMMYFUNCTION("""COMPUTED_VALUE"""),"Online Course for Individuals")</f>
        <v/>
      </c>
      <c r="V114" s="1">
        <f>IFERROR(__xludf.DUMMYFUNCTION("""COMPUTED_VALUE"""),"Our comprehensive 10-module, self-paced Portfolio Management empowers people to become their own portfolio managers. Designed for retail investors, this program equips people with the skills to build and manage a personalized investment portfolio.")</f>
        <v/>
      </c>
      <c r="W114" s="1" t="n"/>
      <c r="X114" s="1" t="n"/>
      <c r="Y114" s="15">
        <f>IFERROR(__xludf.DUMMYFUNCTION("""COMPUTED_VALUE"""),"https://drive.google.com/uc?export=view&amp;id=1WW59X-VbdGlZ9ZP9cLsOo22MLYxYDoMp")</f>
        <v/>
      </c>
      <c r="Z114" s="1">
        <f>IFERROR(__xludf.DUMMYFUNCTION("""COMPUTED_VALUE"""),"Unverified")</f>
        <v/>
      </c>
      <c r="AA114" s="1">
        <f>IFERROR(__xludf.DUMMYFUNCTION("""COMPUTED_VALUE"""),"Project consortium building, Public-private partnerships, Industry-academia partnerships")</f>
        <v/>
      </c>
      <c r="AB114" s="1">
        <f>IFERROR(__xludf.DUMMYFUNCTION("""COMPUTED_VALUE"""),"For-profit company")</f>
        <v/>
      </c>
      <c r="AC114" s="1">
        <f>IFERROR(__xludf.DUMMYFUNCTION("""COMPUTED_VALUE"""),TRUE)</f>
        <v/>
      </c>
      <c r="AD114" s="1">
        <f>IFERROR(__xludf.DUMMYFUNCTION("""COMPUTED_VALUE"""),TRUE)</f>
        <v/>
      </c>
      <c r="AE114" s="1" t="n"/>
    </row>
    <row r="115" ht="42" customHeight="1">
      <c r="A115" s="14">
        <f>IFERROR(__xludf.DUMMYFUNCTION("""COMPUTED_VALUE"""),45855)</f>
        <v/>
      </c>
      <c r="B115" s="1">
        <f>IFERROR(__xludf.DUMMYFUNCTION("""COMPUTED_VALUE"""),"ORG_1973")</f>
        <v/>
      </c>
      <c r="C115" s="1">
        <f>IFERROR(__xludf.DUMMYFUNCTION("""COMPUTED_VALUE"""),TRUE)</f>
        <v/>
      </c>
      <c r="D115" s="1">
        <f>IFERROR(__xludf.DUMMYFUNCTION("""COMPUTED_VALUE"""),"MOBiDYS")</f>
        <v/>
      </c>
      <c r="E115" s="15">
        <f>IFERROR(__xludf.DUMMYFUNCTION("""COMPUTED_VALUE"""),"https://www.mobidys.com/")</f>
        <v/>
      </c>
      <c r="F115" s="1">
        <f>IFERROR(__xludf.DUMMYFUNCTION("""COMPUTED_VALUE"""),"Thanks to the power of research and digital technology, MOBiDYS gives people the power to read by adapting existing books into FROG versions, which are 100% accessible to all types of readers. MOBiDYS offers the SONDO digital library for schools, with a c"&amp;"atalog that meets teachers' programs.")</f>
        <v/>
      </c>
      <c r="G115" s="1">
        <f>IFERROR(__xludf.DUMMYFUNCTION("""COMPUTED_VALUE"""),"AFINEF")</f>
        <v/>
      </c>
      <c r="H115" s="1">
        <f>IFERROR(__xludf.DUMMYFUNCTION("""COMPUTED_VALUE"""),"French")</f>
        <v/>
      </c>
      <c r="I115" s="1">
        <f>IFERROR(__xludf.DUMMYFUNCTION("""COMPUTED_VALUE"""),"contact@mobidys.fr")</f>
        <v/>
      </c>
      <c r="J115" s="1">
        <f>IFERROR(__xludf.DUMMYFUNCTION("""COMPUTED_VALUE"""),"+33251135440")</f>
        <v/>
      </c>
      <c r="K115" s="1">
        <f>IFERROR(__xludf.DUMMYFUNCTION("""COMPUTED_VALUE"""),"Nantes")</f>
        <v/>
      </c>
      <c r="L115" s="1">
        <f>IFERROR(__xludf.DUMMYFUNCTION("""COMPUTED_VALUE"""),"France")</f>
        <v/>
      </c>
      <c r="M115" s="1">
        <f>IFERROR(__xludf.DUMMYFUNCTION("""COMPUTED_VALUE"""),"Belgium, France")</f>
        <v/>
      </c>
      <c r="N115" s="1">
        <f>IFERROR(__xludf.DUMMYFUNCTION("""COMPUTED_VALUE"""),"Small (10-49 FTE employees)")</f>
        <v/>
      </c>
      <c r="O115" s="1">
        <f>IFERROR(__xludf.DUMMYFUNCTION("""COMPUTED_VALUE"""),"Business to Business, Business to Government")</f>
        <v/>
      </c>
      <c r="P115" s="1">
        <f>IFERROR(__xludf.DUMMYFUNCTION("""COMPUTED_VALUE"""),"Primary Education, Secondary Education, Special education")</f>
        <v/>
      </c>
      <c r="Q115" s="1">
        <f>IFERROR(__xludf.DUMMYFUNCTION("""COMPUTED_VALUE"""),"Student interfacing, Teacher interfacing")</f>
        <v/>
      </c>
      <c r="R115" s="1" t="n"/>
      <c r="S115" s="1" t="n"/>
      <c r="T115" s="1" t="n"/>
      <c r="U115" s="1">
        <f>IFERROR(__xludf.DUMMYFUNCTION("""COMPUTED_VALUE"""),"SONDO")</f>
        <v/>
      </c>
      <c r="V115" s="1">
        <f>IFERROR(__xludf.DUMMYFUNCTION("""COMPUTED_VALUE"""),"SONDO is designed for all students—whether avid readers or those who struggle. The digital library offers a wide selection of classical and contemporary literature, aligned with teaching practices. All titles are available in the customizable FROG format,"&amp;" which includes built-in reading tools.
")</f>
        <v/>
      </c>
      <c r="W115" s="1">
        <f>IFERROR(__xludf.DUMMYFUNCTION("""COMPUTED_VALUE"""),"BibliOdyssée")</f>
        <v/>
      </c>
      <c r="X115" s="1">
        <f>IFERROR(__xludf.DUMMYFUNCTION("""COMPUTED_VALUE"""),"BibliOdyssée offers access to over 100 titles of children’s and young adult literature, both classic and contemporary, to help young readers engage with books. Designed specifically for libraries, BibliOdyssée uses the FROG format, which integrates a full"&amp;" range of reading support tools.")</f>
        <v/>
      </c>
      <c r="Y115" s="15">
        <f>IFERROR(__xludf.DUMMYFUNCTION("""COMPUTED_VALUE"""),"https://drive.google.com/uc?export=view&amp;id=1MeI4x-m8gyZKfSnJMXiXVIA7fLzipoJc")</f>
        <v/>
      </c>
      <c r="Z115" s="1">
        <f>IFERROR(__xludf.DUMMYFUNCTION("""COMPUTED_VALUE"""),"Unverified")</f>
        <v/>
      </c>
      <c r="AA115" s="1">
        <f>IFERROR(__xludf.DUMMYFUNCTION("""COMPUTED_VALUE"""),"Collaborations between EdTech organisations, Public-private partnerships")</f>
        <v/>
      </c>
      <c r="AB115" s="1">
        <f>IFERROR(__xludf.DUMMYFUNCTION("""COMPUTED_VALUE"""),"For-profit company")</f>
        <v/>
      </c>
      <c r="AC115" s="1">
        <f>IFERROR(__xludf.DUMMYFUNCTION("""COMPUTED_VALUE"""),TRUE)</f>
        <v/>
      </c>
      <c r="AD115" s="1">
        <f>IFERROR(__xludf.DUMMYFUNCTION("""COMPUTED_VALUE"""),TRUE)</f>
        <v/>
      </c>
      <c r="AE115" s="1" t="n"/>
    </row>
    <row r="116" ht="42" customHeight="1">
      <c r="A116" s="14">
        <f>IFERROR(__xludf.DUMMYFUNCTION("""COMPUTED_VALUE"""),45854)</f>
        <v/>
      </c>
      <c r="B116" s="1">
        <f>IFERROR(__xludf.DUMMYFUNCTION("""COMPUTED_VALUE"""),"ORG_1899")</f>
        <v/>
      </c>
      <c r="C116" s="1">
        <f>IFERROR(__xludf.DUMMYFUNCTION("""COMPUTED_VALUE"""),TRUE)</f>
        <v/>
      </c>
      <c r="D116" s="1">
        <f>IFERROR(__xludf.DUMMYFUNCTION("""COMPUTED_VALUE"""),"Madmagz")</f>
        <v/>
      </c>
      <c r="E116" s="15">
        <f>IFERROR(__xludf.DUMMYFUNCTION("""COMPUTED_VALUE"""),"https://madmagz.com")</f>
        <v/>
      </c>
      <c r="F116" s="1">
        <f>IFERROR(__xludf.DUMMYFUNCTION("""COMPUTED_VALUE"""),"Madmagz is a user-friendly, collaborative tool for creating school newspapers—such as school journals, presentations, travel logs, or eTwinning projects.")</f>
        <v/>
      </c>
      <c r="G116" s="1">
        <f>IFERROR(__xludf.DUMMYFUNCTION("""COMPUTED_VALUE"""),"AFINEF")</f>
        <v/>
      </c>
      <c r="H116" s="1">
        <f>IFERROR(__xludf.DUMMYFUNCTION("""COMPUTED_VALUE"""),"English, French")</f>
        <v/>
      </c>
      <c r="I116" s="1">
        <f>IFERROR(__xludf.DUMMYFUNCTION("""COMPUTED_VALUE"""),"hello@madmagz.com")</f>
        <v/>
      </c>
      <c r="J116" s="1">
        <f>IFERROR(__xludf.DUMMYFUNCTION("""COMPUTED_VALUE"""),"+33986304699")</f>
        <v/>
      </c>
      <c r="K116" s="1">
        <f>IFERROR(__xludf.DUMMYFUNCTION("""COMPUTED_VALUE"""),"Paris")</f>
        <v/>
      </c>
      <c r="L116" s="1">
        <f>IFERROR(__xludf.DUMMYFUNCTION("""COMPUTED_VALUE"""),"France")</f>
        <v/>
      </c>
      <c r="M116" s="1">
        <f>IFERROR(__xludf.DUMMYFUNCTION("""COMPUTED_VALUE"""),"Albania, Andorra, Belarus, Belgium, Bosnia and Herzegovina, Austria, Republic of Cyprus, Croatia, Bulgaria, Czechia, Denmark, Estonia, Germany, France, Finland, Greece, Hungary, Iceland, Kosovo, Italy, Ireland, Latvia, Liechtenstein, Lithuania, Moldova, M"&amp;"alta, Luxembourg, Monaco, Montenegro, Netherlands, Poland, Norway, North Macedonia, Portugal, Slovakia, Sweden, Ukraine, United Kingdom, Switzerland, Slovenia, Romania, San Marino, Spain, Turkey")</f>
        <v/>
      </c>
      <c r="N116" s="1">
        <f>IFERROR(__xludf.DUMMYFUNCTION("""COMPUTED_VALUE"""),"Micro (1-9 FTE employees)")</f>
        <v/>
      </c>
      <c r="O116" s="1">
        <f>IFERROR(__xludf.DUMMYFUNCTION("""COMPUTED_VALUE"""),"Business to Consumer, Business to Schools, Business to Business, Business to Government")</f>
        <v/>
      </c>
      <c r="P116" s="1">
        <f>IFERROR(__xludf.DUMMYFUNCTION("""COMPUTED_VALUE"""),"Primary Education, Secondary Education, Vocational Education and Training (VET), Higher Education, Special Education, Lifelong learning/Adult education, Corporate Training, Other, Early childhood development (0-5 years)")</f>
        <v/>
      </c>
      <c r="Q116" s="1">
        <f>IFERROR(__xludf.DUMMYFUNCTION("""COMPUTED_VALUE"""),"Student interfacing, Teacher interfacing")</f>
        <v/>
      </c>
      <c r="R116" s="15">
        <f>IFERROR(__xludf.DUMMYFUNCTION("""COMPUTED_VALUE"""),"https://www.instagram.com/madmagz.live/")</f>
        <v/>
      </c>
      <c r="S116" s="15">
        <f>IFERROR(__xludf.DUMMYFUNCTION("""COMPUTED_VALUE"""),"https://x.com/madmagz")</f>
        <v/>
      </c>
      <c r="T116" s="15">
        <f>IFERROR(__xludf.DUMMYFUNCTION("""COMPUTED_VALUE"""),"https://www.linkedin.com/company/949712")</f>
        <v/>
      </c>
      <c r="U116" s="1">
        <f>IFERROR(__xludf.DUMMYFUNCTION("""COMPUTED_VALUE"""),"Madmagz")</f>
        <v/>
      </c>
      <c r="V116" s="1">
        <f>IFERROR(__xludf.DUMMYFUNCTION("""COMPUTED_VALUE"""),"Madmagz is a user-friendly, collaborative software for creating school newspapers—such as school journals, presentations, travel logs, or eTwinning projects.")</f>
        <v/>
      </c>
      <c r="W116" s="1" t="n"/>
      <c r="X116" s="1" t="n"/>
      <c r="Y116" s="15">
        <f>IFERROR(__xludf.DUMMYFUNCTION("""COMPUTED_VALUE"""),"https://drive.google.com/uc?export=view&amp;id=1FJIWR9LmUM8N4YxuB61JBlNHJFYCwOph")</f>
        <v/>
      </c>
      <c r="Z116" s="1">
        <f>IFERROR(__xludf.DUMMYFUNCTION("""COMPUTED_VALUE"""),"Unverified")</f>
        <v/>
      </c>
      <c r="AA116" s="1">
        <f>IFERROR(__xludf.DUMMYFUNCTION("""COMPUTED_VALUE"""),"Collaborations between EdTech organisations, Public-private partnerships, Industry-academia partnerships, Other")</f>
        <v/>
      </c>
      <c r="AB116" s="1">
        <f>IFERROR(__xludf.DUMMYFUNCTION("""COMPUTED_VALUE"""),"For-profit company")</f>
        <v/>
      </c>
      <c r="AC116" s="1">
        <f>IFERROR(__xludf.DUMMYFUNCTION("""COMPUTED_VALUE"""),TRUE)</f>
        <v/>
      </c>
      <c r="AD116" s="1">
        <f>IFERROR(__xludf.DUMMYFUNCTION("""COMPUTED_VALUE"""),FALSE)</f>
        <v/>
      </c>
      <c r="AE116" s="1" t="n"/>
    </row>
    <row r="117" ht="42" customHeight="1">
      <c r="A117" s="14">
        <f>IFERROR(__xludf.DUMMYFUNCTION("""COMPUTED_VALUE"""),45854)</f>
        <v/>
      </c>
      <c r="B117" s="1">
        <f>IFERROR(__xludf.DUMMYFUNCTION("""COMPUTED_VALUE"""),"ORG_2608")</f>
        <v/>
      </c>
      <c r="C117" s="1">
        <f>IFERROR(__xludf.DUMMYFUNCTION("""COMPUTED_VALUE"""),TRUE)</f>
        <v/>
      </c>
      <c r="D117" s="1">
        <f>IFERROR(__xludf.DUMMYFUNCTION("""COMPUTED_VALUE"""),"Skribu")</f>
        <v/>
      </c>
      <c r="E117" s="15">
        <f>IFERROR(__xludf.DUMMYFUNCTION("""COMPUTED_VALUE"""),"www.skribu.pl")</f>
        <v/>
      </c>
      <c r="F117" s="1">
        <f>IFERROR(__xludf.DUMMYFUNCTION("""COMPUTED_VALUE"""),"SKRIBU is an AI-powered EdTech platform revolutionizing how English as a Second Language (ESL) essay writing is taught and assessed, with a particular focus on Polish high school students preparing for the national Matura exam. At its core, SKRIBU combine"&amp;"s advanced handwriting recognition, rubric-aligned essay evaluation, and an interactive feedback to deliver personalized, consistent, and efficient writing support. For teachers, SKRIBU reduces the time and effort spent grading handwritten essays by up to"&amp;" 50%, while offering rich class-level analytics and customizable feedback tools. For students, it transforms essay feedback into a dynamic learning experience - clarifying mistakes, suggesting improvements, and tracking progress over time. Unlike generic "&amp;"grammar tools or costly private tutoring, SKRIBU addresses the specific challenges of high-stakes exam preparation with localized, curriculum-aligned intelligence, making high-quality writing instruction more accessible, engaging, and fair for all learner"&amp;"s.")</f>
        <v/>
      </c>
      <c r="G117" s="1">
        <f>IFERROR(__xludf.DUMMYFUNCTION("""COMPUTED_VALUE"""),"I'm not part of any EdTech association")</f>
        <v/>
      </c>
      <c r="H117" s="1">
        <f>IFERROR(__xludf.DUMMYFUNCTION("""COMPUTED_VALUE"""),"Polish")</f>
        <v/>
      </c>
      <c r="I117" s="1">
        <f>IFERROR(__xludf.DUMMYFUNCTION("""COMPUTED_VALUE"""),"kontakt@skribu.pl")</f>
        <v/>
      </c>
      <c r="J117" s="1">
        <f>IFERROR(__xludf.DUMMYFUNCTION("""COMPUTED_VALUE"""),"+48690621047")</f>
        <v/>
      </c>
      <c r="K117" s="1">
        <f>IFERROR(__xludf.DUMMYFUNCTION("""COMPUTED_VALUE"""),"Warszawa")</f>
        <v/>
      </c>
      <c r="L117" s="1">
        <f>IFERROR(__xludf.DUMMYFUNCTION("""COMPUTED_VALUE"""),"Poland")</f>
        <v/>
      </c>
      <c r="M117" s="1">
        <f>IFERROR(__xludf.DUMMYFUNCTION("""COMPUTED_VALUE"""),"Poland")</f>
        <v/>
      </c>
      <c r="N117" s="1">
        <f>IFERROR(__xludf.DUMMYFUNCTION("""COMPUTED_VALUE"""),"Micro (1-9 FTE employees)")</f>
        <v/>
      </c>
      <c r="O117" s="1">
        <f>IFERROR(__xludf.DUMMYFUNCTION("""COMPUTED_VALUE"""),"Business to Schools, Business to Consumer, Business to Business")</f>
        <v/>
      </c>
      <c r="P117" s="1">
        <f>IFERROR(__xludf.DUMMYFUNCTION("""COMPUTED_VALUE"""),"Secondary Education")</f>
        <v/>
      </c>
      <c r="Q117" s="1">
        <f>IFERROR(__xludf.DUMMYFUNCTION("""COMPUTED_VALUE"""),"Student interfacing, Teacher interfacing")</f>
        <v/>
      </c>
      <c r="R117" s="1" t="n"/>
      <c r="S117" s="1" t="n"/>
      <c r="T117" s="1" t="n"/>
      <c r="U117" s="1">
        <f>IFERROR(__xludf.DUMMYFUNCTION("""COMPUTED_VALUE"""),"SKRIBU AI")</f>
        <v/>
      </c>
      <c r="V117" s="1">
        <f>IFERROR(__xludf.DUMMYFUNCTION("""COMPUTED_VALUE"""),"SKRIBU AI is an intelligent essay assessment tool designed for ESL teachers and students preparing for the Matura exam. It features AI-based handwriting recognition, automated grading aligned with official rubrics, and an interactive UI that helps student"&amp;"s understand and improve their writing.")</f>
        <v/>
      </c>
      <c r="W117" s="1" t="n"/>
      <c r="X117" s="1" t="n"/>
      <c r="Y117" s="15">
        <f>IFERROR(__xludf.DUMMYFUNCTION("""COMPUTED_VALUE"""),"https://drive.google.com/uc?export=view&amp;id=1mzOrg3CgHSFQVlWJIZmsdq0-Ej8ofjBo")</f>
        <v/>
      </c>
      <c r="Z117" s="1">
        <f>IFERROR(__xludf.DUMMYFUNCTION("""COMPUTED_VALUE"""),"Unverified")</f>
        <v/>
      </c>
      <c r="AA117" s="1">
        <f>IFERROR(__xludf.DUMMYFUNCTION("""COMPUTED_VALUE"""),"Collaborations between EdTech organisations, Project consortium building, Other, Industry-academia partnerships, Public-private partnerships")</f>
        <v/>
      </c>
      <c r="AB117" s="1">
        <f>IFERROR(__xludf.DUMMYFUNCTION("""COMPUTED_VALUE"""),"For-profit company")</f>
        <v/>
      </c>
      <c r="AC117" s="1">
        <f>IFERROR(__xludf.DUMMYFUNCTION("""COMPUTED_VALUE"""),TRUE)</f>
        <v/>
      </c>
      <c r="AD117" s="1">
        <f>IFERROR(__xludf.DUMMYFUNCTION("""COMPUTED_VALUE"""),TRUE)</f>
        <v/>
      </c>
      <c r="AE117" s="1" t="n"/>
    </row>
    <row r="118" ht="42" customHeight="1">
      <c r="A118" s="14">
        <f>IFERROR(__xludf.DUMMYFUNCTION("""COMPUTED_VALUE"""),45852)</f>
        <v/>
      </c>
      <c r="B118" s="1">
        <f>IFERROR(__xludf.DUMMYFUNCTION("""COMPUTED_VALUE"""),"ORG_2607")</f>
        <v/>
      </c>
      <c r="C118" s="1">
        <f>IFERROR(__xludf.DUMMYFUNCTION("""COMPUTED_VALUE"""),TRUE)</f>
        <v/>
      </c>
      <c r="D118" s="1">
        <f>IFERROR(__xludf.DUMMYFUNCTION("""COMPUTED_VALUE"""),"BC Internet GmbH")</f>
        <v/>
      </c>
      <c r="E118" s="15">
        <f>IFERROR(__xludf.DUMMYFUNCTION("""COMPUTED_VALUE"""),"https://schul.tools")</f>
        <v/>
      </c>
      <c r="F118" s="1">
        <f>IFERROR(__xludf.DUMMYFUNCTION("""COMPUTED_VALUE"""),"Webapplikationen für den Mittelstand und den Bildungsmarkt. Über 20 Jahre Ihr zuverlässiger Partner für die Realisierung Ihrer Ideen zum Thema Digitalisierung.")</f>
        <v/>
      </c>
      <c r="G118" s="1">
        <f>IFERROR(__xludf.DUMMYFUNCTION("""COMPUTED_VALUE"""),"I'm not part of any EdTech association")</f>
        <v/>
      </c>
      <c r="H118" s="1">
        <f>IFERROR(__xludf.DUMMYFUNCTION("""COMPUTED_VALUE"""),"German")</f>
        <v/>
      </c>
      <c r="I118" s="1">
        <f>IFERROR(__xludf.DUMMYFUNCTION("""COMPUTED_VALUE"""),"kontakt@schul.tools")</f>
        <v/>
      </c>
      <c r="J118" s="1">
        <f>IFERROR(__xludf.DUMMYFUNCTION("""COMPUTED_VALUE"""),"+49881643990")</f>
        <v/>
      </c>
      <c r="K118" s="1">
        <f>IFERROR(__xludf.DUMMYFUNCTION("""COMPUTED_VALUE"""),"Weilheim")</f>
        <v/>
      </c>
      <c r="L118" s="1">
        <f>IFERROR(__xludf.DUMMYFUNCTION("""COMPUTED_VALUE"""),"Germany")</f>
        <v/>
      </c>
      <c r="M118" s="1">
        <f>IFERROR(__xludf.DUMMYFUNCTION("""COMPUTED_VALUE"""),"Germany, Austria")</f>
        <v/>
      </c>
      <c r="N118" s="1">
        <f>IFERROR(__xludf.DUMMYFUNCTION("""COMPUTED_VALUE"""),"Micro (1-9 FTE employees)")</f>
        <v/>
      </c>
      <c r="O118" s="1">
        <f>IFERROR(__xludf.DUMMYFUNCTION("""COMPUTED_VALUE"""),"Business to Business")</f>
        <v/>
      </c>
      <c r="P118" s="1">
        <f>IFERROR(__xludf.DUMMYFUNCTION("""COMPUTED_VALUE"""),"Higher Education, Vocational Education and Training (VET), Secondary Education, Primary Education, Early childhood development (0-5 years)")</f>
        <v/>
      </c>
      <c r="Q118" s="1">
        <f>IFERROR(__xludf.DUMMYFUNCTION("""COMPUTED_VALUE"""),"System/Administrative, Teacher interfacing")</f>
        <v/>
      </c>
      <c r="R118" s="1" t="n"/>
      <c r="S118" s="1" t="n"/>
      <c r="T118" s="1" t="n"/>
      <c r="U118" s="1">
        <f>IFERROR(__xludf.DUMMYFUNCTION("""COMPUTED_VALUE"""),"schul.tools")</f>
        <v/>
      </c>
      <c r="V118" s="1">
        <f>IFERROR(__xludf.DUMMYFUNCTION("""COMPUTED_VALUE"""),"schul.tools ist eine umfassende Online-Plattform, die Schulen dabei unterstützt, administrative Prozesse zu digitalisieren und die Kommunikation zwischen Lehrkräften, Eltern und Schülern zu optimieren.")</f>
        <v/>
      </c>
      <c r="W118" s="1" t="n"/>
      <c r="X118" s="1" t="n"/>
      <c r="Y118" s="15">
        <f>IFERROR(__xludf.DUMMYFUNCTION("""COMPUTED_VALUE"""),"https://drive.google.com/uc?export=view&amp;id=1BBVx4jFaYCviovsBSI75OoQculWcwQWk")</f>
        <v/>
      </c>
      <c r="Z118" s="1">
        <f>IFERROR(__xludf.DUMMYFUNCTION("""COMPUTED_VALUE"""),"Unverified")</f>
        <v/>
      </c>
      <c r="AA118" s="1">
        <f>IFERROR(__xludf.DUMMYFUNCTION("""COMPUTED_VALUE"""),"Collaborations between EdTech organisations, Project consortium building, Public-private partnerships")</f>
        <v/>
      </c>
      <c r="AB118" s="1">
        <f>IFERROR(__xludf.DUMMYFUNCTION("""COMPUTED_VALUE"""),"For-profit company")</f>
        <v/>
      </c>
      <c r="AC118" s="1">
        <f>IFERROR(__xludf.DUMMYFUNCTION("""COMPUTED_VALUE"""),TRUE)</f>
        <v/>
      </c>
      <c r="AD118" s="1">
        <f>IFERROR(__xludf.DUMMYFUNCTION("""COMPUTED_VALUE"""),FALSE)</f>
        <v/>
      </c>
      <c r="AE118" s="1" t="n"/>
    </row>
    <row r="119" ht="42" customHeight="1">
      <c r="A119" s="14">
        <f>IFERROR(__xludf.DUMMYFUNCTION("""COMPUTED_VALUE"""),45852)</f>
        <v/>
      </c>
      <c r="B119" s="1">
        <f>IFERROR(__xludf.DUMMYFUNCTION("""COMPUTED_VALUE"""),"ORG_2068")</f>
        <v/>
      </c>
      <c r="C119" s="1">
        <f>IFERROR(__xludf.DUMMYFUNCTION("""COMPUTED_VALUE"""),TRUE)</f>
        <v/>
      </c>
      <c r="D119" s="1">
        <f>IFERROR(__xludf.DUMMYFUNCTION("""COMPUTED_VALUE"""),"Online-Vertretungsstunden OVS GmbH")</f>
        <v/>
      </c>
      <c r="E119" s="15">
        <f>IFERROR(__xludf.DUMMYFUNCTION("""COMPUTED_VALUE"""),"https://online-vertretungsstunden.de/")</f>
        <v/>
      </c>
      <c r="F119" s="1">
        <f>IFERROR(__xludf.DUMMYFUNCTION("""COMPUTED_VALUE"""),"We offer complete digital lessons in physics and chemistry (in 5 languages) for grades 5-10. Our lessons can be used to compensate for short-term or long-term teacher absences.")</f>
        <v/>
      </c>
      <c r="G119" s="1">
        <f>IFERROR(__xludf.DUMMYFUNCTION("""COMPUTED_VALUE"""),"EdTech-Verband e.V.")</f>
        <v/>
      </c>
      <c r="H119" s="1">
        <f>IFERROR(__xludf.DUMMYFUNCTION("""COMPUTED_VALUE"""),"German, English, Turkish, Arabic, Russian, Polish")</f>
        <v/>
      </c>
      <c r="I119" s="1">
        <f>IFERROR(__xludf.DUMMYFUNCTION("""COMPUTED_VALUE"""),"info@online-vertretungsstunden.de")</f>
        <v/>
      </c>
      <c r="J119" s="1">
        <f>IFERROR(__xludf.DUMMYFUNCTION("""COMPUTED_VALUE"""),"+4915254557032")</f>
        <v/>
      </c>
      <c r="K119" s="1">
        <f>IFERROR(__xludf.DUMMYFUNCTION("""COMPUTED_VALUE"""),"Berlin")</f>
        <v/>
      </c>
      <c r="L119" s="1">
        <f>IFERROR(__xludf.DUMMYFUNCTION("""COMPUTED_VALUE"""),"Germany")</f>
        <v/>
      </c>
      <c r="M119" s="1">
        <f>IFERROR(__xludf.DUMMYFUNCTION("""COMPUTED_VALUE"""),"Germany, Austria")</f>
        <v/>
      </c>
      <c r="N119" s="1">
        <f>IFERROR(__xludf.DUMMYFUNCTION("""COMPUTED_VALUE"""),"Small (10-49 FTE employees)")</f>
        <v/>
      </c>
      <c r="O119" s="1">
        <f>IFERROR(__xludf.DUMMYFUNCTION("""COMPUTED_VALUE"""),"Business to Government")</f>
        <v/>
      </c>
      <c r="P119" s="1">
        <f>IFERROR(__xludf.DUMMYFUNCTION("""COMPUTED_VALUE"""),"Secondary Education")</f>
        <v/>
      </c>
      <c r="Q119" s="1">
        <f>IFERROR(__xludf.DUMMYFUNCTION("""COMPUTED_VALUE"""),"Teacher interfacing")</f>
        <v/>
      </c>
      <c r="R119" s="15">
        <f>IFERROR(__xludf.DUMMYFUNCTION("""COMPUTED_VALUE"""),"https://www.instagram.com/online_vertretungsstunden/")</f>
        <v/>
      </c>
      <c r="S119" s="1" t="n"/>
      <c r="T119" s="15">
        <f>IFERROR(__xludf.DUMMYFUNCTION("""COMPUTED_VALUE"""),"https://www.linkedin.com/company/online-vertretungsstunden")</f>
        <v/>
      </c>
      <c r="U119" s="1">
        <f>IFERROR(__xludf.DUMMYFUNCTION("""COMPUTED_VALUE"""),"Online-Vertretungsstunden Physik")</f>
        <v/>
      </c>
      <c r="V119" s="1">
        <f>IFERROR(__xludf.DUMMYFUNCTION("""COMPUTED_VALUE"""),"A school license includes access to over 120 digital lessons in physics, more than 1,500 interactive exercises, and over 500 worksheets and answer sheets (PDF).
Each digital lesson begins with a review of prior knowledge and ends with a final test.")</f>
        <v/>
      </c>
      <c r="W119" s="1">
        <f>IFERROR(__xludf.DUMMYFUNCTION("""COMPUTED_VALUE"""),"Online-Vertretungsstunden Chemistry")</f>
        <v/>
      </c>
      <c r="X119" s="1">
        <f>IFERROR(__xludf.DUMMYFUNCTION("""COMPUTED_VALUE"""),"A school license includes access to over 80 digital lessons in chemistry, more than 1,000 interactive exercises, and over 400 worksheets and answer sheets (PDF).
Each digital lesson begins with a review of prior knowledge and ends with a final test.")</f>
        <v/>
      </c>
      <c r="Y119" s="15">
        <f>IFERROR(__xludf.DUMMYFUNCTION("""COMPUTED_VALUE"""),"https://drive.google.com/uc?export=view&amp;id=1725e6LWSJjE_TnG7IyyvFGSTHIdbVyDY")</f>
        <v/>
      </c>
      <c r="Z119" s="1">
        <f>IFERROR(__xludf.DUMMYFUNCTION("""COMPUTED_VALUE"""),"Unverified")</f>
        <v/>
      </c>
      <c r="AA119" s="1">
        <f>IFERROR(__xludf.DUMMYFUNCTION("""COMPUTED_VALUE"""),"Collaborations between EdTech organisations, Project consortium building, Public-private partnerships")</f>
        <v/>
      </c>
      <c r="AB119" s="1">
        <f>IFERROR(__xludf.DUMMYFUNCTION("""COMPUTED_VALUE"""),"For-profit company")</f>
        <v/>
      </c>
      <c r="AC119" s="1">
        <f>IFERROR(__xludf.DUMMYFUNCTION("""COMPUTED_VALUE"""),TRUE)</f>
        <v/>
      </c>
      <c r="AD119" s="1">
        <f>IFERROR(__xludf.DUMMYFUNCTION("""COMPUTED_VALUE"""),TRUE)</f>
        <v/>
      </c>
      <c r="AE119" s="15">
        <f>IFERROR(__xludf.DUMMYFUNCTION("""COMPUTED_VALUE"""),"https://www.facebook.com/onlinevertretungsstunden")</f>
        <v/>
      </c>
    </row>
    <row r="120" ht="42" customHeight="1">
      <c r="A120" s="14">
        <f>IFERROR(__xludf.DUMMYFUNCTION("""COMPUTED_VALUE"""),45851)</f>
        <v/>
      </c>
      <c r="B120" s="1">
        <f>IFERROR(__xludf.DUMMYFUNCTION("""COMPUTED_VALUE"""),"ORG_2605")</f>
        <v/>
      </c>
      <c r="C120" s="1">
        <f>IFERROR(__xludf.DUMMYFUNCTION("""COMPUTED_VALUE"""),TRUE)</f>
        <v/>
      </c>
      <c r="D120" s="1">
        <f>IFERROR(__xludf.DUMMYFUNCTION("""COMPUTED_VALUE"""),"Paradox Learning Inc.")</f>
        <v/>
      </c>
      <c r="E120" s="15">
        <f>IFERROR(__xludf.DUMMYFUNCTION("""COMPUTED_VALUE"""),"https://paradoxlearning.com/")</f>
        <v/>
      </c>
      <c r="F120" s="1">
        <f>IFERROR(__xludf.DUMMYFUNCTION("""COMPUTED_VALUE"""),"Paradox Learning Inc. is a boutique, full-service e-learning consulting firm founded in 2014, with a proven track record of delivering strategic, high-impact digital learning solutions for government agencies, multilateral organizations, and large enterpr"&amp;"ises. We specialize in serving the public and education sectors, applying evidence-based methodologies to address complex learning and capacity-building challenges.")</f>
        <v/>
      </c>
      <c r="G120" s="1">
        <f>IFERROR(__xludf.DUMMYFUNCTION("""COMPUTED_VALUE"""),"I'm not part of any EdTech association")</f>
        <v/>
      </c>
      <c r="H120" s="1">
        <f>IFERROR(__xludf.DUMMYFUNCTION("""COMPUTED_VALUE"""),"English, French")</f>
        <v/>
      </c>
      <c r="I120" s="1">
        <f>IFERROR(__xludf.DUMMYFUNCTION("""COMPUTED_VALUE"""),"info@paradoxlearning.com")</f>
        <v/>
      </c>
      <c r="J120" s="1">
        <f>IFERROR(__xludf.DUMMYFUNCTION("""COMPUTED_VALUE"""),"+14039185352")</f>
        <v/>
      </c>
      <c r="K120" s="1">
        <f>IFERROR(__xludf.DUMMYFUNCTION("""COMPUTED_VALUE"""),"Calgary")</f>
        <v/>
      </c>
      <c r="L120" s="1">
        <f>IFERROR(__xludf.DUMMYFUNCTION("""COMPUTED_VALUE"""),"Canada")</f>
        <v/>
      </c>
      <c r="M120" s="1">
        <f>IFERROR(__xludf.DUMMYFUNCTION("""COMPUTED_VALUE"""),"United Kingdom, Belgium, Finland, Netherlands")</f>
        <v/>
      </c>
      <c r="N120" s="1">
        <f>IFERROR(__xludf.DUMMYFUNCTION("""COMPUTED_VALUE"""),"Micro (1-9 FTE employees)")</f>
        <v/>
      </c>
      <c r="O120" s="1">
        <f>IFERROR(__xludf.DUMMYFUNCTION("""COMPUTED_VALUE"""),"Business to Consumer, Business to Government, Business to Schools, Business to Business")</f>
        <v/>
      </c>
      <c r="P120" s="1">
        <f>IFERROR(__xludf.DUMMYFUNCTION("""COMPUTED_VALUE"""),"Vocational Education and Training (VET), Higher Education, Corporate Training, Lifelong learning/Adult education")</f>
        <v/>
      </c>
      <c r="Q120" s="1">
        <f>IFERROR(__xludf.DUMMYFUNCTION("""COMPUTED_VALUE"""),"Teacher interfacing, System/Administrative")</f>
        <v/>
      </c>
      <c r="R120" s="1" t="n"/>
      <c r="S120" s="1" t="n"/>
      <c r="T120" s="15">
        <f>IFERROR(__xludf.DUMMYFUNCTION("""COMPUTED_VALUE"""),"https://www.linkedin.com/in/stellal/")</f>
        <v/>
      </c>
      <c r="U120" s="1">
        <f>IFERROR(__xludf.DUMMYFUNCTION("""COMPUTED_VALUE"""),"AI literacy courses, workshops, and toolkits for educators")</f>
        <v/>
      </c>
      <c r="V120" s="1">
        <f>IFERROR(__xludf.DUMMYFUNCTION("""COMPUTED_VALUE"""),"The courses and workshop aim to support the development of AI literacy across sectors and levels (for non-technical people). The toolkit will provide practical and customizable content that includes adaptable resources, competency-based assessments, a pla"&amp;"tform to track progress.")</f>
        <v/>
      </c>
      <c r="W120" s="1">
        <f>IFERROR(__xludf.DUMMYFUNCTION("""COMPUTED_VALUE"""),"AI ethics in education workshop and design toolkits")</f>
        <v/>
      </c>
      <c r="X120" s="1">
        <f>IFERROR(__xludf.DUMMYFUNCTION("""COMPUTED_VALUE"""),"This offering helps educators, instructional designers, and edtech leaders apply ethical principles in the development and use of AI in learning environments.")</f>
        <v/>
      </c>
      <c r="Y120" s="15">
        <f>IFERROR(__xludf.DUMMYFUNCTION("""COMPUTED_VALUE"""),"https://drive.google.com/uc?export=view&amp;id=1lxriF7cOtykTwCYM2tcqphwRMe2eZc85")</f>
        <v/>
      </c>
      <c r="Z120" s="1">
        <f>IFERROR(__xludf.DUMMYFUNCTION("""COMPUTED_VALUE"""),"Unverified")</f>
        <v/>
      </c>
      <c r="AA120" s="1">
        <f>IFERROR(__xludf.DUMMYFUNCTION("""COMPUTED_VALUE"""),"Project consortium building, Public-private partnerships, Industry-academia partnerships, Collaborations between EdTech organisations")</f>
        <v/>
      </c>
      <c r="AB120" s="1">
        <f>IFERROR(__xludf.DUMMYFUNCTION("""COMPUTED_VALUE"""),"For-profit company")</f>
        <v/>
      </c>
      <c r="AC120" s="1">
        <f>IFERROR(__xludf.DUMMYFUNCTION("""COMPUTED_VALUE"""),TRUE)</f>
        <v/>
      </c>
      <c r="AD120" s="1">
        <f>IFERROR(__xludf.DUMMYFUNCTION("""COMPUTED_VALUE"""),TRUE)</f>
        <v/>
      </c>
      <c r="AE120" s="1" t="n"/>
    </row>
    <row r="121" ht="42" customHeight="1">
      <c r="A121" s="14">
        <f>IFERROR(__xludf.DUMMYFUNCTION("""COMPUTED_VALUE"""),45849)</f>
        <v/>
      </c>
      <c r="B121" s="1">
        <f>IFERROR(__xludf.DUMMYFUNCTION("""COMPUTED_VALUE"""),"ORG_2604")</f>
        <v/>
      </c>
      <c r="C121" s="1">
        <f>IFERROR(__xludf.DUMMYFUNCTION("""COMPUTED_VALUE"""),TRUE)</f>
        <v/>
      </c>
      <c r="D121" s="1">
        <f>IFERROR(__xludf.DUMMYFUNCTION("""COMPUTED_VALUE"""),"EdCortex")</f>
        <v/>
      </c>
      <c r="E121" s="15">
        <f>IFERROR(__xludf.DUMMYFUNCTION("""COMPUTED_VALUE"""),"https://www.edcortex.com/")</f>
        <v/>
      </c>
      <c r="F121" s="1">
        <f>IFERROR(__xludf.DUMMYFUNCTION("""COMPUTED_VALUE"""),"At EdCortex we are an EdTech startup with a team of Neuroscientists, providing B2B Cognitive Profiling and Neuro-adaptive personalization solutions to the EdTech and the HR sector")</f>
        <v/>
      </c>
      <c r="G121" s="1">
        <f>IFERROR(__xludf.DUMMYFUNCTION("""COMPUTED_VALUE"""),"EdTech France")</f>
        <v/>
      </c>
      <c r="H121" s="1">
        <f>IFERROR(__xludf.DUMMYFUNCTION("""COMPUTED_VALUE"""),"English")</f>
        <v/>
      </c>
      <c r="I121" s="1">
        <f>IFERROR(__xludf.DUMMYFUNCTION("""COMPUTED_VALUE"""),"contact@edcortex.com")</f>
        <v/>
      </c>
      <c r="J121" s="1">
        <f>IFERROR(__xludf.DUMMYFUNCTION("""COMPUTED_VALUE"""),"+33611319539")</f>
        <v/>
      </c>
      <c r="K121" s="1">
        <f>IFERROR(__xludf.DUMMYFUNCTION("""COMPUTED_VALUE"""),"Paris")</f>
        <v/>
      </c>
      <c r="L121" s="1">
        <f>IFERROR(__xludf.DUMMYFUNCTION("""COMPUTED_VALUE"""),"France")</f>
        <v/>
      </c>
      <c r="M121" s="1">
        <f>IFERROR(__xludf.DUMMYFUNCTION("""COMPUTED_VALUE"""),"France, Italy")</f>
        <v/>
      </c>
      <c r="N121" s="1">
        <f>IFERROR(__xludf.DUMMYFUNCTION("""COMPUTED_VALUE"""),"Micro (1-9 FTE employees)")</f>
        <v/>
      </c>
      <c r="O121" s="1">
        <f>IFERROR(__xludf.DUMMYFUNCTION("""COMPUTED_VALUE"""),"Business to Business, Business to Government")</f>
        <v/>
      </c>
      <c r="P121" s="1">
        <f>IFERROR(__xludf.DUMMYFUNCTION("""COMPUTED_VALUE"""),"Early childhood development (0-5 years), Higher Education, Corporate Training, Lifelong learning/Adult education, Special Education, Vocational Education and Training (VET)")</f>
        <v/>
      </c>
      <c r="Q121" s="1">
        <f>IFERROR(__xludf.DUMMYFUNCTION("""COMPUTED_VALUE"""),"Student interfacing, System/Administrative")</f>
        <v/>
      </c>
      <c r="R121" s="1" t="n"/>
      <c r="S121" s="1" t="n"/>
      <c r="T121" s="15">
        <f>IFERROR(__xludf.DUMMYFUNCTION("""COMPUTED_VALUE"""),"https://www.linkedin.com/company/edcortex/?viewAsMember=true")</f>
        <v/>
      </c>
      <c r="U121" s="1">
        <f>IFERROR(__xludf.DUMMYFUNCTION("""COMPUTED_VALUE"""),"EdCortex Recommender Engine")</f>
        <v/>
      </c>
      <c r="V121" s="1">
        <f>IFERROR(__xludf.DUMMYFUNCTION("""COMPUTED_VALUE"""),"Through a seamless integration, powering Learning Platforms with the latest Cognitive Models and Cognitive-specific modulations")</f>
        <v/>
      </c>
      <c r="W121" s="1">
        <f>IFERROR(__xludf.DUMMYFUNCTION("""COMPUTED_VALUE"""),"EdCortex Hub")</f>
        <v/>
      </c>
      <c r="X121" s="1">
        <f>IFERROR(__xludf.DUMMYFUNCTION("""COMPUTED_VALUE"""),"Providing Corporate and Academic Learning based on the latest Cognitive Profiling techniques")</f>
        <v/>
      </c>
      <c r="Y121" s="15">
        <f>IFERROR(__xludf.DUMMYFUNCTION("""COMPUTED_VALUE"""),"https://drive.google.com/uc?export=view&amp;id=1QYCY1FiwZbZ6CoiFXQviCoy9nSxXDXCq")</f>
        <v/>
      </c>
      <c r="Z121" s="1">
        <f>IFERROR(__xludf.DUMMYFUNCTION("""COMPUTED_VALUE"""),"Unverified")</f>
        <v/>
      </c>
      <c r="AA121" s="1">
        <f>IFERROR(__xludf.DUMMYFUNCTION("""COMPUTED_VALUE"""),"Collaborations between EdTech organisations, Public-private partnerships, Industry-academia partnerships")</f>
        <v/>
      </c>
      <c r="AB121" s="1">
        <f>IFERROR(__xludf.DUMMYFUNCTION("""COMPUTED_VALUE"""),"For-profit company")</f>
        <v/>
      </c>
      <c r="AC121" s="1">
        <f>IFERROR(__xludf.DUMMYFUNCTION("""COMPUTED_VALUE"""),TRUE)</f>
        <v/>
      </c>
      <c r="AD121" s="1">
        <f>IFERROR(__xludf.DUMMYFUNCTION("""COMPUTED_VALUE"""),TRUE)</f>
        <v/>
      </c>
      <c r="AE121" s="1" t="n"/>
    </row>
    <row r="122" ht="42" customHeight="1">
      <c r="A122" s="14">
        <f>IFERROR(__xludf.DUMMYFUNCTION("""COMPUTED_VALUE"""),45849)</f>
        <v/>
      </c>
      <c r="B122" s="1">
        <f>IFERROR(__xludf.DUMMYFUNCTION("""COMPUTED_VALUE"""),"ORG_2603")</f>
        <v/>
      </c>
      <c r="C122" s="1">
        <f>IFERROR(__xludf.DUMMYFUNCTION("""COMPUTED_VALUE"""),TRUE)</f>
        <v/>
      </c>
      <c r="D122" s="1">
        <f>IFERROR(__xludf.DUMMYFUNCTION("""COMPUTED_VALUE"""),"Eduplaces GmbH")</f>
        <v/>
      </c>
      <c r="E122" s="15">
        <f>IFERROR(__xludf.DUMMYFUNCTION("""COMPUTED_VALUE"""),"www.eduplaces.de")</f>
        <v/>
      </c>
      <c r="F122" s="1">
        <f>IFERROR(__xludf.DUMMYFUNCTION("""COMPUTED_VALUE"""),"All apps for school with just one login. Eduplaces makes digital learning and teaching easy! Want to digitise your lessons with learning apps, but don't know where to find the right ones? Or how to manage them in a time-saving way? Or how your students ca"&amp;"n access them without having to search for long passwords? Whether it's a mobile app, digital textbook or learning platform – Eduplaces makes using apps for your school easier than ever before. With our app store, user management and single sign-on, you a"&amp;"lways have your digital educational media at your fingertips. And best of all, Eduplaces is completely free for schools to use. Want to find, manage and use all the digital tools for your school centrally on one platform? Eduplaces!")</f>
        <v/>
      </c>
      <c r="G122" s="1">
        <f>IFERROR(__xludf.DUMMYFUNCTION("""COMPUTED_VALUE"""),"EdTech-Verband e.V.")</f>
        <v/>
      </c>
      <c r="H122" s="1">
        <f>IFERROR(__xludf.DUMMYFUNCTION("""COMPUTED_VALUE"""),"German")</f>
        <v/>
      </c>
      <c r="I122" s="1">
        <f>IFERROR(__xludf.DUMMYFUNCTION("""COMPUTED_VALUE"""),"info@eduplaces.de")</f>
        <v/>
      </c>
      <c r="J122" s="1">
        <f>IFERROR(__xludf.DUMMYFUNCTION("""COMPUTED_VALUE"""),"+4915156655761")</f>
        <v/>
      </c>
      <c r="K122" s="1">
        <f>IFERROR(__xludf.DUMMYFUNCTION("""COMPUTED_VALUE"""),"Braunschweig")</f>
        <v/>
      </c>
      <c r="L122" s="1">
        <f>IFERROR(__xludf.DUMMYFUNCTION("""COMPUTED_VALUE"""),"Germany")</f>
        <v/>
      </c>
      <c r="M122" s="1">
        <f>IFERROR(__xludf.DUMMYFUNCTION("""COMPUTED_VALUE"""),"Austria, Germany, Switzerland")</f>
        <v/>
      </c>
      <c r="N122" s="1">
        <f>IFERROR(__xludf.DUMMYFUNCTION("""COMPUTED_VALUE"""),"Small (10-49 FTE employees)")</f>
        <v/>
      </c>
      <c r="O122" s="1">
        <f>IFERROR(__xludf.DUMMYFUNCTION("""COMPUTED_VALUE"""),"Business to Business, Business to Government, Business to Schools")</f>
        <v/>
      </c>
      <c r="P122" s="1">
        <f>IFERROR(__xludf.DUMMYFUNCTION("""COMPUTED_VALUE"""),"Primary Education, Secondary Education")</f>
        <v/>
      </c>
      <c r="Q122" s="1">
        <f>IFERROR(__xludf.DUMMYFUNCTION("""COMPUTED_VALUE"""),"Teacher interfacing, System/Administrative, Other, Student interfacing")</f>
        <v/>
      </c>
      <c r="R122" s="15">
        <f>IFERROR(__xludf.DUMMYFUNCTION("""COMPUTED_VALUE"""),"https://www.instagram.com/eduplaces_apps/")</f>
        <v/>
      </c>
      <c r="S122" s="1" t="n"/>
      <c r="T122" s="15">
        <f>IFERROR(__xludf.DUMMYFUNCTION("""COMPUTED_VALUE"""),"https://www.linkedin.com/company/eduplaces")</f>
        <v/>
      </c>
      <c r="U122" s="1">
        <f>IFERROR(__xludf.DUMMYFUNCTION("""COMPUTED_VALUE"""),"Eduplaces - All Apps on one platform")</f>
        <v/>
      </c>
      <c r="V122" s="1">
        <f>IFERROR(__xludf.DUMMYFUNCTION("""COMPUTED_VALUE"""),"SSO-Service")</f>
        <v/>
      </c>
      <c r="W122" s="1">
        <f>IFERROR(__xludf.DUMMYFUNCTION("""COMPUTED_VALUE"""),"IDM-API")</f>
        <v/>
      </c>
      <c r="X122" s="1">
        <f>IFERROR(__xludf.DUMMYFUNCTION("""COMPUTED_VALUE"""),"Shop/Store")</f>
        <v/>
      </c>
      <c r="Y122" s="15">
        <f>IFERROR(__xludf.DUMMYFUNCTION("""COMPUTED_VALUE"""),"https://drive.google.com/uc?export=view&amp;id=1rWBjrUeAr1BGlaDHKRO-tn-VzWPHt9k2")</f>
        <v/>
      </c>
      <c r="Z122" s="1">
        <f>IFERROR(__xludf.DUMMYFUNCTION("""COMPUTED_VALUE"""),"Unverified")</f>
        <v/>
      </c>
      <c r="AA122" s="1">
        <f>IFERROR(__xludf.DUMMYFUNCTION("""COMPUTED_VALUE"""),"Collaborations between EdTech organisations, Project consortium building, Public-private partnerships, Other")</f>
        <v/>
      </c>
      <c r="AB122" s="1">
        <f>IFERROR(__xludf.DUMMYFUNCTION("""COMPUTED_VALUE"""),"For-profit company")</f>
        <v/>
      </c>
      <c r="AC122" s="1">
        <f>IFERROR(__xludf.DUMMYFUNCTION("""COMPUTED_VALUE"""),TRUE)</f>
        <v/>
      </c>
      <c r="AD122" s="1">
        <f>IFERROR(__xludf.DUMMYFUNCTION("""COMPUTED_VALUE"""),TRUE)</f>
        <v/>
      </c>
      <c r="AE122" s="15">
        <f>IFERROR(__xludf.DUMMYFUNCTION("""COMPUTED_VALUE"""),"https://www.facebook.com/eduplaces.apps")</f>
        <v/>
      </c>
    </row>
    <row r="123" ht="42" customHeight="1">
      <c r="A123" s="14">
        <f>IFERROR(__xludf.DUMMYFUNCTION("""COMPUTED_VALUE"""),45848)</f>
        <v/>
      </c>
      <c r="B123" s="1">
        <f>IFERROR(__xludf.DUMMYFUNCTION("""COMPUTED_VALUE"""),"ORG_2602")</f>
        <v/>
      </c>
      <c r="C123" s="1">
        <f>IFERROR(__xludf.DUMMYFUNCTION("""COMPUTED_VALUE"""),TRUE)</f>
        <v/>
      </c>
      <c r="D123" s="1">
        <f>IFERROR(__xludf.DUMMYFUNCTION("""COMPUTED_VALUE"""),"Eduva AI")</f>
        <v/>
      </c>
      <c r="E123" s="15">
        <f>IFERROR(__xludf.DUMMYFUNCTION("""COMPUTED_VALUE"""),"https://eduva.ai/")</f>
        <v/>
      </c>
      <c r="F123" s="1">
        <f>IFERROR(__xludf.DUMMYFUNCTION("""COMPUTED_VALUE"""),"Eduva is shaping the future of school work — with a personal AI assistant for teachers, trained on local school systems and fully integrated with the tools educators already use.")</f>
        <v/>
      </c>
      <c r="G123" s="1">
        <f>IFERROR(__xludf.DUMMYFUNCTION("""COMPUTED_VALUE"""),"EdTech Estonia")</f>
        <v/>
      </c>
      <c r="H123" s="1">
        <f>IFERROR(__xludf.DUMMYFUNCTION("""COMPUTED_VALUE"""),"English, Estonian")</f>
        <v/>
      </c>
      <c r="I123" s="1">
        <f>IFERROR(__xludf.DUMMYFUNCTION("""COMPUTED_VALUE"""),"info@eduva.ai")</f>
        <v/>
      </c>
      <c r="J123" s="1">
        <f>IFERROR(__xludf.DUMMYFUNCTION("""COMPUTED_VALUE"""),"+37256867944")</f>
        <v/>
      </c>
      <c r="K123" s="1">
        <f>IFERROR(__xludf.DUMMYFUNCTION("""COMPUTED_VALUE"""),"Tallinn")</f>
        <v/>
      </c>
      <c r="L123" s="1">
        <f>IFERROR(__xludf.DUMMYFUNCTION("""COMPUTED_VALUE"""),"Estonia")</f>
        <v/>
      </c>
      <c r="M123" s="1">
        <f>IFERROR(__xludf.DUMMYFUNCTION("""COMPUTED_VALUE"""),"Estonia")</f>
        <v/>
      </c>
      <c r="N123" s="1">
        <f>IFERROR(__xludf.DUMMYFUNCTION("""COMPUTED_VALUE"""),"Micro (1-9 FTE employees)")</f>
        <v/>
      </c>
      <c r="O123" s="1">
        <f>IFERROR(__xludf.DUMMYFUNCTION("""COMPUTED_VALUE"""),"Business to Schools")</f>
        <v/>
      </c>
      <c r="P123" s="1">
        <f>IFERROR(__xludf.DUMMYFUNCTION("""COMPUTED_VALUE"""),"Primary Education, Secondary Education, Vocational Education and Training (VET)")</f>
        <v/>
      </c>
      <c r="Q123" s="1">
        <f>IFERROR(__xludf.DUMMYFUNCTION("""COMPUTED_VALUE"""),"Teacher interfacing")</f>
        <v/>
      </c>
      <c r="R123" s="1" t="n"/>
      <c r="S123" s="1" t="n"/>
      <c r="T123" s="1" t="n"/>
      <c r="U123" s="1">
        <f>IFERROR(__xludf.DUMMYFUNCTION("""COMPUTED_VALUE"""),"AI assistant for teachers")</f>
        <v/>
      </c>
      <c r="V123" s="1">
        <f>IFERROR(__xludf.DUMMYFUNCTION("""COMPUTED_VALUE"""),"Chatbot based AI tool to assist teacher with admin tasks")</f>
        <v/>
      </c>
      <c r="W123" s="1" t="n"/>
      <c r="X123" s="1" t="n"/>
      <c r="Y123" s="15">
        <f>IFERROR(__xludf.DUMMYFUNCTION("""COMPUTED_VALUE"""),"https://drive.google.com/uc?export=view&amp;id=1HtPQnlQhvX1LIMnd3a1frkP0AkWHrkal")</f>
        <v/>
      </c>
      <c r="Z123" s="1">
        <f>IFERROR(__xludf.DUMMYFUNCTION("""COMPUTED_VALUE"""),"Unverified")</f>
        <v/>
      </c>
      <c r="AA123" s="1">
        <f>IFERROR(__xludf.DUMMYFUNCTION("""COMPUTED_VALUE"""),"Public-private partnerships, Other")</f>
        <v/>
      </c>
      <c r="AB123" s="1">
        <f>IFERROR(__xludf.DUMMYFUNCTION("""COMPUTED_VALUE"""),"For-profit company")</f>
        <v/>
      </c>
      <c r="AC123" s="1">
        <f>IFERROR(__xludf.DUMMYFUNCTION("""COMPUTED_VALUE"""),TRUE)</f>
        <v/>
      </c>
      <c r="AD123" s="1">
        <f>IFERROR(__xludf.DUMMYFUNCTION("""COMPUTED_VALUE"""),TRUE)</f>
        <v/>
      </c>
      <c r="AE123" s="1" t="n"/>
    </row>
    <row r="124" ht="42" customHeight="1">
      <c r="A124" s="14">
        <f>IFERROR(__xludf.DUMMYFUNCTION("""COMPUTED_VALUE"""),45847)</f>
        <v/>
      </c>
      <c r="B124" s="1">
        <f>IFERROR(__xludf.DUMMYFUNCTION("""COMPUTED_VALUE"""),"ORG_2600")</f>
        <v/>
      </c>
      <c r="C124" s="1">
        <f>IFERROR(__xludf.DUMMYFUNCTION("""COMPUTED_VALUE"""),TRUE)</f>
        <v/>
      </c>
      <c r="D124" s="1">
        <f>IFERROR(__xludf.DUMMYFUNCTION("""COMPUTED_VALUE"""),"Educa360, S.L.")</f>
        <v/>
      </c>
      <c r="E124" s="15">
        <f>IFERROR(__xludf.DUMMYFUNCTION("""COMPUTED_VALUE"""),"https://educa360.com/")</f>
        <v/>
      </c>
      <c r="F124" s="1">
        <f>IFERROR(__xludf.DUMMYFUNCTION("""COMPUTED_VALUE"""),"Educational platform")</f>
        <v/>
      </c>
      <c r="G124" s="1">
        <f>IFERROR(__xludf.DUMMYFUNCTION("""COMPUTED_VALUE"""),"I'm not part of any EdTech association")</f>
        <v/>
      </c>
      <c r="H124" s="1">
        <f>IFERROR(__xludf.DUMMYFUNCTION("""COMPUTED_VALUE"""),"Spanish")</f>
        <v/>
      </c>
      <c r="I124" s="1">
        <f>IFERROR(__xludf.DUMMYFUNCTION("""COMPUTED_VALUE"""),"info@educa360.com")</f>
        <v/>
      </c>
      <c r="J124" s="1">
        <f>IFERROR(__xludf.DUMMYFUNCTION("""COMPUTED_VALUE"""),"+34652132792")</f>
        <v/>
      </c>
      <c r="K124" s="1">
        <f>IFERROR(__xludf.DUMMYFUNCTION("""COMPUTED_VALUE"""),"Sevilla")</f>
        <v/>
      </c>
      <c r="L124" s="1">
        <f>IFERROR(__xludf.DUMMYFUNCTION("""COMPUTED_VALUE"""),"Spain")</f>
        <v/>
      </c>
      <c r="M124" s="1">
        <f>IFERROR(__xludf.DUMMYFUNCTION("""COMPUTED_VALUE"""),"Global")</f>
        <v/>
      </c>
      <c r="N124" s="1">
        <f>IFERROR(__xludf.DUMMYFUNCTION("""COMPUTED_VALUE"""),"Micro (1-9 FTE employees)")</f>
        <v/>
      </c>
      <c r="O124" s="1">
        <f>IFERROR(__xludf.DUMMYFUNCTION("""COMPUTED_VALUE"""),"Business to Business, Business to Consumer, Business to Government, Business to Schools")</f>
        <v/>
      </c>
      <c r="P124" s="1">
        <f>IFERROR(__xludf.DUMMYFUNCTION("""COMPUTED_VALUE"""),"Primary Education, Secondary Education, Lifelong learning/Adult education, Other")</f>
        <v/>
      </c>
      <c r="Q124" s="1">
        <f>IFERROR(__xludf.DUMMYFUNCTION("""COMPUTED_VALUE"""),"Teacher interfacing, Student interfacing, Other")</f>
        <v/>
      </c>
      <c r="R124" s="1" t="n"/>
      <c r="S124" s="1" t="n"/>
      <c r="T124" s="1" t="n"/>
      <c r="U124" s="1">
        <f>IFERROR(__xludf.DUMMYFUNCTION("""COMPUTED_VALUE"""),"Educa360")</f>
        <v/>
      </c>
      <c r="V124" s="1">
        <f>IFERROR(__xludf.DUMMYFUNCTION("""COMPUTED_VALUE"""),"Platform-Real virtual classes")</f>
        <v/>
      </c>
      <c r="W124" s="1">
        <f>IFERROR(__xludf.DUMMYFUNCTION("""COMPUTED_VALUE"""),"Educajob")</f>
        <v/>
      </c>
      <c r="X124" s="1">
        <f>IFERROR(__xludf.DUMMYFUNCTION("""COMPUTED_VALUE"""),"E-learning")</f>
        <v/>
      </c>
      <c r="Y124" s="15">
        <f>IFERROR(__xludf.DUMMYFUNCTION("""COMPUTED_VALUE"""),"https://drive.google.com/uc?export=view&amp;id=1un6L5sA7Yz6VhwYt7BsWsyRxQFmQFNcD")</f>
        <v/>
      </c>
      <c r="Z124" s="1">
        <f>IFERROR(__xludf.DUMMYFUNCTION("""COMPUTED_VALUE"""),"Unverified")</f>
        <v/>
      </c>
      <c r="AA124" s="1">
        <f>IFERROR(__xludf.DUMMYFUNCTION("""COMPUTED_VALUE"""),"Other")</f>
        <v/>
      </c>
      <c r="AB124" s="1">
        <f>IFERROR(__xludf.DUMMYFUNCTION("""COMPUTED_VALUE"""),"For-profit company")</f>
        <v/>
      </c>
      <c r="AC124" s="1">
        <f>IFERROR(__xludf.DUMMYFUNCTION("""COMPUTED_VALUE"""),TRUE)</f>
        <v/>
      </c>
      <c r="AD124" s="1">
        <f>IFERROR(__xludf.DUMMYFUNCTION("""COMPUTED_VALUE"""),TRUE)</f>
        <v/>
      </c>
      <c r="AE124" s="1" t="n"/>
    </row>
    <row r="125" ht="42" customHeight="1">
      <c r="A125" s="14">
        <f>IFERROR(__xludf.DUMMYFUNCTION("""COMPUTED_VALUE"""),45847)</f>
        <v/>
      </c>
      <c r="B125" s="1">
        <f>IFERROR(__xludf.DUMMYFUNCTION("""COMPUTED_VALUE"""),"ORG_2599")</f>
        <v/>
      </c>
      <c r="C125" s="1">
        <f>IFERROR(__xludf.DUMMYFUNCTION("""COMPUTED_VALUE"""),TRUE)</f>
        <v/>
      </c>
      <c r="D125" s="1">
        <f>IFERROR(__xludf.DUMMYFUNCTION("""COMPUTED_VALUE"""),"Learnademy")</f>
        <v/>
      </c>
      <c r="E125" s="15">
        <f>IFERROR(__xludf.DUMMYFUNCTION("""COMPUTED_VALUE"""),"https://learnademy.com/")</f>
        <v/>
      </c>
      <c r="F125" s="1">
        <f>IFERROR(__xludf.DUMMYFUNCTION("""COMPUTED_VALUE"""),"Learnademy is an all-in-one integrated Learning Management System (LMS) providing easy and convenient learning solutions for educators, learners, and parents by leveraging education technology. Our solutions enhance collaboration, affordability, and acces"&amp;"s to online learning resources to boost learning outcomes in different learning environments")</f>
        <v/>
      </c>
      <c r="G125" s="1">
        <f>IFERROR(__xludf.DUMMYFUNCTION("""COMPUTED_VALUE"""),"DOHE")</f>
        <v/>
      </c>
      <c r="H125" s="1" t="n"/>
      <c r="I125" s="1">
        <f>IFERROR(__xludf.DUMMYFUNCTION("""COMPUTED_VALUE"""),"learnademy@gmail.com")</f>
        <v/>
      </c>
      <c r="J125" s="1">
        <f>IFERROR(__xludf.DUMMYFUNCTION("""COMPUTED_VALUE"""),"+254703160391")</f>
        <v/>
      </c>
      <c r="K125" s="1">
        <f>IFERROR(__xludf.DUMMYFUNCTION("""COMPUTED_VALUE"""),"Kenya")</f>
        <v/>
      </c>
      <c r="L125" s="1">
        <f>IFERROR(__xludf.DUMMYFUNCTION("""COMPUTED_VALUE"""),"Kenya")</f>
        <v/>
      </c>
      <c r="M125" s="1" t="n"/>
      <c r="N125" s="1">
        <f>IFERROR(__xludf.DUMMYFUNCTION("""COMPUTED_VALUE"""),"Micro (1-9 FTE employees)")</f>
        <v/>
      </c>
      <c r="O125" s="1">
        <f>IFERROR(__xludf.DUMMYFUNCTION("""COMPUTED_VALUE"""),"Business to Business, Business to Consumer, Business to Schools")</f>
        <v/>
      </c>
      <c r="P125" s="1">
        <f>IFERROR(__xludf.DUMMYFUNCTION("""COMPUTED_VALUE"""),"Primary Education, Secondary Education, Early childhood development (0-5 years)")</f>
        <v/>
      </c>
      <c r="Q125" s="1">
        <f>IFERROR(__xludf.DUMMYFUNCTION("""COMPUTED_VALUE"""),"Student interfacing, Teacher interfacing, System/Administrative")</f>
        <v/>
      </c>
      <c r="R125" s="1" t="n"/>
      <c r="S125" s="15">
        <f>IFERROR(__xludf.DUMMYFUNCTION("""COMPUTED_VALUE"""),"https://x.com/Learnademy")</f>
        <v/>
      </c>
      <c r="T125" s="15">
        <f>IFERROR(__xludf.DUMMYFUNCTION("""COMPUTED_VALUE"""),"linkedin.com/company/learnademy")</f>
        <v/>
      </c>
      <c r="U125" s="1" t="n"/>
      <c r="V125" s="1" t="n"/>
      <c r="W125" s="1" t="n"/>
      <c r="X125" s="1" t="n"/>
      <c r="Y125" s="15">
        <f>IFERROR(__xludf.DUMMYFUNCTION("""COMPUTED_VALUE"""),"https://drive.google.com/uc?export=view&amp;id=1mc7i_viZt324IwhPVuDrQ-djto9T6D6M")</f>
        <v/>
      </c>
      <c r="Z125" s="1">
        <f>IFERROR(__xludf.DUMMYFUNCTION("""COMPUTED_VALUE"""),"Unverified")</f>
        <v/>
      </c>
      <c r="AA125" s="1">
        <f>IFERROR(__xludf.DUMMYFUNCTION("""COMPUTED_VALUE"""),"Collaborations between EdTech organisations")</f>
        <v/>
      </c>
      <c r="AB125" s="1">
        <f>IFERROR(__xludf.DUMMYFUNCTION("""COMPUTED_VALUE"""),"For-profit company")</f>
        <v/>
      </c>
      <c r="AC125" s="1">
        <f>IFERROR(__xludf.DUMMYFUNCTION("""COMPUTED_VALUE"""),TRUE)</f>
        <v/>
      </c>
      <c r="AD125" s="1" t="n"/>
      <c r="AE125" s="15">
        <f>IFERROR(__xludf.DUMMYFUNCTION("""COMPUTED_VALUE"""),"https://www.facebook.com/Learnademy")</f>
        <v/>
      </c>
    </row>
    <row r="126" ht="42" customHeight="1">
      <c r="A126" s="14">
        <f>IFERROR(__xludf.DUMMYFUNCTION("""COMPUTED_VALUE"""),45847)</f>
        <v/>
      </c>
      <c r="B126" s="1">
        <f>IFERROR(__xludf.DUMMYFUNCTION("""COMPUTED_VALUE"""),"ORG_2598")</f>
        <v/>
      </c>
      <c r="C126" s="1">
        <f>IFERROR(__xludf.DUMMYFUNCTION("""COMPUTED_VALUE"""),TRUE)</f>
        <v/>
      </c>
      <c r="D126" s="1">
        <f>IFERROR(__xludf.DUMMYFUNCTION("""COMPUTED_VALUE"""),"Early Intervention Tools Ltd")</f>
        <v/>
      </c>
      <c r="E126" s="15">
        <f>IFERROR(__xludf.DUMMYFUNCTION("""COMPUTED_VALUE"""),"https://www.alpaca-assessment.com/")</f>
        <v/>
      </c>
      <c r="F126" s="1">
        <f>IFERROR(__xludf.DUMMYFUNCTION("""COMPUTED_VALUE"""),"ALPACA is a one of a kind, game-based screener offering teachers the opportunity to spot literacy challenges early, before small struggles turn into large hurdles")</f>
        <v/>
      </c>
      <c r="G126" s="1">
        <f>IFERROR(__xludf.DUMMYFUNCTION("""COMPUTED_VALUE"""),"I'm not part of any EdTech association")</f>
        <v/>
      </c>
      <c r="H126" s="1">
        <f>IFERROR(__xludf.DUMMYFUNCTION("""COMPUTED_VALUE"""),"English")</f>
        <v/>
      </c>
      <c r="I126" s="1">
        <f>IFERROR(__xludf.DUMMYFUNCTION("""COMPUTED_VALUE"""),"info@alpaca-assessment.com")</f>
        <v/>
      </c>
      <c r="J126" s="1">
        <f>IFERROR(__xludf.DUMMYFUNCTION("""COMPUTED_VALUE"""),"+353879673407")</f>
        <v/>
      </c>
      <c r="K126" s="1">
        <f>IFERROR(__xludf.DUMMYFUNCTION("""COMPUTED_VALUE"""),"Dublin")</f>
        <v/>
      </c>
      <c r="L126" s="1">
        <f>IFERROR(__xludf.DUMMYFUNCTION("""COMPUTED_VALUE"""),"Ireland")</f>
        <v/>
      </c>
      <c r="M126" s="1">
        <f>IFERROR(__xludf.DUMMYFUNCTION("""COMPUTED_VALUE"""),"Ireland, United Kingdom")</f>
        <v/>
      </c>
      <c r="N126" s="1">
        <f>IFERROR(__xludf.DUMMYFUNCTION("""COMPUTED_VALUE"""),"Micro (1-9 FTE employees)")</f>
        <v/>
      </c>
      <c r="O126" s="1">
        <f>IFERROR(__xludf.DUMMYFUNCTION("""COMPUTED_VALUE"""),"Business to Business, Business to Consumer, Business to Government, Business to Schools")</f>
        <v/>
      </c>
      <c r="P126" s="1">
        <f>IFERROR(__xludf.DUMMYFUNCTION("""COMPUTED_VALUE"""),"Early childhood development (0-5 years), Primary Education")</f>
        <v/>
      </c>
      <c r="Q126" s="1">
        <f>IFERROR(__xludf.DUMMYFUNCTION("""COMPUTED_VALUE"""),"Student interfacing, Teacher interfacing, System/Administrative, Other")</f>
        <v/>
      </c>
      <c r="R126" s="15">
        <f>IFERROR(__xludf.DUMMYFUNCTION("""COMPUTED_VALUE"""),"https://www.instagram.com/alpaca_learn/")</f>
        <v/>
      </c>
      <c r="S126" s="15">
        <f>IFERROR(__xludf.DUMMYFUNCTION("""COMPUTED_VALUE"""),"https://x.com/alpaca_learn")</f>
        <v/>
      </c>
      <c r="T126" s="15">
        <f>IFERROR(__xludf.DUMMYFUNCTION("""COMPUTED_VALUE"""),"https://www.linkedin.com/company/alpaca-assessment/")</f>
        <v/>
      </c>
      <c r="U126" s="1">
        <f>IFERROR(__xludf.DUMMYFUNCTION("""COMPUTED_VALUE"""),"ALPACA")</f>
        <v/>
      </c>
      <c r="V126" s="1">
        <f>IFERROR(__xludf.DUMMYFUNCTION("""COMPUTED_VALUE"""),"We identify gaps in children’s foundational reading skills and help inform the intervention required for these little learners to become successful readers by gamified group screening")</f>
        <v/>
      </c>
      <c r="W126" s="1" t="n"/>
      <c r="X126" s="1" t="n"/>
      <c r="Y126" s="15">
        <f>IFERROR(__xludf.DUMMYFUNCTION("""COMPUTED_VALUE"""),"https://drive.google.com/uc?export=view&amp;id=1GR__JWSzsRThlXEQCdxocuhvLKFJnQ8L")</f>
        <v/>
      </c>
      <c r="Z126" s="1">
        <f>IFERROR(__xludf.DUMMYFUNCTION("""COMPUTED_VALUE"""),"Unverified")</f>
        <v/>
      </c>
      <c r="AA126" s="1">
        <f>IFERROR(__xludf.DUMMYFUNCTION("""COMPUTED_VALUE"""),"Collaborations between EdTech organisations, Public-private partnerships, Industry-academia partnerships, Project consortium building")</f>
        <v/>
      </c>
      <c r="AB126" s="1">
        <f>IFERROR(__xludf.DUMMYFUNCTION("""COMPUTED_VALUE"""),"For-profit company")</f>
        <v/>
      </c>
      <c r="AC126" s="1">
        <f>IFERROR(__xludf.DUMMYFUNCTION("""COMPUTED_VALUE"""),TRUE)</f>
        <v/>
      </c>
      <c r="AD126" s="1">
        <f>IFERROR(__xludf.DUMMYFUNCTION("""COMPUTED_VALUE"""),TRUE)</f>
        <v/>
      </c>
      <c r="AE126" s="15">
        <f>IFERROR(__xludf.DUMMYFUNCTION("""COMPUTED_VALUE"""),"https://www.facebook.com/alpaca.assessment/")</f>
        <v/>
      </c>
    </row>
    <row r="127" ht="42" customHeight="1">
      <c r="A127" s="14">
        <f>IFERROR(__xludf.DUMMYFUNCTION("""COMPUTED_VALUE"""),45847)</f>
        <v/>
      </c>
      <c r="B127" s="1">
        <f>IFERROR(__xludf.DUMMYFUNCTION("""COMPUTED_VALUE"""),"ORG_2075")</f>
        <v/>
      </c>
      <c r="C127" s="1">
        <f>IFERROR(__xludf.DUMMYFUNCTION("""COMPUTED_VALUE"""),TRUE)</f>
        <v/>
      </c>
      <c r="D127" s="1">
        <f>IFERROR(__xludf.DUMMYFUNCTION("""COMPUTED_VALUE"""),"Opinoma ApS")</f>
        <v/>
      </c>
      <c r="E127" s="15">
        <f>IFERROR(__xludf.DUMMYFUNCTION("""COMPUTED_VALUE"""),"https://opinoma.dk")</f>
        <v/>
      </c>
      <c r="F127" s="1">
        <f>IFERROR(__xludf.DUMMYFUNCTION("""COMPUTED_VALUE"""),"IT-platform for formative teaching assessments")</f>
        <v/>
      </c>
      <c r="G127" s="1">
        <f>IFERROR(__xludf.DUMMYFUNCTION("""COMPUTED_VALUE"""),"EdTech Denmark")</f>
        <v/>
      </c>
      <c r="H127" s="1">
        <f>IFERROR(__xludf.DUMMYFUNCTION("""COMPUTED_VALUE"""),"English")</f>
        <v/>
      </c>
      <c r="I127" s="1">
        <f>IFERROR(__xludf.DUMMYFUNCTION("""COMPUTED_VALUE"""),"info@opinoma.dk")</f>
        <v/>
      </c>
      <c r="J127" s="1">
        <f>IFERROR(__xludf.DUMMYFUNCTION("""COMPUTED_VALUE"""),"+4553738605")</f>
        <v/>
      </c>
      <c r="K127" s="1" t="n"/>
      <c r="L127" s="1">
        <f>IFERROR(__xludf.DUMMYFUNCTION("""COMPUTED_VALUE"""),"Denmark")</f>
        <v/>
      </c>
      <c r="M127" s="1">
        <f>IFERROR(__xludf.DUMMYFUNCTION("""COMPUTED_VALUE"""),"Denmark")</f>
        <v/>
      </c>
      <c r="N127" s="1">
        <f>IFERROR(__xludf.DUMMYFUNCTION("""COMPUTED_VALUE"""),"Micro (1-9 FTE employees)")</f>
        <v/>
      </c>
      <c r="O127" s="1">
        <f>IFERROR(__xludf.DUMMYFUNCTION("""COMPUTED_VALUE"""),"Business to Government, Business to Schools")</f>
        <v/>
      </c>
      <c r="P127" s="1">
        <f>IFERROR(__xludf.DUMMYFUNCTION("""COMPUTED_VALUE"""),"Secondary Education, Vocational Education and Training (VET), Higher Education")</f>
        <v/>
      </c>
      <c r="Q127" s="1">
        <f>IFERROR(__xludf.DUMMYFUNCTION("""COMPUTED_VALUE"""),"Teacher interfacing")</f>
        <v/>
      </c>
      <c r="R127" s="1" t="n"/>
      <c r="S127" s="1" t="n"/>
      <c r="T127" s="15">
        <f>IFERROR(__xludf.DUMMYFUNCTION("""COMPUTED_VALUE"""),"https://www.linkedin.com/company/opinoma")</f>
        <v/>
      </c>
      <c r="U127" s="1">
        <f>IFERROR(__xludf.DUMMYFUNCTION("""COMPUTED_VALUE"""),"Opinoma")</f>
        <v/>
      </c>
      <c r="V127" s="1">
        <f>IFERROR(__xludf.DUMMYFUNCTION("""COMPUTED_VALUE"""),"Access to Opinoma")</f>
        <v/>
      </c>
      <c r="W127" s="1" t="n"/>
      <c r="X127" s="1" t="n"/>
      <c r="Y127" s="15">
        <f>IFERROR(__xludf.DUMMYFUNCTION("""COMPUTED_VALUE"""),"https://drive.google.com/uc?export=view&amp;id=1hFuIe5s4kv3giJvjnqpYsfEFWjQnaDJQ")</f>
        <v/>
      </c>
      <c r="Z127" s="1">
        <f>IFERROR(__xludf.DUMMYFUNCTION("""COMPUTED_VALUE"""),"Unverified")</f>
        <v/>
      </c>
      <c r="AA127" s="1">
        <f>IFERROR(__xludf.DUMMYFUNCTION("""COMPUTED_VALUE"""),"Collaborations between EdTech organisations, Public-private partnerships")</f>
        <v/>
      </c>
      <c r="AB127" s="1">
        <f>IFERROR(__xludf.DUMMYFUNCTION("""COMPUTED_VALUE"""),"For-profit company")</f>
        <v/>
      </c>
      <c r="AC127" s="1">
        <f>IFERROR(__xludf.DUMMYFUNCTION("""COMPUTED_VALUE"""),TRUE)</f>
        <v/>
      </c>
      <c r="AD127" s="1">
        <f>IFERROR(__xludf.DUMMYFUNCTION("""COMPUTED_VALUE"""),TRUE)</f>
        <v/>
      </c>
      <c r="AE127" s="1" t="n"/>
    </row>
    <row r="128" ht="42" customHeight="1">
      <c r="A128" s="14">
        <f>IFERROR(__xludf.DUMMYFUNCTION("""COMPUTED_VALUE"""),45847)</f>
        <v/>
      </c>
      <c r="B128" s="1">
        <f>IFERROR(__xludf.DUMMYFUNCTION("""COMPUTED_VALUE"""),"ORG_2596")</f>
        <v/>
      </c>
      <c r="C128" s="1">
        <f>IFERROR(__xludf.DUMMYFUNCTION("""COMPUTED_VALUE"""),TRUE)</f>
        <v/>
      </c>
      <c r="D128" s="1">
        <f>IFERROR(__xludf.DUMMYFUNCTION("""COMPUTED_VALUE"""),"Norvalid AS")</f>
        <v/>
      </c>
      <c r="E128" s="15">
        <f>IFERROR(__xludf.DUMMYFUNCTION("""COMPUTED_VALUE"""),"norvalid.com")</f>
        <v/>
      </c>
      <c r="F128" s="1">
        <f>IFERROR(__xludf.DUMMYFUNCTION("""COMPUTED_VALUE"""),"Academic Integrity solutions")</f>
        <v/>
      </c>
      <c r="G128" s="1">
        <f>IFERROR(__xludf.DUMMYFUNCTION("""COMPUTED_VALUE"""),"I'm not part of any EdTech association")</f>
        <v/>
      </c>
      <c r="H128" s="1">
        <f>IFERROR(__xludf.DUMMYFUNCTION("""COMPUTED_VALUE"""),"English")</f>
        <v/>
      </c>
      <c r="I128" s="1">
        <f>IFERROR(__xludf.DUMMYFUNCTION("""COMPUTED_VALUE"""),"contact@norvalid.com")</f>
        <v/>
      </c>
      <c r="J128" s="1">
        <f>IFERROR(__xludf.DUMMYFUNCTION("""COMPUTED_VALUE"""),"+4790835383")</f>
        <v/>
      </c>
      <c r="K128" s="1">
        <f>IFERROR(__xludf.DUMMYFUNCTION("""COMPUTED_VALUE"""),"Tromsø")</f>
        <v/>
      </c>
      <c r="L128" s="1">
        <f>IFERROR(__xludf.DUMMYFUNCTION("""COMPUTED_VALUE"""),"Norway")</f>
        <v/>
      </c>
      <c r="M128" s="1">
        <f>IFERROR(__xludf.DUMMYFUNCTION("""COMPUTED_VALUE"""),"Denmark, Finland, Germany, Norway, United Kingdom, Sweden")</f>
        <v/>
      </c>
      <c r="N128" s="1">
        <f>IFERROR(__xludf.DUMMYFUNCTION("""COMPUTED_VALUE"""),"Micro (1-9 FTE employees)")</f>
        <v/>
      </c>
      <c r="O128" s="1">
        <f>IFERROR(__xludf.DUMMYFUNCTION("""COMPUTED_VALUE"""),"Business to Business, Business to Government")</f>
        <v/>
      </c>
      <c r="P128" s="1">
        <f>IFERROR(__xludf.DUMMYFUNCTION("""COMPUTED_VALUE"""),"Vocational Education and Training (VET), Secondary Education, Higher Education")</f>
        <v/>
      </c>
      <c r="Q128" s="1">
        <f>IFERROR(__xludf.DUMMYFUNCTION("""COMPUTED_VALUE"""),"Teacher interfacing")</f>
        <v/>
      </c>
      <c r="R128" s="1" t="n"/>
      <c r="S128" s="1" t="n"/>
      <c r="T128" s="15">
        <f>IFERROR(__xludf.DUMMYFUNCTION("""COMPUTED_VALUE"""),"https://www.linkedin.com/company/norvalid")</f>
        <v/>
      </c>
      <c r="U128" s="1">
        <f>IFERROR(__xludf.DUMMYFUNCTION("""COMPUTED_VALUE"""),"Authorsip Validation")</f>
        <v/>
      </c>
      <c r="V128" s="1">
        <f>IFERROR(__xludf.DUMMYFUNCTION("""COMPUTED_VALUE"""),"Linguistic analysis to validate original student writing")</f>
        <v/>
      </c>
      <c r="W128" s="1" t="n"/>
      <c r="X128" s="1" t="n"/>
      <c r="Y128" s="15">
        <f>IFERROR(__xludf.DUMMYFUNCTION("""COMPUTED_VALUE"""),"https://drive.google.com/uc?export=view&amp;id=1Vh_Z8wEcwUfwTPbw42UwagWxZds8m0Y5")</f>
        <v/>
      </c>
      <c r="Z128" s="1">
        <f>IFERROR(__xludf.DUMMYFUNCTION("""COMPUTED_VALUE"""),"Unverified")</f>
        <v/>
      </c>
      <c r="AA128" s="1">
        <f>IFERROR(__xludf.DUMMYFUNCTION("""COMPUTED_VALUE"""),"Industry-academia partnerships")</f>
        <v/>
      </c>
      <c r="AB128" s="1">
        <f>IFERROR(__xludf.DUMMYFUNCTION("""COMPUTED_VALUE"""),"For-profit company")</f>
        <v/>
      </c>
      <c r="AC128" s="1">
        <f>IFERROR(__xludf.DUMMYFUNCTION("""COMPUTED_VALUE"""),TRUE)</f>
        <v/>
      </c>
      <c r="AD128" s="1">
        <f>IFERROR(__xludf.DUMMYFUNCTION("""COMPUTED_VALUE"""),FALSE)</f>
        <v/>
      </c>
      <c r="AE128" s="1" t="n"/>
    </row>
    <row r="129" ht="42" customHeight="1">
      <c r="A129" s="14">
        <f>IFERROR(__xludf.DUMMYFUNCTION("""COMPUTED_VALUE"""),45847)</f>
        <v/>
      </c>
      <c r="B129" s="1">
        <f>IFERROR(__xludf.DUMMYFUNCTION("""COMPUTED_VALUE"""),"ORG_2595")</f>
        <v/>
      </c>
      <c r="C129" s="1">
        <f>IFERROR(__xludf.DUMMYFUNCTION("""COMPUTED_VALUE"""),TRUE)</f>
        <v/>
      </c>
      <c r="D129" s="1">
        <f>IFERROR(__xludf.DUMMYFUNCTION("""COMPUTED_VALUE"""),"Compilatio")</f>
        <v/>
      </c>
      <c r="E129" s="15">
        <f>IFERROR(__xludf.DUMMYFUNCTION("""COMPUTED_VALUE"""),"https://www.compilatio.net/en")</f>
        <v/>
      </c>
      <c r="F129" s="1">
        <f>IFERROR(__xludf.DUMMYFUNCTION("""COMPUTED_VALUE"""),"For over 20 years, Compilatio has been committed to a more authentic, more demanding and more creative education. We support educational establishments worldwide with digital tools to detect plagiarism and AI, assess learning and support pedagogical innov"&amp;"ation. Our mission: to make authenticity a lever for academic excellence.")</f>
        <v/>
      </c>
      <c r="G129" s="1">
        <f>IFERROR(__xludf.DUMMYFUNCTION("""COMPUTED_VALUE"""),"I'm not part of any EdTech association")</f>
        <v/>
      </c>
      <c r="H129" s="1">
        <f>IFERROR(__xludf.DUMMYFUNCTION("""COMPUTED_VALUE"""),"English, French, Italian, German, Spanish, Portuguese")</f>
        <v/>
      </c>
      <c r="I129" s="1">
        <f>IFERROR(__xludf.DUMMYFUNCTION("""COMPUTED_VALUE"""),"contact@compilatio.net")</f>
        <v/>
      </c>
      <c r="J129" s="1">
        <f>IFERROR(__xludf.DUMMYFUNCTION("""COMPUTED_VALUE"""),"+33457410014")</f>
        <v/>
      </c>
      <c r="K129" s="1">
        <f>IFERROR(__xludf.DUMMYFUNCTION("""COMPUTED_VALUE"""),"Chavanod")</f>
        <v/>
      </c>
      <c r="L129" s="1">
        <f>IFERROR(__xludf.DUMMYFUNCTION("""COMPUTED_VALUE"""),"France")</f>
        <v/>
      </c>
      <c r="M129" s="1">
        <f>IFERROR(__xludf.DUMMYFUNCTION("""COMPUTED_VALUE"""),"Germany, France, Monaco, Ireland, Italy, Albania, United Kingdom, Switzerland, Spain, Romania, Belgium")</f>
        <v/>
      </c>
      <c r="N129" s="1">
        <f>IFERROR(__xludf.DUMMYFUNCTION("""COMPUTED_VALUE"""),"Medium (50-250 FTE employees)")</f>
        <v/>
      </c>
      <c r="O129" s="1">
        <f>IFERROR(__xludf.DUMMYFUNCTION("""COMPUTED_VALUE"""),"Business to Business, Business to Consumer, Business to Government, Business to Schools")</f>
        <v/>
      </c>
      <c r="P129" s="1">
        <f>IFERROR(__xludf.DUMMYFUNCTION("""COMPUTED_VALUE"""),"Secondary Education, Higher Education, Corporate Training, Lifelong learning/Adult education, Special Education")</f>
        <v/>
      </c>
      <c r="Q129" s="1">
        <f>IFERROR(__xludf.DUMMYFUNCTION("""COMPUTED_VALUE"""),"Student interfacing, Teacher interfacing")</f>
        <v/>
      </c>
      <c r="R129" s="1" t="n"/>
      <c r="S129" s="1" t="n"/>
      <c r="T129" s="15">
        <f>IFERROR(__xludf.DUMMYFUNCTION("""COMPUTED_VALUE"""),"https://fr.linkedin.com/company/compilatio")</f>
        <v/>
      </c>
      <c r="U129" s="1">
        <f>IFERROR(__xludf.DUMMYFUNCTION("""COMPUTED_VALUE"""),"Compilatio Magister / Magister+")</f>
        <v/>
      </c>
      <c r="V129" s="1">
        <f>IFERROR(__xludf.DUMMYFUNCTION("""COMPUTED_VALUE"""),"Plagiarism detection and AI - for teachers
Guide your students towards responsible practices.")</f>
        <v/>
      </c>
      <c r="W129" s="1">
        <f>IFERROR(__xludf.DUMMYFUNCTION("""COMPUTED_VALUE"""),"Compilatio Studium")</f>
        <v/>
      </c>
      <c r="X129" s="1">
        <f>IFERROR(__xludf.DUMMYFUNCTION("""COMPUTED_VALUE"""),"Plagiarism detection and AI - for students
Check your writing before someone does it
for you.")</f>
        <v/>
      </c>
      <c r="Y129" s="15">
        <f>IFERROR(__xludf.DUMMYFUNCTION("""COMPUTED_VALUE"""),"https://drive.google.com/uc?export=view&amp;id=15ucyQppAtJC6hfnUmxbiWYqUUMQhp7lX")</f>
        <v/>
      </c>
      <c r="Z129" s="1">
        <f>IFERROR(__xludf.DUMMYFUNCTION("""COMPUTED_VALUE"""),"Unverified")</f>
        <v/>
      </c>
      <c r="AA129" s="1">
        <f>IFERROR(__xludf.DUMMYFUNCTION("""COMPUTED_VALUE"""),"Public-private partnerships, Industry-academia partnerships, Project consortium building, Collaborations between EdTech organisations, Other")</f>
        <v/>
      </c>
      <c r="AB129" s="1">
        <f>IFERROR(__xludf.DUMMYFUNCTION("""COMPUTED_VALUE"""),"For-profit company")</f>
        <v/>
      </c>
      <c r="AC129" s="1">
        <f>IFERROR(__xludf.DUMMYFUNCTION("""COMPUTED_VALUE"""),TRUE)</f>
        <v/>
      </c>
      <c r="AD129" s="1">
        <f>IFERROR(__xludf.DUMMYFUNCTION("""COMPUTED_VALUE"""),TRUE)</f>
        <v/>
      </c>
      <c r="AE129" s="15">
        <f>IFERROR(__xludf.DUMMYFUNCTION("""COMPUTED_VALUE"""),"https://www.facebook.com/compilatio.net/")</f>
        <v/>
      </c>
    </row>
    <row r="130" ht="42" customHeight="1">
      <c r="A130" s="14">
        <f>IFERROR(__xludf.DUMMYFUNCTION("""COMPUTED_VALUE"""),45846)</f>
        <v/>
      </c>
      <c r="B130" s="1">
        <f>IFERROR(__xludf.DUMMYFUNCTION("""COMPUTED_VALUE"""),"ORG_1196")</f>
        <v/>
      </c>
      <c r="C130" s="1">
        <f>IFERROR(__xludf.DUMMYFUNCTION("""COMPUTED_VALUE"""),TRUE)</f>
        <v/>
      </c>
      <c r="D130" s="1">
        <f>IFERROR(__xludf.DUMMYFUNCTION("""COMPUTED_VALUE"""),"Brainly")</f>
        <v/>
      </c>
      <c r="E130" s="15">
        <f>IFERROR(__xludf.DUMMYFUNCTION("""COMPUTED_VALUE"""),"www.brainly.com")</f>
        <v/>
      </c>
      <c r="F130" s="1">
        <f>IFERROR(__xludf.DUMMYFUNCTION("""COMPUTED_VALUE"""),"Brainly is an AI Learning Companion for students, parents and teachers. The platform provides world-class homework help, test prep and tutoring that is verified for accuracy and customized to each student based on their learning style.")</f>
        <v/>
      </c>
      <c r="G130" s="1">
        <f>IFERROR(__xludf.DUMMYFUNCTION("""COMPUTED_VALUE"""),"EdTech Poland")</f>
        <v/>
      </c>
      <c r="H130" s="1">
        <f>IFERROR(__xludf.DUMMYFUNCTION("""COMPUTED_VALUE"""),"English, French, Spanish, Polish, Hindi, Ukrainian, Russian, Portuguese, Romanian, Turkish, Indonesian")</f>
        <v/>
      </c>
      <c r="I130" s="1">
        <f>IFERROR(__xludf.DUMMYFUNCTION("""COMPUTED_VALUE"""),"press@brainly.com")</f>
        <v/>
      </c>
      <c r="J130" s="1">
        <f>IFERROR(__xludf.DUMMYFUNCTION("""COMPUTED_VALUE"""),"+17189731473")</f>
        <v/>
      </c>
      <c r="K130" s="1">
        <f>IFERROR(__xludf.DUMMYFUNCTION("""COMPUTED_VALUE"""),"Kraków")</f>
        <v/>
      </c>
      <c r="L130" s="1">
        <f>IFERROR(__xludf.DUMMYFUNCTION("""COMPUTED_VALUE"""),"Poland")</f>
        <v/>
      </c>
      <c r="M130" s="1">
        <f>IFERROR(__xludf.DUMMYFUNCTION("""COMPUTED_VALUE"""),"Ukraine, United Kingdom, Poland, Turkey, Spain, Romania")</f>
        <v/>
      </c>
      <c r="N130" s="1">
        <f>IFERROR(__xludf.DUMMYFUNCTION("""COMPUTED_VALUE"""),"Medium (50-250 FTE employees)")</f>
        <v/>
      </c>
      <c r="O130" s="1">
        <f>IFERROR(__xludf.DUMMYFUNCTION("""COMPUTED_VALUE"""),"Business to Consumer")</f>
        <v/>
      </c>
      <c r="P130" s="1">
        <f>IFERROR(__xludf.DUMMYFUNCTION("""COMPUTED_VALUE"""),"Primary Education, Secondary Education, Higher Education")</f>
        <v/>
      </c>
      <c r="Q130" s="1">
        <f>IFERROR(__xludf.DUMMYFUNCTION("""COMPUTED_VALUE"""),"Student interfacing, Teacher interfacing")</f>
        <v/>
      </c>
      <c r="R130" s="15">
        <f>IFERROR(__xludf.DUMMYFUNCTION("""COMPUTED_VALUE"""),"https://www.instagram.com/brainly/")</f>
        <v/>
      </c>
      <c r="S130" s="1" t="n"/>
      <c r="T130" s="15">
        <f>IFERROR(__xludf.DUMMYFUNCTION("""COMPUTED_VALUE"""),"https://www.linkedin.com/company/2745890/")</f>
        <v/>
      </c>
      <c r="U130" s="1">
        <f>IFERROR(__xludf.DUMMYFUNCTION("""COMPUTED_VALUE"""),"AI Learning Companion")</f>
        <v/>
      </c>
      <c r="V130" s="1">
        <f>IFERROR(__xludf.DUMMYFUNCTION("""COMPUTED_VALUE"""),"Brainly's Learning Companion is every student's best tutor and study buddy. It provides assistance with homework problems, learning support and more.")</f>
        <v/>
      </c>
      <c r="W130" s="1">
        <f>IFERROR(__xludf.DUMMYFUNCTION("""COMPUTED_VALUE"""),"Brainly Notes")</f>
        <v/>
      </c>
      <c r="X130" s="1">
        <f>IFERROR(__xludf.DUMMYFUNCTION("""COMPUTED_VALUE"""),"Brainly turns lectures and class instruction into organized study plans and test prep quizzes.")</f>
        <v/>
      </c>
      <c r="Y130" s="15">
        <f>IFERROR(__xludf.DUMMYFUNCTION("""COMPUTED_VALUE"""),"https://drive.google.com/uc?export=view&amp;id=1qXUu5h1k_3WHPILqs4OFCSn2Mp0bkYco")</f>
        <v/>
      </c>
      <c r="Z130" s="1">
        <f>IFERROR(__xludf.DUMMYFUNCTION("""COMPUTED_VALUE"""),"Unverified")</f>
        <v/>
      </c>
      <c r="AA130" s="1">
        <f>IFERROR(__xludf.DUMMYFUNCTION("""COMPUTED_VALUE"""),"Collaborations between EdTech organisations, Project consortium building, Public-private partnerships, Industry-academia partnerships")</f>
        <v/>
      </c>
      <c r="AB130" s="1">
        <f>IFERROR(__xludf.DUMMYFUNCTION("""COMPUTED_VALUE"""),"For-profit company")</f>
        <v/>
      </c>
      <c r="AC130" s="1">
        <f>IFERROR(__xludf.DUMMYFUNCTION("""COMPUTED_VALUE"""),TRUE)</f>
        <v/>
      </c>
      <c r="AD130" s="1">
        <f>IFERROR(__xludf.DUMMYFUNCTION("""COMPUTED_VALUE"""),TRUE)</f>
        <v/>
      </c>
      <c r="AE130" s="15">
        <f>IFERROR(__xludf.DUMMYFUNCTION("""COMPUTED_VALUE"""),"https://www.facebook.com/search/top?q=brainly")</f>
        <v/>
      </c>
    </row>
    <row r="131" ht="42" customHeight="1">
      <c r="A131" s="14">
        <f>IFERROR(__xludf.DUMMYFUNCTION("""COMPUTED_VALUE"""),45846)</f>
        <v/>
      </c>
      <c r="B131" s="1">
        <f>IFERROR(__xludf.DUMMYFUNCTION("""COMPUTED_VALUE"""),"ORG_2594")</f>
        <v/>
      </c>
      <c r="C131" s="1">
        <f>IFERROR(__xludf.DUMMYFUNCTION("""COMPUTED_VALUE"""),TRUE)</f>
        <v/>
      </c>
      <c r="D131" s="1">
        <f>IFERROR(__xludf.DUMMYFUNCTION("""COMPUTED_VALUE"""),"RESLOCATE OU")</f>
        <v/>
      </c>
      <c r="E131" s="15">
        <f>IFERROR(__xludf.DUMMYFUNCTION("""COMPUTED_VALUE"""),"www.reslocate.net")</f>
        <v/>
      </c>
      <c r="F131" s="1">
        <f>IFERROR(__xludf.DUMMYFUNCTION("""COMPUTED_VALUE"""),"Reslocate equips high school learners with intelligent, personalised career guidance through cutting-edge AI, actionable insights, and a supportive ecosystem. We bridge the gap between education and opportunity by connecting students with the right instit"&amp;"utions, resources, and career paths to unlock their fullest potential.")</f>
        <v/>
      </c>
      <c r="G131" s="1">
        <f>IFERROR(__xludf.DUMMYFUNCTION("""COMPUTED_VALUE"""),"EdTech Estonia")</f>
        <v/>
      </c>
      <c r="H131" s="1">
        <f>IFERROR(__xludf.DUMMYFUNCTION("""COMPUTED_VALUE"""),"English")</f>
        <v/>
      </c>
      <c r="I131" s="1">
        <f>IFERROR(__xludf.DUMMYFUNCTION("""COMPUTED_VALUE"""),"lucas@reslocate.net")</f>
        <v/>
      </c>
      <c r="J131" s="1">
        <f>IFERROR(__xludf.DUMMYFUNCTION("""COMPUTED_VALUE"""),"+37251930929")</f>
        <v/>
      </c>
      <c r="K131" s="1">
        <f>IFERROR(__xludf.DUMMYFUNCTION("""COMPUTED_VALUE"""),"TALLIN")</f>
        <v/>
      </c>
      <c r="L131" s="1">
        <f>IFERROR(__xludf.DUMMYFUNCTION("""COMPUTED_VALUE"""),"Estonia")</f>
        <v/>
      </c>
      <c r="M131" s="1">
        <f>IFERROR(__xludf.DUMMYFUNCTION("""COMPUTED_VALUE"""),"Estonia")</f>
        <v/>
      </c>
      <c r="N131" s="1">
        <f>IFERROR(__xludf.DUMMYFUNCTION("""COMPUTED_VALUE"""),"Micro (1-9 FTE employees)")</f>
        <v/>
      </c>
      <c r="O131" s="1">
        <f>IFERROR(__xludf.DUMMYFUNCTION("""COMPUTED_VALUE"""),"Business to Business, Business to Consumer, Business to Schools")</f>
        <v/>
      </c>
      <c r="P131" s="1">
        <f>IFERROR(__xludf.DUMMYFUNCTION("""COMPUTED_VALUE"""),"Secondary Education, Vocational Education and Training (VET), Higher Education")</f>
        <v/>
      </c>
      <c r="Q131" s="1">
        <f>IFERROR(__xludf.DUMMYFUNCTION("""COMPUTED_VALUE"""),"Student interfacing, System/Administrative")</f>
        <v/>
      </c>
      <c r="R131" s="15">
        <f>IFERROR(__xludf.DUMMYFUNCTION("""COMPUTED_VALUE"""),"https://www.instagram.com/reslocate")</f>
        <v/>
      </c>
      <c r="S131" s="1" t="n"/>
      <c r="T131" s="15">
        <f>IFERROR(__xludf.DUMMYFUNCTION("""COMPUTED_VALUE"""),"https://www.linkedin.com/reslocate")</f>
        <v/>
      </c>
      <c r="U131" s="1">
        <f>IFERROR(__xludf.DUMMYFUNCTION("""COMPUTED_VALUE"""),"AI Powered Career Guidance Report")</f>
        <v/>
      </c>
      <c r="V131" s="1">
        <f>IFERROR(__xludf.DUMMYFUNCTION("""COMPUTED_VALUE"""),"An AI-powered personalised career guidance report for high school learners and parents, mapping optimal educational and career pathways based on interests, strengths, and local/global opportunities. Includes access to scholarships, university programs, an"&amp;"d job readiness tools.")</f>
        <v/>
      </c>
      <c r="W131" s="1">
        <f>IFERROR(__xludf.DUMMYFUNCTION("""COMPUTED_VALUE"""),"Reslocate Edtech Platform")</f>
        <v/>
      </c>
      <c r="X131" s="1">
        <f>IFERROR(__xludf.DUMMYFUNCTION("""COMPUTED_VALUE"""),"A comprehensive platform connecting students to scholarships, internships, universities, and TVET colleges through personalised AI matching, academic resources, and in-app guidance. Designed to improve education-to-employment outcomes at scale.")</f>
        <v/>
      </c>
      <c r="Y131" s="15">
        <f>IFERROR(__xludf.DUMMYFUNCTION("""COMPUTED_VALUE"""),"https://drive.google.com/uc?export=view&amp;id=1P7jGRj-Y-_sAB2roxONwjssLWMyol3Hj")</f>
        <v/>
      </c>
      <c r="Z131" s="1">
        <f>IFERROR(__xludf.DUMMYFUNCTION("""COMPUTED_VALUE"""),"Unverified")</f>
        <v/>
      </c>
      <c r="AA131" s="1">
        <f>IFERROR(__xludf.DUMMYFUNCTION("""COMPUTED_VALUE"""),"Collaborations between EdTech organisations, Public-private partnerships, Industry-academia partnerships")</f>
        <v/>
      </c>
      <c r="AB131" s="1">
        <f>IFERROR(__xludf.DUMMYFUNCTION("""COMPUTED_VALUE"""),"For-profit company")</f>
        <v/>
      </c>
      <c r="AC131" s="1">
        <f>IFERROR(__xludf.DUMMYFUNCTION("""COMPUTED_VALUE"""),TRUE)</f>
        <v/>
      </c>
      <c r="AD131" s="1">
        <f>IFERROR(__xludf.DUMMYFUNCTION("""COMPUTED_VALUE"""),TRUE)</f>
        <v/>
      </c>
      <c r="AE131" s="15">
        <f>IFERROR(__xludf.DUMMYFUNCTION("""COMPUTED_VALUE"""),"https://www.facebook.com/reslocate")</f>
        <v/>
      </c>
    </row>
    <row r="132" ht="42" customHeight="1">
      <c r="A132" s="14">
        <f>IFERROR(__xludf.DUMMYFUNCTION("""COMPUTED_VALUE"""),45846)</f>
        <v/>
      </c>
      <c r="B132" s="1">
        <f>IFERROR(__xludf.DUMMYFUNCTION("""COMPUTED_VALUE"""),"ORG_1033")</f>
        <v/>
      </c>
      <c r="C132" s="1">
        <f>IFERROR(__xludf.DUMMYFUNCTION("""COMPUTED_VALUE"""),TRUE)</f>
        <v/>
      </c>
      <c r="D132" s="1">
        <f>IFERROR(__xludf.DUMMYFUNCTION("""COMPUTED_VALUE"""),"Adaptemy")</f>
        <v/>
      </c>
      <c r="E132" s="15">
        <f>IFERROR(__xludf.DUMMYFUNCTION("""COMPUTED_VALUE"""),"https://www.adaptemy.com/")</f>
        <v/>
      </c>
      <c r="F132" s="1">
        <f>IFERROR(__xludf.DUMMYFUNCTION("""COMPUTED_VALUE"""),"Pioneering Improvements in Learning Experiences and Outcomes Since 2015 we have pioneered the latest learning technologies for some of the world's leading educational organisations. Our expertise is in AI and adaptive learning technologies. With a strong "&amp;"research focus and experienced implementation team, we bring learning innovations to life at scale.")</f>
        <v/>
      </c>
      <c r="G132" s="1">
        <f>IFERROR(__xludf.DUMMYFUNCTION("""COMPUTED_VALUE"""),"EDUvation")</f>
        <v/>
      </c>
      <c r="H132" s="1">
        <f>IFERROR(__xludf.DUMMYFUNCTION("""COMPUTED_VALUE"""),"English, Flemish")</f>
        <v/>
      </c>
      <c r="I132" s="1">
        <f>IFERROR(__xludf.DUMMYFUNCTION("""COMPUTED_VALUE"""),"hello@adaptemy.com")</f>
        <v/>
      </c>
      <c r="J132" s="1">
        <f>IFERROR(__xludf.DUMMYFUNCTION("""COMPUTED_VALUE"""),"+35312338625")</f>
        <v/>
      </c>
      <c r="K132" s="1">
        <f>IFERROR(__xludf.DUMMYFUNCTION("""COMPUTED_VALUE"""),"Dublin")</f>
        <v/>
      </c>
      <c r="L132" s="1">
        <f>IFERROR(__xludf.DUMMYFUNCTION("""COMPUTED_VALUE"""),"Ireland")</f>
        <v/>
      </c>
      <c r="M132" s="1">
        <f>IFERROR(__xludf.DUMMYFUNCTION("""COMPUTED_VALUE"""),"Germany, Ireland, Spain, United Kingdom, Belgium, Singapore")</f>
        <v/>
      </c>
      <c r="N132" s="1">
        <f>IFERROR(__xludf.DUMMYFUNCTION("""COMPUTED_VALUE"""),"Small (10-49 FTE employees)")</f>
        <v/>
      </c>
      <c r="O132" s="1">
        <f>IFERROR(__xludf.DUMMYFUNCTION("""COMPUTED_VALUE"""),"Business to Business")</f>
        <v/>
      </c>
      <c r="P132" s="1">
        <f>IFERROR(__xludf.DUMMYFUNCTION("""COMPUTED_VALUE"""),"Corporate Training, Lifelong learning/Adult education, Secondary Education, Primary Education, Vocational Education and Training (VET), Higher Education")</f>
        <v/>
      </c>
      <c r="Q132" s="1">
        <f>IFERROR(__xludf.DUMMYFUNCTION("""COMPUTED_VALUE"""),"Student interfacing, Teacher interfacing")</f>
        <v/>
      </c>
      <c r="R132" s="1" t="n"/>
      <c r="S132" s="15">
        <f>IFERROR(__xludf.DUMMYFUNCTION("""COMPUTED_VALUE"""),"https://x.com/adaptemy")</f>
        <v/>
      </c>
      <c r="T132" s="15">
        <f>IFERROR(__xludf.DUMMYFUNCTION("""COMPUTED_VALUE"""),"https://www.linkedin.com/company/adaptemy/")</f>
        <v/>
      </c>
      <c r="U132" s="1">
        <f>IFERROR(__xludf.DUMMYFUNCTION("""COMPUTED_VALUE"""),"Intelligent and adaptive learning products")</f>
        <v/>
      </c>
      <c r="V132" s="1">
        <f>IFERROR(__xludf.DUMMYFUNCTION("""COMPUTED_VALUE"""),"Helps the world’s leading education companies create intelligent and adaptive learning products through co-design")</f>
        <v/>
      </c>
      <c r="W132" s="1">
        <f>IFERROR(__xludf.DUMMYFUNCTION("""COMPUTED_VALUE"""),"Research and development of adaptive learning and digital learning experiences with innovation")</f>
        <v/>
      </c>
      <c r="X132" s="1">
        <f>IFERROR(__xludf.DUMMYFUNCTION("""COMPUTED_VALUE"""),"Deep dive consultation and collaboration with education and technology companies, institutions and government")</f>
        <v/>
      </c>
      <c r="Y132" s="15">
        <f>IFERROR(__xludf.DUMMYFUNCTION("""COMPUTED_VALUE"""),"https://drive.google.com/uc?export=view&amp;id=1m8hIRAJERyB0cNSN6syn26vAd5IWz-63")</f>
        <v/>
      </c>
      <c r="Z132" s="1">
        <f>IFERROR(__xludf.DUMMYFUNCTION("""COMPUTED_VALUE"""),"Unverified")</f>
        <v/>
      </c>
      <c r="AA132" s="1">
        <f>IFERROR(__xludf.DUMMYFUNCTION("""COMPUTED_VALUE"""),"Collaborations between EdTech organisations, Public-private partnerships, Project consortium building, Industry-academia partnerships")</f>
        <v/>
      </c>
      <c r="AB132" s="1">
        <f>IFERROR(__xludf.DUMMYFUNCTION("""COMPUTED_VALUE"""),"For-profit company")</f>
        <v/>
      </c>
      <c r="AC132" s="1">
        <f>IFERROR(__xludf.DUMMYFUNCTION("""COMPUTED_VALUE"""),TRUE)</f>
        <v/>
      </c>
      <c r="AD132" s="1">
        <f>IFERROR(__xludf.DUMMYFUNCTION("""COMPUTED_VALUE"""),TRUE)</f>
        <v/>
      </c>
      <c r="AE132" s="15">
        <f>IFERROR(__xludf.DUMMYFUNCTION("""COMPUTED_VALUE"""),"https://www.facebook.com/adaptemy/")</f>
        <v/>
      </c>
    </row>
    <row r="133" ht="42" customHeight="1">
      <c r="A133" s="14">
        <f>IFERROR(__xludf.DUMMYFUNCTION("""COMPUTED_VALUE"""),45846)</f>
        <v/>
      </c>
      <c r="B133" s="1">
        <f>IFERROR(__xludf.DUMMYFUNCTION("""COMPUTED_VALUE"""),"ORG_2593")</f>
        <v/>
      </c>
      <c r="C133" s="1">
        <f>IFERROR(__xludf.DUMMYFUNCTION("""COMPUTED_VALUE"""),TRUE)</f>
        <v/>
      </c>
      <c r="D133" s="1">
        <f>IFERROR(__xludf.DUMMYFUNCTION("""COMPUTED_VALUE"""),"Equal Teaching")</f>
        <v/>
      </c>
      <c r="E133" s="15">
        <f>IFERROR(__xludf.DUMMYFUNCTION("""COMPUTED_VALUE"""),"www.equalteaching.com")</f>
        <v/>
      </c>
      <c r="F133" s="1">
        <f>IFERROR(__xludf.DUMMYFUNCTION("""COMPUTED_VALUE"""),"Equal Teaching is building the next generation recruitment &amp; HR technology for alternative education providers.")</f>
        <v/>
      </c>
      <c r="G133" s="1">
        <f>IFERROR(__xludf.DUMMYFUNCTION("""COMPUTED_VALUE"""),"I'm not part of any EdTech association")</f>
        <v/>
      </c>
      <c r="H133" s="1">
        <f>IFERROR(__xludf.DUMMYFUNCTION("""COMPUTED_VALUE"""),"English")</f>
        <v/>
      </c>
      <c r="I133" s="1">
        <f>IFERROR(__xludf.DUMMYFUNCTION("""COMPUTED_VALUE"""),"liam@equalteaching.com")</f>
        <v/>
      </c>
      <c r="J133" s="1">
        <f>IFERROR(__xludf.DUMMYFUNCTION("""COMPUTED_VALUE"""),"+16502033741")</f>
        <v/>
      </c>
      <c r="K133" s="1">
        <f>IFERROR(__xludf.DUMMYFUNCTION("""COMPUTED_VALUE"""),"Cardiff, Wales")</f>
        <v/>
      </c>
      <c r="L133" s="1">
        <f>IFERROR(__xludf.DUMMYFUNCTION("""COMPUTED_VALUE"""),"United Kingdom")</f>
        <v/>
      </c>
      <c r="M133" s="1">
        <f>IFERROR(__xludf.DUMMYFUNCTION("""COMPUTED_VALUE"""),"Germany, Portugal, United Kingdom")</f>
        <v/>
      </c>
      <c r="N133" s="1">
        <f>IFERROR(__xludf.DUMMYFUNCTION("""COMPUTED_VALUE"""),"Micro (1-9 FTE employees)")</f>
        <v/>
      </c>
      <c r="O133" s="1">
        <f>IFERROR(__xludf.DUMMYFUNCTION("""COMPUTED_VALUE"""),"Business to Business, Business to Government, Business to Schools")</f>
        <v/>
      </c>
      <c r="P133" s="1">
        <f>IFERROR(__xludf.DUMMYFUNCTION("""COMPUTED_VALUE"""),"Early childhood development (0-5 years), Primary Education, Secondary Education, Special Education")</f>
        <v/>
      </c>
      <c r="Q133" s="1">
        <f>IFERROR(__xludf.DUMMYFUNCTION("""COMPUTED_VALUE"""),"System/Administrative, Teacher interfacing")</f>
        <v/>
      </c>
      <c r="R133" s="1" t="n"/>
      <c r="S133" s="1" t="n"/>
      <c r="T133" s="15">
        <f>IFERROR(__xludf.DUMMYFUNCTION("""COMPUTED_VALUE"""),"https://www.linkedin.com/company/equal-teaching/")</f>
        <v/>
      </c>
      <c r="U133" s="1">
        <f>IFERROR(__xludf.DUMMYFUNCTION("""COMPUTED_VALUE"""),"HR technology platform")</f>
        <v/>
      </c>
      <c r="V133" s="1">
        <f>IFERROR(__xludf.DUMMYFUNCTION("""COMPUTED_VALUE"""),"Our AI-powered platform enables schools &amp; alternative education providers to scale their hiring rapidly while maintaining high quality provision and manage the full life cycle from advertising, assessment, onboarding &amp; development.")</f>
        <v/>
      </c>
      <c r="W133" s="1">
        <f>IFERROR(__xludf.DUMMYFUNCTION("""COMPUTED_VALUE"""),"Recruitment service")</f>
        <v/>
      </c>
      <c r="X133" s="1">
        <f>IFERROR(__xludf.DUMMYFUNCTION("""COMPUTED_VALUE"""),"We support schools and alternative education providers to attract, develop &amp; retain the best teaching talent.")</f>
        <v/>
      </c>
      <c r="Y133" s="15">
        <f>IFERROR(__xludf.DUMMYFUNCTION("""COMPUTED_VALUE"""),"https://drive.google.com/uc?export=view&amp;id=1mlTvG2pEQ-RmmnF0Gk7pq18ExVrLG2X6")</f>
        <v/>
      </c>
      <c r="Z133" s="1">
        <f>IFERROR(__xludf.DUMMYFUNCTION("""COMPUTED_VALUE"""),"Unverified")</f>
        <v/>
      </c>
      <c r="AA133" s="1">
        <f>IFERROR(__xludf.DUMMYFUNCTION("""COMPUTED_VALUE"""),"Collaborations between EdTech organisations, Project consortium building, Public-private partnerships, Industry-academia partnerships")</f>
        <v/>
      </c>
      <c r="AB133" s="1">
        <f>IFERROR(__xludf.DUMMYFUNCTION("""COMPUTED_VALUE"""),"For-profit company")</f>
        <v/>
      </c>
      <c r="AC133" s="1">
        <f>IFERROR(__xludf.DUMMYFUNCTION("""COMPUTED_VALUE"""),TRUE)</f>
        <v/>
      </c>
      <c r="AD133" s="1">
        <f>IFERROR(__xludf.DUMMYFUNCTION("""COMPUTED_VALUE"""),TRUE)</f>
        <v/>
      </c>
      <c r="AE133" s="1" t="n"/>
    </row>
    <row r="134" ht="42" customHeight="1">
      <c r="A134" s="14">
        <f>IFERROR(__xludf.DUMMYFUNCTION("""COMPUTED_VALUE"""),45846)</f>
        <v/>
      </c>
      <c r="B134" s="1">
        <f>IFERROR(__xludf.DUMMYFUNCTION("""COMPUTED_VALUE"""),"ORG_2592")</f>
        <v/>
      </c>
      <c r="C134" s="1">
        <f>IFERROR(__xludf.DUMMYFUNCTION("""COMPUTED_VALUE"""),TRUE)</f>
        <v/>
      </c>
      <c r="D134" s="1">
        <f>IFERROR(__xludf.DUMMYFUNCTION("""COMPUTED_VALUE"""),"Finncara Consulting Ltd")</f>
        <v/>
      </c>
      <c r="E134" s="15">
        <f>IFERROR(__xludf.DUMMYFUNCTION("""COMPUTED_VALUE"""),"www.finncaraconsulting.com")</f>
        <v/>
      </c>
      <c r="F134" s="1">
        <f>IFERROR(__xludf.DUMMYFUNCTION("""COMPUTED_VALUE"""),"Research and Management Consultancy")</f>
        <v/>
      </c>
      <c r="G134" s="1">
        <f>IFERROR(__xludf.DUMMYFUNCTION("""COMPUTED_VALUE"""),"I'm not part of any EdTech association")</f>
        <v/>
      </c>
      <c r="H134" s="1" t="n"/>
      <c r="I134" s="1">
        <f>IFERROR(__xludf.DUMMYFUNCTION("""COMPUTED_VALUE"""),"kieran.mervyn@finncaraconsulting.com")</f>
        <v/>
      </c>
      <c r="J134" s="1">
        <f>IFERROR(__xludf.DUMMYFUNCTION("""COMPUTED_VALUE"""),"+447919373907")</f>
        <v/>
      </c>
      <c r="K134" s="1">
        <f>IFERROR(__xludf.DUMMYFUNCTION("""COMPUTED_VALUE"""),"Leeds")</f>
        <v/>
      </c>
      <c r="L134" s="1">
        <f>IFERROR(__xludf.DUMMYFUNCTION("""COMPUTED_VALUE"""),"United Kingdom")</f>
        <v/>
      </c>
      <c r="M134" s="1" t="n"/>
      <c r="N134" s="1">
        <f>IFERROR(__xludf.DUMMYFUNCTION("""COMPUTED_VALUE"""),"Micro (1-9 FTE employees)")</f>
        <v/>
      </c>
      <c r="O134" s="1">
        <f>IFERROR(__xludf.DUMMYFUNCTION("""COMPUTED_VALUE"""),"Business to Consumer, Business to Business")</f>
        <v/>
      </c>
      <c r="P134" s="1">
        <f>IFERROR(__xludf.DUMMYFUNCTION("""COMPUTED_VALUE"""),"Higher Education, Corporate Training, Lifelong learning/Adult education")</f>
        <v/>
      </c>
      <c r="Q134" s="1">
        <f>IFERROR(__xludf.DUMMYFUNCTION("""COMPUTED_VALUE"""),"Student interfacing")</f>
        <v/>
      </c>
      <c r="R134" s="1" t="n"/>
      <c r="S134" s="1" t="n"/>
      <c r="T134" s="1" t="n"/>
      <c r="U134" s="1">
        <f>IFERROR(__xludf.DUMMYFUNCTION("""COMPUTED_VALUE"""),"AI app")</f>
        <v/>
      </c>
      <c r="V134" s="1">
        <f>IFERROR(__xludf.DUMMYFUNCTION("""COMPUTED_VALUE"""),"For healing and resilience.")</f>
        <v/>
      </c>
      <c r="W134" s="1">
        <f>IFERROR(__xludf.DUMMYFUNCTION("""COMPUTED_VALUE"""),"Virtual 1-1 coaching")</f>
        <v/>
      </c>
      <c r="X134" s="1">
        <f>IFERROR(__xludf.DUMMYFUNCTION("""COMPUTED_VALUE"""),"Personal and professional development coaching")</f>
        <v/>
      </c>
      <c r="Y134" s="15">
        <f>IFERROR(__xludf.DUMMYFUNCTION("""COMPUTED_VALUE"""),"https://drive.google.com/uc?export=view&amp;id=151CotRLwUK6pHPzRr0mhHN_Ejw0uE0Ti")</f>
        <v/>
      </c>
      <c r="Z134" s="1">
        <f>IFERROR(__xludf.DUMMYFUNCTION("""COMPUTED_VALUE"""),"Unverified")</f>
        <v/>
      </c>
      <c r="AA134" s="1">
        <f>IFERROR(__xludf.DUMMYFUNCTION("""COMPUTED_VALUE"""),"Collaborations between EdTech organisations, Project consortium building, Public-private partnerships, Industry-academia partnerships")</f>
        <v/>
      </c>
      <c r="AB134" s="1">
        <f>IFERROR(__xludf.DUMMYFUNCTION("""COMPUTED_VALUE"""),"For-profit company")</f>
        <v/>
      </c>
      <c r="AC134" s="1">
        <f>IFERROR(__xludf.DUMMYFUNCTION("""COMPUTED_VALUE"""),TRUE)</f>
        <v/>
      </c>
      <c r="AD134" s="1" t="n"/>
      <c r="AE134" s="1" t="n"/>
    </row>
    <row r="135" ht="42" customHeight="1">
      <c r="A135" s="14">
        <f>IFERROR(__xludf.DUMMYFUNCTION("""COMPUTED_VALUE"""),45846)</f>
        <v/>
      </c>
      <c r="B135" s="1">
        <f>IFERROR(__xludf.DUMMYFUNCTION("""COMPUTED_VALUE"""),"ORG_1726")</f>
        <v/>
      </c>
      <c r="C135" s="1">
        <f>IFERROR(__xludf.DUMMYFUNCTION("""COMPUTED_VALUE"""),TRUE)</f>
        <v/>
      </c>
      <c r="D135" s="1">
        <f>IFERROR(__xludf.DUMMYFUNCTION("""COMPUTED_VALUE"""),"Inokufu")</f>
        <v/>
      </c>
      <c r="E135" s="15">
        <f>IFERROR(__xludf.DUMMYFUNCTION("""COMPUTED_VALUE"""),"https://www.inokufu.com/")</f>
        <v/>
      </c>
      <c r="F135" s="1">
        <f>IFERROR(__xludf.DUMMYFUNCTION("""COMPUTED_VALUE"""),"At Inokufu, we help organizations deliver personalized and effective training programs to upskill their talents. Using our proprietary technology, we curate and integrate millions of high-quality learning resources tailored to each learner’s goals, needs,"&amp;" and roles. Our solutions empower training teams to provide the right learning activities at the right time, enhancing productivity and fostering career growth. By leveraging AI and promoting seamless data integration, we create scalable, adaptive trainin"&amp;"g solutions that drive measurable results. Partner with us to unlock the full potential of your talents and build a future-ready workforce.")</f>
        <v/>
      </c>
      <c r="G135" s="1">
        <f>IFERROR(__xludf.DUMMYFUNCTION("""COMPUTED_VALUE"""),"AFINEF, EdTech France")</f>
        <v/>
      </c>
      <c r="H135" s="1">
        <f>IFERROR(__xludf.DUMMYFUNCTION("""COMPUTED_VALUE"""),"English, French")</f>
        <v/>
      </c>
      <c r="I135" s="1">
        <f>IFERROR(__xludf.DUMMYFUNCTION("""COMPUTED_VALUE"""),"contact@inokufu.com")</f>
        <v/>
      </c>
      <c r="J135" s="1">
        <f>IFERROR(__xludf.DUMMYFUNCTION("""COMPUTED_VALUE"""),"+33618667661")</f>
        <v/>
      </c>
      <c r="K135" s="1">
        <f>IFERROR(__xludf.DUMMYFUNCTION("""COMPUTED_VALUE"""),"Lyon")</f>
        <v/>
      </c>
      <c r="L135" s="1">
        <f>IFERROR(__xludf.DUMMYFUNCTION("""COMPUTED_VALUE"""),"France")</f>
        <v/>
      </c>
      <c r="M135" s="1">
        <f>IFERROR(__xludf.DUMMYFUNCTION("""COMPUTED_VALUE"""),"France, Luxembourg, Belgium, Monaco, Switzerland")</f>
        <v/>
      </c>
      <c r="N135" s="1">
        <f>IFERROR(__xludf.DUMMYFUNCTION("""COMPUTED_VALUE"""),"Small (10-49 FTE employees)")</f>
        <v/>
      </c>
      <c r="O135" s="1">
        <f>IFERROR(__xludf.DUMMYFUNCTION("""COMPUTED_VALUE"""),"Business to Business, Business to Schools")</f>
        <v/>
      </c>
      <c r="P135" s="1">
        <f>IFERROR(__xludf.DUMMYFUNCTION("""COMPUTED_VALUE"""),"Corporate Training, Lifelong learning/Adult education, Higher Education, Vocational Education and Training (VET)")</f>
        <v/>
      </c>
      <c r="Q135" s="1">
        <f>IFERROR(__xludf.DUMMYFUNCTION("""COMPUTED_VALUE"""),"Student interfacing, Teacher interfacing, System/Administrative")</f>
        <v/>
      </c>
      <c r="R135" s="1" t="n"/>
      <c r="S135" s="1" t="n"/>
      <c r="T135" s="15">
        <f>IFERROR(__xludf.DUMMYFUNCTION("""COMPUTED_VALUE"""),"https://www.linkedin.com/company/inokufu/")</f>
        <v/>
      </c>
      <c r="U135" s="1">
        <f>IFERROR(__xludf.DUMMYFUNCTION("""COMPUTED_VALUE"""),"Totara LMS + LXP + TMS")</f>
        <v/>
      </c>
      <c r="V135" s="1">
        <f>IFERROR(__xludf.DUMMYFUNCTION("""COMPUTED_VALUE"""),"Inokufu is a partner of Totara, a fully customizable solution designed for businesses that combines a Learning Management System (LMS), a Learning Experience Platform (LXP), and a Talent Management Solution (TMS). Inokufu supports organizations from custo"&amp;"m implementation to ongoing support.")</f>
        <v/>
      </c>
      <c r="W135" s="1">
        <f>IFERROR(__xludf.DUMMYFUNCTION("""COMPUTED_VALUE"""),"Learning Objects API")</f>
        <v/>
      </c>
      <c r="X135" s="1">
        <f>IFERROR(__xludf.DUMMYFUNCTION("""COMPUTED_VALUE"""),"The Learning Objects API is a search engine based on our research in NLP and our expertise in the edtech ecosystem. It provides access to a database of over 5 million educational resources. The API can be integrated into various environments (LMS, authori"&amp;"ng tools, AI Chatbot).")</f>
        <v/>
      </c>
      <c r="Y135" s="15">
        <f>IFERROR(__xludf.DUMMYFUNCTION("""COMPUTED_VALUE"""),"https://drive.google.com/uc?export=view&amp;id=1rdcHG-U7xI7377px4SMmXQmfmoFO6UyL")</f>
        <v/>
      </c>
      <c r="Z135" s="1">
        <f>IFERROR(__xludf.DUMMYFUNCTION("""COMPUTED_VALUE"""),"Unverified")</f>
        <v/>
      </c>
      <c r="AA135" s="1">
        <f>IFERROR(__xludf.DUMMYFUNCTION("""COMPUTED_VALUE"""),"Collaborations between EdTech organisations, Project consortium building, Public-private partnerships")</f>
        <v/>
      </c>
      <c r="AB135" s="1">
        <f>IFERROR(__xludf.DUMMYFUNCTION("""COMPUTED_VALUE"""),"For-profit company")</f>
        <v/>
      </c>
      <c r="AC135" s="1">
        <f>IFERROR(__xludf.DUMMYFUNCTION("""COMPUTED_VALUE"""),TRUE)</f>
        <v/>
      </c>
      <c r="AD135" s="1">
        <f>IFERROR(__xludf.DUMMYFUNCTION("""COMPUTED_VALUE"""),TRUE)</f>
        <v/>
      </c>
      <c r="AE135" s="1" t="n"/>
    </row>
    <row r="136" ht="42" customHeight="1">
      <c r="A136" s="14">
        <f>IFERROR(__xludf.DUMMYFUNCTION("""COMPUTED_VALUE"""),45845)</f>
        <v/>
      </c>
      <c r="B136" s="1">
        <f>IFERROR(__xludf.DUMMYFUNCTION("""COMPUTED_VALUE"""),"ORG_2271")</f>
        <v/>
      </c>
      <c r="C136" s="1">
        <f>IFERROR(__xludf.DUMMYFUNCTION("""COMPUTED_VALUE"""),TRUE)</f>
        <v/>
      </c>
      <c r="D136" s="1">
        <f>IFERROR(__xludf.DUMMYFUNCTION("""COMPUTED_VALUE"""),"Skoltavlan")</f>
        <v/>
      </c>
      <c r="E136" s="15">
        <f>IFERROR(__xludf.DUMMYFUNCTION("""COMPUTED_VALUE"""),"wwwskoltavlan.nu")</f>
        <v/>
      </c>
      <c r="F136" s="1">
        <f>IFERROR(__xludf.DUMMYFUNCTION("""COMPUTED_VALUE"""),"Skoltavlan is a platform with interactive teaching materials for students in special education, preschool classes, primary school students in need of special support, as well as newly arrived students. Skoltavlan is developed based on current curricula, a"&amp;"nd the exercises can be used individually for skills training or in groups to encourage discussion and collaboration. You can also adapt and create your own materials.")</f>
        <v/>
      </c>
      <c r="G136" s="1">
        <f>IFERROR(__xludf.DUMMYFUNCTION("""COMPUTED_VALUE"""),"Swedish EdTech Industry")</f>
        <v/>
      </c>
      <c r="H136" s="1">
        <f>IFERROR(__xludf.DUMMYFUNCTION("""COMPUTED_VALUE"""),"Swedish")</f>
        <v/>
      </c>
      <c r="I136" s="1">
        <f>IFERROR(__xludf.DUMMYFUNCTION("""COMPUTED_VALUE"""),"info@laramera.se")</f>
        <v/>
      </c>
      <c r="J136" s="1">
        <f>IFERROR(__xludf.DUMMYFUNCTION("""COMPUTED_VALUE"""),"+33733450981")</f>
        <v/>
      </c>
      <c r="K136" s="1">
        <f>IFERROR(__xludf.DUMMYFUNCTION("""COMPUTED_VALUE"""),"Sverige")</f>
        <v/>
      </c>
      <c r="L136" s="1">
        <f>IFERROR(__xludf.DUMMYFUNCTION("""COMPUTED_VALUE"""),"Sweden")</f>
        <v/>
      </c>
      <c r="M136" s="1">
        <f>IFERROR(__xludf.DUMMYFUNCTION("""COMPUTED_VALUE"""),"Sweden")</f>
        <v/>
      </c>
      <c r="N136" s="1">
        <f>IFERROR(__xludf.DUMMYFUNCTION("""COMPUTED_VALUE"""),"Micro (1-9 FTE employees)")</f>
        <v/>
      </c>
      <c r="O136" s="1">
        <f>IFERROR(__xludf.DUMMYFUNCTION("""COMPUTED_VALUE"""),"Business to Schools")</f>
        <v/>
      </c>
      <c r="P136" s="1">
        <f>IFERROR(__xludf.DUMMYFUNCTION("""COMPUTED_VALUE"""),"Special Education")</f>
        <v/>
      </c>
      <c r="Q136" s="1">
        <f>IFERROR(__xludf.DUMMYFUNCTION("""COMPUTED_VALUE"""),"Student interfacing")</f>
        <v/>
      </c>
      <c r="R136" s="15">
        <f>IFERROR(__xludf.DUMMYFUNCTION("""COMPUTED_VALUE"""),"https://www.instagram.com/skoltavlan/")</f>
        <v/>
      </c>
      <c r="S136" s="1" t="n"/>
      <c r="T136" s="15">
        <f>IFERROR(__xludf.DUMMYFUNCTION("""COMPUTED_VALUE"""),"https://www.linkedin.com/showcase/skoltavlan")</f>
        <v/>
      </c>
      <c r="U136" s="1">
        <f>IFERROR(__xludf.DUMMYFUNCTION("""COMPUTED_VALUE"""),"Skoltavlan")</f>
        <v/>
      </c>
      <c r="V136" s="1">
        <f>IFERROR(__xludf.DUMMYFUNCTION("""COMPUTED_VALUE"""),"Skoltavlan is a platform with interactive teaching materials for students in special education, preschool classes, primary school students.")</f>
        <v/>
      </c>
      <c r="W136" s="1" t="n"/>
      <c r="X136" s="1" t="n"/>
      <c r="Y136" s="15">
        <f>IFERROR(__xludf.DUMMYFUNCTION("""COMPUTED_VALUE"""),"https://drive.google.com/uc?export=view&amp;id=1T-uX_D7vbGqPstxVZ2RiVPronZFMzlm4")</f>
        <v/>
      </c>
      <c r="Z136" s="1">
        <f>IFERROR(__xludf.DUMMYFUNCTION("""COMPUTED_VALUE"""),"Unverified")</f>
        <v/>
      </c>
      <c r="AA136" s="1">
        <f>IFERROR(__xludf.DUMMYFUNCTION("""COMPUTED_VALUE"""),"Collaborations between EdTech organisations, Other")</f>
        <v/>
      </c>
      <c r="AB136" s="1">
        <f>IFERROR(__xludf.DUMMYFUNCTION("""COMPUTED_VALUE"""),"For-profit company")</f>
        <v/>
      </c>
      <c r="AC136" s="1">
        <f>IFERROR(__xludf.DUMMYFUNCTION("""COMPUTED_VALUE"""),TRUE)</f>
        <v/>
      </c>
      <c r="AD136" s="1">
        <f>IFERROR(__xludf.DUMMYFUNCTION("""COMPUTED_VALUE"""),TRUE)</f>
        <v/>
      </c>
      <c r="AE136" s="15">
        <f>IFERROR(__xludf.DUMMYFUNCTION("""COMPUTED_VALUE"""),"https://www.facebook.com/skoltavlan")</f>
        <v/>
      </c>
    </row>
    <row r="137" ht="42" customHeight="1">
      <c r="A137" s="14">
        <f>IFERROR(__xludf.DUMMYFUNCTION("""COMPUTED_VALUE"""),45845)</f>
        <v/>
      </c>
      <c r="B137" s="1">
        <f>IFERROR(__xludf.DUMMYFUNCTION("""COMPUTED_VALUE"""),"ORG_1223")</f>
        <v/>
      </c>
      <c r="C137" s="1">
        <f>IFERROR(__xludf.DUMMYFUNCTION("""COMPUTED_VALUE"""),TRUE)</f>
        <v/>
      </c>
      <c r="D137" s="1">
        <f>IFERROR(__xludf.DUMMYFUNCTION("""COMPUTED_VALUE"""),"Catwise")</f>
        <v/>
      </c>
      <c r="E137" s="15">
        <f>IFERROR(__xludf.DUMMYFUNCTION("""COMPUTED_VALUE"""),"www.catwise.com")</f>
        <v/>
      </c>
      <c r="F137" s="1">
        <f>IFERROR(__xludf.DUMMYFUNCTION("""COMPUTED_VALUE"""),"Catwise contributes to education where students take control of their development, are allowed to make mistakes and experience less numerical pressure to perform. Education where students learn to reflect and leave school with self-knowledge and self-conf"&amp;"idence. OUR SERVICES Student discussion Targeted feedback, fewer meetings, it's the student's turn. Catwise Student Discussion is a unique methodology for effective student guidance. Portfolio Insight into development, learning to reflect, ready for the f"&amp;"uture. Catwise Portfolio provides a clear overview of all developments surrounding CEG, citizenship education, activities and internships. Learning objectives Curriculum design for your class groups, including planning learning objectives with success cri"&amp;"teria, adding practice materials and tracking progress by both student and teacher. Training Trainings that are rated by teachers with an 8.8. Don't expect lectures, roll up your sleeves! Accompaniment All our advisors have been in the classroom and speak"&amp;" the language of education. We work informally and do not provide a customer number, but our 06 number.")</f>
        <v/>
      </c>
      <c r="G137" s="1">
        <f>IFERROR(__xludf.DUMMYFUNCTION("""COMPUTED_VALUE"""),"Dutch EdTech")</f>
        <v/>
      </c>
      <c r="H137" s="1">
        <f>IFERROR(__xludf.DUMMYFUNCTION("""COMPUTED_VALUE"""),"English, Dutch")</f>
        <v/>
      </c>
      <c r="I137" s="1">
        <f>IFERROR(__xludf.DUMMYFUNCTION("""COMPUTED_VALUE"""),"info@catwise.nl")</f>
        <v/>
      </c>
      <c r="J137" s="1">
        <f>IFERROR(__xludf.DUMMYFUNCTION("""COMPUTED_VALUE"""),"+31614747865")</f>
        <v/>
      </c>
      <c r="K137" s="1">
        <f>IFERROR(__xludf.DUMMYFUNCTION("""COMPUTED_VALUE"""),"Utrecht")</f>
        <v/>
      </c>
      <c r="L137" s="1">
        <f>IFERROR(__xludf.DUMMYFUNCTION("""COMPUTED_VALUE"""),"The Netherlands")</f>
        <v/>
      </c>
      <c r="M137" s="1">
        <f>IFERROR(__xludf.DUMMYFUNCTION("""COMPUTED_VALUE"""),"Netherlands")</f>
        <v/>
      </c>
      <c r="N137" s="1">
        <f>IFERROR(__xludf.DUMMYFUNCTION("""COMPUTED_VALUE"""),"Small (10-49 FTE employees)")</f>
        <v/>
      </c>
      <c r="O137" s="1">
        <f>IFERROR(__xludf.DUMMYFUNCTION("""COMPUTED_VALUE"""),"Business to Schools")</f>
        <v/>
      </c>
      <c r="P137" s="1">
        <f>IFERROR(__xludf.DUMMYFUNCTION("""COMPUTED_VALUE"""),"Secondary Education, Higher Education")</f>
        <v/>
      </c>
      <c r="Q137" s="1">
        <f>IFERROR(__xludf.DUMMYFUNCTION("""COMPUTED_VALUE"""),"Student interfacing, Teacher interfacing, System/Administrative")</f>
        <v/>
      </c>
      <c r="R137" s="1" t="n"/>
      <c r="S137" s="1" t="n"/>
      <c r="T137" s="15">
        <f>IFERROR(__xludf.DUMMYFUNCTION("""COMPUTED_VALUE"""),"https://www.linkedin.com/company/catwise")</f>
        <v/>
      </c>
      <c r="U137" s="1">
        <f>IFERROR(__xludf.DUMMYFUNCTION("""COMPUTED_VALUE"""),"Catwise")</f>
        <v/>
      </c>
      <c r="V137" s="1">
        <f>IFERROR(__xludf.DUMMYFUNCTION("""COMPUTED_VALUE"""),"Catwise (formerly Leerlingbespreking.nl) contributes to education where students take control of their development, are allowed to make mistakes and experience less numerical pressure to perform. Education where students learn to reflect and leave school "&amp;"with self-knowledge and self-confidence.
OUR")</f>
        <v/>
      </c>
      <c r="W137" s="1" t="n"/>
      <c r="X137" s="1" t="n"/>
      <c r="Y137" s="15">
        <f>IFERROR(__xludf.DUMMYFUNCTION("""COMPUTED_VALUE"""),"https://drive.google.com/uc?export=view&amp;id=1QPWmAK34ATuMRnhEhDPfWpWR8DDRZA68")</f>
        <v/>
      </c>
      <c r="Z137" s="1">
        <f>IFERROR(__xludf.DUMMYFUNCTION("""COMPUTED_VALUE"""),"Unverified")</f>
        <v/>
      </c>
      <c r="AA137" s="1">
        <f>IFERROR(__xludf.DUMMYFUNCTION("""COMPUTED_VALUE"""),"Collaborations between EdTech organisations")</f>
        <v/>
      </c>
      <c r="AB137" s="1">
        <f>IFERROR(__xludf.DUMMYFUNCTION("""COMPUTED_VALUE"""),"For-profit company")</f>
        <v/>
      </c>
      <c r="AC137" s="1">
        <f>IFERROR(__xludf.DUMMYFUNCTION("""COMPUTED_VALUE"""),TRUE)</f>
        <v/>
      </c>
      <c r="AD137" s="1">
        <f>IFERROR(__xludf.DUMMYFUNCTION("""COMPUTED_VALUE"""),TRUE)</f>
        <v/>
      </c>
      <c r="AE137" s="1" t="n"/>
    </row>
    <row r="138" ht="42" customHeight="1">
      <c r="A138" s="14">
        <f>IFERROR(__xludf.DUMMYFUNCTION("""COMPUTED_VALUE"""),45845)</f>
        <v/>
      </c>
      <c r="B138" s="1">
        <f>IFERROR(__xludf.DUMMYFUNCTION("""COMPUTED_VALUE"""),"ORG_2591")</f>
        <v/>
      </c>
      <c r="C138" s="1">
        <f>IFERROR(__xludf.DUMMYFUNCTION("""COMPUTED_VALUE"""),TRUE)</f>
        <v/>
      </c>
      <c r="D138" s="1">
        <f>IFERROR(__xludf.DUMMYFUNCTION("""COMPUTED_VALUE"""),"CASES")</f>
        <v/>
      </c>
      <c r="E138" s="15">
        <f>IFERROR(__xludf.DUMMYFUNCTION("""COMPUTED_VALUE"""),"https://cases.media")</f>
        <v/>
      </c>
      <c r="F138" s="1">
        <f>IFERROR(__xludf.DUMMYFUNCTION("""COMPUTED_VALUE"""),"CASES is a professional super app for the creative industries that combines online education, career development, and community tools in one platform. We offer a comprehensive learning ecosystem with courses, webinars, workshops, and learning paths tailor"&amp;"ed for designers, marketers, and content creators.")</f>
        <v/>
      </c>
      <c r="G138" s="1">
        <f>IFERROR(__xludf.DUMMYFUNCTION("""COMPUTED_VALUE"""),"I'm not part of any EdTech association")</f>
        <v/>
      </c>
      <c r="H138" s="1">
        <f>IFERROR(__xludf.DUMMYFUNCTION("""COMPUTED_VALUE"""),"English, Ukrainian")</f>
        <v/>
      </c>
      <c r="I138" s="1">
        <f>IFERROR(__xludf.DUMMYFUNCTION("""COMPUTED_VALUE"""),"team@cases.media")</f>
        <v/>
      </c>
      <c r="J138" s="1">
        <f>IFERROR(__xludf.DUMMYFUNCTION("""COMPUTED_VALUE"""),"+380687020182")</f>
        <v/>
      </c>
      <c r="K138" s="1">
        <f>IFERROR(__xludf.DUMMYFUNCTION("""COMPUTED_VALUE"""),"Kyiv")</f>
        <v/>
      </c>
      <c r="L138" s="1">
        <f>IFERROR(__xludf.DUMMYFUNCTION("""COMPUTED_VALUE"""),"Ukraine")</f>
        <v/>
      </c>
      <c r="M138" s="1">
        <f>IFERROR(__xludf.DUMMYFUNCTION("""COMPUTED_VALUE"""),"Ukraine")</f>
        <v/>
      </c>
      <c r="N138" s="1">
        <f>IFERROR(__xludf.DUMMYFUNCTION("""COMPUTED_VALUE"""),"Small (10-49 FTE employees)")</f>
        <v/>
      </c>
      <c r="O138" s="1">
        <f>IFERROR(__xludf.DUMMYFUNCTION("""COMPUTED_VALUE"""),"Business to Business, Business to Consumer")</f>
        <v/>
      </c>
      <c r="P138" s="1">
        <f>IFERROR(__xludf.DUMMYFUNCTION("""COMPUTED_VALUE"""),"Corporate Training, Lifelong learning/Adult education, Special Education")</f>
        <v/>
      </c>
      <c r="Q138" s="1">
        <f>IFERROR(__xludf.DUMMYFUNCTION("""COMPUTED_VALUE"""),"Student interfacing, Teacher interfacing, System/Administrative, Other")</f>
        <v/>
      </c>
      <c r="R138" s="1" t="n"/>
      <c r="S138" s="1" t="n"/>
      <c r="T138" s="15">
        <f>IFERROR(__xludf.DUMMYFUNCTION("""COMPUTED_VALUE"""),"https://www.linkedin.com/company/cases-media/")</f>
        <v/>
      </c>
      <c r="U138" s="1">
        <f>IFERROR(__xludf.DUMMYFUNCTION("""COMPUTED_VALUE"""),"Super App for Creative Education and Careers")</f>
        <v/>
      </c>
      <c r="V138" s="1">
        <f>IFERROR(__xludf.DUMMYFUNCTION("""COMPUTED_VALUE"""),"CASES is a professional platform that unites online learning, career tools, and a creative community in one place. It offers courses, webinars, and workshops tailored for designers, marketers, and content creators, helping users gain skills, build portfol"&amp;"ios, and connect with job opportunities.")</f>
        <v/>
      </c>
      <c r="W138" s="1" t="n"/>
      <c r="X138" s="1" t="n"/>
      <c r="Y138" s="15">
        <f>IFERROR(__xludf.DUMMYFUNCTION("""COMPUTED_VALUE"""),"https://drive.google.com/uc?export=view&amp;id=1CoxN7dVygrQI9IcXWJo2unPNl6ykmJwE")</f>
        <v/>
      </c>
      <c r="Z138" s="1">
        <f>IFERROR(__xludf.DUMMYFUNCTION("""COMPUTED_VALUE"""),"Unverified")</f>
        <v/>
      </c>
      <c r="AA138" s="1">
        <f>IFERROR(__xludf.DUMMYFUNCTION("""COMPUTED_VALUE"""),"Collaborations between EdTech organisations, Project consortium building, Public-private partnerships, Industry-academia partnerships")</f>
        <v/>
      </c>
      <c r="AB138" s="1">
        <f>IFERROR(__xludf.DUMMYFUNCTION("""COMPUTED_VALUE"""),"For-profit company")</f>
        <v/>
      </c>
      <c r="AC138" s="1">
        <f>IFERROR(__xludf.DUMMYFUNCTION("""COMPUTED_VALUE"""),TRUE)</f>
        <v/>
      </c>
      <c r="AD138" s="1">
        <f>IFERROR(__xludf.DUMMYFUNCTION("""COMPUTED_VALUE"""),TRUE)</f>
        <v/>
      </c>
      <c r="AE138" s="1" t="n"/>
    </row>
    <row r="139" ht="42" customHeight="1">
      <c r="A139" s="14">
        <f>IFERROR(__xludf.DUMMYFUNCTION("""COMPUTED_VALUE"""),45845)</f>
        <v/>
      </c>
      <c r="B139" s="1">
        <f>IFERROR(__xludf.DUMMYFUNCTION("""COMPUTED_VALUE"""),"ORG_1012")</f>
        <v/>
      </c>
      <c r="C139" s="1">
        <f>IFERROR(__xludf.DUMMYFUNCTION("""COMPUTED_VALUE"""),TRUE)</f>
        <v/>
      </c>
      <c r="D139" s="1">
        <f>IFERROR(__xludf.DUMMYFUNCTION("""COMPUTED_VALUE"""),"3ipunt")</f>
        <v/>
      </c>
      <c r="E139" s="15">
        <f>IFERROR(__xludf.DUMMYFUNCTION("""COMPUTED_VALUE"""),"www.tresipunt.com")</f>
        <v/>
      </c>
      <c r="F139" s="1">
        <f>IFERROR(__xludf.DUMMYFUNCTION("""COMPUTED_VALUE"""),"We are official Premium Partners of Moodle, members of the 1EdTech™ Consortium and partners of AWS (Amazon Web Services), as well as members of CatPL and the EdutechCluster. We are specialized in offering personalized solutions in information and communic"&amp;"ation technologies with high added value, reasonable cost, and close and accessible treatment.")</f>
        <v/>
      </c>
      <c r="G139" s="1">
        <f>IFERROR(__xludf.DUMMYFUNCTION("""COMPUTED_VALUE"""),"EduTech Cluster Spain")</f>
        <v/>
      </c>
      <c r="H139" s="1" t="n"/>
      <c r="I139" s="1">
        <f>IFERROR(__xludf.DUMMYFUNCTION("""COMPUTED_VALUE"""),"josep@tresipunt.com")</f>
        <v/>
      </c>
      <c r="J139" s="1">
        <f>IFERROR(__xludf.DUMMYFUNCTION("""COMPUTED_VALUE"""),"+34602253941")</f>
        <v/>
      </c>
      <c r="K139" s="1">
        <f>IFERROR(__xludf.DUMMYFUNCTION("""COMPUTED_VALUE"""),"Barcelona")</f>
        <v/>
      </c>
      <c r="L139" s="1">
        <f>IFERROR(__xludf.DUMMYFUNCTION("""COMPUTED_VALUE"""),"Spain")</f>
        <v/>
      </c>
      <c r="M139" s="1">
        <f>IFERROR(__xludf.DUMMYFUNCTION("""COMPUTED_VALUE"""),"United Kingdom, Ukraine, Sweden, Switzerland, Turkey, Spain, Slovenia, Slovakia, Portugal, Romania, San Marino, Poland, Norway, North Macedonia, Monaco, Montenegro, Netherlands, Moldova, Malta, Luxembourg, Latvia, Liechtenstein, Lithuania, Kosovo, Italy, "&amp;"Ireland, Greece, Hungary, Iceland, Germany, France, Finland, Czechia, Denmark, Estonia, Republic of Cyprus, Croatia, Bulgaria, Belarus, Belgium, Bosnia and Herzegovina, Austria, Andorra, Albania")</f>
        <v/>
      </c>
      <c r="N139" s="1">
        <f>IFERROR(__xludf.DUMMYFUNCTION("""COMPUTED_VALUE"""),"Medium (50-250 FTE employees)")</f>
        <v/>
      </c>
      <c r="O139" s="1">
        <f>IFERROR(__xludf.DUMMYFUNCTION("""COMPUTED_VALUE"""),"Business to Business, Business to Government, Business to Schools")</f>
        <v/>
      </c>
      <c r="P139" s="1">
        <f>IFERROR(__xludf.DUMMYFUNCTION("""COMPUTED_VALUE"""),"Vocational Education and Training (VET), Higher Education, Corporate Training, Lifelong learning/Adult education, Secondary Education, Other")</f>
        <v/>
      </c>
      <c r="Q139" s="1">
        <f>IFERROR(__xludf.DUMMYFUNCTION("""COMPUTED_VALUE"""),"Student interfacing, Teacher interfacing, System/Administrative, Other")</f>
        <v/>
      </c>
      <c r="R139" s="1" t="n"/>
      <c r="S139" s="1" t="n"/>
      <c r="T139" s="15">
        <f>IFERROR(__xludf.DUMMYFUNCTION("""COMPUTED_VALUE"""),"https://www.linkedin.com/company/tresipunt")</f>
        <v/>
      </c>
      <c r="U139" s="1">
        <f>IFERROR(__xludf.DUMMYFUNCTION("""COMPUTED_VALUE"""),"Moodle LMS")</f>
        <v/>
      </c>
      <c r="V139" s="1">
        <f>IFERROR(__xludf.DUMMYFUNCTION("""COMPUTED_VALUE"""),"The most known and used LMS Platform worldwide")</f>
        <v/>
      </c>
      <c r="W139" s="1">
        <f>IFERROR(__xludf.DUMMYFUNCTION("""COMPUTED_VALUE"""),"Moodle Workplace")</f>
        <v/>
      </c>
      <c r="X139" s="1">
        <f>IFERROR(__xludf.DUMMYFUNCTION("""COMPUTED_VALUE"""),"The best in class Moodle platform for businesses, universities and organizations")</f>
        <v/>
      </c>
      <c r="Y139" s="15">
        <f>IFERROR(__xludf.DUMMYFUNCTION("""COMPUTED_VALUE"""),"https://drive.google.com/uc?export=view&amp;id=1fbl4Z7zEurlOTJGg_E1vzY_IFz5uHa7u")</f>
        <v/>
      </c>
      <c r="Z139" s="1">
        <f>IFERROR(__xludf.DUMMYFUNCTION("""COMPUTED_VALUE"""),"Unverified")</f>
        <v/>
      </c>
      <c r="AA139" s="1">
        <f>IFERROR(__xludf.DUMMYFUNCTION("""COMPUTED_VALUE"""),"Collaborations between EdTech organisations, Project consortium building, Public-private partnerships")</f>
        <v/>
      </c>
      <c r="AB139" s="1">
        <f>IFERROR(__xludf.DUMMYFUNCTION("""COMPUTED_VALUE"""),"For-profit company")</f>
        <v/>
      </c>
      <c r="AC139" s="1">
        <f>IFERROR(__xludf.DUMMYFUNCTION("""COMPUTED_VALUE"""),TRUE)</f>
        <v/>
      </c>
      <c r="AD139" s="1">
        <f>IFERROR(__xludf.DUMMYFUNCTION("""COMPUTED_VALUE"""),TRUE)</f>
        <v/>
      </c>
      <c r="AE139" s="1" t="n"/>
    </row>
    <row r="140" ht="42" customHeight="1">
      <c r="A140" s="14">
        <f>IFERROR(__xludf.DUMMYFUNCTION("""COMPUTED_VALUE"""),45845)</f>
        <v/>
      </c>
      <c r="B140" s="1">
        <f>IFERROR(__xludf.DUMMYFUNCTION("""COMPUTED_VALUE"""),"ORG_2117")</f>
        <v/>
      </c>
      <c r="C140" s="1">
        <f>IFERROR(__xludf.DUMMYFUNCTION("""COMPUTED_VALUE"""),TRUE)</f>
        <v/>
      </c>
      <c r="D140" s="1">
        <f>IFERROR(__xludf.DUMMYFUNCTION("""COMPUTED_VALUE"""),"Polycular GmbH")</f>
        <v/>
      </c>
      <c r="E140" s="15">
        <f>IFERROR(__xludf.DUMMYFUNCTION("""COMPUTED_VALUE"""),"https://www.polycular.com/")</f>
        <v/>
      </c>
      <c r="F140" s="1">
        <f>IFERROR(__xludf.DUMMYFUNCTION("""COMPUTED_VALUE"""),"At Polycular, our mission is central: to make profound topics tangible through experiences and games. As an award-winning XR studio, we blend playful approaches with narrative depth and interactive experiences. Our creations - from games to XR experiences"&amp;" - aim to leave lasting impressions in education and training.")</f>
        <v/>
      </c>
      <c r="G140" s="1">
        <f>IFERROR(__xludf.DUMMYFUNCTION("""COMPUTED_VALUE"""),"EdTech Austria")</f>
        <v/>
      </c>
      <c r="H140" s="1">
        <f>IFERROR(__xludf.DUMMYFUNCTION("""COMPUTED_VALUE"""),"English, French, German, Italian, Dutch, Portuguese, Romanian, Hungarian")</f>
        <v/>
      </c>
      <c r="I140" s="1">
        <f>IFERROR(__xludf.DUMMYFUNCTION("""COMPUTED_VALUE"""),"info@polycular.com")</f>
        <v/>
      </c>
      <c r="J140" s="1">
        <f>IFERROR(__xludf.DUMMYFUNCTION("""COMPUTED_VALUE"""),"+436763519797")</f>
        <v/>
      </c>
      <c r="K140" s="1">
        <f>IFERROR(__xludf.DUMMYFUNCTION("""COMPUTED_VALUE"""),"Hallein")</f>
        <v/>
      </c>
      <c r="L140" s="1">
        <f>IFERROR(__xludf.DUMMYFUNCTION("""COMPUTED_VALUE"""),"Austria")</f>
        <v/>
      </c>
      <c r="M140" s="1">
        <f>IFERROR(__xludf.DUMMYFUNCTION("""COMPUTED_VALUE"""),"Austria, Germany, Italy, France, Switzerland, Romania, Netherlands, Denmark, Portugal, Hungary")</f>
        <v/>
      </c>
      <c r="N140" s="1">
        <f>IFERROR(__xludf.DUMMYFUNCTION("""COMPUTED_VALUE"""),"Micro (1-9 FTE employees)")</f>
        <v/>
      </c>
      <c r="O140" s="1">
        <f>IFERROR(__xludf.DUMMYFUNCTION("""COMPUTED_VALUE"""),"Business to Business, Business to Government, Business to Schools")</f>
        <v/>
      </c>
      <c r="P140" s="1">
        <f>IFERROR(__xludf.DUMMYFUNCTION("""COMPUTED_VALUE"""),"Secondary Education, Vocational Education and Training (VET), Corporate Training, Lifelong learning/Adult education")</f>
        <v/>
      </c>
      <c r="Q140" s="1">
        <f>IFERROR(__xludf.DUMMYFUNCTION("""COMPUTED_VALUE"""),"Student interfacing, Teacher interfacing")</f>
        <v/>
      </c>
      <c r="R140" s="1" t="n"/>
      <c r="S140" s="1" t="n"/>
      <c r="T140" s="15">
        <f>IFERROR(__xludf.DUMMYFUNCTION("""COMPUTED_VALUE"""),"https://www.linkedin.com/company/polycular")</f>
        <v/>
      </c>
      <c r="U140" s="1">
        <f>IFERROR(__xludf.DUMMYFUNCTION("""COMPUTED_VALUE"""),"Crew Together XR")</f>
        <v/>
      </c>
      <c r="V140" s="1">
        <f>IFERROR(__xludf.DUMMYFUNCTION("""COMPUTED_VALUE"""),"Crew Together XR is an immersive team development experience that combines the excitement of multiplayer escape missions with the power of Extended Reality. Guided by professional coaches, it helps teams strengthen communication, trust, and collaboration "&amp;"through interactive XR journeys.")</f>
        <v/>
      </c>
      <c r="W140" s="1">
        <f>IFERROR(__xludf.DUMMYFUNCTION("""COMPUTED_VALUE"""),"Escape Fake")</f>
        <v/>
      </c>
      <c r="X140" s="1">
        <f>IFERROR(__xludf.DUMMYFUNCTION("""COMPUTED_VALUE"""),"Escape Fake is an immersive media literacy experience that combines the thrill of AR escape gameplay with critical thinking challenges. Designed for schools and workshops, it helps participants uncover misinformation, sharpen digital skills, and navigate "&amp;"today’s complex media landscape.")</f>
        <v/>
      </c>
      <c r="Y140" s="15">
        <f>IFERROR(__xludf.DUMMYFUNCTION("""COMPUTED_VALUE"""),"https://drive.google.com/uc?export=view&amp;id=1GQS_qov5F8SYBniukGyJQp3JYUO17nK8")</f>
        <v/>
      </c>
      <c r="Z140" s="1">
        <f>IFERROR(__xludf.DUMMYFUNCTION("""COMPUTED_VALUE"""),"Unverified")</f>
        <v/>
      </c>
      <c r="AA140" s="1">
        <f>IFERROR(__xludf.DUMMYFUNCTION("""COMPUTED_VALUE"""),"Collaborations between EdTech organisations, Project consortium building, Public-private partnerships, Industry-academia partnerships")</f>
        <v/>
      </c>
      <c r="AB140" s="1">
        <f>IFERROR(__xludf.DUMMYFUNCTION("""COMPUTED_VALUE"""),"For-profit company")</f>
        <v/>
      </c>
      <c r="AC140" s="1">
        <f>IFERROR(__xludf.DUMMYFUNCTION("""COMPUTED_VALUE"""),TRUE)</f>
        <v/>
      </c>
      <c r="AD140" s="1">
        <f>IFERROR(__xludf.DUMMYFUNCTION("""COMPUTED_VALUE"""),TRUE)</f>
        <v/>
      </c>
      <c r="AE140" s="1" t="n"/>
    </row>
    <row r="141" ht="42" customHeight="1">
      <c r="A141" s="14">
        <f>IFERROR(__xludf.DUMMYFUNCTION("""COMPUTED_VALUE"""),45843)</f>
        <v/>
      </c>
      <c r="B141" s="1">
        <f>IFERROR(__xludf.DUMMYFUNCTION("""COMPUTED_VALUE"""),"ORG_1839")</f>
        <v/>
      </c>
      <c r="C141" s="1">
        <f>IFERROR(__xludf.DUMMYFUNCTION("""COMPUTED_VALUE"""),TRUE)</f>
        <v/>
      </c>
      <c r="D141" s="1">
        <f>IFERROR(__xludf.DUMMYFUNCTION("""COMPUTED_VALUE"""),"Learnlab")</f>
        <v/>
      </c>
      <c r="E141" s="15">
        <f>IFERROR(__xludf.DUMMYFUNCTION("""COMPUTED_VALUE"""),"learnlab.net")</f>
        <v/>
      </c>
      <c r="F141" s="1">
        <f>IFERROR(__xludf.DUMMYFUNCTION("""COMPUTED_VALUE"""),"Learnlab is a digital learning platform designed to enhance learning experiences. It promotes active learning, inclusion, collaboration and creativity - assisted by AI. The platform gives educators innovative digital tools to create immersive learning exp"&amp;"eriences that spark engagement and deepen understanding.")</f>
        <v/>
      </c>
      <c r="G141" s="1">
        <f>IFERROR(__xludf.DUMMYFUNCTION("""COMPUTED_VALUE"""),"I'm not part of any EdTech association")</f>
        <v/>
      </c>
      <c r="H141" s="1">
        <f>IFERROR(__xludf.DUMMYFUNCTION("""COMPUTED_VALUE"""),"English, Spanish, German, Italian")</f>
        <v/>
      </c>
      <c r="I141" s="1">
        <f>IFERROR(__xludf.DUMMYFUNCTION("""COMPUTED_VALUE"""),"support@learnlab.net")</f>
        <v/>
      </c>
      <c r="J141" s="1">
        <f>IFERROR(__xludf.DUMMYFUNCTION("""COMPUTED_VALUE"""),"+4790785069")</f>
        <v/>
      </c>
      <c r="K141" s="1">
        <f>IFERROR(__xludf.DUMMYFUNCTION("""COMPUTED_VALUE"""),"Oslo")</f>
        <v/>
      </c>
      <c r="L141" s="1">
        <f>IFERROR(__xludf.DUMMYFUNCTION("""COMPUTED_VALUE"""),"Norway")</f>
        <v/>
      </c>
      <c r="M141" s="1">
        <f>IFERROR(__xludf.DUMMYFUNCTION("""COMPUTED_VALUE"""),"Bulgaria, Sweden, Ukraine, Denmark, Norway, Romania, United Kingdom, Germany, Lithuania")</f>
        <v/>
      </c>
      <c r="N141" s="1">
        <f>IFERROR(__xludf.DUMMYFUNCTION("""COMPUTED_VALUE"""),"Medium (50-250 FTE employees)")</f>
        <v/>
      </c>
      <c r="O141" s="1">
        <f>IFERROR(__xludf.DUMMYFUNCTION("""COMPUTED_VALUE"""),"Business to Business, Business to Consumer, Business to Government, Business to Schools")</f>
        <v/>
      </c>
      <c r="P141" s="1">
        <f>IFERROR(__xludf.DUMMYFUNCTION("""COMPUTED_VALUE"""),"Primary Education, Secondary Education, Vocational Education and Training (VET), Higher Education, Corporate Training, Special Education")</f>
        <v/>
      </c>
      <c r="Q141" s="1">
        <f>IFERROR(__xludf.DUMMYFUNCTION("""COMPUTED_VALUE"""),"Student interfacing, Teacher interfacing, System/Administrative")</f>
        <v/>
      </c>
      <c r="R141" s="1" t="n"/>
      <c r="S141" s="1" t="n"/>
      <c r="T141" s="15">
        <f>IFERROR(__xludf.DUMMYFUNCTION("""COMPUTED_VALUE"""),"https://www.linkedin.com/company/17944144")</f>
        <v/>
      </c>
      <c r="U141" s="1">
        <f>IFERROR(__xludf.DUMMYFUNCTION("""COMPUTED_VALUE"""),"Learnlab toolbox")</f>
        <v/>
      </c>
      <c r="V141" s="1">
        <f>IFERROR(__xludf.DUMMYFUNCTION("""COMPUTED_VALUE"""),"10 tools for presenting, mindmaps, collective learning and AI feedback")</f>
        <v/>
      </c>
      <c r="W141" s="1" t="n"/>
      <c r="X141" s="1" t="n"/>
      <c r="Y141" s="15">
        <f>IFERROR(__xludf.DUMMYFUNCTION("""COMPUTED_VALUE"""),"https://drive.google.com/uc?export=view&amp;id=1_ICx_y-PM3l1hmd-AdIzAExoL-WdR8f7")</f>
        <v/>
      </c>
      <c r="Z141" s="1">
        <f>IFERROR(__xludf.DUMMYFUNCTION("""COMPUTED_VALUE"""),"Unverified")</f>
        <v/>
      </c>
      <c r="AA141" s="1">
        <f>IFERROR(__xludf.DUMMYFUNCTION("""COMPUTED_VALUE"""),"Collaborations between EdTech organisations, Project consortium building, Public-private partnerships, Industry-academia partnerships")</f>
        <v/>
      </c>
      <c r="AB141" s="1">
        <f>IFERROR(__xludf.DUMMYFUNCTION("""COMPUTED_VALUE"""),"For-profit company")</f>
        <v/>
      </c>
      <c r="AC141" s="1">
        <f>IFERROR(__xludf.DUMMYFUNCTION("""COMPUTED_VALUE"""),TRUE)</f>
        <v/>
      </c>
      <c r="AD141" s="1">
        <f>IFERROR(__xludf.DUMMYFUNCTION("""COMPUTED_VALUE"""),TRUE)</f>
        <v/>
      </c>
      <c r="AE141" s="15">
        <f>IFERROR(__xludf.DUMMYFUNCTION("""COMPUTED_VALUE"""),"https://www.facebook.com/learnlab1")</f>
        <v/>
      </c>
    </row>
    <row r="142" ht="42" customHeight="1">
      <c r="A142" s="14">
        <f>IFERROR(__xludf.DUMMYFUNCTION("""COMPUTED_VALUE"""),45842)</f>
        <v/>
      </c>
      <c r="B142" s="1">
        <f>IFERROR(__xludf.DUMMYFUNCTION("""COMPUTED_VALUE"""),"ORG_2590")</f>
        <v/>
      </c>
      <c r="C142" s="1">
        <f>IFERROR(__xludf.DUMMYFUNCTION("""COMPUTED_VALUE"""),TRUE)</f>
        <v/>
      </c>
      <c r="D142" s="1">
        <f>IFERROR(__xludf.DUMMYFUNCTION("""COMPUTED_VALUE"""),"Deutschfuchs Gesellschaft für digitalen Unterricht mbH")</f>
        <v/>
      </c>
      <c r="E142" s="15">
        <f>IFERROR(__xludf.DUMMYFUNCTION("""COMPUTED_VALUE"""),"https://deutschfuchs.de/")</f>
        <v/>
      </c>
      <c r="F142" s="1">
        <f>IFERROR(__xludf.DUMMYFUNCTION("""COMPUTED_VALUE"""),"Deutschfuchs is the innovative learning platform for German as a foreign and second language as well as for targeted language support, from primary school to adulthood. It combines a modern Learning Management System (LMS) with a comprehensive digital tex"&amp;"tbook (from alphabetisation to B2) and thus offers an optimal basis for contemporary and practical German lessons. With translations into 28 languages of origin, numerous audio recordings and a wide range of exercises to promote the four core skills - rea"&amp;"ding, listening, writing and speaking - Deutschfuchs helps teachers to create differentiated lessons and respond specifically to the individual needs of learners. The platform is supplemented by extensive teaching material on regional topics and vocabular"&amp;"y work, which promotes sustainable learning success and intercultural understanding. Deutschfuchs offers content for all areas of education: from primary school through secondary school and vocational school to lifelong learning.")</f>
        <v/>
      </c>
      <c r="G142" s="1">
        <f>IFERROR(__xludf.DUMMYFUNCTION("""COMPUTED_VALUE"""),"EdTech-Verband e.V.")</f>
        <v/>
      </c>
      <c r="H142" s="1">
        <f>IFERROR(__xludf.DUMMYFUNCTION("""COMPUTED_VALUE"""),"German")</f>
        <v/>
      </c>
      <c r="I142" s="1">
        <f>IFERROR(__xludf.DUMMYFUNCTION("""COMPUTED_VALUE"""),"info@deutschfuchs.de")</f>
        <v/>
      </c>
      <c r="J142" s="1">
        <f>IFERROR(__xludf.DUMMYFUNCTION("""COMPUTED_VALUE"""),"+4922129249540")</f>
        <v/>
      </c>
      <c r="K142" s="1">
        <f>IFERROR(__xludf.DUMMYFUNCTION("""COMPUTED_VALUE"""),"Köln")</f>
        <v/>
      </c>
      <c r="L142" s="1">
        <f>IFERROR(__xludf.DUMMYFUNCTION("""COMPUTED_VALUE"""),"Germany")</f>
        <v/>
      </c>
      <c r="M142" s="1">
        <f>IFERROR(__xludf.DUMMYFUNCTION("""COMPUTED_VALUE"""),"Albania, Belarus, Bulgaria, Czechia, Finland, Greece, Ireland, Latvia, Luxembourg, Monaco, North Macedonia, Portugal, Slovakia, Sweden, Ukraine, Andorra, Belgium, Croatia, Denmark, France, Hungary, Italy, Liechtenstein, Malta, Montenegro, Norway, Romania,"&amp;" Slovenia, United Kingdom, Bosnia and Herzegovina, Republic of Cyprus, Estonia, Iceland, Kosovo, Lithuania, Moldova, Netherlands, Poland, San Marino, Spain, Turkey, Switzerland, Austria, Germany")</f>
        <v/>
      </c>
      <c r="N142" s="1">
        <f>IFERROR(__xludf.DUMMYFUNCTION("""COMPUTED_VALUE"""),"Small (10-49 FTE employees)")</f>
        <v/>
      </c>
      <c r="O142" s="1">
        <f>IFERROR(__xludf.DUMMYFUNCTION("""COMPUTED_VALUE"""),"Business to Business, Business to Government, Business to Schools")</f>
        <v/>
      </c>
      <c r="P142" s="1">
        <f>IFERROR(__xludf.DUMMYFUNCTION("""COMPUTED_VALUE"""),"Primary Education, Secondary Education, Vocational Education and Training (VET), Higher Education, Corporate Training, Lifelong learning/Adult education, Special Education")</f>
        <v/>
      </c>
      <c r="Q142" s="1">
        <f>IFERROR(__xludf.DUMMYFUNCTION("""COMPUTED_VALUE"""),"Student interfacing, Teacher interfacing, System/Administrative")</f>
        <v/>
      </c>
      <c r="R142" s="1" t="n"/>
      <c r="S142" s="1" t="n"/>
      <c r="T142" s="1" t="n"/>
      <c r="U142" s="1">
        <f>IFERROR(__xludf.DUMMYFUNCTION("""COMPUTED_VALUE"""),"Deutschfuchs")</f>
        <v/>
      </c>
      <c r="V142" s="1">
        <f>IFERROR(__xludf.DUMMYFUNCTION("""COMPUTED_VALUE"""),"Deutschfuchs is the innovative learning platform for German as a foreign and second language as well as for targeted language support, from primary school to adulthood. It combines a modern Learning Management System (LMS) with a comprehensive digital tex"&amp;"tbook (from alphabetisation to B2).")</f>
        <v/>
      </c>
      <c r="W142" s="1" t="n"/>
      <c r="X142" s="1" t="n"/>
      <c r="Y142" s="15">
        <f>IFERROR(__xludf.DUMMYFUNCTION("""COMPUTED_VALUE"""),"https://drive.google.com/uc?export=view&amp;id=1K-GsPexYYsXO-dcdm9M5Nuh5G0HXhzPY")</f>
        <v/>
      </c>
      <c r="Z142" s="1">
        <f>IFERROR(__xludf.DUMMYFUNCTION("""COMPUTED_VALUE"""),"Unverified")</f>
        <v/>
      </c>
      <c r="AA142" s="1">
        <f>IFERROR(__xludf.DUMMYFUNCTION("""COMPUTED_VALUE"""),"Collaborations between EdTech organisations, Project consortium building, Public-private partnerships, Industry-academia partnerships")</f>
        <v/>
      </c>
      <c r="AB142" s="1">
        <f>IFERROR(__xludf.DUMMYFUNCTION("""COMPUTED_VALUE"""),"For-profit company")</f>
        <v/>
      </c>
      <c r="AC142" s="1">
        <f>IFERROR(__xludf.DUMMYFUNCTION("""COMPUTED_VALUE"""),TRUE)</f>
        <v/>
      </c>
      <c r="AD142" s="1">
        <f>IFERROR(__xludf.DUMMYFUNCTION("""COMPUTED_VALUE"""),TRUE)</f>
        <v/>
      </c>
      <c r="AE142" s="1" t="n"/>
    </row>
    <row r="143" ht="42" customHeight="1">
      <c r="A143" s="14">
        <f>IFERROR(__xludf.DUMMYFUNCTION("""COMPUTED_VALUE"""),45842)</f>
        <v/>
      </c>
      <c r="B143" s="1">
        <f>IFERROR(__xludf.DUMMYFUNCTION("""COMPUTED_VALUE"""),"ORG_1125")</f>
        <v/>
      </c>
      <c r="C143" s="1">
        <f>IFERROR(__xludf.DUMMYFUNCTION("""COMPUTED_VALUE"""),TRUE)</f>
        <v/>
      </c>
      <c r="D143" s="1">
        <f>IFERROR(__xludf.DUMMYFUNCTION("""COMPUTED_VALUE"""),"Authôt")</f>
        <v/>
      </c>
      <c r="E143" s="15">
        <f>IFERROR(__xludf.DUMMYFUNCTION("""COMPUTED_VALUE"""),"https://authot.com/")</f>
        <v/>
      </c>
      <c r="F143" s="1">
        <f>IFERROR(__xludf.DUMMYFUNCTION("""COMPUTED_VALUE"""),"Language Services for Businesses and Public Organisations. Our combination of AI technology and human expertise streamlines transcription, subtitling and translation processes to deliver impeccable results. Free up your time by letting us handle these tas"&amp;"ks, so you can focus on what really matters to your business!")</f>
        <v/>
      </c>
      <c r="G143" s="1">
        <f>IFERROR(__xludf.DUMMYFUNCTION("""COMPUTED_VALUE"""),"EdTech France")</f>
        <v/>
      </c>
      <c r="H143" s="1">
        <f>IFERROR(__xludf.DUMMYFUNCTION("""COMPUTED_VALUE"""),"English, French, Spanish")</f>
        <v/>
      </c>
      <c r="I143" s="1">
        <f>IFERROR(__xludf.DUMMYFUNCTION("""COMPUTED_VALUE"""),"contact@authot.com")</f>
        <v/>
      </c>
      <c r="J143" s="1">
        <f>IFERROR(__xludf.DUMMYFUNCTION("""COMPUTED_VALUE"""),"+33158468688")</f>
        <v/>
      </c>
      <c r="K143" s="1">
        <f>IFERROR(__xludf.DUMMYFUNCTION("""COMPUTED_VALUE"""),"Ivry-sur-Seine ")</f>
        <v/>
      </c>
      <c r="L143" s="1">
        <f>IFERROR(__xludf.DUMMYFUNCTION("""COMPUTED_VALUE"""),"France")</f>
        <v/>
      </c>
      <c r="M143" s="1">
        <f>IFERROR(__xludf.DUMMYFUNCTION("""COMPUTED_VALUE"""),"France, Germany, Italy, Spain, United Kingdom, Belgium, Luxembourg")</f>
        <v/>
      </c>
      <c r="N143" s="1">
        <f>IFERROR(__xludf.DUMMYFUNCTION("""COMPUTED_VALUE"""),"Small (10-49 FTE employees)")</f>
        <v/>
      </c>
      <c r="O143" s="1">
        <f>IFERROR(__xludf.DUMMYFUNCTION("""COMPUTED_VALUE"""),"Business to Business, Business to Government")</f>
        <v/>
      </c>
      <c r="P143" s="1">
        <f>IFERROR(__xludf.DUMMYFUNCTION("""COMPUTED_VALUE"""),"Higher Education, Corporate Training")</f>
        <v/>
      </c>
      <c r="Q143" s="1">
        <f>IFERROR(__xludf.DUMMYFUNCTION("""COMPUTED_VALUE"""),"Other, System/Administrative")</f>
        <v/>
      </c>
      <c r="R143" s="1" t="n"/>
      <c r="S143" s="1" t="n"/>
      <c r="T143" s="15">
        <f>IFERROR(__xludf.DUMMYFUNCTION("""COMPUTED_VALUE"""),"https://www.linkedin.com/company/authot/")</f>
        <v/>
      </c>
      <c r="U143" s="1">
        <f>IFERROR(__xludf.DUMMYFUNCTION("""COMPUTED_VALUE"""),"Authôt APP")</f>
        <v/>
      </c>
      <c r="V143" s="1">
        <f>IFERROR(__xludf.DUMMYFUNCTION("""COMPUTED_VALUE"""),"Save time and ensure accuracy by automating the production of audio transcription and video translation projects.")</f>
        <v/>
      </c>
      <c r="W143" s="1">
        <f>IFERROR(__xludf.DUMMYFUNCTION("""COMPUTED_VALUE"""),"Authôt Live")</f>
        <v/>
      </c>
      <c r="X143" s="1">
        <f>IFERROR(__xludf.DUMMYFUNCTION("""COMPUTED_VALUE"""),"Exchanges become clearer and more accessible thanks to live transcription and translation.")</f>
        <v/>
      </c>
      <c r="Y143" s="15">
        <f>IFERROR(__xludf.DUMMYFUNCTION("""COMPUTED_VALUE"""),"https://drive.google.com/uc?export=view&amp;id=1rbMWHybJOUWJpEvO6hosVdOwXbbJ0tJN")</f>
        <v/>
      </c>
      <c r="Z143" s="1">
        <f>IFERROR(__xludf.DUMMYFUNCTION("""COMPUTED_VALUE"""),"Unverified")</f>
        <v/>
      </c>
      <c r="AA143" s="1">
        <f>IFERROR(__xludf.DUMMYFUNCTION("""COMPUTED_VALUE"""),"Public-private partnerships, Collaborations between EdTech organisations")</f>
        <v/>
      </c>
      <c r="AB143" s="1">
        <f>IFERROR(__xludf.DUMMYFUNCTION("""COMPUTED_VALUE"""),"For-profit company")</f>
        <v/>
      </c>
      <c r="AC143" s="1">
        <f>IFERROR(__xludf.DUMMYFUNCTION("""COMPUTED_VALUE"""),TRUE)</f>
        <v/>
      </c>
      <c r="AD143" s="1">
        <f>IFERROR(__xludf.DUMMYFUNCTION("""COMPUTED_VALUE"""),TRUE)</f>
        <v/>
      </c>
      <c r="AE143" s="1" t="n"/>
    </row>
    <row r="144" ht="42" customHeight="1">
      <c r="A144" s="14">
        <f>IFERROR(__xludf.DUMMYFUNCTION("""COMPUTED_VALUE"""),45841)</f>
        <v/>
      </c>
      <c r="B144" s="1">
        <f>IFERROR(__xludf.DUMMYFUNCTION("""COMPUTED_VALUE"""),"ORG_2589")</f>
        <v/>
      </c>
      <c r="C144" s="1">
        <f>IFERROR(__xludf.DUMMYFUNCTION("""COMPUTED_VALUE"""),TRUE)</f>
        <v/>
      </c>
      <c r="D144" s="1">
        <f>IFERROR(__xludf.DUMMYFUNCTION("""COMPUTED_VALUE"""),"Raquel López Independent EdTech Consultant")</f>
        <v/>
      </c>
      <c r="E144" s="15">
        <f>IFERROR(__xludf.DUMMYFUNCTION("""COMPUTED_VALUE"""),"https://rlconsultora.com/")</f>
        <v/>
      </c>
      <c r="F144" s="1">
        <f>IFERROR(__xludf.DUMMYFUNCTION("""COMPUTED_VALUE"""),"I support schools in designing and implementing their digital strategy, combining teacher training, AI in education, and a strong pedagogical vision. I work with schools and European organisations to integrate technology in an ethical, human-centred, and "&amp;"effective way.")</f>
        <v/>
      </c>
      <c r="G144" s="1">
        <f>IFERROR(__xludf.DUMMYFUNCTION("""COMPUTED_VALUE"""),"I'm not part of any EdTech association")</f>
        <v/>
      </c>
      <c r="H144" s="1">
        <f>IFERROR(__xludf.DUMMYFUNCTION("""COMPUTED_VALUE"""),"English, Spanish")</f>
        <v/>
      </c>
      <c r="I144" s="1">
        <f>IFERROR(__xludf.DUMMYFUNCTION("""COMPUTED_VALUE"""),"hola@rlconsultora.com")</f>
        <v/>
      </c>
      <c r="J144" s="1">
        <f>IFERROR(__xludf.DUMMYFUNCTION("""COMPUTED_VALUE"""),"+34644460268")</f>
        <v/>
      </c>
      <c r="K144" s="1" t="n"/>
      <c r="L144" s="1">
        <f>IFERROR(__xludf.DUMMYFUNCTION("""COMPUTED_VALUE"""),"Spain")</f>
        <v/>
      </c>
      <c r="M144" s="1">
        <f>IFERROR(__xludf.DUMMYFUNCTION("""COMPUTED_VALUE"""),"Republic of Cyprus, Italy, Spain, Ireland")</f>
        <v/>
      </c>
      <c r="N144" s="1">
        <f>IFERROR(__xludf.DUMMYFUNCTION("""COMPUTED_VALUE"""),"Solo entrepreneur")</f>
        <v/>
      </c>
      <c r="O144" s="1">
        <f>IFERROR(__xludf.DUMMYFUNCTION("""COMPUTED_VALUE"""),"Business to Schools")</f>
        <v/>
      </c>
      <c r="P144" s="1">
        <f>IFERROR(__xludf.DUMMYFUNCTION("""COMPUTED_VALUE"""),"Primary Education, Early childhood development (0-5 years), Secondary Education, Vocational Education and Training (VET), Higher Education, Lifelong learning/Adult education, Special Education")</f>
        <v/>
      </c>
      <c r="Q144" s="1">
        <f>IFERROR(__xludf.DUMMYFUNCTION("""COMPUTED_VALUE"""),"Student interfacing, Teacher interfacing, System/Administrative")</f>
        <v/>
      </c>
      <c r="R144" s="1" t="n"/>
      <c r="S144" s="1" t="n"/>
      <c r="T144" s="15">
        <f>IFERROR(__xludf.DUMMYFUNCTION("""COMPUTED_VALUE"""),"www.linkedin.com/in/rlconsultoraedtech")</f>
        <v/>
      </c>
      <c r="U144" s="1">
        <f>IFERROR(__xludf.DUMMYFUNCTION("""COMPUTED_VALUE"""),"EdTech Training")</f>
        <v/>
      </c>
      <c r="V144" s="1">
        <f>IFERROR(__xludf.DUMMYFUNCTION("""COMPUTED_VALUE"""),"I deliver hands-on, practical training for educators on digital tools, AI in education, and pedagogical strategies for effective technology integration. My sessions are designed to empower teachers with the skills and confidence to innovate in the classro"&amp;"om.")</f>
        <v/>
      </c>
      <c r="W144" s="1">
        <f>IFERROR(__xludf.DUMMYFUNCTION("""COMPUTED_VALUE"""),"Digital Strategy for Schools")</f>
        <v/>
      </c>
      <c r="X144" s="1">
        <f>IFERROR(__xludf.DUMMYFUNCTION("""COMPUTED_VALUE"""),"I support schools in designing and implementing their whole-school digital strategy, aligning technology with pedagogy, leadership, and European frameworks such as DigCompOrg and DigCompEdu. My consultancy helps schools build a clear roadmap for digital t"&amp;"ransformation.")</f>
        <v/>
      </c>
      <c r="Y144" s="15">
        <f>IFERROR(__xludf.DUMMYFUNCTION("""COMPUTED_VALUE"""),"https://drive.google.com/uc?export=view&amp;id=12wUAwmxHqryTMkPS9f_ZsC5KYPkNKzwL")</f>
        <v/>
      </c>
      <c r="Z144" s="1">
        <f>IFERROR(__xludf.DUMMYFUNCTION("""COMPUTED_VALUE"""),"Unverified")</f>
        <v/>
      </c>
      <c r="AA144" s="1">
        <f>IFERROR(__xludf.DUMMYFUNCTION("""COMPUTED_VALUE"""),"Collaborations between EdTech organisations, Public-private partnerships, Industry-academia partnerships, Project consortium building")</f>
        <v/>
      </c>
      <c r="AB144" s="1">
        <f>IFERROR(__xludf.DUMMYFUNCTION("""COMPUTED_VALUE"""),"For-profit company")</f>
        <v/>
      </c>
      <c r="AC144" s="1">
        <f>IFERROR(__xludf.DUMMYFUNCTION("""COMPUTED_VALUE"""),TRUE)</f>
        <v/>
      </c>
      <c r="AD144" s="1">
        <f>IFERROR(__xludf.DUMMYFUNCTION("""COMPUTED_VALUE"""),TRUE)</f>
        <v/>
      </c>
      <c r="AE144" s="1" t="n"/>
    </row>
    <row r="145" ht="42" customHeight="1">
      <c r="A145" s="14">
        <f>IFERROR(__xludf.DUMMYFUNCTION("""COMPUTED_VALUE"""),45841)</f>
        <v/>
      </c>
      <c r="B145" s="1">
        <f>IFERROR(__xludf.DUMMYFUNCTION("""COMPUTED_VALUE"""),"ORG_2172")</f>
        <v/>
      </c>
      <c r="C145" s="1">
        <f>IFERROR(__xludf.DUMMYFUNCTION("""COMPUTED_VALUE"""),TRUE)</f>
        <v/>
      </c>
      <c r="D145" s="1">
        <f>IFERROR(__xludf.DUMMYFUNCTION("""COMPUTED_VALUE"""),"Redmenta")</f>
        <v/>
      </c>
      <c r="E145" s="15">
        <f>IFERROR(__xludf.DUMMYFUNCTION("""COMPUTED_VALUE"""),"https://redmenta.com")</f>
        <v/>
      </c>
      <c r="F145" s="1">
        <f>IFERROR(__xludf.DUMMYFUNCTION("""COMPUTED_VALUE"""),"The only AI assistant for every step of the teaching process Create interactive learning content and chatbots, evaluate student work, and adapt activities — all from one platform that amplifies your expertise.")</f>
        <v/>
      </c>
      <c r="G145" s="1">
        <f>IFERROR(__xludf.DUMMYFUNCTION("""COMPUTED_VALUE"""),"SuperCharger Ventures, EduTech Hungary, Education:NEXT")</f>
        <v/>
      </c>
      <c r="H145" s="1">
        <f>IFERROR(__xludf.DUMMYFUNCTION("""COMPUTED_VALUE"""),"English, German, Italian, French, Spanish, Arabic, Greek, Hebrew, Hungarian, Korean, Polish, Portuguese, Romanian, Russian, Turkish, Ukrainian, Chinese")</f>
        <v/>
      </c>
      <c r="I145" s="1">
        <f>IFERROR(__xludf.DUMMYFUNCTION("""COMPUTED_VALUE"""),"support@redmenta.com")</f>
        <v/>
      </c>
      <c r="J145" s="1">
        <f>IFERROR(__xludf.DUMMYFUNCTION("""COMPUTED_VALUE"""),"+36304852528")</f>
        <v/>
      </c>
      <c r="K145" s="1">
        <f>IFERROR(__xludf.DUMMYFUNCTION("""COMPUTED_VALUE"""),"Budapest")</f>
        <v/>
      </c>
      <c r="L145" s="1">
        <f>IFERROR(__xludf.DUMMYFUNCTION("""COMPUTED_VALUE"""),"Hungary")</f>
        <v/>
      </c>
      <c r="M145" s="1">
        <f>IFERROR(__xludf.DUMMYFUNCTION("""COMPUTED_VALUE"""),"United Kingdom, Turkey, Germany, Austria, Hungary, Finland, Albania, Andorra, Bosnia and Herzegovina, Belgium, Belarus, Bulgaria, Croatia, Republic of Cyprus, Estonia, Denmark, Czechia, France, Iceland, Greece, Ireland, Italy, Kosovo, Lithuania, Liechtens"&amp;"tein, Latvia, Luxembourg, Malta, Moldova, Netherlands, Montenegro, Monaco, North Macedonia, Norway, Poland, San Marino, Romania, Portugal, Slovakia, Slovenia, Switzerland, Sweden, Ukraine, United, States, Philippines, Thailand, Vietnam, South, Korea")</f>
        <v/>
      </c>
      <c r="N145" s="1">
        <f>IFERROR(__xludf.DUMMYFUNCTION("""COMPUTED_VALUE"""),"Small (10-49 FTE employees)")</f>
        <v/>
      </c>
      <c r="O145" s="1">
        <f>IFERROR(__xludf.DUMMYFUNCTION("""COMPUTED_VALUE"""),"Business to Business, Business to Consumer, Business to Government, Business to Schools")</f>
        <v/>
      </c>
      <c r="P145" s="1">
        <f>IFERROR(__xludf.DUMMYFUNCTION("""COMPUTED_VALUE"""),"Primary Education, Secondary Education, Vocational Education and Training (VET), Higher Education, Corporate Training, Lifelong learning/Adult education, Special Education")</f>
        <v/>
      </c>
      <c r="Q145" s="1">
        <f>IFERROR(__xludf.DUMMYFUNCTION("""COMPUTED_VALUE"""),"Teacher interfacing, Student interfacing")</f>
        <v/>
      </c>
      <c r="R145" s="15">
        <f>IFERROR(__xludf.DUMMYFUNCTION("""COMPUTED_VALUE"""),"https://www.instagram.com/redmenta.ai")</f>
        <v/>
      </c>
      <c r="S145" s="1" t="n"/>
      <c r="T145" s="15">
        <f>IFERROR(__xludf.DUMMYFUNCTION("""COMPUTED_VALUE"""),"https://www.linkedin.com/company/redmenta/")</f>
        <v/>
      </c>
      <c r="U145" s="1">
        <f>IFERROR(__xludf.DUMMYFUNCTION("""COMPUTED_VALUE"""),"Redmenta")</f>
        <v/>
      </c>
      <c r="V145" s="1">
        <f>IFERROR(__xludf.DUMMYFUNCTION("""COMPUTED_VALUE"""),"The only AI assistant for every step of the teaching process
Create interactive learning content and chatbots, evaluate student work, and adapt activities — all from one platform that amplifies your expertise.")</f>
        <v/>
      </c>
      <c r="W145" s="1" t="n"/>
      <c r="X145" s="1" t="n"/>
      <c r="Y145" s="15">
        <f>IFERROR(__xludf.DUMMYFUNCTION("""COMPUTED_VALUE"""),"https://drive.google.com/uc?export=view&amp;id=163XKtvUd1ku4CvTen-scXTDbynL0I3PF")</f>
        <v/>
      </c>
      <c r="Z145" s="1">
        <f>IFERROR(__xludf.DUMMYFUNCTION("""COMPUTED_VALUE"""),"Unverified")</f>
        <v/>
      </c>
      <c r="AA145" s="1">
        <f>IFERROR(__xludf.DUMMYFUNCTION("""COMPUTED_VALUE"""),"Collaborations between EdTech organisations, Public-private partnerships, Industry-academia partnerships, Project consortium building")</f>
        <v/>
      </c>
      <c r="AB145" s="1">
        <f>IFERROR(__xludf.DUMMYFUNCTION("""COMPUTED_VALUE"""),"For-profit company")</f>
        <v/>
      </c>
      <c r="AC145" s="1">
        <f>IFERROR(__xludf.DUMMYFUNCTION("""COMPUTED_VALUE"""),TRUE)</f>
        <v/>
      </c>
      <c r="AD145" s="1">
        <f>IFERROR(__xludf.DUMMYFUNCTION("""COMPUTED_VALUE"""),TRUE)</f>
        <v/>
      </c>
      <c r="AE145" s="15">
        <f>IFERROR(__xludf.DUMMYFUNCTION("""COMPUTED_VALUE"""),"https://www.facebook.com/redmenta")</f>
        <v/>
      </c>
    </row>
    <row r="146" ht="42" customHeight="1">
      <c r="A146" s="14">
        <f>IFERROR(__xludf.DUMMYFUNCTION("""COMPUTED_VALUE"""),45841)</f>
        <v/>
      </c>
      <c r="B146" s="1">
        <f>IFERROR(__xludf.DUMMYFUNCTION("""COMPUTED_VALUE"""),"ORG_2588")</f>
        <v/>
      </c>
      <c r="C146" s="1">
        <f>IFERROR(__xludf.DUMMYFUNCTION("""COMPUTED_VALUE"""),TRUE)</f>
        <v/>
      </c>
      <c r="D146" s="1">
        <f>IFERROR(__xludf.DUMMYFUNCTION("""COMPUTED_VALUE"""),"Aimigo")</f>
        <v/>
      </c>
      <c r="E146" s="1">
        <f>IFERROR(__xludf.DUMMYFUNCTION("""COMPUTED_VALUE"""),"aimigo.coach")</f>
        <v/>
      </c>
      <c r="F146" s="1">
        <f>IFERROR(__xludf.DUMMYFUNCTION("""COMPUTED_VALUE"""),"Language learning and higher education coaching service via phone app and online platform")</f>
        <v/>
      </c>
      <c r="G146" s="1">
        <f>IFERROR(__xludf.DUMMYFUNCTION("""COMPUTED_VALUE"""),"EdTech France")</f>
        <v/>
      </c>
      <c r="H146" s="1">
        <f>IFERROR(__xludf.DUMMYFUNCTION("""COMPUTED_VALUE"""),"English, French, Spanish, Italian, German")</f>
        <v/>
      </c>
      <c r="I146" s="1">
        <f>IFERROR(__xludf.DUMMYFUNCTION("""COMPUTED_VALUE"""),"jeanne@aimigo.coach")</f>
        <v/>
      </c>
      <c r="J146" s="1">
        <f>IFERROR(__xludf.DUMMYFUNCTION("""COMPUTED_VALUE"""),"+33153338254")</f>
        <v/>
      </c>
      <c r="K146" s="1">
        <f>IFERROR(__xludf.DUMMYFUNCTION("""COMPUTED_VALUE"""),"Paris")</f>
        <v/>
      </c>
      <c r="L146" s="1">
        <f>IFERROR(__xludf.DUMMYFUNCTION("""COMPUTED_VALUE"""),"France")</f>
        <v/>
      </c>
      <c r="M146" s="1">
        <f>IFERROR(__xludf.DUMMYFUNCTION("""COMPUTED_VALUE"""),"Denmark, France, Germany, Greece, Ireland, Monaco, Portugal, Sweden, United Kingdom, Norway, Italy, Netherlands, Spain, Austria, Finland")</f>
        <v/>
      </c>
      <c r="N146" s="1">
        <f>IFERROR(__xludf.DUMMYFUNCTION("""COMPUTED_VALUE"""),"Small (10-49 FTE employees)")</f>
        <v/>
      </c>
      <c r="O146" s="1">
        <f>IFERROR(__xludf.DUMMYFUNCTION("""COMPUTED_VALUE"""),"Business to Business, Business to Consumer, Business to Schools")</f>
        <v/>
      </c>
      <c r="P146" s="1">
        <f>IFERROR(__xludf.DUMMYFUNCTION("""COMPUTED_VALUE"""),"Secondary Education, Higher Education, Corporate Training, Lifelong learning/Adult education")</f>
        <v/>
      </c>
      <c r="Q146" s="1">
        <f>IFERROR(__xludf.DUMMYFUNCTION("""COMPUTED_VALUE"""),"Student interfacing")</f>
        <v/>
      </c>
      <c r="R146" s="1" t="n"/>
      <c r="S146" s="1" t="n"/>
      <c r="T146" s="1" t="n"/>
      <c r="U146" s="1">
        <f>IFERROR(__xludf.DUMMYFUNCTION("""COMPUTED_VALUE"""),"Gymglish Learning Series")</f>
        <v/>
      </c>
      <c r="V146" s="1">
        <f>IFERROR(__xludf.DUMMYFUNCTION("""COMPUTED_VALUE"""),"Language learning series")</f>
        <v/>
      </c>
      <c r="W146" s="1">
        <f>IFERROR(__xludf.DUMMYFUNCTION("""COMPUTED_VALUE"""),"Aimigo coach")</f>
        <v/>
      </c>
      <c r="X146" s="1">
        <f>IFERROR(__xludf.DUMMYFUNCTION("""COMPUTED_VALUE"""),"Language learning and higher education (health studies) coaching service (virtual coaches online)")</f>
        <v/>
      </c>
      <c r="Y146" s="15">
        <f>IFERROR(__xludf.DUMMYFUNCTION("""COMPUTED_VALUE"""),"https://drive.google.com/uc?export=view&amp;id=1JgIYxzwQjcTfn3_gxYipeyiC67WVYKZe")</f>
        <v/>
      </c>
      <c r="Z146" s="1">
        <f>IFERROR(__xludf.DUMMYFUNCTION("""COMPUTED_VALUE"""),"Unverified")</f>
        <v/>
      </c>
      <c r="AA146" s="1">
        <f>IFERROR(__xludf.DUMMYFUNCTION("""COMPUTED_VALUE"""),"Collaborations between EdTech organisations, Public-private partnerships, Industry-academia partnerships")</f>
        <v/>
      </c>
      <c r="AB146" s="1">
        <f>IFERROR(__xludf.DUMMYFUNCTION("""COMPUTED_VALUE"""),"For-profit company")</f>
        <v/>
      </c>
      <c r="AC146" s="1">
        <f>IFERROR(__xludf.DUMMYFUNCTION("""COMPUTED_VALUE"""),TRUE)</f>
        <v/>
      </c>
      <c r="AD146" s="1">
        <f>IFERROR(__xludf.DUMMYFUNCTION("""COMPUTED_VALUE"""),TRUE)</f>
        <v/>
      </c>
      <c r="AE146" s="1" t="n"/>
    </row>
    <row r="147" ht="42" customHeight="1">
      <c r="A147" s="14">
        <f>IFERROR(__xludf.DUMMYFUNCTION("""COMPUTED_VALUE"""),45841)</f>
        <v/>
      </c>
      <c r="B147" s="1">
        <f>IFERROR(__xludf.DUMMYFUNCTION("""COMPUTED_VALUE"""),"ORG_2478")</f>
        <v/>
      </c>
      <c r="C147" s="1">
        <f>IFERROR(__xludf.DUMMYFUNCTION("""COMPUTED_VALUE"""),TRUE)</f>
        <v/>
      </c>
      <c r="D147" s="1">
        <f>IFERROR(__xludf.DUMMYFUNCTION("""COMPUTED_VALUE"""),"uQualio Video4Learning")</f>
        <v/>
      </c>
      <c r="E147" s="15">
        <f>IFERROR(__xludf.DUMMYFUNCTION("""COMPUTED_VALUE"""),"https://uqualio.com")</f>
        <v/>
      </c>
      <c r="F147" s="1">
        <f>IFERROR(__xludf.DUMMYFUNCTION("""COMPUTED_VALUE"""),"uQualio is an all-in-one AI-powered video microlearning platform that lets you turn your own videos into engaging courses. Complete with autogenerated subtitles, interactive quizzes to boost retention, and certification with multi-level microcredentials.")</f>
        <v/>
      </c>
      <c r="G147" s="1">
        <f>IFERROR(__xludf.DUMMYFUNCTION("""COMPUTED_VALUE"""),"EdTech Denmark")</f>
        <v/>
      </c>
      <c r="H147" s="1">
        <f>IFERROR(__xludf.DUMMYFUNCTION("""COMPUTED_VALUE"""),"English, German, French, Italian, Spanish, Portuguese, Polish, Hindi, Thai, Punjabi, Ukrainian, Russian, Swedish, Danish, Norwegian, Swahili, Turkish")</f>
        <v/>
      </c>
      <c r="I147" s="1">
        <f>IFERROR(__xludf.DUMMYFUNCTION("""COMPUTED_VALUE"""),"sales@uqualio.com")</f>
        <v/>
      </c>
      <c r="J147" s="1">
        <f>IFERROR(__xludf.DUMMYFUNCTION("""COMPUTED_VALUE"""),"+4520325272")</f>
        <v/>
      </c>
      <c r="K147" s="1">
        <f>IFERROR(__xludf.DUMMYFUNCTION("""COMPUTED_VALUE"""),"Veksoe")</f>
        <v/>
      </c>
      <c r="L147" s="1">
        <f>IFERROR(__xludf.DUMMYFUNCTION("""COMPUTED_VALUE"""),"Denmark")</f>
        <v/>
      </c>
      <c r="M147" s="1">
        <f>IFERROR(__xludf.DUMMYFUNCTION("""COMPUTED_VALUE"""),"Ukraine, Denmark, France, Italy, Germany, Norway, Switzerland, United Kingdom, Sweden, Slovakia, Portugal, North Macedonia, Monaco, Luxembourg, Latvia, Ireland, Greece, Finland, Czechia, Bulgaria, Albania, Andorra, Belgium, Croatia, Hungary, Liechtenstein"&amp;", Malta, Montenegro, Romania, Slovenia, Turkey, Spain, San Marino, Poland, Netherlands, Moldova, Lithuania, Kosovo, Iceland, Estonia, Republic of Cyprus, Bosnia and Herzegovina, Austria")</f>
        <v/>
      </c>
      <c r="N147" s="1">
        <f>IFERROR(__xludf.DUMMYFUNCTION("""COMPUTED_VALUE"""),"Micro (1-9 FTE employees)")</f>
        <v/>
      </c>
      <c r="O147" s="1">
        <f>IFERROR(__xludf.DUMMYFUNCTION("""COMPUTED_VALUE"""),"Business to Business, Business to Government, Business to Schools")</f>
        <v/>
      </c>
      <c r="P147" s="1">
        <f>IFERROR(__xludf.DUMMYFUNCTION("""COMPUTED_VALUE"""),"Secondary Education, Higher Education, Corporate Training, Lifelong learning/Adult education")</f>
        <v/>
      </c>
      <c r="Q147" s="1">
        <f>IFERROR(__xludf.DUMMYFUNCTION("""COMPUTED_VALUE"""),"Student interfacing, System/Administrative, Teacher interfacing")</f>
        <v/>
      </c>
      <c r="R147" s="15">
        <f>IFERROR(__xludf.DUMMYFUNCTION("""COMPUTED_VALUE"""),"https://www.instagram.com/uqualio/")</f>
        <v/>
      </c>
      <c r="S147" s="15">
        <f>IFERROR(__xludf.DUMMYFUNCTION("""COMPUTED_VALUE"""),"https://x.com/uqualio")</f>
        <v/>
      </c>
      <c r="T147" s="15">
        <f>IFERROR(__xludf.DUMMYFUNCTION("""COMPUTED_VALUE"""),"https://www.linkedin.com/company/uqualio/")</f>
        <v/>
      </c>
      <c r="U147" s="1">
        <f>IFERROR(__xludf.DUMMYFUNCTION("""COMPUTED_VALUE"""),"uQualio Video4Learning")</f>
        <v/>
      </c>
      <c r="V147" s="1" t="n"/>
      <c r="W147" s="1" t="n"/>
      <c r="X147" s="1" t="n"/>
      <c r="Y147" s="15">
        <f>IFERROR(__xludf.DUMMYFUNCTION("""COMPUTED_VALUE"""),"https://drive.google.com/uc?export=view&amp;id=1KeDm4xsql4-7StUrmUAHfRCtp5c-hLKO")</f>
        <v/>
      </c>
      <c r="Z147" s="1">
        <f>IFERROR(__xludf.DUMMYFUNCTION("""COMPUTED_VALUE"""),"Unverified")</f>
        <v/>
      </c>
      <c r="AA147" s="1">
        <f>IFERROR(__xludf.DUMMYFUNCTION("""COMPUTED_VALUE"""),"Collaborations between EdTech organisations, Project consortium building, Public-private partnerships, Industry-academia partnerships")</f>
        <v/>
      </c>
      <c r="AB147" s="1">
        <f>IFERROR(__xludf.DUMMYFUNCTION("""COMPUTED_VALUE"""),"For-profit company")</f>
        <v/>
      </c>
      <c r="AC147" s="1">
        <f>IFERROR(__xludf.DUMMYFUNCTION("""COMPUTED_VALUE"""),FALSE)</f>
        <v/>
      </c>
      <c r="AD147" s="1">
        <f>IFERROR(__xludf.DUMMYFUNCTION("""COMPUTED_VALUE"""),TRUE)</f>
        <v/>
      </c>
      <c r="AE147" s="15">
        <f>IFERROR(__xludf.DUMMYFUNCTION("""COMPUTED_VALUE"""),"https://www.facebook.com/uqualio")</f>
        <v/>
      </c>
    </row>
    <row r="148" ht="42" customHeight="1">
      <c r="A148" s="14">
        <f>IFERROR(__xludf.DUMMYFUNCTION("""COMPUTED_VALUE"""),45841)</f>
        <v/>
      </c>
      <c r="B148" s="1">
        <f>IFERROR(__xludf.DUMMYFUNCTION("""COMPUTED_VALUE"""),"ORG_2497")</f>
        <v/>
      </c>
      <c r="C148" s="1">
        <f>IFERROR(__xludf.DUMMYFUNCTION("""COMPUTED_VALUE"""),TRUE)</f>
        <v/>
      </c>
      <c r="D148" s="1">
        <f>IFERROR(__xludf.DUMMYFUNCTION("""COMPUTED_VALUE"""),"Virtual Learning is Reality")</f>
        <v/>
      </c>
      <c r="E148" s="15">
        <f>IFERROR(__xludf.DUMMYFUNCTION("""COMPUTED_VALUE"""),"www.carlboel.be")</f>
        <v/>
      </c>
      <c r="F148" s="1">
        <f>IFERROR(__xludf.DUMMYFUNCTION("""COMPUTED_VALUE"""),"Senior expert in XR design, development and research")</f>
        <v/>
      </c>
      <c r="G148" s="1">
        <f>IFERROR(__xludf.DUMMYFUNCTION("""COMPUTED_VALUE"""),"edtechstation")</f>
        <v/>
      </c>
      <c r="H148" s="1">
        <f>IFERROR(__xludf.DUMMYFUNCTION("""COMPUTED_VALUE"""),"English, Dutch")</f>
        <v/>
      </c>
      <c r="I148" s="1">
        <f>IFERROR(__xludf.DUMMYFUNCTION("""COMPUTED_VALUE"""),"carl.boel@gmail.com")</f>
        <v/>
      </c>
      <c r="J148" s="1">
        <f>IFERROR(__xludf.DUMMYFUNCTION("""COMPUTED_VALUE"""),"+32474686225")</f>
        <v/>
      </c>
      <c r="K148" s="1">
        <f>IFERROR(__xludf.DUMMYFUNCTION("""COMPUTED_VALUE"""),"Sint-Niklaas")</f>
        <v/>
      </c>
      <c r="L148" s="1">
        <f>IFERROR(__xludf.DUMMYFUNCTION("""COMPUTED_VALUE"""),"Belgium")</f>
        <v/>
      </c>
      <c r="M148" s="1">
        <f>IFERROR(__xludf.DUMMYFUNCTION("""COMPUTED_VALUE"""),"Albania, Belarus, Andorra, Belgium, Austria, Bosnia and Herzegovina, Bulgaria, Croatia, Republic of Cyprus, Czechia, Denmark, Estonia, Finland, France, Germany, Greece, Hungary, Iceland, Ireland, Italy, Kosovo, Latvia, Liechtenstein, Lithuania, Luxembourg"&amp;", Malta, Moldova, Monaco, Montenegro, Netherlands, North Macedonia, Norway, Poland, Portugal, Romania, San Marino, Slovakia, Slovenia, Spain, Sweden, Switzerland, Turkey, Ukraine, United Kingdom")</f>
        <v/>
      </c>
      <c r="N148" s="1">
        <f>IFERROR(__xludf.DUMMYFUNCTION("""COMPUTED_VALUE"""),"Solo entrepreneur")</f>
        <v/>
      </c>
      <c r="O148" s="1">
        <f>IFERROR(__xludf.DUMMYFUNCTION("""COMPUTED_VALUE"""),"Business to Business, Business to Government")</f>
        <v/>
      </c>
      <c r="P148" s="1">
        <f>IFERROR(__xludf.DUMMYFUNCTION("""COMPUTED_VALUE"""),"Primary Education, Secondary Education, Vocational Education and Training (VET), Higher Education, Corporate Training, Lifelong learning/Adult education")</f>
        <v/>
      </c>
      <c r="Q148" s="1">
        <f>IFERROR(__xludf.DUMMYFUNCTION("""COMPUTED_VALUE"""),"Student interfacing, Teacher interfacing, System/Administrative")</f>
        <v/>
      </c>
      <c r="R148" s="1" t="n"/>
      <c r="S148" s="1" t="n"/>
      <c r="T148" s="15">
        <f>IFERROR(__xludf.DUMMYFUNCTION("""COMPUTED_VALUE"""),"https://www.linkedin.com/in/boelcarl/")</f>
        <v/>
      </c>
      <c r="U148" s="1">
        <f>IFERROR(__xludf.DUMMYFUNCTION("""COMPUTED_VALUE"""),"Consultancy XR learning experiences")</f>
        <v/>
      </c>
      <c r="V148" s="1">
        <f>IFERROR(__xludf.DUMMYFUNCTION("""COMPUTED_VALUE"""),"I support businesses, governments, and educational institutions with the effective design, development, and implementation of XR learning experiences based on evidence-informed guidelines. Services include project management, business model development, d"&amp;"esign of XR learning modules, implementation")</f>
        <v/>
      </c>
      <c r="W148" s="1">
        <f>IFERROR(__xludf.DUMMYFUNCTION("""COMPUTED_VALUE"""),"XR research")</f>
        <v/>
      </c>
      <c r="X148" s="1">
        <f>IFERROR(__xludf.DUMMYFUNCTION("""COMPUTED_VALUE"""),"I work as a senior researcher to investigate the state-of-art and the effects of XR for learning, both in enterprise and education. I hold a PhD in Educational Sciences on XR technologies. Expertise includes proposal, literature review, survey/interview d"&amp;"evelopment, statistical analysis, reporting.")</f>
        <v/>
      </c>
      <c r="Y148" s="15">
        <f>IFERROR(__xludf.DUMMYFUNCTION("""COMPUTED_VALUE"""),"https://drive.google.com/uc?export=view&amp;id=1-WsN-PGvwbWhyzJoMc2G8O7AiEbJNWXZ")</f>
        <v/>
      </c>
      <c r="Z148" s="1">
        <f>IFERROR(__xludf.DUMMYFUNCTION("""COMPUTED_VALUE"""),"Unverified")</f>
        <v/>
      </c>
      <c r="AA148" s="1">
        <f>IFERROR(__xludf.DUMMYFUNCTION("""COMPUTED_VALUE"""),"Collaborations between EdTech organisations, Project consortium building, Industry-academia partnerships, Public-private partnerships")</f>
        <v/>
      </c>
      <c r="AB148" s="1">
        <f>IFERROR(__xludf.DUMMYFUNCTION("""COMPUTED_VALUE"""),"For-profit company")</f>
        <v/>
      </c>
      <c r="AC148" s="1">
        <f>IFERROR(__xludf.DUMMYFUNCTION("""COMPUTED_VALUE"""),TRUE)</f>
        <v/>
      </c>
      <c r="AD148" s="1">
        <f>IFERROR(__xludf.DUMMYFUNCTION("""COMPUTED_VALUE"""),TRUE)</f>
        <v/>
      </c>
      <c r="AE148" s="1" t="n"/>
    </row>
    <row r="149" ht="42" customHeight="1">
      <c r="A149" s="14">
        <f>IFERROR(__xludf.DUMMYFUNCTION("""COMPUTED_VALUE"""),45841)</f>
        <v/>
      </c>
      <c r="B149" s="1">
        <f>IFERROR(__xludf.DUMMYFUNCTION("""COMPUTED_VALUE"""),"ORG_2586")</f>
        <v/>
      </c>
      <c r="C149" s="1">
        <f>IFERROR(__xludf.DUMMYFUNCTION("""COMPUTED_VALUE"""),TRUE)</f>
        <v/>
      </c>
      <c r="D149" s="1">
        <f>IFERROR(__xludf.DUMMYFUNCTION("""COMPUTED_VALUE"""),"Goin'")</f>
        <v/>
      </c>
      <c r="E149" s="15">
        <f>IFERROR(__xludf.DUMMYFUNCTION("""COMPUTED_VALUE"""),"www.goinconnect.com")</f>
        <v/>
      </c>
      <c r="F149" s="1">
        <f>IFERROR(__xludf.DUMMYFUNCTION("""COMPUTED_VALUE"""),"We connect students prior to arrival to make students start and stay at the university!")</f>
        <v/>
      </c>
      <c r="G149" s="1">
        <f>IFERROR(__xludf.DUMMYFUNCTION("""COMPUTED_VALUE"""),"I'm not part of any EdTech association")</f>
        <v/>
      </c>
      <c r="H149" s="1">
        <f>IFERROR(__xludf.DUMMYFUNCTION("""COMPUTED_VALUE"""),"English, French, Spanish, German, Italian, All")</f>
        <v/>
      </c>
      <c r="I149" s="1">
        <f>IFERROR(__xludf.DUMMYFUNCTION("""COMPUTED_VALUE"""),"lars@goinconnect.com")</f>
        <v/>
      </c>
      <c r="J149" s="1">
        <f>IFERROR(__xludf.DUMMYFUNCTION("""COMPUTED_VALUE"""),"+31647939102")</f>
        <v/>
      </c>
      <c r="K149" s="1">
        <f>IFERROR(__xludf.DUMMYFUNCTION("""COMPUTED_VALUE"""),"Utrecht")</f>
        <v/>
      </c>
      <c r="L149" s="1">
        <f>IFERROR(__xludf.DUMMYFUNCTION("""COMPUTED_VALUE"""),"The Netherlands")</f>
        <v/>
      </c>
      <c r="M149" s="1">
        <f>IFERROR(__xludf.DUMMYFUNCTION("""COMPUTED_VALUE"""),"Finland, Czechia, Greece, Ireland, Latvia, Sweden, Belgium, Denmark, France, Italy, Norway, United Kingdom, Germany, Netherlands, Spain, Poland, Turkey, Australia")</f>
        <v/>
      </c>
      <c r="N149" s="1">
        <f>IFERROR(__xludf.DUMMYFUNCTION("""COMPUTED_VALUE"""),"Small (10-49 FTE employees)")</f>
        <v/>
      </c>
      <c r="O149" s="1">
        <f>IFERROR(__xludf.DUMMYFUNCTION("""COMPUTED_VALUE"""),"Business to Business, Business to Schools")</f>
        <v/>
      </c>
      <c r="P149" s="1">
        <f>IFERROR(__xludf.DUMMYFUNCTION("""COMPUTED_VALUE"""),"Higher Education")</f>
        <v/>
      </c>
      <c r="Q149" s="1">
        <f>IFERROR(__xludf.DUMMYFUNCTION("""COMPUTED_VALUE"""),"System/Administrative, Student interfacing")</f>
        <v/>
      </c>
      <c r="R149" s="1" t="n"/>
      <c r="S149" s="1" t="n"/>
      <c r="T149" s="15">
        <f>IFERROR(__xludf.DUMMYFUNCTION("""COMPUTED_VALUE"""),"https://www.linkedin.com/company/goinconnect/?viewAsMember=true")</f>
        <v/>
      </c>
      <c r="U149" s="1">
        <f>IFERROR(__xludf.DUMMYFUNCTION("""COMPUTED_VALUE"""),"Goin' Conversion")</f>
        <v/>
      </c>
      <c r="V149" s="1">
        <f>IFERROR(__xludf.DUMMYFUNCTION("""COMPUTED_VALUE"""),"Converting students through pre-enrollment friendships.")</f>
        <v/>
      </c>
      <c r="W149" s="1">
        <f>IFERROR(__xludf.DUMMYFUNCTION("""COMPUTED_VALUE"""),"Goin' Retention")</f>
        <v/>
      </c>
      <c r="X149" s="1">
        <f>IFERROR(__xludf.DUMMYFUNCTION("""COMPUTED_VALUE"""),"Retaining students through pre-arrival friendships.")</f>
        <v/>
      </c>
      <c r="Y149" s="15">
        <f>IFERROR(__xludf.DUMMYFUNCTION("""COMPUTED_VALUE"""),"https://drive.google.com/uc?export=view&amp;id=1FqSw1mnp4xJiofHRcMFB75HCr-FW9etj")</f>
        <v/>
      </c>
      <c r="Z149" s="1">
        <f>IFERROR(__xludf.DUMMYFUNCTION("""COMPUTED_VALUE"""),"Unverified")</f>
        <v/>
      </c>
      <c r="AA149" s="1">
        <f>IFERROR(__xludf.DUMMYFUNCTION("""COMPUTED_VALUE"""),"Collaborations between EdTech organisations, Project consortium building, Public-private partnerships")</f>
        <v/>
      </c>
      <c r="AB149" s="1">
        <f>IFERROR(__xludf.DUMMYFUNCTION("""COMPUTED_VALUE"""),"For-profit company")</f>
        <v/>
      </c>
      <c r="AC149" s="1">
        <f>IFERROR(__xludf.DUMMYFUNCTION("""COMPUTED_VALUE"""),TRUE)</f>
        <v/>
      </c>
      <c r="AD149" s="1">
        <f>IFERROR(__xludf.DUMMYFUNCTION("""COMPUTED_VALUE"""),TRUE)</f>
        <v/>
      </c>
      <c r="AE149" s="1" t="n"/>
    </row>
    <row r="150" ht="42" customHeight="1">
      <c r="A150" s="14">
        <f>IFERROR(__xludf.DUMMYFUNCTION("""COMPUTED_VALUE"""),45841)</f>
        <v/>
      </c>
      <c r="B150" s="1">
        <f>IFERROR(__xludf.DUMMYFUNCTION("""COMPUTED_VALUE"""),"ORG_2359")</f>
        <v/>
      </c>
      <c r="C150" s="1">
        <f>IFERROR(__xludf.DUMMYFUNCTION("""COMPUTED_VALUE"""),TRUE)</f>
        <v/>
      </c>
      <c r="D150" s="1">
        <f>IFERROR(__xludf.DUMMYFUNCTION("""COMPUTED_VALUE"""),"Synap")</f>
        <v/>
      </c>
      <c r="E150" s="15">
        <f>IFERROR(__xludf.DUMMYFUNCTION("""COMPUTED_VALUE"""),"https://synap.ac/")</f>
        <v/>
      </c>
      <c r="F150" s="1">
        <f>IFERROR(__xludf.DUMMYFUNCTION("""COMPUTED_VALUE"""),"Synap is an online exam platform that helps organisations create, deliver, and manage secure, scalable assessments. Used by universities, training providers, and businesses, Synap offers powerful tools for question banking, automated grading, analytics, a"&amp;"nd remote proctoring to support high-stakes and formative online exams.")</f>
        <v/>
      </c>
      <c r="G150" s="1">
        <f>IFERROR(__xludf.DUMMYFUNCTION("""COMPUTED_VALUE"""),"I'm not part of any EdTech association")</f>
        <v/>
      </c>
      <c r="H150" s="1">
        <f>IFERROR(__xludf.DUMMYFUNCTION("""COMPUTED_VALUE"""),"English, French, German, Italian, Spanish")</f>
        <v/>
      </c>
      <c r="I150" s="1">
        <f>IFERROR(__xludf.DUMMYFUNCTION("""COMPUTED_VALUE"""),"manisha@synap.ac")</f>
        <v/>
      </c>
      <c r="J150" s="1">
        <f>IFERROR(__xludf.DUMMYFUNCTION("""COMPUTED_VALUE"""),"+441135419377")</f>
        <v/>
      </c>
      <c r="K150" s="1">
        <f>IFERROR(__xludf.DUMMYFUNCTION("""COMPUTED_VALUE"""),"Leeds")</f>
        <v/>
      </c>
      <c r="L150" s="1">
        <f>IFERROR(__xludf.DUMMYFUNCTION("""COMPUTED_VALUE"""),"United Kingdom")</f>
        <v/>
      </c>
      <c r="M150" s="1">
        <f>IFERROR(__xludf.DUMMYFUNCTION("""COMPUTED_VALUE"""),"Belarus, Belgium, Albania, Andorra, Austria, Bosnia and Herzegovina, Republic of Cyprus, Croatia, Bulgaria, Czechia, Denmark, Estonia, Germany, France, Finland, Greece, Hungary, Iceland, Ireland, Latvia, Italy, Liechtenstein, Kosovo, Lithuania, Moldova, M"&amp;"alta, Luxembourg, Monaco, North Macedonia, Sweden, Portugal, Slovakia, Ukraine, United Kingdom, Switzerland, Slovenia, Romania, Norway, Montenegro, Netherlands, Poland, San Marino, Spain, Turkey")</f>
        <v/>
      </c>
      <c r="N150" s="1">
        <f>IFERROR(__xludf.DUMMYFUNCTION("""COMPUTED_VALUE"""),"Small (10-49 FTE employees)")</f>
        <v/>
      </c>
      <c r="O150" s="1">
        <f>IFERROR(__xludf.DUMMYFUNCTION("""COMPUTED_VALUE"""),"Business to Business")</f>
        <v/>
      </c>
      <c r="P150" s="1">
        <f>IFERROR(__xludf.DUMMYFUNCTION("""COMPUTED_VALUE"""),"Early childhood development (0-5 years), Primary Education, Secondary Education, Vocational Education and Training (VET), Higher Education, Corporate Training, Lifelong learning/Adult education, Special Education")</f>
        <v/>
      </c>
      <c r="Q150" s="1">
        <f>IFERROR(__xludf.DUMMYFUNCTION("""COMPUTED_VALUE"""),"System/Administrative, Student interfacing, Teacher interfacing")</f>
        <v/>
      </c>
      <c r="R150" s="1" t="n"/>
      <c r="S150" s="15">
        <f>IFERROR(__xludf.DUMMYFUNCTION("""COMPUTED_VALUE"""),"https://x.com/synap")</f>
        <v/>
      </c>
      <c r="T150" s="15">
        <f>IFERROR(__xludf.DUMMYFUNCTION("""COMPUTED_VALUE"""),"https://www.linkedin.com/company/synap-lms")</f>
        <v/>
      </c>
      <c r="U150" s="1">
        <f>IFERROR(__xludf.DUMMYFUNCTION("""COMPUTED_VALUE"""),"Synap Exam Platform")</f>
        <v/>
      </c>
      <c r="V150" s="1">
        <f>IFERROR(__xludf.DUMMYFUNCTION("""COMPUTED_VALUE"""),"A powerful online exam delivery system that enables organisations to create, schedule, and manage secure, high-stakes assessments at scale. Includes advanced question banking, timed exams, automated marking, and detailed analytics.")</f>
        <v/>
      </c>
      <c r="W150" s="1">
        <f>IFERROR(__xludf.DUMMYFUNCTION("""COMPUTED_VALUE"""),"Synoptic")</f>
        <v/>
      </c>
      <c r="X150" s="1">
        <f>IFERROR(__xludf.DUMMYFUNCTION("""COMPUTED_VALUE"""),"Synoptic is Synap’s built-in remote proctoring system that secures online exams through screen recording, interval webcam and desktop captures, and configurable exam rules. It detects common breaches such as tab switching, window defocus, and the use of e"&amp;"xternal displays.")</f>
        <v/>
      </c>
      <c r="Y150" s="15">
        <f>IFERROR(__xludf.DUMMYFUNCTION("""COMPUTED_VALUE"""),"https://drive.google.com/uc?export=view&amp;id=18A5fbfNVXyIXMZpdyHAMZq3PTVfPNqBI")</f>
        <v/>
      </c>
      <c r="Z150" s="1">
        <f>IFERROR(__xludf.DUMMYFUNCTION("""COMPUTED_VALUE"""),"Unverified")</f>
        <v/>
      </c>
      <c r="AA150" s="1">
        <f>IFERROR(__xludf.DUMMYFUNCTION("""COMPUTED_VALUE"""),"Collaborations between EdTech organisations, Public-private partnerships, Industry-academia partnerships")</f>
        <v/>
      </c>
      <c r="AB150" s="1">
        <f>IFERROR(__xludf.DUMMYFUNCTION("""COMPUTED_VALUE"""),"For-profit company")</f>
        <v/>
      </c>
      <c r="AC150" s="1">
        <f>IFERROR(__xludf.DUMMYFUNCTION("""COMPUTED_VALUE"""),TRUE)</f>
        <v/>
      </c>
      <c r="AD150" s="1">
        <f>IFERROR(__xludf.DUMMYFUNCTION("""COMPUTED_VALUE"""),FALSE)</f>
        <v/>
      </c>
      <c r="AE150" s="1" t="n"/>
    </row>
    <row r="151" ht="42" customHeight="1">
      <c r="A151" s="14">
        <f>IFERROR(__xludf.DUMMYFUNCTION("""COMPUTED_VALUE"""),45841)</f>
        <v/>
      </c>
      <c r="B151" s="1">
        <f>IFERROR(__xludf.DUMMYFUNCTION("""COMPUTED_VALUE"""),"ORG_1072")</f>
        <v/>
      </c>
      <c r="C151" s="1">
        <f>IFERROR(__xludf.DUMMYFUNCTION("""COMPUTED_VALUE"""),TRUE)</f>
        <v/>
      </c>
      <c r="D151" s="1">
        <f>IFERROR(__xludf.DUMMYFUNCTION("""COMPUTED_VALUE"""),"Anemon")</f>
        <v/>
      </c>
      <c r="E151" s="15">
        <f>IFERROR(__xludf.DUMMYFUNCTION("""COMPUTED_VALUE"""),"https://anemon.co/")</f>
        <v/>
      </c>
      <c r="F151" s="1">
        <f>IFERROR(__xludf.DUMMYFUNCTION("""COMPUTED_VALUE"""),"Anemon is a B2B EdTech solution offering augmented SMS-based learning and engagement experiences that are fast to deploy (within 48 hours), simple to use, and accessible to all everywhere—even without apps or password. It helps organizations train, engage"&amp;", and upskill employees on key topics such as risk prevention, workplace safety, generative AI, management, and soft skills. Already used by companies like Airbus, Enedis, and Grünenthal, Anemon fits seamlessly into HR, L&amp;D, QHSE, and transformation strat"&amp;"egies.")</f>
        <v/>
      </c>
      <c r="G151" s="1">
        <f>IFERROR(__xludf.DUMMYFUNCTION("""COMPUTED_VALUE"""),"EdTech France")</f>
        <v/>
      </c>
      <c r="H151" s="1">
        <f>IFERROR(__xludf.DUMMYFUNCTION("""COMPUTED_VALUE"""),"English, French, Spanish, Italian, German, Romanian, Polish, Dutch, Portuguese")</f>
        <v/>
      </c>
      <c r="I151" s="1">
        <f>IFERROR(__xludf.DUMMYFUNCTION("""COMPUTED_VALUE"""),"contact@anemon.fr")</f>
        <v/>
      </c>
      <c r="J151" s="1">
        <f>IFERROR(__xludf.DUMMYFUNCTION("""COMPUTED_VALUE"""),"+33685539959")</f>
        <v/>
      </c>
      <c r="K151" s="1" t="n"/>
      <c r="L151" s="1">
        <f>IFERROR(__xludf.DUMMYFUNCTION("""COMPUTED_VALUE"""),"France")</f>
        <v/>
      </c>
      <c r="M151" s="1">
        <f>IFERROR(__xludf.DUMMYFUNCTION("""COMPUTED_VALUE"""),"France, Netherlands, Switzerland")</f>
        <v/>
      </c>
      <c r="N151" s="1">
        <f>IFERROR(__xludf.DUMMYFUNCTION("""COMPUTED_VALUE"""),"Micro (1-9 FTE employees)")</f>
        <v/>
      </c>
      <c r="O151" s="1">
        <f>IFERROR(__xludf.DUMMYFUNCTION("""COMPUTED_VALUE"""),"Business to Business")</f>
        <v/>
      </c>
      <c r="P151" s="1">
        <f>IFERROR(__xludf.DUMMYFUNCTION("""COMPUTED_VALUE"""),"Corporate Training, Lifelong learning/Adult education")</f>
        <v/>
      </c>
      <c r="Q151" s="1">
        <f>IFERROR(__xludf.DUMMYFUNCTION("""COMPUTED_VALUE"""),"System/Administrative")</f>
        <v/>
      </c>
      <c r="R151" s="1" t="n"/>
      <c r="S151" s="1" t="n"/>
      <c r="T151" s="15">
        <f>IFERROR(__xludf.DUMMYFUNCTION("""COMPUTED_VALUE"""),"https://fr.linkedin.com/company/withanemon")</f>
        <v/>
      </c>
      <c r="U151" s="1">
        <f>IFERROR(__xludf.DUMMYFUNCTION("""COMPUTED_VALUE"""),"Anemon Tailored Impact")</f>
        <v/>
      </c>
      <c r="V151" s="1">
        <f>IFERROR(__xludf.DUMMYFUNCTION("""COMPUTED_VALUE"""),"100 % custom SMS-based learning experiences, inspired by academic research from Harvard and Stanford, co-designed with the client to address specific performance, engagement, or transformation needs. Ideal for QHSE, HR, and corporate communication teams l"&amp;"ooking for impact and measurable results")</f>
        <v/>
      </c>
      <c r="W151" s="1">
        <f>IFERROR(__xludf.DUMMYFUNCTION("""COMPUTED_VALUE"""),"Anemon Ready")</f>
        <v/>
      </c>
      <c r="X151" s="1">
        <f>IFERROR(__xludf.DUMMYFUNCTION("""COMPUTED_VALUE"""),"Ready-to-deploy augmented SMS learning modules covering key workplace topics (safety, RPS, AI per job, soft skills). Inspired by research from Harvard and Stanford, with an average 70% engagement rate, these courses require no platform or login and can be"&amp;" deployed in just 48h for fast")</f>
        <v/>
      </c>
      <c r="Y151" s="15">
        <f>IFERROR(__xludf.DUMMYFUNCTION("""COMPUTED_VALUE"""),"https://drive.google.com/uc?export=view&amp;id=1vHeUFHnB7iAIMvUrZyZfNtJYuDWvSVEh")</f>
        <v/>
      </c>
      <c r="Z151" s="1">
        <f>IFERROR(__xludf.DUMMYFUNCTION("""COMPUTED_VALUE"""),"Unverified")</f>
        <v/>
      </c>
      <c r="AA151" s="1">
        <f>IFERROR(__xludf.DUMMYFUNCTION("""COMPUTED_VALUE"""),"Public-private partnerships, Project consortium building, Collaborations between EdTech organisations")</f>
        <v/>
      </c>
      <c r="AB151" s="1">
        <f>IFERROR(__xludf.DUMMYFUNCTION("""COMPUTED_VALUE"""),"For-profit company")</f>
        <v/>
      </c>
      <c r="AC151" s="1">
        <f>IFERROR(__xludf.DUMMYFUNCTION("""COMPUTED_VALUE"""),FALSE)</f>
        <v/>
      </c>
      <c r="AD151" s="1">
        <f>IFERROR(__xludf.DUMMYFUNCTION("""COMPUTED_VALUE"""),TRUE)</f>
        <v/>
      </c>
      <c r="AE151" s="1" t="n"/>
    </row>
    <row r="152" ht="42" customHeight="1">
      <c r="A152" s="14">
        <f>IFERROR(__xludf.DUMMYFUNCTION("""COMPUTED_VALUE"""),45841)</f>
        <v/>
      </c>
      <c r="B152" s="1">
        <f>IFERROR(__xludf.DUMMYFUNCTION("""COMPUTED_VALUE"""),"ORG_2585")</f>
        <v/>
      </c>
      <c r="C152" s="1">
        <f>IFERROR(__xludf.DUMMYFUNCTION("""COMPUTED_VALUE"""),TRUE)</f>
        <v/>
      </c>
      <c r="D152" s="15">
        <f>IFERROR(__xludf.DUMMYFUNCTION("""COMPUTED_VALUE"""),"Youforget.me")</f>
        <v/>
      </c>
      <c r="E152" s="15">
        <f>IFERROR(__xludf.DUMMYFUNCTION("""COMPUTED_VALUE"""),"www.youforget.me")</f>
        <v/>
      </c>
      <c r="F152" s="1">
        <f>IFERROR(__xludf.DUMMYFUNCTION("""COMPUTED_VALUE"""),"Digital Well-Being and Privacy Protection")</f>
        <v/>
      </c>
      <c r="G152" s="1">
        <f>IFERROR(__xludf.DUMMYFUNCTION("""COMPUTED_VALUE"""),"SEK Lab, I'm not part of any EdTech association")</f>
        <v/>
      </c>
      <c r="H152" s="1">
        <f>IFERROR(__xludf.DUMMYFUNCTION("""COMPUTED_VALUE"""),"Spanish, English")</f>
        <v/>
      </c>
      <c r="I152" s="1">
        <f>IFERROR(__xludf.DUMMYFUNCTION("""COMPUTED_VALUE"""),"info@youforget.me")</f>
        <v/>
      </c>
      <c r="J152" s="1">
        <f>IFERROR(__xludf.DUMMYFUNCTION("""COMPUTED_VALUE"""),"+34640535976")</f>
        <v/>
      </c>
      <c r="K152" s="1">
        <f>IFERROR(__xludf.DUMMYFUNCTION("""COMPUTED_VALUE"""),"Sevilla")</f>
        <v/>
      </c>
      <c r="L152" s="1">
        <f>IFERROR(__xludf.DUMMYFUNCTION("""COMPUTED_VALUE"""),"Spain")</f>
        <v/>
      </c>
      <c r="M152" s="1">
        <f>IFERROR(__xludf.DUMMYFUNCTION("""COMPUTED_VALUE"""),"Spain")</f>
        <v/>
      </c>
      <c r="N152" s="1">
        <f>IFERROR(__xludf.DUMMYFUNCTION("""COMPUTED_VALUE"""),"Small (10-49 FTE employees)")</f>
        <v/>
      </c>
      <c r="O152" s="1">
        <f>IFERROR(__xludf.DUMMYFUNCTION("""COMPUTED_VALUE"""),"Business to Business, Business to Schools, Business to Government")</f>
        <v/>
      </c>
      <c r="P152" s="1">
        <f>IFERROR(__xludf.DUMMYFUNCTION("""COMPUTED_VALUE"""),"Secondary Education, Higher Education, Vocational Education and Training (VET)")</f>
        <v/>
      </c>
      <c r="Q152" s="1">
        <f>IFERROR(__xludf.DUMMYFUNCTION("""COMPUTED_VALUE"""),"Student interfacing, Teacher interfacing, System/Administrative")</f>
        <v/>
      </c>
      <c r="R152" s="1" t="n"/>
      <c r="S152" s="1" t="n"/>
      <c r="T152" s="1" t="n"/>
      <c r="U152" s="1">
        <f>IFERROR(__xludf.DUMMYFUNCTION("""COMPUTED_VALUE"""),"Mihuelladigital - MydigitalFootprint")</f>
        <v/>
      </c>
      <c r="V152" s="1">
        <f>IFERROR(__xludf.DUMMYFUNCTION("""COMPUTED_VALUE"""),"A framework to develop a culture of awareness, respect, and responsibility about students' digital behavior. A set of tools to ensure accountability against cyber-bullying and other digital incidents.")</f>
        <v/>
      </c>
      <c r="W152" s="1" t="n"/>
      <c r="X152" s="1" t="n"/>
      <c r="Y152" s="15">
        <f>IFERROR(__xludf.DUMMYFUNCTION("""COMPUTED_VALUE"""),"https://drive.google.com/uc?export=view&amp;id=13iZbo3W7k4QpTT6Pfn_tLRaJw0bfJetw")</f>
        <v/>
      </c>
      <c r="Z152" s="1">
        <f>IFERROR(__xludf.DUMMYFUNCTION("""COMPUTED_VALUE"""),"Unverified")</f>
        <v/>
      </c>
      <c r="AA152" s="1">
        <f>IFERROR(__xludf.DUMMYFUNCTION("""COMPUTED_VALUE"""),"Collaborations between EdTech organisations, Project consortium building, Public-private partnerships")</f>
        <v/>
      </c>
      <c r="AB152" s="1">
        <f>IFERROR(__xludf.DUMMYFUNCTION("""COMPUTED_VALUE"""),"For-profit company")</f>
        <v/>
      </c>
      <c r="AC152" s="1">
        <f>IFERROR(__xludf.DUMMYFUNCTION("""COMPUTED_VALUE"""),TRUE)</f>
        <v/>
      </c>
      <c r="AD152" s="1">
        <f>IFERROR(__xludf.DUMMYFUNCTION("""COMPUTED_VALUE"""),TRUE)</f>
        <v/>
      </c>
      <c r="AE152" s="1" t="n"/>
    </row>
    <row r="153" ht="42" customHeight="1">
      <c r="A153" s="14">
        <f>IFERROR(__xludf.DUMMYFUNCTION("""COMPUTED_VALUE"""),45841)</f>
        <v/>
      </c>
      <c r="B153" s="1">
        <f>IFERROR(__xludf.DUMMYFUNCTION("""COMPUTED_VALUE"""),"ORG_2584")</f>
        <v/>
      </c>
      <c r="C153" s="1">
        <f>IFERROR(__xludf.DUMMYFUNCTION("""COMPUTED_VALUE"""),TRUE)</f>
        <v/>
      </c>
      <c r="D153" s="1">
        <f>IFERROR(__xludf.DUMMYFUNCTION("""COMPUTED_VALUE"""),"ForClassmates")</f>
        <v/>
      </c>
      <c r="E153" s="15">
        <f>IFERROR(__xludf.DUMMYFUNCTION("""COMPUTED_VALUE"""),"www.forclassmates.com")</f>
        <v/>
      </c>
      <c r="F153" s="1">
        <f>IFERROR(__xludf.DUMMYFUNCTION("""COMPUTED_VALUE"""),"AI-powered platform that saves teachers time and makes learning more fun and personalized for students.")</f>
        <v/>
      </c>
      <c r="G153" s="1">
        <f>IFERROR(__xludf.DUMMYFUNCTION("""COMPUTED_VALUE"""),"I'm not part of any EdTech association")</f>
        <v/>
      </c>
      <c r="H153" s="1">
        <f>IFERROR(__xludf.DUMMYFUNCTION("""COMPUTED_VALUE"""),"English, French, Spanish, Italian, German, Czech")</f>
        <v/>
      </c>
      <c r="I153" s="1">
        <f>IFERROR(__xludf.DUMMYFUNCTION("""COMPUTED_VALUE"""),"info@forclassmates.com")</f>
        <v/>
      </c>
      <c r="J153" s="1">
        <f>IFERROR(__xludf.DUMMYFUNCTION("""COMPUTED_VALUE"""),"+420775036675")</f>
        <v/>
      </c>
      <c r="K153" s="1">
        <f>IFERROR(__xludf.DUMMYFUNCTION("""COMPUTED_VALUE"""),"Prague")</f>
        <v/>
      </c>
      <c r="L153" s="1">
        <f>IFERROR(__xludf.DUMMYFUNCTION("""COMPUTED_VALUE"""),"Czech Republic")</f>
        <v/>
      </c>
      <c r="M153" s="1">
        <f>IFERROR(__xludf.DUMMYFUNCTION("""COMPUTED_VALUE"""),"Czechia, Slovakia")</f>
        <v/>
      </c>
      <c r="N153" s="1">
        <f>IFERROR(__xludf.DUMMYFUNCTION("""COMPUTED_VALUE"""),"Small (10-49 FTE employees)")</f>
        <v/>
      </c>
      <c r="O153" s="1">
        <f>IFERROR(__xludf.DUMMYFUNCTION("""COMPUTED_VALUE"""),"Business to Schools, Business to Consumer, Business to Business")</f>
        <v/>
      </c>
      <c r="P153" s="1">
        <f>IFERROR(__xludf.DUMMYFUNCTION("""COMPUTED_VALUE"""),"Primary Education, Secondary Education, Higher Education, Corporate Training")</f>
        <v/>
      </c>
      <c r="Q153" s="1">
        <f>IFERROR(__xludf.DUMMYFUNCTION("""COMPUTED_VALUE"""),"Student interfacing, Teacher interfacing")</f>
        <v/>
      </c>
      <c r="R153" s="1" t="n"/>
      <c r="S153" s="1" t="n"/>
      <c r="T153" s="15">
        <f>IFERROR(__xludf.DUMMYFUNCTION("""COMPUTED_VALUE"""),"https://www.linkedin.com/company/forclassmates/")</f>
        <v/>
      </c>
      <c r="U153" s="1">
        <f>IFERROR(__xludf.DUMMYFUNCTION("""COMPUTED_VALUE"""),"ForClassmates subscription")</f>
        <v/>
      </c>
      <c r="V153" s="1">
        <f>IFERROR(__xludf.DUMMYFUNCTION("""COMPUTED_VALUE"""),"Monthly or yearly subscription with full access to all content and features.")</f>
        <v/>
      </c>
      <c r="W153" s="1" t="n"/>
      <c r="X153" s="1" t="n"/>
      <c r="Y153" s="15">
        <f>IFERROR(__xludf.DUMMYFUNCTION("""COMPUTED_VALUE"""),"https://drive.google.com/uc?export=view&amp;id=1mx-bi5orSGvVOsKiUb4PC90Cetz3kLAA")</f>
        <v/>
      </c>
      <c r="Z153" s="1">
        <f>IFERROR(__xludf.DUMMYFUNCTION("""COMPUTED_VALUE"""),"Unverified")</f>
        <v/>
      </c>
      <c r="AA153" s="1">
        <f>IFERROR(__xludf.DUMMYFUNCTION("""COMPUTED_VALUE"""),"Collaborations between EdTech organisations, Project consortium building, Public-private partnerships, Industry-academia partnerships")</f>
        <v/>
      </c>
      <c r="AB153" s="1">
        <f>IFERROR(__xludf.DUMMYFUNCTION("""COMPUTED_VALUE"""),"For-profit company")</f>
        <v/>
      </c>
      <c r="AC153" s="1">
        <f>IFERROR(__xludf.DUMMYFUNCTION("""COMPUTED_VALUE"""),TRUE)</f>
        <v/>
      </c>
      <c r="AD153" s="1">
        <f>IFERROR(__xludf.DUMMYFUNCTION("""COMPUTED_VALUE"""),TRUE)</f>
        <v/>
      </c>
      <c r="AE153" s="1" t="n"/>
    </row>
    <row r="154" ht="42" customHeight="1">
      <c r="A154" s="14">
        <f>IFERROR(__xludf.DUMMYFUNCTION("""COMPUTED_VALUE"""),45840)</f>
        <v/>
      </c>
      <c r="B154" s="1">
        <f>IFERROR(__xludf.DUMMYFUNCTION("""COMPUTED_VALUE"""),"ORG_2203")</f>
        <v/>
      </c>
      <c r="C154" s="1">
        <f>IFERROR(__xludf.DUMMYFUNCTION("""COMPUTED_VALUE"""),TRUE)</f>
        <v/>
      </c>
      <c r="D154" s="1">
        <f>IFERROR(__xludf.DUMMYFUNCTION("""COMPUTED_VALUE"""),"sAInaptic Limited")</f>
        <v/>
      </c>
      <c r="E154" s="15">
        <f>IFERROR(__xludf.DUMMYFUNCTION("""COMPUTED_VALUE"""),"https://sainaptic.com/")</f>
        <v/>
      </c>
      <c r="F154" s="1">
        <f>IFERROR(__xludf.DUMMYFUNCTION("""COMPUTED_VALUE"""),"sAInaptic is reinventing workforce certification through AI-powered evaluation. We partner with awarding bodies and training providers to automate marking of free-text and multimodal responses for vocational and skills-based qualifications—saving time, re"&amp;"ducing costs, and streamlining the assessment process. Our proprietary hybrid AI delivers human-level accuracy using minimal training data. By improving marking efficiency and feedback quality, we aim to accelerate the entry of skilled professionals into "&amp;"the workforce and build a future-ready, high-performing talent pipeline.")</f>
        <v/>
      </c>
      <c r="G154" s="1">
        <f>IFERROR(__xludf.DUMMYFUNCTION("""COMPUTED_VALUE"""),"I'm not part of any EdTech association")</f>
        <v/>
      </c>
      <c r="H154" s="1">
        <f>IFERROR(__xludf.DUMMYFUNCTION("""COMPUTED_VALUE"""),"English")</f>
        <v/>
      </c>
      <c r="I154" s="1">
        <f>IFERROR(__xludf.DUMMYFUNCTION("""COMPUTED_VALUE"""),"kavitha@sainaptic.com")</f>
        <v/>
      </c>
      <c r="J154" s="1">
        <f>IFERROR(__xludf.DUMMYFUNCTION("""COMPUTED_VALUE"""),"+447538524120")</f>
        <v/>
      </c>
      <c r="K154" s="1" t="n"/>
      <c r="L154" s="1">
        <f>IFERROR(__xludf.DUMMYFUNCTION("""COMPUTED_VALUE"""),"United Kingdom")</f>
        <v/>
      </c>
      <c r="M154" s="1">
        <f>IFERROR(__xludf.DUMMYFUNCTION("""COMPUTED_VALUE"""),"United Kingdom")</f>
        <v/>
      </c>
      <c r="N154" s="1">
        <f>IFERROR(__xludf.DUMMYFUNCTION("""COMPUTED_VALUE"""),"Micro (1-9 FTE employees)")</f>
        <v/>
      </c>
      <c r="O154" s="1">
        <f>IFERROR(__xludf.DUMMYFUNCTION("""COMPUTED_VALUE"""),"Business to Business")</f>
        <v/>
      </c>
      <c r="P154" s="1">
        <f>IFERROR(__xludf.DUMMYFUNCTION("""COMPUTED_VALUE"""),"Vocational Education and Training (VET), Lifelong learning/Adult education, Corporate Training")</f>
        <v/>
      </c>
      <c r="Q154" s="1">
        <f>IFERROR(__xludf.DUMMYFUNCTION("""COMPUTED_VALUE"""),"Teacher interfacing, Student interfacing")</f>
        <v/>
      </c>
      <c r="R154" s="1" t="n"/>
      <c r="S154" s="1" t="n"/>
      <c r="T154" s="15">
        <f>IFERROR(__xludf.DUMMYFUNCTION("""COMPUTED_VALUE"""),"https://www.linkedin.com/company/67557578/admin/dashboard/")</f>
        <v/>
      </c>
      <c r="U154" s="1">
        <f>IFERROR(__xludf.DUMMYFUNCTION("""COMPUTED_VALUE"""),"sAInaptic")</f>
        <v/>
      </c>
      <c r="V154" s="1">
        <f>IFERROR(__xludf.DUMMYFUNCTION("""COMPUTED_VALUE"""),"sAInaptic is reinventing workforce certification through AI-powered evaluation. We partner with awarding bodies and training providers to automate marking of free-text and multimodal responses for vocational and skills-based qualifications—saving time, re"&amp;"ducing costs, and streamlining the assessment")</f>
        <v/>
      </c>
      <c r="W154" s="1" t="n"/>
      <c r="X154" s="1" t="n"/>
      <c r="Y154" s="15">
        <f>IFERROR(__xludf.DUMMYFUNCTION("""COMPUTED_VALUE"""),"https://drive.google.com/uc?export=view&amp;id=1DhzLDf5vKzaafQ1Fw2UTirhvvAMFFZwH")</f>
        <v/>
      </c>
      <c r="Z154" s="1">
        <f>IFERROR(__xludf.DUMMYFUNCTION("""COMPUTED_VALUE"""),"Unverified")</f>
        <v/>
      </c>
      <c r="AA154" s="1">
        <f>IFERROR(__xludf.DUMMYFUNCTION("""COMPUTED_VALUE"""),"Collaborations between EdTech organisations, Public-private partnerships, Industry-academia partnerships")</f>
        <v/>
      </c>
      <c r="AB154" s="1">
        <f>IFERROR(__xludf.DUMMYFUNCTION("""COMPUTED_VALUE"""),"For-profit company")</f>
        <v/>
      </c>
      <c r="AC154" s="1">
        <f>IFERROR(__xludf.DUMMYFUNCTION("""COMPUTED_VALUE"""),TRUE)</f>
        <v/>
      </c>
      <c r="AD154" s="1">
        <f>IFERROR(__xludf.DUMMYFUNCTION("""COMPUTED_VALUE"""),TRUE)</f>
        <v/>
      </c>
      <c r="AE154" s="1" t="n"/>
    </row>
    <row r="155" ht="42" customHeight="1">
      <c r="A155" s="14">
        <f>IFERROR(__xludf.DUMMYFUNCTION("""COMPUTED_VALUE"""),45840)</f>
        <v/>
      </c>
      <c r="B155" s="1">
        <f>IFERROR(__xludf.DUMMYFUNCTION("""COMPUTED_VALUE"""),"ORG_2581")</f>
        <v/>
      </c>
      <c r="C155" s="1">
        <f>IFERROR(__xludf.DUMMYFUNCTION("""COMPUTED_VALUE"""),TRUE)</f>
        <v/>
      </c>
      <c r="D155" s="1">
        <f>IFERROR(__xludf.DUMMYFUNCTION("""COMPUTED_VALUE"""),"aMuze Interactive")</f>
        <v/>
      </c>
      <c r="E155" s="15">
        <f>IFERROR(__xludf.DUMMYFUNCTION("""COMPUTED_VALUE"""),"www.amuze-interactive.com")</f>
        <v/>
      </c>
      <c r="F155" s="1">
        <f>IFERROR(__xludf.DUMMYFUNCTION("""COMPUTED_VALUE"""),"We provide a unique cloud-based interactive presentation &amp; communication technology – iPosterSessions – to knowledge- and mission-driven organisations and individuals around the world, including Scientific, Medical and Scholarly Research Associations; Sch"&amp;"ools and Universities; Government, Corporate, and Non-Profit Research and Development Centers; Hospitals and Healthcare Networks; NGOs and Other Geographically-Dispersed Mission-Driven Organizations.")</f>
        <v/>
      </c>
      <c r="G155" s="1">
        <f>IFERROR(__xludf.DUMMYFUNCTION("""COMPUTED_VALUE"""),"I'm not part of any EdTech association")</f>
        <v/>
      </c>
      <c r="H155" s="1">
        <f>IFERROR(__xludf.DUMMYFUNCTION("""COMPUTED_VALUE"""),"English, German, French, Italian, Spanish")</f>
        <v/>
      </c>
      <c r="I155" s="1">
        <f>IFERROR(__xludf.DUMMYFUNCTION("""COMPUTED_VALUE"""),"info@amuze-interactive.com")</f>
        <v/>
      </c>
      <c r="J155" s="1">
        <f>IFERROR(__xludf.DUMMYFUNCTION("""COMPUTED_VALUE"""),"+46708837707")</f>
        <v/>
      </c>
      <c r="K155" s="1">
        <f>IFERROR(__xludf.DUMMYFUNCTION("""COMPUTED_VALUE"""),"Stockholm")</f>
        <v/>
      </c>
      <c r="L155" s="1">
        <f>IFERROR(__xludf.DUMMYFUNCTION("""COMPUTED_VALUE"""),"Sweden")</f>
        <v/>
      </c>
      <c r="M155" s="1">
        <f>IFERROR(__xludf.DUMMYFUNCTION("""COMPUTED_VALUE"""),"Sweden, France, Switzerland, United States of America")</f>
        <v/>
      </c>
      <c r="N155" s="1">
        <f>IFERROR(__xludf.DUMMYFUNCTION("""COMPUTED_VALUE"""),"Micro (1-9 FTE employees)")</f>
        <v/>
      </c>
      <c r="O155" s="1">
        <f>IFERROR(__xludf.DUMMYFUNCTION("""COMPUTED_VALUE"""),"Business to Business, Business to Government, Business to Schools")</f>
        <v/>
      </c>
      <c r="P155" s="1">
        <f>IFERROR(__xludf.DUMMYFUNCTION("""COMPUTED_VALUE"""),"Secondary Education, Higher Education, Corporate Training")</f>
        <v/>
      </c>
      <c r="Q155" s="1">
        <f>IFERROR(__xludf.DUMMYFUNCTION("""COMPUTED_VALUE"""),"Student interfacing, Teacher interfacing")</f>
        <v/>
      </c>
      <c r="R155" s="1" t="n"/>
      <c r="S155" s="1" t="n"/>
      <c r="T155" s="1" t="n"/>
      <c r="U155" s="1">
        <f>IFERROR(__xludf.DUMMYFUNCTION("""COMPUTED_VALUE"""),"iPosterSessions")</f>
        <v/>
      </c>
      <c r="V155" s="1">
        <f>IFERROR(__xludf.DUMMYFUNCTION("""COMPUTED_VALUE"""),"A cloud-based interactive presentation technology for Scientific, Medical and Scholarly Research Associations; Schools and Universities; Government, Corporate, and Non-Profit Research and Development Centers; Hospitals and Healthcare Networks; NGOs and Ot"&amp;"her Mission-Driven Organisations.")</f>
        <v/>
      </c>
      <c r="W155" s="1" t="n"/>
      <c r="X155" s="1" t="n"/>
      <c r="Y155" s="15">
        <f>IFERROR(__xludf.DUMMYFUNCTION("""COMPUTED_VALUE"""),"https://drive.google.com/uc?export=view&amp;id=1ube_7AHS-tY4qdUVHBGVPnlcYDSr8wtd")</f>
        <v/>
      </c>
      <c r="Z155" s="1">
        <f>IFERROR(__xludf.DUMMYFUNCTION("""COMPUTED_VALUE"""),"Unverified")</f>
        <v/>
      </c>
      <c r="AA155" s="1">
        <f>IFERROR(__xludf.DUMMYFUNCTION("""COMPUTED_VALUE"""),"Collaborations between EdTech organisations, Industry-academia partnerships")</f>
        <v/>
      </c>
      <c r="AB155" s="1">
        <f>IFERROR(__xludf.DUMMYFUNCTION("""COMPUTED_VALUE"""),"For-profit company")</f>
        <v/>
      </c>
      <c r="AC155" s="1">
        <f>IFERROR(__xludf.DUMMYFUNCTION("""COMPUTED_VALUE"""),FALSE)</f>
        <v/>
      </c>
      <c r="AD155" s="1">
        <f>IFERROR(__xludf.DUMMYFUNCTION("""COMPUTED_VALUE"""),TRUE)</f>
        <v/>
      </c>
      <c r="AE155" s="1" t="n"/>
    </row>
    <row r="156" ht="42" customHeight="1">
      <c r="A156" s="14">
        <f>IFERROR(__xludf.DUMMYFUNCTION("""COMPUTED_VALUE"""),45840)</f>
        <v/>
      </c>
      <c r="B156" s="1">
        <f>IFERROR(__xludf.DUMMYFUNCTION("""COMPUTED_VALUE"""),"ORG_2200")</f>
        <v/>
      </c>
      <c r="C156" s="1">
        <f>IFERROR(__xludf.DUMMYFUNCTION("""COMPUTED_VALUE"""),TRUE)</f>
        <v/>
      </c>
      <c r="D156" s="1">
        <f>IFERROR(__xludf.DUMMYFUNCTION("""COMPUTED_VALUE"""),"RosarioSIS")</f>
        <v/>
      </c>
      <c r="E156" s="15">
        <f>IFERROR(__xludf.DUMMYFUNCTION("""COMPUTED_VALUE"""),"https://www.rosariosis.org")</f>
        <v/>
      </c>
      <c r="F156" s="1">
        <f>IFERROR(__xludf.DUMMYFUNCTION("""COMPUTED_VALUE"""),"Free &amp; open source Student Information Systm for school management")</f>
        <v/>
      </c>
      <c r="G156" s="1">
        <f>IFERROR(__xludf.DUMMYFUNCTION("""COMPUTED_VALUE"""),"I'm not part of any EdTech association")</f>
        <v/>
      </c>
      <c r="H156" s="1">
        <f>IFERROR(__xludf.DUMMYFUNCTION("""COMPUTED_VALUE"""),"English, French, Spanish, German, Arabic, Portuguese, Greek, Turkish, Bulgarian")</f>
        <v/>
      </c>
      <c r="I156" s="1">
        <f>IFERROR(__xludf.DUMMYFUNCTION("""COMPUTED_VALUE"""),"info@rosariosis.org")</f>
        <v/>
      </c>
      <c r="J156" s="1">
        <f>IFERROR(__xludf.DUMMYFUNCTION("""COMPUTED_VALUE"""),"+33612345678")</f>
        <v/>
      </c>
      <c r="K156" s="1">
        <f>IFERROR(__xludf.DUMMYFUNCTION("""COMPUTED_VALUE"""),"Villeurbanne")</f>
        <v/>
      </c>
      <c r="L156" s="1">
        <f>IFERROR(__xludf.DUMMYFUNCTION("""COMPUTED_VALUE"""),"France")</f>
        <v/>
      </c>
      <c r="M156" s="1">
        <f>IFERROR(__xludf.DUMMYFUNCTION("""COMPUTED_VALUE"""),"France, Slovenia, Germany, Greece")</f>
        <v/>
      </c>
      <c r="N156" s="1">
        <f>IFERROR(__xludf.DUMMYFUNCTION("""COMPUTED_VALUE"""),"Solo entrepreneur")</f>
        <v/>
      </c>
      <c r="O156" s="1">
        <f>IFERROR(__xludf.DUMMYFUNCTION("""COMPUTED_VALUE"""),"Business to Schools, Business to Business")</f>
        <v/>
      </c>
      <c r="P156" s="1">
        <f>IFERROR(__xludf.DUMMYFUNCTION("""COMPUTED_VALUE"""),"Primary Education, Secondary Education, Higher Education, Early childhood development (0-5 years)")</f>
        <v/>
      </c>
      <c r="Q156" s="1">
        <f>IFERROR(__xludf.DUMMYFUNCTION("""COMPUTED_VALUE"""),"Student interfacing, Teacher interfacing, System/Administrative")</f>
        <v/>
      </c>
      <c r="R156" s="1" t="n"/>
      <c r="S156" s="1" t="n"/>
      <c r="T156" s="1" t="n"/>
      <c r="U156" s="1">
        <f>IFERROR(__xludf.DUMMYFUNCTION("""COMPUTED_VALUE"""),"RosarioSIS")</f>
        <v/>
      </c>
      <c r="V156" s="1">
        <f>IFERROR(__xludf.DUMMYFUNCTION("""COMPUTED_VALUE"""),"Student Information System for school management")</f>
        <v/>
      </c>
      <c r="W156" s="1" t="n"/>
      <c r="X156" s="1" t="n"/>
      <c r="Y156" s="15">
        <f>IFERROR(__xludf.DUMMYFUNCTION("""COMPUTED_VALUE"""),"https://drive.google.com/uc?export=view&amp;id=1oT_Sl7MpAWvx9CMW5Dfi1C3ImWV1vQxE")</f>
        <v/>
      </c>
      <c r="Z156" s="1">
        <f>IFERROR(__xludf.DUMMYFUNCTION("""COMPUTED_VALUE"""),"Unverified")</f>
        <v/>
      </c>
      <c r="AA156" s="1">
        <f>IFERROR(__xludf.DUMMYFUNCTION("""COMPUTED_VALUE"""),"Collaborations between EdTech organisations, Public-private partnerships")</f>
        <v/>
      </c>
      <c r="AB156" s="1">
        <f>IFERROR(__xludf.DUMMYFUNCTION("""COMPUTED_VALUE"""),"For-profit company")</f>
        <v/>
      </c>
      <c r="AC156" s="1">
        <f>IFERROR(__xludf.DUMMYFUNCTION("""COMPUTED_VALUE"""),TRUE)</f>
        <v/>
      </c>
      <c r="AD156" s="1">
        <f>IFERROR(__xludf.DUMMYFUNCTION("""COMPUTED_VALUE"""),FALSE)</f>
        <v/>
      </c>
      <c r="AE156" s="1" t="n"/>
    </row>
    <row r="157" ht="42" customHeight="1">
      <c r="A157" s="14">
        <f>IFERROR(__xludf.DUMMYFUNCTION("""COMPUTED_VALUE"""),45840)</f>
        <v/>
      </c>
      <c r="B157" s="1">
        <f>IFERROR(__xludf.DUMMYFUNCTION("""COMPUTED_VALUE"""),"ORG_2580")</f>
        <v/>
      </c>
      <c r="C157" s="1">
        <f>IFERROR(__xludf.DUMMYFUNCTION("""COMPUTED_VALUE"""),TRUE)</f>
        <v/>
      </c>
      <c r="D157" s="1">
        <f>IFERROR(__xludf.DUMMYFUNCTION("""COMPUTED_VALUE"""),"EngineeringTrainer")</f>
        <v/>
      </c>
      <c r="E157" s="15">
        <f>IFERROR(__xludf.DUMMYFUNCTION("""COMPUTED_VALUE"""),"EngineeringTrainer.com")</f>
        <v/>
      </c>
      <c r="F157" s="1">
        <f>IFERROR(__xludf.DUMMYFUNCTION("""COMPUTED_VALUE"""),"EngineeringTrainer is an online skill-development platform for technical professionals within the Energy and Chemical markets servicing both individuals as companies with training value and solutions to develop, measure and maintain technical skills.")</f>
        <v/>
      </c>
      <c r="G157" s="1">
        <f>IFERROR(__xludf.DUMMYFUNCTION("""COMPUTED_VALUE"""),"Dutch EdTech")</f>
        <v/>
      </c>
      <c r="H157" s="1">
        <f>IFERROR(__xludf.DUMMYFUNCTION("""COMPUTED_VALUE"""),"English")</f>
        <v/>
      </c>
      <c r="I157" s="1">
        <f>IFERROR(__xludf.DUMMYFUNCTION("""COMPUTED_VALUE"""),"hello@engineeringtrainer.com")</f>
        <v/>
      </c>
      <c r="J157" s="1">
        <f>IFERROR(__xludf.DUMMYFUNCTION("""COMPUTED_VALUE"""),"+31850580051")</f>
        <v/>
      </c>
      <c r="K157" s="1">
        <f>IFERROR(__xludf.DUMMYFUNCTION("""COMPUTED_VALUE"""),"Utrecht")</f>
        <v/>
      </c>
      <c r="L157" s="1">
        <f>IFERROR(__xludf.DUMMYFUNCTION("""COMPUTED_VALUE"""),"The Netherlands")</f>
        <v/>
      </c>
      <c r="M157" s="1">
        <f>IFERROR(__xludf.DUMMYFUNCTION("""COMPUTED_VALUE"""),"Albania, Andorra, Austria, Bosnia and Herzegovina, Belgium, Belarus, Bulgaria, Croatia, Republic of Cyprus, Estonia, Denmark, Czechia, Finland, France, Germany, Iceland, Hungary, Greece, Ireland, Italy, Kosovo, Lithuania, Liechtenstein, Latvia, Luxembourg"&amp;", Malta, Moldova, Netherlands, Montenegro, Monaco, North Macedonia, Norway, Poland, San Marino, Romania, Portugal, Slovakia, Slovenia, Spain, Turkey, Switzerland, Sweden, Ukraine, United Kingdom, Global")</f>
        <v/>
      </c>
      <c r="N157" s="1">
        <f>IFERROR(__xludf.DUMMYFUNCTION("""COMPUTED_VALUE"""),"Micro (1-9 FTE employees)")</f>
        <v/>
      </c>
      <c r="O157" s="1">
        <f>IFERROR(__xludf.DUMMYFUNCTION("""COMPUTED_VALUE"""),"Business to Business, Business to Consumer")</f>
        <v/>
      </c>
      <c r="P157" s="1">
        <f>IFERROR(__xludf.DUMMYFUNCTION("""COMPUTED_VALUE"""),"Lifelong learning/Adult education, Corporate Training")</f>
        <v/>
      </c>
      <c r="Q157" s="1">
        <f>IFERROR(__xludf.DUMMYFUNCTION("""COMPUTED_VALUE"""),"Student interfacing")</f>
        <v/>
      </c>
      <c r="R157" s="1" t="n"/>
      <c r="S157" s="1" t="n"/>
      <c r="T157" s="15">
        <f>IFERROR(__xludf.DUMMYFUNCTION("""COMPUTED_VALUE"""),"https://www.linkedin.com/school/12648209/")</f>
        <v/>
      </c>
      <c r="U157" s="1">
        <f>IFERROR(__xludf.DUMMYFUNCTION("""COMPUTED_VALUE"""),"Online Training for Engineering Professionals")</f>
        <v/>
      </c>
      <c r="V157" s="1">
        <f>IFERROR(__xludf.DUMMYFUNCTION("""COMPUTED_VALUE"""),"Roughly 200 training Courses, Learning Paths and Masterclasses for Engineers working in energy and chemical disciplines.")</f>
        <v/>
      </c>
      <c r="W157" s="1">
        <f>IFERROR(__xludf.DUMMYFUNCTION("""COMPUTED_VALUE"""),"Team, Business &amp; Enterprise Accounts")</f>
        <v/>
      </c>
      <c r="X157" s="1">
        <f>IFERROR(__xludf.DUMMYFUNCTION("""COMPUTED_VALUE"""),"Through our B2B offerings we not only service the engineering professionals but also their organizations by means of learner data-insights, custom Learning Paths &amp; Internal courses and IT integrations.")</f>
        <v/>
      </c>
      <c r="Y157" s="15">
        <f>IFERROR(__xludf.DUMMYFUNCTION("""COMPUTED_VALUE"""),"https://drive.google.com/uc?export=view&amp;id=1DQCRe50KhT1Ss5FT4WOBWLQR5vA54yFa")</f>
        <v/>
      </c>
      <c r="Z157" s="1">
        <f>IFERROR(__xludf.DUMMYFUNCTION("""COMPUTED_VALUE"""),"Unverified")</f>
        <v/>
      </c>
      <c r="AA157" s="1">
        <f>IFERROR(__xludf.DUMMYFUNCTION("""COMPUTED_VALUE"""),"Collaborations between EdTech organisations, Project consortium building, Public-private partnerships, Industry-academia partnerships")</f>
        <v/>
      </c>
      <c r="AB157" s="1">
        <f>IFERROR(__xludf.DUMMYFUNCTION("""COMPUTED_VALUE"""),"For-profit company")</f>
        <v/>
      </c>
      <c r="AC157" s="1">
        <f>IFERROR(__xludf.DUMMYFUNCTION("""COMPUTED_VALUE"""),TRUE)</f>
        <v/>
      </c>
      <c r="AD157" s="1">
        <f>IFERROR(__xludf.DUMMYFUNCTION("""COMPUTED_VALUE"""),TRUE)</f>
        <v/>
      </c>
      <c r="AE157" s="1" t="n"/>
    </row>
    <row r="158" ht="42" customHeight="1">
      <c r="A158" s="14">
        <f>IFERROR(__xludf.DUMMYFUNCTION("""COMPUTED_VALUE"""),45840)</f>
        <v/>
      </c>
      <c r="B158" s="1">
        <f>IFERROR(__xludf.DUMMYFUNCTION("""COMPUTED_VALUE"""),"ORG_2579")</f>
        <v/>
      </c>
      <c r="C158" s="1">
        <f>IFERROR(__xludf.DUMMYFUNCTION("""COMPUTED_VALUE"""),TRUE)</f>
        <v/>
      </c>
      <c r="D158" s="1">
        <f>IFERROR(__xludf.DUMMYFUNCTION("""COMPUTED_VALUE"""),"DIFI.NET OÜ")</f>
        <v/>
      </c>
      <c r="E158" s="15">
        <f>IFERROR(__xludf.DUMMYFUNCTION("""COMPUTED_VALUE"""),"https://ste.education")</f>
        <v/>
      </c>
      <c r="F158" s="1">
        <f>IFERROR(__xludf.DUMMYFUNCTION("""COMPUTED_VALUE"""),"DIFI.NET specialises in educational technologies, enhancing digital competence through teacher training, digital learning materials, and software aligned with Estonia’s school curriculum.")</f>
        <v/>
      </c>
      <c r="G158" s="1">
        <f>IFERROR(__xludf.DUMMYFUNCTION("""COMPUTED_VALUE"""),"I'm not part of any EdTech association")</f>
        <v/>
      </c>
      <c r="H158" s="1">
        <f>IFERROR(__xludf.DUMMYFUNCTION("""COMPUTED_VALUE"""),"English, Estonian")</f>
        <v/>
      </c>
      <c r="I158" s="1">
        <f>IFERROR(__xludf.DUMMYFUNCTION("""COMPUTED_VALUE"""),"ask@ste.education")</f>
        <v/>
      </c>
      <c r="J158" s="1">
        <f>IFERROR(__xludf.DUMMYFUNCTION("""COMPUTED_VALUE"""),"+37255515542")</f>
        <v/>
      </c>
      <c r="K158" s="1">
        <f>IFERROR(__xludf.DUMMYFUNCTION("""COMPUTED_VALUE"""),"Tallinn")</f>
        <v/>
      </c>
      <c r="L158" s="1">
        <f>IFERROR(__xludf.DUMMYFUNCTION("""COMPUTED_VALUE"""),"Estonia")</f>
        <v/>
      </c>
      <c r="M158" s="1">
        <f>IFERROR(__xludf.DUMMYFUNCTION("""COMPUTED_VALUE"""),"Estonia, Latvia, Lithuania")</f>
        <v/>
      </c>
      <c r="N158" s="1">
        <f>IFERROR(__xludf.DUMMYFUNCTION("""COMPUTED_VALUE"""),"Micro (1-9 FTE employees)")</f>
        <v/>
      </c>
      <c r="O158" s="1">
        <f>IFERROR(__xludf.DUMMYFUNCTION("""COMPUTED_VALUE"""),"Business to Government, Business to Business, Business to Schools")</f>
        <v/>
      </c>
      <c r="P158" s="1">
        <f>IFERROR(__xludf.DUMMYFUNCTION("""COMPUTED_VALUE"""),"Higher Education, Vocational Education and Training (VET), Secondary Education, Primary Education, Early childhood development (0-5 years)")</f>
        <v/>
      </c>
      <c r="Q158" s="1">
        <f>IFERROR(__xludf.DUMMYFUNCTION("""COMPUTED_VALUE"""),"Student interfacing, Teacher interfacing")</f>
        <v/>
      </c>
      <c r="R158" s="15">
        <f>IFERROR(__xludf.DUMMYFUNCTION("""COMPUTED_VALUE"""),"https://www.instagram.com/ste.education/")</f>
        <v/>
      </c>
      <c r="S158" s="1" t="n"/>
      <c r="T158" s="1" t="n"/>
      <c r="U158" s="1">
        <f>IFERROR(__xludf.DUMMYFUNCTION("""COMPUTED_VALUE"""),"Computational Thinking Course")</f>
        <v/>
      </c>
      <c r="V158" s="1">
        <f>IFERROR(__xludf.DUMMYFUNCTION("""COMPUTED_VALUE"""),"Develop interdisciplinary problem-solving skills through computational thinking. This course provides practical training in data collection, analysis, and visual programming, empowering learners to independently apply digital technologies in academic and "&amp;"research contexts.")</f>
        <v/>
      </c>
      <c r="W158" s="1">
        <f>IFERROR(__xludf.DUMMYFUNCTION("""COMPUTED_VALUE"""),"STEM &amp; Educational Product Distribution")</f>
        <v/>
      </c>
      <c r="X158" s="1">
        <f>IFERROR(__xludf.DUMMYFUNCTION("""COMPUTED_VALUE"""),"We source and deliver curated hands-on STEM kits, lab equipment, and digital learning tools to kindergartens, schools, universities, and training centers.")</f>
        <v/>
      </c>
      <c r="Y158" s="15">
        <f>IFERROR(__xludf.DUMMYFUNCTION("""COMPUTED_VALUE"""),"https://drive.google.com/uc?export=view&amp;id=1xEAsOt6AHQJZtbzgNlddHPdsoOtOgWtT")</f>
        <v/>
      </c>
      <c r="Z158" s="1">
        <f>IFERROR(__xludf.DUMMYFUNCTION("""COMPUTED_VALUE"""),"Unverified")</f>
        <v/>
      </c>
      <c r="AA158" s="1">
        <f>IFERROR(__xludf.DUMMYFUNCTION("""COMPUTED_VALUE"""),"Collaborations between EdTech organisations, Project consortium building, Public-private partnerships")</f>
        <v/>
      </c>
      <c r="AB158" s="1">
        <f>IFERROR(__xludf.DUMMYFUNCTION("""COMPUTED_VALUE"""),"For-profit company")</f>
        <v/>
      </c>
      <c r="AC158" s="1">
        <f>IFERROR(__xludf.DUMMYFUNCTION("""COMPUTED_VALUE"""),TRUE)</f>
        <v/>
      </c>
      <c r="AD158" s="1">
        <f>IFERROR(__xludf.DUMMYFUNCTION("""COMPUTED_VALUE"""),TRUE)</f>
        <v/>
      </c>
      <c r="AE158" s="15">
        <f>IFERROR(__xludf.DUMMYFUNCTION("""COMPUTED_VALUE"""),"https://www.facebook.com/science.technology.engineering.education/")</f>
        <v/>
      </c>
    </row>
    <row r="159" ht="42" customHeight="1">
      <c r="A159" s="14">
        <f>IFERROR(__xludf.DUMMYFUNCTION("""COMPUTED_VALUE"""),45840)</f>
        <v/>
      </c>
      <c r="B159" s="1">
        <f>IFERROR(__xludf.DUMMYFUNCTION("""COMPUTED_VALUE"""),"ORG_2578")</f>
        <v/>
      </c>
      <c r="C159" s="1">
        <f>IFERROR(__xludf.DUMMYFUNCTION("""COMPUTED_VALUE"""),TRUE)</f>
        <v/>
      </c>
      <c r="D159" s="1">
        <f>IFERROR(__xludf.DUMMYFUNCTION("""COMPUTED_VALUE"""),"KissFilm-Stúdió Ltd.")</f>
        <v/>
      </c>
      <c r="E159" s="15">
        <f>IFERROR(__xludf.DUMMYFUNCTION("""COMPUTED_VALUE"""),"steamprogramedu.com")</f>
        <v/>
      </c>
      <c r="F159" s="1">
        <f>IFERROR(__xludf.DUMMYFUNCTION("""COMPUTED_VALUE"""),"Creation of educational materials on the topic of artificial intelligence and robotics (drones), as well as distribution of robots")</f>
        <v/>
      </c>
      <c r="G159" s="1">
        <f>IFERROR(__xludf.DUMMYFUNCTION("""COMPUTED_VALUE"""),"EduTech Hungary")</f>
        <v/>
      </c>
      <c r="H159" s="1" t="n"/>
      <c r="I159" s="1">
        <f>IFERROR(__xludf.DUMMYFUNCTION("""COMPUTED_VALUE"""),"zsigmond.kiss@gmail.com")</f>
        <v/>
      </c>
      <c r="J159" s="1">
        <f>IFERROR(__xludf.DUMMYFUNCTION("""COMPUTED_VALUE"""),"+36203628838")</f>
        <v/>
      </c>
      <c r="K159" s="1">
        <f>IFERROR(__xludf.DUMMYFUNCTION("""COMPUTED_VALUE"""),"Budapest")</f>
        <v/>
      </c>
      <c r="L159" s="1">
        <f>IFERROR(__xludf.DUMMYFUNCTION("""COMPUTED_VALUE"""),"Hungary")</f>
        <v/>
      </c>
      <c r="M159" s="1">
        <f>IFERROR(__xludf.DUMMYFUNCTION("""COMPUTED_VALUE"""),"Hungary")</f>
        <v/>
      </c>
      <c r="N159" s="1">
        <f>IFERROR(__xludf.DUMMYFUNCTION("""COMPUTED_VALUE"""),"Micro (1-9 FTE employees)")</f>
        <v/>
      </c>
      <c r="O159" s="1">
        <f>IFERROR(__xludf.DUMMYFUNCTION("""COMPUTED_VALUE"""),"Business to Schools")</f>
        <v/>
      </c>
      <c r="P159" s="1">
        <f>IFERROR(__xludf.DUMMYFUNCTION("""COMPUTED_VALUE"""),"Vocational Education and Training (VET), Secondary Education, Higher Education, Lifelong learning/Adult education")</f>
        <v/>
      </c>
      <c r="Q159" s="1">
        <f>IFERROR(__xludf.DUMMYFUNCTION("""COMPUTED_VALUE"""),"Student interfacing, Teacher interfacing")</f>
        <v/>
      </c>
      <c r="R159" s="1" t="n"/>
      <c r="S159" s="1" t="n"/>
      <c r="T159" s="1" t="n"/>
      <c r="U159" s="1">
        <f>IFERROR(__xludf.DUMMYFUNCTION("""COMPUTED_VALUE"""),"Teaching the programming and use of artificial intelligence")</f>
        <v/>
      </c>
      <c r="V159" s="1">
        <f>IFERROR(__xludf.DUMMYFUNCTION("""COMPUTED_VALUE"""),"Teaching the programming and use of artificial intelligence")</f>
        <v/>
      </c>
      <c r="W159" s="1">
        <f>IFERROR(__xludf.DUMMYFUNCTION("""COMPUTED_VALUE"""),"Distribution of robots (drones)")</f>
        <v/>
      </c>
      <c r="X159" s="1">
        <f>IFERROR(__xludf.DUMMYFUNCTION("""COMPUTED_VALUE"""),"Distribution of robots (drones)")</f>
        <v/>
      </c>
      <c r="Y159" s="15">
        <f>IFERROR(__xludf.DUMMYFUNCTION("""COMPUTED_VALUE"""),"https://drive.google.com/uc?export=view&amp;id=1vnkWDnS-70JVOMoBWh2U5DdmcIifoNhq")</f>
        <v/>
      </c>
      <c r="Z159" s="1">
        <f>IFERROR(__xludf.DUMMYFUNCTION("""COMPUTED_VALUE"""),"Unverified")</f>
        <v/>
      </c>
      <c r="AA159" s="1">
        <f>IFERROR(__xludf.DUMMYFUNCTION("""COMPUTED_VALUE"""),"Collaborations between EdTech organisations, Project consortium building, Public-private partnerships, Industry-academia partnerships")</f>
        <v/>
      </c>
      <c r="AB159" s="1">
        <f>IFERROR(__xludf.DUMMYFUNCTION("""COMPUTED_VALUE"""),"For-profit company")</f>
        <v/>
      </c>
      <c r="AC159" s="1">
        <f>IFERROR(__xludf.DUMMYFUNCTION("""COMPUTED_VALUE"""),TRUE)</f>
        <v/>
      </c>
      <c r="AD159" s="1">
        <f>IFERROR(__xludf.DUMMYFUNCTION("""COMPUTED_VALUE"""),TRUE)</f>
        <v/>
      </c>
      <c r="AE159" s="15">
        <f>IFERROR(__xludf.DUMMYFUNCTION("""COMPUTED_VALUE"""),"https://www.facebook.com/profile.php?id=100063712953645")</f>
        <v/>
      </c>
    </row>
    <row r="160" ht="42" customHeight="1">
      <c r="A160" s="14">
        <f>IFERROR(__xludf.DUMMYFUNCTION("""COMPUTED_VALUE"""),45840)</f>
        <v/>
      </c>
      <c r="B160" s="1">
        <f>IFERROR(__xludf.DUMMYFUNCTION("""COMPUTED_VALUE"""),"ORG_2069")</f>
        <v/>
      </c>
      <c r="C160" s="1">
        <f>IFERROR(__xludf.DUMMYFUNCTION("""COMPUTED_VALUE"""),TRUE)</f>
        <v/>
      </c>
      <c r="D160" s="1">
        <f>IFERROR(__xludf.DUMMYFUNCTION("""COMPUTED_VALUE"""),"OnSpect")</f>
        <v/>
      </c>
      <c r="E160" s="15">
        <f>IFERROR(__xludf.DUMMYFUNCTION("""COMPUTED_VALUE"""),"https://onspect.nl")</f>
        <v/>
      </c>
      <c r="F160" s="1">
        <f>IFERROR(__xludf.DUMMYFUNCTION("""COMPUTED_VALUE"""),"OnSpect is a comprehensive digital platform designed to enhance the quality of education by facilitating effective quality management in schools. It enables schools to document and maintain their vision and policies in one centralized location, simplifyin"&amp;"g the translation of these policies into classroom practice. This platform is instrumental in preparing schools for inspections and fosters collaboration among staff. OnSpect includes built-in quality cycles, ensuring that the education quality is always "&amp;"up to standard and policies remain current. It also aids in project management through a digital quality calendar, making processes transparent and responsibilities clear. OnSpect is tailored for primary, secondary, and vocational education, as well as fo"&amp;"r school boards, with each version offering specific modules and frameworks. The platform is praised for its ease of use and effectiveness in organizing and presenting information during inspections.")</f>
        <v/>
      </c>
      <c r="G160" s="1">
        <f>IFERROR(__xludf.DUMMYFUNCTION("""COMPUTED_VALUE"""),"Dutch EdTech")</f>
        <v/>
      </c>
      <c r="H160" s="1">
        <f>IFERROR(__xludf.DUMMYFUNCTION("""COMPUTED_VALUE"""),"Dutch")</f>
        <v/>
      </c>
      <c r="I160" s="1">
        <f>IFERROR(__xludf.DUMMYFUNCTION("""COMPUTED_VALUE"""),"info@onspect.nl")</f>
        <v/>
      </c>
      <c r="J160" s="1">
        <f>IFERROR(__xludf.DUMMYFUNCTION("""COMPUTED_VALUE"""),"+31850607845")</f>
        <v/>
      </c>
      <c r="K160" s="1">
        <f>IFERROR(__xludf.DUMMYFUNCTION("""COMPUTED_VALUE"""),"Amstelveen")</f>
        <v/>
      </c>
      <c r="L160" s="1">
        <f>IFERROR(__xludf.DUMMYFUNCTION("""COMPUTED_VALUE"""),"The Netherlands")</f>
        <v/>
      </c>
      <c r="M160" s="1">
        <f>IFERROR(__xludf.DUMMYFUNCTION("""COMPUTED_VALUE"""),"Netherlands")</f>
        <v/>
      </c>
      <c r="N160" s="1">
        <f>IFERROR(__xludf.DUMMYFUNCTION("""COMPUTED_VALUE"""),"Micro (1-9 FTE employees)")</f>
        <v/>
      </c>
      <c r="O160" s="1">
        <f>IFERROR(__xludf.DUMMYFUNCTION("""COMPUTED_VALUE"""),"Business to Schools")</f>
        <v/>
      </c>
      <c r="P160" s="1">
        <f>IFERROR(__xludf.DUMMYFUNCTION("""COMPUTED_VALUE"""),"Primary Education, Secondary Education, Vocational Education and Training (VET), Special Education")</f>
        <v/>
      </c>
      <c r="Q160" s="1">
        <f>IFERROR(__xludf.DUMMYFUNCTION("""COMPUTED_VALUE"""),"System/Administrative")</f>
        <v/>
      </c>
      <c r="R160" s="1" t="n"/>
      <c r="S160" s="1" t="n"/>
      <c r="T160" s="15">
        <f>IFERROR(__xludf.DUMMYFUNCTION("""COMPUTED_VALUE"""),"https://www.linkedin.com/company/onspect")</f>
        <v/>
      </c>
      <c r="U160" s="1">
        <f>IFERROR(__xludf.DUMMYFUNCTION("""COMPUTED_VALUE"""),"OnSpect application")</f>
        <v/>
      </c>
      <c r="V160" s="1">
        <f>IFERROR(__xludf.DUMMYFUNCTION("""COMPUTED_VALUE"""),"OnSpect is a comprehensive digital platform designed to enhance the quality of education by facilitating effective quality management in schools.")</f>
        <v/>
      </c>
      <c r="W160" s="1" t="n"/>
      <c r="X160" s="1" t="n"/>
      <c r="Y160" s="15">
        <f>IFERROR(__xludf.DUMMYFUNCTION("""COMPUTED_VALUE"""),"https://drive.google.com/uc?export=view&amp;id=1AU0NzWzHHkGRM43EKQg_qELwdJ8MHZPI")</f>
        <v/>
      </c>
      <c r="Z160" s="1">
        <f>IFERROR(__xludf.DUMMYFUNCTION("""COMPUTED_VALUE"""),"Unverified")</f>
        <v/>
      </c>
      <c r="AA160" s="1">
        <f>IFERROR(__xludf.DUMMYFUNCTION("""COMPUTED_VALUE"""),"Collaborations between EdTech organisations, Public-private partnerships")</f>
        <v/>
      </c>
      <c r="AB160" s="1">
        <f>IFERROR(__xludf.DUMMYFUNCTION("""COMPUTED_VALUE"""),"For-profit company")</f>
        <v/>
      </c>
      <c r="AC160" s="1">
        <f>IFERROR(__xludf.DUMMYFUNCTION("""COMPUTED_VALUE"""),TRUE)</f>
        <v/>
      </c>
      <c r="AD160" s="1">
        <f>IFERROR(__xludf.DUMMYFUNCTION("""COMPUTED_VALUE"""),FALSE)</f>
        <v/>
      </c>
      <c r="AE160" s="1" t="n"/>
    </row>
    <row r="161" ht="42" customHeight="1">
      <c r="A161" s="14">
        <f>IFERROR(__xludf.DUMMYFUNCTION("""COMPUTED_VALUE"""),45840)</f>
        <v/>
      </c>
      <c r="B161" s="1">
        <f>IFERROR(__xludf.DUMMYFUNCTION("""COMPUTED_VALUE"""),"ORG_1833")</f>
        <v/>
      </c>
      <c r="C161" s="1">
        <f>IFERROR(__xludf.DUMMYFUNCTION("""COMPUTED_VALUE"""),TRUE)</f>
        <v/>
      </c>
      <c r="D161" s="1">
        <f>IFERROR(__xludf.DUMMYFUNCTION("""COMPUTED_VALUE"""),"Learning by Questions")</f>
        <v/>
      </c>
      <c r="E161" s="15">
        <f>IFERROR(__xludf.DUMMYFUNCTION("""COMPUTED_VALUE"""),"www.lbq.org")</f>
        <v/>
      </c>
      <c r="F161" s="1">
        <f>IFERROR(__xludf.DUMMYFUNCTION("""COMPUTED_VALUE"""),"LbQ is an award-winning app that improves education with a pedagogy based on timely feedback, intervention and reduced teacher workload.")</f>
        <v/>
      </c>
      <c r="G161" s="1">
        <f>IFERROR(__xludf.DUMMYFUNCTION("""COMPUTED_VALUE"""),"I'm not part of any EdTech association")</f>
        <v/>
      </c>
      <c r="H161" s="1">
        <f>IFERROR(__xludf.DUMMYFUNCTION("""COMPUTED_VALUE"""),"English")</f>
        <v/>
      </c>
      <c r="I161" s="1">
        <f>IFERROR(__xludf.DUMMYFUNCTION("""COMPUTED_VALUE"""),"info@lbq.org")</f>
        <v/>
      </c>
      <c r="J161" s="1">
        <f>IFERROR(__xludf.DUMMYFUNCTION("""COMPUTED_VALUE"""),"+441254688060")</f>
        <v/>
      </c>
      <c r="K161" s="1">
        <f>IFERROR(__xludf.DUMMYFUNCTION("""COMPUTED_VALUE"""),"Blackburn")</f>
        <v/>
      </c>
      <c r="L161" s="1">
        <f>IFERROR(__xludf.DUMMYFUNCTION("""COMPUTED_VALUE"""),"United Kingdom")</f>
        <v/>
      </c>
      <c r="M161" s="1">
        <f>IFERROR(__xludf.DUMMYFUNCTION("""COMPUTED_VALUE"""),"United Kingdom")</f>
        <v/>
      </c>
      <c r="N161" s="1">
        <f>IFERROR(__xludf.DUMMYFUNCTION("""COMPUTED_VALUE"""),"Medium (50-250 FTE employees)")</f>
        <v/>
      </c>
      <c r="O161" s="1">
        <f>IFERROR(__xludf.DUMMYFUNCTION("""COMPUTED_VALUE"""),"Business to Schools")</f>
        <v/>
      </c>
      <c r="P161" s="1">
        <f>IFERROR(__xludf.DUMMYFUNCTION("""COMPUTED_VALUE"""),"Primary Education, Secondary Education")</f>
        <v/>
      </c>
      <c r="Q161" s="1">
        <f>IFERROR(__xludf.DUMMYFUNCTION("""COMPUTED_VALUE"""),"Student interfacing, Teacher interfacing")</f>
        <v/>
      </c>
      <c r="R161" s="1" t="n"/>
      <c r="S161" s="15">
        <f>IFERROR(__xludf.DUMMYFUNCTION("""COMPUTED_VALUE"""),"https://x.com/lbqorg")</f>
        <v/>
      </c>
      <c r="T161" s="15">
        <f>IFERROR(__xludf.DUMMYFUNCTION("""COMPUTED_VALUE"""),"https://www.linkedin.com/company/learning-by-questions")</f>
        <v/>
      </c>
      <c r="U161" s="1">
        <f>IFERROR(__xludf.DUMMYFUNCTION("""COMPUTED_VALUE"""),"Wayfinder")</f>
        <v/>
      </c>
      <c r="V161" s="1">
        <f>IFERROR(__xludf.DUMMYFUNCTION("""COMPUTED_VALUE"""),"Digitally enhanced best practices to boost pupil progress using instant feedback for pupils and instant insights for teachers.")</f>
        <v/>
      </c>
      <c r="W161" s="1">
        <f>IFERROR(__xludf.DUMMYFUNCTION("""COMPUTED_VALUE"""),"SATs Springboard")</f>
        <v/>
      </c>
      <c r="X161" s="1">
        <f>IFERROR(__xludf.DUMMYFUNCTION("""COMPUTED_VALUE"""),"A personalised revision roadmap for your year 6s!
With 98% of teachers seeing greater progress and 100% reporting a reduction in workload, SATs prep has never been more efficient — or more impactful.")</f>
        <v/>
      </c>
      <c r="Y161" s="15">
        <f>IFERROR(__xludf.DUMMYFUNCTION("""COMPUTED_VALUE"""),"https://drive.google.com/uc?export=view&amp;id=1c2EyY9L3T6lky5RkyKEeD-hrPUtVf4c0")</f>
        <v/>
      </c>
      <c r="Z161" s="1">
        <f>IFERROR(__xludf.DUMMYFUNCTION("""COMPUTED_VALUE"""),"Unverified")</f>
        <v/>
      </c>
      <c r="AA161" s="1" t="n"/>
      <c r="AB161" s="1">
        <f>IFERROR(__xludf.DUMMYFUNCTION("""COMPUTED_VALUE"""),"For-profit company")</f>
        <v/>
      </c>
      <c r="AC161" s="1">
        <f>IFERROR(__xludf.DUMMYFUNCTION("""COMPUTED_VALUE"""),TRUE)</f>
        <v/>
      </c>
      <c r="AD161" s="1">
        <f>IFERROR(__xludf.DUMMYFUNCTION("""COMPUTED_VALUE"""),TRUE)</f>
        <v/>
      </c>
      <c r="AE161" s="15">
        <f>IFERROR(__xludf.DUMMYFUNCTION("""COMPUTED_VALUE"""),"https://www.facebook.com/LearningbyQuestions")</f>
        <v/>
      </c>
    </row>
    <row r="162" ht="42" customHeight="1">
      <c r="A162" s="14">
        <f>IFERROR(__xludf.DUMMYFUNCTION("""COMPUTED_VALUE"""),45840)</f>
        <v/>
      </c>
      <c r="B162" s="1">
        <f>IFERROR(__xludf.DUMMYFUNCTION("""COMPUTED_VALUE"""),"ORG_2577")</f>
        <v/>
      </c>
      <c r="C162" s="1">
        <f>IFERROR(__xludf.DUMMYFUNCTION("""COMPUTED_VALUE"""),TRUE)</f>
        <v/>
      </c>
      <c r="D162" s="1">
        <f>IFERROR(__xludf.DUMMYFUNCTION("""COMPUTED_VALUE"""),"Opentunti Oy")</f>
        <v/>
      </c>
      <c r="E162" s="15">
        <f>IFERROR(__xludf.DUMMYFUNCTION("""COMPUTED_VALUE"""),"www.desku.fi")</f>
        <v/>
      </c>
      <c r="F162" s="1">
        <f>IFERROR(__xludf.DUMMYFUNCTION("""COMPUTED_VALUE"""),"Opentunti Oy is a Finnish public-benefit EdTech company providing practical digital tools for schools, municipalities, and early childhood education providers. Our core services – including the Desku digital workspace and identity automation tools – strea"&amp;"mline everyday school tasks, reduce IT workload, and improve data security. We are trusted by a growing number of Finnish education providers and actively contribute to national digital infrastructure development (e.g. MPASSid federation). Our solutions a"&amp;"re designed together with educators and are already used daily in hundreds of schools across Finland.")</f>
        <v/>
      </c>
      <c r="G162" s="1">
        <f>IFERROR(__xludf.DUMMYFUNCTION("""COMPUTED_VALUE"""),"EdTech Finland")</f>
        <v/>
      </c>
      <c r="H162" s="1">
        <f>IFERROR(__xludf.DUMMYFUNCTION("""COMPUTED_VALUE"""),"English, Finnish, Swedish")</f>
        <v/>
      </c>
      <c r="I162" s="1">
        <f>IFERROR(__xludf.DUMMYFUNCTION("""COMPUTED_VALUE"""),"myynti@opentunti.fi")</f>
        <v/>
      </c>
      <c r="J162" s="1">
        <f>IFERROR(__xludf.DUMMYFUNCTION("""COMPUTED_VALUE"""),"+358504616530")</f>
        <v/>
      </c>
      <c r="K162" s="1">
        <f>IFERROR(__xludf.DUMMYFUNCTION("""COMPUTED_VALUE"""),"Rusko")</f>
        <v/>
      </c>
      <c r="L162" s="1">
        <f>IFERROR(__xludf.DUMMYFUNCTION("""COMPUTED_VALUE"""),"Finland")</f>
        <v/>
      </c>
      <c r="M162" s="1">
        <f>IFERROR(__xludf.DUMMYFUNCTION("""COMPUTED_VALUE"""),"Finland")</f>
        <v/>
      </c>
      <c r="N162" s="1">
        <f>IFERROR(__xludf.DUMMYFUNCTION("""COMPUTED_VALUE"""),"Micro (1-9 FTE employees)")</f>
        <v/>
      </c>
      <c r="O162" s="1">
        <f>IFERROR(__xludf.DUMMYFUNCTION("""COMPUTED_VALUE"""),"Business to Schools, Business to Business, Business to Government")</f>
        <v/>
      </c>
      <c r="P162" s="1">
        <f>IFERROR(__xludf.DUMMYFUNCTION("""COMPUTED_VALUE"""),"Primary Education, Secondary Education, Early childhood development (0-5 years)")</f>
        <v/>
      </c>
      <c r="Q162" s="1">
        <f>IFERROR(__xludf.DUMMYFUNCTION("""COMPUTED_VALUE"""),"Student interfacing, Teacher interfacing, System/Administrative")</f>
        <v/>
      </c>
      <c r="R162" s="1" t="n"/>
      <c r="S162" s="1" t="n"/>
      <c r="T162" s="15">
        <f>IFERROR(__xludf.DUMMYFUNCTION("""COMPUTED_VALUE"""),"https://www.linkedin.com/company/opentunti-oy")</f>
        <v/>
      </c>
      <c r="U162" s="1">
        <f>IFERROR(__xludf.DUMMYFUNCTION("""COMPUTED_VALUE"""),"Desku")</f>
        <v/>
      </c>
      <c r="V162" s="1">
        <f>IFERROR(__xludf.DUMMYFUNCTION("""COMPUTED_VALUE"""),"Desku is a role-based digital workspace for schools that provides single sign-on access to all educational services from one place. It simplifies daily routines, supports centralized management, and improves data security on shared devices.")</f>
        <v/>
      </c>
      <c r="W162" s="1">
        <f>IFERROR(__xludf.DUMMYFUNCTION("""COMPUTED_VALUE"""),"UiRobo")</f>
        <v/>
      </c>
      <c r="X162" s="1">
        <f>IFERROR(__xludf.DUMMYFUNCTION("""COMPUTED_VALUE"""),"UiRobo is an identity automation tool that creates and manages user accounts for students and staff based on school registry data. It supports Microsoft, Google, and local AD environments, reducing manual work and login issues.")</f>
        <v/>
      </c>
      <c r="Y162" s="1" t="n"/>
      <c r="Z162" s="1">
        <f>IFERROR(__xludf.DUMMYFUNCTION("""COMPUTED_VALUE"""),"Unverified")</f>
        <v/>
      </c>
      <c r="AA162" s="1">
        <f>IFERROR(__xludf.DUMMYFUNCTION("""COMPUTED_VALUE"""),"Collaborations between EdTech organisations, Project consortium building")</f>
        <v/>
      </c>
      <c r="AB162" s="1">
        <f>IFERROR(__xludf.DUMMYFUNCTION("""COMPUTED_VALUE"""),"Non-profit organisation")</f>
        <v/>
      </c>
      <c r="AC162" s="1">
        <f>IFERROR(__xludf.DUMMYFUNCTION("""COMPUTED_VALUE"""),TRUE)</f>
        <v/>
      </c>
      <c r="AD162" s="1">
        <f>IFERROR(__xludf.DUMMYFUNCTION("""COMPUTED_VALUE"""),TRUE)</f>
        <v/>
      </c>
      <c r="AE162" s="1" t="n"/>
    </row>
    <row r="163" ht="42" customHeight="1">
      <c r="A163" s="14">
        <f>IFERROR(__xludf.DUMMYFUNCTION("""COMPUTED_VALUE"""),45840)</f>
        <v/>
      </c>
      <c r="B163" s="1">
        <f>IFERROR(__xludf.DUMMYFUNCTION("""COMPUTED_VALUE"""),"ORG_1265")</f>
        <v/>
      </c>
      <c r="C163" s="1">
        <f>IFERROR(__xludf.DUMMYFUNCTION("""COMPUTED_VALUE"""),TRUE)</f>
        <v/>
      </c>
      <c r="D163" s="1">
        <f>IFERROR(__xludf.DUMMYFUNCTION("""COMPUTED_VALUE"""),"Co-gito")</f>
        <v/>
      </c>
      <c r="E163" s="15">
        <f>IFERROR(__xludf.DUMMYFUNCTION("""COMPUTED_VALUE"""),"https://co-gito.coml")</f>
        <v/>
      </c>
      <c r="F163" s="1">
        <f>IFERROR(__xludf.DUMMYFUNCTION("""COMPUTED_VALUE"""),"The most effective training tool thanks to AI and neuroscience.")</f>
        <v/>
      </c>
      <c r="G163" s="1">
        <f>IFERROR(__xludf.DUMMYFUNCTION("""COMPUTED_VALUE"""),"EdTech France")</f>
        <v/>
      </c>
      <c r="H163" s="1">
        <f>IFERROR(__xludf.DUMMYFUNCTION("""COMPUTED_VALUE"""),"French, English")</f>
        <v/>
      </c>
      <c r="I163" s="1">
        <f>IFERROR(__xludf.DUMMYFUNCTION("""COMPUTED_VALUE"""),"alexandre.humblot@co-gito.com")</f>
        <v/>
      </c>
      <c r="J163" s="1">
        <f>IFERROR(__xludf.DUMMYFUNCTION("""COMPUTED_VALUE"""),"+33640881742")</f>
        <v/>
      </c>
      <c r="K163" s="1">
        <f>IFERROR(__xludf.DUMMYFUNCTION("""COMPUTED_VALUE"""),"Paris")</f>
        <v/>
      </c>
      <c r="L163" s="1">
        <f>IFERROR(__xludf.DUMMYFUNCTION("""COMPUTED_VALUE"""),"France")</f>
        <v/>
      </c>
      <c r="M163" s="1">
        <f>IFERROR(__xludf.DUMMYFUNCTION("""COMPUTED_VALUE"""),"France")</f>
        <v/>
      </c>
      <c r="N163" s="1">
        <f>IFERROR(__xludf.DUMMYFUNCTION("""COMPUTED_VALUE"""),"Micro (1-9 FTE employees)")</f>
        <v/>
      </c>
      <c r="O163" s="1">
        <f>IFERROR(__xludf.DUMMYFUNCTION("""COMPUTED_VALUE"""),"Business to Business")</f>
        <v/>
      </c>
      <c r="P163" s="1">
        <f>IFERROR(__xludf.DUMMYFUNCTION("""COMPUTED_VALUE"""),"Vocational Education and Training (VET), Higher Education, Corporate Training")</f>
        <v/>
      </c>
      <c r="Q163" s="1">
        <f>IFERROR(__xludf.DUMMYFUNCTION("""COMPUTED_VALUE"""),"Student interfacing, Teacher interfacing")</f>
        <v/>
      </c>
      <c r="R163" s="1" t="n"/>
      <c r="S163" s="1" t="n"/>
      <c r="T163" s="15">
        <f>IFERROR(__xludf.DUMMYFUNCTION("""COMPUTED_VALUE"""),"https://www.linkedin.com/company/co-gito")</f>
        <v/>
      </c>
      <c r="U163" s="1">
        <f>IFERROR(__xludf.DUMMYFUNCTION("""COMPUTED_VALUE"""),"Co-gito webapp")</f>
        <v/>
      </c>
      <c r="V163" s="1">
        <f>IFERROR(__xludf.DUMMYFUNCTION("""COMPUTED_VALUE"""),"Co-gito boosts learning efficiency by applying key neuroscience principles through AI — including spaced repetition, adaptive difficulty, and personalized feedback.
Its intuitive editor lets you build interactive courses in minutes, with advanced analytic"&amp;"s to track learner progress and engagement.")</f>
        <v/>
      </c>
      <c r="W163" s="1" t="n"/>
      <c r="X163" s="1" t="n"/>
      <c r="Y163" s="15">
        <f>IFERROR(__xludf.DUMMYFUNCTION("""COMPUTED_VALUE"""),"https://drive.google.com/uc?export=view&amp;id=11YmoB_x8Xh0TbjPHSoRb664nIXO_Ur9S")</f>
        <v/>
      </c>
      <c r="Z163" s="1">
        <f>IFERROR(__xludf.DUMMYFUNCTION("""COMPUTED_VALUE"""),"Unverified")</f>
        <v/>
      </c>
      <c r="AA163" s="1">
        <f>IFERROR(__xludf.DUMMYFUNCTION("""COMPUTED_VALUE"""),"Collaborations between EdTech organisations, Project consortium building, Public-private partnerships, Industry-academia partnerships")</f>
        <v/>
      </c>
      <c r="AB163" s="1">
        <f>IFERROR(__xludf.DUMMYFUNCTION("""COMPUTED_VALUE"""),"For-profit company")</f>
        <v/>
      </c>
      <c r="AC163" s="1">
        <f>IFERROR(__xludf.DUMMYFUNCTION("""COMPUTED_VALUE"""),TRUE)</f>
        <v/>
      </c>
      <c r="AD163" s="1">
        <f>IFERROR(__xludf.DUMMYFUNCTION("""COMPUTED_VALUE"""),TRUE)</f>
        <v/>
      </c>
      <c r="AE163" s="1" t="n"/>
    </row>
    <row r="164" ht="42" customHeight="1">
      <c r="A164" s="14">
        <f>IFERROR(__xludf.DUMMYFUNCTION("""COMPUTED_VALUE"""),45840)</f>
        <v/>
      </c>
      <c r="B164" s="1">
        <f>IFERROR(__xludf.DUMMYFUNCTION("""COMPUTED_VALUE"""),"ORG_2576")</f>
        <v/>
      </c>
      <c r="C164" s="1">
        <f>IFERROR(__xludf.DUMMYFUNCTION("""COMPUTED_VALUE"""),TRUE)</f>
        <v/>
      </c>
      <c r="D164" s="1">
        <f>IFERROR(__xludf.DUMMYFUNCTION("""COMPUTED_VALUE"""),"PomeLabs")</f>
        <v/>
      </c>
      <c r="E164" s="15">
        <f>IFERROR(__xludf.DUMMYFUNCTION("""COMPUTED_VALUE"""),"https://www.pomelabs.com/")</f>
        <v/>
      </c>
      <c r="F164" s="1">
        <f>IFERROR(__xludf.DUMMYFUNCTION("""COMPUTED_VALUE"""),"PomeLabs is an edtech startup that designs innovative tools to make learning electronics and computer engineering more practical, engaging, and accessible. We support educational and training institutions with a unique combination of smart, modular hardwa"&amp;"re and an interactive digital platform, helping educators deliver hands-on, future-ready learning experiences.")</f>
        <v/>
      </c>
      <c r="G164" s="1">
        <f>IFERROR(__xludf.DUMMYFUNCTION("""COMPUTED_VALUE"""),"I'm not part of any EdTech association")</f>
        <v/>
      </c>
      <c r="H164" s="1">
        <f>IFERROR(__xludf.DUMMYFUNCTION("""COMPUTED_VALUE"""),"English, French")</f>
        <v/>
      </c>
      <c r="I164" s="1">
        <f>IFERROR(__xludf.DUMMYFUNCTION("""COMPUTED_VALUE"""),"karim.hcini@pomelabs.com")</f>
        <v/>
      </c>
      <c r="J164" s="1">
        <f>IFERROR(__xludf.DUMMYFUNCTION("""COMPUTED_VALUE"""),"+33767622492")</f>
        <v/>
      </c>
      <c r="K164" s="1">
        <f>IFERROR(__xludf.DUMMYFUNCTION("""COMPUTED_VALUE"""),"Paris")</f>
        <v/>
      </c>
      <c r="L164" s="1">
        <f>IFERROR(__xludf.DUMMYFUNCTION("""COMPUTED_VALUE"""),"France")</f>
        <v/>
      </c>
      <c r="M164" s="1">
        <f>IFERROR(__xludf.DUMMYFUNCTION("""COMPUTED_VALUE"""),"France, Netherlands")</f>
        <v/>
      </c>
      <c r="N164" s="1">
        <f>IFERROR(__xludf.DUMMYFUNCTION("""COMPUTED_VALUE"""),"Micro (1-9 FTE employees)")</f>
        <v/>
      </c>
      <c r="O164" s="1">
        <f>IFERROR(__xludf.DUMMYFUNCTION("""COMPUTED_VALUE"""),"Business to Business, Business to Consumer")</f>
        <v/>
      </c>
      <c r="P164" s="1">
        <f>IFERROR(__xludf.DUMMYFUNCTION("""COMPUTED_VALUE"""),"Secondary Education, Vocational Education and Training (VET), Higher Education, Lifelong learning/Adult education")</f>
        <v/>
      </c>
      <c r="Q164" s="1">
        <f>IFERROR(__xludf.DUMMYFUNCTION("""COMPUTED_VALUE"""),"Student interfacing, Teacher interfacing")</f>
        <v/>
      </c>
      <c r="R164" s="15">
        <f>IFERROR(__xludf.DUMMYFUNCTION("""COMPUTED_VALUE"""),"https://www.instagram.com/pome.labs/")</f>
        <v/>
      </c>
      <c r="S164" s="1" t="n"/>
      <c r="T164" s="15">
        <f>IFERROR(__xludf.DUMMYFUNCTION("""COMPUTED_VALUE"""),"https://www.linkedin.com/company/pomelabs")</f>
        <v/>
      </c>
      <c r="U164" s="1">
        <f>IFERROR(__xludf.DUMMYFUNCTION("""COMPUTED_VALUE"""),"PomeLabs + Connect")</f>
        <v/>
      </c>
      <c r="V164" s="1">
        <f>IFERROR(__xludf.DUMMYFUNCTION("""COMPUTED_VALUE"""),"PomeLabs + Connect is a durable, modular solution with built-in digital twin technology. It makes hands-on learning more accessible and overcomes the limitations of traditional lab equipment to enhance teaching and learning computer engineering.")</f>
        <v/>
      </c>
      <c r="W164" s="1" t="n"/>
      <c r="X164" s="1" t="n"/>
      <c r="Y164" s="15">
        <f>IFERROR(__xludf.DUMMYFUNCTION("""COMPUTED_VALUE"""),"https://drive.google.com/uc?export=view&amp;id=1jTenh2OnHwPh3-xtOXPYNR2LStGOerQV")</f>
        <v/>
      </c>
      <c r="Z164" s="1">
        <f>IFERROR(__xludf.DUMMYFUNCTION("""COMPUTED_VALUE"""),"Unverified")</f>
        <v/>
      </c>
      <c r="AA164" s="1">
        <f>IFERROR(__xludf.DUMMYFUNCTION("""COMPUTED_VALUE"""),"Project consortium building, Public-private partnerships")</f>
        <v/>
      </c>
      <c r="AB164" s="1">
        <f>IFERROR(__xludf.DUMMYFUNCTION("""COMPUTED_VALUE"""),"For-profit company")</f>
        <v/>
      </c>
      <c r="AC164" s="1">
        <f>IFERROR(__xludf.DUMMYFUNCTION("""COMPUTED_VALUE"""),TRUE)</f>
        <v/>
      </c>
      <c r="AD164" s="1">
        <f>IFERROR(__xludf.DUMMYFUNCTION("""COMPUTED_VALUE"""),TRUE)</f>
        <v/>
      </c>
      <c r="AE164" s="1" t="n"/>
    </row>
    <row r="165" ht="42" customHeight="1">
      <c r="A165" s="14">
        <f>IFERROR(__xludf.DUMMYFUNCTION("""COMPUTED_VALUE"""),45840)</f>
        <v/>
      </c>
      <c r="B165" s="1">
        <f>IFERROR(__xludf.DUMMYFUNCTION("""COMPUTED_VALUE"""),"ORG_1004")</f>
        <v/>
      </c>
      <c r="C165" s="1">
        <f>IFERROR(__xludf.DUMMYFUNCTION("""COMPUTED_VALUE"""),TRUE)</f>
        <v/>
      </c>
      <c r="D165" s="1">
        <f>IFERROR(__xludf.DUMMYFUNCTION("""COMPUTED_VALUE"""),"1000.software")</f>
        <v/>
      </c>
      <c r="E165" s="1">
        <f>IFERROR(__xludf.DUMMYFUNCTION("""COMPUTED_VALUE"""),"1000.software")</f>
        <v/>
      </c>
      <c r="F165" s="1">
        <f>IFERROR(__xludf.DUMMYFUNCTION("""COMPUTED_VALUE"""),"We create products and provide services that enable our EdTech clients to succeed, using technologies that will stand the test of time.")</f>
        <v/>
      </c>
      <c r="G165" s="1">
        <f>IFERROR(__xludf.DUMMYFUNCTION("""COMPUTED_VALUE"""),"I'm not part of any EdTech association")</f>
        <v/>
      </c>
      <c r="H165" s="1">
        <f>IFERROR(__xludf.DUMMYFUNCTION("""COMPUTED_VALUE"""),"English, Polish")</f>
        <v/>
      </c>
      <c r="I165" s="1">
        <f>IFERROR(__xludf.DUMMYFUNCTION("""COMPUTED_VALUE"""),"krzysztof@1000i.pl")</f>
        <v/>
      </c>
      <c r="J165" s="1">
        <f>IFERROR(__xludf.DUMMYFUNCTION("""COMPUTED_VALUE"""),"+33515187325")</f>
        <v/>
      </c>
      <c r="K165" s="1">
        <f>IFERROR(__xludf.DUMMYFUNCTION("""COMPUTED_VALUE"""),"Kraków")</f>
        <v/>
      </c>
      <c r="L165" s="1">
        <f>IFERROR(__xludf.DUMMYFUNCTION("""COMPUTED_VALUE""")," Poland")</f>
        <v/>
      </c>
      <c r="M165" s="1" t="n"/>
      <c r="N165" s="1">
        <f>IFERROR(__xludf.DUMMYFUNCTION("""COMPUTED_VALUE"""),"Small (10-49 FTE employees)")</f>
        <v/>
      </c>
      <c r="O165" s="1">
        <f>IFERROR(__xludf.DUMMYFUNCTION("""COMPUTED_VALUE"""),"Business to Business, Business to Schools")</f>
        <v/>
      </c>
      <c r="P165" s="1">
        <f>IFERROR(__xludf.DUMMYFUNCTION("""COMPUTED_VALUE"""),"Primary Education, Secondary Education, Higher Education, Vocational Education and Training (VET), Corporate Training, Lifelong learning/Adult education, Special Education, Early childhood development (0-5 years)")</f>
        <v/>
      </c>
      <c r="Q165" s="1">
        <f>IFERROR(__xludf.DUMMYFUNCTION("""COMPUTED_VALUE"""),"Student interfacing, Teacher interfacing, System/Administrative")</f>
        <v/>
      </c>
      <c r="R165" s="1" t="n"/>
      <c r="S165" s="1" t="n"/>
      <c r="T165" s="15">
        <f>IFERROR(__xludf.DUMMYFUNCTION("""COMPUTED_VALUE"""),"https://www.linkedin.com/company/1000i")</f>
        <v/>
      </c>
      <c r="U165" s="1">
        <f>IFERROR(__xludf.DUMMYFUNCTION("""COMPUTED_VALUE"""),"Bespoke Software Development Services")</f>
        <v/>
      </c>
      <c r="V165" s="1">
        <f>IFERROR(__xludf.DUMMYFUNCTION("""COMPUTED_VALUE"""),"We consult and create software for schools, universities and companies within a EdTech sector. Our experience is one of the more extensive in the education, as we are creating software products for education since 2007.")</f>
        <v/>
      </c>
      <c r="W165" s="1">
        <f>IFERROR(__xludf.DUMMYFUNCTION("""COMPUTED_VALUE"""),"EdTech Dots community and Podcast")</f>
        <v/>
      </c>
      <c r="X165" s="1">
        <f>IFERROR(__xludf.DUMMYFUNCTION("""COMPUTED_VALUE"""),"We are a community that connects enthusiasts fascinated by the future of education, educators and tool and software developers.
Join us to chat, exchange knowledge and contacts and immerse yourself in the fascinating world of EdTech.
https://www.youtube.c"&amp;"om/@edtechdots")</f>
        <v/>
      </c>
      <c r="Y165" s="1" t="n"/>
      <c r="Z165" s="1">
        <f>IFERROR(__xludf.DUMMYFUNCTION("""COMPUTED_VALUE"""),"Unverified")</f>
        <v/>
      </c>
      <c r="AA165" s="1">
        <f>IFERROR(__xludf.DUMMYFUNCTION("""COMPUTED_VALUE"""),"Collaborations between EdTech organisations, Public-private partnerships")</f>
        <v/>
      </c>
      <c r="AB165" s="1">
        <f>IFERROR(__xludf.DUMMYFUNCTION("""COMPUTED_VALUE"""),"For-profit company")</f>
        <v/>
      </c>
      <c r="AC165" s="1">
        <f>IFERROR(__xludf.DUMMYFUNCTION("""COMPUTED_VALUE"""),TRUE)</f>
        <v/>
      </c>
      <c r="AD165" s="1">
        <f>IFERROR(__xludf.DUMMYFUNCTION("""COMPUTED_VALUE"""),TRUE)</f>
        <v/>
      </c>
      <c r="AE165" s="1" t="n"/>
    </row>
    <row r="166" ht="42" customHeight="1">
      <c r="A166" s="14">
        <f>IFERROR(__xludf.DUMMYFUNCTION("""COMPUTED_VALUE"""),45840)</f>
        <v/>
      </c>
      <c r="B166" s="1">
        <f>IFERROR(__xludf.DUMMYFUNCTION("""COMPUTED_VALUE"""),"ORG_1409")</f>
        <v/>
      </c>
      <c r="C166" s="1">
        <f>IFERROR(__xludf.DUMMYFUNCTION("""COMPUTED_VALUE"""),TRUE)</f>
        <v/>
      </c>
      <c r="D166" s="1">
        <f>IFERROR(__xludf.DUMMYFUNCTION("""COMPUTED_VALUE"""),"edisconet AG")</f>
        <v/>
      </c>
      <c r="E166" s="15">
        <f>IFERROR(__xludf.DUMMYFUNCTION("""COMPUTED_VALUE"""),"www.edisconet.com")</f>
        <v/>
      </c>
      <c r="F166" s="1">
        <f>IFERROR(__xludf.DUMMYFUNCTION("""COMPUTED_VALUE"""),"edisconet provides a comprehensive ecosystem allowing organizations to explore the use of AI for transformative, collaborative and knowledge-retrieving challenges within a scale able, controlled and secure environment. The platform integrates existing lea"&amp;"rning management systems and innovative solutions from strategic partners and utilizes advanced AI features to support the collection and dissemination of knowledge – a feature that makes it a unique solution in the whole e-teaching market.")</f>
        <v/>
      </c>
      <c r="G166" s="1">
        <f>IFERROR(__xludf.DUMMYFUNCTION("""COMPUTED_VALUE"""),"Swiss EdTech Collider")</f>
        <v/>
      </c>
      <c r="H166" s="1">
        <f>IFERROR(__xludf.DUMMYFUNCTION("""COMPUTED_VALUE"""),"English, German, French, Italian, Spanish, Other")</f>
        <v/>
      </c>
      <c r="I166" s="1">
        <f>IFERROR(__xludf.DUMMYFUNCTION("""COMPUTED_VALUE"""),"dirk.zimanky@edisconet.com")</f>
        <v/>
      </c>
      <c r="J166" s="1">
        <f>IFERROR(__xludf.DUMMYFUNCTION("""COMPUTED_VALUE"""),"+41795939991")</f>
        <v/>
      </c>
      <c r="K166" s="1">
        <f>IFERROR(__xludf.DUMMYFUNCTION("""COMPUTED_VALUE"""),"Rudolfstetten")</f>
        <v/>
      </c>
      <c r="L166" s="1">
        <f>IFERROR(__xludf.DUMMYFUNCTION("""COMPUTED_VALUE"""),"Switzerland")</f>
        <v/>
      </c>
      <c r="M166" s="1">
        <f>IFERROR(__xludf.DUMMYFUNCTION("""COMPUTED_VALUE"""),"Estonia, Denmark, Finland, France, Germany, Austria, Belgium, Greece, Italy, Liechtenstein, Luxembourg, Netherlands, Norway, Poland, Slovakia, Spain, Lithuania, Latvia, Iceland, Hungary, Monaco, Portugal, Slovenia, Ireland, Malta")</f>
        <v/>
      </c>
      <c r="N166" s="1">
        <f>IFERROR(__xludf.DUMMYFUNCTION("""COMPUTED_VALUE"""),"Micro (1-9 FTE employees)")</f>
        <v/>
      </c>
      <c r="O166" s="1">
        <f>IFERROR(__xludf.DUMMYFUNCTION("""COMPUTED_VALUE"""),"Business to Business, Business to Government, Business to Schools")</f>
        <v/>
      </c>
      <c r="P166" s="1">
        <f>IFERROR(__xludf.DUMMYFUNCTION("""COMPUTED_VALUE"""),"Vocational Education and Training (VET), Higher Education, Corporate Training, Lifelong learning/Adult education, Special Education")</f>
        <v/>
      </c>
      <c r="Q166" s="1">
        <f>IFERROR(__xludf.DUMMYFUNCTION("""COMPUTED_VALUE"""),"Student interfacing, Teacher interfacing, System/Administrative")</f>
        <v/>
      </c>
      <c r="R166" s="1" t="n"/>
      <c r="S166" s="1" t="n"/>
      <c r="T166" s="15">
        <f>IFERROR(__xludf.DUMMYFUNCTION("""COMPUTED_VALUE"""),"https://www.linkedin.com/company/edisconet/")</f>
        <v/>
      </c>
      <c r="U166" s="1">
        <f>IFERROR(__xludf.DUMMYFUNCTION("""COMPUTED_VALUE"""),"Inclusive Collaboration Platform (ICP)")</f>
        <v/>
      </c>
      <c r="V166" s="1">
        <f>IFERROR(__xludf.DUMMYFUNCTION("""COMPUTED_VALUE"""),"Interactive ecosystem for easy collaboration for Learning, Organizational Development, Workshops &amp; Events and Communities")</f>
        <v/>
      </c>
      <c r="W166" s="1">
        <f>IFERROR(__xludf.DUMMYFUNCTION("""COMPUTED_VALUE"""),"AI Sandbox (AIS)")</f>
        <v/>
      </c>
      <c r="X166" s="1">
        <f>IFERROR(__xludf.DUMMYFUNCTION("""COMPUTED_VALUE"""),"Secure ecosystem to jointly explore the use and optimization of different AI tools in real live practice in a collaborative manner.")</f>
        <v/>
      </c>
      <c r="Y166" s="1" t="n"/>
      <c r="Z166" s="1">
        <f>IFERROR(__xludf.DUMMYFUNCTION("""COMPUTED_VALUE"""),"Unverified")</f>
        <v/>
      </c>
      <c r="AA166" s="1">
        <f>IFERROR(__xludf.DUMMYFUNCTION("""COMPUTED_VALUE"""),"Public-private partnerships, Industry-academia partnerships")</f>
        <v/>
      </c>
      <c r="AB166" s="1">
        <f>IFERROR(__xludf.DUMMYFUNCTION("""COMPUTED_VALUE"""),"For-profit company")</f>
        <v/>
      </c>
      <c r="AC166" s="1">
        <f>IFERROR(__xludf.DUMMYFUNCTION("""COMPUTED_VALUE"""),TRUE)</f>
        <v/>
      </c>
      <c r="AD166" s="1">
        <f>IFERROR(__xludf.DUMMYFUNCTION("""COMPUTED_VALUE"""),TRUE)</f>
        <v/>
      </c>
      <c r="AE166" s="1" t="n"/>
    </row>
    <row r="167" ht="42" customHeight="1">
      <c r="A167" s="14">
        <f>IFERROR(__xludf.DUMMYFUNCTION("""COMPUTED_VALUE"""),45840)</f>
        <v/>
      </c>
      <c r="B167" s="1">
        <f>IFERROR(__xludf.DUMMYFUNCTION("""COMPUTED_VALUE"""),"ORG_2571")</f>
        <v/>
      </c>
      <c r="C167" s="1">
        <f>IFERROR(__xludf.DUMMYFUNCTION("""COMPUTED_VALUE"""),TRUE)</f>
        <v/>
      </c>
      <c r="D167" s="1">
        <f>IFERROR(__xludf.DUMMYFUNCTION("""COMPUTED_VALUE"""),"zick learn")</f>
        <v/>
      </c>
      <c r="E167" s="15">
        <f>IFERROR(__xludf.DUMMYFUNCTION("""COMPUTED_VALUE"""),"https://zicklearn.com")</f>
        <v/>
      </c>
      <c r="F167" s="1">
        <f>IFERROR(__xludf.DUMMYFUNCTION("""COMPUTED_VALUE"""),"zick learn is a fast-growing learning technology company based in Ireland. We help large and mid-sized organisations deliver high-impact microlearning directly within the tools their employees already use — such as Microsoft Teams, WhatsApp, and Slack. Ro"&amp;"oted in cognitive science and built in partnership with UC Berkeley, our platform enables companies to boost learning engagement, speed up training delivery, and track real-time performance — all without the need for traditional LMS systems. With customer"&amp;"s across sectors including pharma, manufacturing, and retail, zick learn is redefining how training is created, distributed, and measured at scale.")</f>
        <v/>
      </c>
      <c r="G167" s="1">
        <f>IFERROR(__xludf.DUMMYFUNCTION("""COMPUTED_VALUE"""),"EdTech Italia")</f>
        <v/>
      </c>
      <c r="H167" s="1">
        <f>IFERROR(__xludf.DUMMYFUNCTION("""COMPUTED_VALUE"""),"English, French, Spanish, Italian, German")</f>
        <v/>
      </c>
      <c r="I167" s="1">
        <f>IFERROR(__xludf.DUMMYFUNCTION("""COMPUTED_VALUE"""),"getintouch@zicklearn.com")</f>
        <v/>
      </c>
      <c r="J167" s="1">
        <f>IFERROR(__xludf.DUMMYFUNCTION("""COMPUTED_VALUE"""),"+390294750233")</f>
        <v/>
      </c>
      <c r="K167" s="1">
        <f>IFERROR(__xludf.DUMMYFUNCTION("""COMPUTED_VALUE"""),"Dublin")</f>
        <v/>
      </c>
      <c r="L167" s="1">
        <f>IFERROR(__xludf.DUMMYFUNCTION("""COMPUTED_VALUE"""),"Ireland")</f>
        <v/>
      </c>
      <c r="M167" s="1">
        <f>IFERROR(__xludf.DUMMYFUNCTION("""COMPUTED_VALUE"""),"Italy, Germany, Austria, Ireland, United Kingdom")</f>
        <v/>
      </c>
      <c r="N167" s="1">
        <f>IFERROR(__xludf.DUMMYFUNCTION("""COMPUTED_VALUE"""),"Micro (1-9 FTE employees)")</f>
        <v/>
      </c>
      <c r="O167" s="1">
        <f>IFERROR(__xludf.DUMMYFUNCTION("""COMPUTED_VALUE"""),"Business to Business")</f>
        <v/>
      </c>
      <c r="P167" s="1">
        <f>IFERROR(__xludf.DUMMYFUNCTION("""COMPUTED_VALUE"""),"Corporate Training, Special Education, Lifelong learning/Adult education")</f>
        <v/>
      </c>
      <c r="Q167" s="1">
        <f>IFERROR(__xludf.DUMMYFUNCTION("""COMPUTED_VALUE"""),"Student interfacing, Teacher interfacing, System/Administrative")</f>
        <v/>
      </c>
      <c r="R167" s="1" t="n"/>
      <c r="S167" s="1" t="n"/>
      <c r="T167" s="15">
        <f>IFERROR(__xludf.DUMMYFUNCTION("""COMPUTED_VALUE"""),"https://www.linkedin.com/company/zick")</f>
        <v/>
      </c>
      <c r="U167" s="1">
        <f>IFERROR(__xludf.DUMMYFUNCTION("""COMPUTED_VALUE"""),"zick learn")</f>
        <v/>
      </c>
      <c r="V167" s="1">
        <f>IFERROR(__xludf.DUMMYFUNCTION("""COMPUTED_VALUE"""),"zick learn is an AI-powered microlearning platform that delivers short, impactful training directly via Microsoft Teams, WhatsApp, Slack, Google Chat and many more — reaching employees where they already work.")</f>
        <v/>
      </c>
      <c r="W167" s="1" t="n"/>
      <c r="X167" s="1" t="n"/>
      <c r="Y167" s="1" t="n"/>
      <c r="Z167" s="1">
        <f>IFERROR(__xludf.DUMMYFUNCTION("""COMPUTED_VALUE"""),"Unverified")</f>
        <v/>
      </c>
      <c r="AA167" s="1">
        <f>IFERROR(__xludf.DUMMYFUNCTION("""COMPUTED_VALUE"""),"Collaborations between EdTech organisations, Project consortium building, Public-private partnerships, Industry-academia partnerships")</f>
        <v/>
      </c>
      <c r="AB167" s="1">
        <f>IFERROR(__xludf.DUMMYFUNCTION("""COMPUTED_VALUE"""),"For-profit company")</f>
        <v/>
      </c>
      <c r="AC167" s="1">
        <f>IFERROR(__xludf.DUMMYFUNCTION("""COMPUTED_VALUE"""),TRUE)</f>
        <v/>
      </c>
      <c r="AD167" s="1">
        <f>IFERROR(__xludf.DUMMYFUNCTION("""COMPUTED_VALUE"""),TRUE)</f>
        <v/>
      </c>
      <c r="AE167" s="1" t="n"/>
    </row>
    <row r="168" ht="42" customHeight="1">
      <c r="A168" s="14">
        <f>IFERROR(__xludf.DUMMYFUNCTION("""COMPUTED_VALUE"""),45840)</f>
        <v/>
      </c>
      <c r="B168" s="1">
        <f>IFERROR(__xludf.DUMMYFUNCTION("""COMPUTED_VALUE"""),"ORG_1254")</f>
        <v/>
      </c>
      <c r="C168" s="1">
        <f>IFERROR(__xludf.DUMMYFUNCTION("""COMPUTED_VALUE"""),TRUE)</f>
        <v/>
      </c>
      <c r="D168" s="1">
        <f>IFERROR(__xludf.DUMMYFUNCTION("""COMPUTED_VALUE"""),"Classroomscreen BV")</f>
        <v/>
      </c>
      <c r="E168" s="15">
        <f>IFERROR(__xludf.DUMMYFUNCTION("""COMPUTED_VALUE"""),"www.classroomscreen.com")</f>
        <v/>
      </c>
      <c r="F168" s="1">
        <f>IFERROR(__xludf.DUMMYFUNCTION("""COMPUTED_VALUE"""),"Classroomscreen is an online education tool that aims to enhance classroom management and engagement in classrooms. Our platform provides teachers with a dynamic and versatile whiteboard environment with several useful widgets and tools to improve student"&amp;" engagement.")</f>
        <v/>
      </c>
      <c r="G168" s="1">
        <f>IFERROR(__xludf.DUMMYFUNCTION("""COMPUTED_VALUE"""),"Dutch EdTech")</f>
        <v/>
      </c>
      <c r="H168" s="1">
        <f>IFERROR(__xludf.DUMMYFUNCTION("""COMPUTED_VALUE"""),"English")</f>
        <v/>
      </c>
      <c r="I168" s="1">
        <f>IFERROR(__xludf.DUMMYFUNCTION("""COMPUTED_VALUE"""),"info@classroomscreen.com")</f>
        <v/>
      </c>
      <c r="J168" s="1">
        <f>IFERROR(__xludf.DUMMYFUNCTION("""COMPUTED_VALUE"""),"+31610856628")</f>
        <v/>
      </c>
      <c r="K168" s="1">
        <f>IFERROR(__xludf.DUMMYFUNCTION("""COMPUTED_VALUE"""),"Bunnik")</f>
        <v/>
      </c>
      <c r="L168" s="1">
        <f>IFERROR(__xludf.DUMMYFUNCTION("""COMPUTED_VALUE"""),"The Netherlands")</f>
        <v/>
      </c>
      <c r="M168" s="1">
        <f>IFERROR(__xludf.DUMMYFUNCTION("""COMPUTED_VALUE"""),"United Kingdom, Switzerland, Sweden, Spain, Romania, Portugal, Norway, Netherlands, Italy, Ireland, Iceland, Germany, France, Finland, Denmark, Czechia, Belgium, Austria")</f>
        <v/>
      </c>
      <c r="N168" s="1">
        <f>IFERROR(__xludf.DUMMYFUNCTION("""COMPUTED_VALUE"""),"Micro (1-9 FTE employees)")</f>
        <v/>
      </c>
      <c r="O168" s="1">
        <f>IFERROR(__xludf.DUMMYFUNCTION("""COMPUTED_VALUE"""),"Business to Consumer, Business to Schools")</f>
        <v/>
      </c>
      <c r="P168" s="1">
        <f>IFERROR(__xludf.DUMMYFUNCTION("""COMPUTED_VALUE"""),"Primary Education, Secondary Education, Special Education")</f>
        <v/>
      </c>
      <c r="Q168" s="1">
        <f>IFERROR(__xludf.DUMMYFUNCTION("""COMPUTED_VALUE"""),"Teacher interfacing, Student interfacing")</f>
        <v/>
      </c>
      <c r="R168" s="1" t="n"/>
      <c r="S168" s="1" t="n"/>
      <c r="T168" s="15">
        <f>IFERROR(__xludf.DUMMYFUNCTION("""COMPUTED_VALUE"""),"https://www.linkedin.com/company/classroomscreen/")</f>
        <v/>
      </c>
      <c r="U168" s="1">
        <f>IFERROR(__xludf.DUMMYFUNCTION("""COMPUTED_VALUE"""),"Classroomscreen")</f>
        <v/>
      </c>
      <c r="V168" s="1">
        <f>IFERROR(__xludf.DUMMYFUNCTION("""COMPUTED_VALUE"""),"Classroomscreen is an online education tool that aims to enhance classroom management and engagement in classrooms. Our platform provides teachers with a dynamic and versatile whiteboard environment with several useful widgets and tools to improve student"&amp;" engagement.")</f>
        <v/>
      </c>
      <c r="W168" s="1" t="n"/>
      <c r="X168" s="1" t="n"/>
      <c r="Y168" s="1" t="n"/>
      <c r="Z168" s="1">
        <f>IFERROR(__xludf.DUMMYFUNCTION("""COMPUTED_VALUE"""),"Unverified")</f>
        <v/>
      </c>
      <c r="AA168" s="1" t="n"/>
      <c r="AB168" s="1">
        <f>IFERROR(__xludf.DUMMYFUNCTION("""COMPUTED_VALUE"""),"For-profit company")</f>
        <v/>
      </c>
      <c r="AC168" s="1">
        <f>IFERROR(__xludf.DUMMYFUNCTION("""COMPUTED_VALUE"""),TRUE)</f>
        <v/>
      </c>
      <c r="AD168" s="1">
        <f>IFERROR(__xludf.DUMMYFUNCTION("""COMPUTED_VALUE"""),FALSE)</f>
        <v/>
      </c>
      <c r="AE168" s="1" t="n"/>
    </row>
    <row r="169" ht="42" customHeight="1">
      <c r="A169" s="14">
        <f>IFERROR(__xludf.DUMMYFUNCTION("""COMPUTED_VALUE"""),45840)</f>
        <v/>
      </c>
      <c r="B169" s="1">
        <f>IFERROR(__xludf.DUMMYFUNCTION("""COMPUTED_VALUE"""),"ORG_1460")</f>
        <v/>
      </c>
      <c r="C169" s="1">
        <f>IFERROR(__xludf.DUMMYFUNCTION("""COMPUTED_VALUE"""),TRUE)</f>
        <v/>
      </c>
      <c r="D169" s="1">
        <f>IFERROR(__xludf.DUMMYFUNCTION("""COMPUTED_VALUE"""),"Edusign")</f>
        <v/>
      </c>
      <c r="E169" s="15">
        <f>IFERROR(__xludf.DUMMYFUNCTION("""COMPUTED_VALUE"""),"https://edusign.com/")</f>
        <v/>
      </c>
      <c r="F169" s="1">
        <f>IFERROR(__xludf.DUMMYFUNCTION("""COMPUTED_VALUE"""),"Edusign is the leading EdTech solution that helps schools and training organizations automate their administration while boosting learner engagement through a modern and connected app.")</f>
        <v/>
      </c>
      <c r="G169" s="1">
        <f>IFERROR(__xludf.DUMMYFUNCTION("""COMPUTED_VALUE"""),"EdTech France")</f>
        <v/>
      </c>
      <c r="H169" s="1">
        <f>IFERROR(__xludf.DUMMYFUNCTION("""COMPUTED_VALUE"""),"French, English, Spanish")</f>
        <v/>
      </c>
      <c r="I169" s="1">
        <f>IFERROR(__xludf.DUMMYFUNCTION("""COMPUTED_VALUE"""),"hello@edusign.fr")</f>
        <v/>
      </c>
      <c r="J169" s="1">
        <f>IFERROR(__xludf.DUMMYFUNCTION("""COMPUTED_VALUE"""),"+33757913788")</f>
        <v/>
      </c>
      <c r="K169" s="1">
        <f>IFERROR(__xludf.DUMMYFUNCTION("""COMPUTED_VALUE"""),"Saint-Germain-en-Laye")</f>
        <v/>
      </c>
      <c r="L169" s="1">
        <f>IFERROR(__xludf.DUMMYFUNCTION("""COMPUTED_VALUE"""),"France")</f>
        <v/>
      </c>
      <c r="M169" s="1">
        <f>IFERROR(__xludf.DUMMYFUNCTION("""COMPUTED_VALUE"""),"Spain, United Kingdom, Switzerland, France, Germany, Belgium, Luxembourg, Monaco, Netherlands, Latin America, United States of America, Canada")</f>
        <v/>
      </c>
      <c r="N169" s="1">
        <f>IFERROR(__xludf.DUMMYFUNCTION("""COMPUTED_VALUE"""),"Medium (50-250 FTE employees)")</f>
        <v/>
      </c>
      <c r="O169" s="1">
        <f>IFERROR(__xludf.DUMMYFUNCTION("""COMPUTED_VALUE"""),"Business to Business, Business to Schools")</f>
        <v/>
      </c>
      <c r="P169" s="1">
        <f>IFERROR(__xludf.DUMMYFUNCTION("""COMPUTED_VALUE"""),"Higher Education, Corporate Training, Lifelong learning/Adult education, Vocational Education and Training (VET)")</f>
        <v/>
      </c>
      <c r="Q169" s="1">
        <f>IFERROR(__xludf.DUMMYFUNCTION("""COMPUTED_VALUE"""),"Student interfacing, Teacher interfacing, System/Administrative")</f>
        <v/>
      </c>
      <c r="R169" s="1" t="n"/>
      <c r="S169" s="1" t="n"/>
      <c r="T169" s="15">
        <f>IFERROR(__xludf.DUMMYFUNCTION("""COMPUTED_VALUE"""),"https://www.linkedin.com/company/edusign/")</f>
        <v/>
      </c>
      <c r="U169" s="1">
        <f>IFERROR(__xludf.DUMMYFUNCTION("""COMPUTED_VALUE"""),"Signing in")</f>
        <v/>
      </c>
      <c r="V169" s="1">
        <f>IFERROR(__xludf.DUMMYFUNCTION("""COMPUTED_VALUE"""),"Attendance sheets can be signed online remotely or in person. Edusign offers your training centers a solution for every situation and every device with five different signing modes. The solutions are available on any screen and are secure. All your docume"&amp;"nts can be sent to your learners for signing.")</f>
        <v/>
      </c>
      <c r="W169" s="1">
        <f>IFERROR(__xludf.DUMMYFUNCTION("""COMPUTED_VALUE"""),"All-in-one application")</f>
        <v/>
      </c>
      <c r="X169" s="1">
        <f>IFERROR(__xludf.DUMMYFUNCTION("""COMPUTED_VALUE"""),"Edusign offers a customized application, a ready-to-use mobile solution designed for higher education and training institutions, allowing students to access all of their services (schedules, grades, absences, communications, administrative procedures) fro"&amp;"m their smartphone or computer. The app, avai")</f>
        <v/>
      </c>
      <c r="Y169" s="1" t="n"/>
      <c r="Z169" s="1">
        <f>IFERROR(__xludf.DUMMYFUNCTION("""COMPUTED_VALUE"""),"Unverified")</f>
        <v/>
      </c>
      <c r="AA169" s="1">
        <f>IFERROR(__xludf.DUMMYFUNCTION("""COMPUTED_VALUE"""),"Collaborations between EdTech organisations")</f>
        <v/>
      </c>
      <c r="AB169" s="1">
        <f>IFERROR(__xludf.DUMMYFUNCTION("""COMPUTED_VALUE"""),"For-profit company")</f>
        <v/>
      </c>
      <c r="AC169" s="1">
        <f>IFERROR(__xludf.DUMMYFUNCTION("""COMPUTED_VALUE"""),TRUE)</f>
        <v/>
      </c>
      <c r="AD169" s="1">
        <f>IFERROR(__xludf.DUMMYFUNCTION("""COMPUTED_VALUE"""),FALSE)</f>
        <v/>
      </c>
      <c r="AE169" s="1" t="n"/>
    </row>
    <row r="170" ht="42" customHeight="1">
      <c r="A170" s="14">
        <f>IFERROR(__xludf.DUMMYFUNCTION("""COMPUTED_VALUE"""),45840)</f>
        <v/>
      </c>
      <c r="B170" s="1">
        <f>IFERROR(__xludf.DUMMYFUNCTION("""COMPUTED_VALUE"""),"ORG_2096")</f>
        <v/>
      </c>
      <c r="C170" s="1">
        <f>IFERROR(__xludf.DUMMYFUNCTION("""COMPUTED_VALUE"""),TRUE)</f>
        <v/>
      </c>
      <c r="D170" s="1">
        <f>IFERROR(__xludf.DUMMYFUNCTION("""COMPUTED_VALUE"""),"Persona Education")</f>
        <v/>
      </c>
      <c r="E170" s="1">
        <f>IFERROR(__xludf.DUMMYFUNCTION("""COMPUTED_VALUE"""),"htps://persona-life.com")</f>
        <v/>
      </c>
      <c r="F170" s="1">
        <f>IFERROR(__xludf.DUMMYFUNCTION("""COMPUTED_VALUE"""),"Persona Education is a UK-based edtech company, providing online social-emotional learning solutions that boost young people's wellbeing, academic and employability outcomes.")</f>
        <v/>
      </c>
      <c r="G170" s="1">
        <f>IFERROR(__xludf.DUMMYFUNCTION("""COMPUTED_VALUE"""),"SuperCharger Ventures")</f>
        <v/>
      </c>
      <c r="H170" s="1">
        <f>IFERROR(__xludf.DUMMYFUNCTION("""COMPUTED_VALUE"""),"English")</f>
        <v/>
      </c>
      <c r="I170" s="1">
        <f>IFERROR(__xludf.DUMMYFUNCTION("""COMPUTED_VALUE"""),"info@persona-life.com")</f>
        <v/>
      </c>
      <c r="J170" s="1">
        <f>IFERROR(__xludf.DUMMYFUNCTION("""COMPUTED_VALUE"""),"+441173132897")</f>
        <v/>
      </c>
      <c r="K170" s="1">
        <f>IFERROR(__xludf.DUMMYFUNCTION("""COMPUTED_VALUE"""),"Bristol")</f>
        <v/>
      </c>
      <c r="L170" s="1">
        <f>IFERROR(__xludf.DUMMYFUNCTION("""COMPUTED_VALUE"""),"United Kingdom")</f>
        <v/>
      </c>
      <c r="M170" s="1">
        <f>IFERROR(__xludf.DUMMYFUNCTION("""COMPUTED_VALUE"""),"Albania, Andorra, Austria, Belgium, Bosnia and Herzegovina, Republic of Cyprus, Croatia, Bulgaria, Czechia, Denmark, Estonia, Germany, France, Finland, Greece, Hungary, Iceland, Kosovo, Italy, Ireland, Latvia, Liechtenstein, Lithuania, Moldova, Malta, Lux"&amp;"embourg, Monaco, Montenegro, Netherlands, Poland, Norway, North Macedonia, Portugal, Romania, San Marino, Spain, Turkey, United Kingdom, Switzerland, Slovenia, Slovakia, Sweden, Ukraine")</f>
        <v/>
      </c>
      <c r="N170" s="1">
        <f>IFERROR(__xludf.DUMMYFUNCTION("""COMPUTED_VALUE"""),"Micro (1-9 FTE employees)")</f>
        <v/>
      </c>
      <c r="O170" s="1">
        <f>IFERROR(__xludf.DUMMYFUNCTION("""COMPUTED_VALUE"""),"Business to Schools, Business to Government, Business to Consumer")</f>
        <v/>
      </c>
      <c r="P170" s="1">
        <f>IFERROR(__xludf.DUMMYFUNCTION("""COMPUTED_VALUE"""),"Secondary Education, Vocational Education and Training (VET), Special Education")</f>
        <v/>
      </c>
      <c r="Q170" s="1">
        <f>IFERROR(__xludf.DUMMYFUNCTION("""COMPUTED_VALUE"""),"Student interfacing, Teacher interfacing")</f>
        <v/>
      </c>
      <c r="R170" s="1" t="n"/>
      <c r="S170" s="1" t="n"/>
      <c r="T170" s="15">
        <f>IFERROR(__xludf.DUMMYFUNCTION("""COMPUTED_VALUE"""),"https://www.linkedin.com/company/persona")</f>
        <v/>
      </c>
      <c r="U170" s="1">
        <f>IFERROR(__xludf.DUMMYFUNCTION("""COMPUTED_VALUE"""),"Persona Life Skills")</f>
        <v/>
      </c>
      <c r="V170" s="1">
        <f>IFERROR(__xludf.DUMMYFUNCTION("""COMPUTED_VALUE"""),"Personal development platform for age 11-19, with our unique personality framework Persona Insights™ at its heart. The spiral curriculum works equally well in the classroom or in blended learning, empowering any teacher to prepare students for social, lea"&amp;"rning and work life challenges.")</f>
        <v/>
      </c>
      <c r="W170" s="1" t="n"/>
      <c r="X170" s="1" t="n"/>
      <c r="Y170" s="1" t="n"/>
      <c r="Z170" s="1">
        <f>IFERROR(__xludf.DUMMYFUNCTION("""COMPUTED_VALUE"""),"Unverified")</f>
        <v/>
      </c>
      <c r="AA170" s="1">
        <f>IFERROR(__xludf.DUMMYFUNCTION("""COMPUTED_VALUE"""),"Public-private partnerships, Project consortium building, Collaborations between EdTech organisations")</f>
        <v/>
      </c>
      <c r="AB170" s="1">
        <f>IFERROR(__xludf.DUMMYFUNCTION("""COMPUTED_VALUE"""),"For-profit company")</f>
        <v/>
      </c>
      <c r="AC170" s="1">
        <f>IFERROR(__xludf.DUMMYFUNCTION("""COMPUTED_VALUE"""),TRUE)</f>
        <v/>
      </c>
      <c r="AD170" s="1">
        <f>IFERROR(__xludf.DUMMYFUNCTION("""COMPUTED_VALUE"""),TRUE)</f>
        <v/>
      </c>
      <c r="AE170" s="15">
        <f>IFERROR(__xludf.DUMMYFUNCTION("""COMPUTED_VALUE"""),"https://www.facebook.com/personalifeskills")</f>
        <v/>
      </c>
    </row>
    <row r="171" ht="42" customHeight="1">
      <c r="A171" s="14">
        <f>IFERROR(__xludf.DUMMYFUNCTION("""COMPUTED_VALUE"""),45840)</f>
        <v/>
      </c>
      <c r="B171" s="1">
        <f>IFERROR(__xludf.DUMMYFUNCTION("""COMPUTED_VALUE"""),"ORG_1484")</f>
        <v/>
      </c>
      <c r="C171" s="1">
        <f>IFERROR(__xludf.DUMMYFUNCTION("""COMPUTED_VALUE"""),TRUE)</f>
        <v/>
      </c>
      <c r="D171" s="1">
        <f>IFERROR(__xludf.DUMMYFUNCTION("""COMPUTED_VALUE"""),"ELEVER")</f>
        <v/>
      </c>
      <c r="E171" s="15">
        <f>IFERROR(__xludf.DUMMYFUNCTION("""COMPUTED_VALUE"""),"elever.ch")</f>
        <v/>
      </c>
      <c r="F171" s="1">
        <f>IFERROR(__xludf.DUMMYFUNCTION("""COMPUTED_VALUE"""),"Micro learning and gamification enhance learning habits by breaking down content into small, digestible segments and making it interactive and fun. This is the Elever philosophy.")</f>
        <v/>
      </c>
      <c r="G171" s="1">
        <f>IFERROR(__xludf.DUMMYFUNCTION("""COMPUTED_VALUE"""),"Swiss EdTech Collider")</f>
        <v/>
      </c>
      <c r="H171" s="1">
        <f>IFERROR(__xludf.DUMMYFUNCTION("""COMPUTED_VALUE"""),"English, French, Spanish, Italian, German")</f>
        <v/>
      </c>
      <c r="I171" s="1">
        <f>IFERROR(__xludf.DUMMYFUNCTION("""COMPUTED_VALUE"""),"th@altusforge.com")</f>
        <v/>
      </c>
      <c r="J171" s="1">
        <f>IFERROR(__xludf.DUMMYFUNCTION("""COMPUTED_VALUE"""),"+41792565789")</f>
        <v/>
      </c>
      <c r="K171" s="1">
        <f>IFERROR(__xludf.DUMMYFUNCTION("""COMPUTED_VALUE"""),"Zürich")</f>
        <v/>
      </c>
      <c r="L171" s="1">
        <f>IFERROR(__xludf.DUMMYFUNCTION("""COMPUTED_VALUE"""),"Switzerland")</f>
        <v/>
      </c>
      <c r="M171" s="1">
        <f>IFERROR(__xludf.DUMMYFUNCTION("""COMPUTED_VALUE"""),"France, Germany, Switzerland, Italy")</f>
        <v/>
      </c>
      <c r="N171" s="1">
        <f>IFERROR(__xludf.DUMMYFUNCTION("""COMPUTED_VALUE"""),"Small (10-49 FTE employees)")</f>
        <v/>
      </c>
      <c r="O171" s="1">
        <f>IFERROR(__xludf.DUMMYFUNCTION("""COMPUTED_VALUE"""),"Business to Business, Business to Schools")</f>
        <v/>
      </c>
      <c r="P171" s="1">
        <f>IFERROR(__xludf.DUMMYFUNCTION("""COMPUTED_VALUE"""),"Vocational Education and Training (VET), Higher Education, Corporate Training, Lifelong learning/Adult education, Special Education")</f>
        <v/>
      </c>
      <c r="Q171" s="1">
        <f>IFERROR(__xludf.DUMMYFUNCTION("""COMPUTED_VALUE"""),"Student interfacing, System/Administrative")</f>
        <v/>
      </c>
      <c r="R171" s="1" t="n"/>
      <c r="S171" s="1" t="n"/>
      <c r="T171" s="15">
        <f>IFERROR(__xludf.DUMMYFUNCTION("""COMPUTED_VALUE"""),"https://www.linkedin.com/company/elever")</f>
        <v/>
      </c>
      <c r="U171" s="1">
        <f>IFERROR(__xludf.DUMMYFUNCTION("""COMPUTED_VALUE"""),"ELEVER App")</f>
        <v/>
      </c>
      <c r="V171" s="1">
        <f>IFERROR(__xludf.DUMMYFUNCTION("""COMPUTED_VALUE"""),"Transforming learning routines and establishing lasting habits.
Playfully and with a mobile app.")</f>
        <v/>
      </c>
      <c r="W171" s="1">
        <f>IFERROR(__xludf.DUMMYFUNCTION("""COMPUTED_VALUE"""),"ELEVER Model of Support (EMS)")</f>
        <v/>
      </c>
      <c r="X171" s="1">
        <f>IFERROR(__xludf.DUMMYFUNCTION("""COMPUTED_VALUE"""),"We strengthen organizations in the education sector with playful and tailored learning solutions that promote sustainable habits; supported by AI and a proven project management approach to make that change happen.")</f>
        <v/>
      </c>
      <c r="Y171" s="1" t="n"/>
      <c r="Z171" s="1">
        <f>IFERROR(__xludf.DUMMYFUNCTION("""COMPUTED_VALUE"""),"Unverified")</f>
        <v/>
      </c>
      <c r="AA171" s="1">
        <f>IFERROR(__xludf.DUMMYFUNCTION("""COMPUTED_VALUE"""),"Project consortium building, Industry-academia partnerships")</f>
        <v/>
      </c>
      <c r="AB171" s="1">
        <f>IFERROR(__xludf.DUMMYFUNCTION("""COMPUTED_VALUE"""),"For-profit company")</f>
        <v/>
      </c>
      <c r="AC171" s="1">
        <f>IFERROR(__xludf.DUMMYFUNCTION("""COMPUTED_VALUE"""),TRUE)</f>
        <v/>
      </c>
      <c r="AD171" s="1">
        <f>IFERROR(__xludf.DUMMYFUNCTION("""COMPUTED_VALUE"""),TRUE)</f>
        <v/>
      </c>
      <c r="AE171" s="1" t="n"/>
    </row>
    <row r="172" ht="42" customHeight="1">
      <c r="A172" s="14">
        <f>IFERROR(__xludf.DUMMYFUNCTION("""COMPUTED_VALUE"""),45840)</f>
        <v/>
      </c>
      <c r="B172" s="1">
        <f>IFERROR(__xludf.DUMMYFUNCTION("""COMPUTED_VALUE"""),"ORG_1281")</f>
        <v/>
      </c>
      <c r="C172" s="1">
        <f>IFERROR(__xludf.DUMMYFUNCTION("""COMPUTED_VALUE"""),TRUE)</f>
        <v/>
      </c>
      <c r="D172" s="1">
        <f>IFERROR(__xludf.DUMMYFUNCTION("""COMPUTED_VALUE"""),"Collaboration Laboratory")</f>
        <v/>
      </c>
      <c r="E172" s="15">
        <f>IFERROR(__xludf.DUMMYFUNCTION("""COMPUTED_VALUE"""),"https://www.collaborationlaboratory.com/")</f>
        <v/>
      </c>
      <c r="F172" s="1">
        <f>IFERROR(__xludf.DUMMYFUNCTION("""COMPUTED_VALUE"""),"CoLab is an award winning online programme that combines live coaching with immersive games, discussions and escape rooms to teach kids the skills they need for life.")</f>
        <v/>
      </c>
      <c r="G172" s="1">
        <f>IFERROR(__xludf.DUMMYFUNCTION("""COMPUTED_VALUE"""),"DOHE")</f>
        <v/>
      </c>
      <c r="H172" s="1">
        <f>IFERROR(__xludf.DUMMYFUNCTION("""COMPUTED_VALUE"""),"English")</f>
        <v/>
      </c>
      <c r="I172" s="1">
        <f>IFERROR(__xludf.DUMMYFUNCTION("""COMPUTED_VALUE"""),"hello@collaborationlaboratory.com")</f>
        <v/>
      </c>
      <c r="J172" s="1">
        <f>IFERROR(__xludf.DUMMYFUNCTION("""COMPUTED_VALUE"""),"+13024557315")</f>
        <v/>
      </c>
      <c r="K172" s="1">
        <f>IFERROR(__xludf.DUMMYFUNCTION("""COMPUTED_VALUE"""),"London")</f>
        <v/>
      </c>
      <c r="L172" s="1">
        <f>IFERROR(__xludf.DUMMYFUNCTION("""COMPUTED_VALUE"""),"United Kingdom")</f>
        <v/>
      </c>
      <c r="M172" s="1">
        <f>IFERROR(__xludf.DUMMYFUNCTION("""COMPUTED_VALUE"""),"Belgium, Bulgaria, Italy, Netherlands, United Kingdom, Ukraine")</f>
        <v/>
      </c>
      <c r="N172" s="1">
        <f>IFERROR(__xludf.DUMMYFUNCTION("""COMPUTED_VALUE"""),"Small (10-49 FTE employees)")</f>
        <v/>
      </c>
      <c r="O172" s="1">
        <f>IFERROR(__xludf.DUMMYFUNCTION("""COMPUTED_VALUE"""),"Business to Consumer, Business to Schools")</f>
        <v/>
      </c>
      <c r="P172" s="1">
        <f>IFERROR(__xludf.DUMMYFUNCTION("""COMPUTED_VALUE"""),"Primary Education, Special Education")</f>
        <v/>
      </c>
      <c r="Q172" s="1">
        <f>IFERROR(__xludf.DUMMYFUNCTION("""COMPUTED_VALUE"""),"Student interfacing")</f>
        <v/>
      </c>
      <c r="R172" s="15">
        <f>IFERROR(__xludf.DUMMYFUNCTION("""COMPUTED_VALUE"""),"https://www.instagram.com/colab_global_/")</f>
        <v/>
      </c>
      <c r="S172" s="1" t="n"/>
      <c r="T172" s="15">
        <f>IFERROR(__xludf.DUMMYFUNCTION("""COMPUTED_VALUE"""),"https://www.linkedin.com/company/collaboration")</f>
        <v/>
      </c>
      <c r="U172" s="1">
        <f>IFERROR(__xludf.DUMMYFUNCTION("""COMPUTED_VALUE"""),"CoLab")</f>
        <v/>
      </c>
      <c r="V172" s="1">
        <f>IFERROR(__xludf.DUMMYFUNCTION("""COMPUTED_VALUE"""),"1 hour a week online session with 2 live coaches that supercharge your child's social, emotional and strategic skills.")</f>
        <v/>
      </c>
      <c r="W172" s="1" t="n"/>
      <c r="X172" s="1" t="n"/>
      <c r="Y172" s="1" t="n"/>
      <c r="Z172" s="1">
        <f>IFERROR(__xludf.DUMMYFUNCTION("""COMPUTED_VALUE"""),"Unverified")</f>
        <v/>
      </c>
      <c r="AA172" s="1">
        <f>IFERROR(__xludf.DUMMYFUNCTION("""COMPUTED_VALUE"""),"Collaborations between EdTech organisations, Public-private partnerships")</f>
        <v/>
      </c>
      <c r="AB172" s="1">
        <f>IFERROR(__xludf.DUMMYFUNCTION("""COMPUTED_VALUE"""),"For-profit company")</f>
        <v/>
      </c>
      <c r="AC172" s="1">
        <f>IFERROR(__xludf.DUMMYFUNCTION("""COMPUTED_VALUE"""),TRUE)</f>
        <v/>
      </c>
      <c r="AD172" s="1">
        <f>IFERROR(__xludf.DUMMYFUNCTION("""COMPUTED_VALUE"""),TRUE)</f>
        <v/>
      </c>
      <c r="AE172" s="1" t="n"/>
    </row>
    <row r="173" ht="42" customHeight="1">
      <c r="A173" s="14">
        <f>IFERROR(__xludf.DUMMYFUNCTION("""COMPUTED_VALUE"""),45840)</f>
        <v/>
      </c>
      <c r="B173" s="1">
        <f>IFERROR(__xludf.DUMMYFUNCTION("""COMPUTED_VALUE"""),"ORG_1735")</f>
        <v/>
      </c>
      <c r="C173" s="1">
        <f>IFERROR(__xludf.DUMMYFUNCTION("""COMPUTED_VALUE"""),TRUE)</f>
        <v/>
      </c>
      <c r="D173" s="1">
        <f>IFERROR(__xludf.DUMMYFUNCTION("""COMPUTED_VALUE"""),"Intuition RT")</f>
        <v/>
      </c>
      <c r="E173" s="15">
        <f>IFERROR(__xludf.DUMMYFUNCTION("""COMPUTED_VALUE"""),"ilorobot.com")</f>
        <v/>
      </c>
      <c r="F173" s="1">
        <f>IFERROR(__xludf.DUMMYFUNCTION("""COMPUTED_VALUE"""),"Robots for education, helping to develop STEM knowledge from the younger age to engineering level.")</f>
        <v/>
      </c>
      <c r="G173" s="1">
        <f>IFERROR(__xludf.DUMMYFUNCTION("""COMPUTED_VALUE"""),"EdTech France")</f>
        <v/>
      </c>
      <c r="H173" s="1">
        <f>IFERROR(__xludf.DUMMYFUNCTION("""COMPUTED_VALUE"""),"French, English, Spanish")</f>
        <v/>
      </c>
      <c r="I173" s="1">
        <f>IFERROR(__xludf.DUMMYFUNCTION("""COMPUTED_VALUE"""),"julien@ilorobot.com")</f>
        <v/>
      </c>
      <c r="J173" s="1">
        <f>IFERROR(__xludf.DUMMYFUNCTION("""COMPUTED_VALUE"""),"+33612158201")</f>
        <v/>
      </c>
      <c r="K173" s="1">
        <f>IFERROR(__xludf.DUMMYFUNCTION("""COMPUTED_VALUE"""),"Rennes")</f>
        <v/>
      </c>
      <c r="L173" s="1">
        <f>IFERROR(__xludf.DUMMYFUNCTION("""COMPUTED_VALUE"""),"France")</f>
        <v/>
      </c>
      <c r="M173" s="1">
        <f>IFERROR(__xludf.DUMMYFUNCTION("""COMPUTED_VALUE"""),"France")</f>
        <v/>
      </c>
      <c r="N173" s="1">
        <f>IFERROR(__xludf.DUMMYFUNCTION("""COMPUTED_VALUE"""),"Micro (1-9 FTE employees)")</f>
        <v/>
      </c>
      <c r="O173" s="1">
        <f>IFERROR(__xludf.DUMMYFUNCTION("""COMPUTED_VALUE"""),"Business to Business, Business to Consumer, Business to Schools, Business to Government")</f>
        <v/>
      </c>
      <c r="P173" s="1">
        <f>IFERROR(__xludf.DUMMYFUNCTION("""COMPUTED_VALUE"""),"Early childhood development (0-5 years), Primary Education, Secondary Education, Higher Education, Special Education")</f>
        <v/>
      </c>
      <c r="Q173" s="1">
        <f>IFERROR(__xludf.DUMMYFUNCTION("""COMPUTED_VALUE"""),"Teacher interfacing, Student interfacing")</f>
        <v/>
      </c>
      <c r="R173" s="1" t="n"/>
      <c r="S173" s="1" t="n"/>
      <c r="T173" s="15">
        <f>IFERROR(__xludf.DUMMYFUNCTION("""COMPUTED_VALUE"""),"https://www.linkedin.com/company/ilorobot/")</f>
        <v/>
      </c>
      <c r="U173" s="1">
        <f>IFERROR(__xludf.DUMMYFUNCTION("""COMPUTED_VALUE"""),"ilo robot")</f>
        <v/>
      </c>
      <c r="V173" s="1">
        <f>IFERROR(__xludf.DUMMYFUNCTION("""COMPUTED_VALUE"""),"ilo is the best tool to develop STEM from zero to hero.")</f>
        <v/>
      </c>
      <c r="W173" s="1" t="n"/>
      <c r="X173" s="1" t="n"/>
      <c r="Y173" s="1" t="n"/>
      <c r="Z173" s="1">
        <f>IFERROR(__xludf.DUMMYFUNCTION("""COMPUTED_VALUE"""),"Unverified")</f>
        <v/>
      </c>
      <c r="AA173" s="1">
        <f>IFERROR(__xludf.DUMMYFUNCTION("""COMPUTED_VALUE"""),"Project consortium building, Collaborations between EdTech organisations")</f>
        <v/>
      </c>
      <c r="AB173" s="1">
        <f>IFERROR(__xludf.DUMMYFUNCTION("""COMPUTED_VALUE"""),"For-profit company")</f>
        <v/>
      </c>
      <c r="AC173" s="1">
        <f>IFERROR(__xludf.DUMMYFUNCTION("""COMPUTED_VALUE"""),TRUE)</f>
        <v/>
      </c>
      <c r="AD173" s="1">
        <f>IFERROR(__xludf.DUMMYFUNCTION("""COMPUTED_VALUE"""),TRUE)</f>
        <v/>
      </c>
      <c r="AE173" s="1" t="n"/>
    </row>
    <row r="174" ht="42" customHeight="1">
      <c r="A174" s="14">
        <f>IFERROR(__xludf.DUMMYFUNCTION("""COMPUTED_VALUE"""),45840)</f>
        <v/>
      </c>
      <c r="B174" s="1">
        <f>IFERROR(__xludf.DUMMYFUNCTION("""COMPUTED_VALUE"""),"ORG_1044")</f>
        <v/>
      </c>
      <c r="C174" s="1">
        <f>IFERROR(__xludf.DUMMYFUNCTION("""COMPUTED_VALUE"""),TRUE)</f>
        <v/>
      </c>
      <c r="D174" s="1">
        <f>IFERROR(__xludf.DUMMYFUNCTION("""COMPUTED_VALUE"""),"AIUC")</f>
        <v/>
      </c>
      <c r="E174" s="15">
        <f>IFERROR(__xludf.DUMMYFUNCTION("""COMPUTED_VALUE"""),"https://www.aiuc.se")</f>
        <v/>
      </c>
      <c r="F174" s="1">
        <f>IFERROR(__xludf.DUMMYFUNCTION("""COMPUTED_VALUE"""),"AI Utbildningscentrum (AIUC) is a training provider specializing in AI education for workplaces and the education sector. Our courses are designed to make AI accessible and practical, helping participants integrate AI tools into their daily work and teach"&amp;"ing. With offerings ranging from beginner-level introductions to tailored corporate training, we aim to bridge the gap between technology and real-world applications. Based in Sweden, AIUC supports professionals and educators in navigating the opportuniti"&amp;"es and challenges of AI.")</f>
        <v/>
      </c>
      <c r="G174" s="1">
        <f>IFERROR(__xludf.DUMMYFUNCTION("""COMPUTED_VALUE"""),"Swedish EdTech Industry")</f>
        <v/>
      </c>
      <c r="H174" s="1" t="n"/>
      <c r="I174" s="1">
        <f>IFERROR(__xludf.DUMMYFUNCTION("""COMPUTED_VALUE"""),"info@aiuc.se")</f>
        <v/>
      </c>
      <c r="J174" s="1">
        <f>IFERROR(__xludf.DUMMYFUNCTION("""COMPUTED_VALUE"""),"+4686458400")</f>
        <v/>
      </c>
      <c r="K174" s="1">
        <f>IFERROR(__xludf.DUMMYFUNCTION("""COMPUTED_VALUE"""),"Stockholm")</f>
        <v/>
      </c>
      <c r="L174" s="1">
        <f>IFERROR(__xludf.DUMMYFUNCTION("""COMPUTED_VALUE"""),"Sweden")</f>
        <v/>
      </c>
      <c r="M174" s="1">
        <f>IFERROR(__xludf.DUMMYFUNCTION("""COMPUTED_VALUE"""),"Sweden")</f>
        <v/>
      </c>
      <c r="N174" s="1">
        <f>IFERROR(__xludf.DUMMYFUNCTION("""COMPUTED_VALUE"""),"Micro (1-9 FTE employees)")</f>
        <v/>
      </c>
      <c r="O174" s="1">
        <f>IFERROR(__xludf.DUMMYFUNCTION("""COMPUTED_VALUE"""),"Business to Business, Business to Government, Business to Schools")</f>
        <v/>
      </c>
      <c r="P174" s="1">
        <f>IFERROR(__xludf.DUMMYFUNCTION("""COMPUTED_VALUE"""),"Corporate Training")</f>
        <v/>
      </c>
      <c r="Q174" s="1">
        <f>IFERROR(__xludf.DUMMYFUNCTION("""COMPUTED_VALUE"""),"System/Administrative, Teacher interfacing, Student interfacing")</f>
        <v/>
      </c>
      <c r="R174" s="1" t="n"/>
      <c r="S174" s="1" t="n"/>
      <c r="T174" s="15">
        <f>IFERROR(__xludf.DUMMYFUNCTION("""COMPUTED_VALUE"""),"http://linkedin.com/company/aiucse")</f>
        <v/>
      </c>
      <c r="U174" s="1">
        <f>IFERROR(__xludf.DUMMYFUNCTION("""COMPUTED_VALUE"""),"AI for Educators")</f>
        <v/>
      </c>
      <c r="V174" s="1">
        <f>IFERROR(__xludf.DUMMYFUNCTION("""COMPUTED_VALUE"""),"This course is designed for teachers and school leaders who want to integrate AI into their teaching practices. Participants learn how to use AI tools to create personalized learning materials, streamline administrative tasks, and enhance student engageme"&amp;"nt. The course combines practical workshops w")</f>
        <v/>
      </c>
      <c r="W174" s="1">
        <f>IFERROR(__xludf.DUMMYFUNCTION("""COMPUTED_VALUE"""),"AI for Administrative Efficiency in Education")</f>
        <v/>
      </c>
      <c r="X174" s="1">
        <f>IFERROR(__xludf.DUMMYFUNCTION("""COMPUTED_VALUE"""),"This course is tailored for education professionals and administrators seeking to improve efficiency through AI. Participants explore how AI tools can streamline tasks such as scheduling, data management, and communication within educational institutions.")</f>
        <v/>
      </c>
      <c r="Y174" s="1" t="n"/>
      <c r="Z174" s="1">
        <f>IFERROR(__xludf.DUMMYFUNCTION("""COMPUTED_VALUE"""),"Unverified")</f>
        <v/>
      </c>
      <c r="AA174" s="1">
        <f>IFERROR(__xludf.DUMMYFUNCTION("""COMPUTED_VALUE"""),"Industry-academia partnerships, Public-private partnerships, Project consortium building, Collaborations between EdTech organisations")</f>
        <v/>
      </c>
      <c r="AB174" s="1">
        <f>IFERROR(__xludf.DUMMYFUNCTION("""COMPUTED_VALUE"""),"For-profit company")</f>
        <v/>
      </c>
      <c r="AC174" s="1">
        <f>IFERROR(__xludf.DUMMYFUNCTION("""COMPUTED_VALUE"""),TRUE)</f>
        <v/>
      </c>
      <c r="AD174" s="1">
        <f>IFERROR(__xludf.DUMMYFUNCTION("""COMPUTED_VALUE"""),TRUE)</f>
        <v/>
      </c>
      <c r="AE174" s="1" t="n"/>
    </row>
    <row r="175" ht="42" customHeight="1">
      <c r="A175" s="14">
        <f>IFERROR(__xludf.DUMMYFUNCTION("""COMPUTED_VALUE"""),45840)</f>
        <v/>
      </c>
      <c r="B175" s="1">
        <f>IFERROR(__xludf.DUMMYFUNCTION("""COMPUTED_VALUE"""),"ORG_1452")</f>
        <v/>
      </c>
      <c r="C175" s="1">
        <f>IFERROR(__xludf.DUMMYFUNCTION("""COMPUTED_VALUE"""),TRUE)</f>
        <v/>
      </c>
      <c r="D175" s="1">
        <f>IFERROR(__xludf.DUMMYFUNCTION("""COMPUTED_VALUE"""),"Edumus")</f>
        <v/>
      </c>
      <c r="E175" s="15">
        <f>IFERROR(__xludf.DUMMYFUNCTION("""COMPUTED_VALUE"""),"https://about.edumus.org/")</f>
        <v/>
      </c>
      <c r="F175" s="1">
        <f>IFERROR(__xludf.DUMMYFUNCTION("""COMPUTED_VALUE"""),"Edumus offers modern and interesting online courses taught by practitioners. Live online classes, practical tasks and students with similar interests – at Edumus, high school students can learn 21st century skills and get the course accounted as an electi"&amp;"ve at their school!")</f>
        <v/>
      </c>
      <c r="G175" s="1">
        <f>IFERROR(__xludf.DUMMYFUNCTION("""COMPUTED_VALUE"""),"EdTech Estonia")</f>
        <v/>
      </c>
      <c r="H175" s="1">
        <f>IFERROR(__xludf.DUMMYFUNCTION("""COMPUTED_VALUE"""),"English, Estonian")</f>
        <v/>
      </c>
      <c r="I175" s="1">
        <f>IFERROR(__xludf.DUMMYFUNCTION("""COMPUTED_VALUE"""),"maria@edumus.org")</f>
        <v/>
      </c>
      <c r="J175" s="1">
        <f>IFERROR(__xludf.DUMMYFUNCTION("""COMPUTED_VALUE"""),"+37253458805")</f>
        <v/>
      </c>
      <c r="K175" s="1">
        <f>IFERROR(__xludf.DUMMYFUNCTION("""COMPUTED_VALUE"""),"Tallinn")</f>
        <v/>
      </c>
      <c r="L175" s="1">
        <f>IFERROR(__xludf.DUMMYFUNCTION("""COMPUTED_VALUE"""),"Estonia")</f>
        <v/>
      </c>
      <c r="M175" s="1">
        <f>IFERROR(__xludf.DUMMYFUNCTION("""COMPUTED_VALUE"""),"Estonia")</f>
        <v/>
      </c>
      <c r="N175" s="1">
        <f>IFERROR(__xludf.DUMMYFUNCTION("""COMPUTED_VALUE"""),"Micro (1-9 FTE employees)")</f>
        <v/>
      </c>
      <c r="O175" s="1">
        <f>IFERROR(__xludf.DUMMYFUNCTION("""COMPUTED_VALUE"""),"Business to Consumer, Business to Schools")</f>
        <v/>
      </c>
      <c r="P175" s="1">
        <f>IFERROR(__xludf.DUMMYFUNCTION("""COMPUTED_VALUE"""),"Secondary Education, Vocational Education and Training (VET)")</f>
        <v/>
      </c>
      <c r="Q175" s="1">
        <f>IFERROR(__xludf.DUMMYFUNCTION("""COMPUTED_VALUE"""),"Student interfacing, System/Administrative")</f>
        <v/>
      </c>
      <c r="R175" s="1" t="n"/>
      <c r="S175" s="1" t="n"/>
      <c r="T175" s="1" t="n"/>
      <c r="U175" s="1">
        <f>IFERROR(__xludf.DUMMYFUNCTION("""COMPUTED_VALUE"""),"Synchonous online courses")</f>
        <v/>
      </c>
      <c r="V175" s="1">
        <f>IFERROR(__xludf.DUMMYFUNCTION("""COMPUTED_VALUE"""),"Edumus offers expert-developed curricula combining interactive live classes and flexible self-directed learning materials. Our collaborative model, supported by pedagogical specialists, fairly compensates industry experts and companies contributing to cou"&amp;"rse development.")</f>
        <v/>
      </c>
      <c r="W175" s="1" t="n"/>
      <c r="X175" s="1" t="n"/>
      <c r="Y175" s="1" t="n"/>
      <c r="Z175" s="1">
        <f>IFERROR(__xludf.DUMMYFUNCTION("""COMPUTED_VALUE"""),"Unverified")</f>
        <v/>
      </c>
      <c r="AA175" s="1">
        <f>IFERROR(__xludf.DUMMYFUNCTION("""COMPUTED_VALUE"""),"Collaborations between EdTech organisations, Public-private partnerships, Industry-academia partnerships")</f>
        <v/>
      </c>
      <c r="AB175" s="1">
        <f>IFERROR(__xludf.DUMMYFUNCTION("""COMPUTED_VALUE"""),"For-profit company")</f>
        <v/>
      </c>
      <c r="AC175" s="1">
        <f>IFERROR(__xludf.DUMMYFUNCTION("""COMPUTED_VALUE"""),TRUE)</f>
        <v/>
      </c>
      <c r="AD175" s="1">
        <f>IFERROR(__xludf.DUMMYFUNCTION("""COMPUTED_VALUE"""),TRUE)</f>
        <v/>
      </c>
      <c r="AE175" s="1" t="n"/>
    </row>
    <row r="176" ht="42" customHeight="1">
      <c r="A176" s="14">
        <f>IFERROR(__xludf.DUMMYFUNCTION("""COMPUTED_VALUE"""),45840)</f>
        <v/>
      </c>
      <c r="B176" s="1">
        <f>IFERROR(__xludf.DUMMYFUNCTION("""COMPUTED_VALUE"""),"ORG_1506")</f>
        <v/>
      </c>
      <c r="C176" s="1">
        <f>IFERROR(__xludf.DUMMYFUNCTION("""COMPUTED_VALUE"""),TRUE)</f>
        <v/>
      </c>
      <c r="D176" s="1">
        <f>IFERROR(__xludf.DUMMYFUNCTION("""COMPUTED_VALUE"""),"Epistemes")</f>
        <v/>
      </c>
      <c r="E176" s="15">
        <f>IFERROR(__xludf.DUMMYFUNCTION("""COMPUTED_VALUE"""),"www.epistemes-formation.fr")</f>
        <v/>
      </c>
      <c r="F176" s="1">
        <f>IFERROR(__xludf.DUMMYFUNCTION("""COMPUTED_VALUE"""),"Epistemes designs educational virtual and immersive (XR) environments that assess and analyze learner behavior through its R&amp;D work in cognitive sciences in partnership with research laboratories.")</f>
        <v/>
      </c>
      <c r="G176" s="1">
        <f>IFERROR(__xludf.DUMMYFUNCTION("""COMPUTED_VALUE"""),"EdTech France")</f>
        <v/>
      </c>
      <c r="H176" s="1">
        <f>IFERROR(__xludf.DUMMYFUNCTION("""COMPUTED_VALUE"""),"English, German, French, Italian, Spanish")</f>
        <v/>
      </c>
      <c r="I176" s="1">
        <f>IFERROR(__xludf.DUMMYFUNCTION("""COMPUTED_VALUE"""),"contact@epistemes-formation.fr")</f>
        <v/>
      </c>
      <c r="J176" s="1">
        <f>IFERROR(__xludf.DUMMYFUNCTION("""COMPUTED_VALUE"""),"+33468071353")</f>
        <v/>
      </c>
      <c r="K176" s="1">
        <f>IFERROR(__xludf.DUMMYFUNCTION("""COMPUTED_VALUE"""),"Bages")</f>
        <v/>
      </c>
      <c r="L176" s="1">
        <f>IFERROR(__xludf.DUMMYFUNCTION("""COMPUTED_VALUE"""),"France")</f>
        <v/>
      </c>
      <c r="M176" s="1">
        <f>IFERROR(__xludf.DUMMYFUNCTION("""COMPUTED_VALUE"""),"France, Italy, Ireland, Greece, Germany, Luxembourg, Portugal, Spain")</f>
        <v/>
      </c>
      <c r="N176" s="1">
        <f>IFERROR(__xludf.DUMMYFUNCTION("""COMPUTED_VALUE"""),"Micro (1-9 FTE employees)")</f>
        <v/>
      </c>
      <c r="O176" s="1">
        <f>IFERROR(__xludf.DUMMYFUNCTION("""COMPUTED_VALUE"""),"Business to Business, Business to Government, Business to Schools")</f>
        <v/>
      </c>
      <c r="P176" s="1">
        <f>IFERROR(__xludf.DUMMYFUNCTION("""COMPUTED_VALUE"""),"Special Education, Lifelong learning/Adult education, Corporate Training, Higher Education, Vocational Education and Training (VET), Secondary Education")</f>
        <v/>
      </c>
      <c r="Q176" s="1">
        <f>IFERROR(__xludf.DUMMYFUNCTION("""COMPUTED_VALUE"""),"Student interfacing, Teacher interfacing, System/Administrative")</f>
        <v/>
      </c>
      <c r="R176" s="1" t="n"/>
      <c r="S176" s="1" t="n"/>
      <c r="T176" s="15">
        <f>IFERROR(__xludf.DUMMYFUNCTION("""COMPUTED_VALUE"""),"https://www.linkedin.com/company/episteme")</f>
        <v/>
      </c>
      <c r="U176" s="1">
        <f>IFERROR(__xludf.DUMMYFUNCTION("""COMPUTED_VALUE"""),"Virtual reality simulator for repairing electric cars")</f>
        <v/>
      </c>
      <c r="V176" s="1">
        <f>IFERROR(__xludf.DUMMYFUNCTION("""COMPUTED_VALUE"""),"Epistemes has designed a customized, immersive training program for Norauto France to teach maintenance and repair of electric car cooling systems. The program aims to train 500 mechanics over the next three years.")</f>
        <v/>
      </c>
      <c r="W176" s="1">
        <f>IFERROR(__xludf.DUMMYFUNCTION("""COMPUTED_VALUE"""),"Navalia")</f>
        <v/>
      </c>
      <c r="X176" s="1">
        <f>IFERROR(__xludf.DUMMYFUNCTION("""COMPUTED_VALUE"""),"Epistemes has designed a tailor-made and immersive training program for the University of Perpignan with the aim of training Master's students in archaeology in the recognition of the components of a Roman boat and in its construction using the tools and "&amp;"assembly techniques of the time.")</f>
        <v/>
      </c>
      <c r="Y176" s="1" t="n"/>
      <c r="Z176" s="1">
        <f>IFERROR(__xludf.DUMMYFUNCTION("""COMPUTED_VALUE"""),"Unverified")</f>
        <v/>
      </c>
      <c r="AA176" s="1">
        <f>IFERROR(__xludf.DUMMYFUNCTION("""COMPUTED_VALUE"""),"Collaborations between EdTech organisations, Project consortium building, Public-private partnerships, Industry-academia partnerships")</f>
        <v/>
      </c>
      <c r="AB176" s="1">
        <f>IFERROR(__xludf.DUMMYFUNCTION("""COMPUTED_VALUE"""),"For-profit company")</f>
        <v/>
      </c>
      <c r="AC176" s="1">
        <f>IFERROR(__xludf.DUMMYFUNCTION("""COMPUTED_VALUE"""),TRUE)</f>
        <v/>
      </c>
      <c r="AD176" s="1">
        <f>IFERROR(__xludf.DUMMYFUNCTION("""COMPUTED_VALUE"""),TRUE)</f>
        <v/>
      </c>
      <c r="AE176" s="1" t="n"/>
    </row>
    <row r="177" ht="42" customHeight="1">
      <c r="A177" s="14">
        <f>IFERROR(__xludf.DUMMYFUNCTION("""COMPUTED_VALUE"""),45840)</f>
        <v/>
      </c>
      <c r="B177" s="1">
        <f>IFERROR(__xludf.DUMMYFUNCTION("""COMPUTED_VALUE"""),"ORG_2538")</f>
        <v/>
      </c>
      <c r="C177" s="1">
        <f>IFERROR(__xludf.DUMMYFUNCTION("""COMPUTED_VALUE"""),TRUE)</f>
        <v/>
      </c>
      <c r="D177" s="1">
        <f>IFERROR(__xludf.DUMMYFUNCTION("""COMPUTED_VALUE"""),"Wiris")</f>
        <v/>
      </c>
      <c r="E177" s="15">
        <f>IFERROR(__xludf.DUMMYFUNCTION("""COMPUTED_VALUE"""),"www.wiris.com")</f>
        <v/>
      </c>
      <c r="F177" s="1">
        <f>IFERROR(__xludf.DUMMYFUNCTION("""COMPUTED_VALUE"""),"Providers of STEM solutions for Academic institutions, Publishers and EdTech companies")</f>
        <v/>
      </c>
      <c r="G177" s="1">
        <f>IFERROR(__xludf.DUMMYFUNCTION("""COMPUTED_VALUE"""),"EduTech Cluster Spain")</f>
        <v/>
      </c>
      <c r="H177" s="1">
        <f>IFERROR(__xludf.DUMMYFUNCTION("""COMPUTED_VALUE"""),"English, French, Spanish, Italian, German, Chinese")</f>
        <v/>
      </c>
      <c r="I177" s="1">
        <f>IFERROR(__xludf.DUMMYFUNCTION("""COMPUTED_VALUE"""),"info@wiris.com")</f>
        <v/>
      </c>
      <c r="J177" s="1">
        <f>IFERROR(__xludf.DUMMYFUNCTION("""COMPUTED_VALUE"""),"+34932804805")</f>
        <v/>
      </c>
      <c r="K177" s="1">
        <f>IFERROR(__xludf.DUMMYFUNCTION("""COMPUTED_VALUE"""),"Barcelona")</f>
        <v/>
      </c>
      <c r="L177" s="1">
        <f>IFERROR(__xludf.DUMMYFUNCTION("""COMPUTED_VALUE"""),"Spain")</f>
        <v/>
      </c>
      <c r="M177" s="1">
        <f>IFERROR(__xludf.DUMMYFUNCTION("""COMPUTED_VALUE"""),"Albania, Andorra, Austria, Bosnia and Herzegovina, Belgium, Belarus, Bulgaria, Croatia, Republic of Cyprus, Estonia, Germany, Iceland, Kosovo, Lithuania, Moldova, Denmark, Czechia, Finland, France, Hungary, Greece, Ireland, Italy, Latvia, Liechtenstein, L"&amp;"uxembourg, Malta, Monaco, Netherlands, Poland, Norway, North Macedonia, Montenegro, Portugal, Romania, San Marino, Spain, Slovenia, Slovakia, Sweden, Switzerland, Turkey, United Kingdom, Ukraine")</f>
        <v/>
      </c>
      <c r="N177" s="1">
        <f>IFERROR(__xludf.DUMMYFUNCTION("""COMPUTED_VALUE"""),"Medium (50-250 FTE employees)")</f>
        <v/>
      </c>
      <c r="O177" s="1">
        <f>IFERROR(__xludf.DUMMYFUNCTION("""COMPUTED_VALUE"""),"Business to Business, Business to Schools, Business to Consumer, Business to Government")</f>
        <v/>
      </c>
      <c r="P177" s="1">
        <f>IFERROR(__xludf.DUMMYFUNCTION("""COMPUTED_VALUE"""),"Secondary Education, Vocational Education and Training (VET), Higher Education")</f>
        <v/>
      </c>
      <c r="Q177" s="1">
        <f>IFERROR(__xludf.DUMMYFUNCTION("""COMPUTED_VALUE"""),"Student interfacing, Teacher interfacing")</f>
        <v/>
      </c>
      <c r="R177" s="1" t="n"/>
      <c r="S177" s="1" t="n"/>
      <c r="T177" s="15">
        <f>IFERROR(__xludf.DUMMYFUNCTION("""COMPUTED_VALUE"""),"https://www.linkedin.com/company/maths")</f>
        <v/>
      </c>
      <c r="U177" s="1">
        <f>IFERROR(__xludf.DUMMYFUNCTION("""COMPUTED_VALUE"""),"MathType")</f>
        <v/>
      </c>
      <c r="V177" s="1">
        <f>IFERROR(__xludf.DUMMYFUNCTION("""COMPUTED_VALUE"""),"MathType is the leading equation used by K-12 and university STEM students and faculty worldwide. Handwritting math at hand!
MathType smoothly integrates with Office 365 and Google Workspace but also in Moodle, Canvas, Blackboard or BrightSpace and other"&amp;" among many other LMS.")</f>
        <v/>
      </c>
      <c r="W177" s="1">
        <f>IFERROR(__xludf.DUMMYFUNCTION("""COMPUTED_VALUE"""),"Wiris Assessment")</f>
        <v/>
      </c>
      <c r="X177" s="1">
        <f>IFERROR(__xludf.DUMMYFUNCTION("""COMPUTED_VALUE"""),"Build STEM assessments with equation, graph or text-based answers and automatically corrected. Dynamic questions with random parameters, thus supporting cheating prevention.
WirisQuizzes is the service name in Moodle, Canvas or Blackboard.
LearningLemur i"&amp;"s the solution for Google Classroom.")</f>
        <v/>
      </c>
      <c r="Y177" s="1" t="n"/>
      <c r="Z177" s="1">
        <f>IFERROR(__xludf.DUMMYFUNCTION("""COMPUTED_VALUE"""),"Unverified")</f>
        <v/>
      </c>
      <c r="AA177" s="1">
        <f>IFERROR(__xludf.DUMMYFUNCTION("""COMPUTED_VALUE"""),"Project consortium building, Public-private partnerships, Collaborations between EdTech organisations, Industry-academia partnerships")</f>
        <v/>
      </c>
      <c r="AB177" s="1">
        <f>IFERROR(__xludf.DUMMYFUNCTION("""COMPUTED_VALUE"""),"For-profit company")</f>
        <v/>
      </c>
      <c r="AC177" s="1">
        <f>IFERROR(__xludf.DUMMYFUNCTION("""COMPUTED_VALUE"""),TRUE)</f>
        <v/>
      </c>
      <c r="AD177" s="1">
        <f>IFERROR(__xludf.DUMMYFUNCTION("""COMPUTED_VALUE"""),TRUE)</f>
        <v/>
      </c>
      <c r="AE177" s="1" t="n"/>
    </row>
    <row r="178" ht="42" customHeight="1">
      <c r="A178" s="14">
        <f>IFERROR(__xludf.DUMMYFUNCTION("""COMPUTED_VALUE"""),45840)</f>
        <v/>
      </c>
      <c r="B178" s="1">
        <f>IFERROR(__xludf.DUMMYFUNCTION("""COMPUTED_VALUE"""),"ORG_1949")</f>
        <v/>
      </c>
      <c r="C178" s="1">
        <f>IFERROR(__xludf.DUMMYFUNCTION("""COMPUTED_VALUE"""),TRUE)</f>
        <v/>
      </c>
      <c r="D178" s="1">
        <f>IFERROR(__xludf.DUMMYFUNCTION("""COMPUTED_VALUE"""),"MemoryLab")</f>
        <v/>
      </c>
      <c r="E178" s="15">
        <f>IFERROR(__xludf.DUMMYFUNCTION("""COMPUTED_VALUE"""),"www.memorylab.nl")</f>
        <v/>
      </c>
      <c r="F178" s="1">
        <f>IFERROR(__xludf.DUMMYFUNCTION("""COMPUTED_VALUE"""),"MemoryLab transforms education by tracking students’ digital learning interactions to optimize learning and quantify knowledge with precision. Our adaptive system, grounded in cognitive science and powered by proprietary knowledge tracing algorithms, incr"&amp;"eases engagement and removes the need for traditional exams. We focus on fundamental declarative knowledge—the core facts and concepts essential for deeper learning. By tailoring learning to each individual’s pace and needs, we create an inclusive, low-st"&amp;"ress environment where every student can thrive. Backed by our own scientific research and validated in real classrooms, MemoryLab ensures that learning is both effective and evidence-based.")</f>
        <v/>
      </c>
      <c r="G178" s="1">
        <f>IFERROR(__xludf.DUMMYFUNCTION("""COMPUTED_VALUE"""),"EDUvation")</f>
        <v/>
      </c>
      <c r="H178" s="1">
        <f>IFERROR(__xludf.DUMMYFUNCTION("""COMPUTED_VALUE"""),"English, German, Italian, French, Spanish, All")</f>
        <v/>
      </c>
      <c r="I178" s="1">
        <f>IFERROR(__xludf.DUMMYFUNCTION("""COMPUTED_VALUE"""),"fausta@memorylab.nl")</f>
        <v/>
      </c>
      <c r="J178" s="1">
        <f>IFERROR(__xludf.DUMMYFUNCTION("""COMPUTED_VALUE"""),"+31618785388")</f>
        <v/>
      </c>
      <c r="K178" s="1">
        <f>IFERROR(__xludf.DUMMYFUNCTION("""COMPUTED_VALUE"""),"Groningen")</f>
        <v/>
      </c>
      <c r="L178" s="1">
        <f>IFERROR(__xludf.DUMMYFUNCTION("""COMPUTED_VALUE"""),"The Netherlands")</f>
        <v/>
      </c>
      <c r="M178" s="1">
        <f>IFERROR(__xludf.DUMMYFUNCTION("""COMPUTED_VALUE"""),"Belgium, Germany, Netherlands, United Kingdom, Austria, Sweden, Switzerland, United States of America")</f>
        <v/>
      </c>
      <c r="N178" s="1">
        <f>IFERROR(__xludf.DUMMYFUNCTION("""COMPUTED_VALUE"""),"Small (10-49 FTE employees)")</f>
        <v/>
      </c>
      <c r="O178" s="1">
        <f>IFERROR(__xludf.DUMMYFUNCTION("""COMPUTED_VALUE"""),"Business to Business, Business to Schools")</f>
        <v/>
      </c>
      <c r="P178" s="1">
        <f>IFERROR(__xludf.DUMMYFUNCTION("""COMPUTED_VALUE"""),"Secondary Education, Vocational Education and Training (VET), Higher Education, Corporate Training, Lifelong learning/Adult education, Special Education")</f>
        <v/>
      </c>
      <c r="Q178" s="1">
        <f>IFERROR(__xludf.DUMMYFUNCTION("""COMPUTED_VALUE"""),"Student interfacing, Teacher interfacing")</f>
        <v/>
      </c>
      <c r="R178" s="1" t="n"/>
      <c r="S178" s="1" t="n"/>
      <c r="T178" s="1" t="n"/>
      <c r="U178" s="1" t="n"/>
      <c r="V178" s="1" t="n"/>
      <c r="W178" s="1" t="n"/>
      <c r="X178" s="1" t="n"/>
      <c r="Y178" s="1" t="n"/>
      <c r="Z178" s="1">
        <f>IFERROR(__xludf.DUMMYFUNCTION("""COMPUTED_VALUE"""),"Unverified")</f>
        <v/>
      </c>
      <c r="AA178" s="1">
        <f>IFERROR(__xludf.DUMMYFUNCTION("""COMPUTED_VALUE"""),"Collaborations between EdTech organisations, Project consortium building, Industry-academia partnerships")</f>
        <v/>
      </c>
      <c r="AB178" s="1">
        <f>IFERROR(__xludf.DUMMYFUNCTION("""COMPUTED_VALUE"""),"For-profit company")</f>
        <v/>
      </c>
      <c r="AC178" s="1">
        <f>IFERROR(__xludf.DUMMYFUNCTION("""COMPUTED_VALUE"""),TRUE)</f>
        <v/>
      </c>
      <c r="AD178" s="1">
        <f>IFERROR(__xludf.DUMMYFUNCTION("""COMPUTED_VALUE"""),FALSE)</f>
        <v/>
      </c>
      <c r="AE178" s="1" t="n"/>
    </row>
    <row r="179" ht="42" customHeight="1">
      <c r="A179" s="14">
        <f>IFERROR(__xludf.DUMMYFUNCTION("""COMPUTED_VALUE"""),45840)</f>
        <v/>
      </c>
      <c r="B179" s="1">
        <f>IFERROR(__xludf.DUMMYFUNCTION("""COMPUTED_VALUE"""),"ORG_1475")</f>
        <v/>
      </c>
      <c r="C179" s="1">
        <f>IFERROR(__xludf.DUMMYFUNCTION("""COMPUTED_VALUE"""),TRUE)</f>
        <v/>
      </c>
      <c r="D179" s="1">
        <f>IFERROR(__xludf.DUMMYFUNCTION("""COMPUTED_VALUE"""),"Eindexamensite")</f>
        <v/>
      </c>
      <c r="E179" s="15">
        <f>IFERROR(__xludf.DUMMYFUNCTION("""COMPUTED_VALUE"""),"https://eindexamensite.nl")</f>
        <v/>
      </c>
      <c r="F179" s="1">
        <f>IFERROR(__xludf.DUMMYFUNCTION("""COMPUTED_VALUE"""),"Eindexamensite is a digital exam trainer and helps teachers prepare their students for the end-of-year-test in Dutch secondary education")</f>
        <v/>
      </c>
      <c r="G179" s="1">
        <f>IFERROR(__xludf.DUMMYFUNCTION("""COMPUTED_VALUE"""),"Dutch EdTech")</f>
        <v/>
      </c>
      <c r="H179" s="1">
        <f>IFERROR(__xludf.DUMMYFUNCTION("""COMPUTED_VALUE"""),"Dutch")</f>
        <v/>
      </c>
      <c r="I179" s="1">
        <f>IFERROR(__xludf.DUMMYFUNCTION("""COMPUTED_VALUE"""),"info@eindexamensite.nl")</f>
        <v/>
      </c>
      <c r="J179" s="1">
        <f>IFERROR(__xludf.DUMMYFUNCTION("""COMPUTED_VALUE"""),"+33613067568")</f>
        <v/>
      </c>
      <c r="K179" s="1">
        <f>IFERROR(__xludf.DUMMYFUNCTION("""COMPUTED_VALUE"""),"Utrecht")</f>
        <v/>
      </c>
      <c r="L179" s="1">
        <f>IFERROR(__xludf.DUMMYFUNCTION("""COMPUTED_VALUE"""),"The Netherlands")</f>
        <v/>
      </c>
      <c r="M179" s="1">
        <f>IFERROR(__xludf.DUMMYFUNCTION("""COMPUTED_VALUE"""),"Netherlands")</f>
        <v/>
      </c>
      <c r="N179" s="1">
        <f>IFERROR(__xludf.DUMMYFUNCTION("""COMPUTED_VALUE"""),"Micro (1-9 FTE employees)")</f>
        <v/>
      </c>
      <c r="O179" s="1">
        <f>IFERROR(__xludf.DUMMYFUNCTION("""COMPUTED_VALUE"""),"Business to Schools")</f>
        <v/>
      </c>
      <c r="P179" s="1">
        <f>IFERROR(__xludf.DUMMYFUNCTION("""COMPUTED_VALUE"""),"Secondary Education")</f>
        <v/>
      </c>
      <c r="Q179" s="1">
        <f>IFERROR(__xludf.DUMMYFUNCTION("""COMPUTED_VALUE"""),"Student interfacing, Teacher interfacing")</f>
        <v/>
      </c>
      <c r="R179" s="1" t="n"/>
      <c r="S179" s="1" t="n"/>
      <c r="T179" s="15">
        <f>IFERROR(__xludf.DUMMYFUNCTION("""COMPUTED_VALUE"""),"https://www.linkedin.com/company/eindexamensite/")</f>
        <v/>
      </c>
      <c r="U179" s="1">
        <f>IFERROR(__xludf.DUMMYFUNCTION("""COMPUTED_VALUE"""),"Digital exam trainer")</f>
        <v/>
      </c>
      <c r="V179" s="1">
        <f>IFERROR(__xludf.DUMMYFUNCTION("""COMPUTED_VALUE"""),"Help teachers prepare students for yearly end-of-year test")</f>
        <v/>
      </c>
      <c r="W179" s="1" t="n"/>
      <c r="X179" s="1" t="n"/>
      <c r="Y179" s="1" t="n"/>
      <c r="Z179" s="1">
        <f>IFERROR(__xludf.DUMMYFUNCTION("""COMPUTED_VALUE"""),"Unverified")</f>
        <v/>
      </c>
      <c r="AA179" s="1" t="n"/>
      <c r="AB179" s="1">
        <f>IFERROR(__xludf.DUMMYFUNCTION("""COMPUTED_VALUE"""),"For-profit company")</f>
        <v/>
      </c>
      <c r="AC179" s="1">
        <f>IFERROR(__xludf.DUMMYFUNCTION("""COMPUTED_VALUE"""),TRUE)</f>
        <v/>
      </c>
      <c r="AD179" s="1">
        <f>IFERROR(__xludf.DUMMYFUNCTION("""COMPUTED_VALUE"""),TRUE)</f>
        <v/>
      </c>
      <c r="AE179" s="1" t="n"/>
    </row>
    <row r="180" ht="42" customHeight="1">
      <c r="A180" s="14">
        <f>IFERROR(__xludf.DUMMYFUNCTION("""COMPUTED_VALUE"""),45840)</f>
        <v/>
      </c>
      <c r="B180" s="1">
        <f>IFERROR(__xludf.DUMMYFUNCTION("""COMPUTED_VALUE"""),"ORG_1541")</f>
        <v/>
      </c>
      <c r="C180" s="1">
        <f>IFERROR(__xludf.DUMMYFUNCTION("""COMPUTED_VALUE"""),TRUE)</f>
        <v/>
      </c>
      <c r="D180" s="1">
        <f>IFERROR(__xludf.DUMMYFUNCTION("""COMPUTED_VALUE"""),"EXOCLASS")</f>
        <v/>
      </c>
      <c r="E180" s="15">
        <f>IFERROR(__xludf.DUMMYFUNCTION("""COMPUTED_VALUE"""),"Exoclass.io")</f>
        <v/>
      </c>
      <c r="F180" s="1">
        <f>IFERROR(__xludf.DUMMYFUNCTION("""COMPUTED_VALUE"""),"EXOCLASS is a software that serves educational service providers reduce admin work to a minimum. It collects payments and registrations, automates communication, provides a customer portal, tracks attendance and provides analytical insights. It’s a game-c"&amp;"hanger for any organisation that wants to scale")</f>
        <v/>
      </c>
      <c r="G180" s="1">
        <f>IFERROR(__xludf.DUMMYFUNCTION("""COMPUTED_VALUE"""),"I'm not part of any EdTech association")</f>
        <v/>
      </c>
      <c r="H180" s="1">
        <f>IFERROR(__xludf.DUMMYFUNCTION("""COMPUTED_VALUE"""),"English, German")</f>
        <v/>
      </c>
      <c r="I180" s="1">
        <f>IFERROR(__xludf.DUMMYFUNCTION("""COMPUTED_VALUE"""),"support@exoclass.com")</f>
        <v/>
      </c>
      <c r="J180" s="1">
        <f>IFERROR(__xludf.DUMMYFUNCTION("""COMPUTED_VALUE"""),"+37068546019")</f>
        <v/>
      </c>
      <c r="K180" s="1">
        <f>IFERROR(__xludf.DUMMYFUNCTION("""COMPUTED_VALUE"""),"Kaunas")</f>
        <v/>
      </c>
      <c r="L180" s="1">
        <f>IFERROR(__xludf.DUMMYFUNCTION("""COMPUTED_VALUE"""),"Lithuania")</f>
        <v/>
      </c>
      <c r="M180" s="1">
        <f>IFERROR(__xludf.DUMMYFUNCTION("""COMPUTED_VALUE"""),"Ireland, Lithuania, Latvia, United, States")</f>
        <v/>
      </c>
      <c r="N180" s="1">
        <f>IFERROR(__xludf.DUMMYFUNCTION("""COMPUTED_VALUE"""),"Micro (1-9 FTE employees)")</f>
        <v/>
      </c>
      <c r="O180" s="1">
        <f>IFERROR(__xludf.DUMMYFUNCTION("""COMPUTED_VALUE"""),"Business to Business")</f>
        <v/>
      </c>
      <c r="P180" s="1">
        <f>IFERROR(__xludf.DUMMYFUNCTION("""COMPUTED_VALUE"""),"Lifelong learning/Adult education")</f>
        <v/>
      </c>
      <c r="Q180" s="1">
        <f>IFERROR(__xludf.DUMMYFUNCTION("""COMPUTED_VALUE"""),"System/Administrative")</f>
        <v/>
      </c>
      <c r="R180" s="15">
        <f>IFERROR(__xludf.DUMMYFUNCTION("""COMPUTED_VALUE"""),"https://www.instagram.com/exoclass_com/")</f>
        <v/>
      </c>
      <c r="S180" s="1" t="n"/>
      <c r="T180" s="15">
        <f>IFERROR(__xludf.DUMMYFUNCTION("""COMPUTED_VALUE"""),"https://www.linkedin.com/company/exoclass")</f>
        <v/>
      </c>
      <c r="U180" s="1">
        <f>IFERROR(__xludf.DUMMYFUNCTION("""COMPUTED_VALUE"""),"EXOCLASS")</f>
        <v/>
      </c>
      <c r="V180" s="1">
        <f>IFERROR(__xludf.DUMMYFUNCTION("""COMPUTED_VALUE"""),"Admin software for educational service providers")</f>
        <v/>
      </c>
      <c r="W180" s="1" t="n"/>
      <c r="X180" s="1" t="n"/>
      <c r="Y180" s="1" t="n"/>
      <c r="Z180" s="1">
        <f>IFERROR(__xludf.DUMMYFUNCTION("""COMPUTED_VALUE"""),"Unverified")</f>
        <v/>
      </c>
      <c r="AA180" s="1">
        <f>IFERROR(__xludf.DUMMYFUNCTION("""COMPUTED_VALUE"""),"Collaborations between EdTech organisations")</f>
        <v/>
      </c>
      <c r="AB180" s="1">
        <f>IFERROR(__xludf.DUMMYFUNCTION("""COMPUTED_VALUE"""),"For-profit company")</f>
        <v/>
      </c>
      <c r="AC180" s="1">
        <f>IFERROR(__xludf.DUMMYFUNCTION("""COMPUTED_VALUE"""),TRUE)</f>
        <v/>
      </c>
      <c r="AD180" s="1">
        <f>IFERROR(__xludf.DUMMYFUNCTION("""COMPUTED_VALUE"""),FALSE)</f>
        <v/>
      </c>
      <c r="AE180" s="1" t="n"/>
    </row>
    <row r="181" ht="42" customHeight="1">
      <c r="A181" s="14">
        <f>IFERROR(__xludf.DUMMYFUNCTION("""COMPUTED_VALUE"""),45840)</f>
        <v/>
      </c>
      <c r="B181" s="1">
        <f>IFERROR(__xludf.DUMMYFUNCTION("""COMPUTED_VALUE"""),"ORG_1000")</f>
        <v/>
      </c>
      <c r="C181" s="1">
        <f>IFERROR(__xludf.DUMMYFUNCTION("""COMPUTED_VALUE"""),TRUE)</f>
        <v/>
      </c>
      <c r="D181" s="1">
        <f>IFERROR(__xludf.DUMMYFUNCTION("""COMPUTED_VALUE"""),"01Edu")</f>
        <v/>
      </c>
      <c r="E181" s="15">
        <f>IFERROR(__xludf.DUMMYFUNCTION("""COMPUTED_VALUE"""),"www.01edu.ai")</f>
        <v/>
      </c>
      <c r="F181" s="1">
        <f>IFERROR(__xludf.DUMMYFUNCTION("""COMPUTED_VALUE"""),"01Edu is a “peer-to-peer” and gamified pedagogic tech platform designed to select and train the best AI-ready coders in the world. It's based on co-creativity, peer-to-peer learning and collective intelligence. 01Edu.ai is powering 30 campuses in 14 count"&amp;"ries globally")</f>
        <v/>
      </c>
      <c r="G181" s="1">
        <f>IFERROR(__xludf.DUMMYFUNCTION("""COMPUTED_VALUE"""),"I'm not part of any EdTech association")</f>
        <v/>
      </c>
      <c r="H181" s="1">
        <f>IFERROR(__xludf.DUMMYFUNCTION("""COMPUTED_VALUE"""),"English")</f>
        <v/>
      </c>
      <c r="I181" s="1">
        <f>IFERROR(__xludf.DUMMYFUNCTION("""COMPUTED_VALUE"""),"david@01talent.com")</f>
        <v/>
      </c>
      <c r="J181" s="1">
        <f>IFERROR(__xludf.DUMMYFUNCTION("""COMPUTED_VALUE"""),"+972542561071")</f>
        <v/>
      </c>
      <c r="K181" s="1">
        <f>IFERROR(__xludf.DUMMYFUNCTION("""COMPUTED_VALUE"""),"Madeira")</f>
        <v/>
      </c>
      <c r="L181" s="1">
        <f>IFERROR(__xludf.DUMMYFUNCTION("""COMPUTED_VALUE"""),"Portugal")</f>
        <v/>
      </c>
      <c r="M181" s="1">
        <f>IFERROR(__xludf.DUMMYFUNCTION("""COMPUTED_VALUE"""),"France, Greece, United Kingdom, Estonia, Portugal")</f>
        <v/>
      </c>
      <c r="N181" s="1">
        <f>IFERROR(__xludf.DUMMYFUNCTION("""COMPUTED_VALUE"""),"Small (10-49 FTE employees)")</f>
        <v/>
      </c>
      <c r="O181" s="1">
        <f>IFERROR(__xludf.DUMMYFUNCTION("""COMPUTED_VALUE"""),"Business to Business, Business to Government, Business to Schools")</f>
        <v/>
      </c>
      <c r="P181" s="1">
        <f>IFERROR(__xludf.DUMMYFUNCTION("""COMPUTED_VALUE"""),"Vocational Education and Training (VET), Higher Education, Corporate Training, Secondary Education")</f>
        <v/>
      </c>
      <c r="Q181" s="1">
        <f>IFERROR(__xludf.DUMMYFUNCTION("""COMPUTED_VALUE"""),"Student interfacing")</f>
        <v/>
      </c>
      <c r="R181" s="1" t="n"/>
      <c r="S181" s="1" t="n"/>
      <c r="T181" s="15">
        <f>IFERROR(__xludf.DUMMYFUNCTION("""COMPUTED_VALUE"""),"https://www.linkedin.com/company/01edu/posts/?feedView=all")</f>
        <v/>
      </c>
      <c r="U181" s="1">
        <f>IFERROR(__xludf.DUMMYFUNCTION("""COMPUTED_VALUE"""),"Full Stack AI-ready")</f>
        <v/>
      </c>
      <c r="V181" s="1">
        <f>IFERROR(__xludf.DUMMYFUNCTION("""COMPUTED_VALUE"""),"We're providing a transformational 2-year journey from zero to hero, without any prerequisite, to become an AI-ready full stack software developer. The learning on the 01Edu platform is teacherless (peer to peer), project-based and super immersive, and en"&amp;"tirely gamified.")</f>
        <v/>
      </c>
      <c r="W181" s="1">
        <f>IFERROR(__xludf.DUMMYFUNCTION("""COMPUTED_VALUE"""),"AI.Starter piscine")</f>
        <v/>
      </c>
      <c r="X181" s="1">
        <f>IFERROR(__xludf.DUMMYFUNCTION("""COMPUTED_VALUE"""),"The AI.Starter piscine is a 2-week digital acculturation journey for anyone who does not have any digital skill and who wants to be introduced to computational thinking, develop key behavioral skills and a mindset adapted to work with AI.")</f>
        <v/>
      </c>
      <c r="Y181" s="1" t="n"/>
      <c r="Z181" s="1">
        <f>IFERROR(__xludf.DUMMYFUNCTION("""COMPUTED_VALUE"""),"Unverified")</f>
        <v/>
      </c>
      <c r="AA181" s="1">
        <f>IFERROR(__xludf.DUMMYFUNCTION("""COMPUTED_VALUE"""),"Project consortium building, Public-private partnerships")</f>
        <v/>
      </c>
      <c r="AB181" s="1">
        <f>IFERROR(__xludf.DUMMYFUNCTION("""COMPUTED_VALUE"""),"For-profit company")</f>
        <v/>
      </c>
      <c r="AC181" s="1">
        <f>IFERROR(__xludf.DUMMYFUNCTION("""COMPUTED_VALUE"""),TRUE)</f>
        <v/>
      </c>
      <c r="AD181" s="1">
        <f>IFERROR(__xludf.DUMMYFUNCTION("""COMPUTED_VALUE"""),TRUE)</f>
        <v/>
      </c>
      <c r="AE181" s="1" t="n"/>
    </row>
    <row r="182" ht="42" customHeight="1">
      <c r="A182" s="14">
        <f>IFERROR(__xludf.DUMMYFUNCTION("""COMPUTED_VALUE"""),45840)</f>
        <v/>
      </c>
      <c r="B182" s="1">
        <f>IFERROR(__xludf.DUMMYFUNCTION("""COMPUTED_VALUE"""),"ORG_2273")</f>
        <v/>
      </c>
      <c r="C182" s="1">
        <f>IFERROR(__xludf.DUMMYFUNCTION("""COMPUTED_VALUE"""),TRUE)</f>
        <v/>
      </c>
      <c r="D182" s="1">
        <f>IFERROR(__xludf.DUMMYFUNCTION("""COMPUTED_VALUE"""),"Slonig")</f>
        <v/>
      </c>
      <c r="E182" s="15">
        <f>IFERROR(__xludf.DUMMYFUNCTION("""COMPUTED_VALUE"""),"https://slonig.org")</f>
        <v/>
      </c>
      <c r="F182" s="1">
        <f>IFERROR(__xludf.DUMMYFUNCTION("""COMPUTED_VALUE"""),"App for peer tutoring at classrooms")</f>
        <v/>
      </c>
      <c r="G182" s="1">
        <f>IFERROR(__xludf.DUMMYFUNCTION("""COMPUTED_VALUE"""),"I'm not part of any EdTech association")</f>
        <v/>
      </c>
      <c r="H182" s="1">
        <f>IFERROR(__xludf.DUMMYFUNCTION("""COMPUTED_VALUE"""),"English")</f>
        <v/>
      </c>
      <c r="I182" s="1">
        <f>IFERROR(__xludf.DUMMYFUNCTION("""COMPUTED_VALUE"""),"reshetovdenis@gmail.com")</f>
        <v/>
      </c>
      <c r="J182" s="1">
        <f>IFERROR(__xludf.DUMMYFUNCTION("""COMPUTED_VALUE"""),"+38267887600")</f>
        <v/>
      </c>
      <c r="K182" s="1">
        <f>IFERROR(__xludf.DUMMYFUNCTION("""COMPUTED_VALUE"""),"Kotor")</f>
        <v/>
      </c>
      <c r="L182" s="1">
        <f>IFERROR(__xludf.DUMMYFUNCTION("""COMPUTED_VALUE"""),"Montenegro")</f>
        <v/>
      </c>
      <c r="M182" s="1">
        <f>IFERROR(__xludf.DUMMYFUNCTION("""COMPUTED_VALUE"""),"Albania, Andorra, Austria, Belarus, Belgium, Bosnia and Herzegovina, Bulgaria, Croatia, Republic of Cyprus, Czechia, Denmark, Estonia, Finland, France, Germany, Greece, Hungary, Iceland, Ireland, Italy, Kosovo, Latvia, Liechtenstein, Lithuania, Luxembourg"&amp;", Malta, Moldova, Monaco, Montenegro, Netherlands, North Macedonia, Norway, Poland, Portugal, Romania, San Marino, Slovakia, Slovenia, Spain, Sweden, Switzerland, Turkey, Ukraine, United Kingdom")</f>
        <v/>
      </c>
      <c r="N182" s="1">
        <f>IFERROR(__xludf.DUMMYFUNCTION("""COMPUTED_VALUE"""),"Micro (1-9 FTE employees)")</f>
        <v/>
      </c>
      <c r="O182" s="1">
        <f>IFERROR(__xludf.DUMMYFUNCTION("""COMPUTED_VALUE"""),"Business to Business, Business to Consumer, Business to Government, Business to Schools")</f>
        <v/>
      </c>
      <c r="P182" s="1">
        <f>IFERROR(__xludf.DUMMYFUNCTION("""COMPUTED_VALUE"""),"Primary Education, Secondary Education, Vocational Education and Training (VET), Higher Education, Corporate Training")</f>
        <v/>
      </c>
      <c r="Q182" s="1">
        <f>IFERROR(__xludf.DUMMYFUNCTION("""COMPUTED_VALUE"""),"Student interfacing, Teacher interfacing, System/Administrative")</f>
        <v/>
      </c>
      <c r="R182" s="1" t="n"/>
      <c r="S182" s="1" t="n"/>
      <c r="T182" s="1" t="n"/>
      <c r="U182" s="1">
        <f>IFERROR(__xludf.DUMMYFUNCTION("""COMPUTED_VALUE"""),"Slonig")</f>
        <v/>
      </c>
      <c r="V182" s="1">
        <f>IFERROR(__xludf.DUMMYFUNCTION("""COMPUTED_VALUE"""),"App for peer tutoring in classrooms")</f>
        <v/>
      </c>
      <c r="W182" s="1" t="n"/>
      <c r="X182" s="1" t="n"/>
      <c r="Y182" s="1" t="n"/>
      <c r="Z182" s="1">
        <f>IFERROR(__xludf.DUMMYFUNCTION("""COMPUTED_VALUE"""),"Unverified")</f>
        <v/>
      </c>
      <c r="AA182" s="1">
        <f>IFERROR(__xludf.DUMMYFUNCTION("""COMPUTED_VALUE"""),"Collaborations between EdTech organisations, Project consortium building, Public-private partnerships, Industry-academia partnerships")</f>
        <v/>
      </c>
      <c r="AB182" s="1">
        <f>IFERROR(__xludf.DUMMYFUNCTION("""COMPUTED_VALUE"""),"For-profit company")</f>
        <v/>
      </c>
      <c r="AC182" s="1">
        <f>IFERROR(__xludf.DUMMYFUNCTION("""COMPUTED_VALUE"""),TRUE)</f>
        <v/>
      </c>
      <c r="AD182" s="1">
        <f>IFERROR(__xludf.DUMMYFUNCTION("""COMPUTED_VALUE"""),TRUE)</f>
        <v/>
      </c>
      <c r="AE182" s="1" t="n"/>
    </row>
    <row r="183" ht="42" customHeight="1">
      <c r="A183" s="14">
        <f>IFERROR(__xludf.DUMMYFUNCTION("""COMPUTED_VALUE"""),45840)</f>
        <v/>
      </c>
      <c r="B183" s="1">
        <f>IFERROR(__xludf.DUMMYFUNCTION("""COMPUTED_VALUE"""),"ORG_2572")</f>
        <v/>
      </c>
      <c r="C183" s="1">
        <f>IFERROR(__xludf.DUMMYFUNCTION("""COMPUTED_VALUE"""),TRUE)</f>
        <v/>
      </c>
      <c r="D183" s="1">
        <f>IFERROR(__xludf.DUMMYFUNCTION("""COMPUTED_VALUE"""),"ZIMsalabim")</f>
        <v/>
      </c>
      <c r="E183" s="15">
        <f>IFERROR(__xludf.DUMMYFUNCTION("""COMPUTED_VALUE"""),"https://zimsalabim.webflow.io")</f>
        <v/>
      </c>
      <c r="F183" s="1">
        <f>IFERROR(__xludf.DUMMYFUNCTION("""COMPUTED_VALUE"""),"I make apps for toddlers, and learn students coding apps.")</f>
        <v/>
      </c>
      <c r="G183" s="1">
        <f>IFERROR(__xludf.DUMMYFUNCTION("""COMPUTED_VALUE"""),"I'm not part of any EdTech association")</f>
        <v/>
      </c>
      <c r="H183" s="1">
        <f>IFERROR(__xludf.DUMMYFUNCTION("""COMPUTED_VALUE"""),"English, Dutch")</f>
        <v/>
      </c>
      <c r="I183" s="1">
        <f>IFERROR(__xludf.DUMMYFUNCTION("""COMPUTED_VALUE"""),"karel.rosseel@gmail.Com")</f>
        <v/>
      </c>
      <c r="J183" s="1">
        <f>IFERROR(__xludf.DUMMYFUNCTION("""COMPUTED_VALUE"""),"+33473540586")</f>
        <v/>
      </c>
      <c r="K183" s="1">
        <f>IFERROR(__xludf.DUMMYFUNCTION("""COMPUTED_VALUE"""),"Belgium")</f>
        <v/>
      </c>
      <c r="L183" s="1">
        <f>IFERROR(__xludf.DUMMYFUNCTION("""COMPUTED_VALUE"""),"Belgium")</f>
        <v/>
      </c>
      <c r="M183" s="1">
        <f>IFERROR(__xludf.DUMMYFUNCTION("""COMPUTED_VALUE"""),"Belgium")</f>
        <v/>
      </c>
      <c r="N183" s="1">
        <f>IFERROR(__xludf.DUMMYFUNCTION("""COMPUTED_VALUE"""),"Solo entrepreneur")</f>
        <v/>
      </c>
      <c r="O183" s="1">
        <f>IFERROR(__xludf.DUMMYFUNCTION("""COMPUTED_VALUE"""),"Business to Schools")</f>
        <v/>
      </c>
      <c r="P183" s="1">
        <f>IFERROR(__xludf.DUMMYFUNCTION("""COMPUTED_VALUE"""),"Early childhood development (0-5 years), Primary Education, Secondary Education, Higher Education, Lifelong learning/Adult education, Special Education, Vocational Education and Training (VET)")</f>
        <v/>
      </c>
      <c r="Q183" s="1">
        <f>IFERROR(__xludf.DUMMYFUNCTION("""COMPUTED_VALUE"""),"Student interfacing, Teacher interfacing")</f>
        <v/>
      </c>
      <c r="R183" s="1" t="n"/>
      <c r="S183" s="1" t="n"/>
      <c r="T183" s="15">
        <f>IFERROR(__xludf.DUMMYFUNCTION("""COMPUTED_VALUE"""),"https://www.linkedin.com/in/karel")</f>
        <v/>
      </c>
      <c r="U183" s="1">
        <f>IFERROR(__xludf.DUMMYFUNCTION("""COMPUTED_VALUE"""),"zimjs.org/kids learn coding 2D webapps for children open source")</f>
        <v/>
      </c>
      <c r="V183" s="1">
        <f>IFERROR(__xludf.DUMMYFUNCTION("""COMPUTED_VALUE"""),"zimjs.org/kids webapps open source so no advertisment, works on all devices")</f>
        <v/>
      </c>
      <c r="W183" s="1">
        <f>IFERROR(__xludf.DUMMYFUNCTION("""COMPUTED_VALUE"""),"zimjs.org/three 3D+VR webapps open source, create them yourself")</f>
        <v/>
      </c>
      <c r="X183" s="1">
        <f>IFERROR(__xludf.DUMMYFUNCTION("""COMPUTED_VALUE"""),"online 3D+VR-button webapp that can be used by finger touc/mouse or VR-glasses by clicking the button at the bottom")</f>
        <v/>
      </c>
      <c r="Y183" s="1" t="n"/>
      <c r="Z183" s="1">
        <f>IFERROR(__xludf.DUMMYFUNCTION("""COMPUTED_VALUE"""),"Unverified")</f>
        <v/>
      </c>
      <c r="AA183" s="1" t="n"/>
      <c r="AB183" s="1">
        <f>IFERROR(__xludf.DUMMYFUNCTION("""COMPUTED_VALUE"""),"Non-profit organisation")</f>
        <v/>
      </c>
      <c r="AC183" s="1">
        <f>IFERROR(__xludf.DUMMYFUNCTION("""COMPUTED_VALUE"""),TRUE)</f>
        <v/>
      </c>
      <c r="AD183" s="1">
        <f>IFERROR(__xludf.DUMMYFUNCTION("""COMPUTED_VALUE"""),TRUE)</f>
        <v/>
      </c>
      <c r="AE183" s="1" t="n"/>
    </row>
    <row r="184" ht="42" customHeight="1">
      <c r="A184" s="14">
        <f>IFERROR(__xludf.DUMMYFUNCTION("""COMPUTED_VALUE"""),45839)</f>
        <v/>
      </c>
      <c r="B184" s="1">
        <f>IFERROR(__xludf.DUMMYFUNCTION("""COMPUTED_VALUE"""),"ORG_1357")</f>
        <v/>
      </c>
      <c r="C184" s="1">
        <f>IFERROR(__xludf.DUMMYFUNCTION("""COMPUTED_VALUE"""),TRUE)</f>
        <v/>
      </c>
      <c r="D184" s="1">
        <f>IFERROR(__xludf.DUMMYFUNCTION("""COMPUTED_VALUE"""),"Digital Future of Education")</f>
        <v/>
      </c>
      <c r="E184" s="15">
        <f>IFERROR(__xludf.DUMMYFUNCTION("""COMPUTED_VALUE"""),"https://dfe.org.ua/")</f>
        <v/>
      </c>
      <c r="F184" s="1">
        <f>IFERROR(__xludf.DUMMYFUNCTION("""COMPUTED_VALUE"""),"We support the creation of an inclusive and accessible digital education ecosystem in Ukraine and its alignment with the EU's Digital Education Programme. We promote the sustainability and resilience of small and medium-sized enterprises.")</f>
        <v/>
      </c>
      <c r="G184" s="1">
        <f>IFERROR(__xludf.DUMMYFUNCTION("""COMPUTED_VALUE"""),"EdTech Ukraine")</f>
        <v/>
      </c>
      <c r="H184" s="1">
        <f>IFERROR(__xludf.DUMMYFUNCTION("""COMPUTED_VALUE"""),"English, Ukrainian")</f>
        <v/>
      </c>
      <c r="I184" s="1">
        <f>IFERROR(__xludf.DUMMYFUNCTION("""COMPUTED_VALUE"""),"nataliya.limonova@gioschool.com")</f>
        <v/>
      </c>
      <c r="J184" s="1">
        <f>IFERROR(__xludf.DUMMYFUNCTION("""COMPUTED_VALUE"""),"+380674657312")</f>
        <v/>
      </c>
      <c r="K184" s="1">
        <f>IFERROR(__xludf.DUMMYFUNCTION("""COMPUTED_VALUE"""),"Kyiv")</f>
        <v/>
      </c>
      <c r="L184" s="1">
        <f>IFERROR(__xludf.DUMMYFUNCTION("""COMPUTED_VALUE"""),"Ukraine")</f>
        <v/>
      </c>
      <c r="M184" s="1">
        <f>IFERROR(__xludf.DUMMYFUNCTION("""COMPUTED_VALUE"""),"Ukraine, Switzerland")</f>
        <v/>
      </c>
      <c r="N184" s="1">
        <f>IFERROR(__xludf.DUMMYFUNCTION("""COMPUTED_VALUE"""),"Micro (1-9 FTE employees)")</f>
        <v/>
      </c>
      <c r="O184" s="1">
        <f>IFERROR(__xludf.DUMMYFUNCTION("""COMPUTED_VALUE"""),"Business to Business, Business to Consumer, Business to Government, Business to Schools")</f>
        <v/>
      </c>
      <c r="P184" s="1">
        <f>IFERROR(__xludf.DUMMYFUNCTION("""COMPUTED_VALUE"""),"Primary Education, Secondary Education, Vocational Education and Training (VET), Corporate Training, Lifelong learning/Adult education, Special Education")</f>
        <v/>
      </c>
      <c r="Q184" s="1">
        <f>IFERROR(__xludf.DUMMYFUNCTION("""COMPUTED_VALUE"""),"Student interfacing, Teacher interfacing, System/Administrative")</f>
        <v/>
      </c>
      <c r="R184" s="1" t="n"/>
      <c r="S184" s="1" t="n"/>
      <c r="T184" s="15">
        <f>IFERROR(__xludf.DUMMYFUNCTION("""COMPUTED_VALUE"""),"https://www.linkedin.com/in/nataliya")</f>
        <v/>
      </c>
      <c r="U184" s="1">
        <f>IFERROR(__xludf.DUMMYFUNCTION("""COMPUTED_VALUE"""),"Programs to overcome educational losses of vulnerable populations")</f>
        <v/>
      </c>
      <c r="V184" s="1">
        <f>IFERROR(__xludf.DUMMYFUNCTION("""COMPUTED_VALUE"""),"Training children and teachers from frontline zones of Ukraine, internally displaced and refugee children")</f>
        <v/>
      </c>
      <c r="W184" s="1">
        <f>IFERROR(__xludf.DUMMYFUNCTION("""COMPUTED_VALUE"""),"Training and mentoring programs for startups and SMEs")</f>
        <v/>
      </c>
      <c r="X184" s="1">
        <f>IFERROR(__xludf.DUMMYFUNCTION("""COMPUTED_VALUE"""),"Helping SMEs and startups digitize and scale")</f>
        <v/>
      </c>
      <c r="Y184" s="1" t="n"/>
      <c r="Z184" s="1">
        <f>IFERROR(__xludf.DUMMYFUNCTION("""COMPUTED_VALUE"""),"Unverified")</f>
        <v/>
      </c>
      <c r="AA184" s="1">
        <f>IFERROR(__xludf.DUMMYFUNCTION("""COMPUTED_VALUE"""),"Project consortium building, Public-private partnerships, Industry-academia partnerships")</f>
        <v/>
      </c>
      <c r="AB184" s="1">
        <f>IFERROR(__xludf.DUMMYFUNCTION("""COMPUTED_VALUE"""),"Non-profit organisation")</f>
        <v/>
      </c>
      <c r="AC184" s="1">
        <f>IFERROR(__xludf.DUMMYFUNCTION("""COMPUTED_VALUE"""),TRUE)</f>
        <v/>
      </c>
      <c r="AD184" s="1">
        <f>IFERROR(__xludf.DUMMYFUNCTION("""COMPUTED_VALUE"""),TRUE)</f>
        <v/>
      </c>
      <c r="AE184" s="1" t="n"/>
    </row>
    <row r="185" ht="42" customHeight="1">
      <c r="A185" s="14">
        <f>IFERROR(__xludf.DUMMYFUNCTION("""COMPUTED_VALUE"""),45839)</f>
        <v/>
      </c>
      <c r="B185" s="1">
        <f>IFERROR(__xludf.DUMMYFUNCTION("""COMPUTED_VALUE"""),"ORG_1624")</f>
        <v/>
      </c>
      <c r="C185" s="1">
        <f>IFERROR(__xludf.DUMMYFUNCTION("""COMPUTED_VALUE"""),TRUE)</f>
        <v/>
      </c>
      <c r="D185" s="1">
        <f>IFERROR(__xludf.DUMMYFUNCTION("""COMPUTED_VALUE"""),"GIOS")</f>
        <v/>
      </c>
      <c r="E185" s="15">
        <f>IFERROR(__xludf.DUMMYFUNCTION("""COMPUTED_VALUE"""),"https://gioschool.com/")</f>
        <v/>
      </c>
      <c r="F185" s="1">
        <f>IFERROR(__xludf.DUMMYFUNCTION("""COMPUTED_VALUE"""),"GIOS is an interactive AI-powered Math platform and tutoring marketplace for К12 students and teachers.")</f>
        <v/>
      </c>
      <c r="G185" s="1">
        <f>IFERROR(__xludf.DUMMYFUNCTION("""COMPUTED_VALUE"""),"EdTech Ukraine")</f>
        <v/>
      </c>
      <c r="H185" s="1">
        <f>IFERROR(__xludf.DUMMYFUNCTION("""COMPUTED_VALUE"""),"English, Ukrainian")</f>
        <v/>
      </c>
      <c r="I185" s="1">
        <f>IFERROR(__xludf.DUMMYFUNCTION("""COMPUTED_VALUE"""),"nataliya.limonova@gioschool.com")</f>
        <v/>
      </c>
      <c r="J185" s="1">
        <f>IFERROR(__xludf.DUMMYFUNCTION("""COMPUTED_VALUE"""),"+380674657312")</f>
        <v/>
      </c>
      <c r="K185" s="1">
        <f>IFERROR(__xludf.DUMMYFUNCTION("""COMPUTED_VALUE"""),"Kyiv")</f>
        <v/>
      </c>
      <c r="L185" s="1">
        <f>IFERROR(__xludf.DUMMYFUNCTION("""COMPUTED_VALUE"""),"Ukraine")</f>
        <v/>
      </c>
      <c r="M185" s="1">
        <f>IFERROR(__xludf.DUMMYFUNCTION("""COMPUTED_VALUE"""),"Ukraine, United Kingdom, Bulgaria, Romania")</f>
        <v/>
      </c>
      <c r="N185" s="1">
        <f>IFERROR(__xludf.DUMMYFUNCTION("""COMPUTED_VALUE"""),"Small (10-49 FTE employees)")</f>
        <v/>
      </c>
      <c r="O185" s="1">
        <f>IFERROR(__xludf.DUMMYFUNCTION("""COMPUTED_VALUE"""),"Business to Schools, Business to Government, Business to Consumer")</f>
        <v/>
      </c>
      <c r="P185" s="1">
        <f>IFERROR(__xludf.DUMMYFUNCTION("""COMPUTED_VALUE"""),"Primary Education, Secondary Education, Vocational Education and Training (VET), Corporate Training")</f>
        <v/>
      </c>
      <c r="Q185" s="1">
        <f>IFERROR(__xludf.DUMMYFUNCTION("""COMPUTED_VALUE"""),"Student interfacing, Teacher interfacing, System/Administrative")</f>
        <v/>
      </c>
      <c r="R185" s="1" t="n"/>
      <c r="S185" s="1" t="n"/>
      <c r="T185" s="15">
        <f>IFERROR(__xludf.DUMMYFUNCTION("""COMPUTED_VALUE"""),"https://www.linkedin.com/company/gios")</f>
        <v/>
      </c>
      <c r="U185" s="1">
        <f>IFERROR(__xludf.DUMMYFUNCTION("""COMPUTED_VALUE"""),"A platform for schools (B2B)")</f>
        <v/>
      </c>
      <c r="V185" s="1">
        <f>IFERROR(__xludf.DUMMYFUNCTION("""COMPUTED_VALUE"""),"GIOS adaptive educational tool engages students through animated video lessons, gamification elements, and personalized learning paths, allowing each student to progress at their own pace and build critical thinking skills. For educators, GIOS provides po"&amp;"werful analytics and digital resources.")</f>
        <v/>
      </c>
      <c r="W185" s="1">
        <f>IFERROR(__xludf.DUMMYFUNCTION("""COMPUTED_VALUE"""),"Courses for the development of cognitive skills for children of corporate employees (B2B)")</f>
        <v/>
      </c>
      <c r="X185" s="1">
        <f>IFERROR(__xludf.DUMMYFUNCTION("""COMPUTED_VALUE"""),"GIOS for corporate employees' children covers subjects like mathematics, logic, chess, and preschool preparation through engaging online lessons. This program provides a valuable employee benefit, directly supporting work-life balance and offering high-qu"&amp;"ality educational enrichment for families.")</f>
        <v/>
      </c>
      <c r="Y185" s="1" t="n"/>
      <c r="Z185" s="1">
        <f>IFERROR(__xludf.DUMMYFUNCTION("""COMPUTED_VALUE"""),"Unverified")</f>
        <v/>
      </c>
      <c r="AA185" s="1">
        <f>IFERROR(__xludf.DUMMYFUNCTION("""COMPUTED_VALUE"""),"Collaborations between EdTech organisations, Project consortium building, Public-private partnerships")</f>
        <v/>
      </c>
      <c r="AB185" s="1">
        <f>IFERROR(__xludf.DUMMYFUNCTION("""COMPUTED_VALUE"""),"For-profit company")</f>
        <v/>
      </c>
      <c r="AC185" s="1">
        <f>IFERROR(__xludf.DUMMYFUNCTION("""COMPUTED_VALUE"""),TRUE)</f>
        <v/>
      </c>
      <c r="AD185" s="1">
        <f>IFERROR(__xludf.DUMMYFUNCTION("""COMPUTED_VALUE"""),TRUE)</f>
        <v/>
      </c>
      <c r="AE185" s="15">
        <f>IFERROR(__xludf.DUMMYFUNCTION("""COMPUTED_VALUE"""),"https://www.facebook.com/GIOS.school")</f>
        <v/>
      </c>
    </row>
    <row r="186" ht="42" customHeight="1">
      <c r="A186" s="14">
        <f>IFERROR(__xludf.DUMMYFUNCTION("""COMPUTED_VALUE"""),45839)</f>
        <v/>
      </c>
      <c r="B186" s="1">
        <f>IFERROR(__xludf.DUMMYFUNCTION("""COMPUTED_VALUE"""),"ORG_1156")</f>
        <v/>
      </c>
      <c r="C186" s="1">
        <f>IFERROR(__xludf.DUMMYFUNCTION("""COMPUTED_VALUE"""),TRUE)</f>
        <v/>
      </c>
      <c r="D186" s="1">
        <f>IFERROR(__xludf.DUMMYFUNCTION("""COMPUTED_VALUE"""),"BetterStudy")</f>
        <v/>
      </c>
      <c r="E186" s="15">
        <f>IFERROR(__xludf.DUMMYFUNCTION("""COMPUTED_VALUE"""),"betterstudy.ch")</f>
        <v/>
      </c>
      <c r="F186" s="1">
        <f>IFERROR(__xludf.DUMMYFUNCTION("""COMPUTED_VALUE"""),"Online training in accounting and HR")</f>
        <v/>
      </c>
      <c r="G186" s="1">
        <f>IFERROR(__xludf.DUMMYFUNCTION("""COMPUTED_VALUE"""),"I'm not part of any EdTech association")</f>
        <v/>
      </c>
      <c r="H186" s="1">
        <f>IFERROR(__xludf.DUMMYFUNCTION("""COMPUTED_VALUE"""),"French, German")</f>
        <v/>
      </c>
      <c r="I186" s="1">
        <f>IFERROR(__xludf.DUMMYFUNCTION("""COMPUTED_VALUE"""),"chris@betterstudy.ch")</f>
        <v/>
      </c>
      <c r="J186" s="1">
        <f>IFERROR(__xludf.DUMMYFUNCTION("""COMPUTED_VALUE"""),"+41225354194")</f>
        <v/>
      </c>
      <c r="K186" s="1">
        <f>IFERROR(__xludf.DUMMYFUNCTION("""COMPUTED_VALUE"""),"Genève")</f>
        <v/>
      </c>
      <c r="L186" s="1">
        <f>IFERROR(__xludf.DUMMYFUNCTION("""COMPUTED_VALUE"""),"Switzerland")</f>
        <v/>
      </c>
      <c r="M186" s="1">
        <f>IFERROR(__xludf.DUMMYFUNCTION("""COMPUTED_VALUE"""),"Switzerland, France")</f>
        <v/>
      </c>
      <c r="N186" s="1">
        <f>IFERROR(__xludf.DUMMYFUNCTION("""COMPUTED_VALUE"""),"Micro (1-9 FTE employees)")</f>
        <v/>
      </c>
      <c r="O186" s="1">
        <f>IFERROR(__xludf.DUMMYFUNCTION("""COMPUTED_VALUE"""),"Business to Consumer")</f>
        <v/>
      </c>
      <c r="P186" s="1">
        <f>IFERROR(__xludf.DUMMYFUNCTION("""COMPUTED_VALUE"""),"Vocational Education and Training (VET)")</f>
        <v/>
      </c>
      <c r="Q186" s="1">
        <f>IFERROR(__xludf.DUMMYFUNCTION("""COMPUTED_VALUE"""),"Student interfacing")</f>
        <v/>
      </c>
      <c r="R186" s="1" t="n"/>
      <c r="S186" s="1" t="n"/>
      <c r="T186" s="1" t="n"/>
      <c r="U186" s="1">
        <f>IFERROR(__xludf.DUMMYFUNCTION("""COMPUTED_VALUE"""),"Accountant's profesional certificate")</f>
        <v/>
      </c>
      <c r="V186" s="1" t="n"/>
      <c r="W186" s="1" t="n"/>
      <c r="X186" s="1" t="n"/>
      <c r="Y186" s="1" t="n"/>
      <c r="Z186" s="1">
        <f>IFERROR(__xludf.DUMMYFUNCTION("""COMPUTED_VALUE"""),"Unverified")</f>
        <v/>
      </c>
      <c r="AA186" s="1">
        <f>IFERROR(__xludf.DUMMYFUNCTION("""COMPUTED_VALUE"""),"Project consortium building, Collaborations between EdTech organisations, Public-private partnerships, Industry-academia partnerships")</f>
        <v/>
      </c>
      <c r="AB186" s="1">
        <f>IFERROR(__xludf.DUMMYFUNCTION("""COMPUTED_VALUE"""),"For-profit company")</f>
        <v/>
      </c>
      <c r="AC186" s="1">
        <f>IFERROR(__xludf.DUMMYFUNCTION("""COMPUTED_VALUE"""),TRUE)</f>
        <v/>
      </c>
      <c r="AD186" s="1">
        <f>IFERROR(__xludf.DUMMYFUNCTION("""COMPUTED_VALUE"""),TRUE)</f>
        <v/>
      </c>
      <c r="AE186" s="1" t="n"/>
    </row>
    <row r="187" ht="42" customHeight="1">
      <c r="A187" s="14">
        <f>IFERROR(__xludf.DUMMYFUNCTION("""COMPUTED_VALUE"""),45839)</f>
        <v/>
      </c>
      <c r="B187" s="1">
        <f>IFERROR(__xludf.DUMMYFUNCTION("""COMPUTED_VALUE"""),"ORG_2353")</f>
        <v/>
      </c>
      <c r="C187" s="1">
        <f>IFERROR(__xludf.DUMMYFUNCTION("""COMPUTED_VALUE"""),TRUE)</f>
        <v/>
      </c>
      <c r="D187" s="1">
        <f>IFERROR(__xludf.DUMMYFUNCTION("""COMPUTED_VALUE"""),"SusyDiario")</f>
        <v/>
      </c>
      <c r="E187" s="15">
        <f>IFERROR(__xludf.DUMMYFUNCTION("""COMPUTED_VALUE"""),"https://www.susydiario.it")</f>
        <v/>
      </c>
      <c r="F187" s="1">
        <f>IFERROR(__xludf.DUMMYFUNCTION("""COMPUTED_VALUE"""),"I am a simple ""educated"" (trained? technological? Psyco-technological?) volunteer")</f>
        <v/>
      </c>
      <c r="G187" s="1">
        <f>IFERROR(__xludf.DUMMYFUNCTION("""COMPUTED_VALUE"""),"I'm not part of any EdTech association")</f>
        <v/>
      </c>
      <c r="H187" s="1">
        <f>IFERROR(__xludf.DUMMYFUNCTION("""COMPUTED_VALUE"""),"English, Italian")</f>
        <v/>
      </c>
      <c r="I187" s="1">
        <f>IFERROR(__xludf.DUMMYFUNCTION("""COMPUTED_VALUE"""),"autore@susydiario.it")</f>
        <v/>
      </c>
      <c r="J187" s="1">
        <f>IFERROR(__xludf.DUMMYFUNCTION("""COMPUTED_VALUE"""),"+393311377632")</f>
        <v/>
      </c>
      <c r="K187" s="1">
        <f>IFERROR(__xludf.DUMMYFUNCTION("""COMPUTED_VALUE"""),"Treviso")</f>
        <v/>
      </c>
      <c r="L187" s="1">
        <f>IFERROR(__xludf.DUMMYFUNCTION("""COMPUTED_VALUE"""),"Italy")</f>
        <v/>
      </c>
      <c r="M187" s="1">
        <f>IFERROR(__xludf.DUMMYFUNCTION("""COMPUTED_VALUE"""),"Albania, Andorra, Austria, Bosnia and Herzegovina, Belgium, Belarus, Bulgaria, Croatia, Republic of Cyprus, Estonia, Denmark, Czechia, Finland, France, Germany, Iceland, Hungary, Greece, Kosovo, Ireland, Latvia, Liechtenstein, Lithuania, Moldova, Malta, L"&amp;"uxembourg, Monaco, Montenegro, Netherlands, Poland, Norway, North Macedonia, Portugal, Romania, San Marino, Spain, Slovenia, Slovakia, Sweden, Switzerland, Turkey, United Kingdom, Ukraine")</f>
        <v/>
      </c>
      <c r="N187" s="1">
        <f>IFERROR(__xludf.DUMMYFUNCTION("""COMPUTED_VALUE"""),"Solo entrepreneur")</f>
        <v/>
      </c>
      <c r="O187" s="1">
        <f>IFERROR(__xludf.DUMMYFUNCTION("""COMPUTED_VALUE"""),"Business to Schools")</f>
        <v/>
      </c>
      <c r="P187" s="1">
        <f>IFERROR(__xludf.DUMMYFUNCTION("""COMPUTED_VALUE"""),"Early childhood development (0-5 years), Primary Education")</f>
        <v/>
      </c>
      <c r="Q187" s="1">
        <f>IFERROR(__xludf.DUMMYFUNCTION("""COMPUTED_VALUE"""),"Student interfacing, Teacher interfacing")</f>
        <v/>
      </c>
      <c r="R187" s="1" t="n"/>
      <c r="S187" s="1" t="n"/>
      <c r="T187" s="1" t="n"/>
      <c r="U187" s="1">
        <f>IFERROR(__xludf.DUMMYFUNCTION("""COMPUTED_VALUE"""),"SusyDiario")</f>
        <v/>
      </c>
      <c r="V187" s="1">
        <f>IFERROR(__xludf.DUMMYFUNCTION("""COMPUTED_VALUE"""),"SusyDiario is the only interactive online teaching platform designed specifically for use in primary schools. In a protected environment, free from any tracking. Available and under the control of the teacher. And free")</f>
        <v/>
      </c>
      <c r="W187" s="1" t="n"/>
      <c r="X187" s="1" t="n"/>
      <c r="Y187" s="1" t="n"/>
      <c r="Z187" s="1">
        <f>IFERROR(__xludf.DUMMYFUNCTION("""COMPUTED_VALUE"""),"Unverified")</f>
        <v/>
      </c>
      <c r="AA187" s="1">
        <f>IFERROR(__xludf.DUMMYFUNCTION("""COMPUTED_VALUE"""),"Collaborations between EdTech organisations, Public-private partnerships")</f>
        <v/>
      </c>
      <c r="AB187" s="1">
        <f>IFERROR(__xludf.DUMMYFUNCTION("""COMPUTED_VALUE"""),"Non-profit organisation")</f>
        <v/>
      </c>
      <c r="AC187" s="1">
        <f>IFERROR(__xludf.DUMMYFUNCTION("""COMPUTED_VALUE"""),TRUE)</f>
        <v/>
      </c>
      <c r="AD187" s="1">
        <f>IFERROR(__xludf.DUMMYFUNCTION("""COMPUTED_VALUE"""),TRUE)</f>
        <v/>
      </c>
      <c r="AE187" s="1" t="n"/>
    </row>
    <row r="188" ht="42" customHeight="1">
      <c r="A188" s="14">
        <f>IFERROR(__xludf.DUMMYFUNCTION("""COMPUTED_VALUE"""),45839)</f>
        <v/>
      </c>
      <c r="B188" s="1">
        <f>IFERROR(__xludf.DUMMYFUNCTION("""COMPUTED_VALUE"""),"ORG_1557")</f>
        <v/>
      </c>
      <c r="C188" s="1">
        <f>IFERROR(__xludf.DUMMYFUNCTION("""COMPUTED_VALUE"""),TRUE)</f>
        <v/>
      </c>
      <c r="D188" s="1">
        <f>IFERROR(__xludf.DUMMYFUNCTION("""COMPUTED_VALUE"""),"FEDU")</f>
        <v/>
      </c>
      <c r="E188" s="15">
        <f>IFERROR(__xludf.DUMMYFUNCTION("""COMPUTED_VALUE"""),"www.fedu.ai")</f>
        <v/>
      </c>
      <c r="F188" s="1">
        <f>IFERROR(__xludf.DUMMYFUNCTION("""COMPUTED_VALUE"""),"We are a Finland-based edtech company develops an AI-based gamified academic content generation platform for teachers and an individualized learning assistant for students.")</f>
        <v/>
      </c>
      <c r="G188" s="1">
        <f>IFERROR(__xludf.DUMMYFUNCTION("""COMPUTED_VALUE"""),"I'm not part of any EdTech association")</f>
        <v/>
      </c>
      <c r="H188" s="1">
        <f>IFERROR(__xludf.DUMMYFUNCTION("""COMPUTED_VALUE"""),"English, French, Spanish, German, Italian, Finnish")</f>
        <v/>
      </c>
      <c r="I188" s="1">
        <f>IFERROR(__xludf.DUMMYFUNCTION("""COMPUTED_VALUE"""),"basar@mentalup.co")</f>
        <v/>
      </c>
      <c r="J188" s="1">
        <f>IFERROR(__xludf.DUMMYFUNCTION("""COMPUTED_VALUE"""),"+358452621990")</f>
        <v/>
      </c>
      <c r="K188" s="1">
        <f>IFERROR(__xludf.DUMMYFUNCTION("""COMPUTED_VALUE"""),"Helsinki")</f>
        <v/>
      </c>
      <c r="L188" s="1">
        <f>IFERROR(__xludf.DUMMYFUNCTION("""COMPUTED_VALUE"""),"Finland")</f>
        <v/>
      </c>
      <c r="M188" s="1">
        <f>IFERROR(__xludf.DUMMYFUNCTION("""COMPUTED_VALUE"""),"Turkey, Finland")</f>
        <v/>
      </c>
      <c r="N188" s="1">
        <f>IFERROR(__xludf.DUMMYFUNCTION("""COMPUTED_VALUE"""),"Small (10-49 FTE employees)")</f>
        <v/>
      </c>
      <c r="O188" s="1">
        <f>IFERROR(__xludf.DUMMYFUNCTION("""COMPUTED_VALUE"""),"Business to Business, Business to Consumer, Business to Schools, Business to Government")</f>
        <v/>
      </c>
      <c r="P188" s="1">
        <f>IFERROR(__xludf.DUMMYFUNCTION("""COMPUTED_VALUE"""),"Primary Education, Early childhood development (0-5 years)")</f>
        <v/>
      </c>
      <c r="Q188" s="1">
        <f>IFERROR(__xludf.DUMMYFUNCTION("""COMPUTED_VALUE"""),"Teacher interfacing, Student interfacing")</f>
        <v/>
      </c>
      <c r="R188" s="1" t="n"/>
      <c r="S188" s="1" t="n"/>
      <c r="T188" s="15">
        <f>IFERROR(__xludf.DUMMYFUNCTION("""COMPUTED_VALUE"""),"https://www.linkedin.com/company/mentalup")</f>
        <v/>
      </c>
      <c r="U188" s="1">
        <f>IFERROR(__xludf.DUMMYFUNCTION("""COMPUTED_VALUE"""),"FEDU")</f>
        <v/>
      </c>
      <c r="V188" s="1">
        <f>IFERROR(__xludf.DUMMYFUNCTION("""COMPUTED_VALUE"""),"AI-based gamified academic content generation platform for teachers and an individualized learning assistant for students.")</f>
        <v/>
      </c>
      <c r="W188" s="1" t="n"/>
      <c r="X188" s="1" t="n"/>
      <c r="Y188" s="1" t="n"/>
      <c r="Z188" s="1">
        <f>IFERROR(__xludf.DUMMYFUNCTION("""COMPUTED_VALUE"""),"Unverified")</f>
        <v/>
      </c>
      <c r="AA188" s="1">
        <f>IFERROR(__xludf.DUMMYFUNCTION("""COMPUTED_VALUE"""),"Collaborations between EdTech organisations, Project consortium building, Public-private partnerships, Industry-academia partnerships")</f>
        <v/>
      </c>
      <c r="AB188" s="1">
        <f>IFERROR(__xludf.DUMMYFUNCTION("""COMPUTED_VALUE"""),"For-profit company")</f>
        <v/>
      </c>
      <c r="AC188" s="1">
        <f>IFERROR(__xludf.DUMMYFUNCTION("""COMPUTED_VALUE"""),TRUE)</f>
        <v/>
      </c>
      <c r="AD188" s="1">
        <f>IFERROR(__xludf.DUMMYFUNCTION("""COMPUTED_VALUE"""),FALSE)</f>
        <v/>
      </c>
      <c r="AE188" s="1" t="n"/>
    </row>
    <row r="189" ht="42" customHeight="1">
      <c r="A189" s="14">
        <f>IFERROR(__xludf.DUMMYFUNCTION("""COMPUTED_VALUE"""),45839)</f>
        <v/>
      </c>
      <c r="B189" s="1">
        <f>IFERROR(__xludf.DUMMYFUNCTION("""COMPUTED_VALUE"""),"ORG_1576")</f>
        <v/>
      </c>
      <c r="C189" s="1">
        <f>IFERROR(__xludf.DUMMYFUNCTION("""COMPUTED_VALUE"""),TRUE)</f>
        <v/>
      </c>
      <c r="D189" s="1">
        <f>IFERROR(__xludf.DUMMYFUNCTION("""COMPUTED_VALUE"""),"Fortissimo Education")</f>
        <v/>
      </c>
      <c r="E189" s="15">
        <f>IFERROR(__xludf.DUMMYFUNCTION("""COMPUTED_VALUE"""),"www.fortissimo.education/en")</f>
        <v/>
      </c>
      <c r="F189" s="1">
        <f>IFERROR(__xludf.DUMMYFUNCTION("""COMPUTED_VALUE"""),"Complete digital solutions for music education.")</f>
        <v/>
      </c>
      <c r="G189" s="1">
        <f>IFERROR(__xludf.DUMMYFUNCTION("""COMPUTED_VALUE"""),"EdTech Italia")</f>
        <v/>
      </c>
      <c r="H189" s="1">
        <f>IFERROR(__xludf.DUMMYFUNCTION("""COMPUTED_VALUE"""),"English, German, French, Italian, Spanish")</f>
        <v/>
      </c>
      <c r="I189" s="1">
        <f>IFERROR(__xludf.DUMMYFUNCTION("""COMPUTED_VALUE"""),"blaz@fortissimo.education")</f>
        <v/>
      </c>
      <c r="J189" s="1">
        <f>IFERROR(__xludf.DUMMYFUNCTION("""COMPUTED_VALUE"""),"+38640654314")</f>
        <v/>
      </c>
      <c r="K189" s="1" t="n"/>
      <c r="L189" s="1">
        <f>IFERROR(__xludf.DUMMYFUNCTION("""COMPUTED_VALUE"""),"Italy")</f>
        <v/>
      </c>
      <c r="M189" s="1">
        <f>IFERROR(__xludf.DUMMYFUNCTION("""COMPUTED_VALUE"""),"Slovenia, Ukraine, Spain, France, Germany, Italy, Croatia, Austria, Lithuania, Poland, Portugal, United Kingdom")</f>
        <v/>
      </c>
      <c r="N189" s="1">
        <f>IFERROR(__xludf.DUMMYFUNCTION("""COMPUTED_VALUE"""),"Micro (1-9 FTE employees)")</f>
        <v/>
      </c>
      <c r="O189" s="1">
        <f>IFERROR(__xludf.DUMMYFUNCTION("""COMPUTED_VALUE"""),"Business to Business, Business to Consumer, Business to Government, Business to Schools")</f>
        <v/>
      </c>
      <c r="P189" s="1">
        <f>IFERROR(__xludf.DUMMYFUNCTION("""COMPUTED_VALUE"""),"Primary Education")</f>
        <v/>
      </c>
      <c r="Q189" s="1">
        <f>IFERROR(__xludf.DUMMYFUNCTION("""COMPUTED_VALUE"""),"Teacher interfacing, Student interfacing")</f>
        <v/>
      </c>
      <c r="R189" s="15">
        <f>IFERROR(__xludf.DUMMYFUNCTION("""COMPUTED_VALUE"""),"https://www.instagram.com/fortissimo.education")</f>
        <v/>
      </c>
      <c r="S189" s="1" t="n"/>
      <c r="T189" s="15">
        <f>IFERROR(__xludf.DUMMYFUNCTION("""COMPUTED_VALUE"""),"https://www.linkedin.com/company/fortissimo")</f>
        <v/>
      </c>
      <c r="U189" s="1">
        <f>IFERROR(__xludf.DUMMYFUNCTION("""COMPUTED_VALUE"""),"Fortissimo Teachers' Suite")</f>
        <v/>
      </c>
      <c r="V189" s="1">
        <f>IFERROR(__xludf.DUMMYFUNCTION("""COMPUTED_VALUE"""),"Teacher’s Suite includes ready-to-use lesson series that save you time and provide step-by-step guidance in teaching classical music to kids aged 6–14.")</f>
        <v/>
      </c>
      <c r="W189" s="1">
        <f>IFERROR(__xludf.DUMMYFUNCTION("""COMPUTED_VALUE"""),"Fortissimo Kids' App")</f>
        <v/>
      </c>
      <c r="X189" s="1">
        <f>IFERROR(__xludf.DUMMYFUNCTION("""COMPUTED_VALUE"""),"The Fortissimo Kids’ App offers interactive games to help you introduce your child to classical music, instruments, iconic masterpieces, and legendary composers.
No experience in classical music is needed - r children aged 6 - 10 can enjoy it independentl"&amp;"y.")</f>
        <v/>
      </c>
      <c r="Y189" s="1" t="n"/>
      <c r="Z189" s="1">
        <f>IFERROR(__xludf.DUMMYFUNCTION("""COMPUTED_VALUE"""),"Unverified")</f>
        <v/>
      </c>
      <c r="AA189" s="1">
        <f>IFERROR(__xludf.DUMMYFUNCTION("""COMPUTED_VALUE"""),"Collaborations between EdTech organisations, Public-private partnerships, Industry-academia partnerships, Project consortium building")</f>
        <v/>
      </c>
      <c r="AB189" s="1">
        <f>IFERROR(__xludf.DUMMYFUNCTION("""COMPUTED_VALUE"""),"For-profit company")</f>
        <v/>
      </c>
      <c r="AC189" s="1">
        <f>IFERROR(__xludf.DUMMYFUNCTION("""COMPUTED_VALUE"""),TRUE)</f>
        <v/>
      </c>
      <c r="AD189" s="1">
        <f>IFERROR(__xludf.DUMMYFUNCTION("""COMPUTED_VALUE"""),TRUE)</f>
        <v/>
      </c>
      <c r="AE189" s="15">
        <f>IFERROR(__xludf.DUMMYFUNCTION("""COMPUTED_VALUE"""),"https://www.facebook.com/p/Fortissimo")</f>
        <v/>
      </c>
    </row>
    <row r="190" ht="42" customHeight="1">
      <c r="A190" s="14">
        <f>IFERROR(__xludf.DUMMYFUNCTION("""COMPUTED_VALUE"""),45839)</f>
        <v/>
      </c>
      <c r="B190" s="1">
        <f>IFERROR(__xludf.DUMMYFUNCTION("""COMPUTED_VALUE"""),"ORG_1424")</f>
        <v/>
      </c>
      <c r="C190" s="1">
        <f>IFERROR(__xludf.DUMMYFUNCTION("""COMPUTED_VALUE"""),TRUE)</f>
        <v/>
      </c>
      <c r="D190" s="1">
        <f>IFERROR(__xludf.DUMMYFUNCTION("""COMPUTED_VALUE"""),"Educacode")</f>
        <v/>
      </c>
      <c r="E190" s="15">
        <f>IFERROR(__xludf.DUMMYFUNCTION("""COMPUTED_VALUE"""),"www.educacode.com")</f>
        <v/>
      </c>
      <c r="F190" s="1">
        <f>IFERROR(__xludf.DUMMYFUNCTION("""COMPUTED_VALUE"""),"Educacode is a French company that designs innovative digital training solutions and e-learning platforms to modernize and democratize education.")</f>
        <v/>
      </c>
      <c r="G190" s="1">
        <f>IFERROR(__xludf.DUMMYFUNCTION("""COMPUTED_VALUE"""),"EdTech France")</f>
        <v/>
      </c>
      <c r="H190" s="1">
        <f>IFERROR(__xludf.DUMMYFUNCTION("""COMPUTED_VALUE"""),"French")</f>
        <v/>
      </c>
      <c r="I190" s="1">
        <f>IFERROR(__xludf.DUMMYFUNCTION("""COMPUTED_VALUE"""),"contact@educacode.com")</f>
        <v/>
      </c>
      <c r="J190" s="1">
        <f>IFERROR(__xludf.DUMMYFUNCTION("""COMPUTED_VALUE"""),"+33671962347")</f>
        <v/>
      </c>
      <c r="K190" s="1">
        <f>IFERROR(__xludf.DUMMYFUNCTION("""COMPUTED_VALUE"""),"La Rochelle")</f>
        <v/>
      </c>
      <c r="L190" s="1">
        <f>IFERROR(__xludf.DUMMYFUNCTION("""COMPUTED_VALUE"""),"France")</f>
        <v/>
      </c>
      <c r="M190" s="1">
        <f>IFERROR(__xludf.DUMMYFUNCTION("""COMPUTED_VALUE"""),"France")</f>
        <v/>
      </c>
      <c r="N190" s="1">
        <f>IFERROR(__xludf.DUMMYFUNCTION("""COMPUTED_VALUE"""),"Small (10-49 FTE employees)")</f>
        <v/>
      </c>
      <c r="O190" s="1">
        <f>IFERROR(__xludf.DUMMYFUNCTION("""COMPUTED_VALUE"""),"Business to Business")</f>
        <v/>
      </c>
      <c r="P190" s="1">
        <f>IFERROR(__xludf.DUMMYFUNCTION("""COMPUTED_VALUE"""),"Corporate Training, Lifelong learning/Adult education")</f>
        <v/>
      </c>
      <c r="Q190" s="1">
        <f>IFERROR(__xludf.DUMMYFUNCTION("""COMPUTED_VALUE"""),"Student interfacing, Teacher interfacing, System/Administrative")</f>
        <v/>
      </c>
      <c r="R190" s="1" t="n"/>
      <c r="S190" s="1" t="n"/>
      <c r="T190" s="15">
        <f>IFERROR(__xludf.DUMMYFUNCTION("""COMPUTED_VALUE"""),"https://www.linkedin.com/company/educacode")</f>
        <v/>
      </c>
      <c r="U190" s="1">
        <f>IFERROR(__xludf.DUMMYFUNCTION("""COMPUTED_VALUE"""),"Codapagos")</f>
        <v/>
      </c>
      <c r="V190" s="1">
        <f>IFERROR(__xludf.DUMMYFUNCTION("""COMPUTED_VALUE"""),"Codapagos is an innovative hybrid learning solution that combines a mobile app with in-school sessions led by certified instructors, enabling high school students in France to effectively prepare for their driving theory exam through an engaging and acces"&amp;"sible approach.")</f>
        <v/>
      </c>
      <c r="W190" s="1">
        <f>IFERROR(__xludf.DUMMYFUNCTION("""COMPUTED_VALUE"""),"Codabox")</f>
        <v/>
      </c>
      <c r="X190" s="1">
        <f>IFERROR(__xludf.DUMMYFUNCTION("""COMPUTED_VALUE"""),"Codabox is a connected edge device designed to digitize and secure road safety training sessions, enabling attendance tracking and activity validation even in areas without internet access.")</f>
        <v/>
      </c>
      <c r="Y190" s="1" t="n"/>
      <c r="Z190" s="1">
        <f>IFERROR(__xludf.DUMMYFUNCTION("""COMPUTED_VALUE"""),"Unverified")</f>
        <v/>
      </c>
      <c r="AA190" s="1">
        <f>IFERROR(__xludf.DUMMYFUNCTION("""COMPUTED_VALUE"""),"Collaborations between EdTech organisations, Project consortium building")</f>
        <v/>
      </c>
      <c r="AB190" s="1">
        <f>IFERROR(__xludf.DUMMYFUNCTION("""COMPUTED_VALUE"""),"For-profit company")</f>
        <v/>
      </c>
      <c r="AC190" s="1">
        <f>IFERROR(__xludf.DUMMYFUNCTION("""COMPUTED_VALUE"""),TRUE)</f>
        <v/>
      </c>
      <c r="AD190" s="1">
        <f>IFERROR(__xludf.DUMMYFUNCTION("""COMPUTED_VALUE"""),TRUE)</f>
        <v/>
      </c>
      <c r="AE190" s="1" t="n"/>
    </row>
    <row r="191" ht="42" customHeight="1">
      <c r="A191" s="14">
        <f>IFERROR(__xludf.DUMMYFUNCTION("""COMPUTED_VALUE"""),45839)</f>
        <v/>
      </c>
      <c r="B191" s="1">
        <f>IFERROR(__xludf.DUMMYFUNCTION("""COMPUTED_VALUE"""),"ORG_2148")</f>
        <v/>
      </c>
      <c r="C191" s="1">
        <f>IFERROR(__xludf.DUMMYFUNCTION("""COMPUTED_VALUE"""),TRUE)</f>
        <v/>
      </c>
      <c r="D191" s="1">
        <f>IFERROR(__xludf.DUMMYFUNCTION("""COMPUTED_VALUE"""),"Quizzability")</f>
        <v/>
      </c>
      <c r="E191" s="15">
        <f>IFERROR(__xludf.DUMMYFUNCTION("""COMPUTED_VALUE"""),"www.quizzability.com")</f>
        <v/>
      </c>
      <c r="F191" s="1">
        <f>IFERROR(__xludf.DUMMYFUNCTION("""COMPUTED_VALUE"""),"Startip")</f>
        <v/>
      </c>
      <c r="G191" s="1">
        <f>IFERROR(__xludf.DUMMYFUNCTION("""COMPUTED_VALUE"""),"I'm not part of any EdTech association")</f>
        <v/>
      </c>
      <c r="H191" s="1">
        <f>IFERROR(__xludf.DUMMYFUNCTION("""COMPUTED_VALUE"""),"English, German, Spanish, Portuguese")</f>
        <v/>
      </c>
      <c r="I191" s="1">
        <f>IFERROR(__xludf.DUMMYFUNCTION("""COMPUTED_VALUE"""),"quizzability.main@gmail.com")</f>
        <v/>
      </c>
      <c r="J191" s="1">
        <f>IFERROR(__xludf.DUMMYFUNCTION("""COMPUTED_VALUE"""),"+351917283470")</f>
        <v/>
      </c>
      <c r="K191" s="1">
        <f>IFERROR(__xludf.DUMMYFUNCTION("""COMPUTED_VALUE"""),"Viseu")</f>
        <v/>
      </c>
      <c r="L191" s="1">
        <f>IFERROR(__xludf.DUMMYFUNCTION("""COMPUTED_VALUE"""),"Portugal")</f>
        <v/>
      </c>
      <c r="M191" s="1">
        <f>IFERROR(__xludf.DUMMYFUNCTION("""COMPUTED_VALUE"""),"Portugal, Poland, Spain")</f>
        <v/>
      </c>
      <c r="N191" s="1">
        <f>IFERROR(__xludf.DUMMYFUNCTION("""COMPUTED_VALUE"""),"Micro (1-9 FTE employees)")</f>
        <v/>
      </c>
      <c r="O191" s="1">
        <f>IFERROR(__xludf.DUMMYFUNCTION("""COMPUTED_VALUE"""),"Business to Business, Business to Schools")</f>
        <v/>
      </c>
      <c r="P191" s="1">
        <f>IFERROR(__xludf.DUMMYFUNCTION("""COMPUTED_VALUE"""),"Vocational Education and Training (VET), Higher Education, Corporate Training, Lifelong learning/Adult education")</f>
        <v/>
      </c>
      <c r="Q191" s="1">
        <f>IFERROR(__xludf.DUMMYFUNCTION("""COMPUTED_VALUE"""),"Student interfacing")</f>
        <v/>
      </c>
      <c r="R191" s="1" t="n"/>
      <c r="S191" s="1" t="n"/>
      <c r="T191" s="15">
        <f>IFERROR(__xludf.DUMMYFUNCTION("""COMPUTED_VALUE"""),"https://pt.linkedin.com/company/quizzability")</f>
        <v/>
      </c>
      <c r="U191" s="1">
        <f>IFERROR(__xludf.DUMMYFUNCTION("""COMPUTED_VALUE"""),"Quizzability Platform")</f>
        <v/>
      </c>
      <c r="V191" s="1">
        <f>IFERROR(__xludf.DUMMYFUNCTION("""COMPUTED_VALUE"""),"Online platform for sustainability education")</f>
        <v/>
      </c>
      <c r="W191" s="1" t="n"/>
      <c r="X191" s="1" t="n"/>
      <c r="Y191" s="1" t="n"/>
      <c r="Z191" s="1">
        <f>IFERROR(__xludf.DUMMYFUNCTION("""COMPUTED_VALUE"""),"Unverified")</f>
        <v/>
      </c>
      <c r="AA191" s="1">
        <f>IFERROR(__xludf.DUMMYFUNCTION("""COMPUTED_VALUE"""),"Collaborations between EdTech organisations, Project consortium building, Public-private partnerships, Industry-academia partnerships")</f>
        <v/>
      </c>
      <c r="AB191" s="1">
        <f>IFERROR(__xludf.DUMMYFUNCTION("""COMPUTED_VALUE"""),"For-profit company")</f>
        <v/>
      </c>
      <c r="AC191" s="1">
        <f>IFERROR(__xludf.DUMMYFUNCTION("""COMPUTED_VALUE"""),TRUE)</f>
        <v/>
      </c>
      <c r="AD191" s="1">
        <f>IFERROR(__xludf.DUMMYFUNCTION("""COMPUTED_VALUE"""),TRUE)</f>
        <v/>
      </c>
      <c r="AE191" s="1" t="n"/>
    </row>
    <row r="192" ht="42" customHeight="1">
      <c r="A192" s="14">
        <f>IFERROR(__xludf.DUMMYFUNCTION("""COMPUTED_VALUE"""),45839)</f>
        <v/>
      </c>
      <c r="B192" s="1">
        <f>IFERROR(__xludf.DUMMYFUNCTION("""COMPUTED_VALUE"""),"ORG_2392")</f>
        <v/>
      </c>
      <c r="C192" s="1">
        <f>IFERROR(__xludf.DUMMYFUNCTION("""COMPUTED_VALUE"""),TRUE)</f>
        <v/>
      </c>
      <c r="D192" s="1">
        <f>IFERROR(__xludf.DUMMYFUNCTION("""COMPUTED_VALUE"""),"TGI platform")</f>
        <v/>
      </c>
      <c r="E192" s="15">
        <f>IFERROR(__xludf.DUMMYFUNCTION("""COMPUTED_VALUE"""),"https://tgi-platform.com/")</f>
        <v/>
      </c>
      <c r="F192" s="1">
        <f>IFERROR(__xludf.DUMMYFUNCTION("""COMPUTED_VALUE"""),"TGI platform - personal educational path builder for kids &amp; school management system")</f>
        <v/>
      </c>
      <c r="G192" s="1">
        <f>IFERROR(__xludf.DUMMYFUNCTION("""COMPUTED_VALUE"""),"EdTech Ukraine")</f>
        <v/>
      </c>
      <c r="H192" s="1">
        <f>IFERROR(__xludf.DUMMYFUNCTION("""COMPUTED_VALUE"""),"English, Ukrainian")</f>
        <v/>
      </c>
      <c r="I192" s="1">
        <f>IFERROR(__xludf.DUMMYFUNCTION("""COMPUTED_VALUE"""),"valya.shved@gmail.com")</f>
        <v/>
      </c>
      <c r="J192" s="1">
        <f>IFERROR(__xludf.DUMMYFUNCTION("""COMPUTED_VALUE"""),"+380933887092")</f>
        <v/>
      </c>
      <c r="K192" s="1">
        <f>IFERROR(__xludf.DUMMYFUNCTION("""COMPUTED_VALUE"""),"Irpin'")</f>
        <v/>
      </c>
      <c r="L192" s="1">
        <f>IFERROR(__xludf.DUMMYFUNCTION("""COMPUTED_VALUE"""),"Ukraine")</f>
        <v/>
      </c>
      <c r="M192" s="1">
        <f>IFERROR(__xludf.DUMMYFUNCTION("""COMPUTED_VALUE"""),"Ukraine")</f>
        <v/>
      </c>
      <c r="N192" s="1">
        <f>IFERROR(__xludf.DUMMYFUNCTION("""COMPUTED_VALUE"""),"Small (10-49 FTE employees)")</f>
        <v/>
      </c>
      <c r="O192" s="1">
        <f>IFERROR(__xludf.DUMMYFUNCTION("""COMPUTED_VALUE"""),"Business to Business")</f>
        <v/>
      </c>
      <c r="P192" s="1">
        <f>IFERROR(__xludf.DUMMYFUNCTION("""COMPUTED_VALUE"""),"Primary Education, Secondary Education")</f>
        <v/>
      </c>
      <c r="Q192" s="1">
        <f>IFERROR(__xludf.DUMMYFUNCTION("""COMPUTED_VALUE"""),"System/Administrative")</f>
        <v/>
      </c>
      <c r="R192" s="1" t="n"/>
      <c r="S192" s="1" t="n"/>
      <c r="T192" s="15">
        <f>IFERROR(__xludf.DUMMYFUNCTION("""COMPUTED_VALUE"""),"https://www.linkedin.com/in/valya")</f>
        <v/>
      </c>
      <c r="U192" s="1">
        <f>IFERROR(__xludf.DUMMYFUNCTION("""COMPUTED_VALUE"""),"school management system")</f>
        <v/>
      </c>
      <c r="V192" s="1">
        <f>IFERROR(__xludf.DUMMYFUNCTION("""COMPUTED_VALUE"""),"TGI platform offers a School Management System that not only helps schools be almost 50% more effective in adminiatration but also identifies and addresses learning gaps in real time.")</f>
        <v/>
      </c>
      <c r="W192" s="1">
        <f>IFERROR(__xludf.DUMMYFUNCTION("""COMPUTED_VALUE"""),"personal educational path builder for kids")</f>
        <v/>
      </c>
      <c r="X192" s="1">
        <f>IFERROR(__xludf.DUMMYFUNCTION("""COMPUTED_VALUE"""),"TGI platform is A Personalized Education Platform that collects and analyzes student data — talents, limitations, preferences, and academic performance — using AI to generate personal educational path for each student and recommendations for mentors.")</f>
        <v/>
      </c>
      <c r="Y192" s="1" t="n"/>
      <c r="Z192" s="1">
        <f>IFERROR(__xludf.DUMMYFUNCTION("""COMPUTED_VALUE"""),"Unverified")</f>
        <v/>
      </c>
      <c r="AA192" s="1">
        <f>IFERROR(__xludf.DUMMYFUNCTION("""COMPUTED_VALUE"""),"Project consortium building, Public-private partnerships")</f>
        <v/>
      </c>
      <c r="AB192" s="1">
        <f>IFERROR(__xludf.DUMMYFUNCTION("""COMPUTED_VALUE"""),"For-profit company")</f>
        <v/>
      </c>
      <c r="AC192" s="1">
        <f>IFERROR(__xludf.DUMMYFUNCTION("""COMPUTED_VALUE"""),TRUE)</f>
        <v/>
      </c>
      <c r="AD192" s="1">
        <f>IFERROR(__xludf.DUMMYFUNCTION("""COMPUTED_VALUE"""),FALSE)</f>
        <v/>
      </c>
      <c r="AE192" s="1" t="n"/>
    </row>
    <row r="193" ht="42" customHeight="1">
      <c r="A193" s="14">
        <f>IFERROR(__xludf.DUMMYFUNCTION("""COMPUTED_VALUE"""),45839)</f>
        <v/>
      </c>
      <c r="B193" s="1">
        <f>IFERROR(__xludf.DUMMYFUNCTION("""COMPUTED_VALUE"""),"ORG_2532")</f>
        <v/>
      </c>
      <c r="C193" s="1">
        <f>IFERROR(__xludf.DUMMYFUNCTION("""COMPUTED_VALUE"""),TRUE)</f>
        <v/>
      </c>
      <c r="D193" s="1">
        <f>IFERROR(__xludf.DUMMYFUNCTION("""COMPUTED_VALUE"""),"WiDiD")</f>
        <v/>
      </c>
      <c r="E193" s="15">
        <f>IFERROR(__xludf.DUMMYFUNCTION("""COMPUTED_VALUE"""),"https://widid.fr/")</f>
        <v/>
      </c>
      <c r="F193" s="1">
        <f>IFERROR(__xludf.DUMMYFUNCTION("""COMPUTED_VALUE"""),"WiDiD is a French EdTech startup that develops immersive training modules using virtual reality and artificial intelligence. Our platform enables learners to acquire soft and technical skills through realistic, self-contained simulations, accessible via a"&amp;" PC or VR headset. WiDiD works with schools, vocational training centers and companies to transform learning experiences in sectors such as agriculture, industry, healthcare and education.")</f>
        <v/>
      </c>
      <c r="G193" s="1">
        <f>IFERROR(__xludf.DUMMYFUNCTION("""COMPUTED_VALUE"""),"I'm not part of any EdTech association")</f>
        <v/>
      </c>
      <c r="H193" s="1">
        <f>IFERROR(__xludf.DUMMYFUNCTION("""COMPUTED_VALUE"""),"French, Spanish, English, Italian")</f>
        <v/>
      </c>
      <c r="I193" s="1">
        <f>IFERROR(__xludf.DUMMYFUNCTION("""COMPUTED_VALUE"""),"contact@widid.fr")</f>
        <v/>
      </c>
      <c r="J193" s="1">
        <f>IFERROR(__xludf.DUMMYFUNCTION("""COMPUTED_VALUE"""),"+33674578957")</f>
        <v/>
      </c>
      <c r="K193" s="1">
        <f>IFERROR(__xludf.DUMMYFUNCTION("""COMPUTED_VALUE"""),"TOULOUSE")</f>
        <v/>
      </c>
      <c r="L193" s="1">
        <f>IFERROR(__xludf.DUMMYFUNCTION("""COMPUTED_VALUE"""),"France")</f>
        <v/>
      </c>
      <c r="M193" s="1">
        <f>IFERROR(__xludf.DUMMYFUNCTION("""COMPUTED_VALUE"""),"France, Switzerland")</f>
        <v/>
      </c>
      <c r="N193" s="1">
        <f>IFERROR(__xludf.DUMMYFUNCTION("""COMPUTED_VALUE"""),"Micro (1-9 FTE employees)")</f>
        <v/>
      </c>
      <c r="O193" s="1">
        <f>IFERROR(__xludf.DUMMYFUNCTION("""COMPUTED_VALUE"""),"Business to Schools, Business to Business")</f>
        <v/>
      </c>
      <c r="P193" s="1">
        <f>IFERROR(__xludf.DUMMYFUNCTION("""COMPUTED_VALUE"""),"Corporate Training, Higher Education, Lifelong learning/Adult education, Vocational Education and Training (VET), Special Education")</f>
        <v/>
      </c>
      <c r="Q193" s="1">
        <f>IFERROR(__xludf.DUMMYFUNCTION("""COMPUTED_VALUE"""),"Student interfacing, Teacher interfacing")</f>
        <v/>
      </c>
      <c r="R193" s="1" t="n"/>
      <c r="S193" s="1" t="n"/>
      <c r="T193" s="15">
        <f>IFERROR(__xludf.DUMMYFUNCTION("""COMPUTED_VALUE"""),"https://www.linkedin.com/company/11763645/")</f>
        <v/>
      </c>
      <c r="U193" s="1">
        <f>IFERROR(__xludf.DUMMYFUNCTION("""COMPUTED_VALUE"""),"WiDiD Immersive")</f>
        <v/>
      </c>
      <c r="V193" s="1">
        <f>IFERROR(__xludf.DUMMYFUNCTION("""COMPUTED_VALUE"""),"WiDiD Immersive is an AI-assisted ILMS offering VR and PC based training for soft and technical skills. It enables progress tracking, content customization and unlimited, safe practice with real-time feedback.")</f>
        <v/>
      </c>
      <c r="W193" s="1">
        <f>IFERROR(__xludf.DUMMYFUNCTION("""COMPUTED_VALUE"""),"Dialogue Player &amp; Dialogue Designer")</f>
        <v/>
      </c>
      <c r="X193" s="1">
        <f>IFERROR(__xludf.DUMMYFUNCTION("""COMPUTED_VALUE"""),"Our no-code tools enable trainers to easily design and deploy exchange-based simulations. The Dialogue Designer enables the intuitive creation of scenarios for any situation, while the Dialogue Player lets learners practice their communication skills in a"&amp;"n immersive environment.")</f>
        <v/>
      </c>
      <c r="Y193" s="1" t="n"/>
      <c r="Z193" s="1">
        <f>IFERROR(__xludf.DUMMYFUNCTION("""COMPUTED_VALUE"""),"Unverified")</f>
        <v/>
      </c>
      <c r="AA193" s="1">
        <f>IFERROR(__xludf.DUMMYFUNCTION("""COMPUTED_VALUE"""),"Project consortium building, Industry-academia partnerships, Collaborations between EdTech organisations")</f>
        <v/>
      </c>
      <c r="AB193" s="1">
        <f>IFERROR(__xludf.DUMMYFUNCTION("""COMPUTED_VALUE"""),"For-profit company")</f>
        <v/>
      </c>
      <c r="AC193" s="1">
        <f>IFERROR(__xludf.DUMMYFUNCTION("""COMPUTED_VALUE"""),TRUE)</f>
        <v/>
      </c>
      <c r="AD193" s="1">
        <f>IFERROR(__xludf.DUMMYFUNCTION("""COMPUTED_VALUE"""),TRUE)</f>
        <v/>
      </c>
      <c r="AE193" s="1" t="n"/>
    </row>
    <row r="194" ht="42" customHeight="1">
      <c r="A194" s="14">
        <f>IFERROR(__xludf.DUMMYFUNCTION("""COMPUTED_VALUE"""),45839)</f>
        <v/>
      </c>
      <c r="B194" s="1">
        <f>IFERROR(__xludf.DUMMYFUNCTION("""COMPUTED_VALUE"""),"ORG_2428")</f>
        <v/>
      </c>
      <c r="C194" s="1">
        <f>IFERROR(__xludf.DUMMYFUNCTION("""COMPUTED_VALUE"""),TRUE)</f>
        <v/>
      </c>
      <c r="D194" s="1">
        <f>IFERROR(__xludf.DUMMYFUNCTION("""COMPUTED_VALUE"""),"Trainings-Online GmbH")</f>
        <v/>
      </c>
      <c r="E194" s="1">
        <f>IFERROR(__xludf.DUMMYFUNCTION("""COMPUTED_VALUE"""),"ki-campus.eu")</f>
        <v/>
      </c>
      <c r="F194" s="1">
        <f>IFERROR(__xludf.DUMMYFUNCTION("""COMPUTED_VALUE"""),"Combining Campus-Management and GenAI")</f>
        <v/>
      </c>
      <c r="G194" s="1">
        <f>IFERROR(__xludf.DUMMYFUNCTION("""COMPUTED_VALUE"""),"I'm not part of any EdTech association")</f>
        <v/>
      </c>
      <c r="H194" s="1">
        <f>IFERROR(__xludf.DUMMYFUNCTION("""COMPUTED_VALUE"""),"German, English")</f>
        <v/>
      </c>
      <c r="I194" s="1">
        <f>IFERROR(__xludf.DUMMYFUNCTION("""COMPUTED_VALUE"""),"info@trainings-online.de")</f>
        <v/>
      </c>
      <c r="J194" s="1">
        <f>IFERROR(__xludf.DUMMYFUNCTION("""COMPUTED_VALUE"""),"+4952144818830")</f>
        <v/>
      </c>
      <c r="K194" s="1">
        <f>IFERROR(__xludf.DUMMYFUNCTION("""COMPUTED_VALUE"""),"Bielefeld")</f>
        <v/>
      </c>
      <c r="L194" s="1">
        <f>IFERROR(__xludf.DUMMYFUNCTION("""COMPUTED_VALUE"""),"Germany")</f>
        <v/>
      </c>
      <c r="M194" s="1">
        <f>IFERROR(__xludf.DUMMYFUNCTION("""COMPUTED_VALUE"""),"Germany")</f>
        <v/>
      </c>
      <c r="N194" s="1">
        <f>IFERROR(__xludf.DUMMYFUNCTION("""COMPUTED_VALUE"""),"Small (10-49 FTE employees)")</f>
        <v/>
      </c>
      <c r="O194" s="1">
        <f>IFERROR(__xludf.DUMMYFUNCTION("""COMPUTED_VALUE"""),"Business to Business")</f>
        <v/>
      </c>
      <c r="P194" s="1">
        <f>IFERROR(__xludf.DUMMYFUNCTION("""COMPUTED_VALUE"""),"Higher Education")</f>
        <v/>
      </c>
      <c r="Q194" s="1">
        <f>IFERROR(__xludf.DUMMYFUNCTION("""COMPUTED_VALUE"""),"System/Administrative")</f>
        <v/>
      </c>
      <c r="R194" s="1" t="n"/>
      <c r="S194" s="1" t="n"/>
      <c r="T194" s="1" t="n"/>
      <c r="U194" s="1">
        <f>IFERROR(__xludf.DUMMYFUNCTION("""COMPUTED_VALUE"""),"TraiNex")</f>
        <v/>
      </c>
      <c r="V194" s="1">
        <f>IFERROR(__xludf.DUMMYFUNCTION("""COMPUTED_VALUE"""),"All-in-one Campus-Management-System")</f>
        <v/>
      </c>
      <c r="W194" s="1">
        <f>IFERROR(__xludf.DUMMYFUNCTION("""COMPUTED_VALUE"""),"SMARTA")</f>
        <v/>
      </c>
      <c r="X194" s="1">
        <f>IFERROR(__xludf.DUMMYFUNCTION("""COMPUTED_VALUE"""),"Student Motivation and Reflective Trainings AI-Assistants")</f>
        <v/>
      </c>
      <c r="Y194" s="1" t="n"/>
      <c r="Z194" s="1">
        <f>IFERROR(__xludf.DUMMYFUNCTION("""COMPUTED_VALUE"""),"Unverified")</f>
        <v/>
      </c>
      <c r="AA194" s="1">
        <f>IFERROR(__xludf.DUMMYFUNCTION("""COMPUTED_VALUE"""),"Collaborations between EdTech organisations, Project consortium building")</f>
        <v/>
      </c>
      <c r="AB194" s="1">
        <f>IFERROR(__xludf.DUMMYFUNCTION("""COMPUTED_VALUE"""),"For-profit company")</f>
        <v/>
      </c>
      <c r="AC194" s="1">
        <f>IFERROR(__xludf.DUMMYFUNCTION("""COMPUTED_VALUE"""),TRUE)</f>
        <v/>
      </c>
      <c r="AD194" s="1">
        <f>IFERROR(__xludf.DUMMYFUNCTION("""COMPUTED_VALUE"""),FALSE)</f>
        <v/>
      </c>
      <c r="AE194" s="15">
        <f>IFERROR(__xludf.DUMMYFUNCTION("""COMPUTED_VALUE"""),"https://www.facebook.com/TraiNex24")</f>
        <v/>
      </c>
    </row>
    <row r="195" ht="42" customHeight="1">
      <c r="A195" s="14">
        <f>IFERROR(__xludf.DUMMYFUNCTION("""COMPUTED_VALUE"""),45839)</f>
        <v/>
      </c>
      <c r="B195" s="1">
        <f>IFERROR(__xludf.DUMMYFUNCTION("""COMPUTED_VALUE"""),"ORG_2054")</f>
        <v/>
      </c>
      <c r="C195" s="1">
        <f>IFERROR(__xludf.DUMMYFUNCTION("""COMPUTED_VALUE"""),TRUE)</f>
        <v/>
      </c>
      <c r="D195" s="1">
        <f>IFERROR(__xludf.DUMMYFUNCTION("""COMPUTED_VALUE"""),"ODE.systems")</f>
        <v/>
      </c>
      <c r="E195" s="15">
        <f>IFERROR(__xludf.DUMMYFUNCTION("""COMPUTED_VALUE"""),"https://www.ode.systems")</f>
        <v/>
      </c>
      <c r="F195" s="1">
        <f>IFERROR(__xludf.DUMMYFUNCTION("""COMPUTED_VALUE"""),"ODE.mobile is a decision-making companion designed to help individuals, groups, and organizations structure their decisions in a transparent and conscious way. Built around a clear seven-step process, the app enables users to break down complex questions "&amp;"into manageable parts, define their own criteria, and compare options objectively. It supports collaborative decisions through ranked voting, shared templates (“blueprints”), and peer feedback. Developed with a strong ethical foundation, ODE.mobile does n"&amp;"ot track users or sell data. The platform avoids manipulative features and ensures full transparency in its operation. Available as both a mobile and web app, and offered in multiple languages (including Arabic, Chinese, Hindi, Hebrew, Korean, Russian), O"&amp;"DE.mobile is used globally by students, professionals, educators, and communities who want to regain clarity and ownership in their decisions.")</f>
        <v/>
      </c>
      <c r="G195" s="1">
        <f>IFERROR(__xludf.DUMMYFUNCTION("""COMPUTED_VALUE"""),"I'm not part of any EdTech association")</f>
        <v/>
      </c>
      <c r="H195" s="1">
        <f>IFERROR(__xludf.DUMMYFUNCTION("""COMPUTED_VALUE"""),"English, German, Spanish, Arabic, Chinese (Simplified), Hindi, Hebrew, Korean, Russian")</f>
        <v/>
      </c>
      <c r="I195" s="1">
        <f>IFERROR(__xludf.DUMMYFUNCTION("""COMPUTED_VALUE"""),"hello@ODE.systems")</f>
        <v/>
      </c>
      <c r="J195" s="1">
        <f>IFERROR(__xludf.DUMMYFUNCTION("""COMPUTED_VALUE"""),"+491708557750")</f>
        <v/>
      </c>
      <c r="K195" s="1">
        <f>IFERROR(__xludf.DUMMYFUNCTION("""COMPUTED_VALUE"""),"Bernau")</f>
        <v/>
      </c>
      <c r="L195" s="1">
        <f>IFERROR(__xludf.DUMMYFUNCTION("""COMPUTED_VALUE"""),"Germany")</f>
        <v/>
      </c>
      <c r="M195" s="1">
        <f>IFERROR(__xludf.DUMMYFUNCTION("""COMPUTED_VALUE"""),"United Kingdom, Ukraine, Sweden, Switzerland, Turkey, San Marino, Spain, Slovenia, Romania, Portugal, Slovakia, North Macedonia, Norway, Poland, Netherlands, Montenegro, Monaco, Luxembourg, Malta, Moldova, Lithuania, Kosovo, Iceland, Hungary, Italy, Liech"&amp;"tenstein, Latvia, Ireland, Greece, Albania, Belarus, Bulgaria, Czechia, Finland, France, Denmark, Croatia, Belgium, Andorra, Austria, Bosnia and Herzegovina, Republic of Cyprus, Estonia, Germany, India, Uganda, Nigeria, Pakistan, United Arab Emirates, Uni"&amp;"ted States of America")</f>
        <v/>
      </c>
      <c r="N195" s="1">
        <f>IFERROR(__xludf.DUMMYFUNCTION("""COMPUTED_VALUE"""),"Micro (1-9 FTE employees)")</f>
        <v/>
      </c>
      <c r="O195" s="1">
        <f>IFERROR(__xludf.DUMMYFUNCTION("""COMPUTED_VALUE"""),"Business to Business, Business to Consumer, Business to Government, Business to Schools")</f>
        <v/>
      </c>
      <c r="P195" s="1">
        <f>IFERROR(__xludf.DUMMYFUNCTION("""COMPUTED_VALUE"""),"Higher Education, Vocational Education and Training (VET), Secondary Education, Corporate Training, Lifelong learning/Adult education, Special Education")</f>
        <v/>
      </c>
      <c r="Q195" s="1">
        <f>IFERROR(__xludf.DUMMYFUNCTION("""COMPUTED_VALUE"""),"Student interfacing, Teacher interfacing")</f>
        <v/>
      </c>
      <c r="R195" s="1" t="n"/>
      <c r="S195" s="1" t="n"/>
      <c r="T195" s="15">
        <f>IFERROR(__xludf.DUMMYFUNCTION("""COMPUTED_VALUE"""),"https://www.linkedin.com/company/odeeasychoice/")</f>
        <v/>
      </c>
      <c r="U195" s="1">
        <f>IFERROR(__xludf.DUMMYFUNCTION("""COMPUTED_VALUE"""),"Decision Education")</f>
        <v/>
      </c>
      <c r="V195" s="1">
        <f>IFERROR(__xludf.DUMMYFUNCTION("""COMPUTED_VALUE"""),"Structured training to build decision competence using the ODE method. Teaches how to define criteria, compare options, and navigate uncertainty. Offered in schools, bootcamps, and leadership programs.")</f>
        <v/>
      </c>
      <c r="W195" s="1">
        <f>IFERROR(__xludf.DUMMYFUNCTION("""COMPUTED_VALUE"""),"ODE.mobile app")</f>
        <v/>
      </c>
      <c r="X195" s="1">
        <f>IFERROR(__xludf.DUMMYFUNCTION("""COMPUTED_VALUE"""),"Web and mobile app guiding users through a seven-step decision process. Enables clear comparisons, ranked choices, and shared templates, fully private and multilingual.")</f>
        <v/>
      </c>
      <c r="Y195" s="1" t="n"/>
      <c r="Z195" s="1">
        <f>IFERROR(__xludf.DUMMYFUNCTION("""COMPUTED_VALUE"""),"Unverified")</f>
        <v/>
      </c>
      <c r="AA195" s="1">
        <f>IFERROR(__xludf.DUMMYFUNCTION("""COMPUTED_VALUE"""),"Collaborations between EdTech organisations, Project consortium building, Industry-academia partnerships, Public-private partnerships")</f>
        <v/>
      </c>
      <c r="AB195" s="1">
        <f>IFERROR(__xludf.DUMMYFUNCTION("""COMPUTED_VALUE"""),"For-profit company")</f>
        <v/>
      </c>
      <c r="AC195" s="1">
        <f>IFERROR(__xludf.DUMMYFUNCTION("""COMPUTED_VALUE"""),FALSE)</f>
        <v/>
      </c>
      <c r="AD195" s="1">
        <f>IFERROR(__xludf.DUMMYFUNCTION("""COMPUTED_VALUE"""),TRUE)</f>
        <v/>
      </c>
      <c r="AE195" s="15">
        <f>IFERROR(__xludf.DUMMYFUNCTION("""COMPUTED_VALUE"""),"https://www.facebook.com/ODE.systems")</f>
        <v/>
      </c>
    </row>
    <row r="196" ht="42" customHeight="1">
      <c r="A196" s="14">
        <f>IFERROR(__xludf.DUMMYFUNCTION("""COMPUTED_VALUE"""),45839)</f>
        <v/>
      </c>
      <c r="B196" s="1">
        <f>IFERROR(__xludf.DUMMYFUNCTION("""COMPUTED_VALUE"""),"ORG_2459")</f>
        <v/>
      </c>
      <c r="C196" s="1">
        <f>IFERROR(__xludf.DUMMYFUNCTION("""COMPUTED_VALUE"""),TRUE)</f>
        <v/>
      </c>
      <c r="D196" s="1">
        <f>IFERROR(__xludf.DUMMYFUNCTION("""COMPUTED_VALUE"""),"UNICEF")</f>
        <v/>
      </c>
      <c r="E196" s="15">
        <f>IFERROR(__xludf.DUMMYFUNCTION("""COMPUTED_VALUE"""),"unicef.org")</f>
        <v/>
      </c>
      <c r="F196" s="1">
        <f>IFERROR(__xludf.DUMMYFUNCTION("""COMPUTED_VALUE"""),"We support countries to implement digital learning")</f>
        <v/>
      </c>
      <c r="G196" s="1">
        <f>IFERROR(__xludf.DUMMYFUNCTION("""COMPUTED_VALUE"""),"xEdu")</f>
        <v/>
      </c>
      <c r="H196" s="1">
        <f>IFERROR(__xludf.DUMMYFUNCTION("""COMPUTED_VALUE"""),"English")</f>
        <v/>
      </c>
      <c r="I196" s="1">
        <f>IFERROR(__xludf.DUMMYFUNCTION("""COMPUTED_VALUE"""),"B.Smith@unicef.org")</f>
        <v/>
      </c>
      <c r="J196" s="1">
        <f>IFERROR(__xludf.DUMMYFUNCTION("""COMPUTED_VALUE"""),"+33644552386")</f>
        <v/>
      </c>
      <c r="K196" s="1">
        <f>IFERROR(__xludf.DUMMYFUNCTION("""COMPUTED_VALUE"""),"Bonn")</f>
        <v/>
      </c>
      <c r="L196" s="1">
        <f>IFERROR(__xludf.DUMMYFUNCTION("""COMPUTED_VALUE"""),"Germany")</f>
        <v/>
      </c>
      <c r="M196" s="1">
        <f>IFERROR(__xludf.DUMMYFUNCTION("""COMPUTED_VALUE"""),"Other")</f>
        <v/>
      </c>
      <c r="N196" s="1">
        <f>IFERROR(__xludf.DUMMYFUNCTION("""COMPUTED_VALUE"""),"Medium (50-250 FTE employees)")</f>
        <v/>
      </c>
      <c r="O196" s="1">
        <f>IFERROR(__xludf.DUMMYFUNCTION("""COMPUTED_VALUE"""),"Business to Government")</f>
        <v/>
      </c>
      <c r="P196" s="1">
        <f>IFERROR(__xludf.DUMMYFUNCTION("""COMPUTED_VALUE"""),"Early childhood development (0-5 years), Primary Education, Secondary Education, Vocational Education and Training (VET), Special Education")</f>
        <v/>
      </c>
      <c r="Q196" s="1">
        <f>IFERROR(__xludf.DUMMYFUNCTION("""COMPUTED_VALUE"""),"System/Administrative")</f>
        <v/>
      </c>
      <c r="R196" s="1" t="n"/>
      <c r="S196" s="1" t="n"/>
      <c r="T196" s="1" t="n"/>
      <c r="U196" s="1">
        <f>IFERROR(__xludf.DUMMYFUNCTION("""COMPUTED_VALUE"""),"Digital Learning")</f>
        <v/>
      </c>
      <c r="V196" s="1">
        <f>IFERROR(__xludf.DUMMYFUNCTION("""COMPUTED_VALUE"""),"Supporting countries in their digital transformation")</f>
        <v/>
      </c>
      <c r="W196" s="1" t="n"/>
      <c r="X196" s="1" t="n"/>
      <c r="Y196" s="1" t="n"/>
      <c r="Z196" s="1">
        <f>IFERROR(__xludf.DUMMYFUNCTION("""COMPUTED_VALUE"""),"Unverified")</f>
        <v/>
      </c>
      <c r="AA196" s="1">
        <f>IFERROR(__xludf.DUMMYFUNCTION("""COMPUTED_VALUE"""),"Collaborations between EdTech organisations, Project consortium building, Public-private partnerships, Industry-academia partnerships")</f>
        <v/>
      </c>
      <c r="AB196" s="1">
        <f>IFERROR(__xludf.DUMMYFUNCTION("""COMPUTED_VALUE"""),"Other")</f>
        <v/>
      </c>
      <c r="AC196" s="1">
        <f>IFERROR(__xludf.DUMMYFUNCTION("""COMPUTED_VALUE"""),TRUE)</f>
        <v/>
      </c>
      <c r="AD196" s="1">
        <f>IFERROR(__xludf.DUMMYFUNCTION("""COMPUTED_VALUE"""),TRUE)</f>
        <v/>
      </c>
      <c r="AE196" s="1" t="n"/>
    </row>
    <row r="197" ht="42" customHeight="1">
      <c r="A197" s="14">
        <f>IFERROR(__xludf.DUMMYFUNCTION("""COMPUTED_VALUE"""),45839)</f>
        <v/>
      </c>
      <c r="B197" s="1">
        <f>IFERROR(__xludf.DUMMYFUNCTION("""COMPUTED_VALUE"""),"ORG_1931")</f>
        <v/>
      </c>
      <c r="C197" s="1">
        <f>IFERROR(__xludf.DUMMYFUNCTION("""COMPUTED_VALUE"""),TRUE)</f>
        <v/>
      </c>
      <c r="D197" s="1">
        <f>IFERROR(__xludf.DUMMYFUNCTION("""COMPUTED_VALUE"""),"Maths Circle")</f>
        <v/>
      </c>
      <c r="E197" s="15">
        <f>IFERROR(__xludf.DUMMYFUNCTION("""COMPUTED_VALUE"""),"mathscircle.com")</f>
        <v/>
      </c>
      <c r="F197" s="1">
        <f>IFERROR(__xludf.DUMMYFUNCTION("""COMPUTED_VALUE"""),"Providers of maths online learning platforms Times Tables Rock Stars and NumBots")</f>
        <v/>
      </c>
      <c r="G197" s="1">
        <f>IFERROR(__xludf.DUMMYFUNCTION("""COMPUTED_VALUE"""),"I'm not part of any EdTech association")</f>
        <v/>
      </c>
      <c r="H197" s="1">
        <f>IFERROR(__xludf.DUMMYFUNCTION("""COMPUTED_VALUE"""),"English")</f>
        <v/>
      </c>
      <c r="I197" s="1">
        <f>IFERROR(__xludf.DUMMYFUNCTION("""COMPUTED_VALUE"""),"support@mathscircle.com")</f>
        <v/>
      </c>
      <c r="J197" s="1">
        <f>IFERROR(__xludf.DUMMYFUNCTION("""COMPUTED_VALUE"""),"+441234674123")</f>
        <v/>
      </c>
      <c r="K197" s="1">
        <f>IFERROR(__xludf.DUMMYFUNCTION("""COMPUTED_VALUE"""),"Bedford")</f>
        <v/>
      </c>
      <c r="L197" s="1">
        <f>IFERROR(__xludf.DUMMYFUNCTION("""COMPUTED_VALUE"""),"United Kingdom")</f>
        <v/>
      </c>
      <c r="M197" s="1">
        <f>IFERROR(__xludf.DUMMYFUNCTION("""COMPUTED_VALUE"""),"Albania, Andorra, Austria, Belarus, Belgium, Bosnia and Herzegovina, Bulgaria, Croatia, Republic of Cyprus, Czechia, Denmark, Estonia, Finland, France, Germany, Greece, Hungary, Iceland, Ireland, Italy, Kosovo, Latvia, Liechtenstein, Lithuania, Luxembourg"&amp;", Malta, Moldova, Monaco, Montenegro, Netherlands, North Macedonia, Norway, Poland, Portugal, Romania, San Marino, Slovakia, Slovenia, Spain, Sweden, Switzerland, Turkey, Ukraine, United Kingdom")</f>
        <v/>
      </c>
      <c r="N197" s="1">
        <f>IFERROR(__xludf.DUMMYFUNCTION("""COMPUTED_VALUE"""),"Small (10-49 FTE employees)")</f>
        <v/>
      </c>
      <c r="O197" s="1">
        <f>IFERROR(__xludf.DUMMYFUNCTION("""COMPUTED_VALUE"""),"Business to Schools, Business to Consumer")</f>
        <v/>
      </c>
      <c r="P197" s="1">
        <f>IFERROR(__xludf.DUMMYFUNCTION("""COMPUTED_VALUE"""),"Primary Education, Secondary Education, Special Education")</f>
        <v/>
      </c>
      <c r="Q197" s="1">
        <f>IFERROR(__xludf.DUMMYFUNCTION("""COMPUTED_VALUE"""),"Student interfacing")</f>
        <v/>
      </c>
      <c r="R197" s="1" t="n"/>
      <c r="S197" s="1" t="n"/>
      <c r="T197" s="1">
        <f>IFERROR(__xludf.DUMMYFUNCTION("""COMPUTED_VALUE"""),"@ttrockstars")</f>
        <v/>
      </c>
      <c r="U197" s="1">
        <f>IFERROR(__xludf.DUMMYFUNCTION("""COMPUTED_VALUE"""),"Times Tables Rock Stars")</f>
        <v/>
      </c>
      <c r="V197" s="1">
        <f>IFERROR(__xludf.DUMMYFUNCTION("""COMPUTED_VALUE"""),"online maths learning platform that teaches children multiplication and division skills")</f>
        <v/>
      </c>
      <c r="W197" s="1">
        <f>IFERROR(__xludf.DUMMYFUNCTION("""COMPUTED_VALUE"""),"NumBots")</f>
        <v/>
      </c>
      <c r="X197" s="1">
        <f>IFERROR(__xludf.DUMMYFUNCTION("""COMPUTED_VALUE"""),"online maths learning platform that teaches children basic numeracy skills and builds maths confidence")</f>
        <v/>
      </c>
      <c r="Y197" s="1" t="n"/>
      <c r="Z197" s="1">
        <f>IFERROR(__xludf.DUMMYFUNCTION("""COMPUTED_VALUE"""),"Unverified")</f>
        <v/>
      </c>
      <c r="AA197" s="1">
        <f>IFERROR(__xludf.DUMMYFUNCTION("""COMPUTED_VALUE"""),"Collaborations between EdTech organisations")</f>
        <v/>
      </c>
      <c r="AB197" s="1">
        <f>IFERROR(__xludf.DUMMYFUNCTION("""COMPUTED_VALUE"""),"For-profit company")</f>
        <v/>
      </c>
      <c r="AC197" s="1">
        <f>IFERROR(__xludf.DUMMYFUNCTION("""COMPUTED_VALUE"""),TRUE)</f>
        <v/>
      </c>
      <c r="AD197" s="1">
        <f>IFERROR(__xludf.DUMMYFUNCTION("""COMPUTED_VALUE"""),TRUE)</f>
        <v/>
      </c>
      <c r="AE197" s="1" t="n"/>
    </row>
    <row r="198" ht="42" customHeight="1">
      <c r="A198" s="14">
        <f>IFERROR(__xludf.DUMMYFUNCTION("""COMPUTED_VALUE"""),45839)</f>
        <v/>
      </c>
      <c r="B198" s="1">
        <f>IFERROR(__xludf.DUMMYFUNCTION("""COMPUTED_VALUE"""),"ORG_2146")</f>
        <v/>
      </c>
      <c r="C198" s="1">
        <f>IFERROR(__xludf.DUMMYFUNCTION("""COMPUTED_VALUE"""),TRUE)</f>
        <v/>
      </c>
      <c r="D198" s="1">
        <f>IFERROR(__xludf.DUMMYFUNCTION("""COMPUTED_VALUE"""),"QuikWise AI")</f>
        <v/>
      </c>
      <c r="E198" s="15">
        <f>IFERROR(__xludf.DUMMYFUNCTION("""COMPUTED_VALUE"""),"quikwise.ai")</f>
        <v/>
      </c>
      <c r="F198" s="1">
        <f>IFERROR(__xludf.DUMMYFUNCTION("""COMPUTED_VALUE"""),"QuikWise is an AI-powered tutoring platform providing 24/7 personalized support for students of all ages and learning needs. It uses adaptive AI, voice-based interaction, quizzes, and real-time parental feedback to create an inclusive and engaging learnin"&amp;"g experience. Designed for both individual learners and institutions, QuikWise scales across subjects and education levels to make effective tutoring accessible to everyone.")</f>
        <v/>
      </c>
      <c r="G198" s="1">
        <f>IFERROR(__xludf.DUMMYFUNCTION("""COMPUTED_VALUE"""),"EdTech Austria")</f>
        <v/>
      </c>
      <c r="H198" s="1">
        <f>IFERROR(__xludf.DUMMYFUNCTION("""COMPUTED_VALUE"""),"English")</f>
        <v/>
      </c>
      <c r="I198" s="1">
        <f>IFERROR(__xludf.DUMMYFUNCTION("""COMPUTED_VALUE"""),"support@quikwise.com")</f>
        <v/>
      </c>
      <c r="J198" s="1">
        <f>IFERROR(__xludf.DUMMYFUNCTION("""COMPUTED_VALUE"""),"+436505554433")</f>
        <v/>
      </c>
      <c r="K198" s="1">
        <f>IFERROR(__xludf.DUMMYFUNCTION("""COMPUTED_VALUE"""),"Graz")</f>
        <v/>
      </c>
      <c r="L198" s="1">
        <f>IFERROR(__xludf.DUMMYFUNCTION("""COMPUTED_VALUE"""),"Austria")</f>
        <v/>
      </c>
      <c r="M198" s="1">
        <f>IFERROR(__xludf.DUMMYFUNCTION("""COMPUTED_VALUE"""),"Albania, Andorra, Austria, Belarus, Belgium, Bosnia and Herzegovina, Republic of Cyprus, Croatia, Bulgaria, Czechia, Denmark, Estonia, Germany, France, Finland, Greece, Hungary, Iceland, Kosovo, Italy, Ireland, Latvia, Liechtenstein, Lithuania, Moldova, M"&amp;"alta, Luxembourg, Monaco, Montenegro, Netherlands, Poland, Norway, North Macedonia, Portugal, Romania, San Marino, Spain, Slovenia, Slovakia, Sweden, Switzerland, Turkey, United Kingdom, Ukraine")</f>
        <v/>
      </c>
      <c r="N198" s="1">
        <f>IFERROR(__xludf.DUMMYFUNCTION("""COMPUTED_VALUE"""),"Micro (1-9 FTE employees)")</f>
        <v/>
      </c>
      <c r="O198" s="1">
        <f>IFERROR(__xludf.DUMMYFUNCTION("""COMPUTED_VALUE"""),"Business to Consumer, Business to Business, Business to Schools")</f>
        <v/>
      </c>
      <c r="P198" s="1">
        <f>IFERROR(__xludf.DUMMYFUNCTION("""COMPUTED_VALUE"""),"Primary Education, Secondary Education, Higher Education, Vocational Education and Training (VET), Corporate Training, Lifelong learning/Adult education")</f>
        <v/>
      </c>
      <c r="Q198" s="1">
        <f>IFERROR(__xludf.DUMMYFUNCTION("""COMPUTED_VALUE"""),"Student interfacing, Teacher interfacing")</f>
        <v/>
      </c>
      <c r="R198" s="1" t="n"/>
      <c r="S198" s="1" t="n"/>
      <c r="T198" s="15">
        <f>IFERROR(__xludf.DUMMYFUNCTION("""COMPUTED_VALUE"""),"https://www.instagram.com/quikwise.ai")</f>
        <v/>
      </c>
      <c r="U198" s="1">
        <f>IFERROR(__xludf.DUMMYFUNCTION("""COMPUTED_VALUE"""),"AI tutor")</f>
        <v/>
      </c>
      <c r="V198" s="1">
        <f>IFERROR(__xludf.DUMMYFUNCTION("""COMPUTED_VALUE"""),"An AI-powered, always-available tutor that provides personalized learning support, voice-based interaction, real-time quizzes, and progress feedback for students of all ages and abilities.")</f>
        <v/>
      </c>
      <c r="W198" s="1" t="n"/>
      <c r="X198" s="1" t="n"/>
      <c r="Y198" s="1" t="n"/>
      <c r="Z198" s="1">
        <f>IFERROR(__xludf.DUMMYFUNCTION("""COMPUTED_VALUE"""),"Unverified")</f>
        <v/>
      </c>
      <c r="AA198" s="1">
        <f>IFERROR(__xludf.DUMMYFUNCTION("""COMPUTED_VALUE"""),"Collaborations between EdTech organisations, Public-private partnerships, Industry-academia partnerships")</f>
        <v/>
      </c>
      <c r="AB198" s="1">
        <f>IFERROR(__xludf.DUMMYFUNCTION("""COMPUTED_VALUE"""),"For-profit company")</f>
        <v/>
      </c>
      <c r="AC198" s="1">
        <f>IFERROR(__xludf.DUMMYFUNCTION("""COMPUTED_VALUE"""),TRUE)</f>
        <v/>
      </c>
      <c r="AD198" s="1">
        <f>IFERROR(__xludf.DUMMYFUNCTION("""COMPUTED_VALUE"""),TRUE)</f>
        <v/>
      </c>
      <c r="AE198" s="15">
        <f>IFERROR(__xludf.DUMMYFUNCTION("""COMPUTED_VALUE"""),"https://www.facebook.com/quikwise")</f>
        <v/>
      </c>
    </row>
    <row r="199" ht="42" customHeight="1">
      <c r="A199" s="14">
        <f>IFERROR(__xludf.DUMMYFUNCTION("""COMPUTED_VALUE"""),45839)</f>
        <v/>
      </c>
      <c r="B199" s="1">
        <f>IFERROR(__xludf.DUMMYFUNCTION("""COMPUTED_VALUE"""),"ORG_1071")</f>
        <v/>
      </c>
      <c r="C199" s="1">
        <f>IFERROR(__xludf.DUMMYFUNCTION("""COMPUTED_VALUE"""),TRUE)</f>
        <v/>
      </c>
      <c r="D199" s="1">
        <f>IFERROR(__xludf.DUMMYFUNCTION("""COMPUTED_VALUE"""),"Analytikus")</f>
        <v/>
      </c>
      <c r="E199" s="15">
        <f>IFERROR(__xludf.DUMMYFUNCTION("""COMPUTED_VALUE"""),"http://www.analytikus.com")</f>
        <v/>
      </c>
      <c r="F199" s="1">
        <f>IFERROR(__xludf.DUMMYFUNCTION("""COMPUTED_VALUE"""),"Analytikus is a global EdTech company that uses artificial intelligence and data analytics to improve higher education. Founded in 2015, it works with universities in over 15 countries to help them make smarter decisions and personalize the student experi"&amp;"ence. Its main product is SEAL – a smart platform that supports students across their academic journey, from admissions to graduation and career planning. SEAL connects data from different systems (like SIS, LMS, CRM, and ERP) into one place, using a data"&amp;" hub called WHALE. With SEAL, institutions can: Improve student recruitment with Admissions Optimizer Prevent dropouts using Foresight Help students develop job-ready skills through Skills Planner Provide personalized learning and teaching support with to"&amp;"ols like Portrait, Learning Buddy, and virtual coaches like Emilia Analytikus combines educational expertise with advanced AI to deliver easy-to-use, ready-made solutions that make a real impact in higher education.")</f>
        <v/>
      </c>
      <c r="G199" s="1">
        <f>IFERROR(__xludf.DUMMYFUNCTION("""COMPUTED_VALUE"""),"I'm not part of any EdTech association")</f>
        <v/>
      </c>
      <c r="H199" s="1">
        <f>IFERROR(__xludf.DUMMYFUNCTION("""COMPUTED_VALUE"""),"English, Spanish")</f>
        <v/>
      </c>
      <c r="I199" s="1">
        <f>IFERROR(__xludf.DUMMYFUNCTION("""COMPUTED_VALUE"""),"data@analytikus.com")</f>
        <v/>
      </c>
      <c r="J199" s="1">
        <f>IFERROR(__xludf.DUMMYFUNCTION("""COMPUTED_VALUE"""),"+34679320761")</f>
        <v/>
      </c>
      <c r="K199" s="1">
        <f>IFERROR(__xludf.DUMMYFUNCTION("""COMPUTED_VALUE"""),"Valencia")</f>
        <v/>
      </c>
      <c r="L199" s="1">
        <f>IFERROR(__xludf.DUMMYFUNCTION("""COMPUTED_VALUE"""),"Spain")</f>
        <v/>
      </c>
      <c r="M199" s="1">
        <f>IFERROR(__xludf.DUMMYFUNCTION("""COMPUTED_VALUE"""),"Spain, Netherlands, Germany, United Kingdom")</f>
        <v/>
      </c>
      <c r="N199" s="1">
        <f>IFERROR(__xludf.DUMMYFUNCTION("""COMPUTED_VALUE"""),"Small (10-49 FTE employees)")</f>
        <v/>
      </c>
      <c r="O199" s="1">
        <f>IFERROR(__xludf.DUMMYFUNCTION("""COMPUTED_VALUE"""),"Business to Business")</f>
        <v/>
      </c>
      <c r="P199" s="1">
        <f>IFERROR(__xludf.DUMMYFUNCTION("""COMPUTED_VALUE"""),"Higher Education")</f>
        <v/>
      </c>
      <c r="Q199" s="1">
        <f>IFERROR(__xludf.DUMMYFUNCTION("""COMPUTED_VALUE"""),"Student interfacing, System/Administrative")</f>
        <v/>
      </c>
      <c r="R199" s="1" t="n"/>
      <c r="S199" s="1" t="n"/>
      <c r="T199" s="15">
        <f>IFERROR(__xludf.DUMMYFUNCTION("""COMPUTED_VALUE"""),"https://www.linkedin.com/company/analytikus/")</f>
        <v/>
      </c>
      <c r="U199" s="1">
        <f>IFERROR(__xludf.DUMMYFUNCTION("""COMPUTED_VALUE"""),"SEAL Platform")</f>
        <v/>
      </c>
      <c r="V199" s="1">
        <f>IFERROR(__xludf.DUMMYFUNCTION("""COMPUTED_VALUE"""),"SEAL (Student Experience for Augmented Learning) is Analytikus’ AI-powered platform designed to enhance every stage of the student journey in higher education. It connects data from multiple systems (SIS, LMS, CRM, ERP) into a unified view through its dat"&amp;"a engine called WHALE.")</f>
        <v/>
      </c>
      <c r="W199" s="1">
        <f>IFERROR(__xludf.DUMMYFUNCTION("""COMPUTED_VALUE"""),"SEALs modules")</f>
        <v/>
      </c>
      <c r="X199" s="1">
        <f>IFERROR(__xludf.DUMMYFUNCTION("""COMPUTED_VALUE"""),"SEAL uses machine learning and generative AI to help universities:
-Recruit more effectively (Admissions Optimizer)
-Prevent student dropout (Foresight)
-Support personalized learning (Portrait &amp; Learning Buddy)
-Improve teaching quality (Teaching Buddy &amp;"&amp;" Grading Assistant)")</f>
        <v/>
      </c>
      <c r="Y199" s="1" t="n"/>
      <c r="Z199" s="1">
        <f>IFERROR(__xludf.DUMMYFUNCTION("""COMPUTED_VALUE"""),"Unverified")</f>
        <v/>
      </c>
      <c r="AA199" s="1">
        <f>IFERROR(__xludf.DUMMYFUNCTION("""COMPUTED_VALUE"""),"Collaborations between EdTech organisations, Industry-academia partnerships, Project consortium building")</f>
        <v/>
      </c>
      <c r="AB199" s="1">
        <f>IFERROR(__xludf.DUMMYFUNCTION("""COMPUTED_VALUE"""),"For-profit company")</f>
        <v/>
      </c>
      <c r="AC199" s="1">
        <f>IFERROR(__xludf.DUMMYFUNCTION("""COMPUTED_VALUE"""),TRUE)</f>
        <v/>
      </c>
      <c r="AD199" s="1">
        <f>IFERROR(__xludf.DUMMYFUNCTION("""COMPUTED_VALUE"""),TRUE)</f>
        <v/>
      </c>
      <c r="AE199" s="1" t="n"/>
    </row>
    <row r="200" ht="42" customHeight="1">
      <c r="A200" s="14">
        <f>IFERROR(__xludf.DUMMYFUNCTION("""COMPUTED_VALUE"""),45839)</f>
        <v/>
      </c>
      <c r="B200" s="1">
        <f>IFERROR(__xludf.DUMMYFUNCTION("""COMPUTED_VALUE"""),"ORG_1299")</f>
        <v/>
      </c>
      <c r="C200" s="1">
        <f>IFERROR(__xludf.DUMMYFUNCTION("""COMPUTED_VALUE"""),TRUE)</f>
        <v/>
      </c>
      <c r="D200" s="1">
        <f>IFERROR(__xludf.DUMMYFUNCTION("""COMPUTED_VALUE"""),"Corolair")</f>
        <v/>
      </c>
      <c r="E200" s="15">
        <f>IFERROR(__xludf.DUMMYFUNCTION("""COMPUTED_VALUE"""),"corolair.com")</f>
        <v/>
      </c>
      <c r="F200" s="1">
        <f>IFERROR(__xludf.DUMMYFUNCTION("""COMPUTED_VALUE"""),"The student-centric AI assistant for Higher Education")</f>
        <v/>
      </c>
      <c r="G200" s="1">
        <f>IFERROR(__xludf.DUMMYFUNCTION("""COMPUTED_VALUE"""),"EdTech France")</f>
        <v/>
      </c>
      <c r="H200" s="1">
        <f>IFERROR(__xludf.DUMMYFUNCTION("""COMPUTED_VALUE"""),"English, Spanish, Italian, French, German")</f>
        <v/>
      </c>
      <c r="I200" s="1">
        <f>IFERROR(__xludf.DUMMYFUNCTION("""COMPUTED_VALUE"""),"contact@corolair.com")</f>
        <v/>
      </c>
      <c r="J200" s="1">
        <f>IFERROR(__xludf.DUMMYFUNCTION("""COMPUTED_VALUE"""),"+33652206921")</f>
        <v/>
      </c>
      <c r="K200" s="1">
        <f>IFERROR(__xludf.DUMMYFUNCTION("""COMPUTED_VALUE"""),"Paris")</f>
        <v/>
      </c>
      <c r="L200" s="1">
        <f>IFERROR(__xludf.DUMMYFUNCTION("""COMPUTED_VALUE"""),"France")</f>
        <v/>
      </c>
      <c r="M200" s="1">
        <f>IFERROR(__xludf.DUMMYFUNCTION("""COMPUTED_VALUE"""),"France, Spain, Switzerland, United Kingdom, Netherlands, Germany")</f>
        <v/>
      </c>
      <c r="N200" s="1">
        <f>IFERROR(__xludf.DUMMYFUNCTION("""COMPUTED_VALUE"""),"Micro (1-9 FTE employees)")</f>
        <v/>
      </c>
      <c r="O200" s="1">
        <f>IFERROR(__xludf.DUMMYFUNCTION("""COMPUTED_VALUE"""),"Business to Business")</f>
        <v/>
      </c>
      <c r="P200" s="1">
        <f>IFERROR(__xludf.DUMMYFUNCTION("""COMPUTED_VALUE"""),"Higher Education, Vocational Education and Training (VET), Corporate Training, Lifelong learning/Adult education")</f>
        <v/>
      </c>
      <c r="Q200" s="1">
        <f>IFERROR(__xludf.DUMMYFUNCTION("""COMPUTED_VALUE"""),"Student interfacing, Teacher interfacing, System/Administrative")</f>
        <v/>
      </c>
      <c r="R200" s="1" t="n"/>
      <c r="S200" s="1" t="n"/>
      <c r="T200" s="1" t="n"/>
      <c r="U200" s="1">
        <f>IFERROR(__xludf.DUMMYFUNCTION("""COMPUTED_VALUE"""),"Teaching assistant on Moodle")</f>
        <v/>
      </c>
      <c r="V200" s="1">
        <f>IFERROR(__xludf.DUMMYFUNCTION("""COMPUTED_VALUE"""),"Support students 24/7 on their academic, admin &amp; pro questions")</f>
        <v/>
      </c>
      <c r="W200" s="1">
        <f>IFERROR(__xludf.DUMMYFUNCTION("""COMPUTED_VALUE"""),"Essay pre-grader")</f>
        <v/>
      </c>
      <c r="X200" s="1">
        <f>IFERROR(__xludf.DUMMYFUNCTION("""COMPUTED_VALUE"""),"Save up to 10h/week grading student work")</f>
        <v/>
      </c>
      <c r="Y200" s="1" t="n"/>
      <c r="Z200" s="1">
        <f>IFERROR(__xludf.DUMMYFUNCTION("""COMPUTED_VALUE"""),"Unverified")</f>
        <v/>
      </c>
      <c r="AA200" s="1">
        <f>IFERROR(__xludf.DUMMYFUNCTION("""COMPUTED_VALUE"""),"Project consortium building, Public-private partnerships, Industry-academia partnerships, Collaborations between EdTech organisations")</f>
        <v/>
      </c>
      <c r="AB200" s="1">
        <f>IFERROR(__xludf.DUMMYFUNCTION("""COMPUTED_VALUE"""),"For-profit company")</f>
        <v/>
      </c>
      <c r="AC200" s="1">
        <f>IFERROR(__xludf.DUMMYFUNCTION("""COMPUTED_VALUE"""),TRUE)</f>
        <v/>
      </c>
      <c r="AD200" s="1">
        <f>IFERROR(__xludf.DUMMYFUNCTION("""COMPUTED_VALUE"""),TRUE)</f>
        <v/>
      </c>
      <c r="AE200" s="1" t="n"/>
    </row>
    <row r="201" ht="42" customHeight="1">
      <c r="A201" s="14">
        <f>IFERROR(__xludf.DUMMYFUNCTION("""COMPUTED_VALUE"""),45839)</f>
        <v/>
      </c>
      <c r="B201" s="1">
        <f>IFERROR(__xludf.DUMMYFUNCTION("""COMPUTED_VALUE"""),"ORG_1201")</f>
        <v/>
      </c>
      <c r="C201" s="1">
        <f>IFERROR(__xludf.DUMMYFUNCTION("""COMPUTED_VALUE"""),TRUE)</f>
        <v/>
      </c>
      <c r="D201" s="1">
        <f>IFERROR(__xludf.DUMMYFUNCTION("""COMPUTED_VALUE"""),"Brightbook")</f>
        <v/>
      </c>
      <c r="E201" s="15">
        <f>IFERROR(__xludf.DUMMYFUNCTION("""COMPUTED_VALUE"""),"www.brightbook.io")</f>
        <v/>
      </c>
      <c r="F201" s="1">
        <f>IFERROR(__xludf.DUMMYFUNCTION("""COMPUTED_VALUE"""),"An authoring tool for creating your own digital courses (education) or setting-up digital learning paths and supporting training (business). Brightbook makes it easy to create and share engaging, interactive courseware. Build and experience a seamless, in"&amp;"tegrated learning experience that brings enlightenment to the learning process.")</f>
        <v/>
      </c>
      <c r="G201" s="1">
        <f>IFERROR(__xludf.DUMMYFUNCTION("""COMPUTED_VALUE"""),"edtechstation")</f>
        <v/>
      </c>
      <c r="H201" s="1">
        <f>IFERROR(__xludf.DUMMYFUNCTION("""COMPUTED_VALUE"""),"English, French, Dutch")</f>
        <v/>
      </c>
      <c r="I201" s="1">
        <f>IFERROR(__xludf.DUMMYFUNCTION("""COMPUTED_VALUE"""),"info@brightbook.io")</f>
        <v/>
      </c>
      <c r="J201" s="1">
        <f>IFERROR(__xludf.DUMMYFUNCTION("""COMPUTED_VALUE"""),"+32485151948")</f>
        <v/>
      </c>
      <c r="K201" s="1">
        <f>IFERROR(__xludf.DUMMYFUNCTION("""COMPUTED_VALUE"""),"Brugge")</f>
        <v/>
      </c>
      <c r="L201" s="1">
        <f>IFERROR(__xludf.DUMMYFUNCTION("""COMPUTED_VALUE"""),"Belgium")</f>
        <v/>
      </c>
      <c r="M201" s="1">
        <f>IFERROR(__xludf.DUMMYFUNCTION("""COMPUTED_VALUE"""),"Belgium, Netherlands")</f>
        <v/>
      </c>
      <c r="N201" s="1">
        <f>IFERROR(__xludf.DUMMYFUNCTION("""COMPUTED_VALUE"""),"Micro (1-9 FTE employees)")</f>
        <v/>
      </c>
      <c r="O201" s="1">
        <f>IFERROR(__xludf.DUMMYFUNCTION("""COMPUTED_VALUE"""),"Business to Business, Business to Consumer, Business to Schools, Business to Government")</f>
        <v/>
      </c>
      <c r="P201" s="1">
        <f>IFERROR(__xludf.DUMMYFUNCTION("""COMPUTED_VALUE"""),"Secondary Education, Vocational Education and Training (VET), Higher Education, Corporate Training, Lifelong learning/Adult education")</f>
        <v/>
      </c>
      <c r="Q201" s="1">
        <f>IFERROR(__xludf.DUMMYFUNCTION("""COMPUTED_VALUE"""),"Teacher interfacing, Student interfacing")</f>
        <v/>
      </c>
      <c r="R201" s="1" t="n"/>
      <c r="S201" s="1" t="n"/>
      <c r="T201" s="15">
        <f>IFERROR(__xludf.DUMMYFUNCTION("""COMPUTED_VALUE"""),"https://www.linkedin.com/company/86933752/admin/dashboard/")</f>
        <v/>
      </c>
      <c r="U201" s="1">
        <f>IFERROR(__xludf.DUMMYFUNCTION("""COMPUTED_VALUE"""),"Brightbook")</f>
        <v/>
      </c>
      <c r="V201" s="1">
        <f>IFERROR(__xludf.DUMMYFUNCTION("""COMPUTED_VALUE"""),"Authoringtool to create own digital courses or learning paths.")</f>
        <v/>
      </c>
      <c r="W201" s="1" t="n"/>
      <c r="X201" s="1" t="n"/>
      <c r="Y201" s="1" t="n"/>
      <c r="Z201" s="1">
        <f>IFERROR(__xludf.DUMMYFUNCTION("""COMPUTED_VALUE"""),"Unverified")</f>
        <v/>
      </c>
      <c r="AA201" s="1">
        <f>IFERROR(__xludf.DUMMYFUNCTION("""COMPUTED_VALUE"""),"Collaborations between EdTech organisations, Project consortium building, Public-private partnerships, Industry-academia partnerships")</f>
        <v/>
      </c>
      <c r="AB201" s="1">
        <f>IFERROR(__xludf.DUMMYFUNCTION("""COMPUTED_VALUE"""),"For-profit company")</f>
        <v/>
      </c>
      <c r="AC201" s="1">
        <f>IFERROR(__xludf.DUMMYFUNCTION("""COMPUTED_VALUE"""),TRUE)</f>
        <v/>
      </c>
      <c r="AD201" s="1">
        <f>IFERROR(__xludf.DUMMYFUNCTION("""COMPUTED_VALUE"""),TRUE)</f>
        <v/>
      </c>
      <c r="AE201" s="15">
        <f>IFERROR(__xludf.DUMMYFUNCTION("""COMPUTED_VALUE"""),"https://www.facebook.com/p/Brightbook")</f>
        <v/>
      </c>
    </row>
    <row r="202" ht="42" customHeight="1">
      <c r="A202" s="14">
        <f>IFERROR(__xludf.DUMMYFUNCTION("""COMPUTED_VALUE"""),45839)</f>
        <v/>
      </c>
      <c r="B202" s="1">
        <f>IFERROR(__xludf.DUMMYFUNCTION("""COMPUTED_VALUE"""),"ORG_2523")</f>
        <v/>
      </c>
      <c r="C202" s="1">
        <f>IFERROR(__xludf.DUMMYFUNCTION("""COMPUTED_VALUE"""),TRUE)</f>
        <v/>
      </c>
      <c r="D202" s="1">
        <f>IFERROR(__xludf.DUMMYFUNCTION("""COMPUTED_VALUE"""),"WellBased")</f>
        <v/>
      </c>
      <c r="E202" s="15">
        <f>IFERROR(__xludf.DUMMYFUNCTION("""COMPUTED_VALUE"""),"https://wellbased.nl")</f>
        <v/>
      </c>
      <c r="F202" s="1">
        <f>IFERROR(__xludf.DUMMYFUNCTION("""COMPUTED_VALUE"""),"WellBased is a Dutch educational platform that supports secondary school teachers by providing ready-to-use lesson materials that focus on enhancing students' social-emotional development and study skills, covering topics such as bullying, motivation, str"&amp;"ess management, planning, and digital literacy.")</f>
        <v/>
      </c>
      <c r="G202" s="1">
        <f>IFERROR(__xludf.DUMMYFUNCTION("""COMPUTED_VALUE"""),"Dutch EdTech")</f>
        <v/>
      </c>
      <c r="H202" s="1">
        <f>IFERROR(__xludf.DUMMYFUNCTION("""COMPUTED_VALUE"""),"English, Dutch")</f>
        <v/>
      </c>
      <c r="I202" s="1">
        <f>IFERROR(__xludf.DUMMYFUNCTION("""COMPUTED_VALUE"""),"info@wellbased.nl")</f>
        <v/>
      </c>
      <c r="J202" s="1">
        <f>IFERROR(__xludf.DUMMYFUNCTION("""COMPUTED_VALUE"""),"+31620806622")</f>
        <v/>
      </c>
      <c r="K202" s="1">
        <f>IFERROR(__xludf.DUMMYFUNCTION("""COMPUTED_VALUE"""),"Netherlands")</f>
        <v/>
      </c>
      <c r="L202" s="1">
        <f>IFERROR(__xludf.DUMMYFUNCTION("""COMPUTED_VALUE"""),"The Netherlands")</f>
        <v/>
      </c>
      <c r="M202" s="1">
        <f>IFERROR(__xludf.DUMMYFUNCTION("""COMPUTED_VALUE"""),"Netherlands, United Kingdom")</f>
        <v/>
      </c>
      <c r="N202" s="1">
        <f>IFERROR(__xludf.DUMMYFUNCTION("""COMPUTED_VALUE"""),"Micro (1-9 FTE employees)")</f>
        <v/>
      </c>
      <c r="O202" s="1">
        <f>IFERROR(__xludf.DUMMYFUNCTION("""COMPUTED_VALUE"""),"Business to Schools")</f>
        <v/>
      </c>
      <c r="P202" s="1">
        <f>IFERROR(__xludf.DUMMYFUNCTION("""COMPUTED_VALUE"""),"Secondary Education")</f>
        <v/>
      </c>
      <c r="Q202" s="1">
        <f>IFERROR(__xludf.DUMMYFUNCTION("""COMPUTED_VALUE"""),"Teacher interfacing")</f>
        <v/>
      </c>
      <c r="R202" s="1" t="n"/>
      <c r="S202" s="1" t="n"/>
      <c r="T202" s="1" t="n"/>
      <c r="U202" s="1" t="n"/>
      <c r="V202" s="1" t="n"/>
      <c r="W202" s="1" t="n"/>
      <c r="X202" s="1" t="n"/>
      <c r="Y202" s="1" t="n"/>
      <c r="Z202" s="1">
        <f>IFERROR(__xludf.DUMMYFUNCTION("""COMPUTED_VALUE"""),"Unverified")</f>
        <v/>
      </c>
      <c r="AA202" s="1" t="n"/>
      <c r="AB202" s="1">
        <f>IFERROR(__xludf.DUMMYFUNCTION("""COMPUTED_VALUE"""),"For-profit company")</f>
        <v/>
      </c>
      <c r="AC202" s="1">
        <f>IFERROR(__xludf.DUMMYFUNCTION("""COMPUTED_VALUE"""),TRUE)</f>
        <v/>
      </c>
      <c r="AD202" s="1">
        <f>IFERROR(__xludf.DUMMYFUNCTION("""COMPUTED_VALUE"""),TRUE)</f>
        <v/>
      </c>
      <c r="AE202" s="1" t="n"/>
    </row>
    <row r="203" ht="42" customHeight="1">
      <c r="A203" s="14">
        <f>IFERROR(__xludf.DUMMYFUNCTION("""COMPUTED_VALUE"""),45839)</f>
        <v/>
      </c>
      <c r="B203" s="1">
        <f>IFERROR(__xludf.DUMMYFUNCTION("""COMPUTED_VALUE"""),"ORG_1151")</f>
        <v/>
      </c>
      <c r="C203" s="1">
        <f>IFERROR(__xludf.DUMMYFUNCTION("""COMPUTED_VALUE"""),TRUE)</f>
        <v/>
      </c>
      <c r="D203" s="1">
        <f>IFERROR(__xludf.DUMMYFUNCTION("""COMPUTED_VALUE"""),"BeezNest Belgium")</f>
        <v/>
      </c>
      <c r="E203" s="15">
        <f>IFERROR(__xludf.DUMMYFUNCTION("""COMPUTED_VALUE"""),"https://beeznest.com/")</f>
        <v/>
      </c>
      <c r="F203" s="1">
        <f>IFERROR(__xludf.DUMMYFUNCTION("""COMPUTED_VALUE"""),"BeezNest is an international information technology consulting and software development company. BeezNest is the editor of Chamilo LMS. Its extensive experience in e-learning and high-availability infrastructures make it the ideal partner for the implemen"&amp;"tation of large-scale projects. Chamilo LMS is the LMS platform recognized as one of the three most used Open Source e-learning platforms in the world, and especially as the number 1 platform in terms of ease of use and ergonomics. BeezNest supports the C"&amp;"hamilo Association through funding, development and promotion of the Chamilo software.")</f>
        <v/>
      </c>
      <c r="G203" s="1">
        <f>IFERROR(__xludf.DUMMYFUNCTION("""COMPUTED_VALUE"""),"I'm not part of any EdTech association")</f>
        <v/>
      </c>
      <c r="H203" s="1">
        <f>IFERROR(__xludf.DUMMYFUNCTION("""COMPUTED_VALUE"""),"English, French, Spanish")</f>
        <v/>
      </c>
      <c r="I203" s="1">
        <f>IFERROR(__xludf.DUMMYFUNCTION("""COMPUTED_VALUE"""),"info@beeznest.com")</f>
        <v/>
      </c>
      <c r="J203" s="1">
        <f>IFERROR(__xludf.DUMMYFUNCTION("""COMPUTED_VALUE"""),"+32489631160")</f>
        <v/>
      </c>
      <c r="K203" s="1">
        <f>IFERROR(__xludf.DUMMYFUNCTION("""COMPUTED_VALUE"""),"Nivelles")</f>
        <v/>
      </c>
      <c r="L203" s="1">
        <f>IFERROR(__xludf.DUMMYFUNCTION("""COMPUTED_VALUE"""),"Belgium")</f>
        <v/>
      </c>
      <c r="M203" s="1">
        <f>IFERROR(__xludf.DUMMYFUNCTION("""COMPUTED_VALUE"""),"Albania, Belarus, Andorra, Belgium, Bosnia and Herzegovina, Austria, Republic of Cyprus, Croatia, Bulgaria, Czechia, Denmark, Estonia, Germany, France, Finland, Greece, Hungary, Iceland, Kosovo, Romania, Portugal, Slovakia, Slovenia, Spain, Lithuania, Pol"&amp;"and")</f>
        <v/>
      </c>
      <c r="N203" s="1">
        <f>IFERROR(__xludf.DUMMYFUNCTION("""COMPUTED_VALUE"""),"Micro (1-9 FTE employees)")</f>
        <v/>
      </c>
      <c r="O203" s="1">
        <f>IFERROR(__xludf.DUMMYFUNCTION("""COMPUTED_VALUE"""),"Business to Business, Business to Government, Business to Schools")</f>
        <v/>
      </c>
      <c r="P203" s="1">
        <f>IFERROR(__xludf.DUMMYFUNCTION("""COMPUTED_VALUE"""),"Corporate Training, Higher Education, Vocational Education and Training (VET), Secondary Education, Primary Education, Early childhood development (0-5 years), Lifelong learning/Adult education, Special Education")</f>
        <v/>
      </c>
      <c r="Q203" s="1">
        <f>IFERROR(__xludf.DUMMYFUNCTION("""COMPUTED_VALUE"""),"Student interfacing, Teacher interfacing, System/Administrative")</f>
        <v/>
      </c>
      <c r="R203" s="1" t="n"/>
      <c r="S203" s="1" t="n"/>
      <c r="T203" s="15">
        <f>IFERROR(__xludf.DUMMYFUNCTION("""COMPUTED_VALUE"""),"https://www.linkedin.com/company/206029/")</f>
        <v/>
      </c>
      <c r="U203" s="1">
        <f>IFERROR(__xludf.DUMMYFUNCTION("""COMPUTED_VALUE"""),"Chamilo LMS")</f>
        <v/>
      </c>
      <c r="V203" s="1">
        <f>IFERROR(__xludf.DUMMYFUNCTION("""COMPUTED_VALUE"""),"Chamilo LMS is a Learning Management System and Talent Management System with a clear focus on ease of use. It allows an organization to setup and distribute courses to its staff, while retaining important information about their learning and skills achie"&amp;"vements, a valuable tool for HR departments.")</f>
        <v/>
      </c>
      <c r="W203" s="1">
        <f>IFERROR(__xludf.DUMMYFUNCTION("""COMPUTED_VALUE"""),"Expert Services for Chamilo LMS Deployment")</f>
        <v/>
      </c>
      <c r="X203" s="1">
        <f>IFERROR(__xludf.DUMMYFUNCTION("""COMPUTED_VALUE"""),"BeezNest supports organizations from various sectors in implementing their e-learning platforms by providing high-quality services, ranging from training and hosting to custom development.")</f>
        <v/>
      </c>
      <c r="Y203" s="1" t="n"/>
      <c r="Z203" s="1">
        <f>IFERROR(__xludf.DUMMYFUNCTION("""COMPUTED_VALUE"""),"Unverified")</f>
        <v/>
      </c>
      <c r="AA203" s="1">
        <f>IFERROR(__xludf.DUMMYFUNCTION("""COMPUTED_VALUE"""),"Collaborations between EdTech organisations, Project consortium building, Public-private partnerships, Industry-academia partnerships")</f>
        <v/>
      </c>
      <c r="AB203" s="1">
        <f>IFERROR(__xludf.DUMMYFUNCTION("""COMPUTED_VALUE"""),"For-profit company")</f>
        <v/>
      </c>
      <c r="AC203" s="1">
        <f>IFERROR(__xludf.DUMMYFUNCTION("""COMPUTED_VALUE"""),TRUE)</f>
        <v/>
      </c>
      <c r="AD203" s="1">
        <f>IFERROR(__xludf.DUMMYFUNCTION("""COMPUTED_VALUE"""),FALSE)</f>
        <v/>
      </c>
      <c r="AE203" s="1" t="n"/>
    </row>
    <row r="204" ht="42" customHeight="1">
      <c r="A204" s="14">
        <f>IFERROR(__xludf.DUMMYFUNCTION("""COMPUTED_VALUE"""),45839)</f>
        <v/>
      </c>
      <c r="B204" s="1">
        <f>IFERROR(__xludf.DUMMYFUNCTION("""COMPUTED_VALUE"""),"ORG_1988")</f>
        <v/>
      </c>
      <c r="C204" s="1">
        <f>IFERROR(__xludf.DUMMYFUNCTION("""COMPUTED_VALUE"""),TRUE)</f>
        <v/>
      </c>
      <c r="D204" s="1">
        <f>IFERROR(__xludf.DUMMYFUNCTION("""COMPUTED_VALUE"""),"Morphoses")</f>
        <v/>
      </c>
      <c r="E204" s="15">
        <f>IFERROR(__xludf.DUMMYFUNCTION("""COMPUTED_VALUE"""),"morphoses.io")</f>
        <v/>
      </c>
      <c r="F204" s="1">
        <f>IFERROR(__xludf.DUMMYFUNCTION("""COMPUTED_VALUE"""),"Morphoses - the end to end solution for soft skills")</f>
        <v/>
      </c>
      <c r="G204" s="1">
        <f>IFERROR(__xludf.DUMMYFUNCTION("""COMPUTED_VALUE"""),"I'm not part of any EdTech association")</f>
        <v/>
      </c>
      <c r="H204" s="1">
        <f>IFERROR(__xludf.DUMMYFUNCTION("""COMPUTED_VALUE"""),"English")</f>
        <v/>
      </c>
      <c r="I204" s="1">
        <f>IFERROR(__xludf.DUMMYFUNCTION("""COMPUTED_VALUE"""),"contact@morphoses.io")</f>
        <v/>
      </c>
      <c r="J204" s="1">
        <f>IFERROR(__xludf.DUMMYFUNCTION("""COMPUTED_VALUE"""),"+306982371993")</f>
        <v/>
      </c>
      <c r="K204" s="1">
        <f>IFERROR(__xludf.DUMMYFUNCTION("""COMPUTED_VALUE"""),"London")</f>
        <v/>
      </c>
      <c r="L204" s="1">
        <f>IFERROR(__xludf.DUMMYFUNCTION("""COMPUTED_VALUE"""),"United Kingdom")</f>
        <v/>
      </c>
      <c r="M204" s="1">
        <f>IFERROR(__xludf.DUMMYFUNCTION("""COMPUTED_VALUE"""),"Greece, United Kingdom, Romania")</f>
        <v/>
      </c>
      <c r="N204" s="1">
        <f>IFERROR(__xludf.DUMMYFUNCTION("""COMPUTED_VALUE"""),"Small (10-49 FTE employees)")</f>
        <v/>
      </c>
      <c r="O204" s="1">
        <f>IFERROR(__xludf.DUMMYFUNCTION("""COMPUTED_VALUE"""),"Business to Business, Business to Consumer")</f>
        <v/>
      </c>
      <c r="P204" s="1">
        <f>IFERROR(__xludf.DUMMYFUNCTION("""COMPUTED_VALUE"""),"Primary Education, Secondary Education, Corporate Training, Higher Education")</f>
        <v/>
      </c>
      <c r="Q204" s="1">
        <f>IFERROR(__xludf.DUMMYFUNCTION("""COMPUTED_VALUE"""),"Student interfacing")</f>
        <v/>
      </c>
      <c r="R204" s="1" t="n"/>
      <c r="S204" s="1" t="n"/>
      <c r="T204" s="15">
        <f>IFERROR(__xludf.DUMMYFUNCTION("""COMPUTED_VALUE"""),"https://www.linkedin.com/company/74557040")</f>
        <v/>
      </c>
      <c r="U204" s="1">
        <f>IFERROR(__xludf.DUMMYFUNCTION("""COMPUTED_VALUE"""),"Morphoses")</f>
        <v/>
      </c>
      <c r="V204" s="1">
        <f>IFERROR(__xludf.DUMMYFUNCTION("""COMPUTED_VALUE"""),"End to end solution for soft skills")</f>
        <v/>
      </c>
      <c r="W204" s="1" t="n"/>
      <c r="X204" s="1" t="n"/>
      <c r="Y204" s="1" t="n"/>
      <c r="Z204" s="1">
        <f>IFERROR(__xludf.DUMMYFUNCTION("""COMPUTED_VALUE"""),"Unverified")</f>
        <v/>
      </c>
      <c r="AA204" s="1">
        <f>IFERROR(__xludf.DUMMYFUNCTION("""COMPUTED_VALUE"""),"Project consortium building, Public-private partnerships, Industry-academia partnerships")</f>
        <v/>
      </c>
      <c r="AB204" s="1">
        <f>IFERROR(__xludf.DUMMYFUNCTION("""COMPUTED_VALUE"""),"For-profit company")</f>
        <v/>
      </c>
      <c r="AC204" s="1">
        <f>IFERROR(__xludf.DUMMYFUNCTION("""COMPUTED_VALUE"""),TRUE)</f>
        <v/>
      </c>
      <c r="AD204" s="1">
        <f>IFERROR(__xludf.DUMMYFUNCTION("""COMPUTED_VALUE"""),TRUE)</f>
        <v/>
      </c>
      <c r="AE204" s="1" t="n"/>
    </row>
    <row r="205" ht="42" customHeight="1">
      <c r="A205" s="14">
        <f>IFERROR(__xludf.DUMMYFUNCTION("""COMPUTED_VALUE"""),45839)</f>
        <v/>
      </c>
      <c r="B205" s="1">
        <f>IFERROR(__xludf.DUMMYFUNCTION("""COMPUTED_VALUE"""),"ORG_2248")</f>
        <v/>
      </c>
      <c r="C205" s="1">
        <f>IFERROR(__xludf.DUMMYFUNCTION("""COMPUTED_VALUE"""),TRUE)</f>
        <v/>
      </c>
      <c r="D205" s="1">
        <f>IFERROR(__xludf.DUMMYFUNCTION("""COMPUTED_VALUE"""),"Singularity Experts")</f>
        <v/>
      </c>
      <c r="E205" s="15">
        <f>IFERROR(__xludf.DUMMYFUNCTION("""COMPUTED_VALUE"""),"https://singularity-experts.com/en/")</f>
        <v/>
      </c>
      <c r="F205" s="1">
        <f>IFERROR(__xludf.DUMMYFUNCTION("""COMPUTED_VALUE"""),"Singularity Experts is the only vocational guidance platform with expertise in the new and changing labour market, guiding people through the thousands of training and jobs that emerge every day, helping them to choose only careers, vocational training, p"&amp;"ostgraduates and jobs with high employability.")</f>
        <v/>
      </c>
      <c r="G205" s="1">
        <f>IFERROR(__xludf.DUMMYFUNCTION("""COMPUTED_VALUE"""),"SEK Lab")</f>
        <v/>
      </c>
      <c r="H205" s="1">
        <f>IFERROR(__xludf.DUMMYFUNCTION("""COMPUTED_VALUE"""),"English, Spanish")</f>
        <v/>
      </c>
      <c r="I205" s="1">
        <f>IFERROR(__xludf.DUMMYFUNCTION("""COMPUTED_VALUE"""),"elenaibanez@singularity-experts.com")</f>
        <v/>
      </c>
      <c r="J205" s="1">
        <f>IFERROR(__xludf.DUMMYFUNCTION("""COMPUTED_VALUE"""),"+34683506360")</f>
        <v/>
      </c>
      <c r="K205" s="1">
        <f>IFERROR(__xludf.DUMMYFUNCTION("""COMPUTED_VALUE"""),"Madrid")</f>
        <v/>
      </c>
      <c r="L205" s="1">
        <f>IFERROR(__xludf.DUMMYFUNCTION("""COMPUTED_VALUE"""),"Spain")</f>
        <v/>
      </c>
      <c r="M205" s="1">
        <f>IFERROR(__xludf.DUMMYFUNCTION("""COMPUTED_VALUE"""),"Spain, Colombia")</f>
        <v/>
      </c>
      <c r="N205" s="1">
        <f>IFERROR(__xludf.DUMMYFUNCTION("""COMPUTED_VALUE"""),"Micro (1-9 FTE employees)")</f>
        <v/>
      </c>
      <c r="O205" s="1">
        <f>IFERROR(__xludf.DUMMYFUNCTION("""COMPUTED_VALUE"""),"Business to Business, Business to Consumer, Business to Schools, Business to Government")</f>
        <v/>
      </c>
      <c r="P205" s="1">
        <f>IFERROR(__xludf.DUMMYFUNCTION("""COMPUTED_VALUE"""),"Vocational Education and Training (VET), Secondary Education, Higher Education, Lifelong learning/Adult education")</f>
        <v/>
      </c>
      <c r="Q205" s="1">
        <f>IFERROR(__xludf.DUMMYFUNCTION("""COMPUTED_VALUE"""),"Student interfacing")</f>
        <v/>
      </c>
      <c r="R205" s="1" t="n"/>
      <c r="S205" s="1" t="n"/>
      <c r="T205" s="15">
        <f>IFERROR(__xludf.DUMMYFUNCTION("""COMPUTED_VALUE"""),"https://www.linkedin.com/company/singularity")</f>
        <v/>
      </c>
      <c r="U205" s="1">
        <f>IFERROR(__xludf.DUMMYFUNCTION("""COMPUTED_VALUE"""),"BTC model")</f>
        <v/>
      </c>
      <c r="V205" s="1">
        <f>IFERROR(__xludf.DUMMYFUNCTION("""COMPUTED_VALUE"""),"Sells the solution directly to private customers who access the web in search of guidance: schoolchildren to decide on high school, FP or career; university students to choose complementary training and adult professionals to retrain.")</f>
        <v/>
      </c>
      <c r="W205" s="1">
        <f>IFERROR(__xludf.DUMMYFUNCTION("""COMPUTED_VALUE"""),"BTB model")</f>
        <v/>
      </c>
      <c r="X205" s="1">
        <f>IFERROR(__xludf.DUMMYFUNCTION("""COMPUTED_VALUE"""),"a) Colleges and Universities: sale of license or commissions for the intermediary sale
b) Companies: sale of licenses for employee upskilling
c) Consulting projects: definition of training to be given, jobs to be created, etc. in public companies")</f>
        <v/>
      </c>
      <c r="Y205" s="1" t="n"/>
      <c r="Z205" s="1">
        <f>IFERROR(__xludf.DUMMYFUNCTION("""COMPUTED_VALUE"""),"Unverified")</f>
        <v/>
      </c>
      <c r="AA205" s="1">
        <f>IFERROR(__xludf.DUMMYFUNCTION("""COMPUTED_VALUE"""),"Collaborations between EdTech organisations, Project consortium building, Public-private partnerships, Industry-academia partnerships")</f>
        <v/>
      </c>
      <c r="AB205" s="1">
        <f>IFERROR(__xludf.DUMMYFUNCTION("""COMPUTED_VALUE"""),"For-profit company")</f>
        <v/>
      </c>
      <c r="AC205" s="1">
        <f>IFERROR(__xludf.DUMMYFUNCTION("""COMPUTED_VALUE"""),TRUE)</f>
        <v/>
      </c>
      <c r="AD205" s="1">
        <f>IFERROR(__xludf.DUMMYFUNCTION("""COMPUTED_VALUE"""),TRUE)</f>
        <v/>
      </c>
      <c r="AE205" s="1" t="n"/>
    </row>
    <row r="206" ht="42" customHeight="1">
      <c r="A206" s="14">
        <f>IFERROR(__xludf.DUMMYFUNCTION("""COMPUTED_VALUE"""),45839)</f>
        <v/>
      </c>
      <c r="B206" s="1">
        <f>IFERROR(__xludf.DUMMYFUNCTION("""COMPUTED_VALUE"""),"ORG_2285")</f>
        <v/>
      </c>
      <c r="C206" s="1">
        <f>IFERROR(__xludf.DUMMYFUNCTION("""COMPUTED_VALUE"""),TRUE)</f>
        <v/>
      </c>
      <c r="D206" s="1">
        <f>IFERROR(__xludf.DUMMYFUNCTION("""COMPUTED_VALUE"""),"Snackson")</f>
        <v/>
      </c>
      <c r="E206" s="15">
        <f>IFERROR(__xludf.DUMMYFUNCTION("""COMPUTED_VALUE"""),"https://www.snackson.com/")</f>
        <v/>
      </c>
      <c r="F206" s="1">
        <f>IFERROR(__xludf.DUMMYFUNCTION("""COMPUTED_VALUE"""),"Snackson is an innovative microlearning platform designed to revolutionize organizational training. The company specializes in delivering effective learning experiences through short, daily sessions lasting just a few minutes. Their approach combines micr"&amp;"olearning methodologies with gamification dynamics, accessible both on mobile devices and web browsers. Key features include: A catalog of ready-to-use courses for immediate deployment Custom microcourse creation capabilities Expert consulting services fo"&amp;"r designing comprehensive training experiences Training subsidies through collaboration with FUNDAE experts Snackson serves over 50,000 participants annually and positions itself as more than just microlearning - they're e-learning specialists who handle "&amp;"projects beyond microlearning, including Moodle, RISE, and artificial intelligence implementations. The platform offers flexible solutions where organizations can choose their desired approach, from using existing catalog content to creating fully customi"&amp;"zed learning experiences.")</f>
        <v/>
      </c>
      <c r="G206" s="1">
        <f>IFERROR(__xludf.DUMMYFUNCTION("""COMPUTED_VALUE"""),"I'm not part of any EdTech association, SEK Lab")</f>
        <v/>
      </c>
      <c r="H206" s="1">
        <f>IFERROR(__xludf.DUMMYFUNCTION("""COMPUTED_VALUE"""),"Spanish")</f>
        <v/>
      </c>
      <c r="I206" s="1">
        <f>IFERROR(__xludf.DUMMYFUNCTION("""COMPUTED_VALUE"""),"miguel.angel@snackson.com")</f>
        <v/>
      </c>
      <c r="J206" s="1">
        <f>IFERROR(__xludf.DUMMYFUNCTION("""COMPUTED_VALUE"""),"+34633507269")</f>
        <v/>
      </c>
      <c r="K206" s="1">
        <f>IFERROR(__xludf.DUMMYFUNCTION("""COMPUTED_VALUE"""),"Barcelona")</f>
        <v/>
      </c>
      <c r="L206" s="1">
        <f>IFERROR(__xludf.DUMMYFUNCTION("""COMPUTED_VALUE"""),"Spain")</f>
        <v/>
      </c>
      <c r="M206" s="1">
        <f>IFERROR(__xludf.DUMMYFUNCTION("""COMPUTED_VALUE"""),"Spain")</f>
        <v/>
      </c>
      <c r="N206" s="1">
        <f>IFERROR(__xludf.DUMMYFUNCTION("""COMPUTED_VALUE"""),"Micro (1-9 FTE employees)")</f>
        <v/>
      </c>
      <c r="O206" s="1">
        <f>IFERROR(__xludf.DUMMYFUNCTION("""COMPUTED_VALUE"""),"Business to Business")</f>
        <v/>
      </c>
      <c r="P206" s="1">
        <f>IFERROR(__xludf.DUMMYFUNCTION("""COMPUTED_VALUE"""),"Lifelong learning/Adult education, Corporate Training")</f>
        <v/>
      </c>
      <c r="Q206" s="1">
        <f>IFERROR(__xludf.DUMMYFUNCTION("""COMPUTED_VALUE"""),"Student interfacing, Teacher interfacing, System/Administrative")</f>
        <v/>
      </c>
      <c r="R206" s="1" t="n"/>
      <c r="S206" s="1" t="n"/>
      <c r="T206" s="15">
        <f>IFERROR(__xludf.DUMMYFUNCTION("""COMPUTED_VALUE"""),"https://www.linkedin.com/company/snackson/")</f>
        <v/>
      </c>
      <c r="U206" s="1">
        <f>IFERROR(__xludf.DUMMYFUNCTION("""COMPUTED_VALUE"""),"Snackson")</f>
        <v/>
      </c>
      <c r="V206" s="1">
        <f>IFERROR(__xludf.DUMMYFUNCTION("""COMPUTED_VALUE"""),"A microlearning platform with gamification dynamics, accessible both on mobile devices and web browsers.")</f>
        <v/>
      </c>
      <c r="W206" s="1">
        <f>IFERROR(__xludf.DUMMYFUNCTION("""COMPUTED_VALUE"""),"Wizard Ai")</f>
        <v/>
      </c>
      <c r="X206" s="1">
        <f>IFERROR(__xludf.DUMMYFUNCTION("""COMPUTED_VALUE"""),"Wizard AI is an artificial intelligence tool that automatically creates didactic scripts for e-learning.")</f>
        <v/>
      </c>
      <c r="Y206" s="1" t="n"/>
      <c r="Z206" s="1">
        <f>IFERROR(__xludf.DUMMYFUNCTION("""COMPUTED_VALUE"""),"Unverified")</f>
        <v/>
      </c>
      <c r="AA206" s="1">
        <f>IFERROR(__xludf.DUMMYFUNCTION("""COMPUTED_VALUE"""),"Collaborations between EdTech organisations, Public-private partnerships, Project consortium building, Industry-academia partnerships")</f>
        <v/>
      </c>
      <c r="AB206" s="1">
        <f>IFERROR(__xludf.DUMMYFUNCTION("""COMPUTED_VALUE"""),"For-profit company")</f>
        <v/>
      </c>
      <c r="AC206" s="1">
        <f>IFERROR(__xludf.DUMMYFUNCTION("""COMPUTED_VALUE"""),TRUE)</f>
        <v/>
      </c>
      <c r="AD206" s="1">
        <f>IFERROR(__xludf.DUMMYFUNCTION("""COMPUTED_VALUE"""),TRUE)</f>
        <v/>
      </c>
      <c r="AE206" s="1" t="n"/>
    </row>
    <row r="207" ht="42" customHeight="1">
      <c r="A207" s="14">
        <f>IFERROR(__xludf.DUMMYFUNCTION("""COMPUTED_VALUE"""),45839)</f>
        <v/>
      </c>
      <c r="B207" s="1">
        <f>IFERROR(__xludf.DUMMYFUNCTION("""COMPUTED_VALUE"""),"ORG_1026")</f>
        <v/>
      </c>
      <c r="C207" s="1">
        <f>IFERROR(__xludf.DUMMYFUNCTION("""COMPUTED_VALUE"""),TRUE)</f>
        <v/>
      </c>
      <c r="D207" s="1">
        <f>IFERROR(__xludf.DUMMYFUNCTION("""COMPUTED_VALUE"""),"Academic Software")</f>
        <v/>
      </c>
      <c r="E207" s="15">
        <f>IFERROR(__xludf.DUMMYFUNCTION("""COMPUTED_VALUE"""),"www.academicsoftware.com")</f>
        <v/>
      </c>
      <c r="F207" s="1">
        <f>IFERROR(__xludf.DUMMYFUNCTION("""COMPUTED_VALUE"""),"The European partner of choice of educational and research institutions, with the goal to improve education through seamless access to all digital assets, unburdening students, educators, researchers and staff with focus on end-user experience.")</f>
        <v/>
      </c>
      <c r="G207" s="1">
        <f>IFERROR(__xludf.DUMMYFUNCTION("""COMPUTED_VALUE"""),"I'm not part of any EdTech association")</f>
        <v/>
      </c>
      <c r="H207" s="1">
        <f>IFERROR(__xludf.DUMMYFUNCTION("""COMPUTED_VALUE"""),"English, German, French, Spanish, Italian, Dutch")</f>
        <v/>
      </c>
      <c r="I207" s="1">
        <f>IFERROR(__xludf.DUMMYFUNCTION("""COMPUTED_VALUE"""),"hello@academicsoftware.com")</f>
        <v/>
      </c>
      <c r="J207" s="1">
        <f>IFERROR(__xludf.DUMMYFUNCTION("""COMPUTED_VALUE"""),"+3233273070")</f>
        <v/>
      </c>
      <c r="K207" s="1">
        <f>IFERROR(__xludf.DUMMYFUNCTION("""COMPUTED_VALUE"""),"Lokeren")</f>
        <v/>
      </c>
      <c r="L207" s="1">
        <f>IFERROR(__xludf.DUMMYFUNCTION("""COMPUTED_VALUE"""),"Belgium")</f>
        <v/>
      </c>
      <c r="M207" s="1">
        <f>IFERROR(__xludf.DUMMYFUNCTION("""COMPUTED_VALUE"""),"Belgium, Austria, Germany, France, Finland, Italy, Luxembourg, Netherlands, Poland, Spain, Switzerland, United Kingdom")</f>
        <v/>
      </c>
      <c r="N207" s="1">
        <f>IFERROR(__xludf.DUMMYFUNCTION("""COMPUTED_VALUE"""),"Medium (50-250 FTE employees)")</f>
        <v/>
      </c>
      <c r="O207" s="1">
        <f>IFERROR(__xludf.DUMMYFUNCTION("""COMPUTED_VALUE"""),"Business to Consumer, Business to Schools")</f>
        <v/>
      </c>
      <c r="P207" s="1">
        <f>IFERROR(__xludf.DUMMYFUNCTION("""COMPUTED_VALUE"""),"Secondary Education, Vocational Education and Training (VET), Higher Education, Lifelong learning/Adult education, Special Education")</f>
        <v/>
      </c>
      <c r="Q207" s="1">
        <f>IFERROR(__xludf.DUMMYFUNCTION("""COMPUTED_VALUE"""),"Student interfacing, Teacher interfacing, System/Administrative")</f>
        <v/>
      </c>
      <c r="R207" s="1" t="n"/>
      <c r="S207" s="1" t="n"/>
      <c r="T207" s="15">
        <f>IFERROR(__xludf.DUMMYFUNCTION("""COMPUTED_VALUE"""),"www.linkedin.com/company/academic")</f>
        <v/>
      </c>
      <c r="U207" s="1">
        <f>IFERROR(__xludf.DUMMYFUNCTION("""COMPUTED_VALUE"""),"Deployment portal")</f>
        <v/>
      </c>
      <c r="V207" s="1">
        <f>IFERROR(__xludf.DUMMYFUNCTION("""COMPUTED_VALUE"""),"Academic Software offers an intuitive platform that
streamlines and centralises the deployment and
packaging of all the software licences and digital
resources your institution requires, across multiple
devices. The software management tool for educationa"&amp;"l and
research institutions.")</f>
        <v/>
      </c>
      <c r="W207" s="1">
        <f>IFERROR(__xludf.DUMMYFUNCTION("""COMPUTED_VALUE"""),"Procurement portal")</f>
        <v/>
      </c>
      <c r="X207" s="1">
        <f>IFERROR(__xludf.DUMMYFUNCTION("""COMPUTED_VALUE"""),"The Procurement Platform is designed to streamline the purchasing of software titles, removing the administrative burden from educational and research institutions. It offers flexible payment methods and cost centre allocation, tailored to the institution"&amp;"’s needs and approval processes.")</f>
        <v/>
      </c>
      <c r="Y207" s="1" t="n"/>
      <c r="Z207" s="1">
        <f>IFERROR(__xludf.DUMMYFUNCTION("""COMPUTED_VALUE"""),"Unverified")</f>
        <v/>
      </c>
      <c r="AA207" s="1">
        <f>IFERROR(__xludf.DUMMYFUNCTION("""COMPUTED_VALUE"""),"Collaborations between EdTech organisations, Project consortium building, Public-private partnerships, Industry-academia partnerships")</f>
        <v/>
      </c>
      <c r="AB207" s="1">
        <f>IFERROR(__xludf.DUMMYFUNCTION("""COMPUTED_VALUE"""),"For-profit company")</f>
        <v/>
      </c>
      <c r="AC207" s="1">
        <f>IFERROR(__xludf.DUMMYFUNCTION("""COMPUTED_VALUE"""),TRUE)</f>
        <v/>
      </c>
      <c r="AD207" s="1">
        <f>IFERROR(__xludf.DUMMYFUNCTION("""COMPUTED_VALUE"""),FALSE)</f>
        <v/>
      </c>
      <c r="AE207" s="1" t="n"/>
    </row>
    <row r="208" ht="42" customHeight="1">
      <c r="A208" s="14">
        <f>IFERROR(__xludf.DUMMYFUNCTION("""COMPUTED_VALUE"""),45839)</f>
        <v/>
      </c>
      <c r="B208" s="1">
        <f>IFERROR(__xludf.DUMMYFUNCTION("""COMPUTED_VALUE"""),"ORG_1433")</f>
        <v/>
      </c>
      <c r="C208" s="1">
        <f>IFERROR(__xludf.DUMMYFUNCTION("""COMPUTED_VALUE"""),TRUE)</f>
        <v/>
      </c>
      <c r="D208" s="1">
        <f>IFERROR(__xludf.DUMMYFUNCTION("""COMPUTED_VALUE"""),"Educational Intelligence")</f>
        <v/>
      </c>
      <c r="E208" s="15">
        <f>IFERROR(__xludf.DUMMYFUNCTION("""COMPUTED_VALUE"""),"www.eduintel.io")</f>
        <v/>
      </c>
      <c r="F208" s="1">
        <f>IFERROR(__xludf.DUMMYFUNCTION("""COMPUTED_VALUE"""),"AI-powered app for adult financial numeracy - sold via B2B")</f>
        <v/>
      </c>
      <c r="G208" s="1">
        <f>IFERROR(__xludf.DUMMYFUNCTION("""COMPUTED_VALUE"""),"I'm not part of any EdTech association")</f>
        <v/>
      </c>
      <c r="H208" s="1">
        <f>IFERROR(__xludf.DUMMYFUNCTION("""COMPUTED_VALUE"""),"English")</f>
        <v/>
      </c>
      <c r="I208" s="1">
        <f>IFERROR(__xludf.DUMMYFUNCTION("""COMPUTED_VALUE"""),"info@eduintel.io")</f>
        <v/>
      </c>
      <c r="J208" s="1">
        <f>IFERROR(__xludf.DUMMYFUNCTION("""COMPUTED_VALUE"""),"+447785392092")</f>
        <v/>
      </c>
      <c r="K208" s="1" t="n"/>
      <c r="L208" s="1" t="n"/>
      <c r="M208" s="1">
        <f>IFERROR(__xludf.DUMMYFUNCTION("""COMPUTED_VALUE"""),"United Kingdom")</f>
        <v/>
      </c>
      <c r="N208" s="1">
        <f>IFERROR(__xludf.DUMMYFUNCTION("""COMPUTED_VALUE"""),"Micro (1-9 FTE employees)")</f>
        <v/>
      </c>
      <c r="O208" s="1">
        <f>IFERROR(__xludf.DUMMYFUNCTION("""COMPUTED_VALUE"""),"Business to Business, Business to Government")</f>
        <v/>
      </c>
      <c r="P208" s="1">
        <f>IFERROR(__xludf.DUMMYFUNCTION("""COMPUTED_VALUE"""),"Vocational Education and Training (VET), Lifelong learning/Adult education, Corporate Training")</f>
        <v/>
      </c>
      <c r="Q208" s="1">
        <f>IFERROR(__xludf.DUMMYFUNCTION("""COMPUTED_VALUE"""),"Student interfacing")</f>
        <v/>
      </c>
      <c r="R208" s="1" t="n"/>
      <c r="S208" s="1" t="n"/>
      <c r="T208" s="1" t="n"/>
      <c r="U208" s="1">
        <f>IFERROR(__xludf.DUMMYFUNCTION("""COMPUTED_VALUE"""),"Money Matters")</f>
        <v/>
      </c>
      <c r="V208" s="1">
        <f>IFERROR(__xludf.DUMMYFUNCTION("""COMPUTED_VALUE"""),"Mobile app for improving financial numeracy - deployed by governments, educators and businesses")</f>
        <v/>
      </c>
      <c r="W208" s="1" t="n"/>
      <c r="X208" s="1" t="n"/>
      <c r="Y208" s="1" t="n"/>
      <c r="Z208" s="1">
        <f>IFERROR(__xludf.DUMMYFUNCTION("""COMPUTED_VALUE"""),"Unverified")</f>
        <v/>
      </c>
      <c r="AA208" s="1">
        <f>IFERROR(__xludf.DUMMYFUNCTION("""COMPUTED_VALUE"""),"Collaborations between EdTech organisations, Project consortium building, Industry-academia partnerships, Public-private partnerships")</f>
        <v/>
      </c>
      <c r="AB208" s="1">
        <f>IFERROR(__xludf.DUMMYFUNCTION("""COMPUTED_VALUE"""),"For-profit company")</f>
        <v/>
      </c>
      <c r="AC208" s="1">
        <f>IFERROR(__xludf.DUMMYFUNCTION("""COMPUTED_VALUE"""),FALSE)</f>
        <v/>
      </c>
      <c r="AD208" s="1">
        <f>IFERROR(__xludf.DUMMYFUNCTION("""COMPUTED_VALUE"""),TRUE)</f>
        <v/>
      </c>
      <c r="AE208" s="1" t="n"/>
    </row>
    <row r="209" ht="42" customHeight="1">
      <c r="A209" s="14">
        <f>IFERROR(__xludf.DUMMYFUNCTION("""COMPUTED_VALUE"""),45839)</f>
        <v/>
      </c>
      <c r="B209" s="1">
        <f>IFERROR(__xludf.DUMMYFUNCTION("""COMPUTED_VALUE"""),"ORG_2470")</f>
        <v/>
      </c>
      <c r="C209" s="1">
        <f>IFERROR(__xludf.DUMMYFUNCTION("""COMPUTED_VALUE"""),TRUE)</f>
        <v/>
      </c>
      <c r="D209" s="1">
        <f>IFERROR(__xludf.DUMMYFUNCTION("""COMPUTED_VALUE"""),"UNOWHY")</f>
        <v/>
      </c>
      <c r="E209" s="15">
        <f>IFERROR(__xludf.DUMMYFUNCTION("""COMPUTED_VALUE"""),"unowhy.com")</f>
        <v/>
      </c>
      <c r="F209" s="1">
        <f>IFERROR(__xludf.DUMMYFUNCTION("""COMPUTED_VALUE"""),"Des solutions numériques complètes au service de la transmission des savoirs")</f>
        <v/>
      </c>
      <c r="G209" s="1">
        <f>IFERROR(__xludf.DUMMYFUNCTION("""COMPUTED_VALUE"""),"AFINEF, EdTech France")</f>
        <v/>
      </c>
      <c r="H209" s="1">
        <f>IFERROR(__xludf.DUMMYFUNCTION("""COMPUTED_VALUE"""),"French, English")</f>
        <v/>
      </c>
      <c r="I209" s="1">
        <f>IFERROR(__xludf.DUMMYFUNCTION("""COMPUTED_VALUE"""),"contact@unowhy.com")</f>
        <v/>
      </c>
      <c r="J209" s="1">
        <f>IFERROR(__xludf.DUMMYFUNCTION("""COMPUTED_VALUE"""),"+33146103370")</f>
        <v/>
      </c>
      <c r="K209" s="1">
        <f>IFERROR(__xludf.DUMMYFUNCTION("""COMPUTED_VALUE"""),"Neuilly-sur-Seine")</f>
        <v/>
      </c>
      <c r="L209" s="1">
        <f>IFERROR(__xludf.DUMMYFUNCTION("""COMPUTED_VALUE""")," France")</f>
        <v/>
      </c>
      <c r="M209" s="1">
        <f>IFERROR(__xludf.DUMMYFUNCTION("""COMPUTED_VALUE"""),"France")</f>
        <v/>
      </c>
      <c r="N209" s="1">
        <f>IFERROR(__xludf.DUMMYFUNCTION("""COMPUTED_VALUE"""),"Medium (50-250 FTE employees)")</f>
        <v/>
      </c>
      <c r="O209" s="1">
        <f>IFERROR(__xludf.DUMMYFUNCTION("""COMPUTED_VALUE"""),"Business to Government")</f>
        <v/>
      </c>
      <c r="P209" s="1">
        <f>IFERROR(__xludf.DUMMYFUNCTION("""COMPUTED_VALUE"""),"Primary Education, Secondary Education, Higher Education")</f>
        <v/>
      </c>
      <c r="Q209" s="1">
        <f>IFERROR(__xludf.DUMMYFUNCTION("""COMPUTED_VALUE"""),"System/Administrative, Teacher interfacing, Student interfacing")</f>
        <v/>
      </c>
      <c r="R209" s="1" t="n"/>
      <c r="S209" s="1" t="n"/>
      <c r="T209" s="1" t="n"/>
      <c r="U209" s="1">
        <f>IFERROR(__xludf.DUMMYFUNCTION("""COMPUTED_VALUE"""),"SQOOL")</f>
        <v/>
      </c>
      <c r="V209" s="1">
        <f>IFERROR(__xludf.DUMMYFUNCTION("""COMPUTED_VALUE"""),"La solution numérique tout-en-un au service de l'éducation")</f>
        <v/>
      </c>
      <c r="W209" s="1">
        <f>IFERROR(__xludf.DUMMYFUNCTION("""COMPUTED_VALUE"""),"SQOOL Extend")</f>
        <v/>
      </c>
      <c r="X209" s="1">
        <f>IFERROR(__xludf.DUMMYFUNCTION("""COMPUTED_VALUE"""),"La première solution de PC virtuels dédiée à l'éducation")</f>
        <v/>
      </c>
      <c r="Y209" s="1" t="n"/>
      <c r="Z209" s="1">
        <f>IFERROR(__xludf.DUMMYFUNCTION("""COMPUTED_VALUE"""),"Unverified")</f>
        <v/>
      </c>
      <c r="AA209" s="1">
        <f>IFERROR(__xludf.DUMMYFUNCTION("""COMPUTED_VALUE"""),"Collaborations between EdTech organisations, Public-private partnerships")</f>
        <v/>
      </c>
      <c r="AB209" s="1">
        <f>IFERROR(__xludf.DUMMYFUNCTION("""COMPUTED_VALUE"""),"For-profit company")</f>
        <v/>
      </c>
      <c r="AC209" s="1">
        <f>IFERROR(__xludf.DUMMYFUNCTION("""COMPUTED_VALUE"""),TRUE)</f>
        <v/>
      </c>
      <c r="AD209" s="1">
        <f>IFERROR(__xludf.DUMMYFUNCTION("""COMPUTED_VALUE"""),TRUE)</f>
        <v/>
      </c>
      <c r="AE209" s="1" t="n"/>
    </row>
    <row r="210" ht="42" customHeight="1">
      <c r="A210" s="14">
        <f>IFERROR(__xludf.DUMMYFUNCTION("""COMPUTED_VALUE"""),45839)</f>
        <v/>
      </c>
      <c r="B210" s="1">
        <f>IFERROR(__xludf.DUMMYFUNCTION("""COMPUTED_VALUE"""),"ORG_1539")</f>
        <v/>
      </c>
      <c r="C210" s="1">
        <f>IFERROR(__xludf.DUMMYFUNCTION("""COMPUTED_VALUE"""),TRUE)</f>
        <v/>
      </c>
      <c r="D210" s="1">
        <f>IFERROR(__xludf.DUMMYFUNCTION("""COMPUTED_VALUE"""),"EXATECH")</f>
        <v/>
      </c>
      <c r="E210" s="15">
        <f>IFERROR(__xludf.DUMMYFUNCTION("""COMPUTED_VALUE"""),"https://global.exatech-group.com/")</f>
        <v/>
      </c>
      <c r="F210" s="1">
        <f>IFERROR(__xludf.DUMMYFUNCTION("""COMPUTED_VALUE"""),"The software developed by EXATECH’s digital unit is exclusively dedicated to optimising and securing exams and assessments. Its R&amp;D sector and technologies put EXATECH among France’s most innovative technology companies. EXATECH software is used by most F"&amp;"rench government departments, top-ranking higher education establishments, prestigious universities and public institutions. In France, EXATECH manages and organizes written and oral exams throughout the year, with up to 50,000 candidates. Abroad, more th"&amp;"an 350 higher education institutions use our software. EXATECH also relies on a network of renowned partners to distribute its software internationally.")</f>
        <v/>
      </c>
      <c r="G210" s="1">
        <f>IFERROR(__xludf.DUMMYFUNCTION("""COMPUTED_VALUE"""),"EdTech France")</f>
        <v/>
      </c>
      <c r="H210" s="1">
        <f>IFERROR(__xludf.DUMMYFUNCTION("""COMPUTED_VALUE"""),"English, French, Spanish, German")</f>
        <v/>
      </c>
      <c r="I210" s="1">
        <f>IFERROR(__xludf.DUMMYFUNCTION("""COMPUTED_VALUE"""),"x.dechaume@exatech-group.com")</f>
        <v/>
      </c>
      <c r="J210" s="1">
        <f>IFERROR(__xludf.DUMMYFUNCTION("""COMPUTED_VALUE"""),"+33767978702")</f>
        <v/>
      </c>
      <c r="K210" s="1">
        <f>IFERROR(__xludf.DUMMYFUNCTION("""COMPUTED_VALUE"""),"Montpellier")</f>
        <v/>
      </c>
      <c r="L210" s="1">
        <f>IFERROR(__xludf.DUMMYFUNCTION("""COMPUTED_VALUE"""),"France")</f>
        <v/>
      </c>
      <c r="M210" s="1">
        <f>IFERROR(__xludf.DUMMYFUNCTION("""COMPUTED_VALUE"""),"Albania, Belarus, Bulgaria, Czechia, Finland, Greece, Ireland, Latvia, Luxembourg, Monaco, North Macedonia, Portugal, Slovakia, Sweden, Ukraine, United Kingdom, Switzerland, Slovenia, Romania, Norway, Montenegro, Malta, Liechtenstein, Italy, Hungary, Fran"&amp;"ce, Denmark, Croatia, Belgium, Andorra, Austria, Bosnia and Herzegovina, Republic of Cyprus, Estonia, Germany, Iceland, Kosovo, Lithuania, Moldova, Netherlands, Poland, San Marino, Spain, Turkey")</f>
        <v/>
      </c>
      <c r="N210" s="1">
        <f>IFERROR(__xludf.DUMMYFUNCTION("""COMPUTED_VALUE"""),"Small (10-49 FTE employees)")</f>
        <v/>
      </c>
      <c r="O210" s="1">
        <f>IFERROR(__xludf.DUMMYFUNCTION("""COMPUTED_VALUE"""),"Business to Business, Business to Government, Business to Schools, Business to Consumer")</f>
        <v/>
      </c>
      <c r="P210" s="1">
        <f>IFERROR(__xludf.DUMMYFUNCTION("""COMPUTED_VALUE"""),"Higher Education")</f>
        <v/>
      </c>
      <c r="Q210" s="1" t="n"/>
      <c r="R210" s="1" t="n"/>
      <c r="S210" s="15">
        <f>IFERROR(__xludf.DUMMYFUNCTION("""COMPUTED_VALUE"""),"https://x.com/exatechgroup;")</f>
        <v/>
      </c>
      <c r="T210" s="15">
        <f>IFERROR(__xludf.DUMMYFUNCTION("""COMPUTED_VALUE"""),"https://fr.linkedin.com/company/exatech")</f>
        <v/>
      </c>
      <c r="U210" s="1">
        <f>IFERROR(__xludf.DUMMYFUNCTION("""COMPUTED_VALUE"""),"Viatique")</f>
        <v/>
      </c>
      <c r="V210" s="1">
        <f>IFERROR(__xludf.DUMMYFUNCTION("""COMPUTED_VALUE"""),"The Viatique platform digitizes candidates’ exam papers, renders them anonymous, then instantaneously and securely dispatches them to markers. Viatique revolutionises exam management, reducing organisational costs while also providing unmatched comfort fo"&amp;"r educational professionals.")</f>
        <v/>
      </c>
      <c r="W210" s="1" t="n"/>
      <c r="X210" s="1" t="n"/>
      <c r="Y210" s="1" t="n"/>
      <c r="Z210" s="1">
        <f>IFERROR(__xludf.DUMMYFUNCTION("""COMPUTED_VALUE"""),"Unverified")</f>
        <v/>
      </c>
      <c r="AA210" s="1">
        <f>IFERROR(__xludf.DUMMYFUNCTION("""COMPUTED_VALUE"""),"Collaborations between EdTech organisations, Project consortium building, Public-private partnerships")</f>
        <v/>
      </c>
      <c r="AB210" s="1">
        <f>IFERROR(__xludf.DUMMYFUNCTION("""COMPUTED_VALUE"""),"For-profit company")</f>
        <v/>
      </c>
      <c r="AC210" s="1">
        <f>IFERROR(__xludf.DUMMYFUNCTION("""COMPUTED_VALUE"""),FALSE)</f>
        <v/>
      </c>
      <c r="AD210" s="1">
        <f>IFERROR(__xludf.DUMMYFUNCTION("""COMPUTED_VALUE"""),FALSE)</f>
        <v/>
      </c>
      <c r="AE210" s="1" t="n"/>
    </row>
    <row r="211" ht="42" customHeight="1">
      <c r="A211" s="14">
        <f>IFERROR(__xludf.DUMMYFUNCTION("""COMPUTED_VALUE"""),45839)</f>
        <v/>
      </c>
      <c r="B211" s="1">
        <f>IFERROR(__xludf.DUMMYFUNCTION("""COMPUTED_VALUE"""),"ORG_1813")</f>
        <v/>
      </c>
      <c r="C211" s="1">
        <f>IFERROR(__xludf.DUMMYFUNCTION("""COMPUTED_VALUE"""),TRUE)</f>
        <v/>
      </c>
      <c r="D211" s="1">
        <f>IFERROR(__xludf.DUMMYFUNCTION("""COMPUTED_VALUE"""),"Lanterna Education")</f>
        <v/>
      </c>
      <c r="E211" s="15">
        <f>IFERROR(__xludf.DUMMYFUNCTION("""COMPUTED_VALUE"""),"lanterna.com")</f>
        <v/>
      </c>
      <c r="F211" s="1">
        <f>IFERROR(__xludf.DUMMYFUNCTION("""COMPUTED_VALUE"""),"Lanterna has helped thousands off IB students across the globe achieve their academic goals, gain entry to top universities, and establish learning habits which have set them up for a bright future. We do this in two ways: by offering tutoring from our ex"&amp;"tensive network of tutors and by supporting schools with online teachers of the IB curriculum.")</f>
        <v/>
      </c>
      <c r="G211" s="1">
        <f>IFERROR(__xludf.DUMMYFUNCTION("""COMPUTED_VALUE"""),"I'm not part of any EdTech association")</f>
        <v/>
      </c>
      <c r="H211" s="1">
        <f>IFERROR(__xludf.DUMMYFUNCTION("""COMPUTED_VALUE"""),"English")</f>
        <v/>
      </c>
      <c r="I211" s="1">
        <f>IFERROR(__xludf.DUMMYFUNCTION("""COMPUTED_VALUE"""),"info@lanterna.com")</f>
        <v/>
      </c>
      <c r="J211" s="1">
        <f>IFERROR(__xludf.DUMMYFUNCTION("""COMPUTED_VALUE"""),"+442045710455")</f>
        <v/>
      </c>
      <c r="K211" s="1">
        <f>IFERROR(__xludf.DUMMYFUNCTION("""COMPUTED_VALUE"""),"Stockholm")</f>
        <v/>
      </c>
      <c r="L211" s="1">
        <f>IFERROR(__xludf.DUMMYFUNCTION("""COMPUTED_VALUE"""),"Sweden")</f>
        <v/>
      </c>
      <c r="M211" s="1">
        <f>IFERROR(__xludf.DUMMYFUNCTION("""COMPUTED_VALUE"""),"Austria, Belgium, Bosnia and Herzegovina, Bulgaria, Croatia, Republic of Cyprus, Estonia, Denmark, Czechia, Finland, France, Germany, Iceland, Hungary, Greece, Ireland, Italy, Kosovo, Lithuania, Liechtenstein, Latvia, Luxembourg, Malta, Moldova, Netherlan"&amp;"ds, Montenegro, Monaco, North Macedonia, Norway, Poland, San Marino, Romania, Portugal, Slovakia, Slovenia, Spain, Turkey, Switzerland, United Kingdom, Ukraine, Sweden, Albania, Andorra")</f>
        <v/>
      </c>
      <c r="N211" s="1">
        <f>IFERROR(__xludf.DUMMYFUNCTION("""COMPUTED_VALUE"""),"Small (10-49 FTE employees)")</f>
        <v/>
      </c>
      <c r="O211" s="1">
        <f>IFERROR(__xludf.DUMMYFUNCTION("""COMPUTED_VALUE"""),"Business to Consumer, Business to Schools")</f>
        <v/>
      </c>
      <c r="P211" s="1">
        <f>IFERROR(__xludf.DUMMYFUNCTION("""COMPUTED_VALUE"""),"Secondary Education, Primary Education")</f>
        <v/>
      </c>
      <c r="Q211" s="1">
        <f>IFERROR(__xludf.DUMMYFUNCTION("""COMPUTED_VALUE"""),"Student interfacing, Teacher interfacing")</f>
        <v/>
      </c>
      <c r="R211" s="1" t="n"/>
      <c r="S211" s="1" t="n"/>
      <c r="T211" s="15">
        <f>IFERROR(__xludf.DUMMYFUNCTION("""COMPUTED_VALUE"""),"https://www.linkedin.com/company/1227848")</f>
        <v/>
      </c>
      <c r="U211" s="1">
        <f>IFERROR(__xludf.DUMMYFUNCTION("""COMPUTED_VALUE"""),"Online substitute teaching")</f>
        <v/>
      </c>
      <c r="V211" s="1">
        <f>IFERROR(__xludf.DUMMYFUNCTION("""COMPUTED_VALUE"""),"Lanterna offers qualified IB substitute teachers to schools worldwide, available within 48 hours. Our educators are IB-qualified, Category 2 trained, and experienced in delivering high-quality virtual lessons.")</f>
        <v/>
      </c>
      <c r="W211" s="1">
        <f>IFERROR(__xludf.DUMMYFUNCTION("""COMPUTED_VALUE"""),"Online tutoring")</f>
        <v/>
      </c>
      <c r="X211" s="1">
        <f>IFERROR(__xludf.DUMMYFUNCTION("""COMPUTED_VALUE"""),"Our tutors are guaranteed to make the IB easier for our students.They have aced their IB themselves and are now experts in the program. We offer flexible and reliable private online 1:1 tutoring tailored to our students needs-")</f>
        <v/>
      </c>
      <c r="Y211" s="1" t="n"/>
      <c r="Z211" s="1">
        <f>IFERROR(__xludf.DUMMYFUNCTION("""COMPUTED_VALUE"""),"Unverified")</f>
        <v/>
      </c>
      <c r="AA211" s="1">
        <f>IFERROR(__xludf.DUMMYFUNCTION("""COMPUTED_VALUE"""),"Collaborations between EdTech organisations, Public-private partnerships, Industry-academia partnerships")</f>
        <v/>
      </c>
      <c r="AB211" s="1">
        <f>IFERROR(__xludf.DUMMYFUNCTION("""COMPUTED_VALUE"""),"For-profit company")</f>
        <v/>
      </c>
      <c r="AC211" s="1">
        <f>IFERROR(__xludf.DUMMYFUNCTION("""COMPUTED_VALUE"""),TRUE)</f>
        <v/>
      </c>
      <c r="AD211" s="1">
        <f>IFERROR(__xludf.DUMMYFUNCTION("""COMPUTED_VALUE"""),TRUE)</f>
        <v/>
      </c>
      <c r="AE211" s="1" t="n"/>
    </row>
    <row r="212" ht="42" customHeight="1">
      <c r="A212" s="14">
        <f>IFERROR(__xludf.DUMMYFUNCTION("""COMPUTED_VALUE"""),45839)</f>
        <v/>
      </c>
      <c r="B212" s="1">
        <f>IFERROR(__xludf.DUMMYFUNCTION("""COMPUTED_VALUE"""),"ORG_2385")</f>
        <v/>
      </c>
      <c r="C212" s="1">
        <f>IFERROR(__xludf.DUMMYFUNCTION("""COMPUTED_VALUE"""),TRUE)</f>
        <v/>
      </c>
      <c r="D212" s="1">
        <f>IFERROR(__xludf.DUMMYFUNCTION("""COMPUTED_VALUE"""),"Tempus Information Systems AB")</f>
        <v/>
      </c>
      <c r="E212" s="15">
        <f>IFERROR(__xludf.DUMMYFUNCTION("""COMPUTED_VALUE"""),"https://www.tempusinfo.se/")</f>
        <v/>
      </c>
      <c r="F212" s="1">
        <f>IFERROR(__xludf.DUMMYFUNCTION("""COMPUTED_VALUE"""),"Tempus is an established and user-friendly system designed for resource planning, scheduling, and attendance management in preschools and leisure centers. Tempus Children comprises three distinct interfaces: Home, Now, and Admin, tailored for guardians/pa"&amp;"rents, educators/preschool personnel, and management/administrators, respectively. Tempus Personnel is an optional add-on module that facilitates staff allocation scheduling and planning.")</f>
        <v/>
      </c>
      <c r="G212" s="1">
        <f>IFERROR(__xludf.DUMMYFUNCTION("""COMPUTED_VALUE"""),"Swedish EdTech Industry")</f>
        <v/>
      </c>
      <c r="H212" s="1">
        <f>IFERROR(__xludf.DUMMYFUNCTION("""COMPUTED_VALUE"""),"English, Swedish")</f>
        <v/>
      </c>
      <c r="I212" s="1">
        <f>IFERROR(__xludf.DUMMYFUNCTION("""COMPUTED_VALUE"""),"sales@tempusinfo.se")</f>
        <v/>
      </c>
      <c r="J212" s="1">
        <f>IFERROR(__xludf.DUMMYFUNCTION("""COMPUTED_VALUE"""),"+46101788810")</f>
        <v/>
      </c>
      <c r="K212" s="1">
        <f>IFERROR(__xludf.DUMMYFUNCTION("""COMPUTED_VALUE"""),"Umeå")</f>
        <v/>
      </c>
      <c r="L212" s="1">
        <f>IFERROR(__xludf.DUMMYFUNCTION("""COMPUTED_VALUE"""),"Sweden")</f>
        <v/>
      </c>
      <c r="M212" s="1">
        <f>IFERROR(__xludf.DUMMYFUNCTION("""COMPUTED_VALUE"""),"Finland, Sweden")</f>
        <v/>
      </c>
      <c r="N212" s="1">
        <f>IFERROR(__xludf.DUMMYFUNCTION("""COMPUTED_VALUE"""),"Micro (1-9 FTE employees)")</f>
        <v/>
      </c>
      <c r="O212" s="1">
        <f>IFERROR(__xludf.DUMMYFUNCTION("""COMPUTED_VALUE"""),"Business to Schools, Business to Business")</f>
        <v/>
      </c>
      <c r="P212" s="1">
        <f>IFERROR(__xludf.DUMMYFUNCTION("""COMPUTED_VALUE"""),"Early childhood development (0-5 years), Primary Education")</f>
        <v/>
      </c>
      <c r="Q212" s="1">
        <f>IFERROR(__xludf.DUMMYFUNCTION("""COMPUTED_VALUE"""),"Student interfacing, Teacher interfacing, System/Administrative")</f>
        <v/>
      </c>
      <c r="R212" s="15">
        <f>IFERROR(__xludf.DUMMYFUNCTION("""COMPUTED_VALUE"""),"https://www.instagram.com/tempus_information_systems_ab/")</f>
        <v/>
      </c>
      <c r="S212" s="1" t="n"/>
      <c r="T212" s="15">
        <f>IFERROR(__xludf.DUMMYFUNCTION("""COMPUTED_VALUE"""),"https://www.linkedin.com/company/tempus")</f>
        <v/>
      </c>
      <c r="U212" s="1">
        <f>IFERROR(__xludf.DUMMYFUNCTION("""COMPUTED_VALUE"""),"Tempus Children")</f>
        <v/>
      </c>
      <c r="V212" s="1">
        <f>IFERROR(__xludf.DUMMYFUNCTION("""COMPUTED_VALUE"""),"Tempus Personnel")</f>
        <v/>
      </c>
      <c r="W212" s="1">
        <f>IFERROR(__xludf.DUMMYFUNCTION("""COMPUTED_VALUE"""),"Tempus Documentation")</f>
        <v/>
      </c>
      <c r="X212" s="1" t="n"/>
      <c r="Y212" s="1" t="n"/>
      <c r="Z212" s="1">
        <f>IFERROR(__xludf.DUMMYFUNCTION("""COMPUTED_VALUE"""),"Unverified")</f>
        <v/>
      </c>
      <c r="AA212" s="1">
        <f>IFERROR(__xludf.DUMMYFUNCTION("""COMPUTED_VALUE"""),"Collaborations between EdTech organisations, Industry-academia partnerships, Project consortium building, Public-private partnerships")</f>
        <v/>
      </c>
      <c r="AB212" s="1">
        <f>IFERROR(__xludf.DUMMYFUNCTION("""COMPUTED_VALUE"""),"For-profit company")</f>
        <v/>
      </c>
      <c r="AC212" s="1">
        <f>IFERROR(__xludf.DUMMYFUNCTION("""COMPUTED_VALUE"""),TRUE)</f>
        <v/>
      </c>
      <c r="AD212" s="1">
        <f>IFERROR(__xludf.DUMMYFUNCTION("""COMPUTED_VALUE"""),FALSE)</f>
        <v/>
      </c>
      <c r="AE212" s="15">
        <f>IFERROR(__xludf.DUMMYFUNCTION("""COMPUTED_VALUE"""),"https://www.facebook.com/tempusinfo/")</f>
        <v/>
      </c>
    </row>
    <row r="213" ht="42" customHeight="1">
      <c r="A213" s="14">
        <f>IFERROR(__xludf.DUMMYFUNCTION("""COMPUTED_VALUE"""),45839)</f>
        <v/>
      </c>
      <c r="B213" s="1">
        <f>IFERROR(__xludf.DUMMYFUNCTION("""COMPUTED_VALUE"""),"ORG_1548")</f>
        <v/>
      </c>
      <c r="C213" s="1">
        <f>IFERROR(__xludf.DUMMYFUNCTION("""COMPUTED_VALUE"""),TRUE)</f>
        <v/>
      </c>
      <c r="D213" s="1">
        <f>IFERROR(__xludf.DUMMYFUNCTION("""COMPUTED_VALUE"""),"FABA")</f>
        <v/>
      </c>
      <c r="E213" s="15">
        <f>IFERROR(__xludf.DUMMYFUNCTION("""COMPUTED_VALUE"""),"http://www.myfaba.com/")</f>
        <v/>
      </c>
      <c r="F213" s="1">
        <f>IFERROR(__xludf.DUMMYFUNCTION("""COMPUTED_VALUE"""),"FABA is a screen-free edutainment platform for children aged 0–10, combining storytelling and audio to support learning and imagination. We help kids grow through fun, safe, and educational content enjoyed by families across Europe.")</f>
        <v/>
      </c>
      <c r="G213" s="1">
        <f>IFERROR(__xludf.DUMMYFUNCTION("""COMPUTED_VALUE"""),"EdTech Italia")</f>
        <v/>
      </c>
      <c r="H213" s="1">
        <f>IFERROR(__xludf.DUMMYFUNCTION("""COMPUTED_VALUE"""),"English, French, Spanish, Italian, Catalan")</f>
        <v/>
      </c>
      <c r="I213" s="1">
        <f>IFERROR(__xludf.DUMMYFUNCTION("""COMPUTED_VALUE"""),"info@myfaba.com")</f>
        <v/>
      </c>
      <c r="J213" s="1">
        <f>IFERROR(__xludf.DUMMYFUNCTION("""COMPUTED_VALUE"""),"+390422447600")</f>
        <v/>
      </c>
      <c r="K213" s="1">
        <f>IFERROR(__xludf.DUMMYFUNCTION("""COMPUTED_VALUE"""),"Treviso")</f>
        <v/>
      </c>
      <c r="L213" s="1">
        <f>IFERROR(__xludf.DUMMYFUNCTION("""COMPUTED_VALUE"""),"Italy")</f>
        <v/>
      </c>
      <c r="M213" s="1">
        <f>IFERROR(__xludf.DUMMYFUNCTION("""COMPUTED_VALUE"""),"France, Germany, Italy, Netherlands, Spain, San Marino, Belgium, Austria")</f>
        <v/>
      </c>
      <c r="N213" s="1">
        <f>IFERROR(__xludf.DUMMYFUNCTION("""COMPUTED_VALUE"""),"Small (10-49 FTE employees)")</f>
        <v/>
      </c>
      <c r="O213" s="1">
        <f>IFERROR(__xludf.DUMMYFUNCTION("""COMPUTED_VALUE"""),"Business to Consumer, Business to Schools, Business to Business")</f>
        <v/>
      </c>
      <c r="P213" s="1">
        <f>IFERROR(__xludf.DUMMYFUNCTION("""COMPUTED_VALUE"""),"Early childhood development (0-5 years)")</f>
        <v/>
      </c>
      <c r="Q213" s="1">
        <f>IFERROR(__xludf.DUMMYFUNCTION("""COMPUTED_VALUE"""),"Student interfacing")</f>
        <v/>
      </c>
      <c r="R213" s="1" t="n"/>
      <c r="S213" s="1" t="n"/>
      <c r="T213" s="15">
        <f>IFERROR(__xludf.DUMMYFUNCTION("""COMPUTED_VALUE"""),"https://www.linkedin.com/company/faba")</f>
        <v/>
      </c>
      <c r="U213" s="1">
        <f>IFERROR(__xludf.DUMMYFUNCTION("""COMPUTED_VALUE"""),"FABA Storyteller")</f>
        <v/>
      </c>
      <c r="V213" s="1">
        <f>IFERROR(__xludf.DUMMYFUNCTION("""COMPUTED_VALUE"""),"A screen-free audio device designed for children aged 0–10 that plays stories, songs, and routines through tactile audio figurines, promoting safe and independent listening.")</f>
        <v/>
      </c>
      <c r="W213" s="1">
        <f>IFERROR(__xludf.DUMMYFUNCTION("""COMPUTED_VALUE"""),"FABA Audio Content")</f>
        <v/>
      </c>
      <c r="X213" s="1">
        <f>IFERROR(__xludf.DUMMYFUNCTION("""COMPUTED_VALUE"""),"A curated library of audio stories, songs, and educational content—developed with experts and categorized by age and skill—to support children’s growth and imagination.")</f>
        <v/>
      </c>
      <c r="Y213" s="1" t="n"/>
      <c r="Z213" s="1">
        <f>IFERROR(__xludf.DUMMYFUNCTION("""COMPUTED_VALUE"""),"Unverified")</f>
        <v/>
      </c>
      <c r="AA213" s="1">
        <f>IFERROR(__xludf.DUMMYFUNCTION("""COMPUTED_VALUE"""),"Collaborations between EdTech organisations, Project consortium building, Public-private partnerships, Industry-academia partnerships")</f>
        <v/>
      </c>
      <c r="AB213" s="1">
        <f>IFERROR(__xludf.DUMMYFUNCTION("""COMPUTED_VALUE"""),"For-profit company")</f>
        <v/>
      </c>
      <c r="AC213" s="1">
        <f>IFERROR(__xludf.DUMMYFUNCTION("""COMPUTED_VALUE"""),FALSE)</f>
        <v/>
      </c>
      <c r="AD213" s="1">
        <f>IFERROR(__xludf.DUMMYFUNCTION("""COMPUTED_VALUE"""),TRUE)</f>
        <v/>
      </c>
      <c r="AE213" s="1" t="n"/>
    </row>
    <row r="214" ht="42" customHeight="1">
      <c r="A214" s="14">
        <f>IFERROR(__xludf.DUMMYFUNCTION("""COMPUTED_VALUE"""),45839)</f>
        <v/>
      </c>
      <c r="B214" s="1">
        <f>IFERROR(__xludf.DUMMYFUNCTION("""COMPUTED_VALUE"""),"ORG_2179")</f>
        <v/>
      </c>
      <c r="C214" s="1">
        <f>IFERROR(__xludf.DUMMYFUNCTION("""COMPUTED_VALUE"""),TRUE)</f>
        <v/>
      </c>
      <c r="D214" s="1">
        <f>IFERROR(__xludf.DUMMYFUNCTION("""COMPUTED_VALUE"""),"reteach")</f>
        <v/>
      </c>
      <c r="E214" s="15">
        <f>IFERROR(__xludf.DUMMYFUNCTION("""COMPUTED_VALUE"""),"www.reteach.com")</f>
        <v/>
      </c>
      <c r="F214" s="1">
        <f>IFERROR(__xludf.DUMMYFUNCTION("""COMPUTED_VALUE"""),"LMS for SME")</f>
        <v/>
      </c>
      <c r="G214" s="1">
        <f>IFERROR(__xludf.DUMMYFUNCTION("""COMPUTED_VALUE"""),"I'm not part of any EdTech association")</f>
        <v/>
      </c>
      <c r="H214" s="1">
        <f>IFERROR(__xludf.DUMMYFUNCTION("""COMPUTED_VALUE"""),"English, German, Spanish, French, Italian")</f>
        <v/>
      </c>
      <c r="I214" s="1">
        <f>IFERROR(__xludf.DUMMYFUNCTION("""COMPUTED_VALUE"""),"hello@reteach.com")</f>
        <v/>
      </c>
      <c r="J214" s="1">
        <f>IFERROR(__xludf.DUMMYFUNCTION("""COMPUTED_VALUE"""),"+4930235939580")</f>
        <v/>
      </c>
      <c r="K214" s="1">
        <f>IFERROR(__xludf.DUMMYFUNCTION("""COMPUTED_VALUE"""),"Berlin")</f>
        <v/>
      </c>
      <c r="L214" s="1">
        <f>IFERROR(__xludf.DUMMYFUNCTION("""COMPUTED_VALUE"""),"Germany")</f>
        <v/>
      </c>
      <c r="M214" s="1">
        <f>IFERROR(__xludf.DUMMYFUNCTION("""COMPUTED_VALUE"""),"Germany, Switzerland, Austria")</f>
        <v/>
      </c>
      <c r="N214" s="1">
        <f>IFERROR(__xludf.DUMMYFUNCTION("""COMPUTED_VALUE"""),"Medium (50-250 FTE employees)")</f>
        <v/>
      </c>
      <c r="O214" s="1">
        <f>IFERROR(__xludf.DUMMYFUNCTION("""COMPUTED_VALUE"""),"Business to Business")</f>
        <v/>
      </c>
      <c r="P214" s="1">
        <f>IFERROR(__xludf.DUMMYFUNCTION("""COMPUTED_VALUE"""),"Corporate Training")</f>
        <v/>
      </c>
      <c r="Q214" s="1">
        <f>IFERROR(__xludf.DUMMYFUNCTION("""COMPUTED_VALUE"""),"System/Administrative")</f>
        <v/>
      </c>
      <c r="R214" s="1" t="n"/>
      <c r="S214" s="1" t="n"/>
      <c r="T214" s="1" t="n"/>
      <c r="U214" s="1">
        <f>IFERROR(__xludf.DUMMYFUNCTION("""COMPUTED_VALUE"""),"reteach LMS")</f>
        <v/>
      </c>
      <c r="V214" s="1">
        <f>IFERROR(__xludf.DUMMYFUNCTION("""COMPUTED_VALUE"""),"LMS for SME")</f>
        <v/>
      </c>
      <c r="W214" s="1" t="n"/>
      <c r="X214" s="1" t="n"/>
      <c r="Y214" s="1" t="n"/>
      <c r="Z214" s="1">
        <f>IFERROR(__xludf.DUMMYFUNCTION("""COMPUTED_VALUE"""),"Unverified")</f>
        <v/>
      </c>
      <c r="AA214" s="1" t="n"/>
      <c r="AB214" s="1">
        <f>IFERROR(__xludf.DUMMYFUNCTION("""COMPUTED_VALUE"""),"For-profit company")</f>
        <v/>
      </c>
      <c r="AC214" s="1">
        <f>IFERROR(__xludf.DUMMYFUNCTION("""COMPUTED_VALUE"""),FALSE)</f>
        <v/>
      </c>
      <c r="AD214" s="1">
        <f>IFERROR(__xludf.DUMMYFUNCTION("""COMPUTED_VALUE"""),TRUE)</f>
        <v/>
      </c>
      <c r="AE214" s="1" t="n"/>
    </row>
    <row r="215" ht="42" customHeight="1">
      <c r="A215" s="14">
        <f>IFERROR(__xludf.DUMMYFUNCTION("""COMPUTED_VALUE"""),45839)</f>
        <v/>
      </c>
      <c r="B215" s="1">
        <f>IFERROR(__xludf.DUMMYFUNCTION("""COMPUTED_VALUE"""),"ORG_1449")</f>
        <v/>
      </c>
      <c r="C215" s="1">
        <f>IFERROR(__xludf.DUMMYFUNCTION("""COMPUTED_VALUE"""),TRUE)</f>
        <v/>
      </c>
      <c r="D215" s="1">
        <f>IFERROR(__xludf.DUMMYFUNCTION("""COMPUTED_VALUE"""),"EduMedia")</f>
        <v/>
      </c>
      <c r="E215" s="15">
        <f>IFERROR(__xludf.DUMMYFUNCTION("""COMPUTED_VALUE"""),"https://alec-edu.com")</f>
        <v/>
      </c>
      <c r="F215" s="1">
        <f>IFERROR(__xludf.DUMMYFUNCTION("""COMPUTED_VALUE"""),"Digital content provider. Web-based . 3 products: edumedia.com, pikado.education and Alec-edu.com,")</f>
        <v/>
      </c>
      <c r="G215" s="1">
        <f>IFERROR(__xludf.DUMMYFUNCTION("""COMPUTED_VALUE"""),"AFINEF")</f>
        <v/>
      </c>
      <c r="H215" s="1">
        <f>IFERROR(__xludf.DUMMYFUNCTION("""COMPUTED_VALUE"""),"English, German, French, Spanish")</f>
        <v/>
      </c>
      <c r="I215" s="1">
        <f>IFERROR(__xludf.DUMMYFUNCTION("""COMPUTED_VALUE"""),"contact@edumedia.com")</f>
        <v/>
      </c>
      <c r="J215" s="1">
        <f>IFERROR(__xludf.DUMMYFUNCTION("""COMPUTED_VALUE"""),"+33695487516")</f>
        <v/>
      </c>
      <c r="K215" s="1">
        <f>IFERROR(__xludf.DUMMYFUNCTION("""COMPUTED_VALUE"""),"Bordeaux ")</f>
        <v/>
      </c>
      <c r="L215" s="1">
        <f>IFERROR(__xludf.DUMMYFUNCTION("""COMPUTED_VALUE"""),"France")</f>
        <v/>
      </c>
      <c r="M215" s="1">
        <f>IFERROR(__xludf.DUMMYFUNCTION("""COMPUTED_VALUE"""),"Belgium, France, Monaco, Switzerland")</f>
        <v/>
      </c>
      <c r="N215" s="1">
        <f>IFERROR(__xludf.DUMMYFUNCTION("""COMPUTED_VALUE"""),"Small (10-49 FTE employees)")</f>
        <v/>
      </c>
      <c r="O215" s="1">
        <f>IFERROR(__xludf.DUMMYFUNCTION("""COMPUTED_VALUE"""),"Business to Schools")</f>
        <v/>
      </c>
      <c r="P215" s="1">
        <f>IFERROR(__xludf.DUMMYFUNCTION("""COMPUTED_VALUE"""),"Primary Education, Secondary Education, Special Education")</f>
        <v/>
      </c>
      <c r="Q215" s="1">
        <f>IFERROR(__xludf.DUMMYFUNCTION("""COMPUTED_VALUE"""),"Teacher interfacing")</f>
        <v/>
      </c>
      <c r="R215" s="1" t="n"/>
      <c r="S215" s="1" t="n"/>
      <c r="T215" s="1" t="n"/>
      <c r="U215" s="1">
        <f>IFERROR(__xludf.DUMMYFUNCTION("""COMPUTED_VALUE"""),"EduMedia (www.eduMedia.com)")</f>
        <v/>
      </c>
      <c r="V215" s="1">
        <f>IFERROR(__xludf.DUMMYFUNCTION("""COMPUTED_VALUE"""),"largest collection of interactive simulations for science teachers")</f>
        <v/>
      </c>
      <c r="W215" s="1">
        <f>IFERROR(__xludf.DUMMYFUNCTION("""COMPUTED_VALUE"""),"Alec (alec-edu.com)")</f>
        <v/>
      </c>
      <c r="X215" s="1">
        <f>IFERROR(__xludf.DUMMYFUNCTION("""COMPUTED_VALUE"""),"Collection of digital game for learning math and english / math et français/ math y espanol - we also have a third product pikado.education. Collection of free applications for primary school teacher.")</f>
        <v/>
      </c>
      <c r="Y215" s="1" t="n"/>
      <c r="Z215" s="1">
        <f>IFERROR(__xludf.DUMMYFUNCTION("""COMPUTED_VALUE"""),"Unverified")</f>
        <v/>
      </c>
      <c r="AA215" s="1" t="n"/>
      <c r="AB215" s="1">
        <f>IFERROR(__xludf.DUMMYFUNCTION("""COMPUTED_VALUE"""),"For-profit company")</f>
        <v/>
      </c>
      <c r="AC215" s="1">
        <f>IFERROR(__xludf.DUMMYFUNCTION("""COMPUTED_VALUE"""),TRUE)</f>
        <v/>
      </c>
      <c r="AD215" s="1">
        <f>IFERROR(__xludf.DUMMYFUNCTION("""COMPUTED_VALUE"""),TRUE)</f>
        <v/>
      </c>
      <c r="AE215" s="1" t="n"/>
    </row>
    <row r="216" ht="42" customHeight="1">
      <c r="A216" s="14">
        <f>IFERROR(__xludf.DUMMYFUNCTION("""COMPUTED_VALUE"""),45839)</f>
        <v/>
      </c>
      <c r="B216" s="1">
        <f>IFERROR(__xludf.DUMMYFUNCTION("""COMPUTED_VALUE"""),"ORG_1049")</f>
        <v/>
      </c>
      <c r="C216" s="1">
        <f>IFERROR(__xludf.DUMMYFUNCTION("""COMPUTED_VALUE"""),TRUE)</f>
        <v/>
      </c>
      <c r="D216" s="1">
        <f>IFERROR(__xludf.DUMMYFUNCTION("""COMPUTED_VALUE"""),"Algebrakit")</f>
        <v/>
      </c>
      <c r="E216" s="15">
        <f>IFERROR(__xludf.DUMMYFUNCTION("""COMPUTED_VALUE"""),"algebrakit.com")</f>
        <v/>
      </c>
      <c r="F216" s="1">
        <f>IFERROR(__xludf.DUMMYFUNCTION("""COMPUTED_VALUE"""),"Algebrakit provides intelligent question types for mathematics. Our tools are used by educational publishers worldwide")</f>
        <v/>
      </c>
      <c r="G216" s="1">
        <f>IFERROR(__xludf.DUMMYFUNCTION("""COMPUTED_VALUE"""),"Dutch EdTech")</f>
        <v/>
      </c>
      <c r="H216" s="1">
        <f>IFERROR(__xludf.DUMMYFUNCTION("""COMPUTED_VALUE"""),"English, German, French, Italian, Spanish, Lithuanian")</f>
        <v/>
      </c>
      <c r="I216" s="1">
        <f>IFERROR(__xludf.DUMMYFUNCTION("""COMPUTED_VALUE"""),"info@algebrakit.nl")</f>
        <v/>
      </c>
      <c r="J216" s="1">
        <f>IFERROR(__xludf.DUMMYFUNCTION("""COMPUTED_VALUE"""),"+31851308316")</f>
        <v/>
      </c>
      <c r="K216" s="1">
        <f>IFERROR(__xludf.DUMMYFUNCTION("""COMPUTED_VALUE"""),"Eindhoven")</f>
        <v/>
      </c>
      <c r="L216" s="1">
        <f>IFERROR(__xludf.DUMMYFUNCTION("""COMPUTED_VALUE"""),"The Netherlands")</f>
        <v/>
      </c>
      <c r="M216" s="1">
        <f>IFERROR(__xludf.DUMMYFUNCTION("""COMPUTED_VALUE"""),"Portugal, United Kingdom, Netherlands, Belgium, Lithuania")</f>
        <v/>
      </c>
      <c r="N216" s="1">
        <f>IFERROR(__xludf.DUMMYFUNCTION("""COMPUTED_VALUE"""),"Small (10-49 FTE employees)")</f>
        <v/>
      </c>
      <c r="O216" s="1">
        <f>IFERROR(__xludf.DUMMYFUNCTION("""COMPUTED_VALUE"""),"Business to Business")</f>
        <v/>
      </c>
      <c r="P216" s="1">
        <f>IFERROR(__xludf.DUMMYFUNCTION("""COMPUTED_VALUE"""),"Secondary Education, Primary Education")</f>
        <v/>
      </c>
      <c r="Q216" s="1">
        <f>IFERROR(__xludf.DUMMYFUNCTION("""COMPUTED_VALUE"""),"Student interfacing, Teacher interfacing, System/Administrative")</f>
        <v/>
      </c>
      <c r="R216" s="1" t="n"/>
      <c r="S216" s="1" t="n"/>
      <c r="T216" s="15">
        <f>IFERROR(__xludf.DUMMYFUNCTION("""COMPUTED_VALUE"""),"https://www.linkedin.com/company/algebrakit")</f>
        <v/>
      </c>
      <c r="U216" s="1">
        <f>IFERROR(__xludf.DUMMYFUNCTION("""COMPUTED_VALUE"""),"Algebrakit")</f>
        <v/>
      </c>
      <c r="V216" s="1">
        <f>IFERROR(__xludf.DUMMYFUNCTION("""COMPUTED_VALUE"""),"Question types and scoring engine for math education")</f>
        <v/>
      </c>
      <c r="W216" s="1" t="n"/>
      <c r="X216" s="1" t="n"/>
      <c r="Y216" s="1" t="n"/>
      <c r="Z216" s="1">
        <f>IFERROR(__xludf.DUMMYFUNCTION("""COMPUTED_VALUE"""),"Unverified")</f>
        <v/>
      </c>
      <c r="AA216" s="1">
        <f>IFERROR(__xludf.DUMMYFUNCTION("""COMPUTED_VALUE"""),"Collaborations between EdTech organisations, Project consortium building, Public-private partnerships, Industry-academia partnerships")</f>
        <v/>
      </c>
      <c r="AB216" s="1">
        <f>IFERROR(__xludf.DUMMYFUNCTION("""COMPUTED_VALUE"""),"For-profit company")</f>
        <v/>
      </c>
      <c r="AC216" s="1">
        <f>IFERROR(__xludf.DUMMYFUNCTION("""COMPUTED_VALUE"""),TRUE)</f>
        <v/>
      </c>
      <c r="AD216" s="1">
        <f>IFERROR(__xludf.DUMMYFUNCTION("""COMPUTED_VALUE"""),TRUE)</f>
        <v/>
      </c>
      <c r="AE216" s="1" t="n"/>
    </row>
    <row r="217" ht="42" customHeight="1">
      <c r="A217" s="14">
        <f>IFERROR(__xludf.DUMMYFUNCTION("""COMPUTED_VALUE"""),45839)</f>
        <v/>
      </c>
      <c r="B217" s="1">
        <f>IFERROR(__xludf.DUMMYFUNCTION("""COMPUTED_VALUE"""),"ORG_1934")</f>
        <v/>
      </c>
      <c r="C217" s="1">
        <f>IFERROR(__xludf.DUMMYFUNCTION("""COMPUTED_VALUE"""),TRUE)</f>
        <v/>
      </c>
      <c r="D217" s="1">
        <f>IFERROR(__xludf.DUMMYFUNCTION("""COMPUTED_VALUE"""),"MaxBrain AG")</f>
        <v/>
      </c>
      <c r="E217" s="15">
        <f>IFERROR(__xludf.DUMMYFUNCTION("""COMPUTED_VALUE"""),"www.maxbrain.com")</f>
        <v/>
      </c>
      <c r="F217" s="1">
        <f>IFERROR(__xludf.DUMMYFUNCTION("""COMPUTED_VALUE"""),"MaxBrain is the strategic solution partner for building and implementing holistic learning ecosystems in companies, educational centers, and professional and industry associations. We combine technology, learning content, and consulting expertise to succe"&amp;"ssfully transform learning strategies and embed them into corporate culture.")</f>
        <v/>
      </c>
      <c r="G217" s="1">
        <f>IFERROR(__xludf.DUMMYFUNCTION("""COMPUTED_VALUE"""),"Swiss EdTech Collider")</f>
        <v/>
      </c>
      <c r="H217" s="1">
        <f>IFERROR(__xludf.DUMMYFUNCTION("""COMPUTED_VALUE"""),"English, French, Italian, German")</f>
        <v/>
      </c>
      <c r="I217" s="1">
        <f>IFERROR(__xludf.DUMMYFUNCTION("""COMPUTED_VALUE"""),"info@maxbrain.com")</f>
        <v/>
      </c>
      <c r="J217" s="1">
        <f>IFERROR(__xludf.DUMMYFUNCTION("""COMPUTED_VALUE"""),"+41442873621")</f>
        <v/>
      </c>
      <c r="K217" s="1">
        <f>IFERROR(__xludf.DUMMYFUNCTION("""COMPUTED_VALUE"""),"Zürich")</f>
        <v/>
      </c>
      <c r="L217" s="1">
        <f>IFERROR(__xludf.DUMMYFUNCTION("""COMPUTED_VALUE"""),"Switzerland")</f>
        <v/>
      </c>
      <c r="M217" s="1">
        <f>IFERROR(__xludf.DUMMYFUNCTION("""COMPUTED_VALUE"""),"Germany, Switzerland")</f>
        <v/>
      </c>
      <c r="N217" s="1">
        <f>IFERROR(__xludf.DUMMYFUNCTION("""COMPUTED_VALUE"""),"Small (10-49 FTE employees)")</f>
        <v/>
      </c>
      <c r="O217" s="1">
        <f>IFERROR(__xludf.DUMMYFUNCTION("""COMPUTED_VALUE"""),"Business to Business")</f>
        <v/>
      </c>
      <c r="P217" s="1">
        <f>IFERROR(__xludf.DUMMYFUNCTION("""COMPUTED_VALUE"""),"Higher Education, Corporate Training, Vocational Education and Training (VET), Lifelong learning/Adult education")</f>
        <v/>
      </c>
      <c r="Q217" s="1">
        <f>IFERROR(__xludf.DUMMYFUNCTION("""COMPUTED_VALUE"""),"Student interfacing, System/Administrative")</f>
        <v/>
      </c>
      <c r="R217" s="1" t="n"/>
      <c r="S217" s="1" t="n"/>
      <c r="T217" s="15">
        <f>IFERROR(__xludf.DUMMYFUNCTION("""COMPUTED_VALUE"""),"https://www.linkedin.com/company/maxbrain")</f>
        <v/>
      </c>
      <c r="U217" s="1">
        <f>IFERROR(__xludf.DUMMYFUNCTION("""COMPUTED_VALUE"""),"LXP (Learning Experience Plattform, Software as a Service)")</f>
        <v/>
      </c>
      <c r="V217" s="1">
        <f>IFERROR(__xludf.DUMMYFUNCTION("""COMPUTED_VALUE"""),"The LXP provides your company with all the essential features to offer professional training programs. MaxBrain stands out through its integrations, high level of customizability, dedicated customer success services, and tools to maximize return on learni"&amp;"ng.")</f>
        <v/>
      </c>
      <c r="W217" s="1">
        <f>IFERROR(__xludf.DUMMYFUNCTION("""COMPUTED_VALUE"""),"Success Services")</f>
        <v/>
      </c>
      <c r="X217" s="1">
        <f>IFERROR(__xludf.DUMMYFUNCTION("""COMPUTED_VALUE"""),"The success services include 1) Engineering, 2) Project Management, 3) Content Production, 4) L&amp;D Adivsory and 5) AI Enablement")</f>
        <v/>
      </c>
      <c r="Y217" s="1" t="n"/>
      <c r="Z217" s="1">
        <f>IFERROR(__xludf.DUMMYFUNCTION("""COMPUTED_VALUE"""),"Unverified")</f>
        <v/>
      </c>
      <c r="AA217" s="1">
        <f>IFERROR(__xludf.DUMMYFUNCTION("""COMPUTED_VALUE"""),"Collaborations between EdTech organisations, Public-private partnerships")</f>
        <v/>
      </c>
      <c r="AB217" s="1">
        <f>IFERROR(__xludf.DUMMYFUNCTION("""COMPUTED_VALUE"""),"For-profit company")</f>
        <v/>
      </c>
      <c r="AC217" s="1">
        <f>IFERROR(__xludf.DUMMYFUNCTION("""COMPUTED_VALUE"""),TRUE)</f>
        <v/>
      </c>
      <c r="AD217" s="1">
        <f>IFERROR(__xludf.DUMMYFUNCTION("""COMPUTED_VALUE"""),TRUE)</f>
        <v/>
      </c>
      <c r="AE217" s="1" t="n"/>
    </row>
    <row r="218" ht="42" customHeight="1">
      <c r="A218" s="14">
        <f>IFERROR(__xludf.DUMMYFUNCTION("""COMPUTED_VALUE"""),45839)</f>
        <v/>
      </c>
      <c r="B218" s="1">
        <f>IFERROR(__xludf.DUMMYFUNCTION("""COMPUTED_VALUE"""),"ORG_1780")</f>
        <v/>
      </c>
      <c r="C218" s="1">
        <f>IFERROR(__xludf.DUMMYFUNCTION("""COMPUTED_VALUE"""),TRUE)</f>
        <v/>
      </c>
      <c r="D218" s="1">
        <f>IFERROR(__xludf.DUMMYFUNCTION("""COMPUTED_VALUE"""),"Kiwix")</f>
        <v/>
      </c>
      <c r="E218" s="15">
        <f>IFERROR(__xludf.DUMMYFUNCTION("""COMPUTED_VALUE"""),"kiwix.org")</f>
        <v/>
      </c>
      <c r="F218" s="1">
        <f>IFERROR(__xludf.DUMMYFUNCTION("""COMPUTED_VALUE"""),"Kiwix makes internet content available offline. You can basically store any website (e.g. Wikipedia) on a phone or computer and browse it without connectivity.")</f>
        <v/>
      </c>
      <c r="G218" s="1">
        <f>IFERROR(__xludf.DUMMYFUNCTION("""COMPUTED_VALUE"""),"I'm not part of any EdTech association")</f>
        <v/>
      </c>
      <c r="H218" s="1">
        <f>IFERROR(__xludf.DUMMYFUNCTION("""COMPUTED_VALUE"""),"English, German, French, Italian, Spanish, Other")</f>
        <v/>
      </c>
      <c r="I218" s="1">
        <f>IFERROR(__xludf.DUMMYFUNCTION("""COMPUTED_VALUE"""),"hello@kiwix.org")</f>
        <v/>
      </c>
      <c r="J218" s="1">
        <f>IFERROR(__xludf.DUMMYFUNCTION("""COMPUTED_VALUE"""),"+41792158510")</f>
        <v/>
      </c>
      <c r="K218" s="1">
        <f>IFERROR(__xludf.DUMMYFUNCTION("""COMPUTED_VALUE"""),"Lausanne")</f>
        <v/>
      </c>
      <c r="L218" s="1">
        <f>IFERROR(__xludf.DUMMYFUNCTION("""COMPUTED_VALUE"""),"Switzerland")</f>
        <v/>
      </c>
      <c r="M218" s="1">
        <f>IFERROR(__xludf.DUMMYFUNCTION("""COMPUTED_VALUE"""),"Albania, Belarus, Andorra, Belgium, Austria, Bosnia and Herzegovina, Republic of Cyprus, Croatia, Bulgaria, Czechia, Denmark, Estonia, Germany, France, Finland, Greece, Hungary, Iceland, Kosovo, Italy, Ireland, Latvia, Liechtenstein, Lithuania, Moldova, N"&amp;"etherlands, Poland, Norway, Montenegro, Malta, Luxembourg, Monaco, North Macedonia, Portugal, Slovakia, Ukraine, Sweden, Switzerland, United Kingdom, Slovenia, Romania, San Marino, Spain, Turkey, Global")</f>
        <v/>
      </c>
      <c r="N218" s="1">
        <f>IFERROR(__xludf.DUMMYFUNCTION("""COMPUTED_VALUE"""),"Micro (1-9 FTE employees)")</f>
        <v/>
      </c>
      <c r="O218" s="1">
        <f>IFERROR(__xludf.DUMMYFUNCTION("""COMPUTED_VALUE"""),"Business to Business, Business to Consumer")</f>
        <v/>
      </c>
      <c r="P218" s="1">
        <f>IFERROR(__xludf.DUMMYFUNCTION("""COMPUTED_VALUE"""),"Primary Education, Secondary Education, Vocational Education and Training (VET), Higher Education, Corporate Training, Lifelong learning/Adult education")</f>
        <v/>
      </c>
      <c r="Q218" s="1">
        <f>IFERROR(__xludf.DUMMYFUNCTION("""COMPUTED_VALUE"""),"Student interfacing")</f>
        <v/>
      </c>
      <c r="R218" s="1" t="n"/>
      <c r="S218" s="1" t="n"/>
      <c r="T218" s="15">
        <f>IFERROR(__xludf.DUMMYFUNCTION("""COMPUTED_VALUE"""),"https://www.linkedin.com/company/kiwixoffline")</f>
        <v/>
      </c>
      <c r="U218" s="1">
        <f>IFERROR(__xludf.DUMMYFUNCTION("""COMPUTED_VALUE"""),"Kiwix for Android/Desktop/Apple")</f>
        <v/>
      </c>
      <c r="V218" s="1">
        <f>IFERROR(__xludf.DUMMYFUNCTION("""COMPUTED_VALUE"""),"A simple reader that allows people to download, store and browse copies of websites")</f>
        <v/>
      </c>
      <c r="W218" s="1">
        <f>IFERROR(__xludf.DUMMYFUNCTION("""COMPUTED_VALUE"""),"Kiwix Hotspot")</f>
        <v/>
      </c>
      <c r="X218" s="1">
        <f>IFERROR(__xludf.DUMMYFUNCTION("""COMPUTED_VALUE"""),"A simple microserver to which users can connect via wifi to browse educational content, even if there is no internet (content is stored on the hotspot)")</f>
        <v/>
      </c>
      <c r="Y218" s="1" t="n"/>
      <c r="Z218" s="1">
        <f>IFERROR(__xludf.DUMMYFUNCTION("""COMPUTED_VALUE"""),"Unverified")</f>
        <v/>
      </c>
      <c r="AA218" s="1">
        <f>IFERROR(__xludf.DUMMYFUNCTION("""COMPUTED_VALUE"""),"Project consortium building, Public-private partnerships")</f>
        <v/>
      </c>
      <c r="AB218" s="1">
        <f>IFERROR(__xludf.DUMMYFUNCTION("""COMPUTED_VALUE"""),"Non-profit organisation")</f>
        <v/>
      </c>
      <c r="AC218" s="1">
        <f>IFERROR(__xludf.DUMMYFUNCTION("""COMPUTED_VALUE"""),TRUE)</f>
        <v/>
      </c>
      <c r="AD218" s="1">
        <f>IFERROR(__xludf.DUMMYFUNCTION("""COMPUTED_VALUE"""),TRUE)</f>
        <v/>
      </c>
      <c r="AE218" s="1" t="n"/>
    </row>
    <row r="219" ht="42" customHeight="1">
      <c r="A219" s="14">
        <f>IFERROR(__xludf.DUMMYFUNCTION("""COMPUTED_VALUE"""),45839)</f>
        <v/>
      </c>
      <c r="B219" s="1">
        <f>IFERROR(__xludf.DUMMYFUNCTION("""COMPUTED_VALUE"""),"ORG_1895")</f>
        <v/>
      </c>
      <c r="C219" s="1">
        <f>IFERROR(__xludf.DUMMYFUNCTION("""COMPUTED_VALUE"""),TRUE)</f>
        <v/>
      </c>
      <c r="D219" s="1">
        <f>IFERROR(__xludf.DUMMYFUNCTION("""COMPUTED_VALUE"""),"Lutz Education")</f>
        <v/>
      </c>
      <c r="E219" s="15">
        <f>IFERROR(__xludf.DUMMYFUNCTION("""COMPUTED_VALUE"""),"https://lutz.education")</f>
        <v/>
      </c>
      <c r="F219" s="1">
        <f>IFERROR(__xludf.DUMMYFUNCTION("""COMPUTED_VALUE"""),"Digital transformation, AI in education &amp; EdTech consulting")</f>
        <v/>
      </c>
      <c r="G219" s="1">
        <f>IFERROR(__xludf.DUMMYFUNCTION("""COMPUTED_VALUE"""),"I'm not part of any EdTech association")</f>
        <v/>
      </c>
      <c r="H219" s="1">
        <f>IFERROR(__xludf.DUMMYFUNCTION("""COMPUTED_VALUE"""),"German")</f>
        <v/>
      </c>
      <c r="I219" s="1">
        <f>IFERROR(__xludf.DUMMYFUNCTION("""COMPUTED_VALUE"""),"edtech@lutz.education")</f>
        <v/>
      </c>
      <c r="J219" s="1">
        <f>IFERROR(__xludf.DUMMYFUNCTION("""COMPUTED_VALUE"""),"+41525505133")</f>
        <v/>
      </c>
      <c r="K219" s="1">
        <f>IFERROR(__xludf.DUMMYFUNCTION("""COMPUTED_VALUE"""),"Dachsen")</f>
        <v/>
      </c>
      <c r="L219" s="1">
        <f>IFERROR(__xludf.DUMMYFUNCTION("""COMPUTED_VALUE""")," Switzerland")</f>
        <v/>
      </c>
      <c r="M219" s="1">
        <f>IFERROR(__xludf.DUMMYFUNCTION("""COMPUTED_VALUE"""),"Switzerland, Liechtenstein")</f>
        <v/>
      </c>
      <c r="N219" s="1">
        <f>IFERROR(__xludf.DUMMYFUNCTION("""COMPUTED_VALUE"""),"Micro (1-9 FTE employees)")</f>
        <v/>
      </c>
      <c r="O219" s="1">
        <f>IFERROR(__xludf.DUMMYFUNCTION("""COMPUTED_VALUE"""),"Business to Schools")</f>
        <v/>
      </c>
      <c r="P219" s="1">
        <f>IFERROR(__xludf.DUMMYFUNCTION("""COMPUTED_VALUE"""),"Primary Education, Secondary Education, Vocational Education and Training (VET), Higher Education")</f>
        <v/>
      </c>
      <c r="Q219" s="1">
        <f>IFERROR(__xludf.DUMMYFUNCTION("""COMPUTED_VALUE"""),"Student interfacing, Teacher interfacing")</f>
        <v/>
      </c>
      <c r="R219" s="1" t="n"/>
      <c r="S219" s="1" t="n"/>
      <c r="T219" s="15">
        <f>IFERROR(__xludf.DUMMYFUNCTION("""COMPUTED_VALUE"""),"https://www.linkedin.com/company/lutz")</f>
        <v/>
      </c>
      <c r="U219" s="1">
        <f>IFERROR(__xludf.DUMMYFUNCTION("""COMPUTED_VALUE"""),"Workshops: AI in Education")</f>
        <v/>
      </c>
      <c r="V219" s="1">
        <f>IFERROR(__xludf.DUMMYFUNCTION("""COMPUTED_VALUE"""),"The workshops demonstrate practical and innovative ways to effectively utilise AI in the classroom.
The hands-on training sessions cover a range of topics, from understanding LLMs to using AI for lesson planning and creating assessments, as well as assist"&amp;"ing students with career preparation.")</f>
        <v/>
      </c>
      <c r="W219" s="1">
        <f>IFERROR(__xludf.DUMMYFUNCTION("""COMPUTED_VALUE"""),"EdTech consulting")</f>
        <v/>
      </c>
      <c r="X219" s="1">
        <f>IFERROR(__xludf.DUMMYFUNCTION("""COMPUTED_VALUE"""),"As a bridge between EdTech companies and schools, we identify areas for product improvement based on the actual needs and expectations of educators and students. We test your product in the classroom environment to provide valuable, direct feedback on its"&amp;" overall educational value.")</f>
        <v/>
      </c>
      <c r="Y219" s="1" t="n"/>
      <c r="Z219" s="1">
        <f>IFERROR(__xludf.DUMMYFUNCTION("""COMPUTED_VALUE"""),"Unverified")</f>
        <v/>
      </c>
      <c r="AA219" s="1" t="n"/>
      <c r="AB219" s="1">
        <f>IFERROR(__xludf.DUMMYFUNCTION("""COMPUTED_VALUE"""),"For-profit company")</f>
        <v/>
      </c>
      <c r="AC219" s="1">
        <f>IFERROR(__xludf.DUMMYFUNCTION("""COMPUTED_VALUE"""),TRUE)</f>
        <v/>
      </c>
      <c r="AD219" s="1">
        <f>IFERROR(__xludf.DUMMYFUNCTION("""COMPUTED_VALUE"""),TRUE)</f>
        <v/>
      </c>
      <c r="AE219" s="1" t="n"/>
    </row>
    <row r="220" ht="42" customHeight="1">
      <c r="A220" s="14">
        <f>IFERROR(__xludf.DUMMYFUNCTION("""COMPUTED_VALUE"""),45839)</f>
        <v/>
      </c>
      <c r="B220" s="1">
        <f>IFERROR(__xludf.DUMMYFUNCTION("""COMPUTED_VALUE"""),"ORG_1836")</f>
        <v/>
      </c>
      <c r="C220" s="1">
        <f>IFERROR(__xludf.DUMMYFUNCTION("""COMPUTED_VALUE"""),TRUE)</f>
        <v/>
      </c>
      <c r="D220" s="1">
        <f>IFERROR(__xludf.DUMMYFUNCTION("""COMPUTED_VALUE"""),"LearningStone")</f>
        <v/>
      </c>
      <c r="E220" s="15">
        <f>IFERROR(__xludf.DUMMYFUNCTION("""COMPUTED_VALUE"""),"www.learningstone.com")</f>
        <v/>
      </c>
      <c r="F220" s="1">
        <f>IFERROR(__xludf.DUMMYFUNCTION("""COMPUTED_VALUE"""),"LearningStone is a multilingual platform for trainers and coaches supporting blended and online learning.")</f>
        <v/>
      </c>
      <c r="G220" s="1">
        <f>IFERROR(__xludf.DUMMYFUNCTION("""COMPUTED_VALUE"""),"I'm not part of any EdTech association")</f>
        <v/>
      </c>
      <c r="H220" s="1">
        <f>IFERROR(__xludf.DUMMYFUNCTION("""COMPUTED_VALUE"""),"English, German, French, Italian, Spanish")</f>
        <v/>
      </c>
      <c r="I220" s="1">
        <f>IFERROR(__xludf.DUMMYFUNCTION("""COMPUTED_VALUE"""),"office@learningstone.com")</f>
        <v/>
      </c>
      <c r="J220" s="1">
        <f>IFERROR(__xludf.DUMMYFUNCTION("""COMPUTED_VALUE"""),"+31208202384")</f>
        <v/>
      </c>
      <c r="K220" s="1">
        <f>IFERROR(__xludf.DUMMYFUNCTION("""COMPUTED_VALUE"""),"Amsterdam")</f>
        <v/>
      </c>
      <c r="L220" s="1">
        <f>IFERROR(__xludf.DUMMYFUNCTION("""COMPUTED_VALUE"""),"The Netherlands")</f>
        <v/>
      </c>
      <c r="M220" s="1">
        <f>IFERROR(__xludf.DUMMYFUNCTION("""COMPUTED_VALUE"""),"Germany, France, Belgium, Netherlands, Luxembourg, Spain, United Kingdom, Switzerland, Ireland")</f>
        <v/>
      </c>
      <c r="N220" s="1">
        <f>IFERROR(__xludf.DUMMYFUNCTION("""COMPUTED_VALUE"""),"Small (10-49 FTE employees)")</f>
        <v/>
      </c>
      <c r="O220" s="1">
        <f>IFERROR(__xludf.DUMMYFUNCTION("""COMPUTED_VALUE"""),"Business to Business")</f>
        <v/>
      </c>
      <c r="P220" s="1">
        <f>IFERROR(__xludf.DUMMYFUNCTION("""COMPUTED_VALUE"""),"Corporate Training, Lifelong learning/Adult education")</f>
        <v/>
      </c>
      <c r="Q220" s="1">
        <f>IFERROR(__xludf.DUMMYFUNCTION("""COMPUTED_VALUE"""),"Student interfacing, Teacher interfacing, System/Administrative")</f>
        <v/>
      </c>
      <c r="R220" s="1" t="n"/>
      <c r="S220" s="1" t="n"/>
      <c r="T220" s="15">
        <f>IFERROR(__xludf.DUMMYFUNCTION("""COMPUTED_VALUE"""),"https://www.linkedin.com/company/learningstone")</f>
        <v/>
      </c>
      <c r="U220" s="1">
        <f>IFERROR(__xludf.DUMMYFUNCTION("""COMPUTED_VALUE"""),"LearningStone")</f>
        <v/>
      </c>
      <c r="V220" s="1">
        <f>IFERROR(__xludf.DUMMYFUNCTION("""COMPUTED_VALUE"""),"Platform technology for blended and online learning")</f>
        <v/>
      </c>
      <c r="W220" s="1" t="n"/>
      <c r="X220" s="1" t="n"/>
      <c r="Y220" s="1" t="n"/>
      <c r="Z220" s="1">
        <f>IFERROR(__xludf.DUMMYFUNCTION("""COMPUTED_VALUE"""),"Unverified")</f>
        <v/>
      </c>
      <c r="AA220" s="1">
        <f>IFERROR(__xludf.DUMMYFUNCTION("""COMPUTED_VALUE"""),"Project consortium building, Industry-academia partnerships")</f>
        <v/>
      </c>
      <c r="AB220" s="1">
        <f>IFERROR(__xludf.DUMMYFUNCTION("""COMPUTED_VALUE"""),"For-profit company")</f>
        <v/>
      </c>
      <c r="AC220" s="1">
        <f>IFERROR(__xludf.DUMMYFUNCTION("""COMPUTED_VALUE"""),TRUE)</f>
        <v/>
      </c>
      <c r="AD220" s="1">
        <f>IFERROR(__xludf.DUMMYFUNCTION("""COMPUTED_VALUE"""),TRUE)</f>
        <v/>
      </c>
      <c r="AE220" s="1" t="n"/>
    </row>
    <row r="221" ht="42" customHeight="1">
      <c r="A221" s="14">
        <f>IFERROR(__xludf.DUMMYFUNCTION("""COMPUTED_VALUE"""),45839)</f>
        <v/>
      </c>
      <c r="B221" s="1">
        <f>IFERROR(__xludf.DUMMYFUNCTION("""COMPUTED_VALUE"""),"ORG_1455")</f>
        <v/>
      </c>
      <c r="C221" s="1">
        <f>IFERROR(__xludf.DUMMYFUNCTION("""COMPUTED_VALUE"""),TRUE)</f>
        <v/>
      </c>
      <c r="D221" s="1">
        <f>IFERROR(__xludf.DUMMYFUNCTION("""COMPUTED_VALUE"""),"Edunexis")</f>
        <v/>
      </c>
      <c r="E221" s="15">
        <f>IFERROR(__xludf.DUMMYFUNCTION("""COMPUTED_VALUE"""),"www.edunexis.com")</f>
        <v/>
      </c>
      <c r="F221" s="1">
        <f>IFERROR(__xludf.DUMMYFUNCTION("""COMPUTED_VALUE"""),"Edunexis develops AI-powered tools that empower educators and institutions to implement competency-based teaching and assessment with ease. Our solutions bridge the gap between educational frameworks and classroom practice — allowing any learning activity"&amp;" to be aligned with any curricular standard or competency model.")</f>
        <v/>
      </c>
      <c r="G221" s="1">
        <f>IFERROR(__xludf.DUMMYFUNCTION("""COMPUTED_VALUE"""),"SEK Lab, EduTech Cluster Spain")</f>
        <v/>
      </c>
      <c r="H221" s="1">
        <f>IFERROR(__xludf.DUMMYFUNCTION("""COMPUTED_VALUE"""),"English, Spanish")</f>
        <v/>
      </c>
      <c r="I221" s="1">
        <f>IFERROR(__xludf.DUMMYFUNCTION("""COMPUTED_VALUE"""),"info@edunexis.com")</f>
        <v/>
      </c>
      <c r="J221" s="1">
        <f>IFERROR(__xludf.DUMMYFUNCTION("""COMPUTED_VALUE"""),"+34641454258")</f>
        <v/>
      </c>
      <c r="K221" s="1">
        <f>IFERROR(__xludf.DUMMYFUNCTION("""COMPUTED_VALUE"""),"Cartagena")</f>
        <v/>
      </c>
      <c r="L221" s="1">
        <f>IFERROR(__xludf.DUMMYFUNCTION("""COMPUTED_VALUE"""),"Spain")</f>
        <v/>
      </c>
      <c r="M221" s="1">
        <f>IFERROR(__xludf.DUMMYFUNCTION("""COMPUTED_VALUE"""),"Spain")</f>
        <v/>
      </c>
      <c r="N221" s="1">
        <f>IFERROR(__xludf.DUMMYFUNCTION("""COMPUTED_VALUE"""),"Micro (1-9 FTE employees)")</f>
        <v/>
      </c>
      <c r="O221" s="1">
        <f>IFERROR(__xludf.DUMMYFUNCTION("""COMPUTED_VALUE"""),"Business to Consumer, Business to Government, Business to Schools")</f>
        <v/>
      </c>
      <c r="P221" s="1">
        <f>IFERROR(__xludf.DUMMYFUNCTION("""COMPUTED_VALUE"""),"Early childhood development (0-5 years), Primary Education, Secondary Education, Vocational Education and Training (VET), Higher Education")</f>
        <v/>
      </c>
      <c r="Q221" s="1">
        <f>IFERROR(__xludf.DUMMYFUNCTION("""COMPUTED_VALUE"""),"Teacher interfacing")</f>
        <v/>
      </c>
      <c r="R221" s="1" t="n"/>
      <c r="S221" s="1" t="n"/>
      <c r="T221" s="1" t="n"/>
      <c r="U221" s="1">
        <f>IFERROR(__xludf.DUMMYFUNCTION("""COMPUTED_VALUE"""),"GRownTH")</f>
        <v/>
      </c>
      <c r="V221" s="1">
        <f>IFERROR(__xludf.DUMMYFUNCTION("""COMPUTED_VALUE"""),"Platform that empowers educators and institutions to implement competency-based teaching and assessment with ease.")</f>
        <v/>
      </c>
      <c r="W221" s="1" t="n"/>
      <c r="X221" s="1" t="n"/>
      <c r="Y221" s="1" t="n"/>
      <c r="Z221" s="1">
        <f>IFERROR(__xludf.DUMMYFUNCTION("""COMPUTED_VALUE"""),"Unverified")</f>
        <v/>
      </c>
      <c r="AA221" s="1">
        <f>IFERROR(__xludf.DUMMYFUNCTION("""COMPUTED_VALUE"""),"Collaborations between EdTech organisations, Project consortium building, Public-private partnerships, Industry-academia partnerships")</f>
        <v/>
      </c>
      <c r="AB221" s="1">
        <f>IFERROR(__xludf.DUMMYFUNCTION("""COMPUTED_VALUE"""),"For-profit company")</f>
        <v/>
      </c>
      <c r="AC221" s="1">
        <f>IFERROR(__xludf.DUMMYFUNCTION("""COMPUTED_VALUE"""),TRUE)</f>
        <v/>
      </c>
      <c r="AD221" s="1">
        <f>IFERROR(__xludf.DUMMYFUNCTION("""COMPUTED_VALUE"""),TRUE)</f>
        <v/>
      </c>
      <c r="AE221" s="1" t="n"/>
    </row>
    <row r="222" ht="42" customHeight="1">
      <c r="A222" s="14">
        <f>IFERROR(__xludf.DUMMYFUNCTION("""COMPUTED_VALUE"""),45839)</f>
        <v/>
      </c>
      <c r="B222" s="1">
        <f>IFERROR(__xludf.DUMMYFUNCTION("""COMPUTED_VALUE"""),"ORG_1219")</f>
        <v/>
      </c>
      <c r="C222" s="1">
        <f>IFERROR(__xludf.DUMMYFUNCTION("""COMPUTED_VALUE"""),TRUE)</f>
        <v/>
      </c>
      <c r="D222" s="1">
        <f>IFERROR(__xludf.DUMMYFUNCTION("""COMPUTED_VALUE"""),"Cards micro-learning")</f>
        <v/>
      </c>
      <c r="E222" s="15">
        <f>IFERROR(__xludf.DUMMYFUNCTION("""COMPUTED_VALUE"""),"https://cards-microlearning.com/")</f>
        <v/>
      </c>
      <c r="F222" s="1">
        <f>IFERROR(__xludf.DUMMYFUNCTION("""COMPUTED_VALUE"""),"Cards is a B2B microlearning platform designed to help organizations anchor essential knowledge through short, high-impact learning experiences. Powered by our proprietary Learning Routine® engine and AI assistant, Cards enables L&amp;D teams, HR leaders, and"&amp;" subject-matter experts to create, automate, and scale microlearning — especially for onboarding, compliance, operational excellence, and continuous upskilling. Cards is used by companies like industries, bank, insurance and retail industries to turn know"&amp;"ledge into action, at scale.")</f>
        <v/>
      </c>
      <c r="G222" s="1">
        <f>IFERROR(__xludf.DUMMYFUNCTION("""COMPUTED_VALUE"""),"I'm not part of any EdTech association")</f>
        <v/>
      </c>
      <c r="H222" s="1">
        <f>IFERROR(__xludf.DUMMYFUNCTION("""COMPUTED_VALUE"""),"French, English")</f>
        <v/>
      </c>
      <c r="I222" s="1">
        <f>IFERROR(__xludf.DUMMYFUNCTION("""COMPUTED_VALUE"""),"hello@cards-microlearning.com")</f>
        <v/>
      </c>
      <c r="J222" s="1">
        <f>IFERROR(__xludf.DUMMYFUNCTION("""COMPUTED_VALUE"""),"+33607099468")</f>
        <v/>
      </c>
      <c r="K222" s="1">
        <f>IFERROR(__xludf.DUMMYFUNCTION("""COMPUTED_VALUE"""),"Lyon")</f>
        <v/>
      </c>
      <c r="L222" s="1">
        <f>IFERROR(__xludf.DUMMYFUNCTION("""COMPUTED_VALUE"""),"France")</f>
        <v/>
      </c>
      <c r="M222" s="1">
        <f>IFERROR(__xludf.DUMMYFUNCTION("""COMPUTED_VALUE"""),"Belgium, United Kingdom, Switzerland, Andorra, France, Finland, Germany, Hungary, Greece, Ireland, Italy, Luxembourg, Netherlands, Monaco, Norway, Poland, San Marino, Portugal, Slovakia, Slovenia, Spain, Turkey, Sweden, Moldova, Malta, Liechtenstein, Denm"&amp;"ark, Czechia, Bulgaria, Croatia, Republic of Cyprus, Austria, Belarus, Estonia, Iceland, Lithuania, Romania")</f>
        <v/>
      </c>
      <c r="N222" s="1">
        <f>IFERROR(__xludf.DUMMYFUNCTION("""COMPUTED_VALUE"""),"Micro (1-9 FTE employees)")</f>
        <v/>
      </c>
      <c r="O222" s="1">
        <f>IFERROR(__xludf.DUMMYFUNCTION("""COMPUTED_VALUE"""),"Business to Business")</f>
        <v/>
      </c>
      <c r="P222" s="1">
        <f>IFERROR(__xludf.DUMMYFUNCTION("""COMPUTED_VALUE"""),"Corporate Training, Lifelong learning/Adult education")</f>
        <v/>
      </c>
      <c r="Q222" s="1">
        <f>IFERROR(__xludf.DUMMYFUNCTION("""COMPUTED_VALUE"""),"Student interfacing, Teacher interfacing, System/Administrative")</f>
        <v/>
      </c>
      <c r="R222" s="1" t="n"/>
      <c r="S222" s="1" t="n"/>
      <c r="T222" s="15">
        <f>IFERROR(__xludf.DUMMYFUNCTION("""COMPUTED_VALUE"""),"https://www.linkedin.com/company/cards")</f>
        <v/>
      </c>
      <c r="U222" s="1">
        <f>IFERROR(__xludf.DUMMYFUNCTION("""COMPUTED_VALUE"""),"Cards – Microlearning &amp; Knowledge Anchoring Platform")</f>
        <v/>
      </c>
      <c r="V222" s="1">
        <f>IFERROR(__xludf.DUMMYFUNCTION("""COMPUTED_VALUE"""),"Cards is a B2B SaaS platform that helps organizations design, automate, and scale short, high-impact learning experiences.
Powered by our Learning Routine® engine and AI assistant, Cards improves knowledge retention through spaced repetition, micro-conten"&amp;"t, and smart notifications.
Ideal for onboard")</f>
        <v/>
      </c>
      <c r="W222" s="1">
        <f>IFERROR(__xludf.DUMMYFUNCTION("""COMPUTED_VALUE"""),"Cards Authoring Tool")</f>
        <v/>
      </c>
      <c r="X222" s="1">
        <f>IFERROR(__xludf.DUMMYFUNCTION("""COMPUTED_VALUE"""),"The Cards authoring tool allows internal experts and L&amp;D teams to create engaging microlearning modules with ease.
Courses can be delivered through Cards or exported in SCORM format to be used in any LMS.
The tool supports AI-assisted content creation, mu"&amp;"ltilingual versions, and interactive formats.")</f>
        <v/>
      </c>
      <c r="Y222" s="1" t="n"/>
      <c r="Z222" s="1">
        <f>IFERROR(__xludf.DUMMYFUNCTION("""COMPUTED_VALUE"""),"Unverified")</f>
        <v/>
      </c>
      <c r="AA222" s="1">
        <f>IFERROR(__xludf.DUMMYFUNCTION("""COMPUTED_VALUE"""),"Industry-academia partnerships, Collaborations between EdTech organisations")</f>
        <v/>
      </c>
      <c r="AB222" s="1">
        <f>IFERROR(__xludf.DUMMYFUNCTION("""COMPUTED_VALUE"""),"For-profit company")</f>
        <v/>
      </c>
      <c r="AC222" s="1">
        <f>IFERROR(__xludf.DUMMYFUNCTION("""COMPUTED_VALUE"""),TRUE)</f>
        <v/>
      </c>
      <c r="AD222" s="1">
        <f>IFERROR(__xludf.DUMMYFUNCTION("""COMPUTED_VALUE"""),FALSE)</f>
        <v/>
      </c>
      <c r="AE222" s="1" t="n"/>
    </row>
    <row r="223" ht="42" customHeight="1">
      <c r="A223" s="14">
        <f>IFERROR(__xludf.DUMMYFUNCTION("""COMPUTED_VALUE"""),45839)</f>
        <v/>
      </c>
      <c r="B223" s="1">
        <f>IFERROR(__xludf.DUMMYFUNCTION("""COMPUTED_VALUE"""),"ORG_2163")</f>
        <v/>
      </c>
      <c r="C223" s="1">
        <f>IFERROR(__xludf.DUMMYFUNCTION("""COMPUTED_VALUE"""),TRUE)</f>
        <v/>
      </c>
      <c r="D223" s="1">
        <f>IFERROR(__xludf.DUMMYFUNCTION("""COMPUTED_VALUE"""),"Readmio")</f>
        <v/>
      </c>
      <c r="E223" s="15">
        <f>IFERROR(__xludf.DUMMYFUNCTION("""COMPUTED_VALUE"""),"www.readmio.com")</f>
        <v/>
      </c>
      <c r="F223" s="1">
        <f>IFERROR(__xludf.DUMMYFUNCTION("""COMPUTED_VALUE"""),"Digital publisher with more than 6 million stories read, trusted by over 1M families, and featured by Apple and Google.")</f>
        <v/>
      </c>
      <c r="G223" s="1">
        <f>IFERROR(__xludf.DUMMYFUNCTION("""COMPUTED_VALUE"""),"I'm not part of any EdTech association")</f>
        <v/>
      </c>
      <c r="H223" s="1">
        <f>IFERROR(__xludf.DUMMYFUNCTION("""COMPUTED_VALUE"""),"English, German, Italian, Spanish, German, Polish, Portuguese, Other")</f>
        <v/>
      </c>
      <c r="I223" s="1">
        <f>IFERROR(__xludf.DUMMYFUNCTION("""COMPUTED_VALUE"""),"hi@readmio.com")</f>
        <v/>
      </c>
      <c r="J223" s="1">
        <f>IFERROR(__xludf.DUMMYFUNCTION("""COMPUTED_VALUE"""),"+421918492922")</f>
        <v/>
      </c>
      <c r="K223" s="1">
        <f>IFERROR(__xludf.DUMMYFUNCTION("""COMPUTED_VALUE"""),"Prague")</f>
        <v/>
      </c>
      <c r="L223" s="1">
        <f>IFERROR(__xludf.DUMMYFUNCTION("""COMPUTED_VALUE"""),"Czech republic")</f>
        <v/>
      </c>
      <c r="M223" s="1">
        <f>IFERROR(__xludf.DUMMYFUNCTION("""COMPUTED_VALUE"""),"Slovakia, Austria, Germany, Czechia, Italy, Ireland, Poland, Portugal, United Kingdom, Latin America")</f>
        <v/>
      </c>
      <c r="N223" s="1">
        <f>IFERROR(__xludf.DUMMYFUNCTION("""COMPUTED_VALUE"""),"Small (10-49 FTE employees)")</f>
        <v/>
      </c>
      <c r="O223" s="1">
        <f>IFERROR(__xludf.DUMMYFUNCTION("""COMPUTED_VALUE"""),"Business to Consumer")</f>
        <v/>
      </c>
      <c r="P223" s="1">
        <f>IFERROR(__xludf.DUMMYFUNCTION("""COMPUTED_VALUE"""),"Early childhood development (0-5 years), Primary Education")</f>
        <v/>
      </c>
      <c r="Q223" s="1">
        <f>IFERROR(__xludf.DUMMYFUNCTION("""COMPUTED_VALUE"""),"Student interfacing")</f>
        <v/>
      </c>
      <c r="R223" s="1" t="n"/>
      <c r="S223" s="1" t="n"/>
      <c r="T223" s="15">
        <f>IFERROR(__xludf.DUMMYFUNCTION("""COMPUTED_VALUE"""),"https://www.linkedin.com/company/42912604/admin/dashboard/")</f>
        <v/>
      </c>
      <c r="U223" s="1">
        <f>IFERROR(__xludf.DUMMYFUNCTION("""COMPUTED_VALUE"""),"Mobile app")</f>
        <v/>
      </c>
      <c r="V223" s="1" t="n"/>
      <c r="W223" s="1" t="n"/>
      <c r="X223" s="1" t="n"/>
      <c r="Y223" s="1" t="n"/>
      <c r="Z223" s="1">
        <f>IFERROR(__xludf.DUMMYFUNCTION("""COMPUTED_VALUE"""),"Unverified")</f>
        <v/>
      </c>
      <c r="AA223" s="1">
        <f>IFERROR(__xludf.DUMMYFUNCTION("""COMPUTED_VALUE"""),"Collaborations between EdTech organisations, Project consortium building, Public-private partnerships")</f>
        <v/>
      </c>
      <c r="AB223" s="1">
        <f>IFERROR(__xludf.DUMMYFUNCTION("""COMPUTED_VALUE"""),"For-profit company")</f>
        <v/>
      </c>
      <c r="AC223" s="1">
        <f>IFERROR(__xludf.DUMMYFUNCTION("""COMPUTED_VALUE"""),TRUE)</f>
        <v/>
      </c>
      <c r="AD223" s="1">
        <f>IFERROR(__xludf.DUMMYFUNCTION("""COMPUTED_VALUE"""),TRUE)</f>
        <v/>
      </c>
      <c r="AE223" s="1" t="n"/>
    </row>
    <row r="224" ht="42" customHeight="1">
      <c r="A224" s="14">
        <f>IFERROR(__xludf.DUMMYFUNCTION("""COMPUTED_VALUE"""),45839)</f>
        <v/>
      </c>
      <c r="B224" s="1">
        <f>IFERROR(__xludf.DUMMYFUNCTION("""COMPUTED_VALUE"""),"ORG_1691")</f>
        <v/>
      </c>
      <c r="C224" s="1">
        <f>IFERROR(__xludf.DUMMYFUNCTION("""COMPUTED_VALUE"""),TRUE)</f>
        <v/>
      </c>
      <c r="D224" s="1">
        <f>IFERROR(__xludf.DUMMYFUNCTION("""COMPUTED_VALUE"""),"Human AI Tech")</f>
        <v/>
      </c>
      <c r="E224" s="15">
        <f>IFERROR(__xludf.DUMMYFUNCTION("""COMPUTED_VALUE"""),"https://humanaitech.com/")</f>
        <v/>
      </c>
      <c r="F224" s="1">
        <f>IFERROR(__xludf.DUMMYFUNCTION("""COMPUTED_VALUE"""),"The assistant with artificial intelligence to make immediate analyses of personality and socio-emotional skills from texts in the natural language of a person, avoiding the self-perception bias and the tedious traditional questionnaires.")</f>
        <v/>
      </c>
      <c r="G224" s="1">
        <f>IFERROR(__xludf.DUMMYFUNCTION("""COMPUTED_VALUE"""),"EduTech Cluster Spain")</f>
        <v/>
      </c>
      <c r="H224" s="1">
        <f>IFERROR(__xludf.DUMMYFUNCTION("""COMPUTED_VALUE"""),"English, French, Spanish, Portuguese")</f>
        <v/>
      </c>
      <c r="I224" s="1">
        <f>IFERROR(__xludf.DUMMYFUNCTION("""COMPUTED_VALUE"""),"aday.vidaurre@humanaitech.com")</f>
        <v/>
      </c>
      <c r="J224" s="1">
        <f>IFERROR(__xludf.DUMMYFUNCTION("""COMPUTED_VALUE"""),"+34648818564")</f>
        <v/>
      </c>
      <c r="K224" s="1">
        <f>IFERROR(__xludf.DUMMYFUNCTION("""COMPUTED_VALUE"""),"Pamplona")</f>
        <v/>
      </c>
      <c r="L224" s="1">
        <f>IFERROR(__xludf.DUMMYFUNCTION("""COMPUTED_VALUE"""),"Spain")</f>
        <v/>
      </c>
      <c r="M224" s="1">
        <f>IFERROR(__xludf.DUMMYFUNCTION("""COMPUTED_VALUE"""),"Spain, United Kingdom, France, Albania, Andorra, Austria, Bosnia and Herzegovina, Belgium, Belarus, Bulgaria, Croatia, Republic of Cyprus, Estonia, Denmark, Czechia, Finland, Germany, Iceland, Hungary, Greece, Ireland, Italy, Kosovo, Lithuania, Liechtenst"&amp;"ein, Latvia, Luxembourg, Malta, Moldova, Netherlands, Poland, San Marino, Montenegro, Monaco, North Macedonia, Slovakia, Portugal, Sweden, Ukraine, Switzerland, Slovenia, Romania, Norway, Turkey, United States of America")</f>
        <v/>
      </c>
      <c r="N224" s="1">
        <f>IFERROR(__xludf.DUMMYFUNCTION("""COMPUTED_VALUE"""),"Small (10-49 FTE employees)")</f>
        <v/>
      </c>
      <c r="O224" s="1">
        <f>IFERROR(__xludf.DUMMYFUNCTION("""COMPUTED_VALUE"""),"Business to Business")</f>
        <v/>
      </c>
      <c r="P224" s="1">
        <f>IFERROR(__xludf.DUMMYFUNCTION("""COMPUTED_VALUE"""),"Secondary Education, Vocational Education and Training (VET), Higher Education, Corporate Training, Lifelong learning/Adult education, Special Education")</f>
        <v/>
      </c>
      <c r="Q224" s="1">
        <f>IFERROR(__xludf.DUMMYFUNCTION("""COMPUTED_VALUE"""),"Student interfacing, Teacher interfacing")</f>
        <v/>
      </c>
      <c r="R224" s="15">
        <f>IFERROR(__xludf.DUMMYFUNCTION("""COMPUTED_VALUE"""),"https://www.instagram.com/humanai_tech/")</f>
        <v/>
      </c>
      <c r="S224" s="1" t="n"/>
      <c r="T224" s="15">
        <f>IFERROR(__xludf.DUMMYFUNCTION("""COMPUTED_VALUE"""),"https://www.linkedin.com/company/aplicaciones")</f>
        <v/>
      </c>
      <c r="U224" s="1">
        <f>IFERROR(__xludf.DUMMYFUNCTION("""COMPUTED_VALUE"""),"Soft skills analysis")</f>
        <v/>
      </c>
      <c r="V224" s="1">
        <f>IFERROR(__xludf.DUMMYFUNCTION("""COMPUTED_VALUE"""),"Socio-emotional skills analysis based on a 800 words text, avoiding self-perception bias")</f>
        <v/>
      </c>
      <c r="W224" s="1" t="n"/>
      <c r="X224" s="1" t="n"/>
      <c r="Y224" s="1" t="n"/>
      <c r="Z224" s="1">
        <f>IFERROR(__xludf.DUMMYFUNCTION("""COMPUTED_VALUE"""),"Unverified")</f>
        <v/>
      </c>
      <c r="AA224" s="1">
        <f>IFERROR(__xludf.DUMMYFUNCTION("""COMPUTED_VALUE"""),"Collaborations between EdTech organisations, Project consortium building, Public-private partnerships, Industry-academia partnerships")</f>
        <v/>
      </c>
      <c r="AB224" s="1">
        <f>IFERROR(__xludf.DUMMYFUNCTION("""COMPUTED_VALUE"""),"For-profit company")</f>
        <v/>
      </c>
      <c r="AC224" s="1">
        <f>IFERROR(__xludf.DUMMYFUNCTION("""COMPUTED_VALUE"""),TRUE)</f>
        <v/>
      </c>
      <c r="AD224" s="1">
        <f>IFERROR(__xludf.DUMMYFUNCTION("""COMPUTED_VALUE"""),FALSE)</f>
        <v/>
      </c>
      <c r="AE224" s="1" t="n"/>
    </row>
    <row r="225" ht="42" customHeight="1">
      <c r="A225" s="14">
        <f>IFERROR(__xludf.DUMMYFUNCTION("""COMPUTED_VALUE"""),45839)</f>
        <v/>
      </c>
      <c r="B225" s="1">
        <f>IFERROR(__xludf.DUMMYFUNCTION("""COMPUTED_VALUE"""),"ORG_2063")</f>
        <v/>
      </c>
      <c r="C225" s="1">
        <f>IFERROR(__xludf.DUMMYFUNCTION("""COMPUTED_VALUE"""),TRUE)</f>
        <v/>
      </c>
      <c r="D225" s="1">
        <f>IFERROR(__xludf.DUMMYFUNCTION("""COMPUTED_VALUE"""),"OneBonsai")</f>
        <v/>
      </c>
      <c r="E225" s="15">
        <f>IFERROR(__xludf.DUMMYFUNCTION("""COMPUTED_VALUE"""),"https://onebonsai.com")</f>
        <v/>
      </c>
      <c r="F225" s="1">
        <f>IFERROR(__xludf.DUMMYFUNCTION("""COMPUTED_VALUE"""),"OneBonsai is a technology company specializing in immersive solutions using Virtual Reality and Artificial Intelligence. In the EdTech sector, OneBonsai focuses on developing innovative VR-based training and educational tools that enhance learning experie"&amp;"nces through interactive, realistic simulations. Our solutions are used for soft skills training, safety procedures, and technical education, providing scalable, engaging, and effective learning environments for both academic institutions and corporate tr"&amp;"aining programs.")</f>
        <v/>
      </c>
      <c r="G225" s="1">
        <f>IFERROR(__xludf.DUMMYFUNCTION("""COMPUTED_VALUE"""),"edtechstation")</f>
        <v/>
      </c>
      <c r="H225" s="1">
        <f>IFERROR(__xludf.DUMMYFUNCTION("""COMPUTED_VALUE"""),"English, French, Spanish, German, Dutch")</f>
        <v/>
      </c>
      <c r="I225" s="1">
        <f>IFERROR(__xludf.DUMMYFUNCTION("""COMPUTED_VALUE"""),"hello@onebonsai.com")</f>
        <v/>
      </c>
      <c r="J225" s="1">
        <f>IFERROR(__xludf.DUMMYFUNCTION("""COMPUTED_VALUE"""),"+32478262357")</f>
        <v/>
      </c>
      <c r="K225" s="1">
        <f>IFERROR(__xludf.DUMMYFUNCTION("""COMPUTED_VALUE"""),"Leuven")</f>
        <v/>
      </c>
      <c r="L225" s="1">
        <f>IFERROR(__xludf.DUMMYFUNCTION("""COMPUTED_VALUE"""),"Belgium")</f>
        <v/>
      </c>
      <c r="M225" s="1">
        <f>IFERROR(__xludf.DUMMYFUNCTION("""COMPUTED_VALUE"""),"Belgium")</f>
        <v/>
      </c>
      <c r="N225" s="1">
        <f>IFERROR(__xludf.DUMMYFUNCTION("""COMPUTED_VALUE"""),"Small (10-49 FTE employees)")</f>
        <v/>
      </c>
      <c r="O225" s="1">
        <f>IFERROR(__xludf.DUMMYFUNCTION("""COMPUTED_VALUE"""),"Business to Business, Business to Government")</f>
        <v/>
      </c>
      <c r="P225" s="1">
        <f>IFERROR(__xludf.DUMMYFUNCTION("""COMPUTED_VALUE"""),"Higher Education, Corporate Training, Lifelong learning/Adult education")</f>
        <v/>
      </c>
      <c r="Q225" s="1">
        <f>IFERROR(__xludf.DUMMYFUNCTION("""COMPUTED_VALUE"""),"Student interfacing")</f>
        <v/>
      </c>
      <c r="R225" s="1" t="n"/>
      <c r="S225" s="1" t="n"/>
      <c r="T225" s="15">
        <f>IFERROR(__xludf.DUMMYFUNCTION("""COMPUTED_VALUE"""),"https://www.linkedin.com/company/onebonsai")</f>
        <v/>
      </c>
      <c r="U225" s="1">
        <f>IFERROR(__xludf.DUMMYFUNCTION("""COMPUTED_VALUE"""),"VR Training Platform")</f>
        <v/>
      </c>
      <c r="V225" s="1">
        <f>IFERROR(__xludf.DUMMYFUNCTION("""COMPUTED_VALUE"""),"OneBonsai offers a Virtual Reality Training Platform which provides immersive learning modules that simulate real-life scenarios, enabling students or trainees to practice skills in a safe, controlled environment.")</f>
        <v/>
      </c>
      <c r="W225" s="1" t="n"/>
      <c r="X225" s="1" t="n"/>
      <c r="Y225" s="1" t="n"/>
      <c r="Z225" s="1">
        <f>IFERROR(__xludf.DUMMYFUNCTION("""COMPUTED_VALUE"""),"Unverified")</f>
        <v/>
      </c>
      <c r="AA225" s="1">
        <f>IFERROR(__xludf.DUMMYFUNCTION("""COMPUTED_VALUE"""),"Collaborations between EdTech organisations, Project consortium building, Public-private partnerships")</f>
        <v/>
      </c>
      <c r="AB225" s="1">
        <f>IFERROR(__xludf.DUMMYFUNCTION("""COMPUTED_VALUE"""),"For-profit company")</f>
        <v/>
      </c>
      <c r="AC225" s="1">
        <f>IFERROR(__xludf.DUMMYFUNCTION("""COMPUTED_VALUE"""),TRUE)</f>
        <v/>
      </c>
      <c r="AD225" s="1">
        <f>IFERROR(__xludf.DUMMYFUNCTION("""COMPUTED_VALUE"""),TRUE)</f>
        <v/>
      </c>
      <c r="AE225" s="1" t="n"/>
    </row>
    <row r="226" ht="42" customHeight="1">
      <c r="A226" s="14">
        <f>IFERROR(__xludf.DUMMYFUNCTION("""COMPUTED_VALUE"""),45839)</f>
        <v/>
      </c>
      <c r="B226" s="1">
        <f>IFERROR(__xludf.DUMMYFUNCTION("""COMPUTED_VALUE"""),"ORG_1959")</f>
        <v/>
      </c>
      <c r="C226" s="1">
        <f>IFERROR(__xludf.DUMMYFUNCTION("""COMPUTED_VALUE"""),TRUE)</f>
        <v/>
      </c>
      <c r="D226" s="1">
        <f>IFERROR(__xludf.DUMMYFUNCTION("""COMPUTED_VALUE"""),"Meta Learn")</f>
        <v/>
      </c>
      <c r="E226" s="15">
        <f>IFERROR(__xludf.DUMMYFUNCTION("""COMPUTED_VALUE"""),"https://business.metalearnapps.com/")</f>
        <v/>
      </c>
      <c r="F226" s="1">
        <f>IFERROR(__xludf.DUMMYFUNCTION("""COMPUTED_VALUE"""),"The Survey That Actively Improves Well-Being. Our well-being measurement goes beyond just collecting data. Using AI-powered insights, we identify employees with low well-being and provide targeted exercises to prevent burnout and stress. This ensures help"&amp;" reaches those who need it most effortlessly. By taking action, we help create a healthier, more engaged, and high-performing team.")</f>
        <v/>
      </c>
      <c r="G226" s="1">
        <f>IFERROR(__xludf.DUMMYFUNCTION("""COMPUTED_VALUE"""),"EdTech Denmark")</f>
        <v/>
      </c>
      <c r="H226" s="1">
        <f>IFERROR(__xludf.DUMMYFUNCTION("""COMPUTED_VALUE"""),"English, German, Danish, Swedish, Norwegian")</f>
        <v/>
      </c>
      <c r="I226" s="1">
        <f>IFERROR(__xludf.DUMMYFUNCTION("""COMPUTED_VALUE"""),"af@metalearnapps.com")</f>
        <v/>
      </c>
      <c r="J226" s="1">
        <f>IFERROR(__xludf.DUMMYFUNCTION("""COMPUTED_VALUE"""),"+4540116604")</f>
        <v/>
      </c>
      <c r="K226" s="1">
        <f>IFERROR(__xludf.DUMMYFUNCTION("""COMPUTED_VALUE"""),"Eskilstrup")</f>
        <v/>
      </c>
      <c r="L226" s="1">
        <f>IFERROR(__xludf.DUMMYFUNCTION("""COMPUTED_VALUE"""),"Denmark")</f>
        <v/>
      </c>
      <c r="M226" s="1">
        <f>IFERROR(__xludf.DUMMYFUNCTION("""COMPUTED_VALUE"""),"Denmark")</f>
        <v/>
      </c>
      <c r="N226" s="1">
        <f>IFERROR(__xludf.DUMMYFUNCTION("""COMPUTED_VALUE"""),"Micro (1-9 FTE employees)")</f>
        <v/>
      </c>
      <c r="O226" s="1">
        <f>IFERROR(__xludf.DUMMYFUNCTION("""COMPUTED_VALUE"""),"Business to Business, Business to Schools, Business to Government")</f>
        <v/>
      </c>
      <c r="P226" s="1">
        <f>IFERROR(__xludf.DUMMYFUNCTION("""COMPUTED_VALUE"""),"Primary Education, Secondary Education, Higher Education, Vocational Education and Training (VET), Corporate Training, Lifelong learning/Adult education, Special Education")</f>
        <v/>
      </c>
      <c r="Q226" s="1">
        <f>IFERROR(__xludf.DUMMYFUNCTION("""COMPUTED_VALUE"""),"Student interfacing, Teacher interfacing, System/Administrative")</f>
        <v/>
      </c>
      <c r="R226" s="1" t="n"/>
      <c r="S226" s="1" t="n"/>
      <c r="T226" s="15">
        <f>IFERROR(__xludf.DUMMYFUNCTION("""COMPUTED_VALUE"""),"https://www.linkedin.com/company/meta")</f>
        <v/>
      </c>
      <c r="U226" s="1">
        <f>IFERROR(__xludf.DUMMYFUNCTION("""COMPUTED_VALUE"""),"AI-Powered Survey")</f>
        <v/>
      </c>
      <c r="V226" s="1">
        <f>IFERROR(__xludf.DUMMYFUNCTION("""COMPUTED_VALUE"""),"Transforms employee feedback into action. Promotes well-being and job satisfaction – every day.
Preventive action with AI: Detects distress in real time through anonymous data.")</f>
        <v/>
      </c>
      <c r="W226" s="1">
        <f>IFERROR(__xludf.DUMMYFUNCTION("""COMPUTED_VALUE"""),"Self-help app")</f>
        <v/>
      </c>
      <c r="X226" s="1">
        <f>IFERROR(__xludf.DUMMYFUNCTION("""COMPUTED_VALUE"""),"Anonymous self-help: 100% anonymous process with no sharing of sensitive data. Automatically support based on the users own well-being data.")</f>
        <v/>
      </c>
      <c r="Y226" s="1" t="n"/>
      <c r="Z226" s="1">
        <f>IFERROR(__xludf.DUMMYFUNCTION("""COMPUTED_VALUE"""),"Unverified")</f>
        <v/>
      </c>
      <c r="AA226" s="1" t="n"/>
      <c r="AB226" s="1">
        <f>IFERROR(__xludf.DUMMYFUNCTION("""COMPUTED_VALUE"""),"For-profit company")</f>
        <v/>
      </c>
      <c r="AC226" s="1">
        <f>IFERROR(__xludf.DUMMYFUNCTION("""COMPUTED_VALUE"""),TRUE)</f>
        <v/>
      </c>
      <c r="AD226" s="1">
        <f>IFERROR(__xludf.DUMMYFUNCTION("""COMPUTED_VALUE"""),TRUE)</f>
        <v/>
      </c>
      <c r="AE226" s="1" t="n"/>
    </row>
    <row r="227" ht="42" customHeight="1">
      <c r="A227" s="14">
        <f>IFERROR(__xludf.DUMMYFUNCTION("""COMPUTED_VALUE"""),45839)</f>
        <v/>
      </c>
      <c r="B227" s="1">
        <f>IFERROR(__xludf.DUMMYFUNCTION("""COMPUTED_VALUE"""),"ORG_2215")</f>
        <v/>
      </c>
      <c r="C227" s="1">
        <f>IFERROR(__xludf.DUMMYFUNCTION("""COMPUTED_VALUE"""),TRUE)</f>
        <v/>
      </c>
      <c r="D227" s="1">
        <f>IFERROR(__xludf.DUMMYFUNCTION("""COMPUTED_VALUE"""),"SchuBu Systems GmbH")</f>
        <v/>
      </c>
      <c r="E227" s="15">
        <f>IFERROR(__xludf.DUMMYFUNCTION("""COMPUTED_VALUE"""),"https://www.schubu.org")</f>
        <v/>
      </c>
      <c r="F227" s="1">
        <f>IFERROR(__xludf.DUMMYFUNCTION("""COMPUTED_VALUE"""),"SchuBu is a digital publisher based in Vienna and created the first, fully interactive digital learning world. This is award-winning, is already widely used and valued in Austrian schools and is now an integral part of the market. SchuBu is one Teaching a"&amp;"nd learning platform (currently for secondary level 1) is state-of-the-art: its special feature is that Combining the teaching material with simulations, games, presentation slides, exercises, worksheets and experiments. This makes teaching easier and lea"&amp;"rning more interesting, in keeping with the intrinsically motivating gamification approach: “Playing is a child’s way of learning, discovering the world and understanding connections.”")</f>
        <v/>
      </c>
      <c r="G227" s="1">
        <f>IFERROR(__xludf.DUMMYFUNCTION("""COMPUTED_VALUE"""),"EdTech Austria")</f>
        <v/>
      </c>
      <c r="H227" s="1">
        <f>IFERROR(__xludf.DUMMYFUNCTION("""COMPUTED_VALUE"""),"German")</f>
        <v/>
      </c>
      <c r="I227" s="1">
        <f>IFERROR(__xludf.DUMMYFUNCTION("""COMPUTED_VALUE"""),"office@schubu.at")</f>
        <v/>
      </c>
      <c r="J227" s="1">
        <f>IFERROR(__xludf.DUMMYFUNCTION("""COMPUTED_VALUE"""),"+4367763735255")</f>
        <v/>
      </c>
      <c r="K227" s="1">
        <f>IFERROR(__xludf.DUMMYFUNCTION("""COMPUTED_VALUE"""),"Vienna")</f>
        <v/>
      </c>
      <c r="L227" s="1">
        <f>IFERROR(__xludf.DUMMYFUNCTION("""COMPUTED_VALUE"""),"Austria")</f>
        <v/>
      </c>
      <c r="M227" s="1">
        <f>IFERROR(__xludf.DUMMYFUNCTION("""COMPUTED_VALUE"""),"Austria, Germany, Switzerland, Italy")</f>
        <v/>
      </c>
      <c r="N227" s="1">
        <f>IFERROR(__xludf.DUMMYFUNCTION("""COMPUTED_VALUE"""),"Small (10-49 FTE employees)")</f>
        <v/>
      </c>
      <c r="O227" s="1">
        <f>IFERROR(__xludf.DUMMYFUNCTION("""COMPUTED_VALUE"""),"Business to Schools")</f>
        <v/>
      </c>
      <c r="P227" s="1">
        <f>IFERROR(__xludf.DUMMYFUNCTION("""COMPUTED_VALUE"""),"Secondary Education")</f>
        <v/>
      </c>
      <c r="Q227" s="1">
        <f>IFERROR(__xludf.DUMMYFUNCTION("""COMPUTED_VALUE"""),"Student interfacing, Teacher interfacing, System/Administrative")</f>
        <v/>
      </c>
      <c r="R227" s="1" t="n"/>
      <c r="S227" s="1" t="n"/>
      <c r="T227" s="15">
        <f>IFERROR(__xludf.DUMMYFUNCTION("""COMPUTED_VALUE"""),"https://at.linkedin.com/company/schubuwien")</f>
        <v/>
      </c>
      <c r="U227" s="1">
        <f>IFERROR(__xludf.DUMMYFUNCTION("""COMPUTED_VALUE"""),"SchuBu")</f>
        <v/>
      </c>
      <c r="V227" s="1">
        <f>IFERROR(__xludf.DUMMYFUNCTION("""COMPUTED_VALUE"""),"SchuBu Systems GmbH addresses a critical issue in today’s education: the need of teachers to have immediately accessible, classroom-ready digital content that supports effective teaching.")</f>
        <v/>
      </c>
      <c r="W227" s="1">
        <f>IFERROR(__xludf.DUMMYFUNCTION("""COMPUTED_VALUE"""),"SchuBu+")</f>
        <v/>
      </c>
      <c r="X227" s="1">
        <f>IFERROR(__xludf.DUMMYFUNCTION("""COMPUTED_VALUE"""),"The platform offers precompiled learning paths and ready-to-use materials that minimize preparation time, enabling teachers to focus on fostering meaningful relationships with students.")</f>
        <v/>
      </c>
      <c r="Y227" s="1" t="n"/>
      <c r="Z227" s="1">
        <f>IFERROR(__xludf.DUMMYFUNCTION("""COMPUTED_VALUE"""),"Unverified")</f>
        <v/>
      </c>
      <c r="AA227" s="1">
        <f>IFERROR(__xludf.DUMMYFUNCTION("""COMPUTED_VALUE"""),"Public-private partnerships, Industry-academia partnerships, Collaborations between EdTech organisations")</f>
        <v/>
      </c>
      <c r="AB227" s="1">
        <f>IFERROR(__xludf.DUMMYFUNCTION("""COMPUTED_VALUE"""),"For-profit company")</f>
        <v/>
      </c>
      <c r="AC227" s="1">
        <f>IFERROR(__xludf.DUMMYFUNCTION("""COMPUTED_VALUE"""),TRUE)</f>
        <v/>
      </c>
      <c r="AD227" s="1">
        <f>IFERROR(__xludf.DUMMYFUNCTION("""COMPUTED_VALUE"""),TRUE)</f>
        <v/>
      </c>
      <c r="AE227" s="1" t="n"/>
    </row>
    <row r="228" ht="42" customHeight="1">
      <c r="A228" s="14">
        <f>IFERROR(__xludf.DUMMYFUNCTION("""COMPUTED_VALUE"""),45839)</f>
        <v/>
      </c>
      <c r="B228" s="1">
        <f>IFERROR(__xludf.DUMMYFUNCTION("""COMPUTED_VALUE"""),"ORG_1797")</f>
        <v/>
      </c>
      <c r="C228" s="1">
        <f>IFERROR(__xludf.DUMMYFUNCTION("""COMPUTED_VALUE"""),TRUE)</f>
        <v/>
      </c>
      <c r="D228" s="1">
        <f>IFERROR(__xludf.DUMMYFUNCTION("""COMPUTED_VALUE"""),"Kwizie")</f>
        <v/>
      </c>
      <c r="E228" s="15">
        <f>IFERROR(__xludf.DUMMYFUNCTION("""COMPUTED_VALUE"""),"https://www.kwizie.ai/")</f>
        <v/>
      </c>
      <c r="F228" s="1">
        <f>IFERROR(__xludf.DUMMYFUNCTION("""COMPUTED_VALUE"""),"Kwizie is a smart assessment and credentialing platform designed to help upskill everyone for the future of work.")</f>
        <v/>
      </c>
      <c r="G228" s="1">
        <f>IFERROR(__xludf.DUMMYFUNCTION("""COMPUTED_VALUE"""),"EdTech Finland")</f>
        <v/>
      </c>
      <c r="H228" s="1" t="n"/>
      <c r="I228" s="1">
        <f>IFERROR(__xludf.DUMMYFUNCTION("""COMPUTED_VALUE"""),"support@kwizie.ai")</f>
        <v/>
      </c>
      <c r="J228" s="1">
        <f>IFERROR(__xludf.DUMMYFUNCTION("""COMPUTED_VALUE"""),"+41783230691")</f>
        <v/>
      </c>
      <c r="K228" s="1">
        <f>IFERROR(__xludf.DUMMYFUNCTION("""COMPUTED_VALUE"""),"Helsinki")</f>
        <v/>
      </c>
      <c r="L228" s="1">
        <f>IFERROR(__xludf.DUMMYFUNCTION("""COMPUTED_VALUE"""),"Finland")</f>
        <v/>
      </c>
      <c r="M228" s="1" t="n"/>
      <c r="N228" s="1">
        <f>IFERROR(__xludf.DUMMYFUNCTION("""COMPUTED_VALUE"""),"Micro (1-9 FTE employees)")</f>
        <v/>
      </c>
      <c r="O228" s="1">
        <f>IFERROR(__xludf.DUMMYFUNCTION("""COMPUTED_VALUE"""),"Business to Business, Business to Consumer, Business to Government, Business to Schools")</f>
        <v/>
      </c>
      <c r="P228" s="1">
        <f>IFERROR(__xludf.DUMMYFUNCTION("""COMPUTED_VALUE"""),"Secondary Education, Vocational Education and Training (VET), Higher Education, Corporate Training, Lifelong learning/Adult education")</f>
        <v/>
      </c>
      <c r="Q228" s="1">
        <f>IFERROR(__xludf.DUMMYFUNCTION("""COMPUTED_VALUE"""),"Student interfacing, Teacher interfacing")</f>
        <v/>
      </c>
      <c r="R228" s="1" t="n"/>
      <c r="S228" s="1" t="n"/>
      <c r="T228" s="15">
        <f>IFERROR(__xludf.DUMMYFUNCTION("""COMPUTED_VALUE"""),"https://www.linkedin.com/company/kwizie/")</f>
        <v/>
      </c>
      <c r="U228" s="1" t="n"/>
      <c r="V228" s="1" t="n"/>
      <c r="W228" s="1" t="n"/>
      <c r="X228" s="1" t="n"/>
      <c r="Y228" s="1" t="n"/>
      <c r="Z228" s="1">
        <f>IFERROR(__xludf.DUMMYFUNCTION("""COMPUTED_VALUE"""),"Unverified")</f>
        <v/>
      </c>
      <c r="AA228" s="1">
        <f>IFERROR(__xludf.DUMMYFUNCTION("""COMPUTED_VALUE"""),"Collaborations between EdTech organisations, Project consortium building, Public-private partnerships, Industry-academia partnerships")</f>
        <v/>
      </c>
      <c r="AB228" s="1">
        <f>IFERROR(__xludf.DUMMYFUNCTION("""COMPUTED_VALUE"""),"For-profit company")</f>
        <v/>
      </c>
      <c r="AC228" s="1">
        <f>IFERROR(__xludf.DUMMYFUNCTION("""COMPUTED_VALUE"""),TRUE)</f>
        <v/>
      </c>
      <c r="AD228" s="1" t="n"/>
      <c r="AE228" s="1" t="n"/>
    </row>
    <row r="229" ht="42" customHeight="1">
      <c r="A229" s="14">
        <f>IFERROR(__xludf.DUMMYFUNCTION("""COMPUTED_VALUE"""),45839)</f>
        <v/>
      </c>
      <c r="B229" s="1">
        <f>IFERROR(__xludf.DUMMYFUNCTION("""COMPUTED_VALUE"""),"ORG_2208")</f>
        <v/>
      </c>
      <c r="C229" s="1">
        <f>IFERROR(__xludf.DUMMYFUNCTION("""COMPUTED_VALUE"""),TRUE)</f>
        <v/>
      </c>
      <c r="D229" s="1">
        <f>IFERROR(__xludf.DUMMYFUNCTION("""COMPUTED_VALUE"""),"SceneSnap")</f>
        <v/>
      </c>
      <c r="E229" s="15">
        <f>IFERROR(__xludf.DUMMYFUNCTION("""COMPUTED_VALUE"""),"https://scenesnap.co/")</f>
        <v/>
      </c>
      <c r="F229" s="1">
        <f>IFERROR(__xludf.DUMMYFUNCTION("""COMPUTED_VALUE"""),"SceneSnap turns passive learning materials into interactive, AI-powered learning experiences. Used in universities and companies, SceneSnap helps learners engage faster, retain more, and access content in a way that fits their daily habits.")</f>
        <v/>
      </c>
      <c r="G229" s="1">
        <f>IFERROR(__xludf.DUMMYFUNCTION("""COMPUTED_VALUE"""),"I'm not part of any EdTech association")</f>
        <v/>
      </c>
      <c r="H229" s="1">
        <f>IFERROR(__xludf.DUMMYFUNCTION("""COMPUTED_VALUE"""),"English, German, Italian, French, Spanish, Other")</f>
        <v/>
      </c>
      <c r="I229" s="1">
        <f>IFERROR(__xludf.DUMMYFUNCTION("""COMPUTED_VALUE"""),"info.scenesnap@gmail.com")</f>
        <v/>
      </c>
      <c r="J229" s="1">
        <f>IFERROR(__xludf.DUMMYFUNCTION("""COMPUTED_VALUE"""),"+393421453285")</f>
        <v/>
      </c>
      <c r="K229" s="1">
        <f>IFERROR(__xludf.DUMMYFUNCTION("""COMPUTED_VALUE"""),"Milan")</f>
        <v/>
      </c>
      <c r="L229" s="1">
        <f>IFERROR(__xludf.DUMMYFUNCTION("""COMPUTED_VALUE"""),"Italy")</f>
        <v/>
      </c>
      <c r="M229" s="1" t="n"/>
      <c r="N229" s="1">
        <f>IFERROR(__xludf.DUMMYFUNCTION("""COMPUTED_VALUE"""),"Micro (1-9 FTE employees)")</f>
        <v/>
      </c>
      <c r="O229" s="1">
        <f>IFERROR(__xludf.DUMMYFUNCTION("""COMPUTED_VALUE"""),"Business to Consumer, Business to Business, Business to Government, Business to Schools")</f>
        <v/>
      </c>
      <c r="P229" s="1">
        <f>IFERROR(__xludf.DUMMYFUNCTION("""COMPUTED_VALUE"""),"Higher Education, Corporate Training")</f>
        <v/>
      </c>
      <c r="Q229" s="1">
        <f>IFERROR(__xludf.DUMMYFUNCTION("""COMPUTED_VALUE"""),"Student interfacing, Teacher interfacing, System/Administrative")</f>
        <v/>
      </c>
      <c r="R229" s="1" t="n"/>
      <c r="S229" s="1" t="n"/>
      <c r="T229" s="15">
        <f>IFERROR(__xludf.DUMMYFUNCTION("""COMPUTED_VALUE"""),"https://www.linkedin.com/company/scenesnap/")</f>
        <v/>
      </c>
      <c r="U229" s="1">
        <f>IFERROR(__xludf.DUMMYFUNCTION("""COMPUTED_VALUE"""),"SceneSnap Platform")</f>
        <v/>
      </c>
      <c r="V229" s="1">
        <f>IFERROR(__xludf.DUMMYFUNCTION("""COMPUTED_VALUE"""),"An AI-powered learning platform that transforms passive content, videos, PDFs, and SOPs into interactive, personalized learning assets. Features include summaries, flashcards, mind maps, quizzes, and a conversational AI tutor.")</f>
        <v/>
      </c>
      <c r="W229" s="1">
        <f>IFERROR(__xludf.DUMMYFUNCTION("""COMPUTED_VALUE"""),"The Repeater (AI Tutor)")</f>
        <v/>
      </c>
      <c r="X229" s="1">
        <f>IFERROR(__xludf.DUMMYFUNCTION("""COMPUTED_VALUE"""),"An interactive AI tutor that helps students understand course content through conversation. It can generate tailored explanations, slides, and videos in real time based on the user’s questions and learning needs.")</f>
        <v/>
      </c>
      <c r="Y229" s="1" t="n"/>
      <c r="Z229" s="1">
        <f>IFERROR(__xludf.DUMMYFUNCTION("""COMPUTED_VALUE"""),"Unverified")</f>
        <v/>
      </c>
      <c r="AA229" s="1">
        <f>IFERROR(__xludf.DUMMYFUNCTION("""COMPUTED_VALUE"""),"Public-private partnerships, Industry-academia partnerships, Project consortium building, Collaborations between EdTech organisations")</f>
        <v/>
      </c>
      <c r="AB229" s="1">
        <f>IFERROR(__xludf.DUMMYFUNCTION("""COMPUTED_VALUE"""),"For-profit company")</f>
        <v/>
      </c>
      <c r="AC229" s="1">
        <f>IFERROR(__xludf.DUMMYFUNCTION("""COMPUTED_VALUE"""),TRUE)</f>
        <v/>
      </c>
      <c r="AD229" s="1">
        <f>IFERROR(__xludf.DUMMYFUNCTION("""COMPUTED_VALUE"""),TRUE)</f>
        <v/>
      </c>
      <c r="AE229" s="1" t="n"/>
    </row>
    <row r="230" ht="42" customHeight="1">
      <c r="A230" s="14">
        <f>IFERROR(__xludf.DUMMYFUNCTION("""COMPUTED_VALUE"""),45839)</f>
        <v/>
      </c>
      <c r="B230" s="1">
        <f>IFERROR(__xludf.DUMMYFUNCTION("""COMPUTED_VALUE"""),"ORG_1399")</f>
        <v/>
      </c>
      <c r="C230" s="1">
        <f>IFERROR(__xludf.DUMMYFUNCTION("""COMPUTED_VALUE"""),TRUE)</f>
        <v/>
      </c>
      <c r="D230" s="1">
        <f>IFERROR(__xludf.DUMMYFUNCTION("""COMPUTED_VALUE"""),"edChild")</f>
        <v/>
      </c>
      <c r="E230" s="15">
        <f>IFERROR(__xludf.DUMMYFUNCTION("""COMPUTED_VALUE"""),"www.edchild.com")</f>
        <v/>
      </c>
      <c r="F230" s="1">
        <f>IFERROR(__xludf.DUMMYFUNCTION("""COMPUTED_VALUE"""),"edChild is an award-winning non-profit EdTech company dedicated to empowering early childhood educators with valuable resources and opportunities for knowledge sharing and personalised learning particularly around sustainability.")</f>
        <v/>
      </c>
      <c r="G230" s="1">
        <f>IFERROR(__xludf.DUMMYFUNCTION("""COMPUTED_VALUE"""),"I'm not part of any EdTech association")</f>
        <v/>
      </c>
      <c r="H230" s="1">
        <f>IFERROR(__xludf.DUMMYFUNCTION("""COMPUTED_VALUE"""),"English, French, Spanish, Swedish")</f>
        <v/>
      </c>
      <c r="I230" s="1">
        <f>IFERROR(__xludf.DUMMYFUNCTION("""COMPUTED_VALUE"""),"hello@edchild.com")</f>
        <v/>
      </c>
      <c r="J230" s="1">
        <f>IFERROR(__xludf.DUMMYFUNCTION("""COMPUTED_VALUE"""),"+46728536314")</f>
        <v/>
      </c>
      <c r="K230" s="1">
        <f>IFERROR(__xludf.DUMMYFUNCTION("""COMPUTED_VALUE"""),"Stockholm")</f>
        <v/>
      </c>
      <c r="L230" s="1">
        <f>IFERROR(__xludf.DUMMYFUNCTION("""COMPUTED_VALUE"""),"Sweden")</f>
        <v/>
      </c>
      <c r="M230" s="1">
        <f>IFERROR(__xludf.DUMMYFUNCTION("""COMPUTED_VALUE"""),"Austria, Belgium, Croatia, Czechia, Denmark, Estonia, Finland, France, Ireland, Italy, Netherlands, Norway, Poland, Portugal, Slovakia, Spain, Sweden, Switzerland, United Kingdom")</f>
        <v/>
      </c>
      <c r="N230" s="1">
        <f>IFERROR(__xludf.DUMMYFUNCTION("""COMPUTED_VALUE"""),"Micro (1-9 FTE employees)")</f>
        <v/>
      </c>
      <c r="O230" s="1">
        <f>IFERROR(__xludf.DUMMYFUNCTION("""COMPUTED_VALUE"""),"Business to Consumer, Business to Schools")</f>
        <v/>
      </c>
      <c r="P230" s="1">
        <f>IFERROR(__xludf.DUMMYFUNCTION("""COMPUTED_VALUE"""),"Early childhood development (0-5 years), Lifelong learning/Adult education")</f>
        <v/>
      </c>
      <c r="Q230" s="1">
        <f>IFERROR(__xludf.DUMMYFUNCTION("""COMPUTED_VALUE"""),"Teacher interfacing")</f>
        <v/>
      </c>
      <c r="R230" s="1" t="n"/>
      <c r="S230" s="1" t="n"/>
      <c r="T230" s="1" t="n"/>
      <c r="U230" s="1">
        <f>IFERROR(__xludf.DUMMYFUNCTION("""COMPUTED_VALUE"""),"ECE Academy")</f>
        <v/>
      </c>
      <c r="V230" s="1">
        <f>IFERROR(__xludf.DUMMYFUNCTION("""COMPUTED_VALUE"""),"An online course platform designed for early childhood educators. It currently features the course “Sustainability from the Start,” which was developed in a major European project. This widely recognised course has been highlighted by UNESCO, the Swedish "&amp;"National Agency for Education, and COP28.")</f>
        <v/>
      </c>
      <c r="W230" s="1" t="n"/>
      <c r="X230" s="1" t="n"/>
      <c r="Y230" s="1" t="n"/>
      <c r="Z230" s="1">
        <f>IFERROR(__xludf.DUMMYFUNCTION("""COMPUTED_VALUE"""),"Unverified")</f>
        <v/>
      </c>
      <c r="AA230" s="1">
        <f>IFERROR(__xludf.DUMMYFUNCTION("""COMPUTED_VALUE"""),"Public-private partnerships, Project consortium building")</f>
        <v/>
      </c>
      <c r="AB230" s="1">
        <f>IFERROR(__xludf.DUMMYFUNCTION("""COMPUTED_VALUE"""),"Non-profit organisation")</f>
        <v/>
      </c>
      <c r="AC230" s="1">
        <f>IFERROR(__xludf.DUMMYFUNCTION("""COMPUTED_VALUE"""),TRUE)</f>
        <v/>
      </c>
      <c r="AD230" s="1">
        <f>IFERROR(__xludf.DUMMYFUNCTION("""COMPUTED_VALUE"""),TRUE)</f>
        <v/>
      </c>
      <c r="AE230" s="15">
        <f>IFERROR(__xludf.DUMMYFUNCTION("""COMPUTED_VALUE"""),"https://www.facebook.com/edChildECEAcademy")</f>
        <v/>
      </c>
    </row>
    <row r="231" ht="42" customHeight="1">
      <c r="A231" s="14">
        <f>IFERROR(__xludf.DUMMYFUNCTION("""COMPUTED_VALUE"""),45839)</f>
        <v/>
      </c>
      <c r="B231" s="1">
        <f>IFERROR(__xludf.DUMMYFUNCTION("""COMPUTED_VALUE"""),"ORG_2566")</f>
        <v/>
      </c>
      <c r="C231" s="1">
        <f>IFERROR(__xludf.DUMMYFUNCTION("""COMPUTED_VALUE"""),TRUE)</f>
        <v/>
      </c>
      <c r="D231" s="1">
        <f>IFERROR(__xludf.DUMMYFUNCTION("""COMPUTED_VALUE"""),"Your Next Concepts B.V")</f>
        <v/>
      </c>
      <c r="E231" s="15">
        <f>IFERROR(__xludf.DUMMYFUNCTION("""COMPUTED_VALUE"""),"https://yournextconcepts.com")</f>
        <v/>
      </c>
      <c r="F231" s="1">
        <f>IFERROR(__xludf.DUMMYFUNCTION("""COMPUTED_VALUE"""),"We enable educational institutions to develop and organise educational processes based on their educational vision.")</f>
        <v/>
      </c>
      <c r="G231" s="1">
        <f>IFERROR(__xludf.DUMMYFUNCTION("""COMPUTED_VALUE"""),"Dutch EdTech")</f>
        <v/>
      </c>
      <c r="H231" s="1">
        <f>IFERROR(__xludf.DUMMYFUNCTION("""COMPUTED_VALUE"""),"English, Dutch")</f>
        <v/>
      </c>
      <c r="I231" s="1">
        <f>IFERROR(__xludf.DUMMYFUNCTION("""COMPUTED_VALUE"""),"info@yournextconcepts.com")</f>
        <v/>
      </c>
      <c r="J231" s="1">
        <f>IFERROR(__xludf.DUMMYFUNCTION("""COMPUTED_VALUE"""),"+31307440232")</f>
        <v/>
      </c>
      <c r="K231" s="1">
        <f>IFERROR(__xludf.DUMMYFUNCTION("""COMPUTED_VALUE"""),"Utrecht")</f>
        <v/>
      </c>
      <c r="L231" s="1">
        <f>IFERROR(__xludf.DUMMYFUNCTION("""COMPUTED_VALUE"""),"The Netherlands")</f>
        <v/>
      </c>
      <c r="M231" s="1">
        <f>IFERROR(__xludf.DUMMYFUNCTION("""COMPUTED_VALUE"""),"Belgium, Netherlands")</f>
        <v/>
      </c>
      <c r="N231" s="1">
        <f>IFERROR(__xludf.DUMMYFUNCTION("""COMPUTED_VALUE"""),"Small (10-49 FTE employees)")</f>
        <v/>
      </c>
      <c r="O231" s="1">
        <f>IFERROR(__xludf.DUMMYFUNCTION("""COMPUTED_VALUE"""),"Business to Schools")</f>
        <v/>
      </c>
      <c r="P231" s="1">
        <f>IFERROR(__xludf.DUMMYFUNCTION("""COMPUTED_VALUE"""),"Vocational Education and Training (VET), Higher Education, Lifelong learning/Adult education, Corporate Training")</f>
        <v/>
      </c>
      <c r="Q231" s="1">
        <f>IFERROR(__xludf.DUMMYFUNCTION("""COMPUTED_VALUE"""),"Student interfacing, Teacher interfacing, System/Administrative")</f>
        <v/>
      </c>
      <c r="R231" s="1" t="n"/>
      <c r="S231" s="1" t="n"/>
      <c r="T231" s="15">
        <f>IFERROR(__xludf.DUMMYFUNCTION("""COMPUTED_VALUE"""),"https://www.linkedin.com/company/yournextconcepts/")</f>
        <v/>
      </c>
      <c r="U231" s="1">
        <f>IFERROR(__xludf.DUMMYFUNCTION("""COMPUTED_VALUE"""),"SQill")</f>
        <v/>
      </c>
      <c r="V231" s="1">
        <f>IFERROR(__xludf.DUMMYFUNCTION("""COMPUTED_VALUE"""),"Support flexible education by structuring the curriculum in one place.")</f>
        <v/>
      </c>
      <c r="W231" s="1">
        <f>IFERROR(__xludf.DUMMYFUNCTION("""COMPUTED_VALUE"""),"Academy Attendance")</f>
        <v/>
      </c>
      <c r="X231" s="1">
        <f>IFERROR(__xludf.DUMMYFUNCTION("""COMPUTED_VALUE"""),"Manage everything related to enrollment, attendance tracking, and feedback with Academy Attendance.")</f>
        <v/>
      </c>
      <c r="Y231" s="1" t="n"/>
      <c r="Z231" s="1">
        <f>IFERROR(__xludf.DUMMYFUNCTION("""COMPUTED_VALUE"""),"Unverified")</f>
        <v/>
      </c>
      <c r="AA231" s="1" t="n"/>
      <c r="AB231" s="1">
        <f>IFERROR(__xludf.DUMMYFUNCTION("""COMPUTED_VALUE"""),"For-profit company")</f>
        <v/>
      </c>
      <c r="AC231" s="1">
        <f>IFERROR(__xludf.DUMMYFUNCTION("""COMPUTED_VALUE"""),TRUE)</f>
        <v/>
      </c>
      <c r="AD231" s="1">
        <f>IFERROR(__xludf.DUMMYFUNCTION("""COMPUTED_VALUE"""),TRUE)</f>
        <v/>
      </c>
      <c r="AE231" s="1" t="n"/>
    </row>
    <row r="232" ht="42" customHeight="1">
      <c r="A232" s="14">
        <f>IFERROR(__xludf.DUMMYFUNCTION("""COMPUTED_VALUE"""),45839)</f>
        <v/>
      </c>
      <c r="B232" s="1">
        <f>IFERROR(__xludf.DUMMYFUNCTION("""COMPUTED_VALUE"""),"ORG_2173")</f>
        <v/>
      </c>
      <c r="C232" s="1">
        <f>IFERROR(__xludf.DUMMYFUNCTION("""COMPUTED_VALUE"""),TRUE)</f>
        <v/>
      </c>
      <c r="D232" s="1">
        <f>IFERROR(__xludf.DUMMYFUNCTION("""COMPUTED_VALUE"""),"Redox Interactive")</f>
        <v/>
      </c>
      <c r="E232" s="15">
        <f>IFERROR(__xludf.DUMMYFUNCTION("""COMPUTED_VALUE"""),"https://redox-interactive.com")</f>
        <v/>
      </c>
      <c r="F232" s="1">
        <f>IFERROR(__xludf.DUMMYFUNCTION("""COMPUTED_VALUE"""),"Redox Interactive is a independent game development studio from Austria, in the very heart of Europe.")</f>
        <v/>
      </c>
      <c r="G232" s="1">
        <f>IFERROR(__xludf.DUMMYFUNCTION("""COMPUTED_VALUE"""),"EdTech Austria")</f>
        <v/>
      </c>
      <c r="H232" s="1" t="n"/>
      <c r="I232" s="1">
        <f>IFERROR(__xludf.DUMMYFUNCTION("""COMPUTED_VALUE"""),"info@redox-interactive.com")</f>
        <v/>
      </c>
      <c r="J232" s="1">
        <f>IFERROR(__xludf.DUMMYFUNCTION("""COMPUTED_VALUE"""),"+43662273273")</f>
        <v/>
      </c>
      <c r="K232" s="1">
        <f>IFERROR(__xludf.DUMMYFUNCTION("""COMPUTED_VALUE"""),"Salzburg")</f>
        <v/>
      </c>
      <c r="L232" s="1">
        <f>IFERROR(__xludf.DUMMYFUNCTION("""COMPUTED_VALUE"""),"Austria")</f>
        <v/>
      </c>
      <c r="M232" s="1" t="n"/>
      <c r="N232" s="1">
        <f>IFERROR(__xludf.DUMMYFUNCTION("""COMPUTED_VALUE"""),"Small (10-49 FTE employees)")</f>
        <v/>
      </c>
      <c r="O232" s="1">
        <f>IFERROR(__xludf.DUMMYFUNCTION("""COMPUTED_VALUE"""),"Business to Business, Business to Consumer")</f>
        <v/>
      </c>
      <c r="P232" s="1">
        <f>IFERROR(__xludf.DUMMYFUNCTION("""COMPUTED_VALUE"""),"Early childhood development (0-5 years), Corporate Training")</f>
        <v/>
      </c>
      <c r="Q232" s="1">
        <f>IFERROR(__xludf.DUMMYFUNCTION("""COMPUTED_VALUE"""),"Teacher interfacing, System/Administrative")</f>
        <v/>
      </c>
      <c r="R232" s="1" t="n"/>
      <c r="S232" s="1" t="n"/>
      <c r="T232" s="1" t="n"/>
      <c r="U232" s="1" t="n"/>
      <c r="V232" s="1" t="n"/>
      <c r="W232" s="1" t="n"/>
      <c r="X232" s="1" t="n"/>
      <c r="Y232" s="1" t="n"/>
      <c r="Z232" s="1">
        <f>IFERROR(__xludf.DUMMYFUNCTION("""COMPUTED_VALUE"""),"Unverified")</f>
        <v/>
      </c>
      <c r="AA232" s="1">
        <f>IFERROR(__xludf.DUMMYFUNCTION("""COMPUTED_VALUE"""),"Project consortium building")</f>
        <v/>
      </c>
      <c r="AB232" s="1">
        <f>IFERROR(__xludf.DUMMYFUNCTION("""COMPUTED_VALUE"""),"For-profit company")</f>
        <v/>
      </c>
      <c r="AC232" s="1">
        <f>IFERROR(__xludf.DUMMYFUNCTION("""COMPUTED_VALUE"""),FALSE)</f>
        <v/>
      </c>
      <c r="AD232" s="1" t="n"/>
      <c r="AE232" s="1" t="n"/>
    </row>
    <row r="233" ht="42" customHeight="1">
      <c r="A233" s="14">
        <f>IFERROR(__xludf.DUMMYFUNCTION("""COMPUTED_VALUE"""),45839)</f>
        <v/>
      </c>
      <c r="B233" s="1">
        <f>IFERROR(__xludf.DUMMYFUNCTION("""COMPUTED_VALUE"""),"ORG_2455")</f>
        <v/>
      </c>
      <c r="C233" s="1">
        <f>IFERROR(__xludf.DUMMYFUNCTION("""COMPUTED_VALUE"""),TRUE)</f>
        <v/>
      </c>
      <c r="D233" s="1">
        <f>IFERROR(__xludf.DUMMYFUNCTION("""COMPUTED_VALUE"""),"Ugly Duckling Games")</f>
        <v/>
      </c>
      <c r="E233" s="15">
        <f>IFERROR(__xludf.DUMMYFUNCTION("""COMPUTED_VALUE"""),"uglyducklinggames.com")</f>
        <v/>
      </c>
      <c r="F233" s="1">
        <f>IFERROR(__xludf.DUMMYFUNCTION("""COMPUTED_VALUE"""),"We build collaborative and creative games for education.")</f>
        <v/>
      </c>
      <c r="G233" s="1">
        <f>IFERROR(__xludf.DUMMYFUNCTION("""COMPUTED_VALUE"""),"EdTech Denmark")</f>
        <v/>
      </c>
      <c r="H233" s="1">
        <f>IFERROR(__xludf.DUMMYFUNCTION("""COMPUTED_VALUE"""),"English, German, Swedish, Norwegian, Danish")</f>
        <v/>
      </c>
      <c r="I233" s="1">
        <f>IFERROR(__xludf.DUMMYFUNCTION("""COMPUTED_VALUE"""),"contact@uglyducklinggames.com")</f>
        <v/>
      </c>
      <c r="J233" s="1">
        <f>IFERROR(__xludf.DUMMYFUNCTION("""COMPUTED_VALUE"""),"+4550513372")</f>
        <v/>
      </c>
      <c r="K233" s="1">
        <f>IFERROR(__xludf.DUMMYFUNCTION("""COMPUTED_VALUE"""),"Galten")</f>
        <v/>
      </c>
      <c r="L233" s="1">
        <f>IFERROR(__xludf.DUMMYFUNCTION("""COMPUTED_VALUE"""),"Denmark")</f>
        <v/>
      </c>
      <c r="M233" s="1">
        <f>IFERROR(__xludf.DUMMYFUNCTION("""COMPUTED_VALUE"""),"Denmark, Sweden, Germany, United Kingdom, Norway")</f>
        <v/>
      </c>
      <c r="N233" s="1">
        <f>IFERROR(__xludf.DUMMYFUNCTION("""COMPUTED_VALUE"""),"Micro (1-9 FTE employees)")</f>
        <v/>
      </c>
      <c r="O233" s="1">
        <f>IFERROR(__xludf.DUMMYFUNCTION("""COMPUTED_VALUE"""),"Business to Business, Business to Schools")</f>
        <v/>
      </c>
      <c r="P233" s="1">
        <f>IFERROR(__xludf.DUMMYFUNCTION("""COMPUTED_VALUE"""),"Secondary Education, Primary Education")</f>
        <v/>
      </c>
      <c r="Q233" s="1">
        <f>IFERROR(__xludf.DUMMYFUNCTION("""COMPUTED_VALUE"""),"Student interfacing")</f>
        <v/>
      </c>
      <c r="R233" s="1" t="n"/>
      <c r="S233" s="1" t="n"/>
      <c r="T233" s="15">
        <f>IFERROR(__xludf.DUMMYFUNCTION("""COMPUTED_VALUE"""),"https://www.linkedin.com/company/uglyducklinggames/")</f>
        <v/>
      </c>
      <c r="U233" s="1">
        <f>IFERROR(__xludf.DUMMYFUNCTION("""COMPUTED_VALUE"""),"Drama Studio")</f>
        <v/>
      </c>
      <c r="V233" s="1">
        <f>IFERROR(__xludf.DUMMYFUNCTION("""COMPUTED_VALUE"""),"dramastudio.com - an online collaborative, creative sandbox that allows students of all ages to create stunning 3D animated stageplays, faster than they write.")</f>
        <v/>
      </c>
      <c r="W233" s="1">
        <f>IFERROR(__xludf.DUMMYFUNCTION("""COMPUTED_VALUE"""),"Adventure Studio")</f>
        <v/>
      </c>
      <c r="X233" s="1">
        <f>IFERROR(__xludf.DUMMYFUNCTION("""COMPUTED_VALUE"""),"A collaborative, creative sandbox, that allows students to create their own Point and Click Adventures. Still in development.")</f>
        <v/>
      </c>
      <c r="Y233" s="1" t="n"/>
      <c r="Z233" s="1">
        <f>IFERROR(__xludf.DUMMYFUNCTION("""COMPUTED_VALUE"""),"Unverified")</f>
        <v/>
      </c>
      <c r="AA233" s="1">
        <f>IFERROR(__xludf.DUMMYFUNCTION("""COMPUTED_VALUE"""),"Collaborations between EdTech organisations, Public-private partnerships, Industry-academia partnerships")</f>
        <v/>
      </c>
      <c r="AB233" s="1">
        <f>IFERROR(__xludf.DUMMYFUNCTION("""COMPUTED_VALUE"""),"For-profit company")</f>
        <v/>
      </c>
      <c r="AC233" s="1">
        <f>IFERROR(__xludf.DUMMYFUNCTION("""COMPUTED_VALUE"""),TRUE)</f>
        <v/>
      </c>
      <c r="AD233" s="1">
        <f>IFERROR(__xludf.DUMMYFUNCTION("""COMPUTED_VALUE"""),TRUE)</f>
        <v/>
      </c>
      <c r="AE233" s="1" t="n"/>
    </row>
    <row r="234" ht="42" customHeight="1">
      <c r="A234" s="14">
        <f>IFERROR(__xludf.DUMMYFUNCTION("""COMPUTED_VALUE"""),45839)</f>
        <v/>
      </c>
      <c r="B234" s="1">
        <f>IFERROR(__xludf.DUMMYFUNCTION("""COMPUTED_VALUE"""),"ORG_1504")</f>
        <v/>
      </c>
      <c r="C234" s="1">
        <f>IFERROR(__xludf.DUMMYFUNCTION("""COMPUTED_VALUE"""),TRUE)</f>
        <v/>
      </c>
      <c r="D234" s="1">
        <f>IFERROR(__xludf.DUMMYFUNCTION("""COMPUTED_VALUE"""),"EPA Portfolio")</f>
        <v/>
      </c>
      <c r="E234" s="15">
        <f>IFERROR(__xludf.DUMMYFUNCTION("""COMPUTED_VALUE"""),"https://epaportfolio.com")</f>
        <v/>
      </c>
      <c r="F234" s="1">
        <f>IFERROR(__xludf.DUMMYFUNCTION("""COMPUTED_VALUE"""),"Reconcept EPA Portfolio is a skills and assessment app fully equipped to support any Competency Based Medical Education (CBME) curriculum.")</f>
        <v/>
      </c>
      <c r="G234" s="1">
        <f>IFERROR(__xludf.DUMMYFUNCTION("""COMPUTED_VALUE"""),"Dutch EdTech")</f>
        <v/>
      </c>
      <c r="H234" s="1">
        <f>IFERROR(__xludf.DUMMYFUNCTION("""COMPUTED_VALUE"""),"English, Dutch")</f>
        <v/>
      </c>
      <c r="I234" s="1">
        <f>IFERROR(__xludf.DUMMYFUNCTION("""COMPUTED_VALUE"""),"support@epaportfolio.com")</f>
        <v/>
      </c>
      <c r="J234" s="1">
        <f>IFERROR(__xludf.DUMMYFUNCTION("""COMPUTED_VALUE"""),"+31853034215")</f>
        <v/>
      </c>
      <c r="K234" s="1">
        <f>IFERROR(__xludf.DUMMYFUNCTION("""COMPUTED_VALUE"""),"Groningen")</f>
        <v/>
      </c>
      <c r="L234" s="1">
        <f>IFERROR(__xludf.DUMMYFUNCTION("""COMPUTED_VALUE"""),"The Netherlands")</f>
        <v/>
      </c>
      <c r="M234" s="1">
        <f>IFERROR(__xludf.DUMMYFUNCTION("""COMPUTED_VALUE"""),"Netherlands, Iceland, Austria, Belgium, Denmark, Estonia, Finland, France, Germany, Greece, Italy, Ireland, Luxembourg, Norway, Portugal, Spain, Sweden, Switzerland, United Kingdom")</f>
        <v/>
      </c>
      <c r="N234" s="1">
        <f>IFERROR(__xludf.DUMMYFUNCTION("""COMPUTED_VALUE"""),"Small (10-49 FTE employees)")</f>
        <v/>
      </c>
      <c r="O234" s="1">
        <f>IFERROR(__xludf.DUMMYFUNCTION("""COMPUTED_VALUE"""),"Business to Schools, Business to Business, Business to Government")</f>
        <v/>
      </c>
      <c r="P234" s="1">
        <f>IFERROR(__xludf.DUMMYFUNCTION("""COMPUTED_VALUE"""),"Higher Education, Lifelong learning/Adult education")</f>
        <v/>
      </c>
      <c r="Q234" s="1">
        <f>IFERROR(__xludf.DUMMYFUNCTION("""COMPUTED_VALUE"""),"Student interfacing, Teacher interfacing")</f>
        <v/>
      </c>
      <c r="R234" s="1" t="n"/>
      <c r="S234" s="1" t="n"/>
      <c r="T234" s="15">
        <f>IFERROR(__xludf.DUMMYFUNCTION("""COMPUTED_VALUE"""),"https://www.linkedin.com/showcase/epa")</f>
        <v/>
      </c>
      <c r="U234" s="1">
        <f>IFERROR(__xludf.DUMMYFUNCTION("""COMPUTED_VALUE"""),"EPA Portfolio")</f>
        <v/>
      </c>
      <c r="V234" s="1">
        <f>IFERROR(__xludf.DUMMYFUNCTION("""COMPUTED_VALUE"""),"Reconcept EPA Portfolio is a skills and assessment app fully equipped to support any Competency Based Medical Education (CBME) curriculum.")</f>
        <v/>
      </c>
      <c r="W234" s="1" t="n"/>
      <c r="X234" s="1" t="n"/>
      <c r="Y234" s="1" t="n"/>
      <c r="Z234" s="1">
        <f>IFERROR(__xludf.DUMMYFUNCTION("""COMPUTED_VALUE"""),"Unverified")</f>
        <v/>
      </c>
      <c r="AA234" s="1">
        <f>IFERROR(__xludf.DUMMYFUNCTION("""COMPUTED_VALUE"""),"Collaborations between EdTech organisations, Project consortium building, Public-private partnerships, Industry-academia partnerships")</f>
        <v/>
      </c>
      <c r="AB234" s="1">
        <f>IFERROR(__xludf.DUMMYFUNCTION("""COMPUTED_VALUE"""),"For-profit company")</f>
        <v/>
      </c>
      <c r="AC234" s="1">
        <f>IFERROR(__xludf.DUMMYFUNCTION("""COMPUTED_VALUE"""),TRUE)</f>
        <v/>
      </c>
      <c r="AD234" s="1">
        <f>IFERROR(__xludf.DUMMYFUNCTION("""COMPUTED_VALUE"""),FALSE)</f>
        <v/>
      </c>
      <c r="AE234" s="1" t="n"/>
    </row>
    <row r="235" ht="42" customHeight="1">
      <c r="A235" s="14">
        <f>IFERROR(__xludf.DUMMYFUNCTION("""COMPUTED_VALUE"""),45839)</f>
        <v/>
      </c>
      <c r="B235" s="1">
        <f>IFERROR(__xludf.DUMMYFUNCTION("""COMPUTED_VALUE"""),"ORG_1194")</f>
        <v/>
      </c>
      <c r="C235" s="1">
        <f>IFERROR(__xludf.DUMMYFUNCTION("""COMPUTED_VALUE"""),TRUE)</f>
        <v/>
      </c>
      <c r="D235" s="1">
        <f>IFERROR(__xludf.DUMMYFUNCTION("""COMPUTED_VALUE"""),"Braingaze")</f>
        <v/>
      </c>
      <c r="E235" s="15">
        <f>IFERROR(__xludf.DUMMYFUNCTION("""COMPUTED_VALUE"""),"https://braingaze.com")</f>
        <v/>
      </c>
      <c r="F235" s="1">
        <f>IFERROR(__xludf.DUMMYFUNCTION("""COMPUTED_VALUE"""),"We offer digital early detection and therapeutic tools to manage traits of ADHD, Autism and Dyslexia")</f>
        <v/>
      </c>
      <c r="G235" s="1">
        <f>IFERROR(__xludf.DUMMYFUNCTION("""COMPUTED_VALUE"""),"I'm not part of any EdTech association")</f>
        <v/>
      </c>
      <c r="H235" s="1">
        <f>IFERROR(__xludf.DUMMYFUNCTION("""COMPUTED_VALUE"""),"English, Spanish, French, German, Italian")</f>
        <v/>
      </c>
      <c r="I235" s="1">
        <f>IFERROR(__xludf.DUMMYFUNCTION("""COMPUTED_VALUE"""),"info@braingaze.com")</f>
        <v/>
      </c>
      <c r="J235" s="1">
        <f>IFERROR(__xludf.DUMMYFUNCTION("""COMPUTED_VALUE"""),"+34931696572")</f>
        <v/>
      </c>
      <c r="K235" s="1" t="n"/>
      <c r="L235" s="1" t="n"/>
      <c r="M235" s="1">
        <f>IFERROR(__xludf.DUMMYFUNCTION("""COMPUTED_VALUE"""),"United Kingdom, Spain, Netherlands")</f>
        <v/>
      </c>
      <c r="N235" s="1">
        <f>IFERROR(__xludf.DUMMYFUNCTION("""COMPUTED_VALUE"""),"Small (10-49 FTE employees)")</f>
        <v/>
      </c>
      <c r="O235" s="1">
        <f>IFERROR(__xludf.DUMMYFUNCTION("""COMPUTED_VALUE"""),"Business to Schools, Business to Government, Business to Business, Business to Consumer")</f>
        <v/>
      </c>
      <c r="P235" s="1">
        <f>IFERROR(__xludf.DUMMYFUNCTION("""COMPUTED_VALUE"""),"Primary Education, Secondary Education, Corporate Training")</f>
        <v/>
      </c>
      <c r="Q235" s="1">
        <f>IFERROR(__xludf.DUMMYFUNCTION("""COMPUTED_VALUE"""),"Student interfacing, Teacher interfacing")</f>
        <v/>
      </c>
      <c r="R235" s="1" t="n"/>
      <c r="S235" s="1" t="n"/>
      <c r="T235" s="15">
        <f>IFERROR(__xludf.DUMMYFUNCTION("""COMPUTED_VALUE"""),"https://www.linkedin.com/company/braingaze")</f>
        <v/>
      </c>
      <c r="U235" s="1">
        <f>IFERROR(__xludf.DUMMYFUNCTION("""COMPUTED_VALUE"""),"BGaze Educational")</f>
        <v/>
      </c>
      <c r="V235" s="1">
        <f>IFERROR(__xludf.DUMMYFUNCTION("""COMPUTED_VALUE"""),"Eye tracking based testing (10-12 minutes per test) enabling high accuracy detection of likelihood of ADHD, Autism, Dyslexia.")</f>
        <v/>
      </c>
      <c r="W235" s="1">
        <f>IFERROR(__xludf.DUMMYFUNCTION("""COMPUTED_VALUE"""),"BGaze Focus")</f>
        <v/>
      </c>
      <c r="X235" s="1">
        <f>IFERROR(__xludf.DUMMYFUNCTION("""COMPUTED_VALUE"""),"Mobile device app offering gaze-controlled games arcade with scientifically proven therapeutic effects reducing symptoms of ADHD, Autism and Dyslexia. App is compatible with laptops, Android and iOS mobile devices.")</f>
        <v/>
      </c>
      <c r="Y235" s="1" t="n"/>
      <c r="Z235" s="1">
        <f>IFERROR(__xludf.DUMMYFUNCTION("""COMPUTED_VALUE"""),"Unverified")</f>
        <v/>
      </c>
      <c r="AA235" s="1">
        <f>IFERROR(__xludf.DUMMYFUNCTION("""COMPUTED_VALUE"""),"Collaborations between EdTech organisations, Project consortium building, Public-private partnerships, Industry-academia partnerships")</f>
        <v/>
      </c>
      <c r="AB235" s="1">
        <f>IFERROR(__xludf.DUMMYFUNCTION("""COMPUTED_VALUE"""),"For-profit company")</f>
        <v/>
      </c>
      <c r="AC235" s="1">
        <f>IFERROR(__xludf.DUMMYFUNCTION("""COMPUTED_VALUE"""),FALSE)</f>
        <v/>
      </c>
      <c r="AD235" s="1">
        <f>IFERROR(__xludf.DUMMYFUNCTION("""COMPUTED_VALUE"""),TRUE)</f>
        <v/>
      </c>
      <c r="AE235" s="1" t="n"/>
    </row>
    <row r="236" ht="42" customHeight="1">
      <c r="A236" s="14">
        <f>IFERROR(__xludf.DUMMYFUNCTION("""COMPUTED_VALUE"""),45839)</f>
        <v/>
      </c>
      <c r="B236" s="1">
        <f>IFERROR(__xludf.DUMMYFUNCTION("""COMPUTED_VALUE"""),"ORG_1416")</f>
        <v/>
      </c>
      <c r="C236" s="1">
        <f>IFERROR(__xludf.DUMMYFUNCTION("""COMPUTED_VALUE"""),TRUE)</f>
        <v/>
      </c>
      <c r="D236" s="1">
        <f>IFERROR(__xludf.DUMMYFUNCTION("""COMPUTED_VALUE"""),"EDruptiva")</f>
        <v/>
      </c>
      <c r="E236" s="15">
        <f>IFERROR(__xludf.DUMMYFUNCTION("""COMPUTED_VALUE"""),"https://www.edruptiva.org/")</f>
        <v/>
      </c>
      <c r="F236" s="1">
        <f>IFERROR(__xludf.DUMMYFUNCTION("""COMPUTED_VALUE"""),"EDruptiva is a Portuguese non-profit driving inclusive digital education. We empower children, youth, and educators through technology, creativity, and active learning. Our programmes combine coding, AI, entrepreneurship, and digital citizenship to promot"&amp;"e equal opportunities and future-ready skills — especially in vulnerable and underserved communities.")</f>
        <v/>
      </c>
      <c r="G236" s="1">
        <f>IFERROR(__xludf.DUMMYFUNCTION("""COMPUTED_VALUE"""),"I'm not part of any EdTech association")</f>
        <v/>
      </c>
      <c r="H236" s="1">
        <f>IFERROR(__xludf.DUMMYFUNCTION("""COMPUTED_VALUE"""),"English, French")</f>
        <v/>
      </c>
      <c r="I236" s="1">
        <f>IFERROR(__xludf.DUMMYFUNCTION("""COMPUTED_VALUE"""),"info@edruptiva.org")</f>
        <v/>
      </c>
      <c r="J236" s="1">
        <f>IFERROR(__xludf.DUMMYFUNCTION("""COMPUTED_VALUE"""),"+351963900849")</f>
        <v/>
      </c>
      <c r="K236" s="1">
        <f>IFERROR(__xludf.DUMMYFUNCTION("""COMPUTED_VALUE"""),"Lisbon")</f>
        <v/>
      </c>
      <c r="L236" s="1">
        <f>IFERROR(__xludf.DUMMYFUNCTION("""COMPUTED_VALUE"""),"Portugal")</f>
        <v/>
      </c>
      <c r="M236" s="1">
        <f>IFERROR(__xludf.DUMMYFUNCTION("""COMPUTED_VALUE"""),"Portugal, France")</f>
        <v/>
      </c>
      <c r="N236" s="1">
        <f>IFERROR(__xludf.DUMMYFUNCTION("""COMPUTED_VALUE"""),"Micro (1-9 FTE employees)")</f>
        <v/>
      </c>
      <c r="O236" s="1">
        <f>IFERROR(__xludf.DUMMYFUNCTION("""COMPUTED_VALUE"""),"Business to Business, Business to Government, Business to Schools")</f>
        <v/>
      </c>
      <c r="P236" s="1">
        <f>IFERROR(__xludf.DUMMYFUNCTION("""COMPUTED_VALUE"""),"Early childhood development (0-5 years), Primary Education, Secondary Education")</f>
        <v/>
      </c>
      <c r="Q236" s="1">
        <f>IFERROR(__xludf.DUMMYFUNCTION("""COMPUTED_VALUE"""),"Student interfacing, Teacher interfacing")</f>
        <v/>
      </c>
      <c r="R236" s="1" t="n"/>
      <c r="S236" s="1" t="n"/>
      <c r="T236" s="15">
        <f>IFERROR(__xludf.DUMMYFUNCTION("""COMPUTED_VALUE"""),"https://www.linkedin.com/company/edruptiva/")</f>
        <v/>
      </c>
      <c r="U236" s="1">
        <f>IFERROR(__xludf.DUMMYFUNCTION("""COMPUTED_VALUE"""),"Coding Curriculum for Schools")</f>
        <v/>
      </c>
      <c r="V236" s="1">
        <f>IFERROR(__xludf.DUMMYFUNCTION("""COMPUTED_VALUE"""),"A ready-to-use coding and digital skills curriculum for schools, aligned with national education frameworks and designed for students aged 4–17. It includes structured lesson plans, teacher training, classroom resources.")</f>
        <v/>
      </c>
      <c r="W236" s="1">
        <f>IFERROR(__xludf.DUMMYFUNCTION("""COMPUTED_VALUE"""),"EDruptiva Social Impact Programs")</f>
        <v/>
      </c>
      <c r="X236" s="1">
        <f>IFERROR(__xludf.DUMMYFUNCTION("""COMPUTED_VALUE"""),"Inclusive tech education programmes for underserved and vulnerable communities, combining digital literacy, coding, AI, and entrepreneurship with civic engagement and soft skills. Delivered in partnership with schools, municipalities and NGOs to promote e"&amp;"qual access and digital inclusion.")</f>
        <v/>
      </c>
      <c r="Y236" s="1" t="n"/>
      <c r="Z236" s="1">
        <f>IFERROR(__xludf.DUMMYFUNCTION("""COMPUTED_VALUE"""),"Unverified")</f>
        <v/>
      </c>
      <c r="AA236" s="1">
        <f>IFERROR(__xludf.DUMMYFUNCTION("""COMPUTED_VALUE"""),"Collaborations between EdTech organisations, Project consortium building, Public-private partnerships, Industry-academia partnerships")</f>
        <v/>
      </c>
      <c r="AB236" s="1">
        <f>IFERROR(__xludf.DUMMYFUNCTION("""COMPUTED_VALUE"""),"Non-profit organisation")</f>
        <v/>
      </c>
      <c r="AC236" s="1">
        <f>IFERROR(__xludf.DUMMYFUNCTION("""COMPUTED_VALUE"""),TRUE)</f>
        <v/>
      </c>
      <c r="AD236" s="1">
        <f>IFERROR(__xludf.DUMMYFUNCTION("""COMPUTED_VALUE"""),TRUE)</f>
        <v/>
      </c>
      <c r="AE236" s="1" t="n"/>
    </row>
    <row r="237" ht="42" customHeight="1">
      <c r="A237" s="14">
        <f>IFERROR(__xludf.DUMMYFUNCTION("""COMPUTED_VALUE"""),45839)</f>
        <v/>
      </c>
      <c r="B237" s="1">
        <f>IFERROR(__xludf.DUMMYFUNCTION("""COMPUTED_VALUE"""),"ORG_1570")</f>
        <v/>
      </c>
      <c r="C237" s="1">
        <f>IFERROR(__xludf.DUMMYFUNCTION("""COMPUTED_VALUE"""),TRUE)</f>
        <v/>
      </c>
      <c r="D237" s="1">
        <f>IFERROR(__xludf.DUMMYFUNCTION("""COMPUTED_VALUE"""),"Flux Learning Ltd")</f>
        <v/>
      </c>
      <c r="E237" s="15">
        <f>IFERROR(__xludf.DUMMYFUNCTION("""COMPUTED_VALUE"""),"https://www.fluxlearning.net/")</f>
        <v/>
      </c>
      <c r="F237" s="1">
        <f>IFERROR(__xludf.DUMMYFUNCTION("""COMPUTED_VALUE"""),"Digital education development, online learning administration, proficiency based progression, podcasting, multimedia recording.")</f>
        <v/>
      </c>
      <c r="G237" s="1">
        <f>IFERROR(__xludf.DUMMYFUNCTION("""COMPUTED_VALUE"""),"I'm not part of any EdTech association")</f>
        <v/>
      </c>
      <c r="H237" s="1">
        <f>IFERROR(__xludf.DUMMYFUNCTION("""COMPUTED_VALUE"""),"English")</f>
        <v/>
      </c>
      <c r="I237" s="1">
        <f>IFERROR(__xludf.DUMMYFUNCTION("""COMPUTED_VALUE"""),"patrick@fluxlearning.net")</f>
        <v/>
      </c>
      <c r="J237" s="1">
        <f>IFERROR(__xludf.DUMMYFUNCTION("""COMPUTED_VALUE"""),"+353857172222")</f>
        <v/>
      </c>
      <c r="K237" s="1">
        <f>IFERROR(__xludf.DUMMYFUNCTION("""COMPUTED_VALUE"""),"Clonakilty ")</f>
        <v/>
      </c>
      <c r="L237" s="1">
        <f>IFERROR(__xludf.DUMMYFUNCTION("""COMPUTED_VALUE"""),"Ireland")</f>
        <v/>
      </c>
      <c r="M237" s="1">
        <f>IFERROR(__xludf.DUMMYFUNCTION("""COMPUTED_VALUE"""),"Albania, Andorra, Austria, Bosnia and Herzegovina, Belgium, Belarus, Bulgaria, Croatia, Republic of Cyprus, Estonia, Denmark, Czechia, Finland, Greece, Hungary, France, Germany, Iceland, Kosovo, Italy, Ireland, Latvia, Luxembourg, Malta, Liechtenstein, Li"&amp;"thuania, Moldova, Poland, Netherlands, Montenegro, Norway, North Macedonia, Monaco, Ukraine, United Kingdom, Turkey, Spain, Switzerland, Sweden, Slovakia, Slovenia, Portugal, Romania, San Marino, United States of America")</f>
        <v/>
      </c>
      <c r="N237" s="1">
        <f>IFERROR(__xludf.DUMMYFUNCTION("""COMPUTED_VALUE"""),"Micro (1-9 FTE employees)")</f>
        <v/>
      </c>
      <c r="O237" s="1">
        <f>IFERROR(__xludf.DUMMYFUNCTION("""COMPUTED_VALUE"""),"Business to Business")</f>
        <v/>
      </c>
      <c r="P237" s="1">
        <f>IFERROR(__xludf.DUMMYFUNCTION("""COMPUTED_VALUE"""),"Primary Education, Secondary Education, Vocational Education and Training (VET), Higher Education, Corporate Training, Lifelong learning/Adult education, Special Education")</f>
        <v/>
      </c>
      <c r="Q237" s="1">
        <f>IFERROR(__xludf.DUMMYFUNCTION("""COMPUTED_VALUE"""),"Student interfacing, Teacher interfacing, System/Administrative")</f>
        <v/>
      </c>
      <c r="R237" s="1" t="n"/>
      <c r="S237" s="1" t="n"/>
      <c r="T237" s="15">
        <f>IFERROR(__xludf.DUMMYFUNCTION("""COMPUTED_VALUE"""),"https://www.linkedin.com/company/13041153/")</f>
        <v/>
      </c>
      <c r="U237" s="1">
        <f>IFERROR(__xludf.DUMMYFUNCTION("""COMPUTED_VALUE"""),"Proficiency Based Progression Training")</f>
        <v/>
      </c>
      <c r="V237" s="1">
        <f>IFERROR(__xludf.DUMMYFUNCTION("""COMPUTED_VALUE"""),"Metrics based training for skills development
Support for training administration, study administration, curriculum development and validation, video recording and online course development.")</f>
        <v/>
      </c>
      <c r="W237" s="1">
        <f>IFERROR(__xludf.DUMMYFUNCTION("""COMPUTED_VALUE"""),"Digital Learning Platform Support")</f>
        <v/>
      </c>
      <c r="X237" s="1">
        <f>IFERROR(__xludf.DUMMYFUNCTION("""COMPUTED_VALUE"""),"Learning platform admin and maintenance
Learner support and learning analytics reporting
Subject matter expert support and onboarding.
Course development and iteration of didactic and assessment content.")</f>
        <v/>
      </c>
      <c r="Y237" s="1" t="n"/>
      <c r="Z237" s="1">
        <f>IFERROR(__xludf.DUMMYFUNCTION("""COMPUTED_VALUE"""),"Unverified")</f>
        <v/>
      </c>
      <c r="AA237" s="1">
        <f>IFERROR(__xludf.DUMMYFUNCTION("""COMPUTED_VALUE"""),"Collaborations between EdTech organisations, Project consortium building, Public-private partnerships, Industry-academia partnerships")</f>
        <v/>
      </c>
      <c r="AB237" s="1">
        <f>IFERROR(__xludf.DUMMYFUNCTION("""COMPUTED_VALUE"""),"For-profit company")</f>
        <v/>
      </c>
      <c r="AC237" s="1">
        <f>IFERROR(__xludf.DUMMYFUNCTION("""COMPUTED_VALUE"""),TRUE)</f>
        <v/>
      </c>
      <c r="AD237" s="1">
        <f>IFERROR(__xludf.DUMMYFUNCTION("""COMPUTED_VALUE"""),TRUE)</f>
        <v/>
      </c>
      <c r="AE237" s="1" t="n"/>
    </row>
    <row r="238" ht="42" customHeight="1">
      <c r="A238" s="14">
        <f>IFERROR(__xludf.DUMMYFUNCTION("""COMPUTED_VALUE"""),45839)</f>
        <v/>
      </c>
      <c r="B238" s="1">
        <f>IFERROR(__xludf.DUMMYFUNCTION("""COMPUTED_VALUE"""),"ORG_1658")</f>
        <v/>
      </c>
      <c r="C238" s="1">
        <f>IFERROR(__xludf.DUMMYFUNCTION("""COMPUTED_VALUE"""),TRUE)</f>
        <v/>
      </c>
      <c r="D238" s="1">
        <f>IFERROR(__xludf.DUMMYFUNCTION("""COMPUTED_VALUE"""),"Habitat Learn Group Limited")</f>
        <v/>
      </c>
      <c r="E238" s="15">
        <f>IFERROR(__xludf.DUMMYFUNCTION("""COMPUTED_VALUE"""),"https://www.habitatlearn.com")</f>
        <v/>
      </c>
      <c r="F238" s="1">
        <f>IFERROR(__xludf.DUMMYFUNCTION("""COMPUTED_VALUE"""),"Accessible Software and services for students with barriers to learning")</f>
        <v/>
      </c>
      <c r="G238" s="1">
        <f>IFERROR(__xludf.DUMMYFUNCTION("""COMPUTED_VALUE"""),"I'm not part of any EdTech association")</f>
        <v/>
      </c>
      <c r="H238" s="1">
        <f>IFERROR(__xludf.DUMMYFUNCTION("""COMPUTED_VALUE"""),"English, French, Spanish")</f>
        <v/>
      </c>
      <c r="I238" s="1">
        <f>IFERROR(__xludf.DUMMYFUNCTION("""COMPUTED_VALUE"""),"jeremy.brassington@habitatlearn.com")</f>
        <v/>
      </c>
      <c r="J238" s="1">
        <f>IFERROR(__xludf.DUMMYFUNCTION("""COMPUTED_VALUE"""),"+447785225600")</f>
        <v/>
      </c>
      <c r="K238" s="1">
        <f>IFERROR(__xludf.DUMMYFUNCTION("""COMPUTED_VALUE"""),"Woking")</f>
        <v/>
      </c>
      <c r="L238" s="1">
        <f>IFERROR(__xludf.DUMMYFUNCTION("""COMPUTED_VALUE"""),"United Kingdom")</f>
        <v/>
      </c>
      <c r="M238" s="1">
        <f>IFERROR(__xludf.DUMMYFUNCTION("""COMPUTED_VALUE"""),"United Kingdom")</f>
        <v/>
      </c>
      <c r="N238" s="1">
        <f>IFERROR(__xludf.DUMMYFUNCTION("""COMPUTED_VALUE"""),"Small (10-49 FTE employees)")</f>
        <v/>
      </c>
      <c r="O238" s="1">
        <f>IFERROR(__xludf.DUMMYFUNCTION("""COMPUTED_VALUE"""),"Business to Business, Business to Schools")</f>
        <v/>
      </c>
      <c r="P238" s="1">
        <f>IFERROR(__xludf.DUMMYFUNCTION("""COMPUTED_VALUE"""),"Higher Education")</f>
        <v/>
      </c>
      <c r="Q238" s="1">
        <f>IFERROR(__xludf.DUMMYFUNCTION("""COMPUTED_VALUE"""),"Student interfacing")</f>
        <v/>
      </c>
      <c r="R238" s="1" t="n"/>
      <c r="S238" s="1" t="n"/>
      <c r="T238" s="15">
        <f>IFERROR(__xludf.DUMMYFUNCTION("""COMPUTED_VALUE"""),"https://www.linkedin.com/in/habitatlearn/")</f>
        <v/>
      </c>
      <c r="U238" s="1">
        <f>IFERROR(__xludf.DUMMYFUNCTION("""COMPUTED_VALUE"""),"Messenger Pigeon")</f>
        <v/>
      </c>
      <c r="V238" s="1">
        <f>IFERROR(__xludf.DUMMYFUNCTION("""COMPUTED_VALUE"""),"Productivity software to record and process all lecture content for subsequent student interaction and engagement")</f>
        <v/>
      </c>
      <c r="W238" s="1">
        <f>IFERROR(__xludf.DUMMYFUNCTION("""COMPUTED_VALUE"""),"Classroom of the Future")</f>
        <v/>
      </c>
      <c r="X238" s="1">
        <f>IFERROR(__xludf.DUMMYFUNCTION("""COMPUTED_VALUE"""),"Accessible learning environment for every learner")</f>
        <v/>
      </c>
      <c r="Y238" s="1" t="n"/>
      <c r="Z238" s="1">
        <f>IFERROR(__xludf.DUMMYFUNCTION("""COMPUTED_VALUE"""),"Unverified")</f>
        <v/>
      </c>
      <c r="AA238" s="1">
        <f>IFERROR(__xludf.DUMMYFUNCTION("""COMPUTED_VALUE"""),"Collaborations between EdTech organisations, Project consortium building, Public-private partnerships, Industry-academia partnerships")</f>
        <v/>
      </c>
      <c r="AB238" s="1">
        <f>IFERROR(__xludf.DUMMYFUNCTION("""COMPUTED_VALUE"""),"For-profit company")</f>
        <v/>
      </c>
      <c r="AC238" s="1">
        <f>IFERROR(__xludf.DUMMYFUNCTION("""COMPUTED_VALUE"""),TRUE)</f>
        <v/>
      </c>
      <c r="AD238" s="1">
        <f>IFERROR(__xludf.DUMMYFUNCTION("""COMPUTED_VALUE"""),TRUE)</f>
        <v/>
      </c>
      <c r="AE238" s="1" t="n"/>
    </row>
    <row r="239" ht="42" customHeight="1">
      <c r="A239" s="14">
        <f>IFERROR(__xludf.DUMMYFUNCTION("""COMPUTED_VALUE"""),45839)</f>
        <v/>
      </c>
      <c r="B239" s="1">
        <f>IFERROR(__xludf.DUMMYFUNCTION("""COMPUTED_VALUE"""),"ORG_1290")</f>
        <v/>
      </c>
      <c r="C239" s="1">
        <f>IFERROR(__xludf.DUMMYFUNCTION("""COMPUTED_VALUE"""),TRUE)</f>
        <v/>
      </c>
      <c r="D239" s="1">
        <f>IFERROR(__xludf.DUMMYFUNCTION("""COMPUTED_VALUE"""),"Conexus")</f>
        <v/>
      </c>
      <c r="E239" s="15">
        <f>IFERROR(__xludf.DUMMYFUNCTION("""COMPUTED_VALUE"""),"www.conexus.no")</f>
        <v/>
      </c>
      <c r="F239" s="1">
        <f>IFERROR(__xludf.DUMMYFUNCTION("""COMPUTED_VALUE"""),"Conexus is a student-centric platform that empowers schools with essential insights and tools to plan and evaluate follow-ups for enhanced learning development")</f>
        <v/>
      </c>
      <c r="G239" s="1">
        <f>IFERROR(__xludf.DUMMYFUNCTION("""COMPUTED_VALUE"""),"I'm not part of any EdTech association")</f>
        <v/>
      </c>
      <c r="H239" s="1">
        <f>IFERROR(__xludf.DUMMYFUNCTION("""COMPUTED_VALUE"""),"Norwegian")</f>
        <v/>
      </c>
      <c r="I239" s="1">
        <f>IFERROR(__xludf.DUMMYFUNCTION("""COMPUTED_VALUE"""),"support@conexus.no")</f>
        <v/>
      </c>
      <c r="J239" s="1">
        <f>IFERROR(__xludf.DUMMYFUNCTION("""COMPUTED_VALUE"""),"+4732834000")</f>
        <v/>
      </c>
      <c r="K239" s="1">
        <f>IFERROR(__xludf.DUMMYFUNCTION("""COMPUTED_VALUE"""),"Drammen")</f>
        <v/>
      </c>
      <c r="L239" s="1">
        <f>IFERROR(__xludf.DUMMYFUNCTION("""COMPUTED_VALUE"""),"Norway")</f>
        <v/>
      </c>
      <c r="M239" s="1">
        <f>IFERROR(__xludf.DUMMYFUNCTION("""COMPUTED_VALUE"""),"Norway, Singapore")</f>
        <v/>
      </c>
      <c r="N239" s="1">
        <f>IFERROR(__xludf.DUMMYFUNCTION("""COMPUTED_VALUE"""),"Small (10-49 FTE employees)")</f>
        <v/>
      </c>
      <c r="O239" s="1">
        <f>IFERROR(__xludf.DUMMYFUNCTION("""COMPUTED_VALUE"""),"Business to Government, Business to Schools")</f>
        <v/>
      </c>
      <c r="P239" s="1">
        <f>IFERROR(__xludf.DUMMYFUNCTION("""COMPUTED_VALUE"""),"Primary Education, Secondary Education, Lifelong learning/Adult education")</f>
        <v/>
      </c>
      <c r="Q239" s="1">
        <f>IFERROR(__xludf.DUMMYFUNCTION("""COMPUTED_VALUE"""),"Teacher interfacing, System/Administrative")</f>
        <v/>
      </c>
      <c r="R239" s="1" t="n"/>
      <c r="S239" s="1" t="n"/>
      <c r="T239" s="1">
        <f>IFERROR(__xludf.DUMMYFUNCTION("""COMPUTED_VALUE"""),"@ConexusNorge")</f>
        <v/>
      </c>
      <c r="U239" s="1">
        <f>IFERROR(__xludf.DUMMYFUNCTION("""COMPUTED_VALUE"""),"Conexus Engage")</f>
        <v/>
      </c>
      <c r="V239" s="1">
        <f>IFERROR(__xludf.DUMMYFUNCTION("""COMPUTED_VALUE"""),"Engage collects student data and provides teachers with insights into both student and class development, facilitating personalized teaching and improved student follow-ups")</f>
        <v/>
      </c>
      <c r="W239" s="1">
        <f>IFERROR(__xludf.DUMMYFUNCTION("""COMPUTED_VALUE"""),"Conexus Elevate")</f>
        <v/>
      </c>
      <c r="X239" s="1">
        <f>IFERROR(__xludf.DUMMYFUNCTION("""COMPUTED_VALUE"""),"Through Elevate, schools can easily document and collaborate on student follow-ups concerning children’s well-being, academic assistance and other special needs")</f>
        <v/>
      </c>
      <c r="Y239" s="1" t="n"/>
      <c r="Z239" s="1">
        <f>IFERROR(__xludf.DUMMYFUNCTION("""COMPUTED_VALUE"""),"Unverified")</f>
        <v/>
      </c>
      <c r="AA239" s="1">
        <f>IFERROR(__xludf.DUMMYFUNCTION("""COMPUTED_VALUE"""),"Collaborations between EdTech organisations, Public-private partnerships, Industry-academia partnerships")</f>
        <v/>
      </c>
      <c r="AB239" s="1">
        <f>IFERROR(__xludf.DUMMYFUNCTION("""COMPUTED_VALUE"""),"For-profit company")</f>
        <v/>
      </c>
      <c r="AC239" s="1">
        <f>IFERROR(__xludf.DUMMYFUNCTION("""COMPUTED_VALUE"""),TRUE)</f>
        <v/>
      </c>
      <c r="AD239" s="1">
        <f>IFERROR(__xludf.DUMMYFUNCTION("""COMPUTED_VALUE"""),TRUE)</f>
        <v/>
      </c>
      <c r="AE239" s="1" t="n"/>
    </row>
    <row r="240" ht="42" customHeight="1">
      <c r="A240" s="14">
        <f>IFERROR(__xludf.DUMMYFUNCTION("""COMPUTED_VALUE"""),45839)</f>
        <v/>
      </c>
      <c r="B240" s="1">
        <f>IFERROR(__xludf.DUMMYFUNCTION("""COMPUTED_VALUE"""),"ORG_2195")</f>
        <v/>
      </c>
      <c r="C240" s="1">
        <f>IFERROR(__xludf.DUMMYFUNCTION("""COMPUTED_VALUE"""),TRUE)</f>
        <v/>
      </c>
      <c r="D240" s="1">
        <f>IFERROR(__xludf.DUMMYFUNCTION("""COMPUTED_VALUE"""),"RoboTech")</f>
        <v/>
      </c>
      <c r="E240" s="15">
        <f>IFERROR(__xludf.DUMMYFUNCTION("""COMPUTED_VALUE"""),"www.robotech.si")</f>
        <v/>
      </c>
      <c r="F240" s="1">
        <f>IFERROR(__xludf.DUMMYFUNCTION("""COMPUTED_VALUE"""),"K AvRoboTech - Izobraževanje na področju robotike, digitalnih tehnologij in programiranja STARI GRAD 15 C 2321 MAKOLE Slovenia Robotech.si is an educational company specializing in robotics, digital technologies, and programming education. Their primary f"&amp;"ocus is on young learners, whom they engage through hands-on workshops designed to develop both technical and soft skills. The company stands out for: - VEX robotics workshops where participants build and program robots - Experienced certified mentors wit"&amp;"h international expertise - Small learning groups with personalized attention - Project-based learning through real-world challenges Their educational program spans various fields, from basic programming to advanced robotics, with an emphasis on practical"&amp;" work and developing future-ready skills. Workshops take place in a supportive environment where learning is combined with fun and collaborative activities. The company maintains partnerships with technology companies and educational institutions both in "&amp;"Slovenia and internationally. Their participants consistently achieve success in competitions, further validating the quality of their educational approach.")</f>
        <v/>
      </c>
      <c r="G240" s="1">
        <f>IFERROR(__xludf.DUMMYFUNCTION("""COMPUTED_VALUE"""),"EdTech Slovenia")</f>
        <v/>
      </c>
      <c r="H240" s="1">
        <f>IFERROR(__xludf.DUMMYFUNCTION("""COMPUTED_VALUE"""),"English, Slovenian")</f>
        <v/>
      </c>
      <c r="I240" s="1">
        <f>IFERROR(__xludf.DUMMYFUNCTION("""COMPUTED_VALUE"""),"info@robotech.si")</f>
        <v/>
      </c>
      <c r="J240" s="1">
        <f>IFERROR(__xludf.DUMMYFUNCTION("""COMPUTED_VALUE"""),"+38670390664")</f>
        <v/>
      </c>
      <c r="K240" s="1">
        <f>IFERROR(__xludf.DUMMYFUNCTION("""COMPUTED_VALUE"""),"Makole")</f>
        <v/>
      </c>
      <c r="L240" s="1">
        <f>IFERROR(__xludf.DUMMYFUNCTION("""COMPUTED_VALUE"""),"Slovenia")</f>
        <v/>
      </c>
      <c r="M240" s="1">
        <f>IFERROR(__xludf.DUMMYFUNCTION("""COMPUTED_VALUE"""),"Croatia, Slovenia")</f>
        <v/>
      </c>
      <c r="N240" s="1">
        <f>IFERROR(__xludf.DUMMYFUNCTION("""COMPUTED_VALUE"""),"Solo entrepreneur")</f>
        <v/>
      </c>
      <c r="O240" s="1">
        <f>IFERROR(__xludf.DUMMYFUNCTION("""COMPUTED_VALUE"""),"Business to Consumer, Business to Government, Business to Schools")</f>
        <v/>
      </c>
      <c r="P240" s="1">
        <f>IFERROR(__xludf.DUMMYFUNCTION("""COMPUTED_VALUE"""),"Primary Education, Secondary Education, Lifelong learning/Adult education")</f>
        <v/>
      </c>
      <c r="Q240" s="1">
        <f>IFERROR(__xludf.DUMMYFUNCTION("""COMPUTED_VALUE"""),"Student interfacing, Teacher interfacing")</f>
        <v/>
      </c>
      <c r="R240" s="1" t="n"/>
      <c r="S240" s="1" t="n"/>
      <c r="T240" s="15">
        <f>IFERROR(__xludf.DUMMYFUNCTION("""COMPUTED_VALUE"""),"https://www.linkedin.com/in/obucek/")</f>
        <v/>
      </c>
      <c r="U240" s="1" t="n"/>
      <c r="V240" s="1" t="n"/>
      <c r="W240" s="1" t="n"/>
      <c r="X240" s="1" t="n"/>
      <c r="Y240" s="1" t="n"/>
      <c r="Z240" s="1">
        <f>IFERROR(__xludf.DUMMYFUNCTION("""COMPUTED_VALUE"""),"Unverified")</f>
        <v/>
      </c>
      <c r="AA240" s="1">
        <f>IFERROR(__xludf.DUMMYFUNCTION("""COMPUTED_VALUE"""),"Collaborations between EdTech organisations, Project consortium building, Public-private partnerships")</f>
        <v/>
      </c>
      <c r="AB240" s="1">
        <f>IFERROR(__xludf.DUMMYFUNCTION("""COMPUTED_VALUE"""),"For-profit company")</f>
        <v/>
      </c>
      <c r="AC240" s="1">
        <f>IFERROR(__xludf.DUMMYFUNCTION("""COMPUTED_VALUE"""),TRUE)</f>
        <v/>
      </c>
      <c r="AD240" s="1">
        <f>IFERROR(__xludf.DUMMYFUNCTION("""COMPUTED_VALUE"""),FALSE)</f>
        <v/>
      </c>
      <c r="AE240" s="1" t="n"/>
    </row>
    <row r="241" ht="42" customHeight="1">
      <c r="A241" s="14">
        <f>IFERROR(__xludf.DUMMYFUNCTION("""COMPUTED_VALUE"""),45839)</f>
        <v/>
      </c>
      <c r="B241" s="1">
        <f>IFERROR(__xludf.DUMMYFUNCTION("""COMPUTED_VALUE"""),"ORG_1984")</f>
        <v/>
      </c>
      <c r="C241" s="1">
        <f>IFERROR(__xludf.DUMMYFUNCTION("""COMPUTED_VALUE"""),TRUE)</f>
        <v/>
      </c>
      <c r="D241" s="1">
        <f>IFERROR(__xludf.DUMMYFUNCTION("""COMPUTED_VALUE"""),"MONOP B.V.")</f>
        <v/>
      </c>
      <c r="E241" s="15">
        <f>IFERROR(__xludf.DUMMYFUNCTION("""COMPUTED_VALUE"""),"www.greenscreenbox.eu")</f>
        <v/>
      </c>
      <c r="F241" s="1">
        <f>IFERROR(__xludf.DUMMYFUNCTION("""COMPUTED_VALUE"""),"MONOP BV empowers students’ creativity, language, and digital skills through hands-on multimedia learning. We develop innovative greenscreen-based educational tools for primary and secondary education, including schools, after-school programs, libraries, "&amp;"and educational labs. Our Greenscreenbox® and accompanying app help learners create videos, stopmotions, and photos, strengthening 21st-century skills through storytelling and digital making. To support teachers, we also offer ready-to-use lesson material"&amp;"s that make it easy to get started and integrate our tools into their existing curriculum. Educators value our solutions for their practical applicability and the way they enhance both engagement and learning outcomes.")</f>
        <v/>
      </c>
      <c r="G241" s="1">
        <f>IFERROR(__xludf.DUMMYFUNCTION("""COMPUTED_VALUE"""),"Dutch EdTech")</f>
        <v/>
      </c>
      <c r="H241" s="1">
        <f>IFERROR(__xludf.DUMMYFUNCTION("""COMPUTED_VALUE"""),"English, German, French, Italian, Spanish, Dutch")</f>
        <v/>
      </c>
      <c r="I241" s="1">
        <f>IFERROR(__xludf.DUMMYFUNCTION("""COMPUTED_VALUE"""),"petra@greenscreenbox.eu")</f>
        <v/>
      </c>
      <c r="J241" s="1">
        <f>IFERROR(__xludf.DUMMYFUNCTION("""COMPUTED_VALUE"""),"+33640201296")</f>
        <v/>
      </c>
      <c r="K241" s="1">
        <f>IFERROR(__xludf.DUMMYFUNCTION("""COMPUTED_VALUE"""),"Lieshout")</f>
        <v/>
      </c>
      <c r="L241" s="1">
        <f>IFERROR(__xludf.DUMMYFUNCTION("""COMPUTED_VALUE"""),"The Netherlands")</f>
        <v/>
      </c>
      <c r="M241" s="1">
        <f>IFERROR(__xludf.DUMMYFUNCTION("""COMPUTED_VALUE"""),"Ireland, United Kingdom, Switzerland, Italy, France, Denmark, Belgium, Germany, Netherlands, Spain")</f>
        <v/>
      </c>
      <c r="N241" s="1">
        <f>IFERROR(__xludf.DUMMYFUNCTION("""COMPUTED_VALUE"""),"Micro (1-9 FTE employees)")</f>
        <v/>
      </c>
      <c r="O241" s="1">
        <f>IFERROR(__xludf.DUMMYFUNCTION("""COMPUTED_VALUE"""),"Business to Business, Business to Consumer, Business to Schools")</f>
        <v/>
      </c>
      <c r="P241" s="1">
        <f>IFERROR(__xludf.DUMMYFUNCTION("""COMPUTED_VALUE"""),"Primary Education, Secondary Education")</f>
        <v/>
      </c>
      <c r="Q241" s="1">
        <f>IFERROR(__xludf.DUMMYFUNCTION("""COMPUTED_VALUE"""),"Student interfacing")</f>
        <v/>
      </c>
      <c r="R241" s="15">
        <f>IFERROR(__xludf.DUMMYFUNCTION("""COMPUTED_VALUE"""),"https://www.instagram.com/greenscreenbox/")</f>
        <v/>
      </c>
      <c r="S241" s="1" t="n"/>
      <c r="T241" s="15">
        <f>IFERROR(__xludf.DUMMYFUNCTION("""COMPUTED_VALUE"""),"https://nl.linkedin.com/company/monop")</f>
        <v/>
      </c>
      <c r="U241" s="1">
        <f>IFERROR(__xludf.DUMMYFUNCTION("""COMPUTED_VALUE"""),"Greenscreenbox")</f>
        <v/>
      </c>
      <c r="V241" s="1">
        <f>IFERROR(__xludf.DUMMYFUNCTION("""COMPUTED_VALUE"""),"Greenscreenbox app")</f>
        <v/>
      </c>
      <c r="W241" s="1">
        <f>IFERROR(__xludf.DUMMYFUNCTION("""COMPUTED_VALUE"""),"Create &amp; Learn Teaching projects")</f>
        <v/>
      </c>
      <c r="X241" s="1">
        <f>IFERROR(__xludf.DUMMYFUNCTION("""COMPUTED_VALUE"""),"Greenscreenbox Creation Cards")</f>
        <v/>
      </c>
      <c r="Y241" s="1" t="n"/>
      <c r="Z241" s="1">
        <f>IFERROR(__xludf.DUMMYFUNCTION("""COMPUTED_VALUE"""),"Unverified")</f>
        <v/>
      </c>
      <c r="AA241" s="1" t="n"/>
      <c r="AB241" s="1">
        <f>IFERROR(__xludf.DUMMYFUNCTION("""COMPUTED_VALUE"""),"For-profit company")</f>
        <v/>
      </c>
      <c r="AC241" s="1">
        <f>IFERROR(__xludf.DUMMYFUNCTION("""COMPUTED_VALUE"""),TRUE)</f>
        <v/>
      </c>
      <c r="AD241" s="1">
        <f>IFERROR(__xludf.DUMMYFUNCTION("""COMPUTED_VALUE"""),TRUE)</f>
        <v/>
      </c>
      <c r="AE241" s="15">
        <f>IFERROR(__xludf.DUMMYFUNCTION("""COMPUTED_VALUE"""),"https://www.facebook.com/Greenscreenbox/")</f>
        <v/>
      </c>
    </row>
    <row r="242" ht="42" customHeight="1">
      <c r="A242" s="14">
        <f>IFERROR(__xludf.DUMMYFUNCTION("""COMPUTED_VALUE"""),45839)</f>
        <v/>
      </c>
      <c r="B242" s="1">
        <f>IFERROR(__xludf.DUMMYFUNCTION("""COMPUTED_VALUE"""),"ORG_1664")</f>
        <v/>
      </c>
      <c r="C242" s="1">
        <f>IFERROR(__xludf.DUMMYFUNCTION("""COMPUTED_VALUE"""),TRUE)</f>
        <v/>
      </c>
      <c r="D242" s="1">
        <f>IFERROR(__xludf.DUMMYFUNCTION("""COMPUTED_VALUE"""),"Happy Code")</f>
        <v/>
      </c>
      <c r="E242" s="15">
        <f>IFERROR(__xludf.DUMMYFUNCTION("""COMPUTED_VALUE"""),"https://happycode.pt/")</f>
        <v/>
      </c>
      <c r="F242" s="1">
        <f>IFERROR(__xludf.DUMMYFUNCTION("""COMPUTED_VALUE"""),"Happy Code is a Portuguese EdTech company that empowers children and teenagers (ages 4–17) to become thinkers and creators of the future through technology education. Based in Portugal and France, we teach coding, AI, game development, and digital creativ"&amp;"ity using active, playful, and inclusive methodologies. Our purpose is to nurture future-ready minds, combining technical skills with creativity, critical thinking, and empathy. What sets us apart is our unique blend of technology + soft skills, our propr"&amp;"ietary pedagogical approach, and our joyful, mission-driven culture — where learning is fun, meaningful, and transformative.")</f>
        <v/>
      </c>
      <c r="G242" s="1">
        <f>IFERROR(__xludf.DUMMYFUNCTION("""COMPUTED_VALUE"""),"I'm not part of any EdTech association")</f>
        <v/>
      </c>
      <c r="H242" s="1">
        <f>IFERROR(__xludf.DUMMYFUNCTION("""COMPUTED_VALUE"""),"English, French")</f>
        <v/>
      </c>
      <c r="I242" s="1">
        <f>IFERROR(__xludf.DUMMYFUNCTION("""COMPUTED_VALUE"""),"info@happycode.pt")</f>
        <v/>
      </c>
      <c r="J242" s="1">
        <f>IFERROR(__xludf.DUMMYFUNCTION("""COMPUTED_VALUE"""),"351963900849")</f>
        <v/>
      </c>
      <c r="K242" s="1">
        <f>IFERROR(__xludf.DUMMYFUNCTION("""COMPUTED_VALUE"""),"Lisbon")</f>
        <v/>
      </c>
      <c r="L242" s="1">
        <f>IFERROR(__xludf.DUMMYFUNCTION("""COMPUTED_VALUE"""),"Portugal")</f>
        <v/>
      </c>
      <c r="M242" s="1">
        <f>IFERROR(__xludf.DUMMYFUNCTION("""COMPUTED_VALUE"""),"Portugal, France")</f>
        <v/>
      </c>
      <c r="N242" s="1">
        <f>IFERROR(__xludf.DUMMYFUNCTION("""COMPUTED_VALUE"""),"Micro (1-9 FTE employees)")</f>
        <v/>
      </c>
      <c r="O242" s="1">
        <f>IFERROR(__xludf.DUMMYFUNCTION("""COMPUTED_VALUE"""),"Business to Business, Business to Consumer, Business to Government, Business to Schools")</f>
        <v/>
      </c>
      <c r="P242" s="1">
        <f>IFERROR(__xludf.DUMMYFUNCTION("""COMPUTED_VALUE"""),"Primary Education, Secondary Education, Early childhood development (0-5 years)")</f>
        <v/>
      </c>
      <c r="Q242" s="1">
        <f>IFERROR(__xludf.DUMMYFUNCTION("""COMPUTED_VALUE"""),"Student interfacing, Teacher interfacing")</f>
        <v/>
      </c>
      <c r="R242" s="1" t="n"/>
      <c r="S242" s="1" t="n"/>
      <c r="T242" s="15">
        <f>IFERROR(__xludf.DUMMYFUNCTION("""COMPUTED_VALUE"""),"https://www.linkedin.com/company/happycodept/")</f>
        <v/>
      </c>
      <c r="U242" s="1">
        <f>IFERROR(__xludf.DUMMYFUNCTION("""COMPUTED_VALUE"""),"Happy Code Afterschool Learning Program")</f>
        <v/>
      </c>
      <c r="V242" s="1">
        <f>IFERROR(__xludf.DUMMYFUNCTION("""COMPUTED_VALUE"""),"Hands-on educational programs for children and teenagers (ages 4 to 17) in coding, AI, game development, digital citizenship, and soft skills. Based on active learning, gamification, and project-based methodologies.")</f>
        <v/>
      </c>
      <c r="W242" s="1">
        <f>IFERROR(__xludf.DUMMYFUNCTION("""COMPUTED_VALUE"""),"Happy CodeSchools Curriculum Program")</f>
        <v/>
      </c>
      <c r="X242" s="1">
        <f>IFERROR(__xludf.DUMMYFUNCTION("""COMPUTED_VALUE"""),"Customised technology education programs delivered directly in schools, fully aligned with the national curriculum and Ministry of Education frameworks. Includes in-class implementation, teacher training, and pedagogical resources to integrate digital ski"&amp;"lls into formal education")</f>
        <v/>
      </c>
      <c r="Y242" s="1" t="n"/>
      <c r="Z242" s="1">
        <f>IFERROR(__xludf.DUMMYFUNCTION("""COMPUTED_VALUE"""),"Unverified")</f>
        <v/>
      </c>
      <c r="AA242" s="1">
        <f>IFERROR(__xludf.DUMMYFUNCTION("""COMPUTED_VALUE"""),"Collaborations between EdTech organisations, Project consortium building, Public-private partnerships, Industry-academia partnerships")</f>
        <v/>
      </c>
      <c r="AB242" s="1">
        <f>IFERROR(__xludf.DUMMYFUNCTION("""COMPUTED_VALUE"""),"For-profit company")</f>
        <v/>
      </c>
      <c r="AC242" s="1">
        <f>IFERROR(__xludf.DUMMYFUNCTION("""COMPUTED_VALUE"""),TRUE)</f>
        <v/>
      </c>
      <c r="AD242" s="1">
        <f>IFERROR(__xludf.DUMMYFUNCTION("""COMPUTED_VALUE"""),TRUE)</f>
        <v/>
      </c>
      <c r="AE242" s="1" t="n"/>
    </row>
    <row r="243" ht="42" customHeight="1">
      <c r="A243" s="14">
        <f>IFERROR(__xludf.DUMMYFUNCTION("""COMPUTED_VALUE"""),45839)</f>
        <v/>
      </c>
      <c r="B243" s="1">
        <f>IFERROR(__xludf.DUMMYFUNCTION("""COMPUTED_VALUE"""),"ORG_2557")</f>
        <v/>
      </c>
      <c r="C243" s="1">
        <f>IFERROR(__xludf.DUMMYFUNCTION("""COMPUTED_VALUE"""),TRUE)</f>
        <v/>
      </c>
      <c r="D243" s="1">
        <f>IFERROR(__xludf.DUMMYFUNCTION("""COMPUTED_VALUE"""),"X2 Mobile")</f>
        <v/>
      </c>
      <c r="E243" s="15">
        <f>IFERROR(__xludf.DUMMYFUNCTION("""COMPUTED_VALUE"""),"https://www.x2mobile.net/")</f>
        <v/>
      </c>
      <c r="F243" s="1">
        <f>IFERROR(__xludf.DUMMYFUNCTION("""COMPUTED_VALUE"""),"We help EdTech companies, particularly those servicing K–12 and higher education institutions to power modern education and enterprise platforms in a secure, user-focused way.")</f>
        <v/>
      </c>
      <c r="G243" s="1">
        <f>IFERROR(__xludf.DUMMYFUNCTION("""COMPUTED_VALUE"""),"I'm not part of any EdTech association")</f>
        <v/>
      </c>
      <c r="H243" s="1">
        <f>IFERROR(__xludf.DUMMYFUNCTION("""COMPUTED_VALUE"""),"English, Romanian")</f>
        <v/>
      </c>
      <c r="I243" s="1">
        <f>IFERROR(__xludf.DUMMYFUNCTION("""COMPUTED_VALUE"""),"hello@x2mobile.net")</f>
        <v/>
      </c>
      <c r="J243" s="1">
        <f>IFERROR(__xludf.DUMMYFUNCTION("""COMPUTED_VALUE"""),"+33677982610")</f>
        <v/>
      </c>
      <c r="K243" s="1" t="n"/>
      <c r="L243" s="1">
        <f>IFERROR(__xludf.DUMMYFUNCTION("""COMPUTED_VALUE"""),"Romania")</f>
        <v/>
      </c>
      <c r="M243" s="1">
        <f>IFERROR(__xludf.DUMMYFUNCTION("""COMPUTED_VALUE"""),"Romania, United Kingdom, Germany, United States of America, Africa")</f>
        <v/>
      </c>
      <c r="N243" s="1">
        <f>IFERROR(__xludf.DUMMYFUNCTION("""COMPUTED_VALUE"""),"Small (10-49 FTE employees)")</f>
        <v/>
      </c>
      <c r="O243" s="1">
        <f>IFERROR(__xludf.DUMMYFUNCTION("""COMPUTED_VALUE"""),"Business to Business, Business to Government, Business to Schools")</f>
        <v/>
      </c>
      <c r="P243" s="1">
        <f>IFERROR(__xludf.DUMMYFUNCTION("""COMPUTED_VALUE"""),"Primary Education, Secondary Education, Early childhood development (0-5 years), Higher Education, Special Education")</f>
        <v/>
      </c>
      <c r="Q243" s="1">
        <f>IFERROR(__xludf.DUMMYFUNCTION("""COMPUTED_VALUE"""),"Student interfacing, Teacher interfacing, System/Administrative")</f>
        <v/>
      </c>
      <c r="R243" s="1" t="n"/>
      <c r="S243" s="1" t="n"/>
      <c r="T243" s="15">
        <f>IFERROR(__xludf.DUMMYFUNCTION("""COMPUTED_VALUE"""),"https://www.linkedin.com/company/x2mobile/")</f>
        <v/>
      </c>
      <c r="U243" s="1">
        <f>IFERROR(__xludf.DUMMYFUNCTION("""COMPUTED_VALUE"""),"Mobile App Development")</f>
        <v/>
      </c>
      <c r="V243" s="1" t="n"/>
      <c r="W243" s="1">
        <f>IFERROR(__xludf.DUMMYFUNCTION("""COMPUTED_VALUE"""),"Web App Development")</f>
        <v/>
      </c>
      <c r="X243" s="1" t="n"/>
      <c r="Y243" s="1" t="n"/>
      <c r="Z243" s="1">
        <f>IFERROR(__xludf.DUMMYFUNCTION("""COMPUTED_VALUE"""),"Unverified")</f>
        <v/>
      </c>
      <c r="AA243" s="1">
        <f>IFERROR(__xludf.DUMMYFUNCTION("""COMPUTED_VALUE"""),"Collaborations between EdTech organisations, Project consortium building, Public-private partnerships, Industry-academia partnerships")</f>
        <v/>
      </c>
      <c r="AB243" s="1">
        <f>IFERROR(__xludf.DUMMYFUNCTION("""COMPUTED_VALUE"""),"For-profit company")</f>
        <v/>
      </c>
      <c r="AC243" s="1">
        <f>IFERROR(__xludf.DUMMYFUNCTION("""COMPUTED_VALUE"""),TRUE)</f>
        <v/>
      </c>
      <c r="AD243" s="1">
        <f>IFERROR(__xludf.DUMMYFUNCTION("""COMPUTED_VALUE"""),TRUE)</f>
        <v/>
      </c>
      <c r="AE243" s="1" t="n"/>
    </row>
    <row r="244" ht="42" customHeight="1">
      <c r="A244" s="14">
        <f>IFERROR(__xludf.DUMMYFUNCTION("""COMPUTED_VALUE"""),45839)</f>
        <v/>
      </c>
      <c r="B244" s="1">
        <f>IFERROR(__xludf.DUMMYFUNCTION("""COMPUTED_VALUE"""),"ORG_2254")</f>
        <v/>
      </c>
      <c r="C244" s="1">
        <f>IFERROR(__xludf.DUMMYFUNCTION("""COMPUTED_VALUE"""),TRUE)</f>
        <v/>
      </c>
      <c r="D244" s="1">
        <f>IFERROR(__xludf.DUMMYFUNCTION("""COMPUTED_VALUE"""),"Skillgym - AI Role Play")</f>
        <v/>
      </c>
      <c r="E244" s="15">
        <f>IFERROR(__xludf.DUMMYFUNCTION("""COMPUTED_VALUE"""),"www.skillgym.com")</f>
        <v/>
      </c>
      <c r="F244" s="1">
        <f>IFERROR(__xludf.DUMMYFUNCTION("""COMPUTED_VALUE"""),"Skillgym is a digital authoring tool that allows you to create and deliver realistic, AI-powered conversation simulations to develop soft skills. It helps users practice key behaviors in a safe environment, with personalized feedback after each session. S"&amp;"cenarios are based on real-life workplace challenges and grounded in a neuroscience-based learning methodology. Skillgym supports continuous learning and measurable growth in areas like leadership, feedback, Sales, Customer Care, DE&amp;I, etc...")</f>
        <v/>
      </c>
      <c r="G244" s="1">
        <f>IFERROR(__xludf.DUMMYFUNCTION("""COMPUTED_VALUE"""),"EdTech Italia")</f>
        <v/>
      </c>
      <c r="H244" s="1">
        <f>IFERROR(__xludf.DUMMYFUNCTION("""COMPUTED_VALUE"""),"All")</f>
        <v/>
      </c>
      <c r="I244" s="1">
        <f>IFERROR(__xludf.DUMMYFUNCTION("""COMPUTED_VALUE"""),"matteo@skillgym.com")</f>
        <v/>
      </c>
      <c r="J244" s="1">
        <f>IFERROR(__xludf.DUMMYFUNCTION("""COMPUTED_VALUE"""),"+41787270018")</f>
        <v/>
      </c>
      <c r="K244" s="1">
        <f>IFERROR(__xludf.DUMMYFUNCTION("""COMPUTED_VALUE"""),"Chiasso")</f>
        <v/>
      </c>
      <c r="L244" s="1">
        <f>IFERROR(__xludf.DUMMYFUNCTION("""COMPUTED_VALUE"""),"Switzerland")</f>
        <v/>
      </c>
      <c r="M244" s="1">
        <f>IFERROR(__xludf.DUMMYFUNCTION("""COMPUTED_VALUE"""),"Global")</f>
        <v/>
      </c>
      <c r="N244" s="1">
        <f>IFERROR(__xludf.DUMMYFUNCTION("""COMPUTED_VALUE"""),"Small (10-49 FTE employees)")</f>
        <v/>
      </c>
      <c r="O244" s="1">
        <f>IFERROR(__xludf.DUMMYFUNCTION("""COMPUTED_VALUE"""),"Business to Business, Business to Government")</f>
        <v/>
      </c>
      <c r="P244" s="1">
        <f>IFERROR(__xludf.DUMMYFUNCTION("""COMPUTED_VALUE"""),"Corporate Training, Lifelong learning/Adult education")</f>
        <v/>
      </c>
      <c r="Q244" s="1">
        <f>IFERROR(__xludf.DUMMYFUNCTION("""COMPUTED_VALUE"""),"System/Administrative")</f>
        <v/>
      </c>
      <c r="R244" s="1" t="n"/>
      <c r="S244" s="1" t="n"/>
      <c r="T244" s="15">
        <f>IFERROR(__xludf.DUMMYFUNCTION("""COMPUTED_VALUE"""),"https://www.linkedin.com/company/skillgym/")</f>
        <v/>
      </c>
      <c r="U244" s="1">
        <f>IFERROR(__xludf.DUMMYFUNCTION("""COMPUTED_VALUE"""),"Skillgym - AI Role Play")</f>
        <v/>
      </c>
      <c r="V244" s="1">
        <f>IFERROR(__xludf.DUMMYFUNCTION("""COMPUTED_VALUE"""),"Skillgym is a digital authoring tool that allows you to create and deliver realistic, AI-powered conversation simulations to develop soft skills. It helps users practice key behaviors in a safe environment, with personalized feedback after each session.")</f>
        <v/>
      </c>
      <c r="W244" s="1" t="n"/>
      <c r="X244" s="1" t="n"/>
      <c r="Y244" s="1" t="n"/>
      <c r="Z244" s="1">
        <f>IFERROR(__xludf.DUMMYFUNCTION("""COMPUTED_VALUE"""),"Unverified")</f>
        <v/>
      </c>
      <c r="AA244" s="1">
        <f>IFERROR(__xludf.DUMMYFUNCTION("""COMPUTED_VALUE"""),"Public-private partnerships, Industry-academia partnerships")</f>
        <v/>
      </c>
      <c r="AB244" s="1">
        <f>IFERROR(__xludf.DUMMYFUNCTION("""COMPUTED_VALUE"""),"For-profit company")</f>
        <v/>
      </c>
      <c r="AC244" s="1">
        <f>IFERROR(__xludf.DUMMYFUNCTION("""COMPUTED_VALUE"""),FALSE)</f>
        <v/>
      </c>
      <c r="AD244" s="1">
        <f>IFERROR(__xludf.DUMMYFUNCTION("""COMPUTED_VALUE"""),TRUE)</f>
        <v/>
      </c>
      <c r="AE244" s="1" t="n"/>
    </row>
    <row r="245" ht="42" customHeight="1">
      <c r="A245" s="14">
        <f>IFERROR(__xludf.DUMMYFUNCTION("""COMPUTED_VALUE"""),45839)</f>
        <v/>
      </c>
      <c r="B245" s="1">
        <f>IFERROR(__xludf.DUMMYFUNCTION("""COMPUTED_VALUE"""),"ORG_1587")</f>
        <v/>
      </c>
      <c r="C245" s="1">
        <f>IFERROR(__xludf.DUMMYFUNCTION("""COMPUTED_VALUE"""),TRUE)</f>
        <v/>
      </c>
      <c r="D245" s="1">
        <f>IFERROR(__xludf.DUMMYFUNCTION("""COMPUTED_VALUE"""),"FrontRead")</f>
        <v/>
      </c>
      <c r="E245" s="15">
        <f>IFERROR(__xludf.DUMMYFUNCTION("""COMPUTED_VALUE"""),"www.frontread.com")</f>
        <v/>
      </c>
      <c r="F245" s="1">
        <f>IFERROR(__xludf.DUMMYFUNCTION("""COMPUTED_VALUE"""),"FrontRead is providing one of Europes most used reading training platforms with more than 350.000 users across 9 countries")</f>
        <v/>
      </c>
      <c r="G245" s="1">
        <f>IFERROR(__xludf.DUMMYFUNCTION("""COMPUTED_VALUE"""),"EdTech Denmark")</f>
        <v/>
      </c>
      <c r="H245" s="1">
        <f>IFERROR(__xludf.DUMMYFUNCTION("""COMPUTED_VALUE"""),"English, German, Danish")</f>
        <v/>
      </c>
      <c r="I245" s="1">
        <f>IFERROR(__xludf.DUMMYFUNCTION("""COMPUTED_VALUE"""),"info@frontread.dk")</f>
        <v/>
      </c>
      <c r="J245" s="1">
        <f>IFERROR(__xludf.DUMMYFUNCTION("""COMPUTED_VALUE"""),"+4529994502")</f>
        <v/>
      </c>
      <c r="K245" s="1">
        <f>IFERROR(__xludf.DUMMYFUNCTION("""COMPUTED_VALUE"""),"Aarhus")</f>
        <v/>
      </c>
      <c r="L245" s="1">
        <f>IFERROR(__xludf.DUMMYFUNCTION("""COMPUTED_VALUE"""),"Denmark")</f>
        <v/>
      </c>
      <c r="M245" s="1">
        <f>IFERROR(__xludf.DUMMYFUNCTION("""COMPUTED_VALUE"""),"Belgium, Denmark, Italy, Norway, Switzerland, Austria, Germany, Netherlands, United Kingdom")</f>
        <v/>
      </c>
      <c r="N245" s="1">
        <f>IFERROR(__xludf.DUMMYFUNCTION("""COMPUTED_VALUE"""),"Small (10-49 FTE employees)")</f>
        <v/>
      </c>
      <c r="O245" s="1">
        <f>IFERROR(__xludf.DUMMYFUNCTION("""COMPUTED_VALUE"""),"Business to Business, Business to Government, Business to Schools, Business to Consumer")</f>
        <v/>
      </c>
      <c r="P245" s="1">
        <f>IFERROR(__xludf.DUMMYFUNCTION("""COMPUTED_VALUE"""),"Primary Education, Secondary Education, Vocational Education and Training (VET), Higher Education, Corporate Training, Lifelong learning/Adult education, Special Education")</f>
        <v/>
      </c>
      <c r="Q245" s="1">
        <f>IFERROR(__xludf.DUMMYFUNCTION("""COMPUTED_VALUE"""),"Student interfacing, Teacher interfacing")</f>
        <v/>
      </c>
      <c r="R245" s="1" t="n"/>
      <c r="S245" s="1" t="n"/>
      <c r="T245" s="15">
        <f>IFERROR(__xludf.DUMMYFUNCTION("""COMPUTED_VALUE"""),"https://www.linkedin.com/company/5352422/admin/dashboard/")</f>
        <v/>
      </c>
      <c r="U245" s="1">
        <f>IFERROR(__xludf.DUMMYFUNCTION("""COMPUTED_VALUE"""),"FrontRead")</f>
        <v/>
      </c>
      <c r="V245" s="1">
        <f>IFERROR(__xludf.DUMMYFUNCTION("""COMPUTED_VALUE"""),"FrontRead is the unique online training course, that improves the reading speed and comprehension as well as helping to develop better reading strategies for each individual student. FrontRead is usable by all types of educational institutions")</f>
        <v/>
      </c>
      <c r="W245" s="1" t="n"/>
      <c r="X245" s="1" t="n"/>
      <c r="Y245" s="1" t="n"/>
      <c r="Z245" s="1">
        <f>IFERROR(__xludf.DUMMYFUNCTION("""COMPUTED_VALUE"""),"Unverified")</f>
        <v/>
      </c>
      <c r="AA245" s="1">
        <f>IFERROR(__xludf.DUMMYFUNCTION("""COMPUTED_VALUE"""),"Public-private partnerships, Industry-academia partnerships, Collaborations between EdTech organisations")</f>
        <v/>
      </c>
      <c r="AB245" s="1">
        <f>IFERROR(__xludf.DUMMYFUNCTION("""COMPUTED_VALUE"""),"For-profit company")</f>
        <v/>
      </c>
      <c r="AC245" s="1">
        <f>IFERROR(__xludf.DUMMYFUNCTION("""COMPUTED_VALUE"""),TRUE)</f>
        <v/>
      </c>
      <c r="AD245" s="1">
        <f>IFERROR(__xludf.DUMMYFUNCTION("""COMPUTED_VALUE"""),TRUE)</f>
        <v/>
      </c>
      <c r="AE245" s="1" t="n"/>
    </row>
    <row r="246" ht="42" customHeight="1">
      <c r="A246" s="14">
        <f>IFERROR(__xludf.DUMMYFUNCTION("""COMPUTED_VALUE"""),45839)</f>
        <v/>
      </c>
      <c r="B246" s="1">
        <f>IFERROR(__xludf.DUMMYFUNCTION("""COMPUTED_VALUE"""),"ORG_1862")</f>
        <v/>
      </c>
      <c r="C246" s="1">
        <f>IFERROR(__xludf.DUMMYFUNCTION("""COMPUTED_VALUE"""),TRUE)</f>
        <v/>
      </c>
      <c r="D246" s="1">
        <f>IFERROR(__xludf.DUMMYFUNCTION("""COMPUTED_VALUE"""),"Levebee")</f>
        <v/>
      </c>
      <c r="E246" s="15">
        <f>IFERROR(__xludf.DUMMYFUNCTION("""COMPUTED_VALUE"""),"https://www.levebee.com")</f>
        <v/>
      </c>
      <c r="F246" s="1">
        <f>IFERROR(__xludf.DUMMYFUNCTION("""COMPUTED_VALUE"""),"Levebee provides diagnostic assessment and personalized math practice for K-3 students. In just 20 minutes, teachers get a clear explanation of why specific students struggle with math and how to help them. Hundreds of personalized, evidence-based exercis"&amp;"es augmented with AI feedback ensure maximum independent learning. Built with love for SpEd students and English Language Learners. Trusted by 1,000+ schools and 500,000 students. 97 % of teachers recommend Levebee to other teachers.")</f>
        <v/>
      </c>
      <c r="G246" s="1">
        <f>IFERROR(__xludf.DUMMYFUNCTION("""COMPUTED_VALUE"""),"Swedish EdTech Industry")</f>
        <v/>
      </c>
      <c r="H246" s="1">
        <f>IFERROR(__xludf.DUMMYFUNCTION("""COMPUTED_VALUE"""),"English, French, Italian, Spanish, German, Czech")</f>
        <v/>
      </c>
      <c r="I246" s="1">
        <f>IFERROR(__xludf.DUMMYFUNCTION("""COMPUTED_VALUE"""),"support@levebee.com")</f>
        <v/>
      </c>
      <c r="J246" s="1">
        <f>IFERROR(__xludf.DUMMYFUNCTION("""COMPUTED_VALUE"""),"+447857160657")</f>
        <v/>
      </c>
      <c r="K246" s="1">
        <f>IFERROR(__xludf.DUMMYFUNCTION("""COMPUTED_VALUE"""),"Prague")</f>
        <v/>
      </c>
      <c r="L246" s="1">
        <f>IFERROR(__xludf.DUMMYFUNCTION("""COMPUTED_VALUE"""),"Czech Republic")</f>
        <v/>
      </c>
      <c r="M246" s="1">
        <f>IFERROR(__xludf.DUMMYFUNCTION("""COMPUTED_VALUE"""),"Croatia, Czechia, Finland, Slovakia, Romania, United Kingdom, Ukraine, Sweden, Poland, Germany, Spain, United States of America")</f>
        <v/>
      </c>
      <c r="N246" s="1">
        <f>IFERROR(__xludf.DUMMYFUNCTION("""COMPUTED_VALUE"""),"Micro (1-9 FTE employees)")</f>
        <v/>
      </c>
      <c r="O246" s="1">
        <f>IFERROR(__xludf.DUMMYFUNCTION("""COMPUTED_VALUE"""),"Business to Consumer, Business to Schools, Business to Government")</f>
        <v/>
      </c>
      <c r="P246" s="1">
        <f>IFERROR(__xludf.DUMMYFUNCTION("""COMPUTED_VALUE"""),"Early childhood development (0-5 years), Primary Education")</f>
        <v/>
      </c>
      <c r="Q246" s="1">
        <f>IFERROR(__xludf.DUMMYFUNCTION("""COMPUTED_VALUE"""),"Student interfacing, Teacher interfacing, System/Administrative")</f>
        <v/>
      </c>
      <c r="R246" s="1" t="n"/>
      <c r="S246" s="15">
        <f>IFERROR(__xludf.DUMMYFUNCTION("""COMPUTED_VALUE"""),"https://x.com/levebeeapp")</f>
        <v/>
      </c>
      <c r="T246" s="1" t="n"/>
      <c r="U246" s="1">
        <f>IFERROR(__xludf.DUMMYFUNCTION("""COMPUTED_VALUE"""),"Levebee")</f>
        <v/>
      </c>
      <c r="V246" s="1">
        <f>IFERROR(__xludf.DUMMYFUNCTION("""COMPUTED_VALUE"""),"Levebee identifies the gaps and explains in plain language how to help a student in and beyond the app. Hundreds of personalized, evidence-based exercises ensure maximum independent learning. With Levebee, anyone can help any child master and love math.")</f>
        <v/>
      </c>
      <c r="W246" s="1" t="n"/>
      <c r="X246" s="1" t="n"/>
      <c r="Y246" s="1" t="n"/>
      <c r="Z246" s="1">
        <f>IFERROR(__xludf.DUMMYFUNCTION("""COMPUTED_VALUE"""),"Unverified")</f>
        <v/>
      </c>
      <c r="AA246" s="1">
        <f>IFERROR(__xludf.DUMMYFUNCTION("""COMPUTED_VALUE"""),"Public-private partnerships, Industry-academia partnerships, Collaborations between EdTech organisations")</f>
        <v/>
      </c>
      <c r="AB246" s="1">
        <f>IFERROR(__xludf.DUMMYFUNCTION("""COMPUTED_VALUE"""),"For-profit company")</f>
        <v/>
      </c>
      <c r="AC246" s="1">
        <f>IFERROR(__xludf.DUMMYFUNCTION("""COMPUTED_VALUE"""),TRUE)</f>
        <v/>
      </c>
      <c r="AD246" s="1">
        <f>IFERROR(__xludf.DUMMYFUNCTION("""COMPUTED_VALUE"""),TRUE)</f>
        <v/>
      </c>
      <c r="AE246" s="1" t="n"/>
    </row>
    <row r="247" ht="42" customHeight="1">
      <c r="A247" s="14">
        <f>IFERROR(__xludf.DUMMYFUNCTION("""COMPUTED_VALUE"""),45839)</f>
        <v/>
      </c>
      <c r="B247" s="1">
        <f>IFERROR(__xludf.DUMMYFUNCTION("""COMPUTED_VALUE"""),"ORG_1365")</f>
        <v/>
      </c>
      <c r="C247" s="1">
        <f>IFERROR(__xludf.DUMMYFUNCTION("""COMPUTED_VALUE"""),TRUE)</f>
        <v/>
      </c>
      <c r="D247" s="1">
        <f>IFERROR(__xludf.DUMMYFUNCTION("""COMPUTED_VALUE"""),"Discentis")</f>
        <v/>
      </c>
      <c r="E247" s="15">
        <f>IFERROR(__xludf.DUMMYFUNCTION("""COMPUTED_VALUE"""),"https://discentis.it/")</f>
        <v/>
      </c>
      <c r="F247" s="1">
        <f>IFERROR(__xludf.DUMMYFUNCTION("""COMPUTED_VALUE"""),"Discentis is an Italian EdTech initiative dedicated to transforming education through community-driven innovation. At its core, Discentis fosters a vibrant ecosystem of teachers, educators, and school leaders by combining hands-on professional development"&amp;" with a strong sense of belonging. Through workshops, peer-learning formats, and a growing online platform, Discentis empowers educators to experiment, connect, and co-design new approaches to teaching and learning.")</f>
        <v/>
      </c>
      <c r="G247" s="1">
        <f>IFERROR(__xludf.DUMMYFUNCTION("""COMPUTED_VALUE"""),"EdTech Italia")</f>
        <v/>
      </c>
      <c r="H247" s="1">
        <f>IFERROR(__xludf.DUMMYFUNCTION("""COMPUTED_VALUE"""),"Italian")</f>
        <v/>
      </c>
      <c r="I247" s="1">
        <f>IFERROR(__xludf.DUMMYFUNCTION("""COMPUTED_VALUE"""),"segreteria@discentis.it")</f>
        <v/>
      </c>
      <c r="J247" s="1">
        <f>IFERROR(__xludf.DUMMYFUNCTION("""COMPUTED_VALUE"""),"+393515278701")</f>
        <v/>
      </c>
      <c r="K247" s="1">
        <f>IFERROR(__xludf.DUMMYFUNCTION("""COMPUTED_VALUE"""),"Turin")</f>
        <v/>
      </c>
      <c r="L247" s="1">
        <f>IFERROR(__xludf.DUMMYFUNCTION("""COMPUTED_VALUE"""),"Italy")</f>
        <v/>
      </c>
      <c r="M247" s="1">
        <f>IFERROR(__xludf.DUMMYFUNCTION("""COMPUTED_VALUE"""),"Italy")</f>
        <v/>
      </c>
      <c r="N247" s="1">
        <f>IFERROR(__xludf.DUMMYFUNCTION("""COMPUTED_VALUE"""),"Small (10-49 FTE employees)")</f>
        <v/>
      </c>
      <c r="O247" s="1">
        <f>IFERROR(__xludf.DUMMYFUNCTION("""COMPUTED_VALUE"""),"Business to Consumer, Business to Government")</f>
        <v/>
      </c>
      <c r="P247" s="1">
        <f>IFERROR(__xludf.DUMMYFUNCTION("""COMPUTED_VALUE"""),"Early childhood development (0-5 years), Primary Education, Secondary Education")</f>
        <v/>
      </c>
      <c r="Q247" s="1">
        <f>IFERROR(__xludf.DUMMYFUNCTION("""COMPUTED_VALUE"""),"Teacher interfacing")</f>
        <v/>
      </c>
      <c r="R247" s="15">
        <f>IFERROR(__xludf.DUMMYFUNCTION("""COMPUTED_VALUE"""),"https://www.instagram.com/discentis.it/")</f>
        <v/>
      </c>
      <c r="S247" s="1" t="n"/>
      <c r="T247" s="15">
        <f>IFERROR(__xludf.DUMMYFUNCTION("""COMPUTED_VALUE"""),"https://www.linkedin.com/company/discentis/")</f>
        <v/>
      </c>
      <c r="U247" s="1">
        <f>IFERROR(__xludf.DUMMYFUNCTION("""COMPUTED_VALUE"""),"Discentis Community Membership")</f>
        <v/>
      </c>
      <c r="V247" s="1">
        <f>IFERROR(__xludf.DUMMYFUNCTION("""COMPUTED_VALUE"""),"A subscription-based membership that gives educators access to an active community of peers, exclusive resources, live sessions, and collaborative opportunities to share and grow innovative teaching practices.")</f>
        <v/>
      </c>
      <c r="W247" s="1">
        <f>IFERROR(__xludf.DUMMYFUNCTION("""COMPUTED_VALUE"""),"Teacher Training Courses")</f>
        <v/>
      </c>
      <c r="X247" s="1">
        <f>IFERROR(__xludf.DUMMYFUNCTION("""COMPUTED_VALUE"""),"Practical and engaging courses focused on innovative didactic methodologies, such as storytelling, game-based learning, and project-based learning — designed to inspire and support real change in everyday classroom practice.")</f>
        <v/>
      </c>
      <c r="Y247" s="1" t="n"/>
      <c r="Z247" s="1">
        <f>IFERROR(__xludf.DUMMYFUNCTION("""COMPUTED_VALUE"""),"Unverified")</f>
        <v/>
      </c>
      <c r="AA247" s="1">
        <f>IFERROR(__xludf.DUMMYFUNCTION("""COMPUTED_VALUE"""),"Collaborations between EdTech organisations, Project consortium building, Public-private partnerships, Industry-academia partnerships")</f>
        <v/>
      </c>
      <c r="AB247" s="1">
        <f>IFERROR(__xludf.DUMMYFUNCTION("""COMPUTED_VALUE"""),"For-profit company")</f>
        <v/>
      </c>
      <c r="AC247" s="1">
        <f>IFERROR(__xludf.DUMMYFUNCTION("""COMPUTED_VALUE"""),TRUE)</f>
        <v/>
      </c>
      <c r="AD247" s="1">
        <f>IFERROR(__xludf.DUMMYFUNCTION("""COMPUTED_VALUE"""),TRUE)</f>
        <v/>
      </c>
      <c r="AE247" s="1" t="n"/>
    </row>
    <row r="248" ht="42" customHeight="1">
      <c r="A248" s="14">
        <f>IFERROR(__xludf.DUMMYFUNCTION("""COMPUTED_VALUE"""),45839)</f>
        <v/>
      </c>
      <c r="B248" s="1">
        <f>IFERROR(__xludf.DUMMYFUNCTION("""COMPUTED_VALUE"""),"ORG_1395")</f>
        <v/>
      </c>
      <c r="C248" s="1">
        <f>IFERROR(__xludf.DUMMYFUNCTION("""COMPUTED_VALUE"""),TRUE)</f>
        <v/>
      </c>
      <c r="D248" s="1">
        <f>IFERROR(__xludf.DUMMYFUNCTION("""COMPUTED_VALUE"""),"ECWT - European Centre for Women and Technology")</f>
        <v/>
      </c>
      <c r="E248" s="15">
        <f>IFERROR(__xludf.DUMMYFUNCTION("""COMPUTED_VALUE"""),"https://ecwt.eu")</f>
        <v/>
      </c>
      <c r="F248" s="1">
        <f>IFERROR(__xludf.DUMMYFUNCTION("""COMPUTED_VALUE"""),"ECWT is according to the European e-Skills Association the leading organization for Women in Digital Transformation. Established in 2008 ECWT is safeguarding the gender dimension and working in 30+ European countries, Latin America, US, Canada and Asia-Pa"&amp;"cific and with global strategic partners to measurably and significantly increasing the number of girls and women in coding, CT thinking and throughout the entire career pipeline in digital.")</f>
        <v/>
      </c>
      <c r="G248" s="1">
        <f>IFERROR(__xludf.DUMMYFUNCTION("""COMPUTED_VALUE"""),"I'm not part of any EdTech association")</f>
        <v/>
      </c>
      <c r="H248" s="1">
        <f>IFERROR(__xludf.DUMMYFUNCTION("""COMPUTED_VALUE"""),"Other")</f>
        <v/>
      </c>
      <c r="I248" s="1">
        <f>IFERROR(__xludf.DUMMYFUNCTION("""COMPUTED_VALUE"""),"info@ecwt.eu")</f>
        <v/>
      </c>
      <c r="J248" s="1">
        <f>IFERROR(__xludf.DUMMYFUNCTION("""COMPUTED_VALUE"""),"+46723019939")</f>
        <v/>
      </c>
      <c r="K248" s="1">
        <f>IFERROR(__xludf.DUMMYFUNCTION("""COMPUTED_VALUE"""),"Oslo")</f>
        <v/>
      </c>
      <c r="L248" s="1">
        <f>IFERROR(__xludf.DUMMYFUNCTION("""COMPUTED_VALUE"""),"Norway")</f>
        <v/>
      </c>
      <c r="M248" s="1">
        <f>IFERROR(__xludf.DUMMYFUNCTION("""COMPUTED_VALUE"""),"Bulgaria, Denmark, Finland, France, Germany, Greece, Hungary, Iceland, Italy, Lithuania, Luxembourg, Netherlands, North Macedonia, Norway, Poland, Portugal, Romania, Spain, Sweden, Switzerland, United Kingdom, Ukraine")</f>
        <v/>
      </c>
      <c r="N248" s="1">
        <f>IFERROR(__xludf.DUMMYFUNCTION("""COMPUTED_VALUE"""),"Medium (50-250 FTE employees)")</f>
        <v/>
      </c>
      <c r="O248" s="1">
        <f>IFERROR(__xludf.DUMMYFUNCTION("""COMPUTED_VALUE"""),"Business to Government, Business to Consumer, Business to Schools, Business to Business")</f>
        <v/>
      </c>
      <c r="P248" s="1">
        <f>IFERROR(__xludf.DUMMYFUNCTION("""COMPUTED_VALUE"""),"Secondary Education, Vocational Education and Training (VET), Higher Education, Corporate Training, Lifelong learning/Adult education, Special Education, Primary Education")</f>
        <v/>
      </c>
      <c r="Q248" s="1">
        <f>IFERROR(__xludf.DUMMYFUNCTION("""COMPUTED_VALUE"""),"Teacher interfacing, Student interfacing")</f>
        <v/>
      </c>
      <c r="R248" s="1" t="n"/>
      <c r="S248" s="1" t="n"/>
      <c r="T248" s="15">
        <f>IFERROR(__xludf.DUMMYFUNCTION("""COMPUTED_VALUE"""),"https://www.linkedin.com/in/womenandtechnology/")</f>
        <v/>
      </c>
      <c r="U248" s="1">
        <f>IFERROR(__xludf.DUMMYFUNCTION("""COMPUTED_VALUE"""),"Community")</f>
        <v/>
      </c>
      <c r="V248" s="1">
        <f>IFERROR(__xludf.DUMMYFUNCTION("""COMPUTED_VALUE"""),"multi-stakeholder representatives, girls &amp; women")</f>
        <v/>
      </c>
      <c r="W248" s="1">
        <f>IFERROR(__xludf.DUMMYFUNCTION("""COMPUTED_VALUE"""),"training")</f>
        <v/>
      </c>
      <c r="X248" s="1">
        <f>IFERROR(__xludf.DUMMYFUNCTION("""COMPUTED_VALUE"""),"on different levels with a focus on digital, mentoring, certification")</f>
        <v/>
      </c>
      <c r="Y248" s="1" t="n"/>
      <c r="Z248" s="1">
        <f>IFERROR(__xludf.DUMMYFUNCTION("""COMPUTED_VALUE"""),"Unverified")</f>
        <v/>
      </c>
      <c r="AA248" s="1">
        <f>IFERROR(__xludf.DUMMYFUNCTION("""COMPUTED_VALUE"""),"Project consortium building, Collaborations between EdTech organisations, Industry-academia partnerships")</f>
        <v/>
      </c>
      <c r="AB248" s="1">
        <f>IFERROR(__xludf.DUMMYFUNCTION("""COMPUTED_VALUE"""),"Non-profit organisation")</f>
        <v/>
      </c>
      <c r="AC248" s="1">
        <f>IFERROR(__xludf.DUMMYFUNCTION("""COMPUTED_VALUE"""),TRUE)</f>
        <v/>
      </c>
      <c r="AD248" s="1">
        <f>IFERROR(__xludf.DUMMYFUNCTION("""COMPUTED_VALUE"""),TRUE)</f>
        <v/>
      </c>
      <c r="AE248" s="15">
        <f>IFERROR(__xludf.DUMMYFUNCTION("""COMPUTED_VALUE"""),"https://www.facebook.com/w4techEU")</f>
        <v/>
      </c>
    </row>
    <row r="249" ht="42" customHeight="1">
      <c r="A249" s="14">
        <f>IFERROR(__xludf.DUMMYFUNCTION("""COMPUTED_VALUE"""),45839)</f>
        <v/>
      </c>
      <c r="B249" s="1">
        <f>IFERROR(__xludf.DUMMYFUNCTION("""COMPUTED_VALUE"""),"ORG_1507")</f>
        <v/>
      </c>
      <c r="C249" s="1">
        <f>IFERROR(__xludf.DUMMYFUNCTION("""COMPUTED_VALUE"""),TRUE)</f>
        <v/>
      </c>
      <c r="D249" s="1">
        <f>IFERROR(__xludf.DUMMYFUNCTION("""COMPUTED_VALUE"""),"Equal Education Srl")</f>
        <v/>
      </c>
      <c r="E249" s="15">
        <f>IFERROR(__xludf.DUMMYFUNCTION("""COMPUTED_VALUE"""),"www.equalmate.it")</f>
        <v/>
      </c>
      <c r="F249" s="1">
        <f>IFERROR(__xludf.DUMMYFUNCTION("""COMPUTED_VALUE"""),"Equal Education develops AI-powered tutoring technology that helps students master STEM subjects through personalized, step-by-step guidance while providing teachers with learning analytics to identify knowledge gaps, all powered by proprietary determinis"&amp;"tic algorithms ensuring accuracy")</f>
        <v/>
      </c>
      <c r="G249" s="1">
        <f>IFERROR(__xludf.DUMMYFUNCTION("""COMPUTED_VALUE"""),"EdTech Italia")</f>
        <v/>
      </c>
      <c r="H249" s="1">
        <f>IFERROR(__xludf.DUMMYFUNCTION("""COMPUTED_VALUE"""),"All")</f>
        <v/>
      </c>
      <c r="I249" s="1">
        <f>IFERROR(__xludf.DUMMYFUNCTION("""COMPUTED_VALUE"""),"info@equalmate.it")</f>
        <v/>
      </c>
      <c r="J249" s="1">
        <f>IFERROR(__xludf.DUMMYFUNCTION("""COMPUTED_VALUE"""),"+393202884632")</f>
        <v/>
      </c>
      <c r="K249" s="1">
        <f>IFERROR(__xludf.DUMMYFUNCTION("""COMPUTED_VALUE"""),"Collegno")</f>
        <v/>
      </c>
      <c r="L249" s="1">
        <f>IFERROR(__xludf.DUMMYFUNCTION("""COMPUTED_VALUE"""),"Italy")</f>
        <v/>
      </c>
      <c r="M249" s="1">
        <f>IFERROR(__xludf.DUMMYFUNCTION("""COMPUTED_VALUE"""),"Italy, Ghana")</f>
        <v/>
      </c>
      <c r="N249" s="1">
        <f>IFERROR(__xludf.DUMMYFUNCTION("""COMPUTED_VALUE"""),"Micro (1-9 FTE employees)")</f>
        <v/>
      </c>
      <c r="O249" s="1">
        <f>IFERROR(__xludf.DUMMYFUNCTION("""COMPUTED_VALUE"""),"Business to Schools, Business to Consumer")</f>
        <v/>
      </c>
      <c r="P249" s="1">
        <f>IFERROR(__xludf.DUMMYFUNCTION("""COMPUTED_VALUE"""),"Secondary Education")</f>
        <v/>
      </c>
      <c r="Q249" s="1">
        <f>IFERROR(__xludf.DUMMYFUNCTION("""COMPUTED_VALUE"""),"Student interfacing, Teacher interfacing")</f>
        <v/>
      </c>
      <c r="R249" s="1" t="n"/>
      <c r="S249" s="1" t="n"/>
      <c r="T249" s="1" t="n"/>
      <c r="U249" s="1">
        <f>IFERROR(__xludf.DUMMYFUNCTION("""COMPUTED_VALUE"""),"Equal")</f>
        <v/>
      </c>
      <c r="V249" s="1">
        <f>IFERROR(__xludf.DUMMYFUNCTION("""COMPUTED_VALUE"""),"Equal is an AI-powered tutoring platform that helps students master math through personalized, step-by-step guidance with a challenge-based approach. It provides teachers with learning analytics to identify knowledge gaps, while proprietary deterministic "&amp;"algorithms ensure AI accuracy")</f>
        <v/>
      </c>
      <c r="W249" s="1" t="n"/>
      <c r="X249" s="1" t="n"/>
      <c r="Y249" s="1" t="n"/>
      <c r="Z249" s="1">
        <f>IFERROR(__xludf.DUMMYFUNCTION("""COMPUTED_VALUE"""),"Unverified")</f>
        <v/>
      </c>
      <c r="AA249" s="1">
        <f>IFERROR(__xludf.DUMMYFUNCTION("""COMPUTED_VALUE"""),"Public-private partnerships")</f>
        <v/>
      </c>
      <c r="AB249" s="1">
        <f>IFERROR(__xludf.DUMMYFUNCTION("""COMPUTED_VALUE"""),"For-profit company")</f>
        <v/>
      </c>
      <c r="AC249" s="1">
        <f>IFERROR(__xludf.DUMMYFUNCTION("""COMPUTED_VALUE"""),TRUE)</f>
        <v/>
      </c>
      <c r="AD249" s="1">
        <f>IFERROR(__xludf.DUMMYFUNCTION("""COMPUTED_VALUE"""),TRUE)</f>
        <v/>
      </c>
      <c r="AE249" s="1" t="n"/>
    </row>
    <row r="250" ht="42" customHeight="1">
      <c r="A250" s="14">
        <f>IFERROR(__xludf.DUMMYFUNCTION("""COMPUTED_VALUE"""),45839)</f>
        <v/>
      </c>
      <c r="B250" s="1">
        <f>IFERROR(__xludf.DUMMYFUNCTION("""COMPUTED_VALUE"""),"ORG_1616")</f>
        <v/>
      </c>
      <c r="C250" s="1">
        <f>IFERROR(__xludf.DUMMYFUNCTION("""COMPUTED_VALUE"""),TRUE)</f>
        <v/>
      </c>
      <c r="D250" s="1">
        <f>IFERROR(__xludf.DUMMYFUNCTION("""COMPUTED_VALUE"""),"Genio")</f>
        <v/>
      </c>
      <c r="E250" s="15">
        <f>IFERROR(__xludf.DUMMYFUNCTION("""COMPUTED_VALUE"""),"genio.co")</f>
        <v/>
      </c>
      <c r="F250" s="1">
        <f>IFERROR(__xludf.DUMMYFUNCTION("""COMPUTED_VALUE"""),"We help learners overcome challenges, by creating an environment in which they are equipped, empowered and encouraged to succeed from day one.")</f>
        <v/>
      </c>
      <c r="G250" s="1">
        <f>IFERROR(__xludf.DUMMYFUNCTION("""COMPUTED_VALUE"""),"I'm not part of any EdTech association")</f>
        <v/>
      </c>
      <c r="H250" s="1">
        <f>IFERROR(__xludf.DUMMYFUNCTION("""COMPUTED_VALUE"""),"English, German, French, Italian, Spanish")</f>
        <v/>
      </c>
      <c r="I250" s="1">
        <f>IFERROR(__xludf.DUMMYFUNCTION("""COMPUTED_VALUE"""),"contact@genio.co")</f>
        <v/>
      </c>
      <c r="J250" s="1">
        <f>IFERROR(__xludf.DUMMYFUNCTION("""COMPUTED_VALUE"""),"+441138150222")</f>
        <v/>
      </c>
      <c r="K250" s="1">
        <f>IFERROR(__xludf.DUMMYFUNCTION("""COMPUTED_VALUE"""),"Leeds")</f>
        <v/>
      </c>
      <c r="L250" s="1">
        <f>IFERROR(__xludf.DUMMYFUNCTION("""COMPUTED_VALUE"""),"United Kingdom")</f>
        <v/>
      </c>
      <c r="M250" s="1">
        <f>IFERROR(__xludf.DUMMYFUNCTION("""COMPUTED_VALUE"""),"United Kingdom, Ireland, Sweden, Denmark, France, Italy, Malta, Switzerland, Spain, Netherlands, Germany, Austria")</f>
        <v/>
      </c>
      <c r="N250" s="1">
        <f>IFERROR(__xludf.DUMMYFUNCTION("""COMPUTED_VALUE"""),"Medium (50-250 FTE employees)")</f>
        <v/>
      </c>
      <c r="O250" s="1">
        <f>IFERROR(__xludf.DUMMYFUNCTION("""COMPUTED_VALUE"""),"Business to Business, Business to Government, Business to Consumer")</f>
        <v/>
      </c>
      <c r="P250" s="1">
        <f>IFERROR(__xludf.DUMMYFUNCTION("""COMPUTED_VALUE"""),"Higher Education, Lifelong learning/Adult education, Special Education, Vocational Education and Training (VET)")</f>
        <v/>
      </c>
      <c r="Q250" s="1">
        <f>IFERROR(__xludf.DUMMYFUNCTION("""COMPUTED_VALUE"""),"Student interfacing")</f>
        <v/>
      </c>
      <c r="R250" s="1" t="n"/>
      <c r="S250" s="1" t="n"/>
      <c r="T250" s="15">
        <f>IFERROR(__xludf.DUMMYFUNCTION("""COMPUTED_VALUE"""),"https://www.linkedin.com/company/geniolearn/posts/?feedView=all")</f>
        <v/>
      </c>
      <c r="U250" s="1">
        <f>IFERROR(__xludf.DUMMYFUNCTION("""COMPUTED_VALUE"""),"Genio Notes")</f>
        <v/>
      </c>
      <c r="V250" s="1">
        <f>IFERROR(__xludf.DUMMYFUNCTION("""COMPUTED_VALUE"""),"The #1 recommended note taking solution to boost knowledge, skills and confidence. It works online or offline, on any device. Built around an effective 4-step note taking process that unlocks better learning, Genio Notes is helping thousands of learners w"&amp;"ith user-friendly and accessible features")</f>
        <v/>
      </c>
      <c r="W250" s="1">
        <f>IFERROR(__xludf.DUMMYFUNCTION("""COMPUTED_VALUE"""),"Genio Present")</f>
        <v/>
      </c>
      <c r="X250" s="1">
        <f>IFERROR(__xludf.DUMMYFUNCTION("""COMPUTED_VALUE"""),"A brand new presentation rehearsal tool that helps students of all abilities reduce anxiety and build lasting communication skills. Record yourself presenting with slides, audio and video and review as often as needed to build confidence in private.")</f>
        <v/>
      </c>
      <c r="Y250" s="1" t="n"/>
      <c r="Z250" s="1">
        <f>IFERROR(__xludf.DUMMYFUNCTION("""COMPUTED_VALUE"""),"Unverified")</f>
        <v/>
      </c>
      <c r="AA250" s="1">
        <f>IFERROR(__xludf.DUMMYFUNCTION("""COMPUTED_VALUE"""),"Project consortium building, Public-private partnerships, Industry-academia partnerships, Collaborations between EdTech organisations")</f>
        <v/>
      </c>
      <c r="AB250" s="1">
        <f>IFERROR(__xludf.DUMMYFUNCTION("""COMPUTED_VALUE"""),"For-profit company")</f>
        <v/>
      </c>
      <c r="AC250" s="1">
        <f>IFERROR(__xludf.DUMMYFUNCTION("""COMPUTED_VALUE"""),TRUE)</f>
        <v/>
      </c>
      <c r="AD250" s="1">
        <f>IFERROR(__xludf.DUMMYFUNCTION("""COMPUTED_VALUE"""),FALSE)</f>
        <v/>
      </c>
      <c r="AE250" s="1" t="n"/>
    </row>
    <row r="251" ht="42" customHeight="1">
      <c r="A251" s="14">
        <f>IFERROR(__xludf.DUMMYFUNCTION("""COMPUTED_VALUE"""),45825)</f>
        <v/>
      </c>
      <c r="B251" s="1">
        <f>IFERROR(__xludf.DUMMYFUNCTION("""COMPUTED_VALUE"""),"ORG_1280")</f>
        <v/>
      </c>
      <c r="C251" s="1">
        <f>IFERROR(__xludf.DUMMYFUNCTION("""COMPUTED_VALUE"""),TRUE)</f>
        <v/>
      </c>
      <c r="D251" s="1">
        <f>IFERROR(__xludf.DUMMYFUNCTION("""COMPUTED_VALUE"""),"CoLab")</f>
        <v/>
      </c>
      <c r="E251" s="15">
        <f>IFERROR(__xludf.DUMMYFUNCTION("""COMPUTED_VALUE"""),"https://www.collaborationlaboratory.com/")</f>
        <v/>
      </c>
      <c r="F251" s="1">
        <f>IFERROR(__xludf.DUMMYFUNCTION("""COMPUTED_VALUE"""),"CoLab is an award winning online programme that combines live coaching with immersive games, discussions and escape rooms to teach kids the skills they need for life.")</f>
        <v/>
      </c>
      <c r="G251" s="1">
        <f>IFERROR(__xludf.DUMMYFUNCTION("""COMPUTED_VALUE"""),"I'm not part of any EdTech association")</f>
        <v/>
      </c>
      <c r="H251" s="1">
        <f>IFERROR(__xludf.DUMMYFUNCTION("""COMPUTED_VALUE"""),"English")</f>
        <v/>
      </c>
      <c r="I251" s="1">
        <f>IFERROR(__xludf.DUMMYFUNCTION("""COMPUTED_VALUE"""),"hello@collaborationlaboratory.com")</f>
        <v/>
      </c>
      <c r="J251" s="1" t="n"/>
      <c r="K251" s="1">
        <f>IFERROR(__xludf.DUMMYFUNCTION("""COMPUTED_VALUE"""),"London")</f>
        <v/>
      </c>
      <c r="L251" s="1">
        <f>IFERROR(__xludf.DUMMYFUNCTION("""COMPUTED_VALUE"""),"United Kingdom")</f>
        <v/>
      </c>
      <c r="M251" s="1">
        <f>IFERROR(__xludf.DUMMYFUNCTION("""COMPUTED_VALUE"""),"Belgium, Italy, Netherlands, Portugal, Spain, Switzerland, United Kingdom")</f>
        <v/>
      </c>
      <c r="N251" s="1">
        <f>IFERROR(__xludf.DUMMYFUNCTION("""COMPUTED_VALUE"""),"3 to 5")</f>
        <v/>
      </c>
      <c r="O251" s="1">
        <f>IFERROR(__xludf.DUMMYFUNCTION("""COMPUTED_VALUE"""),"Business to Business, Business to Schools, Business to Consumer")</f>
        <v/>
      </c>
      <c r="P251" s="1">
        <f>IFERROR(__xludf.DUMMYFUNCTION("""COMPUTED_VALUE"""),"Early childhood development (0-5 years), Primary Education, Lifelong learning/Adult education")</f>
        <v/>
      </c>
      <c r="Q251" s="1">
        <f>IFERROR(__xludf.DUMMYFUNCTION("""COMPUTED_VALUE"""),"System/Administrative, Student interfacing, Teacher interfacing")</f>
        <v/>
      </c>
      <c r="R251" s="15">
        <f>IFERROR(__xludf.DUMMYFUNCTION("""COMPUTED_VALUE"""),"https://www.instagram.com/colab_global_/")</f>
        <v/>
      </c>
      <c r="S251" s="1" t="n"/>
      <c r="T251" s="15">
        <f>IFERROR(__xludf.DUMMYFUNCTION("""COMPUTED_VALUE"""),"https://www.linkedin.com/company/collaboration-laboratory")</f>
        <v/>
      </c>
      <c r="U251" s="1">
        <f>IFERROR(__xludf.DUMMYFUNCTION("""COMPUTED_VALUE"""),"CoLab")</f>
        <v/>
      </c>
      <c r="V251" s="1">
        <f>IFERROR(__xludf.DUMMYFUNCTION("""COMPUTED_VALUE"""),"1 hour a week online session with 2 live coaches that supercharge your child's social, emotional and strategic skills.")</f>
        <v/>
      </c>
      <c r="W251" s="1" t="n"/>
      <c r="X251" s="1" t="n"/>
      <c r="Y251" s="15">
        <f>IFERROR(__xludf.DUMMYFUNCTION("""COMPUTED_VALUE"""),"https://drive.google.com/uc?export=view&amp;id=1pp0MjmL9-4UG_ExR4bmn0dL7jzDG9rfh")</f>
        <v/>
      </c>
      <c r="Z251" s="1">
        <f>IFERROR(__xludf.DUMMYFUNCTION("""COMPUTED_VALUE"""),"Unverified")</f>
        <v/>
      </c>
      <c r="AA251" s="1" t="n"/>
      <c r="AB251" s="1" t="n"/>
      <c r="AC251" s="1" t="n"/>
      <c r="AD251" s="1" t="n"/>
      <c r="AE251" s="1" t="n"/>
    </row>
    <row r="252" ht="42" customHeight="1">
      <c r="A252" s="14">
        <f>IFERROR(__xludf.DUMMYFUNCTION("""COMPUTED_VALUE"""),45814)</f>
        <v/>
      </c>
      <c r="B252" s="1">
        <f>IFERROR(__xludf.DUMMYFUNCTION("""COMPUTED_VALUE"""),"ORG_1335")</f>
        <v/>
      </c>
      <c r="C252" s="1">
        <f>IFERROR(__xludf.DUMMYFUNCTION("""COMPUTED_VALUE"""),TRUE)</f>
        <v/>
      </c>
      <c r="D252" s="1">
        <f>IFERROR(__xludf.DUMMYFUNCTION("""COMPUTED_VALUE"""),"Delenta")</f>
        <v/>
      </c>
      <c r="E252" s="15">
        <f>IFERROR(__xludf.DUMMYFUNCTION("""COMPUTED_VALUE"""),"https://delenta.com")</f>
        <v/>
      </c>
      <c r="F252" s="1">
        <f>IFERROR(__xludf.DUMMYFUNCTION("""COMPUTED_VALUE"""),"Delenta is a UK-based edtech company redefining the £12 billion professional coaching and training sector with a unified SaaS platform. Designed in collaboration with a global community of coaches and trainers, Delenta eliminates the “multi-system chaos” "&amp;"that plagues growing coaching businesses by consolidating scheduling, CRM, learning management, and AI-powered tools including automated notetaking and a conversational chatbot into a single, branded ecosystem
Founded in 2020 as a social experiment to fos"&amp;"ter knowledge sharing, Delenta has since evolved guided by a community of coaches and trainers into a robust solution that integrates key business functions into a single, branded digital hub. Delenta solves the problem of fragmented and inefficient coach"&amp;"ing operations by providing an all-in-one, AI-powered platform that centralizes session management, client communication, task automation, and data-driven insights. This solution addresses key challenges faced by coaching businesses, such as:
Coaching bus"&amp;"inesses are drowning in operational chaos. They waste countless hours wrestling with disconnected tools such as scheduling nightmares, CRM confusion, task management mayhem. Scaling? Forget it. Managing multiple coaches and clients with this mess is a rec"&amp;"ipe for burnout. Delenta ends this pain. We integrate everything, stop the time drain, and provide the tools to actually grow.
Scaling coaching teams is a nightmare of communication silos. Missed deadlines, lost data, and inconsistent processes cripple ef"&amp;"ficiency and client results, stalling growth. Delenta smashes these silos with centralized dashboards, enabling seamless collaboration and clear progress tracking. Plus, machine learning delivers actionable insights, predicting client success and driving "&amp;"data-driven growth.
We are solving the problem of fragmented and inaccessible AI and compliance solutions for SMEs in coaching and consultancy. Currently, these businesses must navigate multiple providers and complex regulations. We're offering a single, "&amp;"integrated solution – a one-stop AI service model combined with our cybersecurity accreditation – to streamline their operations and ensure they meet all necessary compliance standards")</f>
        <v/>
      </c>
      <c r="G252" s="1">
        <f>IFERROR(__xludf.DUMMYFUNCTION("""COMPUTED_VALUE"""),"I'm not part of any EdTech association")</f>
        <v/>
      </c>
      <c r="H252" s="1">
        <f>IFERROR(__xludf.DUMMYFUNCTION("""COMPUTED_VALUE"""),"English")</f>
        <v/>
      </c>
      <c r="I252" s="1">
        <f>IFERROR(__xludf.DUMMYFUNCTION("""COMPUTED_VALUE"""),"sam@delenta.com")</f>
        <v/>
      </c>
      <c r="J252" s="1">
        <f>IFERROR(__xludf.DUMMYFUNCTION("""COMPUTED_VALUE"""),"+44 7391700258")</f>
        <v/>
      </c>
      <c r="K252" s="1">
        <f>IFERROR(__xludf.DUMMYFUNCTION("""COMPUTED_VALUE"""),"LONDON")</f>
        <v/>
      </c>
      <c r="L252" s="1">
        <f>IFERROR(__xludf.DUMMYFUNCTION("""COMPUTED_VALUE"""),"United Kingdom")</f>
        <v/>
      </c>
      <c r="M252" s="1">
        <f>IFERROR(__xludf.DUMMYFUNCTION("""COMPUTED_VALUE"""),"United Kingdom")</f>
        <v/>
      </c>
      <c r="N252" s="1">
        <f>IFERROR(__xludf.DUMMYFUNCTION("""COMPUTED_VALUE"""),"3 to 5")</f>
        <v/>
      </c>
      <c r="O252" s="1">
        <f>IFERROR(__xludf.DUMMYFUNCTION("""COMPUTED_VALUE"""),"Business to Business, Business to Schools, Business to Government")</f>
        <v/>
      </c>
      <c r="P252" s="1">
        <f>IFERROR(__xludf.DUMMYFUNCTION("""COMPUTED_VALUE"""),"Corporate Training, Lifelong learning/Adult education, Vocational Education and Training (VET), Higher Education")</f>
        <v/>
      </c>
      <c r="Q252" s="1">
        <f>IFERROR(__xludf.DUMMYFUNCTION("""COMPUTED_VALUE"""),"System/Administrative, Student interfacing")</f>
        <v/>
      </c>
      <c r="R252" s="1" t="n"/>
      <c r="S252" s="15">
        <f>IFERROR(__xludf.DUMMYFUNCTION("""COMPUTED_VALUE"""),"https://x.com/Delentacoaching")</f>
        <v/>
      </c>
      <c r="T252" s="15">
        <f>IFERROR(__xludf.DUMMYFUNCTION("""COMPUTED_VALUE"""),"https://www.linkedin.com/company/delenta/")</f>
        <v/>
      </c>
      <c r="U252" s="1">
        <f>IFERROR(__xludf.DUMMYFUNCTION("""COMPUTED_VALUE"""),"Delenta Teams Platform (Enterprise)")</f>
        <v/>
      </c>
      <c r="V252" s="1">
        <f>IFERROR(__xludf.DUMMYFUNCTION("""COMPUTED_VALUE"""),"Delenta Teams is an integrated, white-label platform designed for coaching and training organizations to efficiently manage multi-coach operations at scale. It centralises scheduling, client management, reporting, and communication, giving both leaders an"&amp;"d coaches real-time visibility into sessions, client progress, and team performance all within a branded digital ecosystem.")</f>
        <v/>
      </c>
      <c r="W252" s="1">
        <f>IFERROR(__xludf.DUMMYFUNCTION("""COMPUTED_VALUE"""),"Delenta Premium (Solopreneur)")</f>
        <v/>
      </c>
      <c r="X252" s="1">
        <f>IFERROR(__xludf.DUMMYFUNCTION("""COMPUTED_VALUE"""),"Delenta Premium for Solo is an all-in-one, white-label platform tailored for individual coaches, consultants, and solo practitioners who want to streamline their business and deliver a professional client experience. With Delenta Premium, you can manage s"&amp;"cheduling, client relationships, session notes, contracts, and digital resources—all from a single, customizable portal under your own brand.")</f>
        <v/>
      </c>
      <c r="Y252" s="15">
        <f>IFERROR(__xludf.DUMMYFUNCTION("""COMPUTED_VALUE"""),"https://drive.google.com/uc?export=view&amp;id=1Av2BZ8tnQWdhBGiebJMLzkbAfKIxxrQb")</f>
        <v/>
      </c>
      <c r="Z252" s="1">
        <f>IFERROR(__xludf.DUMMYFUNCTION("""COMPUTED_VALUE"""),"Unverified")</f>
        <v/>
      </c>
      <c r="AA252" s="1" t="n"/>
      <c r="AB252" s="1" t="n"/>
      <c r="AC252" s="1" t="n"/>
      <c r="AD252" s="1" t="n"/>
      <c r="AE252" s="1" t="n"/>
    </row>
    <row r="253" ht="42" customHeight="1">
      <c r="A253" s="14">
        <f>IFERROR(__xludf.DUMMYFUNCTION("""COMPUTED_VALUE"""),45810)</f>
        <v/>
      </c>
      <c r="B253" s="1">
        <f>IFERROR(__xludf.DUMMYFUNCTION("""COMPUTED_VALUE"""),"ORG_1205")</f>
        <v/>
      </c>
      <c r="C253" s="1">
        <f>IFERROR(__xludf.DUMMYFUNCTION("""COMPUTED_VALUE"""),TRUE)</f>
        <v/>
      </c>
      <c r="D253" s="1">
        <f>IFERROR(__xludf.DUMMYFUNCTION("""COMPUTED_VALUE"""),"By Kids to Kids")</f>
        <v/>
      </c>
      <c r="E253" s="15">
        <f>IFERROR(__xludf.DUMMYFUNCTION("""COMPUTED_VALUE"""),"https://decriancaparacrianca.com.br/en/")</f>
        <v/>
      </c>
      <c r="F253" s="1">
        <f>IFERROR(__xludf.DUMMYFUNCTION("""COMPUTED_VALUE"""),"The name By Kids to Kids perfectly captures the essence of our work: all content is created by kids specifically for other kids. We started our company, aiming to inspire and enrich the learning experience of students in classrooms. We have our office in "&amp;"Helsinki, Finland, and have representatives in Scandinavia, Spain, Brazil, and Portugal.
We developed “Creating Together”, a teaching methodology which places students at the center of their learning journey. Simple, fun, and easy to implement, with Creat"&amp;"ing Together, subjects like math, geography and science, or important issues like racism, inclusion, or bullying become stories that come to life through animations that can be seen repeatedly by students all over the world.")</f>
        <v/>
      </c>
      <c r="G253" s="1">
        <f>IFERROR(__xludf.DUMMYFUNCTION("""COMPUTED_VALUE"""),"EdTech Denmark")</f>
        <v/>
      </c>
      <c r="H253" s="1">
        <f>IFERROR(__xludf.DUMMYFUNCTION("""COMPUTED_VALUE"""),"English, Portuguese, Spanish, Finnish")</f>
        <v/>
      </c>
      <c r="I253" s="1">
        <f>IFERROR(__xludf.DUMMYFUNCTION("""COMPUTED_VALUE"""),"chris@bykidstokids.com")</f>
        <v/>
      </c>
      <c r="J253" s="1">
        <f>IFERROR(__xludf.DUMMYFUNCTION("""COMPUTED_VALUE"""),"+35 8 452009903")</f>
        <v/>
      </c>
      <c r="K253" s="1">
        <f>IFERROR(__xludf.DUMMYFUNCTION("""COMPUTED_VALUE"""),"HELSINKI")</f>
        <v/>
      </c>
      <c r="L253" s="1">
        <f>IFERROR(__xludf.DUMMYFUNCTION("""COMPUTED_VALUE"""),"Finland")</f>
        <v/>
      </c>
      <c r="M253" s="1">
        <f>IFERROR(__xludf.DUMMYFUNCTION("""COMPUTED_VALUE"""),"Denmark, Finland, Portugal, Spain")</f>
        <v/>
      </c>
      <c r="N253" s="1">
        <f>IFERROR(__xludf.DUMMYFUNCTION("""COMPUTED_VALUE"""),"3 to 5")</f>
        <v/>
      </c>
      <c r="O253" s="1">
        <f>IFERROR(__xludf.DUMMYFUNCTION("""COMPUTED_VALUE"""),"Business to Business, Business to Schools, Business to Government")</f>
        <v/>
      </c>
      <c r="P253" s="1">
        <f>IFERROR(__xludf.DUMMYFUNCTION("""COMPUTED_VALUE"""),"Primary Education, Secondary Education")</f>
        <v/>
      </c>
      <c r="Q253" s="1">
        <f>IFERROR(__xludf.DUMMYFUNCTION("""COMPUTED_VALUE"""),"Student interfacing, Teacher interfacing, System/Administrative")</f>
        <v/>
      </c>
      <c r="R253" s="1" t="n"/>
      <c r="S253" s="1" t="n"/>
      <c r="T253" s="1" t="n"/>
      <c r="U253" s="1" t="n"/>
      <c r="V253" s="1" t="n"/>
      <c r="W253" s="1" t="n"/>
      <c r="X253" s="1" t="n"/>
      <c r="Y253" s="15">
        <f>IFERROR(__xludf.DUMMYFUNCTION("""COMPUTED_VALUE"""),"https://drive.google.com/uc?export=view&amp;id=1bkq3-JDoXwLUVn21hzq0wRqLJugI4tVN")</f>
        <v/>
      </c>
      <c r="Z253" s="1">
        <f>IFERROR(__xludf.DUMMYFUNCTION("""COMPUTED_VALUE"""),"Unverified")</f>
        <v/>
      </c>
      <c r="AA253" s="1" t="n"/>
      <c r="AB253" s="1" t="n"/>
      <c r="AC253" s="1" t="n"/>
      <c r="AD253" s="1" t="n"/>
      <c r="AE253" s="1" t="n"/>
    </row>
    <row r="254" ht="42" customHeight="1">
      <c r="A254" s="14">
        <f>IFERROR(__xludf.DUMMYFUNCTION("""COMPUTED_VALUE"""),45794)</f>
        <v/>
      </c>
      <c r="B254" s="1">
        <f>IFERROR(__xludf.DUMMYFUNCTION("""COMPUTED_VALUE"""),"ORG_1831")</f>
        <v/>
      </c>
      <c r="C254" s="1">
        <f>IFERROR(__xludf.DUMMYFUNCTION("""COMPUTED_VALUE"""),TRUE)</f>
        <v/>
      </c>
      <c r="D254" s="1">
        <f>IFERROR(__xludf.DUMMYFUNCTION("""COMPUTED_VALUE"""),"LearnGraph")</f>
        <v/>
      </c>
      <c r="E254" s="15">
        <f>IFERROR(__xludf.DUMMYFUNCTION("""COMPUTED_VALUE"""),"https://learngraph.org")</f>
        <v/>
      </c>
      <c r="F254" s="1">
        <f>IFERROR(__xludf.DUMMYFUNCTION("""COMPUTED_VALUE"""),"LearnGraph enables a new way of learning with freedom – complete learner-agency. LearnGraph is creating a free, flexible, and community-powered education platform that works like an interactive “knowledge map.” Instead of traditional courses, it lets lear"&amp;"ners explore topics as interconnected pathways — making learning inclusive, intuitive and personalized. Open-source tech plus global skill tags let anyone add lessons, rate routes, and trusted micro-credentials. Live analytics flag gaps and alert mentors,"&amp;" cutting dropout. Mobile-first, offline access opens doors in low-bandwidth zones, while zero-knowledge privacy keeps data safe. For universities, LearnGraph is instant interoperability; for firms, a live skills radar. Join us and turn curiosity into clea"&amp;"r, community-driven growth. Now.")</f>
        <v/>
      </c>
      <c r="G254" s="1">
        <f>IFERROR(__xludf.DUMMYFUNCTION("""COMPUTED_VALUE"""),"I'm not part of any EdTech association")</f>
        <v/>
      </c>
      <c r="H254" s="1">
        <f>IFERROR(__xludf.DUMMYFUNCTION("""COMPUTED_VALUE"""),"English, German, Italian, Spanish, Arabic, Chinese")</f>
        <v/>
      </c>
      <c r="I254" s="1">
        <f>IFERROR(__xludf.DUMMYFUNCTION("""COMPUTED_VALUE"""),"contact@learngraph.org")</f>
        <v/>
      </c>
      <c r="J254" s="1">
        <f>IFERROR(__xludf.DUMMYFUNCTION("""COMPUTED_VALUE"""),"+4915679484399")</f>
        <v/>
      </c>
      <c r="K254" s="1">
        <f>IFERROR(__xludf.DUMMYFUNCTION("""COMPUTED_VALUE"""),"BOCHUM")</f>
        <v/>
      </c>
      <c r="L254" s="1">
        <f>IFERROR(__xludf.DUMMYFUNCTION("""COMPUTED_VALUE"""),"Germany")</f>
        <v/>
      </c>
      <c r="M254" s="1">
        <f>IFERROR(__xludf.DUMMYFUNCTION("""COMPUTED_VALUE"""),"Germany, Ireland, Italy, Netherlands, Portugal, Romania, Spain")</f>
        <v/>
      </c>
      <c r="N254" s="1">
        <f>IFERROR(__xludf.DUMMYFUNCTION("""COMPUTED_VALUE"""),"6 to 10")</f>
        <v/>
      </c>
      <c r="O254" s="1">
        <f>IFERROR(__xludf.DUMMYFUNCTION("""COMPUTED_VALUE"""),"Business to Business, Business to Schools, Business to Consumer, Business to Government")</f>
        <v/>
      </c>
      <c r="P254" s="1">
        <f>IFERROR(__xludf.DUMMYFUNCTION("""COMPUTED_VALUE"""),"Secondary Education, Corporate Training, Lifelong learning/Adult education, Vocational Education and Training (VET), Higher Education")</f>
        <v/>
      </c>
      <c r="Q254" s="1">
        <f>IFERROR(__xludf.DUMMYFUNCTION("""COMPUTED_VALUE"""),"Student interfacing")</f>
        <v/>
      </c>
      <c r="R254" s="15">
        <f>IFERROR(__xludf.DUMMYFUNCTION("""COMPUTED_VALUE"""),"https://www.instagram.com/learngraph_org/")</f>
        <v/>
      </c>
      <c r="S254" s="1" t="n"/>
      <c r="T254" s="15">
        <f>IFERROR(__xludf.DUMMYFUNCTION("""COMPUTED_VALUE"""),"https://www.linkedin.com/company/learngraph")</f>
        <v/>
      </c>
      <c r="U254" s="1">
        <f>IFERROR(__xludf.DUMMYFUNCTION("""COMPUTED_VALUE"""),"LearnGraph")</f>
        <v/>
      </c>
      <c r="V254" s="1">
        <f>IFERROR(__xludf.DUMMYFUNCTION("""COMPUTED_VALUE"""),"LearnGraph is an open-source knowledge map for students, professionals and educators. Interactive nodes replace static courses, letting anyone hop, add micro-lessons and earn verifiable badges. Smart hints and mentor pings sustain momentum, and offline mo"&amp;"bile works anywhere. Universities gain live learning insight; employers spot talent signals. Learning feels like exploring Google Maps for ideas.")</f>
        <v/>
      </c>
      <c r="W254" s="1" t="n"/>
      <c r="X254" s="1" t="n"/>
      <c r="Y254" s="15">
        <f>IFERROR(__xludf.DUMMYFUNCTION("""COMPUTED_VALUE"""),"https://drive.google.com/uc?export=view&amp;id=1rDs6ulz-x6nHoolDDj8x-q62ECbHgpPG")</f>
        <v/>
      </c>
      <c r="Z254" s="1">
        <f>IFERROR(__xludf.DUMMYFUNCTION("""COMPUTED_VALUE"""),"Unverified")</f>
        <v/>
      </c>
      <c r="AA254" s="1" t="n"/>
      <c r="AB254" s="1" t="n"/>
      <c r="AC254" s="1" t="n"/>
      <c r="AD254" s="1" t="n"/>
      <c r="AE254" s="1" t="n"/>
    </row>
    <row r="255" ht="42" customHeight="1">
      <c r="A255" s="14">
        <f>IFERROR(__xludf.DUMMYFUNCTION("""COMPUTED_VALUE"""),45762)</f>
        <v/>
      </c>
      <c r="B255" s="1">
        <f>IFERROR(__xludf.DUMMYFUNCTION("""COMPUTED_VALUE"""),"ORG_2037")</f>
        <v/>
      </c>
      <c r="C255" s="1">
        <f>IFERROR(__xludf.DUMMYFUNCTION("""COMPUTED_VALUE"""),TRUE)</f>
        <v/>
      </c>
      <c r="D255" s="1">
        <f>IFERROR(__xludf.DUMMYFUNCTION("""COMPUTED_VALUE"""),"Nifty Learning")</f>
        <v/>
      </c>
      <c r="E255" s="15">
        <f>IFERROR(__xludf.DUMMYFUNCTION("""COMPUTED_VALUE"""),"https://niftylearning.io")</f>
        <v/>
      </c>
      <c r="F255" s="1">
        <f>IFERROR(__xludf.DUMMYFUNCTION("""COMPUTED_VALUE"""),"Our Learning Management Platform enables organizations to strategically plan, manage, and optimize training activities. Designed to drive measurable outcomes, it enhances employee development while delivering a positive impact on business performance and "&amp;"the bottom line.")</f>
        <v/>
      </c>
      <c r="G255" s="1">
        <f>IFERROR(__xludf.DUMMYFUNCTION("""COMPUTED_VALUE"""),"I'm not part of any EdTech association")</f>
        <v/>
      </c>
      <c r="H255" s="1">
        <f>IFERROR(__xludf.DUMMYFUNCTION("""COMPUTED_VALUE"""),"English")</f>
        <v/>
      </c>
      <c r="I255" s="1">
        <f>IFERROR(__xludf.DUMMYFUNCTION("""COMPUTED_VALUE"""),"liz@niftylearning.io")</f>
        <v/>
      </c>
      <c r="J255" s="1" t="n"/>
      <c r="K255" s="1">
        <f>IFERROR(__xludf.DUMMYFUNCTION("""COMPUTED_VALUE"""),"IASI")</f>
        <v/>
      </c>
      <c r="L255" s="1">
        <f>IFERROR(__xludf.DUMMYFUNCTION("""COMPUTED_VALUE"""),"Romania")</f>
        <v/>
      </c>
      <c r="M255" s="1">
        <f>IFERROR(__xludf.DUMMYFUNCTION("""COMPUTED_VALUE"""),"Romania")</f>
        <v/>
      </c>
      <c r="N255" s="1">
        <f>IFERROR(__xludf.DUMMYFUNCTION("""COMPUTED_VALUE"""),"3 to 5")</f>
        <v/>
      </c>
      <c r="O255" s="1">
        <f>IFERROR(__xludf.DUMMYFUNCTION("""COMPUTED_VALUE"""),"Business to Business, Business to Government")</f>
        <v/>
      </c>
      <c r="P255" s="1">
        <f>IFERROR(__xludf.DUMMYFUNCTION("""COMPUTED_VALUE"""),"Corporate Training")</f>
        <v/>
      </c>
      <c r="Q255" s="1">
        <f>IFERROR(__xludf.DUMMYFUNCTION("""COMPUTED_VALUE"""),"Teacher interfacing, System/Administrative, Student interfacing")</f>
        <v/>
      </c>
      <c r="R255" s="1" t="n"/>
      <c r="S255" s="1" t="n"/>
      <c r="T255" s="15">
        <f>IFERROR(__xludf.DUMMYFUNCTION("""COMPUTED_VALUE"""),"https://www.linkedin.com/company/niftylearning")</f>
        <v/>
      </c>
      <c r="U255" s="1">
        <f>IFERROR(__xludf.DUMMYFUNCTION("""COMPUTED_VALUE"""),"Nifty Learning")</f>
        <v/>
      </c>
      <c r="V255" s="1">
        <f>IFERROR(__xludf.DUMMYFUNCTION("""COMPUTED_VALUE"""),"yearly subscription to the Nifty Learning Management Platform based on company headcount")</f>
        <v/>
      </c>
      <c r="W255" s="1" t="n"/>
      <c r="X255" s="1" t="n"/>
      <c r="Y255" s="15">
        <f>IFERROR(__xludf.DUMMYFUNCTION("""COMPUTED_VALUE"""),"https://drive.google.com/uc?export=view&amp;id=1Z0dmTKUX9yTViMacAayWbSSQUqY3KroY")</f>
        <v/>
      </c>
      <c r="Z255" s="1">
        <f>IFERROR(__xludf.DUMMYFUNCTION("""COMPUTED_VALUE"""),"Unverified")</f>
        <v/>
      </c>
      <c r="AA255" s="1" t="n"/>
      <c r="AB255" s="1" t="n"/>
      <c r="AC255" s="1" t="n"/>
      <c r="AD255" s="1" t="n"/>
      <c r="AE255" s="1" t="n"/>
    </row>
    <row r="256" ht="42" customHeight="1">
      <c r="A256" s="14">
        <f>IFERROR(__xludf.DUMMYFUNCTION("""COMPUTED_VALUE"""),45750)</f>
        <v/>
      </c>
      <c r="B256" s="1">
        <f>IFERROR(__xludf.DUMMYFUNCTION("""COMPUTED_VALUE"""),"ORG_1497")</f>
        <v/>
      </c>
      <c r="C256" s="1">
        <f>IFERROR(__xludf.DUMMYFUNCTION("""COMPUTED_VALUE"""),TRUE)</f>
        <v/>
      </c>
      <c r="D256" s="1">
        <f>IFERROR(__xludf.DUMMYFUNCTION("""COMPUTED_VALUE"""),"English Therapy")</f>
        <v/>
      </c>
      <c r="E256" s="15">
        <f>IFERROR(__xludf.DUMMYFUNCTION("""COMPUTED_VALUE"""),"englishtherapy.co.uk")</f>
        <v/>
      </c>
      <c r="F256" s="1">
        <f>IFERROR(__xludf.DUMMYFUNCTION("""COMPUTED_VALUE"""),"English Therapy is an online language school that provides English courses through highly qualified UK-based teachers. We have identified that communication in a second language is often limited by psychological barriers rather than knowledge of the langu"&amp;"age itself.
By combining language lessons with learning therapy sessions that focus on the personal, psychological and emotional side of learning, we help our students overcome both language and social challenges.")</f>
        <v/>
      </c>
      <c r="G256" s="1">
        <f>IFERROR(__xludf.DUMMYFUNCTION("""COMPUTED_VALUE"""),"I'm not part of any EdTech association")</f>
        <v/>
      </c>
      <c r="H256" s="1" t="n"/>
      <c r="I256" s="1" t="n"/>
      <c r="J256" s="1" t="n"/>
      <c r="K256" s="1">
        <f>IFERROR(__xludf.DUMMYFUNCTION("""COMPUTED_VALUE"""),"LEEDS")</f>
        <v/>
      </c>
      <c r="L256" s="1">
        <f>IFERROR(__xludf.DUMMYFUNCTION("""COMPUTED_VALUE"""),"United Kingdom")</f>
        <v/>
      </c>
      <c r="M256" s="1">
        <f>IFERROR(__xludf.DUMMYFUNCTION("""COMPUTED_VALUE"""),"Italy, Spain, Turkey, United Kingdom")</f>
        <v/>
      </c>
      <c r="N256" s="1">
        <f>IFERROR(__xludf.DUMMYFUNCTION("""COMPUTED_VALUE"""),"0 to 2")</f>
        <v/>
      </c>
      <c r="O256" s="1">
        <f>IFERROR(__xludf.DUMMYFUNCTION("""COMPUTED_VALUE"""),"Business to Business, Business to Schools")</f>
        <v/>
      </c>
      <c r="P256" s="1">
        <f>IFERROR(__xludf.DUMMYFUNCTION("""COMPUTED_VALUE"""),"Corporate Training, Lifelong learning/Adult education, Vocational Education and Training (VET), Higher Education")</f>
        <v/>
      </c>
      <c r="Q256" s="1">
        <f>IFERROR(__xludf.DUMMYFUNCTION("""COMPUTED_VALUE"""),"System/Administrative, Student interfacing")</f>
        <v/>
      </c>
      <c r="R256" s="1" t="n"/>
      <c r="S256" s="1" t="n"/>
      <c r="T256" s="15">
        <f>IFERROR(__xludf.DUMMYFUNCTION("""COMPUTED_VALUE"""),"https://www.linkedin.com/company/english-learning-therapy")</f>
        <v/>
      </c>
      <c r="U256" s="1">
        <f>IFERROR(__xludf.DUMMYFUNCTION("""COMPUTED_VALUE"""),"English For Life")</f>
        <v/>
      </c>
      <c r="V256" s="1">
        <f>IFERROR(__xludf.DUMMYFUNCTION("""COMPUTED_VALUE"""),"Our English for Life (EFL) courses help individuals learn English language skills naturally for daily communications")</f>
        <v/>
      </c>
      <c r="W256" s="1">
        <f>IFERROR(__xludf.DUMMYFUNCTION("""COMPUTED_VALUE"""),"Enterprise English")</f>
        <v/>
      </c>
      <c r="X256" s="1">
        <f>IFERROR(__xludf.DUMMYFUNCTION("""COMPUTED_VALUE"""),"Courses for professionals and business owners to enter the international job market")</f>
        <v/>
      </c>
      <c r="Y256" s="15">
        <f>IFERROR(__xludf.DUMMYFUNCTION("""COMPUTED_VALUE"""),"https://drive.google.com/uc?export=view&amp;id=1XTssh_x714NNGecEqwot8Cfhro1BheCX")</f>
        <v/>
      </c>
      <c r="Z256" s="1">
        <f>IFERROR(__xludf.DUMMYFUNCTION("""COMPUTED_VALUE"""),"Unverified")</f>
        <v/>
      </c>
      <c r="AA256" s="1" t="n"/>
      <c r="AB256" s="1" t="n"/>
      <c r="AC256" s="1" t="n"/>
      <c r="AD256" s="1" t="n"/>
      <c r="AE256" s="1" t="n"/>
    </row>
    <row r="257" ht="42" customHeight="1">
      <c r="A257" s="14">
        <f>IFERROR(__xludf.DUMMYFUNCTION("""COMPUTED_VALUE"""),45747)</f>
        <v/>
      </c>
      <c r="B257" s="1">
        <f>IFERROR(__xludf.DUMMYFUNCTION("""COMPUTED_VALUE"""),"ORG_1720")</f>
        <v/>
      </c>
      <c r="C257" s="1">
        <f>IFERROR(__xludf.DUMMYFUNCTION("""COMPUTED_VALUE"""),TRUE)</f>
        <v/>
      </c>
      <c r="D257" s="1">
        <f>IFERROR(__xludf.DUMMYFUNCTION("""COMPUTED_VALUE"""),"InDiPaed - Institut für Digitale Pädagogik (n.staatl.)")</f>
        <v/>
      </c>
      <c r="E257" s="15">
        <f>IFERROR(__xludf.DUMMYFUNCTION("""COMPUTED_VALUE"""),"https://www.indipaed.de/")</f>
        <v/>
      </c>
      <c r="F257" s="1">
        <f>IFERROR(__xludf.DUMMYFUNCTION("""COMPUTED_VALUE"""),"InDiPaed - Institut für Digitale Pädagogik (n.staatl.) is an online learning platform based in Berlin, Germany, founded in 2020. It offers a variety of courses on current pedagogical topics, particularly focusing on child protection and sexual education. "&amp;"These programs are designed to enhance the skills and knowledge of educators and caregivers in kindergartens, providing accessible learning resources that support the implementation of effective educational strategies.")</f>
        <v/>
      </c>
      <c r="G257" s="1">
        <f>IFERROR(__xludf.DUMMYFUNCTION("""COMPUTED_VALUE"""),"I'm not part of any EdTech association")</f>
        <v/>
      </c>
      <c r="H257" s="1">
        <f>IFERROR(__xludf.DUMMYFUNCTION("""COMPUTED_VALUE"""),"German")</f>
        <v/>
      </c>
      <c r="I257" s="1">
        <f>IFERROR(__xludf.DUMMYFUNCTION("""COMPUTED_VALUE"""),"hallo@indipaed.de")</f>
        <v/>
      </c>
      <c r="J257" s="1">
        <f>IFERROR(__xludf.DUMMYFUNCTION("""COMPUTED_VALUE"""),"+49 30 692007760")</f>
        <v/>
      </c>
      <c r="K257" s="1">
        <f>IFERROR(__xludf.DUMMYFUNCTION("""COMPUTED_VALUE"""),"BERLIN")</f>
        <v/>
      </c>
      <c r="L257" s="1">
        <f>IFERROR(__xludf.DUMMYFUNCTION("""COMPUTED_VALUE"""),"Germany")</f>
        <v/>
      </c>
      <c r="M257" s="1">
        <f>IFERROR(__xludf.DUMMYFUNCTION("""COMPUTED_VALUE"""),"Austria, Germany, Luxembourg, Switzerland")</f>
        <v/>
      </c>
      <c r="N257" s="1">
        <f>IFERROR(__xludf.DUMMYFUNCTION("""COMPUTED_VALUE"""),"3 to 5")</f>
        <v/>
      </c>
      <c r="O257" s="1">
        <f>IFERROR(__xludf.DUMMYFUNCTION("""COMPUTED_VALUE"""),"Business to Business, Business to Schools, Business to Consumer, Business to Government")</f>
        <v/>
      </c>
      <c r="P257" s="1">
        <f>IFERROR(__xludf.DUMMYFUNCTION("""COMPUTED_VALUE"""),"Corporate Training, Lifelong learning/Adult education")</f>
        <v/>
      </c>
      <c r="Q257" s="1">
        <f>IFERROR(__xludf.DUMMYFUNCTION("""COMPUTED_VALUE"""),"Student interfacing")</f>
        <v/>
      </c>
      <c r="R257" s="15">
        <f>IFERROR(__xludf.DUMMYFUNCTION("""COMPUTED_VALUE"""),"https://www.instagram.com/indipaed/")</f>
        <v/>
      </c>
      <c r="S257" s="15">
        <f>IFERROR(__xludf.DUMMYFUNCTION("""COMPUTED_VALUE"""),"https://x.com/indipaed")</f>
        <v/>
      </c>
      <c r="T257" s="15">
        <f>IFERROR(__xludf.DUMMYFUNCTION("""COMPUTED_VALUE"""),"https://www.linkedin.com/company/indipaed/")</f>
        <v/>
      </c>
      <c r="U257" s="1">
        <f>IFERROR(__xludf.DUMMYFUNCTION("""COMPUTED_VALUE"""),"Training courses for early childhood educators")</f>
        <v/>
      </c>
      <c r="V257" s="1">
        <f>IFERROR(__xludf.DUMMYFUNCTION("""COMPUTED_VALUE"""),"This service offers flexible, self-paced learning for early childhood educators, focusing on topics such as child protection, sexual education, and everyday challenges in kindergartens. Through engaging content like videos and interactive materials, parti"&amp;"cipants gain practical knowledge they can apply directly to their work. Each learning experience is designed to build confidence, enhance professional skills, and can be completed anytime, anywhere—ending with a recognized certificate.")</f>
        <v/>
      </c>
      <c r="W257" s="1" t="n"/>
      <c r="X257" s="1" t="n"/>
      <c r="Y257" s="15">
        <f>IFERROR(__xludf.DUMMYFUNCTION("""COMPUTED_VALUE"""),"https://drive.google.com/uc?export=view&amp;id=1gxzvStaQfeWptb4M8zzRQHyYxVr9xCB5")</f>
        <v/>
      </c>
      <c r="Z257" s="1">
        <f>IFERROR(__xludf.DUMMYFUNCTION("""COMPUTED_VALUE"""),"Unverified")</f>
        <v/>
      </c>
      <c r="AA257" s="1" t="n"/>
      <c r="AB257" s="1" t="n"/>
      <c r="AC257" s="1" t="n"/>
      <c r="AD257" s="1" t="n"/>
      <c r="AE257" s="1" t="n"/>
    </row>
    <row r="258" ht="42" customHeight="1">
      <c r="A258" s="14">
        <f>IFERROR(__xludf.DUMMYFUNCTION("""COMPUTED_VALUE"""),45742)</f>
        <v/>
      </c>
      <c r="B258" s="1">
        <f>IFERROR(__xludf.DUMMYFUNCTION("""COMPUTED_VALUE"""),"ORG_1277")</f>
        <v/>
      </c>
      <c r="C258" s="1">
        <f>IFERROR(__xludf.DUMMYFUNCTION("""COMPUTED_VALUE"""),TRUE)</f>
        <v/>
      </c>
      <c r="D258" s="1">
        <f>IFERROR(__xludf.DUMMYFUNCTION("""COMPUTED_VALUE"""),"Cogniphant")</f>
        <v/>
      </c>
      <c r="E258" s="15">
        <f>IFERROR(__xludf.DUMMYFUNCTION("""COMPUTED_VALUE"""),"http://www.cogniphant.org/")</f>
        <v/>
      </c>
      <c r="F258" s="1">
        <f>IFERROR(__xludf.DUMMYFUNCTION("""COMPUTED_VALUE"""),"Cogniphant is an EdTech startup revolutionizing ADHD screening and support in schools through AI-powered tools. Our platform enables early identification of ADHD symptoms, provides real-time reports, and offers personalized classroom strategies to educato"&amp;"rs. By equipping teachers, parents, and schools with data-driven insights and practical interventions, Cogniphant fosters more inclusive learning environments for neurodiverse students.")</f>
        <v/>
      </c>
      <c r="G258" s="1">
        <f>IFERROR(__xludf.DUMMYFUNCTION("""COMPUTED_VALUE"""),"I'm not part of any EdTech association")</f>
        <v/>
      </c>
      <c r="H258" s="1">
        <f>IFERROR(__xludf.DUMMYFUNCTION("""COMPUTED_VALUE"""),"English, Spanish")</f>
        <v/>
      </c>
      <c r="I258" s="1">
        <f>IFERROR(__xludf.DUMMYFUNCTION("""COMPUTED_VALUE"""),"info@cogniphant.org")</f>
        <v/>
      </c>
      <c r="J258" s="1">
        <f>IFERROR(__xludf.DUMMYFUNCTION("""COMPUTED_VALUE"""),"+33744898441")</f>
        <v/>
      </c>
      <c r="K258" s="1">
        <f>IFERROR(__xludf.DUMMYFUNCTION("""COMPUTED_VALUE"""),"järvevana tee 9")</f>
        <v/>
      </c>
      <c r="L258" s="1">
        <f>IFERROR(__xludf.DUMMYFUNCTION("""COMPUTED_VALUE"""),"Estonia")</f>
        <v/>
      </c>
      <c r="M258" s="1">
        <f>IFERROR(__xludf.DUMMYFUNCTION("""COMPUTED_VALUE"""),"Spain, United Kingdom")</f>
        <v/>
      </c>
      <c r="N258" s="1">
        <f>IFERROR(__xludf.DUMMYFUNCTION("""COMPUTED_VALUE"""),"3 to 5")</f>
        <v/>
      </c>
      <c r="O258" s="1">
        <f>IFERROR(__xludf.DUMMYFUNCTION("""COMPUTED_VALUE"""),"Business to Business, Business to Schools, Business to Government")</f>
        <v/>
      </c>
      <c r="P258" s="1">
        <f>IFERROR(__xludf.DUMMYFUNCTION("""COMPUTED_VALUE"""),"Primary Education, Secondary Education")</f>
        <v/>
      </c>
      <c r="Q258" s="1">
        <f>IFERROR(__xludf.DUMMYFUNCTION("""COMPUTED_VALUE"""),"System/Administrative, Student interfacing, Teacher interfacing")</f>
        <v/>
      </c>
      <c r="R258" s="1" t="n"/>
      <c r="S258" s="1" t="n"/>
      <c r="T258" s="15">
        <f>IFERROR(__xludf.DUMMYFUNCTION("""COMPUTED_VALUE"""),"https://www.linkedin.com/company/cogniphant/")</f>
        <v/>
      </c>
      <c r="U258" s="1" t="n"/>
      <c r="V258" s="1" t="n"/>
      <c r="W258" s="1" t="n"/>
      <c r="X258" s="1" t="n"/>
      <c r="Y258" s="15">
        <f>IFERROR(__xludf.DUMMYFUNCTION("""COMPUTED_VALUE"""),"https://drive.google.com/uc?export=view&amp;id=1tNQQjGpLMpZq0NUXaDWsYG7bQp11K-ex")</f>
        <v/>
      </c>
      <c r="Z258" s="1">
        <f>IFERROR(__xludf.DUMMYFUNCTION("""COMPUTED_VALUE"""),"Unverified")</f>
        <v/>
      </c>
      <c r="AA258" s="1" t="n"/>
      <c r="AB258" s="1" t="n"/>
      <c r="AC258" s="1" t="n"/>
      <c r="AD258" s="1" t="n"/>
      <c r="AE258" s="1" t="n"/>
    </row>
    <row r="259" ht="42" customHeight="1">
      <c r="A259" s="14">
        <f>IFERROR(__xludf.DUMMYFUNCTION("""COMPUTED_VALUE"""),45740)</f>
        <v/>
      </c>
      <c r="B259" s="1">
        <f>IFERROR(__xludf.DUMMYFUNCTION("""COMPUTED_VALUE"""),"ORG_1703")</f>
        <v/>
      </c>
      <c r="C259" s="1">
        <f>IFERROR(__xludf.DUMMYFUNCTION("""COMPUTED_VALUE"""),TRUE)</f>
        <v/>
      </c>
      <c r="D259" s="1">
        <f>IFERROR(__xludf.DUMMYFUNCTION("""COMPUTED_VALUE"""),"ICoBC")</f>
        <v/>
      </c>
      <c r="E259" s="15">
        <f>IFERROR(__xludf.DUMMYFUNCTION("""COMPUTED_VALUE"""),"https://icobc.net/")</f>
        <v/>
      </c>
      <c r="F259" s="1">
        <f>IFERROR(__xludf.DUMMYFUNCTION("""COMPUTED_VALUE"""),"At the International Council on Badges and Credentials, our mission is to foster a dynamic ecosystem that advances the recognition of informal, non-formal, and formal learning through digital badges and (micro-)credentials. We are dedicated to cultivating"&amp;" a world where diverse learning pathways are acknowledged, valued, and interconnected. Our actions are guided by the principles of holistic understanding, inclusive collaboration, global awareness, and innovation support. Through methodical development, t"&amp;"echnological advancement, and organizational synergy, we strive to create a transformative impact on individuals, organizations, and societies.")</f>
        <v/>
      </c>
      <c r="G259" s="1">
        <f>IFERROR(__xludf.DUMMYFUNCTION("""COMPUTED_VALUE"""),"I'm not part of any EdTech association")</f>
        <v/>
      </c>
      <c r="H259" s="1" t="n"/>
      <c r="I259" s="1">
        <f>IFERROR(__xludf.DUMMYFUNCTION("""COMPUTED_VALUE"""),"info@icobc.net")</f>
        <v/>
      </c>
      <c r="J259" s="1" t="n"/>
      <c r="K259" s="1">
        <f>IFERROR(__xludf.DUMMYFUNCTION("""COMPUTED_VALUE"""),"BERLIN")</f>
        <v/>
      </c>
      <c r="L259" s="1">
        <f>IFERROR(__xludf.DUMMYFUNCTION("""COMPUTED_VALUE"""),"Germany")</f>
        <v/>
      </c>
      <c r="M259" s="1">
        <f>IFERROR(__xludf.DUMMYFUNCTION("""COMPUTED_VALUE"""),"Austria, Belgium, Denmark, France, Germany, Ireland, Lithuania, Serbia, Spain, Switzerland, United Kingdom")</f>
        <v/>
      </c>
      <c r="N259" s="1">
        <f>IFERROR(__xludf.DUMMYFUNCTION("""COMPUTED_VALUE"""),"0 to 2")</f>
        <v/>
      </c>
      <c r="O259" s="1">
        <f>IFERROR(__xludf.DUMMYFUNCTION("""COMPUTED_VALUE"""),"Business to Business, Business to Schools, Business to Government")</f>
        <v/>
      </c>
      <c r="P259" s="1">
        <f>IFERROR(__xludf.DUMMYFUNCTION("""COMPUTED_VALUE"""),"Corporate Training, Lifelong learning/Adult education, Vocational Education and Training (VET), Higher Education")</f>
        <v/>
      </c>
      <c r="Q259" s="1">
        <f>IFERROR(__xludf.DUMMYFUNCTION("""COMPUTED_VALUE"""),"System/Administrative")</f>
        <v/>
      </c>
      <c r="R259" s="1" t="n"/>
      <c r="S259" s="1" t="n"/>
      <c r="T259" s="15">
        <f>IFERROR(__xludf.DUMMYFUNCTION("""COMPUTED_VALUE"""),"https://www.linkedin.com/groups/2702395/")</f>
        <v/>
      </c>
      <c r="U259" s="1">
        <f>IFERROR(__xludf.DUMMYFUNCTION("""COMPUTED_VALUE"""),"Digital Badge and Micro-Credential Consulting")</f>
        <v/>
      </c>
      <c r="V259" s="1">
        <f>IFERROR(__xludf.DUMMYFUNCTION("""COMPUTED_VALUE"""),"ICoBC offers coaching and consulting to its members on a vendor-neutral base, through its unique network of experts and partnering organizations. The goal is to help you planning, starting, establishing and refining your credentialing program to create im"&amp;"pact and recognition.")</f>
        <v/>
      </c>
      <c r="W259" s="1">
        <f>IFERROR(__xludf.DUMMYFUNCTION("""COMPUTED_VALUE"""),"Quality Accreditation")</f>
        <v/>
      </c>
      <c r="X259" s="1">
        <f>IFERROR(__xludf.DUMMYFUNCTION("""COMPUTED_VALUE"""),"Especially designed for organizations that have established first credentialing and badging projects but want to further strive for recognition of the quality of their programs, the ICoBC offers to audit and accredit your credentialing program, based on a"&amp;" detailed assessment, review and certification.")</f>
        <v/>
      </c>
      <c r="Y259" s="15">
        <f>IFERROR(__xludf.DUMMYFUNCTION("""COMPUTED_VALUE"""),"https://drive.google.com/uc?export=view&amp;id=17H9DkNZkFru5Crf0tlm584D0e5wZeeVX")</f>
        <v/>
      </c>
      <c r="Z259" s="1">
        <f>IFERROR(__xludf.DUMMYFUNCTION("""COMPUTED_VALUE"""),"Unverified")</f>
        <v/>
      </c>
      <c r="AA259" s="1" t="n"/>
      <c r="AB259" s="1" t="n"/>
      <c r="AC259" s="1" t="n"/>
      <c r="AD259" s="1" t="n"/>
      <c r="AE259" s="1" t="n"/>
    </row>
    <row r="260" ht="42" customHeight="1">
      <c r="A260" s="14">
        <f>IFERROR(__xludf.DUMMYFUNCTION("""COMPUTED_VALUE"""),45735)</f>
        <v/>
      </c>
      <c r="B260" s="1">
        <f>IFERROR(__xludf.DUMMYFUNCTION("""COMPUTED_VALUE"""),"ORG_2206")</f>
        <v/>
      </c>
      <c r="C260" s="1">
        <f>IFERROR(__xludf.DUMMYFUNCTION("""COMPUTED_VALUE"""),TRUE)</f>
        <v/>
      </c>
      <c r="D260" s="1">
        <f>IFERROR(__xludf.DUMMYFUNCTION("""COMPUTED_VALUE"""),"Savremena Primary School")</f>
        <v/>
      </c>
      <c r="E260" s="15">
        <f>IFERROR(__xludf.DUMMYFUNCTION("""COMPUTED_VALUE"""),"https://www.savremena-osnovna.edu.rs/")</f>
        <v/>
      </c>
      <c r="F260" s="1">
        <f>IFERROR(__xludf.DUMMYFUNCTION("""COMPUTED_VALUE"""),"Savremena primary school uses the most advanced technology in teaching to make sure that the children adopt new knowledge in the most efficient way. Also, our technological tools greatly empower our teaching personnel, enabling them to create personalised"&amp;" plans and approach each child’s progress on an individual basis. Advanced devices combined with educational apps appropriate for the child’s age let your child learn using sound and vision and immersive graphics. Modern technologies implemented in teachi"&amp;"ng include computers, iPads and other tablet solutions, interactive tables, interactive whiteboards, 3D printer, scanner and pen, along with interesting educational apps such as Motion Math, Explain Everything, History of the World… Also, the classrooms w"&amp;"here the teaching takes place deserve their description as intelligent, as they are designed so that they facilitate modern teaching and learning. 
Besides the national programme, which is implemented according to the curriculum approved by the Ministry o"&amp;"f Education, Science and Technological Development of the Republic of Serbia at Savremena, students can attend the Combined – bilingual programme, which blends the national education with the prestigious Cambridge education. This sort of programme lets th"&amp;"e children attend lessons mediated in their first language and acquire all the necessary traditional knowledge, as well as to acquire an entirely new dimension by learning English through attending assorted English-mediated lessons.")</f>
        <v/>
      </c>
      <c r="G260" s="1">
        <f>IFERROR(__xludf.DUMMYFUNCTION("""COMPUTED_VALUE"""),"I'm not part of any EdTech association")</f>
        <v/>
      </c>
      <c r="H260" s="1">
        <f>IFERROR(__xludf.DUMMYFUNCTION("""COMPUTED_VALUE"""),"English")</f>
        <v/>
      </c>
      <c r="I260" s="1">
        <f>IFERROR(__xludf.DUMMYFUNCTION("""COMPUTED_VALUE"""),"office@savremena-osnovna.edu.rs")</f>
        <v/>
      </c>
      <c r="J260" s="1">
        <f>IFERROR(__xludf.DUMMYFUNCTION("""COMPUTED_VALUE"""),"+381114011222")</f>
        <v/>
      </c>
      <c r="K260" s="1">
        <f>IFERROR(__xludf.DUMMYFUNCTION("""COMPUTED_VALUE"""),"Belgrade")</f>
        <v/>
      </c>
      <c r="L260" s="1">
        <f>IFERROR(__xludf.DUMMYFUNCTION("""COMPUTED_VALUE"""),"Serbia")</f>
        <v/>
      </c>
      <c r="M260" s="1">
        <f>IFERROR(__xludf.DUMMYFUNCTION("""COMPUTED_VALUE"""),"Serbia")</f>
        <v/>
      </c>
      <c r="N260" s="1">
        <f>IFERROR(__xludf.DUMMYFUNCTION("""COMPUTED_VALUE"""),"51 to 100")</f>
        <v/>
      </c>
      <c r="O260" s="1">
        <f>IFERROR(__xludf.DUMMYFUNCTION("""COMPUTED_VALUE"""),"Business to Business, Business to Schools, Business to Consumer, Business to Government")</f>
        <v/>
      </c>
      <c r="P260" s="1">
        <f>IFERROR(__xludf.DUMMYFUNCTION("""COMPUTED_VALUE"""),"Early childhood development (0-5 years), Primary Education, Secondary Education")</f>
        <v/>
      </c>
      <c r="Q260" s="1">
        <f>IFERROR(__xludf.DUMMYFUNCTION("""COMPUTED_VALUE"""),"System/Administrative, Student interfacing, Teacher interfacing")</f>
        <v/>
      </c>
      <c r="R260" s="1" t="n"/>
      <c r="S260" s="1" t="n"/>
      <c r="T260" s="1" t="n"/>
      <c r="U260" s="1">
        <f>IFERROR(__xludf.DUMMYFUNCTION("""COMPUTED_VALUE"""),"Primary school")</f>
        <v/>
      </c>
      <c r="V260" s="1" t="n"/>
      <c r="W260" s="1" t="n"/>
      <c r="X260" s="1" t="n"/>
      <c r="Y260" s="15">
        <f>IFERROR(__xludf.DUMMYFUNCTION("""COMPUTED_VALUE"""),"https://drive.google.com/uc?export=view&amp;id=1XejP6Ukcua5ebT53yQlgLv218KZITvbe")</f>
        <v/>
      </c>
      <c r="Z260" s="1">
        <f>IFERROR(__xludf.DUMMYFUNCTION("""COMPUTED_VALUE"""),"Unverified")</f>
        <v/>
      </c>
      <c r="AA260" s="1" t="n"/>
      <c r="AB260" s="1" t="n"/>
      <c r="AC260" s="1" t="n"/>
      <c r="AD260" s="1" t="n"/>
      <c r="AE260" s="1" t="n"/>
    </row>
    <row r="261" ht="42" customHeight="1">
      <c r="A261" s="14">
        <f>IFERROR(__xludf.DUMMYFUNCTION("""COMPUTED_VALUE"""),45730)</f>
        <v/>
      </c>
      <c r="B261" s="1">
        <f>IFERROR(__xludf.DUMMYFUNCTION("""COMPUTED_VALUE"""),"ORG_1937")</f>
        <v/>
      </c>
      <c r="C261" s="1">
        <f>IFERROR(__xludf.DUMMYFUNCTION("""COMPUTED_VALUE"""),TRUE)</f>
        <v/>
      </c>
      <c r="D261" s="1">
        <f>IFERROR(__xludf.DUMMYFUNCTION("""COMPUTED_VALUE"""),"MEDIASQUAD")</f>
        <v/>
      </c>
      <c r="E261" s="15">
        <f>IFERROR(__xludf.DUMMYFUNCTION("""COMPUTED_VALUE"""),"https://www.msq.at/")</f>
        <v/>
      </c>
      <c r="F261" s="1">
        <f>IFERROR(__xludf.DUMMYFUNCTION("""COMPUTED_VALUE"""),"MEDIASQUAD is an internationally acclaimed XR (Extended Reality) studio headquartered in Innsbruck, Austria, recognized for its groundbreaking Virtual Reality training programs and experiences. Established in 2007, the company specializes in tailored, sca"&amp;"lable solutions, enabling global industrial and service enterprises, as well as the public sector, to significantly improve the efficiency of training and sales activities using virtual environments.")</f>
        <v/>
      </c>
      <c r="G261" s="1">
        <f>IFERROR(__xludf.DUMMYFUNCTION("""COMPUTED_VALUE"""),"EdTech Austria")</f>
        <v/>
      </c>
      <c r="H261" s="1">
        <f>IFERROR(__xludf.DUMMYFUNCTION("""COMPUTED_VALUE"""),"All")</f>
        <v/>
      </c>
      <c r="I261" s="1">
        <f>IFERROR(__xludf.DUMMYFUNCTION("""COMPUTED_VALUE"""),"office@msq.at")</f>
        <v/>
      </c>
      <c r="J261" s="1">
        <f>IFERROR(__xludf.DUMMYFUNCTION("""COMPUTED_VALUE"""),"+43 664 854 7873")</f>
        <v/>
      </c>
      <c r="K261" s="1">
        <f>IFERROR(__xludf.DUMMYFUNCTION("""COMPUTED_VALUE"""),"INNSBRUCK")</f>
        <v/>
      </c>
      <c r="L261" s="1">
        <f>IFERROR(__xludf.DUMMYFUNCTION("""COMPUTED_VALUE"""),"Austria")</f>
        <v/>
      </c>
      <c r="M261" s="1">
        <f>IFERROR(__xludf.DUMMYFUNCTION("""COMPUTED_VALUE"""),"Austria, Germany, Switzerland")</f>
        <v/>
      </c>
      <c r="N261" s="1">
        <f>IFERROR(__xludf.DUMMYFUNCTION("""COMPUTED_VALUE"""),"6 to 10")</f>
        <v/>
      </c>
      <c r="O261" s="1">
        <f>IFERROR(__xludf.DUMMYFUNCTION("""COMPUTED_VALUE"""),"Business to Business, Business to Schools, Business to Government")</f>
        <v/>
      </c>
      <c r="P261" s="1">
        <f>IFERROR(__xludf.DUMMYFUNCTION("""COMPUTED_VALUE"""),"Primary Education, Secondary Education, Corporate Training, Lifelong learning/Adult education, Vocational Education and Training (VET), Higher Education")</f>
        <v/>
      </c>
      <c r="Q261" s="1">
        <f>IFERROR(__xludf.DUMMYFUNCTION("""COMPUTED_VALUE"""),"Student interfacing, System/Administrative")</f>
        <v/>
      </c>
      <c r="R261" s="1" t="n"/>
      <c r="S261" s="1" t="n"/>
      <c r="T261" s="15">
        <f>IFERROR(__xludf.DUMMYFUNCTION("""COMPUTED_VALUE"""),"https://www.linkedin.com/company/mediasquad/")</f>
        <v/>
      </c>
      <c r="U261" s="1">
        <f>IFERROR(__xludf.DUMMYFUNCTION("""COMPUTED_VALUE"""),"eXperience.together! (EX2)")</f>
        <v/>
      </c>
      <c r="V261" s="1">
        <f>IFERROR(__xludf.DUMMYFUNCTION("""COMPUTED_VALUE"""),"With eXperience.together!, it is now possible to experience and interact with virtual content in a shared physical space. This innovative technology enables multiple users to see and modify the same digital elements in real time, fostering a truly collabo"&amp;"rative and immersive experience. EX2 is particularly well-suited for in-person teaching, as both educators and learners view identical content, ensuring clear explanations, seamless communication, and the ability to address questions directly and effectiv"&amp;"ely. This creates an engaging and interactive learning environment that enhances understanding and participation.")</f>
        <v/>
      </c>
      <c r="W261" s="1">
        <f>IFERROR(__xludf.DUMMYFUNCTION("""COMPUTED_VALUE"""),"Extended Reality Applications")</f>
        <v/>
      </c>
      <c r="X261" s="1">
        <f>IFERROR(__xludf.DUMMYFUNCTION("""COMPUTED_VALUE"""),"Learning in the digital age means more than just e-learning on a PC or attending lessons via Zoom.
Extended Reality applications—including Virtual Reality, Mixed Reality, and Augmented Reality—offer learners the unique advantage of not only seeing content"&amp;" but truly experiencing it.
Thanks to our many years of experience, we develop interactive, gamified apps that enable learning in entirely new dimensions.")</f>
        <v/>
      </c>
      <c r="Y261" s="15">
        <f>IFERROR(__xludf.DUMMYFUNCTION("""COMPUTED_VALUE"""),"https://drive.google.com/uc?export=view&amp;id=1LbiAPO8qu2foB2y5sB157iBfWaQUen8n")</f>
        <v/>
      </c>
      <c r="Z261" s="1">
        <f>IFERROR(__xludf.DUMMYFUNCTION("""COMPUTED_VALUE"""),"Unverified")</f>
        <v/>
      </c>
      <c r="AA261" s="1" t="n"/>
      <c r="AB261" s="1" t="n"/>
      <c r="AC261" s="1" t="n"/>
      <c r="AD261" s="1" t="n"/>
      <c r="AE261" s="1" t="n"/>
    </row>
    <row r="262" ht="42" customHeight="1">
      <c r="A262" s="14">
        <f>IFERROR(__xludf.DUMMYFUNCTION("""COMPUTED_VALUE"""),45705)</f>
        <v/>
      </c>
      <c r="B262" s="1">
        <f>IFERROR(__xludf.DUMMYFUNCTION("""COMPUTED_VALUE"""),"ORG_1387")</f>
        <v/>
      </c>
      <c r="C262" s="1">
        <f>IFERROR(__xludf.DUMMYFUNCTION("""COMPUTED_VALUE"""),TRUE)</f>
        <v/>
      </c>
      <c r="D262" s="1">
        <f>IFERROR(__xludf.DUMMYFUNCTION("""COMPUTED_VALUE"""),"E Akademi")</f>
        <v/>
      </c>
      <c r="E262" s="15">
        <f>IFERROR(__xludf.DUMMYFUNCTION("""COMPUTED_VALUE"""),"https://lekon.dk/kurser")</f>
        <v/>
      </c>
      <c r="F262" s="1">
        <f>IFERROR(__xludf.DUMMYFUNCTION("""COMPUTED_VALUE"""),"E-Akademi offers a wide range of online safety courses, primarily targeting craftsmen and the production industry. Our e-learning solutions make it easy to complete mandatory and competency-based training in a flexible way.
We cover topics such as electr"&amp;"ical safety, hot work, occupational health and safety, and the safe use and inspection of technical equipment.
With automatic certificate issuance and flexible access, we make learning simple and efficient.")</f>
        <v/>
      </c>
      <c r="G262" s="1">
        <f>IFERROR(__xludf.DUMMYFUNCTION("""COMPUTED_VALUE"""),"EdTech Denmark")</f>
        <v/>
      </c>
      <c r="H262" s="1">
        <f>IFERROR(__xludf.DUMMYFUNCTION("""COMPUTED_VALUE"""),"Danish, English, Swedish, German, Kalaallisut, Polish")</f>
        <v/>
      </c>
      <c r="I262" s="1">
        <f>IFERROR(__xludf.DUMMYFUNCTION("""COMPUTED_VALUE"""),"kursus@lekon.dk")</f>
        <v/>
      </c>
      <c r="J262" s="1">
        <f>IFERROR(__xludf.DUMMYFUNCTION("""COMPUTED_VALUE"""),"46767111")</f>
        <v/>
      </c>
      <c r="K262" s="1">
        <f>IFERROR(__xludf.DUMMYFUNCTION("""COMPUTED_VALUE"""),"ROSKILDE")</f>
        <v/>
      </c>
      <c r="L262" s="1">
        <f>IFERROR(__xludf.DUMMYFUNCTION("""COMPUTED_VALUE"""),"Denmark")</f>
        <v/>
      </c>
      <c r="M262" s="1">
        <f>IFERROR(__xludf.DUMMYFUNCTION("""COMPUTED_VALUE"""),"Denmark")</f>
        <v/>
      </c>
      <c r="N262" s="1">
        <f>IFERROR(__xludf.DUMMYFUNCTION("""COMPUTED_VALUE"""),"11 to 50")</f>
        <v/>
      </c>
      <c r="O262" s="1">
        <f>IFERROR(__xludf.DUMMYFUNCTION("""COMPUTED_VALUE"""),"Business to Business")</f>
        <v/>
      </c>
      <c r="P262" s="1">
        <f>IFERROR(__xludf.DUMMYFUNCTION("""COMPUTED_VALUE"""),"Corporate Training, Lifelong learning/Adult education")</f>
        <v/>
      </c>
      <c r="Q262" s="1">
        <f>IFERROR(__xludf.DUMMYFUNCTION("""COMPUTED_VALUE"""),"System/Administrative, Student interfacing")</f>
        <v/>
      </c>
      <c r="R262" s="1" t="n"/>
      <c r="S262" s="1" t="n"/>
      <c r="T262" s="15">
        <f>IFERROR(__xludf.DUMMYFUNCTION("""COMPUTED_VALUE"""),"https://www.linkedin.com/company/lekon-r-dgivning/")</f>
        <v/>
      </c>
      <c r="U262" s="1">
        <f>IFERROR(__xludf.DUMMYFUNCTION("""COMPUTED_VALUE"""),"E-learning")</f>
        <v/>
      </c>
      <c r="V262" s="1">
        <f>IFERROR(__xludf.DUMMYFUNCTION("""COMPUTED_VALUE"""),"E-learning can be translated as online learning, meaning that your course is delivered digitally.
Our courses are designed to save you time and money without compromising quality or learning outcomes.
We have minimized the amount of text on course slides,"&amp;" so you don’t have to read through the entire course.
Instead, you can listen to the instructor’s voice while the educational content is supported by graphics and visual examples.")</f>
        <v/>
      </c>
      <c r="W262" s="1">
        <f>IFERROR(__xludf.DUMMYFUNCTION("""COMPUTED_VALUE"""),"Effective Competence Development")</f>
        <v/>
      </c>
      <c r="X262" s="1">
        <f>IFERROR(__xludf.DUMMYFUNCTION("""COMPUTED_VALUE"""),"When you enroll in one of our e-learning courses, you get:
An email with a link to your course
Access to the course from any device: PC, tablet, and mobile
24/7 access to the course materials for three months
In short: You can take our e-learning courses "&amp;"whenever and wherever it suits you best!")</f>
        <v/>
      </c>
      <c r="Y262" s="15">
        <f>IFERROR(__xludf.DUMMYFUNCTION("""COMPUTED_VALUE"""),"https://drive.google.com/uc?export=view&amp;id=1SzSXE1GkFxvFgGUY6rVWz18PD140gM_Q")</f>
        <v/>
      </c>
      <c r="Z262" s="1">
        <f>IFERROR(__xludf.DUMMYFUNCTION("""COMPUTED_VALUE"""),"Unverified")</f>
        <v/>
      </c>
      <c r="AA262" s="1" t="n"/>
      <c r="AB262" s="1" t="n"/>
      <c r="AC262" s="1" t="n"/>
      <c r="AD262" s="1" t="n"/>
      <c r="AE262" s="1" t="n"/>
    </row>
    <row r="263" ht="42" customHeight="1">
      <c r="A263" s="14">
        <f>IFERROR(__xludf.DUMMYFUNCTION("""COMPUTED_VALUE"""),45700)</f>
        <v/>
      </c>
      <c r="B263" s="1">
        <f>IFERROR(__xludf.DUMMYFUNCTION("""COMPUTED_VALUE"""),"ORG_1500")</f>
        <v/>
      </c>
      <c r="C263" s="1">
        <f>IFERROR(__xludf.DUMMYFUNCTION("""COMPUTED_VALUE"""),TRUE)</f>
        <v/>
      </c>
      <c r="D263" s="1">
        <f>IFERROR(__xludf.DUMMYFUNCTION("""COMPUTED_VALUE"""),"Enlightware")</f>
        <v/>
      </c>
      <c r="E263" s="15">
        <f>IFERROR(__xludf.DUMMYFUNCTION("""COMPUTED_VALUE"""),"https://enlightware.ch/")</f>
        <v/>
      </c>
      <c r="F263" s="1">
        <f>IFERROR(__xludf.DUMMYFUNCTION("""COMPUTED_VALUE"""),"We pursue the mission to foster autonomy, creativity and collaboration skills of each individual through digital products. Our flagship product is Candli, an app that enables anyone to create their own video games and learn STEAM skills.")</f>
        <v/>
      </c>
      <c r="G263" s="1">
        <f>IFERROR(__xludf.DUMMYFUNCTION("""COMPUTED_VALUE"""),"Swiss EdTech Collider")</f>
        <v/>
      </c>
      <c r="H263" s="1">
        <f>IFERROR(__xludf.DUMMYFUNCTION("""COMPUTED_VALUE"""),"English, French, German, Portuguese")</f>
        <v/>
      </c>
      <c r="I263" s="1">
        <f>IFERROR(__xludf.DUMMYFUNCTION("""COMPUTED_VALUE"""),"info@enlightware.ch")</f>
        <v/>
      </c>
      <c r="J263" s="1" t="n"/>
      <c r="K263" s="1">
        <f>IFERROR(__xludf.DUMMYFUNCTION("""COMPUTED_VALUE"""),"Zurich")</f>
        <v/>
      </c>
      <c r="L263" s="1">
        <f>IFERROR(__xludf.DUMMYFUNCTION("""COMPUTED_VALUE"""),"Switzerland")</f>
        <v/>
      </c>
      <c r="M263"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263" s="1">
        <f>IFERROR(__xludf.DUMMYFUNCTION("""COMPUTED_VALUE"""),"3 to 5")</f>
        <v/>
      </c>
      <c r="O263" s="1">
        <f>IFERROR(__xludf.DUMMYFUNCTION("""COMPUTED_VALUE"""),"Business to Business, Business to Schools, Business to Consumer, Business to Government")</f>
        <v/>
      </c>
      <c r="P263" s="1">
        <f>IFERROR(__xludf.DUMMYFUNCTION("""COMPUTED_VALUE"""),"Primary Education, Secondary Education, Corporate Training, Lifelong learning/Adult education, Vocational Education and Training (VET)")</f>
        <v/>
      </c>
      <c r="Q263" s="1">
        <f>IFERROR(__xludf.DUMMYFUNCTION("""COMPUTED_VALUE"""),"System/Administrative, Student interfacing, Teacher interfacing")</f>
        <v/>
      </c>
      <c r="R263" s="15">
        <f>IFERROR(__xludf.DUMMYFUNCTION("""COMPUTED_VALUE"""),"https://www.instagram.com/candlicreate/")</f>
        <v/>
      </c>
      <c r="S263" s="1" t="n"/>
      <c r="T263" s="15">
        <f>IFERROR(__xludf.DUMMYFUNCTION("""COMPUTED_VALUE"""),"https://www.linkedin.com/company/enlightware/")</f>
        <v/>
      </c>
      <c r="U263" s="1">
        <f>IFERROR(__xludf.DUMMYFUNCTION("""COMPUTED_VALUE"""),"Candli")</f>
        <v/>
      </c>
      <c r="V263" s="1">
        <f>IFERROR(__xludf.DUMMYFUNCTION("""COMPUTED_VALUE"""),"Candli is an app that enables anyone to create their own video games and learn STEAM skills.")</f>
        <v/>
      </c>
      <c r="W263" s="1" t="n"/>
      <c r="X263" s="1" t="n"/>
      <c r="Y263" s="15">
        <f>IFERROR(__xludf.DUMMYFUNCTION("""COMPUTED_VALUE"""),"https://drive.google.com/uc?export=view&amp;id=1Igk-3Vp9zFZmQ8R3vq-eBIHQTlnnYo5b")</f>
        <v/>
      </c>
      <c r="Z263" s="1">
        <f>IFERROR(__xludf.DUMMYFUNCTION("""COMPUTED_VALUE"""),"Unverified")</f>
        <v/>
      </c>
      <c r="AA263" s="1" t="n"/>
      <c r="AB263" s="1" t="n"/>
      <c r="AC263" s="1" t="n"/>
      <c r="AD263" s="1" t="n"/>
      <c r="AE263" s="1" t="n"/>
    </row>
    <row r="264" ht="42" customHeight="1">
      <c r="A264" s="14">
        <f>IFERROR(__xludf.DUMMYFUNCTION("""COMPUTED_VALUE"""),45698)</f>
        <v/>
      </c>
      <c r="B264" s="1">
        <f>IFERROR(__xludf.DUMMYFUNCTION("""COMPUTED_VALUE"""),"ORG_1693")</f>
        <v/>
      </c>
      <c r="C264" s="1">
        <f>IFERROR(__xludf.DUMMYFUNCTION("""COMPUTED_VALUE"""),TRUE)</f>
        <v/>
      </c>
      <c r="D264" s="15">
        <f>IFERROR(__xludf.DUMMYFUNCTION("""COMPUTED_VALUE"""),"Humy.ai")</f>
        <v/>
      </c>
      <c r="E264" s="15">
        <f>IFERROR(__xludf.DUMMYFUNCTION("""COMPUTED_VALUE"""),"www.humy.ai")</f>
        <v/>
      </c>
      <c r="F264" s="1">
        <f>IFERROR(__xludf.DUMMYFUNCTION("""COMPUTED_VALUE"""),"Ai-historical figures for schools.")</f>
        <v/>
      </c>
      <c r="G264" s="1">
        <f>IFERROR(__xludf.DUMMYFUNCTION("""COMPUTED_VALUE"""),"I'm not part of any EdTech association")</f>
        <v/>
      </c>
      <c r="H264" s="1" t="n"/>
      <c r="I264" s="1">
        <f>IFERROR(__xludf.DUMMYFUNCTION("""COMPUTED_VALUE"""),"hello@humy.ai")</f>
        <v/>
      </c>
      <c r="J264" s="1" t="n"/>
      <c r="K264" s="1">
        <f>IFERROR(__xludf.DUMMYFUNCTION("""COMPUTED_VALUE"""),"Stockholm")</f>
        <v/>
      </c>
      <c r="L264" s="1">
        <f>IFERROR(__xludf.DUMMYFUNCTION("""COMPUTED_VALUE"""),"Sweden")</f>
        <v/>
      </c>
      <c r="M264" s="1">
        <f>IFERROR(__xludf.DUMMYFUNCTION("""COMPUTED_VALUE"""),"Belgium, Denmark, Finland, France, Germany, Italy, Sweden, Switzerland, United Kingdom")</f>
        <v/>
      </c>
      <c r="N264" s="1">
        <f>IFERROR(__xludf.DUMMYFUNCTION("""COMPUTED_VALUE"""),"3 to 5")</f>
        <v/>
      </c>
      <c r="O264" s="1">
        <f>IFERROR(__xludf.DUMMYFUNCTION("""COMPUTED_VALUE"""),"Business to Schools, Business to Consumer, Business to Government")</f>
        <v/>
      </c>
      <c r="P264" s="1">
        <f>IFERROR(__xludf.DUMMYFUNCTION("""COMPUTED_VALUE"""),"Primary Education, Higher Education")</f>
        <v/>
      </c>
      <c r="Q264" s="1">
        <f>IFERROR(__xludf.DUMMYFUNCTION("""COMPUTED_VALUE"""),"Student interfacing, Teacher interfacing")</f>
        <v/>
      </c>
      <c r="R264" s="1" t="n"/>
      <c r="S264" s="1" t="n"/>
      <c r="T264" s="15">
        <f>IFERROR(__xludf.DUMMYFUNCTION("""COMPUTED_VALUE"""),"https://www.linkedin.com/company/humy-ai")</f>
        <v/>
      </c>
      <c r="U264" s="15">
        <f>IFERROR(__xludf.DUMMYFUNCTION("""COMPUTED_VALUE"""),"Humy.ai")</f>
        <v/>
      </c>
      <c r="V264" s="1">
        <f>IFERROR(__xludf.DUMMYFUNCTION("""COMPUTED_VALUE"""),"We help history teachers personalize learning and increase student engagement with AI.")</f>
        <v/>
      </c>
      <c r="W264" s="1">
        <f>IFERROR(__xludf.DUMMYFUNCTION("""COMPUTED_VALUE"""),"Hello History")</f>
        <v/>
      </c>
      <c r="X264" s="1">
        <f>IFERROR(__xludf.DUMMYFUNCTION("""COMPUTED_VALUE"""),"We help the general public interview AI-historical figures for educational and fun.")</f>
        <v/>
      </c>
      <c r="Y264" s="15">
        <f>IFERROR(__xludf.DUMMYFUNCTION("""COMPUTED_VALUE"""),"https://drive.google.com/uc?export=view&amp;id=1fRQno2W7cdNRA99pWW_RsameowepV7hG")</f>
        <v/>
      </c>
      <c r="Z264" s="1">
        <f>IFERROR(__xludf.DUMMYFUNCTION("""COMPUTED_VALUE"""),"Unverified")</f>
        <v/>
      </c>
      <c r="AA264" s="1" t="n"/>
      <c r="AB264" s="1" t="n"/>
      <c r="AC264" s="1" t="n"/>
      <c r="AD264" s="1" t="n"/>
      <c r="AE264" s="1" t="n"/>
    </row>
    <row r="265" ht="42" customHeight="1">
      <c r="A265" s="14">
        <f>IFERROR(__xludf.DUMMYFUNCTION("""COMPUTED_VALUE"""),45686)</f>
        <v/>
      </c>
      <c r="B265" s="1">
        <f>IFERROR(__xludf.DUMMYFUNCTION("""COMPUTED_VALUE"""),"ORG_1956")</f>
        <v/>
      </c>
      <c r="C265" s="1">
        <f>IFERROR(__xludf.DUMMYFUNCTION("""COMPUTED_VALUE"""),TRUE)</f>
        <v/>
      </c>
      <c r="D265" s="1">
        <f>IFERROR(__xludf.DUMMYFUNCTION("""COMPUTED_VALUE"""),"Meritus AI")</f>
        <v/>
      </c>
      <c r="E265" s="15">
        <f>IFERROR(__xludf.DUMMYFUNCTION("""COMPUTED_VALUE"""),"https://meritus.ai/")</f>
        <v/>
      </c>
      <c r="F265" s="1">
        <f>IFERROR(__xludf.DUMMYFUNCTION("""COMPUTED_VALUE"""),"Empowering the Future of Learning
At Meritus, we are driven by a passion for empowering the futurer of learning. As a leading education technology (EdTech) company, we revolutionize education through innovation and technology. Our diverse range of courses"&amp;" in AI, VR, Robotics, Coding, and STEM Learning which fosters creativity, critical thinking, and lifelong learning. With a commitment to accessibility and inclusivity, we provide transformative learning experiences for students of all ages and backgrounds"&amp;". Join us on this journey of discovery and growth, as we nurture future innovators and equip them with the skills to excel in an ever-changing world. Meritus - Empowering Education, Empowering You.")</f>
        <v/>
      </c>
      <c r="G265" s="1">
        <f>IFERROR(__xludf.DUMMYFUNCTION("""COMPUTED_VALUE"""),"EdTech France")</f>
        <v/>
      </c>
      <c r="H265" s="1">
        <f>IFERROR(__xludf.DUMMYFUNCTION("""COMPUTED_VALUE"""),"English")</f>
        <v/>
      </c>
      <c r="I265" s="1">
        <f>IFERROR(__xludf.DUMMYFUNCTION("""COMPUTED_VALUE"""),"hamid@merituseducation.com")</f>
        <v/>
      </c>
      <c r="J265" s="1">
        <f>IFERROR(__xludf.DUMMYFUNCTION("""COMPUTED_VALUE"""),"+919092178692")</f>
        <v/>
      </c>
      <c r="K265" s="1">
        <f>IFERROR(__xludf.DUMMYFUNCTION("""COMPUTED_VALUE"""),"Chennai")</f>
        <v/>
      </c>
      <c r="L265" s="1">
        <f>IFERROR(__xludf.DUMMYFUNCTION("""COMPUTED_VALUE"""),"India")</f>
        <v/>
      </c>
      <c r="M265" s="1">
        <f>IFERROR(__xludf.DUMMYFUNCTION("""COMPUTED_VALUE"""),"Bulgaria, Denmark, France, Germany, Romania, Turkey, United Kingdom")</f>
        <v/>
      </c>
      <c r="N265" s="1">
        <f>IFERROR(__xludf.DUMMYFUNCTION("""COMPUTED_VALUE"""),"51 to 100")</f>
        <v/>
      </c>
      <c r="O265" s="1">
        <f>IFERROR(__xludf.DUMMYFUNCTION("""COMPUTED_VALUE"""),"Business to Business, Business to Schools, Business to Consumer, Business to Government")</f>
        <v/>
      </c>
      <c r="P265" s="1">
        <f>IFERROR(__xludf.DUMMYFUNCTION("""COMPUTED_VALUE"""),"Primary Education, Secondary Education, Vocational Education and Training (VET), Higher Education")</f>
        <v/>
      </c>
      <c r="Q265" s="1">
        <f>IFERROR(__xludf.DUMMYFUNCTION("""COMPUTED_VALUE"""),"System/Administrative, Student interfacing, Teacher interfacing")</f>
        <v/>
      </c>
      <c r="R265" s="15">
        <f>IFERROR(__xludf.DUMMYFUNCTION("""COMPUTED_VALUE"""),"https://www.instagram.com/meritus.ai/")</f>
        <v/>
      </c>
      <c r="S265" s="15">
        <f>IFERROR(__xludf.DUMMYFUNCTION("""COMPUTED_VALUE"""),"https://x.com/MeritusAI/status/1881586399260144079")</f>
        <v/>
      </c>
      <c r="T265" s="15">
        <f>IFERROR(__xludf.DUMMYFUNCTION("""COMPUTED_VALUE"""),"https://in.linkedin.com/company/meritusai")</f>
        <v/>
      </c>
      <c r="U265" s="1">
        <f>IFERROR(__xludf.DUMMYFUNCTION("""COMPUTED_VALUE"""),"Meritus AI Robotics &amp; Coding Program")</f>
        <v/>
      </c>
      <c r="V265" s="1">
        <f>IFERROR(__xludf.DUMMYFUNCTION("""COMPUTED_VALUE"""),"Meritus AI Robotics &amp; Coding Program is an educational solution designed for K-12 students. It focuses on teaching robotics, artificial intelligence, and coding through interactive lessons and hands-on projects. This program aims to empower students with "&amp;"essential tech skills, enhancing their problem-solving and critical thinking abilities. It brings value by fostering innovation and preparing the next generation for the digital future.")</f>
        <v/>
      </c>
      <c r="W265" s="1">
        <f>IFERROR(__xludf.DUMMYFUNCTION("""COMPUTED_VALUE"""),"AI Lite")</f>
        <v/>
      </c>
      <c r="X265" s="1">
        <f>IFERROR(__xludf.DUMMYFUNCTION("""COMPUTED_VALUE"""),"AI Lite is an introductory platform designed to teach the fundamentals of artificial intelligence in a simple, accessible way. Aimed at beginners and young learners, AI Lite breaks down complex AI concepts into digestible lessons with hands-on exercises. "&amp;"It empowers students to explore AI's potential without requiring prior technical knowledge, fostering curiosity and understanding in the growing field of AI technology.")</f>
        <v/>
      </c>
      <c r="Y265" s="15">
        <f>IFERROR(__xludf.DUMMYFUNCTION("""COMPUTED_VALUE"""),"https://drive.google.com/uc?export=view&amp;id=16aLvrT2kF38VQQf5z4ooy4zyhc-eUrVW")</f>
        <v/>
      </c>
      <c r="Z265" s="1">
        <f>IFERROR(__xludf.DUMMYFUNCTION("""COMPUTED_VALUE"""),"Unverified")</f>
        <v/>
      </c>
      <c r="AA265" s="1" t="n"/>
      <c r="AB265" s="1" t="n"/>
      <c r="AC265" s="1" t="n"/>
      <c r="AD265" s="1" t="n"/>
      <c r="AE265" s="1" t="n"/>
    </row>
    <row r="266" ht="42" customHeight="1">
      <c r="A266" s="14">
        <f>IFERROR(__xludf.DUMMYFUNCTION("""COMPUTED_VALUE"""),45681)</f>
        <v/>
      </c>
      <c r="B266" s="1">
        <f>IFERROR(__xludf.DUMMYFUNCTION("""COMPUTED_VALUE"""),"ORG_2550")</f>
        <v/>
      </c>
      <c r="C266" s="1">
        <f>IFERROR(__xludf.DUMMYFUNCTION("""COMPUTED_VALUE"""),TRUE)</f>
        <v/>
      </c>
      <c r="D266" s="1">
        <f>IFERROR(__xludf.DUMMYFUNCTION("""COMPUTED_VALUE"""),"World History Encyclopedia")</f>
        <v/>
      </c>
      <c r="E266" s="15">
        <f>IFERROR(__xludf.DUMMYFUNCTION("""COMPUTED_VALUE"""),"https://www.worldhistory.org")</f>
        <v/>
      </c>
      <c r="F266" s="1">
        <f>IFERROR(__xludf.DUMMYFUNCTION("""COMPUTED_VALUE"""),"World History Encyclopedia is a non-profit organization publishing the world's most read history encyclopedia, used by many millions of learners worldwide. Its mission is to engage people with cultural heritage and to improve history education worldwide.")</f>
        <v/>
      </c>
      <c r="G266" s="1">
        <f>IFERROR(__xludf.DUMMYFUNCTION("""COMPUTED_VALUE"""),"I'm not part of any EdTech association")</f>
        <v/>
      </c>
      <c r="H266" s="1" t="n"/>
      <c r="I266" s="1" t="n"/>
      <c r="J266" s="1" t="n"/>
      <c r="K266" s="1">
        <f>IFERROR(__xludf.DUMMYFUNCTION("""COMPUTED_VALUE"""),"GODALMING")</f>
        <v/>
      </c>
      <c r="L266" s="1">
        <f>IFERROR(__xludf.DUMMYFUNCTION("""COMPUTED_VALUE"""),"United Kingdom")</f>
        <v/>
      </c>
      <c r="M26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266" s="1">
        <f>IFERROR(__xludf.DUMMYFUNCTION("""COMPUTED_VALUE"""),"6 to 10")</f>
        <v/>
      </c>
      <c r="O266" s="1">
        <f>IFERROR(__xludf.DUMMYFUNCTION("""COMPUTED_VALUE"""),"Business to Schools, Business to Consumer, Business to Government")</f>
        <v/>
      </c>
      <c r="P266" s="1">
        <f>IFERROR(__xludf.DUMMYFUNCTION("""COMPUTED_VALUE"""),"Secondary Education, Lifelong learning/Adult education, Higher Education")</f>
        <v/>
      </c>
      <c r="Q266" s="1">
        <f>IFERROR(__xludf.DUMMYFUNCTION("""COMPUTED_VALUE"""),"Student interfacing, Teacher interfacing")</f>
        <v/>
      </c>
      <c r="R266" s="1">
        <f>IFERROR(__xludf.DUMMYFUNCTION("""COMPUTED_VALUE"""),"whencyclopedia")</f>
        <v/>
      </c>
      <c r="S266" s="1">
        <f>IFERROR(__xludf.DUMMYFUNCTION("""COMPUTED_VALUE"""),"whencyclopedia")</f>
        <v/>
      </c>
      <c r="T266" s="1">
        <f>IFERROR(__xludf.DUMMYFUNCTION("""COMPUTED_VALUE"""),"whencyclopedia")</f>
        <v/>
      </c>
      <c r="U266" s="1">
        <f>IFERROR(__xludf.DUMMYFUNCTION("""COMPUTED_VALUE"""),"World History Encyclopedia")</f>
        <v/>
      </c>
      <c r="V266" s="1">
        <f>IFERROR(__xludf.DUMMYFUNCTION("""COMPUTED_VALUE"""),"A carefully reviewed encyclopedia of world history, aligned with international curricula. Written to be of high academic standard yet engaging and easy to understand. Uses text, maps, illustrations, videos and podcasts to teach about history. Available in"&amp;" 42 languages.")</f>
        <v/>
      </c>
      <c r="W266" s="1" t="n"/>
      <c r="X266" s="1" t="n"/>
      <c r="Y266" s="15">
        <f>IFERROR(__xludf.DUMMYFUNCTION("""COMPUTED_VALUE"""),"https://drive.google.com/uc?export=view&amp;id=1PEWxHZqkip7lExnXHsUW-sQZ6WJ4OIop")</f>
        <v/>
      </c>
      <c r="Z266" s="1">
        <f>IFERROR(__xludf.DUMMYFUNCTION("""COMPUTED_VALUE"""),"Unverified")</f>
        <v/>
      </c>
      <c r="AA266" s="1" t="n"/>
      <c r="AB266" s="1" t="n"/>
      <c r="AC266" s="1" t="n"/>
      <c r="AD266" s="1" t="n"/>
      <c r="AE266" s="1" t="n"/>
    </row>
    <row r="267" ht="42" customHeight="1">
      <c r="A267" s="14">
        <f>IFERROR(__xludf.DUMMYFUNCTION("""COMPUTED_VALUE"""),45679)</f>
        <v/>
      </c>
      <c r="B267" s="1">
        <f>IFERROR(__xludf.DUMMYFUNCTION("""COMPUTED_VALUE"""),"ORG_2484")</f>
        <v/>
      </c>
      <c r="C267" s="1">
        <f>IFERROR(__xludf.DUMMYFUNCTION("""COMPUTED_VALUE"""),TRUE)</f>
        <v/>
      </c>
      <c r="D267" s="1">
        <f>IFERROR(__xludf.DUMMYFUNCTION("""COMPUTED_VALUE"""),"Vergil AI")</f>
        <v/>
      </c>
      <c r="E267" s="15">
        <f>IFERROR(__xludf.DUMMYFUNCTION("""COMPUTED_VALUE"""),"https://vergilai.com/")</f>
        <v/>
      </c>
      <c r="F267" s="1">
        <f>IFERROR(__xludf.DUMMYFUNCTION("""COMPUTED_VALUE"""),"Vergil AI is a London-based innovative start-up, which aims to modernise education with the use of artificial intelligence. Our goal is to provide educational tools with the use of artificial intelligence, thereby making learning more effective, modern, a"&amp;"nd enjoyable. With the use of psychometric data, we strive to ensure that the user is in a constant state of ‘flow’ whereby the learning process and the enjoyment thereof is constantly optimised. Our current product development is focused on creating a sh"&amp;"ark-tank-like game in a virtual environment where users can master the skills associated with business plans, as well as the substantive knowledge behind it.")</f>
        <v/>
      </c>
      <c r="G267" s="1">
        <f>IFERROR(__xludf.DUMMYFUNCTION("""COMPUTED_VALUE"""),"I'm not part of any EdTech association")</f>
        <v/>
      </c>
      <c r="H267" s="1" t="n"/>
      <c r="I267" s="1">
        <f>IFERROR(__xludf.DUMMYFUNCTION("""COMPUTED_VALUE"""),"dimitar.petrov@vergilai.com")</f>
        <v/>
      </c>
      <c r="J267" s="1">
        <f>IFERROR(__xludf.DUMMYFUNCTION("""COMPUTED_VALUE"""),"+36 20 342 2209")</f>
        <v/>
      </c>
      <c r="K267" s="1">
        <f>IFERROR(__xludf.DUMMYFUNCTION("""COMPUTED_VALUE"""),"London")</f>
        <v/>
      </c>
      <c r="L267" s="1">
        <f>IFERROR(__xludf.DUMMYFUNCTION("""COMPUTED_VALUE"""),"United Kingdom")</f>
        <v/>
      </c>
      <c r="M267" s="1">
        <f>IFERROR(__xludf.DUMMYFUNCTION("""COMPUTED_VALUE"""),"Hungary, Netherlands, United Kingdom")</f>
        <v/>
      </c>
      <c r="N267" s="1">
        <f>IFERROR(__xludf.DUMMYFUNCTION("""COMPUTED_VALUE"""),"6 to 10")</f>
        <v/>
      </c>
      <c r="O267" s="1">
        <f>IFERROR(__xludf.DUMMYFUNCTION("""COMPUTED_VALUE"""),"Business to Business, Business to Schools, Business to Government")</f>
        <v/>
      </c>
      <c r="P267" s="1">
        <f>IFERROR(__xludf.DUMMYFUNCTION("""COMPUTED_VALUE"""),"Early childhood development (0-5 years), Primary Education, Secondary Education, Corporate Training")</f>
        <v/>
      </c>
      <c r="Q267" s="1">
        <f>IFERROR(__xludf.DUMMYFUNCTION("""COMPUTED_VALUE"""),"Student interfacing, Teacher interfacing, System/Administrative")</f>
        <v/>
      </c>
      <c r="R267" s="1" t="n"/>
      <c r="S267" s="1" t="n"/>
      <c r="T267" s="15">
        <f>IFERROR(__xludf.DUMMYFUNCTION("""COMPUTED_VALUE"""),"https://www.linkedin.com/company/103983727")</f>
        <v/>
      </c>
      <c r="U267" s="1" t="n"/>
      <c r="V267" s="1" t="n"/>
      <c r="W267" s="1" t="n"/>
      <c r="X267" s="1" t="n"/>
      <c r="Y267" s="15">
        <f>IFERROR(__xludf.DUMMYFUNCTION("""COMPUTED_VALUE"""),"https://drive.google.com/uc?export=view&amp;id=1eXgfFFfccBmC9EXuMDN_x9QRPlqdkJjn")</f>
        <v/>
      </c>
      <c r="Z267" s="1">
        <f>IFERROR(__xludf.DUMMYFUNCTION("""COMPUTED_VALUE"""),"Unverified")</f>
        <v/>
      </c>
      <c r="AA267" s="1" t="n"/>
      <c r="AB267" s="1" t="n"/>
      <c r="AC267" s="1" t="n"/>
      <c r="AD267" s="1" t="n"/>
      <c r="AE267" s="1" t="n"/>
    </row>
    <row r="268" ht="42" customHeight="1">
      <c r="A268" s="14">
        <f>IFERROR(__xludf.DUMMYFUNCTION("""COMPUTED_VALUE"""),45679)</f>
        <v/>
      </c>
      <c r="B268" s="1">
        <f>IFERROR(__xludf.DUMMYFUNCTION("""COMPUTED_VALUE"""),"ORG_2515")</f>
        <v/>
      </c>
      <c r="C268" s="1">
        <f>IFERROR(__xludf.DUMMYFUNCTION("""COMPUTED_VALUE"""),TRUE)</f>
        <v/>
      </c>
      <c r="D268" s="1">
        <f>IFERROR(__xludf.DUMMYFUNCTION("""COMPUTED_VALUE"""),"We Are Learning AS")</f>
        <v/>
      </c>
      <c r="E268" s="15">
        <f>IFERROR(__xludf.DUMMYFUNCTION("""COMPUTED_VALUE"""),"www.wearelearning.io")</f>
        <v/>
      </c>
      <c r="F268" s="1">
        <f>IFERROR(__xludf.DUMMYFUNCTION("""COMPUTED_VALUE"""),"We Are enables anyone to produce high-quality immersive contyent for training, internal communication and marketing, without the need for technical skills or expensive outsourcing. With our intuitive platform and AI-assistant, you can create captivating 3"&amp;"d content that drives learner engagement. In minutes. Not months!")</f>
        <v/>
      </c>
      <c r="G268" s="1">
        <f>IFERROR(__xludf.DUMMYFUNCTION("""COMPUTED_VALUE"""),"Swedish EdTech Industry")</f>
        <v/>
      </c>
      <c r="H268" s="1">
        <f>IFERROR(__xludf.DUMMYFUNCTION("""COMPUTED_VALUE"""),"All")</f>
        <v/>
      </c>
      <c r="I268" s="1">
        <f>IFERROR(__xludf.DUMMYFUNCTION("""COMPUTED_VALUE"""),"rolf@wearelearning.io")</f>
        <v/>
      </c>
      <c r="J268" s="1">
        <f>IFERROR(__xludf.DUMMYFUNCTION("""COMPUTED_VALUE"""),"+46733099003")</f>
        <v/>
      </c>
      <c r="K268" s="1">
        <f>IFERROR(__xludf.DUMMYFUNCTION("""COMPUTED_VALUE"""),"OSLO")</f>
        <v/>
      </c>
      <c r="L268" s="1">
        <f>IFERROR(__xludf.DUMMYFUNCTION("""COMPUTED_VALUE"""),"Norway")</f>
        <v/>
      </c>
      <c r="M268" s="1">
        <f>IFERROR(__xludf.DUMMYFUNCTION("""COMPUTED_VALUE"""),"Denmark, Finland, Norway, Sweden")</f>
        <v/>
      </c>
      <c r="N268" s="1">
        <f>IFERROR(__xludf.DUMMYFUNCTION("""COMPUTED_VALUE"""),"11 to 50")</f>
        <v/>
      </c>
      <c r="O268" s="1">
        <f>IFERROR(__xludf.DUMMYFUNCTION("""COMPUTED_VALUE"""),"Business to Business, Business to Schools, Business to Government")</f>
        <v/>
      </c>
      <c r="P268" s="1">
        <f>IFERROR(__xludf.DUMMYFUNCTION("""COMPUTED_VALUE"""),"Corporate Training, Lifelong learning/Adult education, Vocational Education and Training (VET)")</f>
        <v/>
      </c>
      <c r="Q268" s="1">
        <f>IFERROR(__xludf.DUMMYFUNCTION("""COMPUTED_VALUE"""),"Student interfacing, Teacher interfacing, System/Administrative")</f>
        <v/>
      </c>
      <c r="R268" s="1" t="n"/>
      <c r="S268" s="1" t="n"/>
      <c r="T268" s="15">
        <f>IFERROR(__xludf.DUMMYFUNCTION("""COMPUTED_VALUE"""),"https://www.linkedin.com/company/83500375/admin/feed/posts/")</f>
        <v/>
      </c>
      <c r="U268" s="1">
        <f>IFERROR(__xludf.DUMMYFUNCTION("""COMPUTED_VALUE"""),"Content Creation Studio")</f>
        <v/>
      </c>
      <c r="V268" s="1">
        <f>IFERROR(__xludf.DUMMYFUNCTION("""COMPUTED_VALUE"""),"Super easy Studio for creation of 3d animated videos or interactive simulations. Upload your locations, have your avatars dressed up in your company branded costumes, use our AI-assistant Aico to help building your script, animate your characters with dra"&amp;"g &amp; drop functionality, ad imagery, slides and presentations inton the stories, then publish on any platform. Be a Content Creation Hero in minutes not months.
Simple and straight forward pricing plan. License starts at 99 €/month.")</f>
        <v/>
      </c>
      <c r="W268" s="1">
        <f>IFERROR(__xludf.DUMMYFUNCTION("""COMPUTED_VALUE"""),"LMS Power Plug In")</f>
        <v/>
      </c>
      <c r="X268" s="1">
        <f>IFERROR(__xludf.DUMMYFUNCTION("""COMPUTED_VALUE"""),"We Are is a Power-Plug in for any LMS
Eliminate delays and cost concerns in creating immersive learning content. We Are is your new Power Plug-in. As your partner, crafting interactive learning simulations, films and imagery for your LMS or e-learning pl"&amp;"atform becomes effortless. Content is King.")</f>
        <v/>
      </c>
      <c r="Y268" s="15">
        <f>IFERROR(__xludf.DUMMYFUNCTION("""COMPUTED_VALUE"""),"https://drive.google.com/uc?export=view&amp;id=1nbBOFp8Nqv3zAjZuJtkckT1fbor7CK2_")</f>
        <v/>
      </c>
      <c r="Z268" s="1">
        <f>IFERROR(__xludf.DUMMYFUNCTION("""COMPUTED_VALUE"""),"Unverified")</f>
        <v/>
      </c>
      <c r="AA268" s="1" t="n"/>
      <c r="AB268" s="1" t="n"/>
      <c r="AC268" s="1" t="n"/>
      <c r="AD268" s="1" t="n"/>
      <c r="AE268" s="1" t="n"/>
    </row>
    <row r="269" ht="42" customHeight="1">
      <c r="A269" s="14">
        <f>IFERROR(__xludf.DUMMYFUNCTION("""COMPUTED_VALUE"""),45679)</f>
        <v/>
      </c>
      <c r="B269" s="1">
        <f>IFERROR(__xludf.DUMMYFUNCTION("""COMPUTED_VALUE"""),"ORG_1589")</f>
        <v/>
      </c>
      <c r="C269" s="1">
        <f>IFERROR(__xludf.DUMMYFUNCTION("""COMPUTED_VALUE"""),TRUE)</f>
        <v/>
      </c>
      <c r="D269" s="1">
        <f>IFERROR(__xludf.DUMMYFUNCTION("""COMPUTED_VALUE"""),"FUJOUR")</f>
        <v/>
      </c>
      <c r="E269" s="15">
        <f>IFERROR(__xludf.DUMMYFUNCTION("""COMPUTED_VALUE"""),"https://fujour.com/")</f>
        <v/>
      </c>
      <c r="F269" s="1">
        <f>IFERROR(__xludf.DUMMYFUNCTION("""COMPUTED_VALUE"""),"FUJOUR is a platform solution for vocational orientation. Namely, it is our answer to questions about career choices, a shortage in the labour market and apprentices. Because yes, there is a huge lack. There is a lack of career perspectives and orientatio"&amp;"n. There is a lack of support, contacts and suitable job coaching to develop these perspectives. There is a lack of suitable trainees but also of internship offers that provide a taste of the professional world. And a lack of skilled workers. And the huge"&amp;" amount of connection options after school is overwhelming. People will live a happy, meaningful life when they can deepen their interests and talents. They will turn into motivated professionals. FUJOUR guides them through the process.")</f>
        <v/>
      </c>
      <c r="G269" s="1">
        <f>IFERROR(__xludf.DUMMYFUNCTION("""COMPUTED_VALUE"""),"EDUvation")</f>
        <v/>
      </c>
      <c r="H269" s="1">
        <f>IFERROR(__xludf.DUMMYFUNCTION("""COMPUTED_VALUE"""),"German")</f>
        <v/>
      </c>
      <c r="I269" s="1">
        <f>IFERROR(__xludf.DUMMYFUNCTION("""COMPUTED_VALUE"""),"info@fujour.com")</f>
        <v/>
      </c>
      <c r="J269" s="1">
        <f>IFERROR(__xludf.DUMMYFUNCTION("""COMPUTED_VALUE"""),"+49231999880-0")</f>
        <v/>
      </c>
      <c r="K269" s="1">
        <f>IFERROR(__xludf.DUMMYFUNCTION("""COMPUTED_VALUE"""),"Hünstetten")</f>
        <v/>
      </c>
      <c r="L269" s="1">
        <f>IFERROR(__xludf.DUMMYFUNCTION("""COMPUTED_VALUE"""),"Germany")</f>
        <v/>
      </c>
      <c r="M269" s="1">
        <f>IFERROR(__xludf.DUMMYFUNCTION("""COMPUTED_VALUE"""),"Austria, Belgium, Czechia, Denmark, France, Germany, Luxembourg, Netherlands, Poland, Switzerland")</f>
        <v/>
      </c>
      <c r="N269" s="1">
        <f>IFERROR(__xludf.DUMMYFUNCTION("""COMPUTED_VALUE"""),"6 to 10")</f>
        <v/>
      </c>
      <c r="O269" s="1">
        <f>IFERROR(__xludf.DUMMYFUNCTION("""COMPUTED_VALUE"""),"Business to Business, Business to Schools, Business to Consumer")</f>
        <v/>
      </c>
      <c r="P269" s="1">
        <f>IFERROR(__xludf.DUMMYFUNCTION("""COMPUTED_VALUE"""),"Secondary Education, Vocational Education and Training (VET), Higher Education")</f>
        <v/>
      </c>
      <c r="Q269" s="1">
        <f>IFERROR(__xludf.DUMMYFUNCTION("""COMPUTED_VALUE"""),"System/Administrative, Student interfacing, Teacher interfacing")</f>
        <v/>
      </c>
      <c r="R269" s="15">
        <f>IFERROR(__xludf.DUMMYFUNCTION("""COMPUTED_VALUE"""),"https://www.instagram.com/fujour_app/")</f>
        <v/>
      </c>
      <c r="S269" s="15">
        <f>IFERROR(__xludf.DUMMYFUNCTION("""COMPUTED_VALUE"""),"https://twitter.com/FUJOUR_App")</f>
        <v/>
      </c>
      <c r="T269" s="15">
        <f>IFERROR(__xludf.DUMMYFUNCTION("""COMPUTED_VALUE"""),"https://www.linkedin.com/company/98164769")</f>
        <v/>
      </c>
      <c r="U269" s="1">
        <f>IFERROR(__xludf.DUMMYFUNCTION("""COMPUTED_VALUE"""),"FUJOUR")</f>
        <v/>
      </c>
      <c r="V269" s="1">
        <f>IFERROR(__xludf.DUMMYFUNCTION("""COMPUTED_VALUE"""),"FUJOUR is a platform solution for vocational orientation. Namely, it is our answer to questions about career choices, a shortage in the labour market and apprentices. Because yes, there is a huge lack. There is a lack of career perspectives and orientatio"&amp;"n. There is a lack of support, contacts and suitable job coaching to develop these perspectives. There is a lack of suitable trainees but also of internship offers that provide a taste of the professional world. And a lack of skilled workers. And the huge"&amp;" amount of connection options after school is overwhelming. People will live a happy, meaningful life when they can deepen their interests and talents. They will turn into motivated professionals. FUJOUR guides them through the process.")</f>
        <v/>
      </c>
      <c r="W269" s="1" t="n"/>
      <c r="X269" s="1" t="n"/>
      <c r="Y269" s="15">
        <f>IFERROR(__xludf.DUMMYFUNCTION("""COMPUTED_VALUE"""),"https://drive.google.com/uc?export=view&amp;id=1C790PtDnC8uXh3_tj4mo2UuS1-eQnriz")</f>
        <v/>
      </c>
      <c r="Z269" s="1">
        <f>IFERROR(__xludf.DUMMYFUNCTION("""COMPUTED_VALUE"""),"Unverified")</f>
        <v/>
      </c>
      <c r="AA269" s="1" t="n"/>
      <c r="AB269" s="1" t="n"/>
      <c r="AC269" s="1" t="n"/>
      <c r="AD269" s="1" t="n"/>
      <c r="AE269" s="1" t="n"/>
    </row>
    <row r="270" ht="42" customHeight="1">
      <c r="A270" s="14">
        <f>IFERROR(__xludf.DUMMYFUNCTION("""COMPUTED_VALUE"""),45679)</f>
        <v/>
      </c>
      <c r="B270" s="1">
        <f>IFERROR(__xludf.DUMMYFUNCTION("""COMPUTED_VALUE"""),"ORG_2080")</f>
        <v/>
      </c>
      <c r="C270" s="1">
        <f>IFERROR(__xludf.DUMMYFUNCTION("""COMPUTED_VALUE"""),TRUE)</f>
        <v/>
      </c>
      <c r="D270" s="1">
        <f>IFERROR(__xludf.DUMMYFUNCTION("""COMPUTED_VALUE"""),"OurSmart Town")</f>
        <v/>
      </c>
      <c r="E270" s="15">
        <f>IFERROR(__xludf.DUMMYFUNCTION("""COMPUTED_VALUE"""),"www.oursmarttown.de")</f>
        <v/>
      </c>
      <c r="F270" s="1">
        <f>IFERROR(__xludf.DUMMYFUNCTION("""COMPUTED_VALUE"""),"Final digitalization of municipalities/federal states in the application process")</f>
        <v/>
      </c>
      <c r="G270" s="1">
        <f>IFERROR(__xludf.DUMMYFUNCTION("""COMPUTED_VALUE"""),"I'm not part of any EdTech association")</f>
        <v/>
      </c>
      <c r="H270" s="1">
        <f>IFERROR(__xludf.DUMMYFUNCTION("""COMPUTED_VALUE"""),"All")</f>
        <v/>
      </c>
      <c r="I270" s="1" t="n"/>
      <c r="J270" s="1">
        <f>IFERROR(__xludf.DUMMYFUNCTION("""COMPUTED_VALUE"""),"+4915122011993")</f>
        <v/>
      </c>
      <c r="K270" s="1">
        <f>IFERROR(__xludf.DUMMYFUNCTION("""COMPUTED_VALUE"""),"Bielefeld")</f>
        <v/>
      </c>
      <c r="L270" s="1">
        <f>IFERROR(__xludf.DUMMYFUNCTION("""COMPUTED_VALUE"""),"Germany")</f>
        <v/>
      </c>
      <c r="M270" s="1">
        <f>IFERROR(__xludf.DUMMYFUNCTION("""COMPUTED_VALUE"""),"Germany")</f>
        <v/>
      </c>
      <c r="N270" s="1">
        <f>IFERROR(__xludf.DUMMYFUNCTION("""COMPUTED_VALUE"""),"0 to 2")</f>
        <v/>
      </c>
      <c r="O270" s="1">
        <f>IFERROR(__xludf.DUMMYFUNCTION("""COMPUTED_VALUE"""),"Business to Government")</f>
        <v/>
      </c>
      <c r="P270" s="1">
        <f>IFERROR(__xludf.DUMMYFUNCTION("""COMPUTED_VALUE"""),"Early childhood development (0-5 years), Primary Education, Secondary Education")</f>
        <v/>
      </c>
      <c r="Q270" s="1">
        <f>IFERROR(__xludf.DUMMYFUNCTION("""COMPUTED_VALUE"""),"System/Administrative, Student interfacing")</f>
        <v/>
      </c>
      <c r="R270" s="1" t="n"/>
      <c r="S270" s="1" t="n"/>
      <c r="T270" s="15">
        <f>IFERROR(__xludf.DUMMYFUNCTION("""COMPUTED_VALUE"""),"https://www.linkedin.com/company/oursmart-town/")</f>
        <v/>
      </c>
      <c r="U270" s="1">
        <f>IFERROR(__xludf.DUMMYFUNCTION("""COMPUTED_VALUE"""),"OurSmart Town")</f>
        <v/>
      </c>
      <c r="V270" s="1">
        <f>IFERROR(__xludf.DUMMYFUNCTION("""COMPUTED_VALUE"""),"We have developed a program with which applications for education and participation can be submitted fully digitally")</f>
        <v/>
      </c>
      <c r="W270" s="1">
        <f>IFERROR(__xludf.DUMMYFUNCTION("""COMPUTED_VALUE"""),"Kinderchancenportal")</f>
        <v/>
      </c>
      <c r="X270" s="1">
        <f>IFERROR(__xludf.DUMMYFUNCTION("""COMPUTED_VALUE"""),"the application for education and participation services, cultural activities, as well as the approval process by the municipality or federal state")</f>
        <v/>
      </c>
      <c r="Y270" s="15">
        <f>IFERROR(__xludf.DUMMYFUNCTION("""COMPUTED_VALUE"""),"https://drive.google.com/uc?export=view&amp;id=1syp5wyoPwASgHaNyK-29dG01RGPj8kR-")</f>
        <v/>
      </c>
      <c r="Z270" s="1">
        <f>IFERROR(__xludf.DUMMYFUNCTION("""COMPUTED_VALUE"""),"Unverified")</f>
        <v/>
      </c>
      <c r="AA270" s="1" t="n"/>
      <c r="AB270" s="1" t="n"/>
      <c r="AC270" s="1" t="n"/>
      <c r="AD270" s="1" t="n"/>
      <c r="AE270" s="1" t="n"/>
    </row>
    <row r="271" ht="42" customHeight="1">
      <c r="A271" s="14">
        <f>IFERROR(__xludf.DUMMYFUNCTION("""COMPUTED_VALUE"""),45679)</f>
        <v/>
      </c>
      <c r="B271" s="1">
        <f>IFERROR(__xludf.DUMMYFUNCTION("""COMPUTED_VALUE"""),"ORG_1166")</f>
        <v/>
      </c>
      <c r="C271" s="1">
        <f>IFERROR(__xludf.DUMMYFUNCTION("""COMPUTED_VALUE"""),TRUE)</f>
        <v/>
      </c>
      <c r="D271" s="1">
        <f>IFERROR(__xludf.DUMMYFUNCTION("""COMPUTED_VALUE"""),"Binogi")</f>
        <v/>
      </c>
      <c r="E271" s="15">
        <f>IFERROR(__xludf.DUMMYFUNCTION("""COMPUTED_VALUE"""),"www.binogi.de")</f>
        <v/>
      </c>
      <c r="F271" s="1">
        <f>IFERROR(__xludf.DUMMYFUNCTION("""COMPUTED_VALUE"""),"Binogi is an international Edtech company and content provider for schools. Binogi innovates and provides online learning through a multilingual, digital learning platform for students in secondary school. The platform consists of animated videos and inte"&amp;"ractive quizzes. Students are able to study in a language of their choosing. Audio tracks and subtitles are easily switched between languages. Necessary for some but good for all, every student learns differently. Binogi is aware of it and very pleased to"&amp;" meet many needs. The platform helps accelerate the integration of newcomers into the school environment, by making content accessible to everyone regardless of their first language, barriers to learning are reduced and access to education is increased. T"&amp;"eachers have been taking advantage of Binogi since 2014. With over 500 000 students using the platform, Binogi became an important resource in many classrooms. 2016 Binogi GmbH was founded in Essen, Germany to support students in Germany.")</f>
        <v/>
      </c>
      <c r="G271" s="1">
        <f>IFERROR(__xludf.DUMMYFUNCTION("""COMPUTED_VALUE"""),"I'm not part of any EdTech association")</f>
        <v/>
      </c>
      <c r="H271" s="1" t="n"/>
      <c r="I271" s="1">
        <f>IFERROR(__xludf.DUMMYFUNCTION("""COMPUTED_VALUE"""),"info@binogi.de")</f>
        <v/>
      </c>
      <c r="J271" s="1">
        <f>IFERROR(__xludf.DUMMYFUNCTION("""COMPUTED_VALUE"""),"+40 201 85098015")</f>
        <v/>
      </c>
      <c r="K271" s="1">
        <f>IFERROR(__xludf.DUMMYFUNCTION("""COMPUTED_VALUE"""),"Essen")</f>
        <v/>
      </c>
      <c r="L271" s="1">
        <f>IFERROR(__xludf.DUMMYFUNCTION("""COMPUTED_VALUE"""),"Germany")</f>
        <v/>
      </c>
      <c r="M271" s="1">
        <f>IFERROR(__xludf.DUMMYFUNCTION("""COMPUTED_VALUE"""),"Austria, Finland, Germany, Sweden, Switzerland")</f>
        <v/>
      </c>
      <c r="N271" s="1">
        <f>IFERROR(__xludf.DUMMYFUNCTION("""COMPUTED_VALUE"""),"0 to 10")</f>
        <v/>
      </c>
      <c r="O271" s="1">
        <f>IFERROR(__xludf.DUMMYFUNCTION("""COMPUTED_VALUE"""),"Business to Business")</f>
        <v/>
      </c>
      <c r="P271" s="1">
        <f>IFERROR(__xludf.DUMMYFUNCTION("""COMPUTED_VALUE"""),"Secondary Education")</f>
        <v/>
      </c>
      <c r="Q271" s="1">
        <f>IFERROR(__xludf.DUMMYFUNCTION("""COMPUTED_VALUE"""),"Student interfacing, Teacher interfacing")</f>
        <v/>
      </c>
      <c r="R271" s="1" t="n"/>
      <c r="S271" s="1" t="n"/>
      <c r="T271" s="1" t="n"/>
      <c r="U271" s="1" t="n"/>
      <c r="V271" s="1" t="n"/>
      <c r="W271" s="1" t="n"/>
      <c r="X271" s="1" t="n"/>
      <c r="Y271" s="15">
        <f>IFERROR(__xludf.DUMMYFUNCTION("""COMPUTED_VALUE"""),"https://drive.google.com/uc?export=view&amp;id=1ExBLbD-i887-J2b5qUeRsJBDSYW6oN_J")</f>
        <v/>
      </c>
      <c r="Z271" s="1">
        <f>IFERROR(__xludf.DUMMYFUNCTION("""COMPUTED_VALUE"""),"Unverified")</f>
        <v/>
      </c>
      <c r="AA271" s="1" t="n"/>
      <c r="AB271" s="1" t="n"/>
      <c r="AC271" s="1" t="n"/>
      <c r="AD271" s="1" t="n"/>
      <c r="AE271" s="1" t="n"/>
    </row>
    <row r="272" ht="42" customHeight="1">
      <c r="A272" s="14">
        <f>IFERROR(__xludf.DUMMYFUNCTION("""COMPUTED_VALUE"""),45679)</f>
        <v/>
      </c>
      <c r="B272" s="1">
        <f>IFERROR(__xludf.DUMMYFUNCTION("""COMPUTED_VALUE"""),"ORG_1100")</f>
        <v/>
      </c>
      <c r="C272" s="1">
        <f>IFERROR(__xludf.DUMMYFUNCTION("""COMPUTED_VALUE"""),TRUE)</f>
        <v/>
      </c>
      <c r="D272" s="1">
        <f>IFERROR(__xludf.DUMMYFUNCTION("""COMPUTED_VALUE"""),"ARTE Education")</f>
        <v/>
      </c>
      <c r="E272" s="15">
        <f>IFERROR(__xludf.DUMMYFUNCTION("""COMPUTED_VALUE"""),"https://education.arte.tv/")</f>
        <v/>
      </c>
      <c r="F272" s="1">
        <f>IFERROR(__xludf.DUMMYFUNCTION("""COMPUTED_VALUE"""),"ARTE Education is a branch of ARTE France whose mission is to develop the educational projects of the European cultural channel. ARTE Education operates Educ'ARTE and ARTE Campus, two interactive media platforms that make high-quality videos available to "&amp;"schools and universities on a long-term basis and within a legally secure framework. 
The platforms enable the diffusion of cultural, historical and scientific content while promoting information literacy, media literacy and interculturality. The initiati"&amp;"ve aims to provide digital access to knowledge and culture for everyone, regardless of educational background or origin. Educ'ARTE targets pupils aged 10 to 19 while ARTE Campus is tailored to the needs of higher and adult education.")</f>
        <v/>
      </c>
      <c r="G272" s="1">
        <f>IFERROR(__xludf.DUMMYFUNCTION("""COMPUTED_VALUE"""),"EdTech France")</f>
        <v/>
      </c>
      <c r="H272" s="1" t="n"/>
      <c r="I272" s="1">
        <f>IFERROR(__xludf.DUMMYFUNCTION("""COMPUTED_VALUE"""),"contact@educarte.fr")</f>
        <v/>
      </c>
      <c r="J272" s="1">
        <f>IFERROR(__xludf.DUMMYFUNCTION("""COMPUTED_VALUE"""),"+33 (0) 1 55 00 77 77")</f>
        <v/>
      </c>
      <c r="K272" s="1">
        <f>IFERROR(__xludf.DUMMYFUNCTION("""COMPUTED_VALUE"""),"Issy-les-Moulineaux")</f>
        <v/>
      </c>
      <c r="L272" s="1">
        <f>IFERROR(__xludf.DUMMYFUNCTION("""COMPUTED_VALUE"""),"France")</f>
        <v/>
      </c>
      <c r="M272" s="1">
        <f>IFERROR(__xludf.DUMMYFUNCTION("""COMPUTED_VALUE"""),"Austria, Belgium, France, Germany, Luxembourg, Switzerland")</f>
        <v/>
      </c>
      <c r="N272" s="1">
        <f>IFERROR(__xludf.DUMMYFUNCTION("""COMPUTED_VALUE"""),"0 to 10")</f>
        <v/>
      </c>
      <c r="O272" s="1">
        <f>IFERROR(__xludf.DUMMYFUNCTION("""COMPUTED_VALUE"""),"Business to Government, Business to Schools")</f>
        <v/>
      </c>
      <c r="P272" s="1">
        <f>IFERROR(__xludf.DUMMYFUNCTION("""COMPUTED_VALUE"""),"Secondary Education, Higher Education")</f>
        <v/>
      </c>
      <c r="Q272" s="1">
        <f>IFERROR(__xludf.DUMMYFUNCTION("""COMPUTED_VALUE"""),"Teacher interfacing")</f>
        <v/>
      </c>
      <c r="R272" s="1" t="n"/>
      <c r="S272" s="15">
        <f>IFERROR(__xludf.DUMMYFUNCTION("""COMPUTED_VALUE"""),"https://twitter.com/EducARTEfr")</f>
        <v/>
      </c>
      <c r="T272" s="15">
        <f>IFERROR(__xludf.DUMMYFUNCTION("""COMPUTED_VALUE"""),"https://www.linkedin.com/company/arte-education/")</f>
        <v/>
      </c>
      <c r="U272" s="1">
        <f>IFERROR(__xludf.DUMMYFUNCTION("""COMPUTED_VALUE"""),"Educ'ARTE")</f>
        <v/>
      </c>
      <c r="V272" s="1">
        <f>IFERROR(__xludf.DUMMYFUNCTION("""COMPUTED_VALUE"""),"Educ'ARTE was designed for school use and offers a constantly growing range of more than 2000 high-quality ARTE programmes, consisting of documentaries, magazines and short films. 
The content, selected by teachers, is indexed by subject and grade level a"&amp;"nd is based on the curricula for lower and upper secondary schools. They can be used both to acquire knowledge and to deepen what has already been learned. Educ'ARTE also offers the opportunity to participate in unique educational projects.")</f>
        <v/>
      </c>
      <c r="W272" s="1">
        <f>IFERROR(__xludf.DUMMYFUNCTION("""COMPUTED_VALUE"""),"ARTE Campus")</f>
        <v/>
      </c>
      <c r="X272" s="1">
        <f>IFERROR(__xludf.DUMMYFUNCTION("""COMPUTED_VALUE"""),"The ARTE Campus catalogue offers over 2000 videos for higher education and adult education and covers all relevant fields of knowledge: politics and administration, economics, languages and arts, natural sciences and technology, and many more.
The offer s"&amp;"erves the general education of students, be it for their field of study or for their personal development. Furthermore, specialised contents of high scientific quality are available (e.g. in the fields of cinema, history, architecture, pedagogy), which ar"&amp;"e particularly suitable for Master's students.")</f>
        <v/>
      </c>
      <c r="Y272" s="15">
        <f>IFERROR(__xludf.DUMMYFUNCTION("""COMPUTED_VALUE"""),"https://drive.google.com/uc?export=view&amp;id=1-jc7-jGrO6YWvJf-2uXwoRZ_M1SmgIKt")</f>
        <v/>
      </c>
      <c r="Z272" s="1">
        <f>IFERROR(__xludf.DUMMYFUNCTION("""COMPUTED_VALUE"""),"Unverified")</f>
        <v/>
      </c>
      <c r="AA272" s="1" t="n"/>
      <c r="AB272" s="1" t="n"/>
      <c r="AC272" s="1" t="n"/>
      <c r="AD272" s="1" t="n"/>
      <c r="AE272" s="1" t="n"/>
    </row>
    <row r="273" ht="42" customHeight="1">
      <c r="A273" s="14">
        <f>IFERROR(__xludf.DUMMYFUNCTION("""COMPUTED_VALUE"""),45679)</f>
        <v/>
      </c>
      <c r="B273" s="1">
        <f>IFERROR(__xludf.DUMMYFUNCTION("""COMPUTED_VALUE"""),"ORG_1583")</f>
        <v/>
      </c>
      <c r="C273" s="1">
        <f>IFERROR(__xludf.DUMMYFUNCTION("""COMPUTED_VALUE"""),TRUE)</f>
        <v/>
      </c>
      <c r="D273" s="1">
        <f>IFERROR(__xludf.DUMMYFUNCTION("""COMPUTED_VALUE"""),"Freeed")</f>
        <v/>
      </c>
      <c r="E273" s="15">
        <f>IFERROR(__xludf.DUMMYFUNCTION("""COMPUTED_VALUE"""),"https://www.freeed.com/")</f>
        <v/>
      </c>
      <c r="F273" s="1">
        <f>IFERROR(__xludf.DUMMYFUNCTION("""COMPUTED_VALUE"""),"Freeed creates online communities of teachers. The service provides a digital safe space for teachers where share material, receive and give feedback, be inspired by other's teachers' work, and enter in contact with colleagues. 
Freeed aims to improve edu"&amp;"cation quality in the world through teachers.")</f>
        <v/>
      </c>
      <c r="G273" s="1">
        <f>IFERROR(__xludf.DUMMYFUNCTION("""COMPUTED_VALUE"""),"EdTech Finland")</f>
        <v/>
      </c>
      <c r="H273" s="1" t="n"/>
      <c r="I273" s="1">
        <f>IFERROR(__xludf.DUMMYFUNCTION("""COMPUTED_VALUE"""),"info@freeed.com")</f>
        <v/>
      </c>
      <c r="J273" s="1" t="n"/>
      <c r="K273" s="1">
        <f>IFERROR(__xludf.DUMMYFUNCTION("""COMPUTED_VALUE"""),"Helsinki")</f>
        <v/>
      </c>
      <c r="L273" s="1">
        <f>IFERROR(__xludf.DUMMYFUNCTION("""COMPUTED_VALUE"""),"Finland")</f>
        <v/>
      </c>
      <c r="M273" s="1">
        <f>IFERROR(__xludf.DUMMYFUNCTION("""COMPUTED_VALUE"""),"Finland, Italy, Spain")</f>
        <v/>
      </c>
      <c r="N273" s="1">
        <f>IFERROR(__xludf.DUMMYFUNCTION("""COMPUTED_VALUE"""),"0 to 10")</f>
        <v/>
      </c>
      <c r="O273" s="1">
        <f>IFERROR(__xludf.DUMMYFUNCTION("""COMPUTED_VALUE"""),"Business to Business, Business to Consumer")</f>
        <v/>
      </c>
      <c r="P273" s="1">
        <f>IFERROR(__xludf.DUMMYFUNCTION("""COMPUTED_VALUE"""),"Early childhood development (0-5 years), Primary Education, Secondary Education")</f>
        <v/>
      </c>
      <c r="Q273" s="1">
        <f>IFERROR(__xludf.DUMMYFUNCTION("""COMPUTED_VALUE"""),"Teacher interfacing")</f>
        <v/>
      </c>
      <c r="R273" s="1" t="n"/>
      <c r="S273" s="1" t="n"/>
      <c r="T273" s="15">
        <f>IFERROR(__xludf.DUMMYFUNCTION("""COMPUTED_VALUE"""),"https://www.linkedin.com/company/freeed/")</f>
        <v/>
      </c>
      <c r="U273" s="1">
        <f>IFERROR(__xludf.DUMMYFUNCTION("""COMPUTED_VALUE"""),"Freeed")</f>
        <v/>
      </c>
      <c r="V273" s="1">
        <f>IFERROR(__xludf.DUMMYFUNCTION("""COMPUTED_VALUE"""),"A hybrid between a social media exclusive for teachers and a material bank.")</f>
        <v/>
      </c>
      <c r="W273" s="1" t="n"/>
      <c r="X273" s="1" t="n"/>
      <c r="Y273" s="15">
        <f>IFERROR(__xludf.DUMMYFUNCTION("""COMPUTED_VALUE"""),"https://drive.google.com/uc?export=view&amp;id=1nRwl2xwkT9jqH1RxBqf5y_A9c59pzS0i")</f>
        <v/>
      </c>
      <c r="Z273" s="1">
        <f>IFERROR(__xludf.DUMMYFUNCTION("""COMPUTED_VALUE"""),"Unverified")</f>
        <v/>
      </c>
      <c r="AA273" s="1" t="n"/>
      <c r="AB273" s="1" t="n"/>
      <c r="AC273" s="1" t="n"/>
      <c r="AD273" s="1" t="n"/>
      <c r="AE273" s="1" t="n"/>
    </row>
    <row r="274" ht="42" customHeight="1">
      <c r="A274" s="14">
        <f>IFERROR(__xludf.DUMMYFUNCTION("""COMPUTED_VALUE"""),45679)</f>
        <v/>
      </c>
      <c r="B274" s="1">
        <f>IFERROR(__xludf.DUMMYFUNCTION("""COMPUTED_VALUE"""),"ORG_1224")</f>
        <v/>
      </c>
      <c r="C274" s="1">
        <f>IFERROR(__xludf.DUMMYFUNCTION("""COMPUTED_VALUE"""),TRUE)</f>
        <v/>
      </c>
      <c r="D274" s="1">
        <f>IFERROR(__xludf.DUMMYFUNCTION("""COMPUTED_VALUE"""),"Cefilni Consulting ICT")</f>
        <v/>
      </c>
      <c r="E274" s="15">
        <f>IFERROR(__xludf.DUMMYFUNCTION("""COMPUTED_VALUE"""),"https://editor.wix.com/html/editor/web/renderer/edit/9a0d6075-831a-4ec5-b816-f69be1cb10af?metaSiteId=b00b86c7-bb2e-4d0a-af84-75b944f65834")</f>
        <v/>
      </c>
      <c r="F274" s="1">
        <f>IFERROR(__xludf.DUMMYFUNCTION("""COMPUTED_VALUE"""),"About us
Through storytelling and narrative, we aim to develop bridges of understanding between cultural activities and the environment.
We focus on the tradition of outdoor education in the Nordic and Scandinavian countries.
Our network is UNESCO, the Co"&amp;"mmunity of Inquiry, Critical Thinking Movement, and Philosophy for/with Children.
We help with integration and inclusion for families who comes to Norway with Barnas Montessori LjosHeim daycare center, based on Adel Alas Model for Language Immersion.")</f>
        <v/>
      </c>
      <c r="G274" s="1">
        <f>IFERROR(__xludf.DUMMYFUNCTION("""COMPUTED_VALUE"""),"EdTech Denmark, EdTech Finland, EdTech France, EdTech Italia, EduTech Cluster Spain, Swiss EdTech Collider")</f>
        <v/>
      </c>
      <c r="H274" s="1" t="n"/>
      <c r="I274" s="1">
        <f>IFERROR(__xludf.DUMMYFUNCTION("""COMPUTED_VALUE"""),"maangelesalvarezlaso@gmail.com")</f>
        <v/>
      </c>
      <c r="J274" s="1">
        <f>IFERROR(__xludf.DUMMYFUNCTION("""COMPUTED_VALUE"""),"+4790718079")</f>
        <v/>
      </c>
      <c r="K274" s="1">
        <f>IFERROR(__xludf.DUMMYFUNCTION("""COMPUTED_VALUE"""),"SOLA KOMMUNE")</f>
        <v/>
      </c>
      <c r="L274" s="1">
        <f>IFERROR(__xludf.DUMMYFUNCTION("""COMPUTED_VALUE"""),"Norway")</f>
        <v/>
      </c>
      <c r="M274" s="1">
        <f>IFERROR(__xludf.DUMMYFUNCTION("""COMPUTED_VALUE"""),"Austria, Belgium, Denmark, Finland, France, Germany, Iceland, Ireland, Italy, Luxembourg, Netherlands, Norway, Spain, Sweden, Switzerland, United Kingdom")</f>
        <v/>
      </c>
      <c r="N274" s="1">
        <f>IFERROR(__xludf.DUMMYFUNCTION("""COMPUTED_VALUE"""),"0 to 10")</f>
        <v/>
      </c>
      <c r="O274" s="1">
        <f>IFERROR(__xludf.DUMMYFUNCTION("""COMPUTED_VALUE"""),"Business to Business, Business to Consumer, Business to Government, Business to Schools")</f>
        <v/>
      </c>
      <c r="P274" s="1">
        <f>IFERROR(__xludf.DUMMYFUNCTION("""COMPUTED_VALUE"""),"Early childhood development (0-5 years), Primary Education, Secondary Education, Higher Education, Corporate Training, Lifelong learning/Adult education")</f>
        <v/>
      </c>
      <c r="Q274" s="1">
        <f>IFERROR(__xludf.DUMMYFUNCTION("""COMPUTED_VALUE"""),"System/Administrative, Student interfacing, Teacher interfacing")</f>
        <v/>
      </c>
      <c r="R274" s="1">
        <f>IFERROR(__xludf.DUMMYFUNCTION("""COMPUTED_VALUE"""),"Cefilni Consulting")</f>
        <v/>
      </c>
      <c r="S274" s="1">
        <f>IFERROR(__xludf.DUMMYFUNCTION("""COMPUTED_VALUE"""),"@Mariade57054573")</f>
        <v/>
      </c>
      <c r="T274" s="15">
        <f>IFERROR(__xludf.DUMMYFUNCTION("""COMPUTED_VALUE"""),"https://www.linkedin.com/in/mar%C3%ADa-de-los-%C3%A1ngeles-%C3%A1lvarez-laso-39a906a/")</f>
        <v/>
      </c>
      <c r="U274" s="1">
        <f>IFERROR(__xludf.DUMMYFUNCTION("""COMPUTED_VALUE"""),"Barnas Montessori Ljosheim")</f>
        <v/>
      </c>
      <c r="V274" s="1">
        <f>IFERROR(__xludf.DUMMYFUNCTION("""COMPUTED_VALUE"""),"Montessori daycare center based on Montessori and Regio Emilia pedagogy
at Sola Kommune, Rogland Norway")</f>
        <v/>
      </c>
      <c r="W274" s="1">
        <f>IFERROR(__xludf.DUMMYFUNCTION("""COMPUTED_VALUE"""),"Adel Alas Foundation")</f>
        <v/>
      </c>
      <c r="X274" s="1">
        <f>IFERROR(__xludf.DUMMYFUNCTION("""COMPUTED_VALUE"""),"Adel Alas is an Immersion program for children and families who arrived in Norway based on Philosophical Inquiry and narrative")</f>
        <v/>
      </c>
      <c r="Y274" s="15">
        <f>IFERROR(__xludf.DUMMYFUNCTION("""COMPUTED_VALUE"""),"https://drive.google.com/uc?export=view&amp;id=1JGzYVGoxxpYYEtzJAWcolUS5Ec9y8jhZ")</f>
        <v/>
      </c>
      <c r="Z274" s="1">
        <f>IFERROR(__xludf.DUMMYFUNCTION("""COMPUTED_VALUE"""),"Unverified")</f>
        <v/>
      </c>
      <c r="AA274" s="1" t="n"/>
      <c r="AB274" s="1" t="n"/>
      <c r="AC274" s="1" t="n"/>
      <c r="AD274" s="1" t="n"/>
      <c r="AE274" s="1" t="n"/>
    </row>
    <row r="275" ht="42" customHeight="1">
      <c r="A275" s="14">
        <f>IFERROR(__xludf.DUMMYFUNCTION("""COMPUTED_VALUE"""),45679)</f>
        <v/>
      </c>
      <c r="B275" s="1">
        <f>IFERROR(__xludf.DUMMYFUNCTION("""COMPUTED_VALUE"""),"ORG_1572")</f>
        <v/>
      </c>
      <c r="C275" s="1">
        <f>IFERROR(__xludf.DUMMYFUNCTION("""COMPUTED_VALUE"""),TRUE)</f>
        <v/>
      </c>
      <c r="D275" s="1">
        <f>IFERROR(__xludf.DUMMYFUNCTION("""COMPUTED_VALUE"""),"fobizz")</f>
        <v/>
      </c>
      <c r="E275" s="15">
        <f>IFERROR(__xludf.DUMMYFUNCTION("""COMPUTED_VALUE"""),"https://fobizz.com")</f>
        <v/>
      </c>
      <c r="F275" s="1">
        <f>IFERROR(__xludf.DUMMYFUNCTION("""COMPUTED_VALUE"""),"fobizz is the leading German-language platform for professional development and provider of digital tools for teachers and schools. With the aim of driving digital progress in educational institutions, fobizz offers a comprehensive selection of practice-o"&amp;"riented training courses, user-friendly digital tools and AI. With fobizz, teachers are freed up to spend more time on the essentials.")</f>
        <v/>
      </c>
      <c r="G275" s="1">
        <f>IFERROR(__xludf.DUMMYFUNCTION("""COMPUTED_VALUE"""),"I'm not part of any EdTech association")</f>
        <v/>
      </c>
      <c r="H275" s="1">
        <f>IFERROR(__xludf.DUMMYFUNCTION("""COMPUTED_VALUE"""),"German, English")</f>
        <v/>
      </c>
      <c r="I275" s="1">
        <f>IFERROR(__xludf.DUMMYFUNCTION("""COMPUTED_VALUE"""),"mail@fobizz.com")</f>
        <v/>
      </c>
      <c r="J275" s="1">
        <f>IFERROR(__xludf.DUMMYFUNCTION("""COMPUTED_VALUE"""),"+49 40-22860065")</f>
        <v/>
      </c>
      <c r="K275" s="1">
        <f>IFERROR(__xludf.DUMMYFUNCTION("""COMPUTED_VALUE"""),"HAMBURG")</f>
        <v/>
      </c>
      <c r="L275" s="1">
        <f>IFERROR(__xludf.DUMMYFUNCTION("""COMPUTED_VALUE"""),"Germany")</f>
        <v/>
      </c>
      <c r="M275" s="1">
        <f>IFERROR(__xludf.DUMMYFUNCTION("""COMPUTED_VALUE"""),"Albania, Armenia, Austria, Belarus, Belgium, Bosnia and Herzegovina, Bulgaria, Croatia, Czechia, Denmark, Estonia, Finland, France, Georgia, Germany, Greece, Hungary, Ireland, Italy, Kazakhstan, Liechtenstein, Lithuania, Luxembourg, Netherlands, Norway, P"&amp;"oland, Portugal, Romania, Russia, Slovakia, Spain, Sweden, Switzerland, Turkey, Ukraine, United Kingdom")</f>
        <v/>
      </c>
      <c r="N275" s="1">
        <f>IFERROR(__xludf.DUMMYFUNCTION("""COMPUTED_VALUE"""),"11 to 50")</f>
        <v/>
      </c>
      <c r="O275" s="1">
        <f>IFERROR(__xludf.DUMMYFUNCTION("""COMPUTED_VALUE"""),"Business to Business, Business to Consumer, Business to Government, Business to Schools")</f>
        <v/>
      </c>
      <c r="P275" s="1">
        <f>IFERROR(__xludf.DUMMYFUNCTION("""COMPUTED_VALUE"""),"Primary Education, Secondary Education, Higher Education")</f>
        <v/>
      </c>
      <c r="Q275" s="1">
        <f>IFERROR(__xludf.DUMMYFUNCTION("""COMPUTED_VALUE"""),"System/Administrative, Student interfacing, Teacher interfacing")</f>
        <v/>
      </c>
      <c r="R275" s="15">
        <f>IFERROR(__xludf.DUMMYFUNCTION("""COMPUTED_VALUE"""),"https://www.instagram.com/fobizz_com/")</f>
        <v/>
      </c>
      <c r="S275" s="15">
        <f>IFERROR(__xludf.DUMMYFUNCTION("""COMPUTED_VALUE"""),"https://twitter.com/fobizz")</f>
        <v/>
      </c>
      <c r="T275" s="15">
        <f>IFERROR(__xludf.DUMMYFUNCTION("""COMPUTED_VALUE"""),"https://www.linkedin.com/company/fobizz/")</f>
        <v/>
      </c>
      <c r="U275" s="1">
        <f>IFERROR(__xludf.DUMMYFUNCTION("""COMPUTED_VALUE"""),"Digital Tools &amp; AI for Teachers")</f>
        <v/>
      </c>
      <c r="V275" s="1">
        <f>IFERROR(__xludf.DUMMYFUNCTION("""COMPUTED_VALUE"""),"Teachers need time to focus on the essentials. Fobizz supports them with more than 20 data-safe and ad-free tools. The tools are specially designed for teachers. They make it easy to create digital teaching materials, such as interactive worksheets, surve"&amp;"ys or digital pinboards. Content and materials such as files, audio and screen recordings can be easily shared. With the data-secure fobizz AI Assistant, teachers can be supported in organizing and preparing lessons or correcting. The AI assistant include"&amp;"s tools for text, images, documents, transcriptions and characters.")</f>
        <v/>
      </c>
      <c r="W275" s="1">
        <f>IFERROR(__xludf.DUMMYFUNCTION("""COMPUTED_VALUE"""),"Online Coures for Teachers")</f>
        <v/>
      </c>
      <c r="X275" s="1">
        <f>IFERROR(__xludf.DUMMYFUNCTION("""COMPUTED_VALUE"""),"fobizz helps schools take the next step towards digitalisation. Everyone can learn according to their needs. More than 300 self-learning courses on current topics such as AI are available - anytime, anywhere. Participants receive a certificate. Fobizz off"&amp;"ers schools additional services such as pedagogical days, workshops or lectures. There are also offers for parents, for example on how to use digital media. More than 300,000 teachers from all over the world have already trained with fobizz and more than "&amp;"5,000 schools are participating.")</f>
        <v/>
      </c>
      <c r="Y275" s="15">
        <f>IFERROR(__xludf.DUMMYFUNCTION("""COMPUTED_VALUE"""),"https://drive.google.com/uc?export=view&amp;id=1Vp-SeLr-OxTerw9CCP6GWnKGyrNG2qfN")</f>
        <v/>
      </c>
      <c r="Z275" s="1">
        <f>IFERROR(__xludf.DUMMYFUNCTION("""COMPUTED_VALUE"""),"Unverified")</f>
        <v/>
      </c>
      <c r="AA275" s="1" t="n"/>
      <c r="AB275" s="1" t="n"/>
      <c r="AC275" s="1" t="n"/>
      <c r="AD275" s="1" t="n"/>
      <c r="AE275" s="1" t="n"/>
    </row>
    <row r="276" ht="42" customHeight="1">
      <c r="A276" s="14">
        <f>IFERROR(__xludf.DUMMYFUNCTION("""COMPUTED_VALUE"""),45679)</f>
        <v/>
      </c>
      <c r="B276" s="1">
        <f>IFERROR(__xludf.DUMMYFUNCTION("""COMPUTED_VALUE"""),"ORG_2493")</f>
        <v/>
      </c>
      <c r="C276" s="1">
        <f>IFERROR(__xludf.DUMMYFUNCTION("""COMPUTED_VALUE"""),TRUE)</f>
        <v/>
      </c>
      <c r="D276" s="1">
        <f>IFERROR(__xludf.DUMMYFUNCTION("""COMPUTED_VALUE"""),"ViewSonic Technology")</f>
        <v/>
      </c>
      <c r="E276" s="15">
        <f>IFERROR(__xludf.DUMMYFUNCTION("""COMPUTED_VALUE"""),"https://www.viewsonic.com/eu/")</f>
        <v/>
      </c>
      <c r="F276" s="1">
        <f>IFERROR(__xludf.DUMMYFUNCTION("""COMPUTED_VALUE"""),"ViewSonic® was founded in 1987 in California and has its European headquarters in London, UK. We firmly believe that we can partner with educators to achieve sustainable success and better learning outcomes.
Our considerable experience has taught us a gr"&amp;"eat deal about the real-life challenges and needs of people we work with.
We are dedicated to shaping the future of the educational landscape by solving real problems. Through innovation, great products, and people orientated services, we promise to find"&amp;" the answers together.")</f>
        <v/>
      </c>
      <c r="G276" s="1">
        <f>IFERROR(__xludf.DUMMYFUNCTION("""COMPUTED_VALUE"""),"I'm not part of any EdTech association")</f>
        <v/>
      </c>
      <c r="H276" s="1" t="n"/>
      <c r="I276" s="1" t="n"/>
      <c r="J276" s="1" t="n"/>
      <c r="K276" s="1">
        <f>IFERROR(__xludf.DUMMYFUNCTION("""COMPUTED_VALUE"""),"London")</f>
        <v/>
      </c>
      <c r="L276" s="1">
        <f>IFERROR(__xludf.DUMMYFUNCTION("""COMPUTED_VALUE"""),"United Kingdom")</f>
        <v/>
      </c>
      <c r="M27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276" s="1">
        <f>IFERROR(__xludf.DUMMYFUNCTION("""COMPUTED_VALUE"""),"500+")</f>
        <v/>
      </c>
      <c r="O276" s="1">
        <f>IFERROR(__xludf.DUMMYFUNCTION("""COMPUTED_VALUE"""),"Business to Consumer, Business to Government, Business to Schools")</f>
        <v/>
      </c>
      <c r="P276" s="1">
        <f>IFERROR(__xludf.DUMMYFUNCTION("""COMPUTED_VALUE"""),"Early childhood development (0-5 years), Primary Education, Secondary Education, Higher Education, Corporate Training, Lifelong learning/Adult education")</f>
        <v/>
      </c>
      <c r="Q276" s="1">
        <f>IFERROR(__xludf.DUMMYFUNCTION("""COMPUTED_VALUE"""),"System/Administrative, Student interfacing, Teacher interfacing")</f>
        <v/>
      </c>
      <c r="R276" s="1" t="n"/>
      <c r="S276" s="1" t="n"/>
      <c r="T276" s="15">
        <f>IFERROR(__xludf.DUMMYFUNCTION("""COMPUTED_VALUE"""),"https://www.linkedin.com/company/viewsonic")</f>
        <v/>
      </c>
      <c r="U276" s="1">
        <f>IFERROR(__xludf.DUMMYFUNCTION("""COMPUTED_VALUE"""),"VIEWSONIC EDUCATION SOLUTIONS")</f>
        <v/>
      </c>
      <c r="V276" s="1">
        <f>IFERROR(__xludf.DUMMYFUNCTION("""COMPUTED_VALUE"""),"With our advanced visual solutions, we particularly support schools and other educational institutions in their digitalisation.
Our product range includes digital whiteboards - we call them ViewBoards® - monitors and beamers. All this in combination with"&amp;" user-friendly software solutions such as the GDPR-compliant, didactic whiteboard software myViewBoard®.")</f>
        <v/>
      </c>
      <c r="W276" s="1" t="n"/>
      <c r="X276" s="1" t="n"/>
      <c r="Y276" s="15">
        <f>IFERROR(__xludf.DUMMYFUNCTION("""COMPUTED_VALUE"""),"https://drive.google.com/uc?export=view&amp;id=1CMOe4vD8XWve4uAp-SqJvYo9fSVCAz5h")</f>
        <v/>
      </c>
      <c r="Z276" s="1">
        <f>IFERROR(__xludf.DUMMYFUNCTION("""COMPUTED_VALUE"""),"Unverified")</f>
        <v/>
      </c>
      <c r="AA276" s="1" t="n"/>
      <c r="AB276" s="1" t="n"/>
      <c r="AC276" s="1" t="n"/>
      <c r="AD276" s="1" t="n"/>
      <c r="AE276" s="1" t="n"/>
    </row>
    <row r="277" ht="42" customHeight="1">
      <c r="A277" s="14">
        <f>IFERROR(__xludf.DUMMYFUNCTION("""COMPUTED_VALUE"""),45679)</f>
        <v/>
      </c>
      <c r="B277" s="1">
        <f>IFERROR(__xludf.DUMMYFUNCTION("""COMPUTED_VALUE"""),"ORG_1111")</f>
        <v/>
      </c>
      <c r="C277" s="1">
        <f>IFERROR(__xludf.DUMMYFUNCTION("""COMPUTED_VALUE"""),TRUE)</f>
        <v/>
      </c>
      <c r="D277" s="1">
        <f>IFERROR(__xludf.DUMMYFUNCTION("""COMPUTED_VALUE"""),"Aspire 2Be")</f>
        <v/>
      </c>
      <c r="E277" s="1">
        <f>IFERROR(__xludf.DUMMYFUNCTION("""COMPUTED_VALUE"""),"Aspire 2Be.co.uk")</f>
        <v/>
      </c>
      <c r="F277" s="1">
        <f>IFERROR(__xludf.DUMMYFUNCTION("""COMPUTED_VALUE"""),"At Aspire 2Be, we offer bespoke, digital solutions to drive your business forward. We believe in harnessing the latest technologies to make your workplace efficient, responsive, and adaptable. We believe in empowering people through learning and developme"&amp;"nt.
The wide experience within our team – including highly experienced educationalists, former government advisers, tech experts and business professionals – enables us to have an in-depth appreciation of how different industries and businesses work. Thi"&amp;"s cross-functional experience gives us the knowledge and understanding to deliver the best possible solutions to our clients.")</f>
        <v/>
      </c>
      <c r="G277" s="1">
        <f>IFERROR(__xludf.DUMMYFUNCTION("""COMPUTED_VALUE"""),"I'm not part of any EdTech association")</f>
        <v/>
      </c>
      <c r="H277" s="1" t="n"/>
      <c r="I277" s="1">
        <f>IFERROR(__xludf.DUMMYFUNCTION("""COMPUTED_VALUE"""),"info@aspire2be.co.uk")</f>
        <v/>
      </c>
      <c r="J277" s="1" t="n"/>
      <c r="K277" s="1">
        <f>IFERROR(__xludf.DUMMYFUNCTION("""COMPUTED_VALUE"""),"Swansea")</f>
        <v/>
      </c>
      <c r="L277" s="1">
        <f>IFERROR(__xludf.DUMMYFUNCTION("""COMPUTED_VALUE"""),"United Kingdom")</f>
        <v/>
      </c>
      <c r="M277" s="1">
        <f>IFERROR(__xludf.DUMMYFUNCTION("""COMPUTED_VALUE"""),"Germany, Ireland, Italy, Monaco, Spain, United Kingdom")</f>
        <v/>
      </c>
      <c r="N277" s="1">
        <f>IFERROR(__xludf.DUMMYFUNCTION("""COMPUTED_VALUE"""),"11 to 50")</f>
        <v/>
      </c>
      <c r="O277" s="1">
        <f>IFERROR(__xludf.DUMMYFUNCTION("""COMPUTED_VALUE"""),"Business to Business, Business to Consumer, Business to Government, Business to Schools")</f>
        <v/>
      </c>
      <c r="P277" s="1">
        <f>IFERROR(__xludf.DUMMYFUNCTION("""COMPUTED_VALUE"""),"Early childhood development (0-5 years), Primary Education, Secondary Education, Higher Education, Corporate Training, Lifelong learning/Adult education")</f>
        <v/>
      </c>
      <c r="Q277" s="1">
        <f>IFERROR(__xludf.DUMMYFUNCTION("""COMPUTED_VALUE"""),"System/Administrative, Teacher interfacing, Student interfacing")</f>
        <v/>
      </c>
      <c r="R277" s="1" t="n"/>
      <c r="S277" s="1" t="n"/>
      <c r="T277" s="1" t="n"/>
      <c r="U277" s="1" t="n"/>
      <c r="V277" s="1" t="n"/>
      <c r="W277" s="1" t="n"/>
      <c r="X277" s="1" t="n"/>
      <c r="Y277" s="15">
        <f>IFERROR(__xludf.DUMMYFUNCTION("""COMPUTED_VALUE"""),"https://drive.google.com/uc?export=view&amp;id=1-uX7IgQqyKiQ7EXVfRUpNvgjy4T-HbK8")</f>
        <v/>
      </c>
      <c r="Z277" s="1">
        <f>IFERROR(__xludf.DUMMYFUNCTION("""COMPUTED_VALUE"""),"Unverified")</f>
        <v/>
      </c>
      <c r="AA277" s="1" t="n"/>
      <c r="AB277" s="1" t="n"/>
      <c r="AC277" s="1" t="n"/>
      <c r="AD277" s="1" t="n"/>
      <c r="AE277" s="1" t="n"/>
    </row>
    <row r="278" ht="42" customHeight="1">
      <c r="A278" s="14">
        <f>IFERROR(__xludf.DUMMYFUNCTION("""COMPUTED_VALUE"""),45679)</f>
        <v/>
      </c>
      <c r="B278" s="1">
        <f>IFERROR(__xludf.DUMMYFUNCTION("""COMPUTED_VALUE"""),"ORG_2160")</f>
        <v/>
      </c>
      <c r="C278" s="1">
        <f>IFERROR(__xludf.DUMMYFUNCTION("""COMPUTED_VALUE"""),TRUE)</f>
        <v/>
      </c>
      <c r="D278" s="1">
        <f>IFERROR(__xludf.DUMMYFUNCTION("""COMPUTED_VALUE"""),"re:edu")</f>
        <v/>
      </c>
      <c r="E278" s="15">
        <f>IFERROR(__xludf.DUMMYFUNCTION("""COMPUTED_VALUE"""),"https://www.reedu.de")</f>
        <v/>
      </c>
      <c r="F278" s="1">
        <f>IFERROR(__xludf.DUMMYFUNCTION("""COMPUTED_VALUE"""),"At re:edu (reengineering education) we create educational technologies from for smart cities, citizen science and the Internet of Things as the senseBox. 
senseBox is an IoT-enabled environmental measurement station you can construct, code and collect and"&amp;" share data about climate, air quality, light and many more phenomena. senseBox is edtech used in schools, universities and at home by citizen scientists. Learners build stationary or mobile smart devices with sensors and connect to the internet. It empow"&amp;"ers you to contribute to important local or global environmental challenges and improves your data literacy. senseBox supports you to learn to code with its visual coding and learning analytics platform blockly. This making &amp; coding approach with a seriou"&amp;"s and relevant use case as climate change is part of our USP.")</f>
        <v/>
      </c>
      <c r="G278" s="1">
        <f>IFERROR(__xludf.DUMMYFUNCTION("""COMPUTED_VALUE"""),"I'm not part of any EdTech association")</f>
        <v/>
      </c>
      <c r="H278" s="1" t="n"/>
      <c r="I278" s="1">
        <f>IFERROR(__xludf.DUMMYFUNCTION("""COMPUTED_VALUE"""),"t.bartoschek@reedu.de")</f>
        <v/>
      </c>
      <c r="J278" s="1">
        <f>IFERROR(__xludf.DUMMYFUNCTION("""COMPUTED_VALUE"""),"+49 251 98119797")</f>
        <v/>
      </c>
      <c r="K278" s="1">
        <f>IFERROR(__xludf.DUMMYFUNCTION("""COMPUTED_VALUE"""),"MÜNSTER")</f>
        <v/>
      </c>
      <c r="L278" s="1">
        <f>IFERROR(__xludf.DUMMYFUNCTION("""COMPUTED_VALUE"""),"Germany")</f>
        <v/>
      </c>
      <c r="M278" s="1">
        <f>IFERROR(__xludf.DUMMYFUNCTION("""COMPUTED_VALUE"""),"Austria, Belgium, Bulgaria, Denmark, Finland, France, Germany, Italy, Netherlands, Poland, Portugal, Switzerland, United Kingdom")</f>
        <v/>
      </c>
      <c r="N278" s="1">
        <f>IFERROR(__xludf.DUMMYFUNCTION("""COMPUTED_VALUE"""),"0 to 10")</f>
        <v/>
      </c>
      <c r="O278" s="1">
        <f>IFERROR(__xludf.DUMMYFUNCTION("""COMPUTED_VALUE"""),"Business to Business, Business to Consumer, Business to Government, Business to Schools")</f>
        <v/>
      </c>
      <c r="P278" s="1">
        <f>IFERROR(__xludf.DUMMYFUNCTION("""COMPUTED_VALUE"""),"Primary Education, Secondary Education, Higher Education, Lifelong learning/Adult education")</f>
        <v/>
      </c>
      <c r="Q278" s="1">
        <f>IFERROR(__xludf.DUMMYFUNCTION("""COMPUTED_VALUE"""),"System/Administrative, Student interfacing, Teacher interfacing")</f>
        <v/>
      </c>
      <c r="R278" s="1" t="n"/>
      <c r="S278" s="1" t="n"/>
      <c r="T278" s="1" t="n"/>
      <c r="U278" s="1" t="n"/>
      <c r="V278" s="1" t="n"/>
      <c r="W278" s="1" t="n"/>
      <c r="X278" s="1" t="n"/>
      <c r="Y278" s="15">
        <f>IFERROR(__xludf.DUMMYFUNCTION("""COMPUTED_VALUE"""),"https://drive.google.com/uc?export=view&amp;id=1rY4MqTHd467dc4qCsAeBv2MKVAtAazyD")</f>
        <v/>
      </c>
      <c r="Z278" s="1">
        <f>IFERROR(__xludf.DUMMYFUNCTION("""COMPUTED_VALUE"""),"Unverified")</f>
        <v/>
      </c>
      <c r="AA278" s="1" t="n"/>
      <c r="AB278" s="1" t="n"/>
      <c r="AC278" s="1" t="n"/>
      <c r="AD278" s="1" t="n"/>
      <c r="AE278" s="1" t="n"/>
    </row>
    <row r="279" ht="42" customHeight="1">
      <c r="A279" s="14">
        <f>IFERROR(__xludf.DUMMYFUNCTION("""COMPUTED_VALUE"""),45679)</f>
        <v/>
      </c>
      <c r="B279" s="1">
        <f>IFERROR(__xludf.DUMMYFUNCTION("""COMPUTED_VALUE"""),"ORG_2204")</f>
        <v/>
      </c>
      <c r="C279" s="1">
        <f>IFERROR(__xludf.DUMMYFUNCTION("""COMPUTED_VALUE"""),TRUE)</f>
        <v/>
      </c>
      <c r="D279" s="1">
        <f>IFERROR(__xludf.DUMMYFUNCTION("""COMPUTED_VALUE"""),"SalamanderSoft")</f>
        <v/>
      </c>
      <c r="E279" s="15">
        <f>IFERROR(__xludf.DUMMYFUNCTION("""COMPUTED_VALUE"""),"https://www.salamandersoft.co.uk/")</f>
        <v/>
      </c>
      <c r="F279" s="1">
        <f>IFERROR(__xludf.DUMMYFUNCTION("""COMPUTED_VALUE"""),"We provide fully bespoke user management services to schools, colleges and universities of all sizes. We work with Active Directory, Microsoft 365, Google Workspace and other systems.
Helping trusts, local authorities and other groups of schools manage t"&amp;"he provisioning and life cycle of their user accounts, helping provide teachers and students quick and easy access to the power of Google Workspace and Microsoft 365")</f>
        <v/>
      </c>
      <c r="G279" s="1">
        <f>IFERROR(__xludf.DUMMYFUNCTION("""COMPUTED_VALUE"""),"I'm not part of any EdTech association")</f>
        <v/>
      </c>
      <c r="H279" s="1" t="n"/>
      <c r="I279" s="1">
        <f>IFERROR(__xludf.DUMMYFUNCTION("""COMPUTED_VALUE"""),"info@salamandersoft.co.uk")</f>
        <v/>
      </c>
      <c r="J279" s="1" t="n"/>
      <c r="K279" s="1">
        <f>IFERROR(__xludf.DUMMYFUNCTION("""COMPUTED_VALUE"""),"Bingham")</f>
        <v/>
      </c>
      <c r="L279" s="1">
        <f>IFERROR(__xludf.DUMMYFUNCTION("""COMPUTED_VALUE"""),"United Kingdom")</f>
        <v/>
      </c>
      <c r="M279" s="1">
        <f>IFERROR(__xludf.DUMMYFUNCTION("""COMPUTED_VALUE"""),"France, Germany, Ireland, Portugal, Romania, Spain, Switzerland, United Kingdom")</f>
        <v/>
      </c>
      <c r="N279" s="1">
        <f>IFERROR(__xludf.DUMMYFUNCTION("""COMPUTED_VALUE"""),"11 to 50")</f>
        <v/>
      </c>
      <c r="O279" s="1">
        <f>IFERROR(__xludf.DUMMYFUNCTION("""COMPUTED_VALUE"""),"Business to Business, Business to Schools")</f>
        <v/>
      </c>
      <c r="P279" s="1">
        <f>IFERROR(__xludf.DUMMYFUNCTION("""COMPUTED_VALUE"""),"Primary Education, Secondary Education")</f>
        <v/>
      </c>
      <c r="Q279" s="1">
        <f>IFERROR(__xludf.DUMMYFUNCTION("""COMPUTED_VALUE"""),"Teacher interfacing, System/Administrative")</f>
        <v/>
      </c>
      <c r="R279" s="1" t="n"/>
      <c r="S279" s="1">
        <f>IFERROR(__xludf.DUMMYFUNCTION("""COMPUTED_VALUE"""),"@salamandersoft")</f>
        <v/>
      </c>
      <c r="T279" s="15">
        <f>IFERROR(__xludf.DUMMYFUNCTION("""COMPUTED_VALUE"""),"https://www.linkedin.com/company/salamandersoft")</f>
        <v/>
      </c>
      <c r="U279" s="1">
        <f>IFERROR(__xludf.DUMMYFUNCTION("""COMPUTED_VALUE"""),"Salamander Integration Suite")</f>
        <v/>
      </c>
      <c r="V279" s="1">
        <f>IFERROR(__xludf.DUMMYFUNCTION("""COMPUTED_VALUE"""),"Helping trusts, local authorities and other groups of schools manage the provisioning and life cycle of their user accounts, helping provide teachers and students quick and easy access to the power of Google Workspace and Microsoft 365")</f>
        <v/>
      </c>
      <c r="W279" s="1" t="n"/>
      <c r="X279" s="1" t="n"/>
      <c r="Y279" s="15">
        <f>IFERROR(__xludf.DUMMYFUNCTION("""COMPUTED_VALUE"""),"https://drive.google.com/uc?export=view&amp;id=1rch5litgCLh1OA0p_I3t-JAutjPVSKeN")</f>
        <v/>
      </c>
      <c r="Z279" s="1">
        <f>IFERROR(__xludf.DUMMYFUNCTION("""COMPUTED_VALUE"""),"Unverified")</f>
        <v/>
      </c>
      <c r="AA279" s="1" t="n"/>
      <c r="AB279" s="1" t="n"/>
      <c r="AC279" s="1" t="n"/>
      <c r="AD279" s="1" t="n"/>
      <c r="AE279" s="1" t="n"/>
    </row>
    <row r="280" ht="42" customHeight="1">
      <c r="A280" s="14">
        <f>IFERROR(__xludf.DUMMYFUNCTION("""COMPUTED_VALUE"""),45679)</f>
        <v/>
      </c>
      <c r="B280" s="1">
        <f>IFERROR(__xludf.DUMMYFUNCTION("""COMPUTED_VALUE"""),"ORG_1834")</f>
        <v/>
      </c>
      <c r="C280" s="1">
        <f>IFERROR(__xludf.DUMMYFUNCTION("""COMPUTED_VALUE"""),TRUE)</f>
        <v/>
      </c>
      <c r="D280" s="1">
        <f>IFERROR(__xludf.DUMMYFUNCTION("""COMPUTED_VALUE"""),"Learning Ladders")</f>
        <v/>
      </c>
      <c r="E280" s="15">
        <f>IFERROR(__xludf.DUMMYFUNCTION("""COMPUTED_VALUE"""),"www.learningladders.info")</f>
        <v/>
      </c>
      <c r="F280" s="1">
        <f>IFERROR(__xludf.DUMMYFUNCTION("""COMPUTED_VALUE"""),"The planning, assessment and reporting platform for Primary and EYFS settings.
Create, teach, evaluate, monitor and report against any curriculum in any language both in school and remotely.
Winner of the 2022 Global BETT EdTech Award 'Best system for p"&amp;"lanning, assessment and reporting'.")</f>
        <v/>
      </c>
      <c r="G280" s="1">
        <f>IFERROR(__xludf.DUMMYFUNCTION("""COMPUTED_VALUE"""),"I'm not part of any EdTech association")</f>
        <v/>
      </c>
      <c r="H280" s="1" t="n"/>
      <c r="I280" s="1">
        <f>IFERROR(__xludf.DUMMYFUNCTION("""COMPUTED_VALUE"""),"hello@learningladders.info")</f>
        <v/>
      </c>
      <c r="J280" s="1">
        <f>IFERROR(__xludf.DUMMYFUNCTION("""COMPUTED_VALUE"""),"443637500")</f>
        <v/>
      </c>
      <c r="K280" s="1">
        <f>IFERROR(__xludf.DUMMYFUNCTION("""COMPUTED_VALUE"""),"Lymington")</f>
        <v/>
      </c>
      <c r="L280" s="1">
        <f>IFERROR(__xludf.DUMMYFUNCTION("""COMPUTED_VALUE"""),"United Kingdom")</f>
        <v/>
      </c>
      <c r="M280" s="1">
        <f>IFERROR(__xludf.DUMMYFUNCTION("""COMPUTED_VALUE"""),"Germany, Italy, Spain, United Kingdom")</f>
        <v/>
      </c>
      <c r="N280" s="1">
        <f>IFERROR(__xludf.DUMMYFUNCTION("""COMPUTED_VALUE"""),"11 to 50")</f>
        <v/>
      </c>
      <c r="O280" s="1">
        <f>IFERROR(__xludf.DUMMYFUNCTION("""COMPUTED_VALUE"""),"Business to Business, Business to Government, Business to Schools")</f>
        <v/>
      </c>
      <c r="P280" s="1">
        <f>IFERROR(__xludf.DUMMYFUNCTION("""COMPUTED_VALUE"""),"Early childhood development (0-5 years), Primary Education")</f>
        <v/>
      </c>
      <c r="Q280" s="1">
        <f>IFERROR(__xludf.DUMMYFUNCTION("""COMPUTED_VALUE"""),"Teacher interfacing")</f>
        <v/>
      </c>
      <c r="R280" s="1">
        <f>IFERROR(__xludf.DUMMYFUNCTION("""COMPUTED_VALUE"""),"EdTech Evidence Group")</f>
        <v/>
      </c>
      <c r="S280" s="15">
        <f>IFERROR(__xludf.DUMMYFUNCTION("""COMPUTED_VALUE"""),"https://twitter.com/LearningLadder5")</f>
        <v/>
      </c>
      <c r="T280" s="15">
        <f>IFERROR(__xludf.DUMMYFUNCTION("""COMPUTED_VALUE"""),"https://www.linkedin.com/company/5234901")</f>
        <v/>
      </c>
      <c r="U280" s="1">
        <f>IFERROR(__xludf.DUMMYFUNCTION("""COMPUTED_VALUE"""),"Learning Ladders")</f>
        <v/>
      </c>
      <c r="V280" s="1">
        <f>IFERROR(__xludf.DUMMYFUNCTION("""COMPUTED_VALUE"""),"The planning, assessment and reporting platform for Primary and EYFS settings.
Create, teach, evaluate, monitor and report against any curriculum in any language both in school and remotely.
Winner of the 2022 Global BETT EdTech Award 'Best system for p"&amp;"lanning, assessment and reporting'.")</f>
        <v/>
      </c>
      <c r="W280" s="1" t="n"/>
      <c r="X280" s="1" t="n"/>
      <c r="Y280" s="15">
        <f>IFERROR(__xludf.DUMMYFUNCTION("""COMPUTED_VALUE"""),"https://drive.google.com/uc?export=view&amp;id=1Kdo86D53Gm-hGdx2f19wayRjFepEnJT4")</f>
        <v/>
      </c>
      <c r="Z280" s="1">
        <f>IFERROR(__xludf.DUMMYFUNCTION("""COMPUTED_VALUE"""),"Unverified")</f>
        <v/>
      </c>
      <c r="AA280" s="1" t="n"/>
      <c r="AB280" s="1" t="n"/>
      <c r="AC280" s="1" t="n"/>
      <c r="AD280" s="1" t="n"/>
      <c r="AE280" s="1" t="n"/>
    </row>
    <row r="281" ht="42" customHeight="1">
      <c r="A281" s="14">
        <f>IFERROR(__xludf.DUMMYFUNCTION("""COMPUTED_VALUE"""),45679)</f>
        <v/>
      </c>
      <c r="B281" s="1">
        <f>IFERROR(__xludf.DUMMYFUNCTION("""COMPUTED_VALUE"""),"ORG_1199")</f>
        <v/>
      </c>
      <c r="C281" s="1">
        <f>IFERROR(__xludf.DUMMYFUNCTION("""COMPUTED_VALUE"""),TRUE)</f>
        <v/>
      </c>
      <c r="D281" s="1">
        <f>IFERROR(__xludf.DUMMYFUNCTION("""COMPUTED_VALUE"""),"BRAINYOO")</f>
        <v/>
      </c>
      <c r="E281" s="15">
        <f>IFERROR(__xludf.DUMMYFUNCTION("""COMPUTED_VALUE"""),"https://brainyoo.de/")</f>
        <v/>
      </c>
      <c r="F281" s="1">
        <f>IFERROR(__xludf.DUMMYFUNCTION("""COMPUTED_VALUE"""),"BRAINYOO develops and runs an e-learning platform. It offers functions for content creation, collaborative learning, spaced repetition, digital assessments, gamification and vocabulary acquisition. It is used in schools, corporate training and by private "&amp;"users.")</f>
        <v/>
      </c>
      <c r="G281" s="1">
        <f>IFERROR(__xludf.DUMMYFUNCTION("""COMPUTED_VALUE"""),"EDUvation")</f>
        <v/>
      </c>
      <c r="H281" s="1" t="n"/>
      <c r="I281" s="1">
        <f>IFERROR(__xludf.DUMMYFUNCTION("""COMPUTED_VALUE"""),"info@brainyoo.de")</f>
        <v/>
      </c>
      <c r="J281" s="1">
        <f>IFERROR(__xludf.DUMMYFUNCTION("""COMPUTED_VALUE"""),"+49 611 4475 4420")</f>
        <v/>
      </c>
      <c r="K281" s="1">
        <f>IFERROR(__xludf.DUMMYFUNCTION("""COMPUTED_VALUE"""),"WIESBADEN")</f>
        <v/>
      </c>
      <c r="L281" s="1">
        <f>IFERROR(__xludf.DUMMYFUNCTION("""COMPUTED_VALUE"""),"Germany")</f>
        <v/>
      </c>
      <c r="M281" s="1">
        <f>IFERROR(__xludf.DUMMYFUNCTION("""COMPUTED_VALUE"""),"Germany")</f>
        <v/>
      </c>
      <c r="N281" s="1">
        <f>IFERROR(__xludf.DUMMYFUNCTION("""COMPUTED_VALUE"""),"11 to 50")</f>
        <v/>
      </c>
      <c r="O281" s="1">
        <f>IFERROR(__xludf.DUMMYFUNCTION("""COMPUTED_VALUE"""),"Business to Business, Business to Consumer")</f>
        <v/>
      </c>
      <c r="P281" s="1">
        <f>IFERROR(__xludf.DUMMYFUNCTION("""COMPUTED_VALUE"""),"Secondary Education, Higher Education, Corporate Training")</f>
        <v/>
      </c>
      <c r="Q281" s="1">
        <f>IFERROR(__xludf.DUMMYFUNCTION("""COMPUTED_VALUE"""),"Student interfacing, Teacher interfacing, System/Administrative")</f>
        <v/>
      </c>
      <c r="R281" s="15">
        <f>IFERROR(__xludf.DUMMYFUNCTION("""COMPUTED_VALUE"""),"https://www.instagram.com/brainyoo.lernen/")</f>
        <v/>
      </c>
      <c r="S281" s="15">
        <f>IFERROR(__xludf.DUMMYFUNCTION("""COMPUTED_VALUE"""),"https://twitter.com/brainyoo")</f>
        <v/>
      </c>
      <c r="T281" s="1" t="n"/>
      <c r="U281" s="1">
        <f>IFERROR(__xludf.DUMMYFUNCTION("""COMPUTED_VALUE"""),"BRAINYOO")</f>
        <v/>
      </c>
      <c r="V281" s="1">
        <f>IFERROR(__xludf.DUMMYFUNCTION("""COMPUTED_VALUE"""),"BRAINYOO is based on micro-learning contents which can be used and created in various ways. It offers a flashcard repetition engine, teacher-managed study groups with digital assessments, tools for vocabulary requests and vocabulary flashcard creation, as"&amp;" well as a quiz battle for gamification.")</f>
        <v/>
      </c>
      <c r="W281" s="1" t="n"/>
      <c r="X281" s="1" t="n"/>
      <c r="Y281" s="15">
        <f>IFERROR(__xludf.DUMMYFUNCTION("""COMPUTED_VALUE"""),"https://drive.google.com/uc?export=view&amp;id=1albQ3mmC_TwFTVrvGjFA1ghlH-bAMukT")</f>
        <v/>
      </c>
      <c r="Z281" s="1">
        <f>IFERROR(__xludf.DUMMYFUNCTION("""COMPUTED_VALUE"""),"Unverified")</f>
        <v/>
      </c>
      <c r="AA281" s="1" t="n"/>
      <c r="AB281" s="1" t="n"/>
      <c r="AC281" s="1" t="n"/>
      <c r="AD281" s="1" t="n"/>
      <c r="AE281" s="1" t="n"/>
    </row>
    <row r="282" ht="42" customHeight="1">
      <c r="A282" s="14">
        <f>IFERROR(__xludf.DUMMYFUNCTION("""COMPUTED_VALUE"""),45679)</f>
        <v/>
      </c>
      <c r="B282" s="1">
        <f>IFERROR(__xludf.DUMMYFUNCTION("""COMPUTED_VALUE"""),"ORG_1263")</f>
        <v/>
      </c>
      <c r="C282" s="1">
        <f>IFERROR(__xludf.DUMMYFUNCTION("""COMPUTED_VALUE"""),TRUE)</f>
        <v/>
      </c>
      <c r="D282" s="1">
        <f>IFERROR(__xludf.DUMMYFUNCTION("""COMPUTED_VALUE"""),"Cloudwise")</f>
        <v/>
      </c>
      <c r="E282" s="1">
        <f>IFERROR(__xludf.DUMMYFUNCTION("""COMPUTED_VALUE"""),"cloudwise.cool")</f>
        <v/>
      </c>
      <c r="F282" s="1">
        <f>IFERROR(__xludf.DUMMYFUNCTION("""COMPUTED_VALUE"""),"Your virtual teaching assistant.
COOL supports you every day, every step of the way. Wherever learning happens.")</f>
        <v/>
      </c>
      <c r="G282" s="1">
        <f>IFERROR(__xludf.DUMMYFUNCTION("""COMPUTED_VALUE"""),"I'm not part of any EdTech association")</f>
        <v/>
      </c>
      <c r="H282" s="1" t="n"/>
      <c r="I282" s="1">
        <f>IFERROR(__xludf.DUMMYFUNCTION("""COMPUTED_VALUE"""),"gertjan@cloudwise.nl")</f>
        <v/>
      </c>
      <c r="J282" s="1">
        <f>IFERROR(__xludf.DUMMYFUNCTION("""COMPUTED_VALUE"""),"+3185 273 6124")</f>
        <v/>
      </c>
      <c r="K282" s="1">
        <f>IFERROR(__xludf.DUMMYFUNCTION("""COMPUTED_VALUE"""),"WOERDEN")</f>
        <v/>
      </c>
      <c r="L282" s="1">
        <f>IFERROR(__xludf.DUMMYFUNCTION("""COMPUTED_VALUE"""),"The Netherlands")</f>
        <v/>
      </c>
      <c r="M282" s="1">
        <f>IFERROR(__xludf.DUMMYFUNCTION("""COMPUTED_VALUE"""),"Austria, Belgium, Bulgaria, Denmark, Finland, France, Germany, Italy, Netherlands, Spain, United Kingdom")</f>
        <v/>
      </c>
      <c r="N282" s="1">
        <f>IFERROR(__xludf.DUMMYFUNCTION("""COMPUTED_VALUE"""),"0 to 10")</f>
        <v/>
      </c>
      <c r="O282" s="1">
        <f>IFERROR(__xludf.DUMMYFUNCTION("""COMPUTED_VALUE"""),"Business to Business, Business to Consumer")</f>
        <v/>
      </c>
      <c r="P282" s="1">
        <f>IFERROR(__xludf.DUMMYFUNCTION("""COMPUTED_VALUE"""),"Early childhood development (0-5 years), Primary Education, Secondary Education")</f>
        <v/>
      </c>
      <c r="Q282" s="1">
        <f>IFERROR(__xludf.DUMMYFUNCTION("""COMPUTED_VALUE"""),"Student interfacing, Teacher interfacing, System/Administrative")</f>
        <v/>
      </c>
      <c r="R282" s="15">
        <f>IFERROR(__xludf.DUMMYFUNCTION("""COMPUTED_VALUE"""),"https://www.instagram.com/coolcloudwise/")</f>
        <v/>
      </c>
      <c r="S282" s="1" t="n"/>
      <c r="T282" s="15">
        <f>IFERROR(__xludf.DUMMYFUNCTION("""COMPUTED_VALUE"""),"https://www.linkedin.com/company/64560789/admin/")</f>
        <v/>
      </c>
      <c r="U282" s="1">
        <f>IFERROR(__xludf.DUMMYFUNCTION("""COMPUTED_VALUE"""),"COOL portal")</f>
        <v/>
      </c>
      <c r="V282" s="1">
        <f>IFERROR(__xludf.DUMMYFUNCTION("""COMPUTED_VALUE"""),"COOL gets you and your students off to a flying start in every school day. With just 1 login, you can access all educational apps and schoolwork, as well as your Google Workspace or Microsoft 365 environment. Easy, secure and fast!
Free to use
Single sig"&amp;"n-on
All edu apps in 1 platform")</f>
        <v/>
      </c>
      <c r="W282" s="1">
        <f>IFERROR(__xludf.DUMMYFUNCTION("""COMPUTED_VALUE"""),"COOL Easy login")</f>
        <v/>
      </c>
      <c r="X282" s="1">
        <f>IFERROR(__xludf.DUMMYFUNCTION("""COMPUTED_VALUE"""),"Empower young students. Let them log in to their Chrome device and Google account with a picture password or QR code. All by themselves.
4-9 yrs
Easy and fast login
Age-appropriate and secure
Connected with students' Google accounts")</f>
        <v/>
      </c>
      <c r="Y282" s="15">
        <f>IFERROR(__xludf.DUMMYFUNCTION("""COMPUTED_VALUE"""),"https://drive.google.com/uc?export=view&amp;id=1ILaxrDs73EMaq1bq33tkHKLoTmggcbD6")</f>
        <v/>
      </c>
      <c r="Z282" s="1">
        <f>IFERROR(__xludf.DUMMYFUNCTION("""COMPUTED_VALUE"""),"Unverified")</f>
        <v/>
      </c>
      <c r="AA282" s="1" t="n"/>
      <c r="AB282" s="1" t="n"/>
      <c r="AC282" s="1" t="n"/>
      <c r="AD282" s="1" t="n"/>
      <c r="AE282" s="1" t="n"/>
    </row>
    <row r="283" ht="42" customHeight="1">
      <c r="A283" s="14">
        <f>IFERROR(__xludf.DUMMYFUNCTION("""COMPUTED_VALUE"""),45679)</f>
        <v/>
      </c>
      <c r="B283" s="1">
        <f>IFERROR(__xludf.DUMMYFUNCTION("""COMPUTED_VALUE"""),"ORG_1835")</f>
        <v/>
      </c>
      <c r="C283" s="1">
        <f>IFERROR(__xludf.DUMMYFUNCTION("""COMPUTED_VALUE"""),TRUE)</f>
        <v/>
      </c>
      <c r="D283" s="1">
        <f>IFERROR(__xludf.DUMMYFUNCTION("""COMPUTED_VALUE"""),"Learning Village")</f>
        <v/>
      </c>
      <c r="E283" s="15">
        <f>IFERROR(__xludf.DUMMYFUNCTION("""COMPUTED_VALUE"""),"www.learningvillage.net")</f>
        <v/>
      </c>
      <c r="F283" s="1">
        <f>IFERROR(__xludf.DUMMYFUNCTION("""COMPUTED_VALUE"""),"Across Cultures provides teachers with the skills and blended learning resources needed to successfully support their English as an additional language (EAL) learners within the demands of an English-medium curriculum.")</f>
        <v/>
      </c>
      <c r="G283" s="1">
        <f>IFERROR(__xludf.DUMMYFUNCTION("""COMPUTED_VALUE"""),"I'm not part of any EdTech association")</f>
        <v/>
      </c>
      <c r="H283" s="1" t="n"/>
      <c r="I283" s="1">
        <f>IFERROR(__xludf.DUMMYFUNCTION("""COMPUTED_VALUE"""),"caroline@axcultures.com")</f>
        <v/>
      </c>
      <c r="J283" s="1">
        <f>IFERROR(__xludf.DUMMYFUNCTION("""COMPUTED_VALUE"""),"1183350035")</f>
        <v/>
      </c>
      <c r="K283" s="1">
        <f>IFERROR(__xludf.DUMMYFUNCTION("""COMPUTED_VALUE"""),"Reading")</f>
        <v/>
      </c>
      <c r="L283" s="1">
        <f>IFERROR(__xludf.DUMMYFUNCTION("""COMPUTED_VALUE"""),"United Kingdom")</f>
        <v/>
      </c>
      <c r="M283" s="1">
        <f>IFERROR(__xludf.DUMMYFUNCTION("""COMPUTED_VALUE"""),"United Kingdom")</f>
        <v/>
      </c>
      <c r="N283" s="1">
        <f>IFERROR(__xludf.DUMMYFUNCTION("""COMPUTED_VALUE"""),"0 to 10")</f>
        <v/>
      </c>
      <c r="O283" s="1">
        <f>IFERROR(__xludf.DUMMYFUNCTION("""COMPUTED_VALUE"""),"Business to Business, Business to Consumer")</f>
        <v/>
      </c>
      <c r="P283" s="1">
        <f>IFERROR(__xludf.DUMMYFUNCTION("""COMPUTED_VALUE"""),"Primary Education, Secondary Education")</f>
        <v/>
      </c>
      <c r="Q283" s="1">
        <f>IFERROR(__xludf.DUMMYFUNCTION("""COMPUTED_VALUE"""),"Teacher interfacing")</f>
        <v/>
      </c>
      <c r="R283" s="1" t="n"/>
      <c r="S283" s="1" t="n"/>
      <c r="T283" s="1" t="n"/>
      <c r="U283" s="1" t="n"/>
      <c r="V283" s="1" t="n"/>
      <c r="W283" s="1" t="n"/>
      <c r="X283" s="1" t="n"/>
      <c r="Y283" s="15">
        <f>IFERROR(__xludf.DUMMYFUNCTION("""COMPUTED_VALUE"""),"https://drive.google.com/uc?export=view&amp;id=14bnpIju9FVkz3SuiZslenFuaBkjhf1WP")</f>
        <v/>
      </c>
      <c r="Z283" s="1">
        <f>IFERROR(__xludf.DUMMYFUNCTION("""COMPUTED_VALUE"""),"Unverified")</f>
        <v/>
      </c>
      <c r="AA283" s="1" t="n"/>
      <c r="AB283" s="1" t="n"/>
      <c r="AC283" s="1" t="n"/>
      <c r="AD283" s="1" t="n"/>
      <c r="AE283" s="1" t="n"/>
    </row>
    <row r="284" ht="42" customHeight="1">
      <c r="A284" s="14">
        <f>IFERROR(__xludf.DUMMYFUNCTION("""COMPUTED_VALUE"""),45679)</f>
        <v/>
      </c>
      <c r="B284" s="1">
        <f>IFERROR(__xludf.DUMMYFUNCTION("""COMPUTED_VALUE"""),"ORG_1394")</f>
        <v/>
      </c>
      <c r="C284" s="1">
        <f>IFERROR(__xludf.DUMMYFUNCTION("""COMPUTED_VALUE"""),TRUE)</f>
        <v/>
      </c>
      <c r="D284" s="1">
        <f>IFERROR(__xludf.DUMMYFUNCTION("""COMPUTED_VALUE"""),"EC-Play")</f>
        <v/>
      </c>
      <c r="E284" s="15">
        <f>IFERROR(__xludf.DUMMYFUNCTION("""COMPUTED_VALUE"""),"www.ec-play.com")</f>
        <v/>
      </c>
      <c r="F284" s="1">
        <f>IFERROR(__xludf.DUMMYFUNCTION("""COMPUTED_VALUE"""),"EC-Play = Everyone Can Play. Together. This is an innovation in music education which will change the music education industry. EC-Play makes it possible for one teacher to teach a class of students, all on different levels, on 5 different instruments at "&amp;"the same time.")</f>
        <v/>
      </c>
      <c r="G284" s="1">
        <f>IFERROR(__xludf.DUMMYFUNCTION("""COMPUTED_VALUE"""),"I'm not part of any EdTech association")</f>
        <v/>
      </c>
      <c r="H284" s="1" t="n"/>
      <c r="I284" s="1">
        <f>IFERROR(__xludf.DUMMYFUNCTION("""COMPUTED_VALUE"""),"ec-play@ec-play.com")</f>
        <v/>
      </c>
      <c r="J284" s="1">
        <f>IFERROR(__xludf.DUMMYFUNCTION("""COMPUTED_VALUE"""),"+4722501200")</f>
        <v/>
      </c>
      <c r="K284" s="1">
        <f>IFERROR(__xludf.DUMMYFUNCTION("""COMPUTED_VALUE"""),"HEGGEDAL")</f>
        <v/>
      </c>
      <c r="L284" s="1">
        <f>IFERROR(__xludf.DUMMYFUNCTION("""COMPUTED_VALUE"""),"Norway")</f>
        <v/>
      </c>
      <c r="M284" s="1">
        <f>IFERROR(__xludf.DUMMYFUNCTION("""COMPUTED_VALUE"""),"Latvia, Norway, Sweden, Ukraine")</f>
        <v/>
      </c>
      <c r="N284" s="1">
        <f>IFERROR(__xludf.DUMMYFUNCTION("""COMPUTED_VALUE"""),"0 to 10")</f>
        <v/>
      </c>
      <c r="O284" s="1">
        <f>IFERROR(__xludf.DUMMYFUNCTION("""COMPUTED_VALUE"""),"Business to Business, Business to Government")</f>
        <v/>
      </c>
      <c r="P284" s="1">
        <f>IFERROR(__xludf.DUMMYFUNCTION("""COMPUTED_VALUE"""),"Primary Education, Secondary Education, Lifelong learning/Adult education")</f>
        <v/>
      </c>
      <c r="Q284" s="1">
        <f>IFERROR(__xludf.DUMMYFUNCTION("""COMPUTED_VALUE"""),"System/Administrative, Student interfacing, Teacher interfacing")</f>
        <v/>
      </c>
      <c r="R284" s="1" t="n"/>
      <c r="S284" s="1" t="n"/>
      <c r="T284" s="1" t="n"/>
      <c r="U284" s="1">
        <f>IFERROR(__xludf.DUMMYFUNCTION("""COMPUTED_VALUE"""),"EC-Play")</f>
        <v/>
      </c>
      <c r="V284" s="1">
        <f>IFERROR(__xludf.DUMMYFUNCTION("""COMPUTED_VALUE"""),"EC-Play makes it easy for groups of people to play together on all kinds of muisical instruments even the first time they try. The system is based on colors, shapes, numbers and letters in an uniqe way. The EC-Play method combined with the EC-Play pedagog"&amp;"ic help teachers to teach even if they have no knowledge of music. The tool also gives students personal and relational development, and is a unique tool for inclusion of everyone, as everyone can participate regardless of prerequisites, background and pr"&amp;"ior knowledge.")</f>
        <v/>
      </c>
      <c r="W284" s="1" t="n"/>
      <c r="X284" s="1" t="n"/>
      <c r="Y284" s="15">
        <f>IFERROR(__xludf.DUMMYFUNCTION("""COMPUTED_VALUE"""),"https://drive.google.com/uc?export=view&amp;id=12UbLBbJOGaWuGhfZGOMRhKvtTamRnIML")</f>
        <v/>
      </c>
      <c r="Z284" s="1">
        <f>IFERROR(__xludf.DUMMYFUNCTION("""COMPUTED_VALUE"""),"Unverified")</f>
        <v/>
      </c>
      <c r="AA284" s="1" t="n"/>
      <c r="AB284" s="1" t="n"/>
      <c r="AC284" s="1" t="n"/>
      <c r="AD284" s="1" t="n"/>
      <c r="AE284" s="1" t="n"/>
    </row>
    <row r="285" ht="42" customHeight="1">
      <c r="A285" s="14">
        <f>IFERROR(__xludf.DUMMYFUNCTION("""COMPUTED_VALUE"""),45679)</f>
        <v/>
      </c>
      <c r="B285" s="1">
        <f>IFERROR(__xludf.DUMMYFUNCTION("""COMPUTED_VALUE"""),"ORG_1085")</f>
        <v/>
      </c>
      <c r="C285" s="1">
        <f>IFERROR(__xludf.DUMMYFUNCTION("""COMPUTED_VALUE"""),TRUE)</f>
        <v/>
      </c>
      <c r="D285" s="15">
        <f>IFERROR(__xludf.DUMMYFUNCTION("""COMPUTED_VALUE"""),"Apprend.ly")</f>
        <v/>
      </c>
      <c r="E285" s="15">
        <f>IFERROR(__xludf.DUMMYFUNCTION("""COMPUTED_VALUE"""),"https://www.apprend.ly")</f>
        <v/>
      </c>
      <c r="F285" s="1">
        <f>IFERROR(__xludf.DUMMYFUNCTION("""COMPUTED_VALUE"""),"Apprend.ly - create 3D games and simulations for business. Fast.")</f>
        <v/>
      </c>
      <c r="G285" s="1">
        <f>IFERROR(__xludf.DUMMYFUNCTION("""COMPUTED_VALUE"""),"I'm not part of any EdTech association")</f>
        <v/>
      </c>
      <c r="H285" s="1" t="n"/>
      <c r="I285" s="1">
        <f>IFERROR(__xludf.DUMMYFUNCTION("""COMPUTED_VALUE"""),"morten.zetlitz@apprend.ly")</f>
        <v/>
      </c>
      <c r="J285" s="1">
        <f>IFERROR(__xludf.DUMMYFUNCTION("""COMPUTED_VALUE"""),"+4793269265")</f>
        <v/>
      </c>
      <c r="K285" s="1">
        <f>IFERROR(__xludf.DUMMYFUNCTION("""COMPUTED_VALUE"""),"ASKER")</f>
        <v/>
      </c>
      <c r="L285" s="1">
        <f>IFERROR(__xludf.DUMMYFUNCTION("""COMPUTED_VALUE"""),"Norway")</f>
        <v/>
      </c>
      <c r="M285" s="1">
        <f>IFERROR(__xludf.DUMMYFUNCTION("""COMPUTED_VALUE"""),"Belgium, Norway, Spain")</f>
        <v/>
      </c>
      <c r="N285" s="1">
        <f>IFERROR(__xludf.DUMMYFUNCTION("""COMPUTED_VALUE"""),"0 to 10")</f>
        <v/>
      </c>
      <c r="O285" s="1">
        <f>IFERROR(__xludf.DUMMYFUNCTION("""COMPUTED_VALUE"""),"Business to Business")</f>
        <v/>
      </c>
      <c r="P285" s="1">
        <f>IFERROR(__xludf.DUMMYFUNCTION("""COMPUTED_VALUE"""),"Higher Education, Corporate Training, Lifelong learning/Adult education")</f>
        <v/>
      </c>
      <c r="Q285" s="1">
        <f>IFERROR(__xludf.DUMMYFUNCTION("""COMPUTED_VALUE"""),"Teacher interfacing, Student interfacing, System/Administrative")</f>
        <v/>
      </c>
      <c r="R285" s="15">
        <f>IFERROR(__xludf.DUMMYFUNCTION("""COMPUTED_VALUE"""),"https://www.instagram.com/apprendly/")</f>
        <v/>
      </c>
      <c r="S285" s="15">
        <f>IFERROR(__xludf.DUMMYFUNCTION("""COMPUTED_VALUE"""),"https://twitter.com/apprendly")</f>
        <v/>
      </c>
      <c r="T285" s="15">
        <f>IFERROR(__xludf.DUMMYFUNCTION("""COMPUTED_VALUE"""),"https://www.linkedin.com/company/apprend-ly")</f>
        <v/>
      </c>
      <c r="U285" s="15">
        <f>IFERROR(__xludf.DUMMYFUNCTION("""COMPUTED_VALUE"""),"Apprend.ly")</f>
        <v/>
      </c>
      <c r="V285" s="1">
        <f>IFERROR(__xludf.DUMMYFUNCTION("""COMPUTED_VALUE"""),"With Apprend.ly Creator™ you can quickly create 3D game worlds and make them come alive with a diverse set of characters, world objects, effects, weather and more. Games are played on any device through Apprend.ly unique streaming service.")</f>
        <v/>
      </c>
      <c r="W285" s="1" t="n"/>
      <c r="X285" s="1" t="n"/>
      <c r="Y285" s="15">
        <f>IFERROR(__xludf.DUMMYFUNCTION("""COMPUTED_VALUE"""),"https://drive.google.com/uc?export=view&amp;id=1v8B93echWXMC1blx4mRZXhqjJ8hJwlOJ")</f>
        <v/>
      </c>
      <c r="Z285" s="1">
        <f>IFERROR(__xludf.DUMMYFUNCTION("""COMPUTED_VALUE"""),"Unverified")</f>
        <v/>
      </c>
      <c r="AA285" s="1" t="n"/>
      <c r="AB285" s="1" t="n"/>
      <c r="AC285" s="1" t="n"/>
      <c r="AD285" s="1" t="n"/>
      <c r="AE285" s="1" t="n"/>
    </row>
    <row r="286" ht="42" customHeight="1">
      <c r="A286" s="14">
        <f>IFERROR(__xludf.DUMMYFUNCTION("""COMPUTED_VALUE"""),45679)</f>
        <v/>
      </c>
      <c r="B286" s="1">
        <f>IFERROR(__xludf.DUMMYFUNCTION("""COMPUTED_VALUE"""),"ORG_1429")</f>
        <v/>
      </c>
      <c r="C286" s="1">
        <f>IFERROR(__xludf.DUMMYFUNCTION("""COMPUTED_VALUE"""),TRUE)</f>
        <v/>
      </c>
      <c r="D286" s="1">
        <f>IFERROR(__xludf.DUMMYFUNCTION("""COMPUTED_VALUE"""),"Education AI")</f>
        <v/>
      </c>
      <c r="E286" s="15">
        <f>IFERROR(__xludf.DUMMYFUNCTION("""COMPUTED_VALUE"""),"https://educationai.co.uk/")</f>
        <v/>
      </c>
      <c r="F286" s="1">
        <f>IFERROR(__xludf.DUMMYFUNCTION("""COMPUTED_VALUE"""),"Education AI is an EdTech firm which provides a complete learning platform for Computational Thinking, Coding, Computer Science, and Robotics. Our platform provides a broad coverage across both subject areas and age range (6 - 18 years old).
Our approach"&amp;" means teachers are supported by a set of AI enabled analytics and tools, allowing them to focus their efforts on teaching. This includes a data dashboard, highlighting the learning progress, and challenges, for a cohort or individual students. 
Our adap"&amp;"tive Curriculum includes a complete mapping of Learning Objectives and Prerequisite Knowledge, allowing teachers to customise their lessons and allow for different levels of students.
Our educational aids and resources include both unplugged and online v"&amp;"ariants. These include games and activities for younger children, online questions with AI powered adaptive learning paths and auto-marking, as well as an online Python IDE with auto-marking and recommendations on what to code next.")</f>
        <v/>
      </c>
      <c r="G286" s="1">
        <f>IFERROR(__xludf.DUMMYFUNCTION("""COMPUTED_VALUE"""),"I'm not part of any EdTech association")</f>
        <v/>
      </c>
      <c r="H286" s="1" t="n"/>
      <c r="I286" s="1">
        <f>IFERROR(__xludf.DUMMYFUNCTION("""COMPUTED_VALUE"""),"contactus@educationai.co.uk")</f>
        <v/>
      </c>
      <c r="J286" s="1">
        <f>IFERROR(__xludf.DUMMYFUNCTION("""COMPUTED_VALUE"""),"+44 208 138 8918")</f>
        <v/>
      </c>
      <c r="K286" s="1">
        <f>IFERROR(__xludf.DUMMYFUNCTION("""COMPUTED_VALUE"""),"LONDON")</f>
        <v/>
      </c>
      <c r="L286" s="1">
        <f>IFERROR(__xludf.DUMMYFUNCTION("""COMPUTED_VALUE"""),"United Kingdom")</f>
        <v/>
      </c>
      <c r="M286" s="1">
        <f>IFERROR(__xludf.DUMMYFUNCTION("""COMPUTED_VALUE"""),"United Kingdom")</f>
        <v/>
      </c>
      <c r="N286" s="1">
        <f>IFERROR(__xludf.DUMMYFUNCTION("""COMPUTED_VALUE"""),"11 to 50")</f>
        <v/>
      </c>
      <c r="O286" s="1">
        <f>IFERROR(__xludf.DUMMYFUNCTION("""COMPUTED_VALUE"""),"Business to Business, Business to Consumer")</f>
        <v/>
      </c>
      <c r="P286" s="1">
        <f>IFERROR(__xludf.DUMMYFUNCTION("""COMPUTED_VALUE"""),"Early childhood development (0-5 years), Primary Education, Secondary Education, Higher Education")</f>
        <v/>
      </c>
      <c r="Q286" s="1">
        <f>IFERROR(__xludf.DUMMYFUNCTION("""COMPUTED_VALUE"""),"System/Administrative, Student interfacing, Teacher interfacing")</f>
        <v/>
      </c>
      <c r="R286" s="1" t="n"/>
      <c r="S286" s="1" t="n"/>
      <c r="T286" s="1" t="n"/>
      <c r="U286" s="1" t="n"/>
      <c r="V286" s="1" t="n"/>
      <c r="W286" s="1" t="n"/>
      <c r="X286" s="1" t="n"/>
      <c r="Y286" s="15">
        <f>IFERROR(__xludf.DUMMYFUNCTION("""COMPUTED_VALUE"""),"https://drive.google.com/uc?export=view&amp;id=1VS8VzrOw56U-jnmmmPncKUAZ-JPcd-pU")</f>
        <v/>
      </c>
      <c r="Z286" s="1">
        <f>IFERROR(__xludf.DUMMYFUNCTION("""COMPUTED_VALUE"""),"Unverified")</f>
        <v/>
      </c>
      <c r="AA286" s="1" t="n"/>
      <c r="AB286" s="1" t="n"/>
      <c r="AC286" s="1" t="n"/>
      <c r="AD286" s="1" t="n"/>
      <c r="AE286" s="1" t="n"/>
    </row>
    <row r="287" ht="42" customHeight="1">
      <c r="A287" s="14">
        <f>IFERROR(__xludf.DUMMYFUNCTION("""COMPUTED_VALUE"""),45679)</f>
        <v/>
      </c>
      <c r="B287" s="1">
        <f>IFERROR(__xludf.DUMMYFUNCTION("""COMPUTED_VALUE"""),"ORG_1561")</f>
        <v/>
      </c>
      <c r="C287" s="1">
        <f>IFERROR(__xludf.DUMMYFUNCTION("""COMPUTED_VALUE"""),TRUE)</f>
        <v/>
      </c>
      <c r="D287" s="1">
        <f>IFERROR(__xludf.DUMMYFUNCTION("""COMPUTED_VALUE"""),"Fiction Express")</f>
        <v/>
      </c>
      <c r="E287" s="15">
        <f>IFERROR(__xludf.DUMMYFUNCTION("""COMPUTED_VALUE"""),"www.fictionexpress.com")</f>
        <v/>
      </c>
      <c r="F287" s="1">
        <f>IFERROR(__xludf.DUMMYFUNCTION("""COMPUTED_VALUE"""),"Fiction Express is an award-winning literacy resource designed to improve all areas of literacy in a truly cohesive way: reading; writing; spelling, punctuation &amp; grammar; and speaking &amp; listening. We have developed a unique value proposition for schools,"&amp;" teachers and students in the space of reading, establishing a new category of digital reading/literacy resources, which has been defined as co-creative reading. Fiction Express is redefining reading by creating a student-centred approach (focused on expe"&amp;"rience and learning outcomes), as opposed to a product-focused (= book) method.")</f>
        <v/>
      </c>
      <c r="G287" s="1">
        <f>IFERROR(__xludf.DUMMYFUNCTION("""COMPUTED_VALUE"""),"I'm not part of any EdTech association")</f>
        <v/>
      </c>
      <c r="H287" s="1" t="n"/>
      <c r="I287" s="1">
        <f>IFERROR(__xludf.DUMMYFUNCTION("""COMPUTED_VALUE"""),"info@fictionexpress.com")</f>
        <v/>
      </c>
      <c r="J287" s="1" t="n"/>
      <c r="K287" s="1">
        <f>IFERROR(__xludf.DUMMYFUNCTION("""COMPUTED_VALUE"""),"BARCELONA")</f>
        <v/>
      </c>
      <c r="L287" s="1">
        <f>IFERROR(__xludf.DUMMYFUNCTION("""COMPUTED_VALUE"""),"Spain")</f>
        <v/>
      </c>
      <c r="M287" s="1">
        <f>IFERROR(__xludf.DUMMYFUNCTION("""COMPUTED_VALUE"""),"Andorra, Austria, Czechia, Estonia, Georgia, Germany, Greece, Italy, Malta, Poland, Portugal, Romania, Spain, Switzerland, Turkey, Ukraine, United Kingdom")</f>
        <v/>
      </c>
      <c r="N287" s="1">
        <f>IFERROR(__xludf.DUMMYFUNCTION("""COMPUTED_VALUE"""),"11 to 50")</f>
        <v/>
      </c>
      <c r="O287" s="1">
        <f>IFERROR(__xludf.DUMMYFUNCTION("""COMPUTED_VALUE"""),"Business to Business, Business to Consumer, Business to Government")</f>
        <v/>
      </c>
      <c r="P287" s="1">
        <f>IFERROR(__xludf.DUMMYFUNCTION("""COMPUTED_VALUE"""),"Primary Education, Secondary Education")</f>
        <v/>
      </c>
      <c r="Q287" s="1">
        <f>IFERROR(__xludf.DUMMYFUNCTION("""COMPUTED_VALUE"""),"Teacher interfacing")</f>
        <v/>
      </c>
      <c r="R287" s="1" t="n"/>
      <c r="S287" s="1">
        <f>IFERROR(__xludf.DUMMYFUNCTION("""COMPUTED_VALUE"""),"@fictionexpress")</f>
        <v/>
      </c>
      <c r="T287" s="15">
        <f>IFERROR(__xludf.DUMMYFUNCTION("""COMPUTED_VALUE"""),"https://www.linkedin.com/company/fictionexpress")</f>
        <v/>
      </c>
      <c r="U287" s="1">
        <f>IFERROR(__xludf.DUMMYFUNCTION("""COMPUTED_VALUE"""),"Fiction Express")</f>
        <v/>
      </c>
      <c r="V287" s="1">
        <f>IFERROR(__xludf.DUMMYFUNCTION("""COMPUTED_VALUE"""),"Fiction Express is an award-winning K-12 literacy resource designed to improve all areas of literacy in a truly cohesive way: reading; writing; spelling, punctuation &amp; grammar; and speaking &amp; listening. We have developed a unique value proposition for sch"&amp;"ools, teachers and students in the space of reading, establishing a new category of digital reading/literacy resources, which has been defined as co-creative reading.")</f>
        <v/>
      </c>
      <c r="W287" s="1" t="n"/>
      <c r="X287" s="1" t="n"/>
      <c r="Y287" s="15">
        <f>IFERROR(__xludf.DUMMYFUNCTION("""COMPUTED_VALUE"""),"https://drive.google.com/uc?export=view&amp;id=1YEMxIuHxIAzumD-5Gqqkiy750hAd1o-g")</f>
        <v/>
      </c>
      <c r="Z287" s="1">
        <f>IFERROR(__xludf.DUMMYFUNCTION("""COMPUTED_VALUE"""),"Unverified")</f>
        <v/>
      </c>
      <c r="AA287" s="1" t="n"/>
      <c r="AB287" s="1" t="n"/>
      <c r="AC287" s="1" t="n"/>
      <c r="AD287" s="1" t="n"/>
      <c r="AE287" s="1" t="n"/>
    </row>
    <row r="288" ht="42" customHeight="1">
      <c r="A288" s="14">
        <f>IFERROR(__xludf.DUMMYFUNCTION("""COMPUTED_VALUE"""),45679)</f>
        <v/>
      </c>
      <c r="B288" s="1">
        <f>IFERROR(__xludf.DUMMYFUNCTION("""COMPUTED_VALUE"""),"ORG_1981")</f>
        <v/>
      </c>
      <c r="C288" s="1">
        <f>IFERROR(__xludf.DUMMYFUNCTION("""COMPUTED_VALUE"""),TRUE)</f>
        <v/>
      </c>
      <c r="D288" s="1">
        <f>IFERROR(__xludf.DUMMYFUNCTION("""COMPUTED_VALUE"""),"Moki Health")</f>
        <v/>
      </c>
      <c r="E288" s="15">
        <f>IFERROR(__xludf.DUMMYFUNCTION("""COMPUTED_VALUE"""),"https://moki.health/")</f>
        <v/>
      </c>
      <c r="F288" s="1">
        <f>IFERROR(__xludf.DUMMYFUNCTION("""COMPUTED_VALUE"""),"Moki is a smart wristband and software platform that allows schools to accurately measure the physical activity levels of their students. What's more Moki provides teachers with a unique new way to engage pupils in an active curriculum as well as better u"&amp;"nderstand the impact of certain initiative and activities. Challenges can be set within classrooms, between classes in the same school or between schools in different countries, giving pupils and teachers a fun and engaging way of encouraging physical act"&amp;"ivity and developing an understanding of the lifestyle benefits of being active each day for physical and mental health.
Moki provides each child with an individual view of the activity data through the school day. This data can be used across the curricu"&amp;"lum, as a dataset for maths and a basis for geography lessons. Moki has been developed to not interrupt the school day but to compliment the teaching staff and their efforts to support a healthy student population.
By pooling anonymous activity data from "&amp;"schools around the world Moki has the potential to provide unprecedented insights into children's physical activity. This information can directly support the ongoing efforts of research teams, charities, NGO's and Government departments looking to analys"&amp;"e or address issues related to children's physical activity, health and well-being.")</f>
        <v/>
      </c>
      <c r="G288" s="1">
        <f>IFERROR(__xludf.DUMMYFUNCTION("""COMPUTED_VALUE"""),"I'm not part of any EdTech association")</f>
        <v/>
      </c>
      <c r="H288" s="1" t="n"/>
      <c r="I288" s="1">
        <f>IFERROR(__xludf.DUMMYFUNCTION("""COMPUTED_VALUE"""),"hello@moki.health")</f>
        <v/>
      </c>
      <c r="J288" s="1" t="n"/>
      <c r="K288" s="1">
        <f>IFERROR(__xludf.DUMMYFUNCTION("""COMPUTED_VALUE"""),"Bath")</f>
        <v/>
      </c>
      <c r="L288" s="1">
        <f>IFERROR(__xludf.DUMMYFUNCTION("""COMPUTED_VALUE"""),"United Kingdom")</f>
        <v/>
      </c>
      <c r="M288" s="1">
        <f>IFERROR(__xludf.DUMMYFUNCTION("""COMPUTED_VALUE"""),"Albania, Andorra, Belgium, Croatia, Cyprus, Denmark, Finland, France, Germany, Greece, Hungary, Iceland, Ireland, Italy, Luxembourg, Malta, Netherlands, Norway, Portugal, Romania, Spain, Sweden, Switzerland, United Kingdom")</f>
        <v/>
      </c>
      <c r="N288" s="1">
        <f>IFERROR(__xludf.DUMMYFUNCTION("""COMPUTED_VALUE"""),"0 to 10")</f>
        <v/>
      </c>
      <c r="O288" s="1">
        <f>IFERROR(__xludf.DUMMYFUNCTION("""COMPUTED_VALUE"""),"Business to Consumer")</f>
        <v/>
      </c>
      <c r="P288" s="1">
        <f>IFERROR(__xludf.DUMMYFUNCTION("""COMPUTED_VALUE"""),"Primary Education, Corporate Training")</f>
        <v/>
      </c>
      <c r="Q288" s="1">
        <f>IFERROR(__xludf.DUMMYFUNCTION("""COMPUTED_VALUE"""),"System/Administrative, Teacher interfacing, Student interfacing")</f>
        <v/>
      </c>
      <c r="R288" s="1" t="n"/>
      <c r="S288" s="15">
        <f>IFERROR(__xludf.DUMMYFUNCTION("""COMPUTED_VALUE"""),"https://twitter.com/moki_health/")</f>
        <v/>
      </c>
      <c r="T288" s="15">
        <f>IFERROR(__xludf.DUMMYFUNCTION("""COMPUTED_VALUE"""),"https://www.linkedin.com/company/mokihealth/")</f>
        <v/>
      </c>
      <c r="U288" s="1">
        <f>IFERROR(__xludf.DUMMYFUNCTION("""COMPUTED_VALUE"""),"Moki")</f>
        <v/>
      </c>
      <c r="V288" s="1">
        <f>IFERROR(__xludf.DUMMYFUNCTION("""COMPUTED_VALUE"""),"Moki is the fitness tracker designed for schools. A whole new kind of learning. How active are your children? How active is your school?")</f>
        <v/>
      </c>
      <c r="W288" s="1" t="n"/>
      <c r="X288" s="1" t="n"/>
      <c r="Y288" s="15">
        <f>IFERROR(__xludf.DUMMYFUNCTION("""COMPUTED_VALUE"""),"https://drive.google.com/uc?export=view&amp;id=1VUvR_9xfjcV7MIHWOALUndFWTyt-sVl6")</f>
        <v/>
      </c>
      <c r="Z288" s="1">
        <f>IFERROR(__xludf.DUMMYFUNCTION("""COMPUTED_VALUE"""),"Unverified")</f>
        <v/>
      </c>
      <c r="AA288" s="1" t="n"/>
      <c r="AB288" s="1" t="n"/>
      <c r="AC288" s="1" t="n"/>
      <c r="AD288" s="1" t="n"/>
      <c r="AE288" s="1" t="n"/>
    </row>
    <row r="289" ht="42" customHeight="1">
      <c r="A289" s="14">
        <f>IFERROR(__xludf.DUMMYFUNCTION("""COMPUTED_VALUE"""),45679)</f>
        <v/>
      </c>
      <c r="B289" s="1">
        <f>IFERROR(__xludf.DUMMYFUNCTION("""COMPUTED_VALUE"""),"ORG_2021")</f>
        <v/>
      </c>
      <c r="C289" s="1">
        <f>IFERROR(__xludf.DUMMYFUNCTION("""COMPUTED_VALUE"""),TRUE)</f>
        <v/>
      </c>
      <c r="D289" s="1">
        <f>IFERROR(__xludf.DUMMYFUNCTION("""COMPUTED_VALUE"""),"Natterhub")</f>
        <v/>
      </c>
      <c r="E289" s="15">
        <f>IFERROR(__xludf.DUMMYFUNCTION("""COMPUTED_VALUE"""),"https://natterhub.com/")</f>
        <v/>
      </c>
      <c r="F289" s="1">
        <f>IFERROR(__xludf.DUMMYFUNCTION("""COMPUTED_VALUE"""),"Natterhub is a gated, immersive online safety platform designed for primary schools. Stocked with over 350 interactive lessons, teachers have the opportunity to teach the soft skills that underpin positive digital citizenship. 
With an easy to use plannin"&amp;"g, assessment and tracking system, Natterhub is an obvious choice for schools looking to prepare children to thrive online.")</f>
        <v/>
      </c>
      <c r="G289" s="1">
        <f>IFERROR(__xludf.DUMMYFUNCTION("""COMPUTED_VALUE"""),"I'm not part of any EdTech association")</f>
        <v/>
      </c>
      <c r="H289" s="1" t="n"/>
      <c r="I289" s="1">
        <f>IFERROR(__xludf.DUMMYFUNCTION("""COMPUTED_VALUE"""),"info@natterhub.com")</f>
        <v/>
      </c>
      <c r="J289" s="1">
        <f>IFERROR(__xludf.DUMMYFUNCTION("""COMPUTED_VALUE"""),"1143996905")</f>
        <v/>
      </c>
      <c r="K289" s="1">
        <f>IFERROR(__xludf.DUMMYFUNCTION("""COMPUTED_VALUE"""),"SURREY TECHNOLOGY PARK")</f>
        <v/>
      </c>
      <c r="L289" s="1">
        <f>IFERROR(__xludf.DUMMYFUNCTION("""COMPUTED_VALUE"""),"United Kingdom")</f>
        <v/>
      </c>
      <c r="M289" s="1">
        <f>IFERROR(__xludf.DUMMYFUNCTION("""COMPUTED_VALUE"""),"Belgium, Denmark, France, Greece, Ireland, Italy, Netherlands, Norway, Poland, Portugal, Spain, Sweden, Switzerland, United Kingdom")</f>
        <v/>
      </c>
      <c r="N289" s="1">
        <f>IFERROR(__xludf.DUMMYFUNCTION("""COMPUTED_VALUE"""),"0 to 10")</f>
        <v/>
      </c>
      <c r="O289" s="1">
        <f>IFERROR(__xludf.DUMMYFUNCTION("""COMPUTED_VALUE"""),"Business to Consumer")</f>
        <v/>
      </c>
      <c r="P289" s="1">
        <f>IFERROR(__xludf.DUMMYFUNCTION("""COMPUTED_VALUE"""),"Primary Education, Lifelong learning/Adult education")</f>
        <v/>
      </c>
      <c r="Q289" s="1">
        <f>IFERROR(__xludf.DUMMYFUNCTION("""COMPUTED_VALUE"""),"Student interfacing, Teacher interfacing")</f>
        <v/>
      </c>
      <c r="R289" s="1">
        <f>IFERROR(__xludf.DUMMYFUNCTION("""COMPUTED_VALUE"""),"@natterhub")</f>
        <v/>
      </c>
      <c r="S289" s="1">
        <f>IFERROR(__xludf.DUMMYFUNCTION("""COMPUTED_VALUE"""),"@natterhub")</f>
        <v/>
      </c>
      <c r="T289" s="1">
        <f>IFERROR(__xludf.DUMMYFUNCTION("""COMPUTED_VALUE"""),"@natterhub")</f>
        <v/>
      </c>
      <c r="U289" s="1">
        <f>IFERROR(__xludf.DUMMYFUNCTION("""COMPUTED_VALUE"""),"Natterhub")</f>
        <v/>
      </c>
      <c r="V289" s="1">
        <f>IFERROR(__xludf.DUMMYFUNCTION("""COMPUTED_VALUE"""),"Natterhub provides primary school teachers with an interactive library of lessons to teach online safety, digital citizenship and media literacy. By Foy using on soft skills development, Natterhub builds digital resilience, promotes online empathy and tra"&amp;"cks skills acquisition towards safe digital independence.")</f>
        <v/>
      </c>
      <c r="W289" s="1" t="n"/>
      <c r="X289" s="1" t="n"/>
      <c r="Y289" s="15">
        <f>IFERROR(__xludf.DUMMYFUNCTION("""COMPUTED_VALUE"""),"https://drive.google.com/uc?export=view&amp;id=1UAhVY1YCtKJvDnSAe66k3shjcKoFaTMJ")</f>
        <v/>
      </c>
      <c r="Z289" s="1">
        <f>IFERROR(__xludf.DUMMYFUNCTION("""COMPUTED_VALUE"""),"Unverified")</f>
        <v/>
      </c>
      <c r="AA289" s="1" t="n"/>
      <c r="AB289" s="1" t="n"/>
      <c r="AC289" s="1" t="n"/>
      <c r="AD289" s="1" t="n"/>
      <c r="AE289" s="1" t="n"/>
    </row>
    <row r="290" ht="42" customHeight="1">
      <c r="A290" s="14">
        <f>IFERROR(__xludf.DUMMYFUNCTION("""COMPUTED_VALUE"""),45679)</f>
        <v/>
      </c>
      <c r="B290" s="1">
        <f>IFERROR(__xludf.DUMMYFUNCTION("""COMPUTED_VALUE"""),"ORG_2447")</f>
        <v/>
      </c>
      <c r="C290" s="1">
        <f>IFERROR(__xludf.DUMMYFUNCTION("""COMPUTED_VALUE"""),TRUE)</f>
        <v/>
      </c>
      <c r="D290" s="1">
        <f>IFERROR(__xludf.DUMMYFUNCTION("""COMPUTED_VALUE"""),"Twin Science &amp; Robotics")</f>
        <v/>
      </c>
      <c r="E290" s="15">
        <f>IFERROR(__xludf.DUMMYFUNCTION("""COMPUTED_VALUE"""),"https://www.twinscience.com/")</f>
        <v/>
      </c>
      <c r="F290" s="1">
        <f>IFERROR(__xludf.DUMMYFUNCTION("""COMPUTED_VALUE"""),"Twin Science is an EdTech start-up transforming education for younger generations. Designed with the play-learn-earn and share methodology, Twin provides an end-to-end educational journey for children. Through its physical kits and digital app, Twin devel"&amp;"ops skills and competencies required for the 21'st century with a compassionate understanding.")</f>
        <v/>
      </c>
      <c r="G290" s="1">
        <f>IFERROR(__xludf.DUMMYFUNCTION("""COMPUTED_VALUE"""),"I'm not part of any EdTech association")</f>
        <v/>
      </c>
      <c r="H290" s="1" t="n"/>
      <c r="I290" s="1">
        <f>IFERROR(__xludf.DUMMYFUNCTION("""COMPUTED_VALUE"""),"hello@twinscience.com")</f>
        <v/>
      </c>
      <c r="J290" s="1" t="n"/>
      <c r="K290" s="1">
        <f>IFERROR(__xludf.DUMMYFUNCTION("""COMPUTED_VALUE"""),"LONDON")</f>
        <v/>
      </c>
      <c r="L290" s="1">
        <f>IFERROR(__xludf.DUMMYFUNCTION("""COMPUTED_VALUE"""),"United Kingdom")</f>
        <v/>
      </c>
      <c r="M290" s="1">
        <f>IFERROR(__xludf.DUMMYFUNCTION("""COMPUTED_VALUE"""),"France, Germany, Italy, Turkey, Ukraine, United Kingdom")</f>
        <v/>
      </c>
      <c r="N290" s="1">
        <f>IFERROR(__xludf.DUMMYFUNCTION("""COMPUTED_VALUE"""),"11 to 50")</f>
        <v/>
      </c>
      <c r="O290" s="1">
        <f>IFERROR(__xludf.DUMMYFUNCTION("""COMPUTED_VALUE"""),"Business to Government, Business to Schools")</f>
        <v/>
      </c>
      <c r="P290" s="1">
        <f>IFERROR(__xludf.DUMMYFUNCTION("""COMPUTED_VALUE"""),"Primary Education, Secondary Education")</f>
        <v/>
      </c>
      <c r="Q290" s="1">
        <f>IFERROR(__xludf.DUMMYFUNCTION("""COMPUTED_VALUE"""),"System/Administrative, Student interfacing, Teacher interfacing")</f>
        <v/>
      </c>
      <c r="R290" s="15">
        <f>IFERROR(__xludf.DUMMYFUNCTION("""COMPUTED_VALUE"""),"https://www.instagram.com/twinscience")</f>
        <v/>
      </c>
      <c r="S290" s="1">
        <f>IFERROR(__xludf.DUMMYFUNCTION("""COMPUTED_VALUE"""),"@twin_science")</f>
        <v/>
      </c>
      <c r="T290" s="15">
        <f>IFERROR(__xludf.DUMMYFUNCTION("""COMPUTED_VALUE"""),"https://www.linkedin.com/company/29024499/")</f>
        <v/>
      </c>
      <c r="U290" s="1">
        <f>IFERROR(__xludf.DUMMYFUNCTION("""COMPUTED_VALUE"""),"Twin Kits")</f>
        <v/>
      </c>
      <c r="V290" s="1">
        <f>IFERROR(__xludf.DUMMYFUNCTION("""COMPUTED_VALUE"""),"LEGO®-compatible AI, robotics and coding kits that introduce students to the jobs of tomorrow. Easy to implement into lesson plans. No welding is required because it connects with magnets! One kit can be used by up to 4 students at the same time. 100+ hou"&amp;"rs of curriculum-aligned lessons developed with esteemed universities. Integrable with international curricula")</f>
        <v/>
      </c>
      <c r="W290" s="1">
        <f>IFERROR(__xludf.DUMMYFUNCTION("""COMPUTED_VALUE"""),"Twin App")</f>
        <v/>
      </c>
      <c r="X290" s="1">
        <f>IFERROR(__xludf.DUMMYFUNCTION("""COMPUTED_VALUE"""),"Twin app is the virtual campus of Twin School: Tech4Good. On a mission to make screen time both fun and educational, Twin’s educational specialists, storytellers, and edtech experts have developed Twin app with the needs of young learners in mind. Today, "&amp;"thousands of students use Twin app to supplement their coursework and have fun!")</f>
        <v/>
      </c>
      <c r="Y290" s="15">
        <f>IFERROR(__xludf.DUMMYFUNCTION("""COMPUTED_VALUE"""),"https://drive.google.com/uc?export=view&amp;id=1Bc5bXdGUZG9027zDw_iDGwOtTCaEjnMo")</f>
        <v/>
      </c>
      <c r="Z290" s="1">
        <f>IFERROR(__xludf.DUMMYFUNCTION("""COMPUTED_VALUE"""),"Unverified")</f>
        <v/>
      </c>
      <c r="AA290" s="1" t="n"/>
      <c r="AB290" s="1" t="n"/>
      <c r="AC290" s="1" t="n"/>
      <c r="AD290" s="1" t="n"/>
      <c r="AE290" s="1" t="n"/>
    </row>
    <row r="291" ht="42" customHeight="1">
      <c r="A291" s="14">
        <f>IFERROR(__xludf.DUMMYFUNCTION("""COMPUTED_VALUE"""),45679)</f>
        <v/>
      </c>
      <c r="B291" s="1">
        <f>IFERROR(__xludf.DUMMYFUNCTION("""COMPUTED_VALUE"""),"ORG_2549")</f>
        <v/>
      </c>
      <c r="C291" s="1">
        <f>IFERROR(__xludf.DUMMYFUNCTION("""COMPUTED_VALUE"""),TRUE)</f>
        <v/>
      </c>
      <c r="D291" s="1">
        <f>IFERROR(__xludf.DUMMYFUNCTION("""COMPUTED_VALUE"""),"WorkTripp")</f>
        <v/>
      </c>
      <c r="E291" s="15">
        <f>IFERROR(__xludf.DUMMYFUNCTION("""COMPUTED_VALUE"""),"www.worktripp.com")</f>
        <v/>
      </c>
      <c r="F291" s="1">
        <f>IFERROR(__xludf.DUMMYFUNCTION("""COMPUTED_VALUE"""),"WorkTripp is a platform for teams to plan, book, and measure gatherings &amp; offsites as part of their cycle of work. 🔄")</f>
        <v/>
      </c>
      <c r="G291" s="1">
        <f>IFERROR(__xludf.DUMMYFUNCTION("""COMPUTED_VALUE"""),"I'm not part of any EdTech association")</f>
        <v/>
      </c>
      <c r="H291" s="1" t="n"/>
      <c r="I291" s="1">
        <f>IFERROR(__xludf.DUMMYFUNCTION("""COMPUTED_VALUE"""),"sophie.bailey@worktripp.com")</f>
        <v/>
      </c>
      <c r="J291" s="1" t="n"/>
      <c r="K291" s="1">
        <f>IFERROR(__xludf.DUMMYFUNCTION("""COMPUTED_VALUE"""),"Plymouth")</f>
        <v/>
      </c>
      <c r="L291" s="1">
        <f>IFERROR(__xludf.DUMMYFUNCTION("""COMPUTED_VALUE"""),"United Kingdom")</f>
        <v/>
      </c>
      <c r="M291" s="1">
        <f>IFERROR(__xludf.DUMMYFUNCTION("""COMPUTED_VALUE"""),"Austria, Belgium, Bulgaria, Croatia, Denmark, Estonia, Finland, France, Georgia, Germany, Greece, Iceland, Italy, Latvia, Luxembourg, Malta, Netherlands, Norway, Poland, Portugal, Slovenia, Spain, Sweden, Switzerland, Turkey, United Kingdom")</f>
        <v/>
      </c>
      <c r="N291" s="1">
        <f>IFERROR(__xludf.DUMMYFUNCTION("""COMPUTED_VALUE"""),"0 to 2")</f>
        <v/>
      </c>
      <c r="O291" s="1">
        <f>IFERROR(__xludf.DUMMYFUNCTION("""COMPUTED_VALUE"""),"Business to Schools")</f>
        <v/>
      </c>
      <c r="P291" s="1">
        <f>IFERROR(__xludf.DUMMYFUNCTION("""COMPUTED_VALUE"""),"Corporate Training")</f>
        <v/>
      </c>
      <c r="Q291" s="1">
        <f>IFERROR(__xludf.DUMMYFUNCTION("""COMPUTED_VALUE"""),"System/Administrative, Student interfacing")</f>
        <v/>
      </c>
      <c r="R291" s="15">
        <f>IFERROR(__xludf.DUMMYFUNCTION("""COMPUTED_VALUE"""),"https://www.instagram.com/work.tripp/")</f>
        <v/>
      </c>
      <c r="S291" s="15">
        <f>IFERROR(__xludf.DUMMYFUNCTION("""COMPUTED_VALUE"""),"https://twitter.com/work_tripp")</f>
        <v/>
      </c>
      <c r="T291" s="15">
        <f>IFERROR(__xludf.DUMMYFUNCTION("""COMPUTED_VALUE"""),"https://www.linkedin.com/company/worktripp/")</f>
        <v/>
      </c>
      <c r="U291" s="1">
        <f>IFERROR(__xludf.DUMMYFUNCTION("""COMPUTED_VALUE"""),"WorkTripp")</f>
        <v/>
      </c>
      <c r="V291" s="1">
        <f>IFERROR(__xludf.DUMMYFUNCTION("""COMPUTED_VALUE"""),"WorkTripp is a platform for teams to plan, book, and measure gatherings &amp; offsites as part of their cycle of work. 🔄")</f>
        <v/>
      </c>
      <c r="W291" s="1" t="n"/>
      <c r="X291" s="1" t="n"/>
      <c r="Y291" s="15">
        <f>IFERROR(__xludf.DUMMYFUNCTION("""COMPUTED_VALUE"""),"https://drive.google.com/uc?export=view&amp;id=1h-xeVx118Gx0xIWAVdBTTXJ3ILocN72G")</f>
        <v/>
      </c>
      <c r="Z291" s="1">
        <f>IFERROR(__xludf.DUMMYFUNCTION("""COMPUTED_VALUE"""),"Unverified")</f>
        <v/>
      </c>
      <c r="AA291" s="1" t="n"/>
      <c r="AB291" s="1" t="n"/>
      <c r="AC291" s="1" t="n"/>
      <c r="AD291" s="1" t="n"/>
      <c r="AE291" s="1" t="n"/>
    </row>
    <row r="292" ht="42" customHeight="1">
      <c r="A292" s="14">
        <f>IFERROR(__xludf.DUMMYFUNCTION("""COMPUTED_VALUE"""),45679)</f>
        <v/>
      </c>
      <c r="B292" s="1">
        <f>IFERROR(__xludf.DUMMYFUNCTION("""COMPUTED_VALUE"""),"ORG_1380")</f>
        <v/>
      </c>
      <c r="C292" s="1">
        <f>IFERROR(__xludf.DUMMYFUNCTION("""COMPUTED_VALUE"""),TRUE)</f>
        <v/>
      </c>
      <c r="D292" s="1">
        <f>IFERROR(__xludf.DUMMYFUNCTION("""COMPUTED_VALUE"""),"DreamApply")</f>
        <v/>
      </c>
      <c r="E292" s="15">
        <f>IFERROR(__xludf.DUMMYFUNCTION("""COMPUTED_VALUE"""),"https://dreamapply.com/")</f>
        <v/>
      </c>
      <c r="F292" s="1">
        <f>IFERROR(__xludf.DUMMYFUNCTION("""COMPUTED_VALUE"""),"DreamApply is a SaaS suite that revolutionizes the admission and enrollment experience for educational institutions and students. Founded in Estonia, in 2011, DreamApply has grown to become a worldwide-recognized Ed-tech company. Its solutions have helped"&amp;" transform the operations of more than 300 education institutions in over 40 countries. It is the system chosen by the national agencies for international education in Estonia, Hungary, and Lithuania. DreamApply offers a 50-100% increase in student admiss"&amp;"ion applications within three years and an up to 60% decrease in the administrative workload for educators.")</f>
        <v/>
      </c>
      <c r="G292" s="1">
        <f>IFERROR(__xludf.DUMMYFUNCTION("""COMPUTED_VALUE"""),"EdTech Estonia")</f>
        <v/>
      </c>
      <c r="H292" s="1" t="n"/>
      <c r="I292" s="1">
        <f>IFERROR(__xludf.DUMMYFUNCTION("""COMPUTED_VALUE"""),"hello@dreamapply.com")</f>
        <v/>
      </c>
      <c r="J292" s="1" t="n"/>
      <c r="K292" s="1">
        <f>IFERROR(__xludf.DUMMYFUNCTION("""COMPUTED_VALUE"""),"TALLINN")</f>
        <v/>
      </c>
      <c r="L292" s="1">
        <f>IFERROR(__xludf.DUMMYFUNCTION("""COMPUTED_VALUE"""),"Estonia")</f>
        <v/>
      </c>
      <c r="M292" s="1">
        <f>IFERROR(__xludf.DUMMYFUNCTION("""COMPUTED_VALUE"""),"Belgium, Estonia, Finland, Germany, Greece, Hungary, Ireland, Italy, Latvia, Lithuania, Netherlands, Poland, Spain, Sweden, Turkey")</f>
        <v/>
      </c>
      <c r="N292" s="1">
        <f>IFERROR(__xludf.DUMMYFUNCTION("""COMPUTED_VALUE"""),"11 to 50")</f>
        <v/>
      </c>
      <c r="O292" s="1">
        <f>IFERROR(__xludf.DUMMYFUNCTION("""COMPUTED_VALUE"""),"Business to Business, Business to Consumer, Business to Government, Business to Schools")</f>
        <v/>
      </c>
      <c r="P292" s="1">
        <f>IFERROR(__xludf.DUMMYFUNCTION("""COMPUTED_VALUE"""),"Higher Education")</f>
        <v/>
      </c>
      <c r="Q292" s="1">
        <f>IFERROR(__xludf.DUMMYFUNCTION("""COMPUTED_VALUE"""),"System/Administrative")</f>
        <v/>
      </c>
      <c r="R292" s="1" t="n"/>
      <c r="S292" s="1" t="n"/>
      <c r="T292" s="15">
        <f>IFERROR(__xludf.DUMMYFUNCTION("""COMPUTED_VALUE"""),"https://www.linkedin.com/company/dreamapply")</f>
        <v/>
      </c>
      <c r="U292" s="1">
        <f>IFERROR(__xludf.DUMMYFUNCTION("""COMPUTED_VALUE"""),"DreamApply Admissions Solution")</f>
        <v/>
      </c>
      <c r="V292" s="1">
        <f>IFERROR(__xludf.DUMMYFUNCTION("""COMPUTED_VALUE"""),"A SaaS suite designed for educational institutions that are looking to increase student enrollment, reduce workload, and easily manage recruitment and admission efforts. DreamApply helps educators to recruit and process applications more effectively, guid"&amp;"ing the applicants through a fast and convenient application process.")</f>
        <v/>
      </c>
      <c r="W292" s="1">
        <f>IFERROR(__xludf.DUMMYFUNCTION("""COMPUTED_VALUE"""),"DreamApply Scholarships &amp; Grants")</f>
        <v/>
      </c>
      <c r="X292" s="1">
        <f>IFERROR(__xludf.DUMMYFUNCTION("""COMPUTED_VALUE"""),"An all-in-one scholarship and grant application management solution that empowers educators in their daily operations and decision-making processes when awarding talents for scholarship programs. The solution streamlines the complex process of analyzing a"&amp;"nd processing scholarships and grants and their financial aid lifecycle. It facilitates the application scoring and reviewing for multiple committee members, builds ranks automatically, and attributes different statuses for the entire applicant journey. I"&amp;"t also provides statistics for allocations, management of funding activities, and runs diligence checks, among others.")</f>
        <v/>
      </c>
      <c r="Y292" s="15">
        <f>IFERROR(__xludf.DUMMYFUNCTION("""COMPUTED_VALUE"""),"https://drive.google.com/uc?export=view&amp;id=1FMsUk88f4izpSQ0onFxW2ipAbyuZJVXn")</f>
        <v/>
      </c>
      <c r="Z292" s="1">
        <f>IFERROR(__xludf.DUMMYFUNCTION("""COMPUTED_VALUE"""),"Unverified")</f>
        <v/>
      </c>
      <c r="AA292" s="1" t="n"/>
      <c r="AB292" s="1" t="n"/>
      <c r="AC292" s="1" t="n"/>
      <c r="AD292" s="1" t="n"/>
      <c r="AE292" s="1" t="n"/>
    </row>
    <row r="293" ht="42" customHeight="1">
      <c r="A293" s="14">
        <f>IFERROR(__xludf.DUMMYFUNCTION("""COMPUTED_VALUE"""),45679)</f>
        <v/>
      </c>
      <c r="B293" s="1">
        <f>IFERROR(__xludf.DUMMYFUNCTION("""COMPUTED_VALUE"""),"ORG_1789")</f>
        <v/>
      </c>
      <c r="C293" s="1">
        <f>IFERROR(__xludf.DUMMYFUNCTION("""COMPUTED_VALUE"""),TRUE)</f>
        <v/>
      </c>
      <c r="D293" s="1">
        <f>IFERROR(__xludf.DUMMYFUNCTION("""COMPUTED_VALUE"""),"Kortext")</f>
        <v/>
      </c>
      <c r="E293" s="15">
        <f>IFERROR(__xludf.DUMMYFUNCTION("""COMPUTED_VALUE"""),"https://www.kortext.com/")</f>
        <v/>
      </c>
      <c r="F293" s="1">
        <f>IFERROR(__xludf.DUMMYFUNCTION("""COMPUTED_VALUE"""),"Kortext is creator of the world-leading student learning content and engagement platform, Kortext Arcturus – supporting universities in their mission to educate the next generation of difference makers. The platform provides a gateway to 2 million eBooks "&amp;"and digital content from 4,700 publishers. We partner with institutions to supply a digital bookshelf that embeds into VLEs, so students and academics can engage with course content anytime, anywhere. Our smart study tools and collaboration features enabl"&amp;"e deep engagement with content for an engaging and research-led learning experience, whilst our insightful learner analytics help universities make informed acquisition decisions, drive improvements and provide tailored student support. With unlimited use"&amp;"r capacity, Arcturus is scalable, supporting programmes, institutions and entire countries, where access to technology offers exciting opportunities for all.")</f>
        <v/>
      </c>
      <c r="G293" s="1">
        <f>IFERROR(__xludf.DUMMYFUNCTION("""COMPUTED_VALUE"""),"I'm not part of any EdTech association")</f>
        <v/>
      </c>
      <c r="H293" s="1" t="n"/>
      <c r="I293" s="1">
        <f>IFERROR(__xludf.DUMMYFUNCTION("""COMPUTED_VALUE"""),"marketing@kortext.com")</f>
        <v/>
      </c>
      <c r="J293" s="1">
        <f>IFERROR(__xludf.DUMMYFUNCTION("""COMPUTED_VALUE"""),"+44 1202551202")</f>
        <v/>
      </c>
      <c r="K293" s="1">
        <f>IFERROR(__xludf.DUMMYFUNCTION("""COMPUTED_VALUE"""),"BOURNEMOUTH")</f>
        <v/>
      </c>
      <c r="L293" s="1">
        <f>IFERROR(__xludf.DUMMYFUNCTION("""COMPUTED_VALUE"""),"United Kingdom")</f>
        <v/>
      </c>
      <c r="M293"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293" s="1">
        <f>IFERROR(__xludf.DUMMYFUNCTION("""COMPUTED_VALUE"""),"100+")</f>
        <v/>
      </c>
      <c r="O293" s="1">
        <f>IFERROR(__xludf.DUMMYFUNCTION("""COMPUTED_VALUE"""),"Business to Business, Business to Consumer, Business to Government, Business to Schools")</f>
        <v/>
      </c>
      <c r="P293" s="1">
        <f>IFERROR(__xludf.DUMMYFUNCTION("""COMPUTED_VALUE"""),"Higher Education, Corporate Training, Lifelong learning/Adult education")</f>
        <v/>
      </c>
      <c r="Q293" s="1">
        <f>IFERROR(__xludf.DUMMYFUNCTION("""COMPUTED_VALUE"""),"Student interfacing, Teacher interfacing, System/Administrative")</f>
        <v/>
      </c>
      <c r="R293" s="1">
        <f>IFERROR(__xludf.DUMMYFUNCTION("""COMPUTED_VALUE"""),"Kortext")</f>
        <v/>
      </c>
      <c r="S293" s="15">
        <f>IFERROR(__xludf.DUMMYFUNCTION("""COMPUTED_VALUE"""),"https://twitter.com/Kortext")</f>
        <v/>
      </c>
      <c r="T293" s="15">
        <f>IFERROR(__xludf.DUMMYFUNCTION("""COMPUTED_VALUE"""),"https://www.linkedin.com/company/kortext/")</f>
        <v/>
      </c>
      <c r="U293" s="1">
        <f>IFERROR(__xludf.DUMMYFUNCTION("""COMPUTED_VALUE"""),"The Kortext Arcturus Platform")</f>
        <v/>
      </c>
      <c r="V293" s="1">
        <f>IFERROR(__xludf.DUMMYFUNCTION("""COMPUTED_VALUE"""),"The Kortext Arcturus platform is the UK’s number one learning content and engagement platform for students in higher education, supporting universities in their mission to educate the next generation of difference makers. Accessed by millions of students "&amp;"worldwide, Arcturus – named after the brightest star in the Northern Hemisphere – is fast, secure, reliable and unlimited, enhancing teaching and learning experiences for the global education community.")</f>
        <v/>
      </c>
      <c r="W293" s="1">
        <f>IFERROR(__xludf.DUMMYFUNCTION("""COMPUTED_VALUE"""),"KeyLinks")</f>
        <v/>
      </c>
      <c r="X293" s="1">
        <f>IFERROR(__xludf.DUMMYFUNCTION("""COMPUTED_VALUE"""),"KeyLinks is the smart reading list management system that enables further and higher education institutions to organise and manage learning content such as eTextbooks, journal extracts, articles, case reference files and training materials into easily acc"&amp;"essible reading lists.
With KeyLinks, institution libraries and academics can work in partnership to direct students to the right materials at the right time.")</f>
        <v/>
      </c>
      <c r="Y293" s="15">
        <f>IFERROR(__xludf.DUMMYFUNCTION("""COMPUTED_VALUE"""),"https://drive.google.com/uc?export=view&amp;id=1iDx1dFzc7GiYqFatYkfY-s549Cw1jrp9")</f>
        <v/>
      </c>
      <c r="Z293" s="1">
        <f>IFERROR(__xludf.DUMMYFUNCTION("""COMPUTED_VALUE"""),"Unverified")</f>
        <v/>
      </c>
      <c r="AA293" s="1" t="n"/>
      <c r="AB293" s="1" t="n"/>
      <c r="AC293" s="1" t="n"/>
      <c r="AD293" s="1" t="n"/>
      <c r="AE293" s="1" t="n"/>
    </row>
    <row r="294" ht="42" customHeight="1">
      <c r="A294" s="14">
        <f>IFERROR(__xludf.DUMMYFUNCTION("""COMPUTED_VALUE"""),45679)</f>
        <v/>
      </c>
      <c r="B294" s="1">
        <f>IFERROR(__xludf.DUMMYFUNCTION("""COMPUTED_VALUE"""),"ORG_1997")</f>
        <v/>
      </c>
      <c r="C294" s="1">
        <f>IFERROR(__xludf.DUMMYFUNCTION("""COMPUTED_VALUE"""),TRUE)</f>
        <v/>
      </c>
      <c r="D294" s="1">
        <f>IFERROR(__xludf.DUMMYFUNCTION("""COMPUTED_VALUE"""),"Mussila")</f>
        <v/>
      </c>
      <c r="E294" s="15">
        <f>IFERROR(__xludf.DUMMYFUNCTION("""COMPUTED_VALUE"""),"https://mussila.com/")</f>
        <v/>
      </c>
      <c r="F294" s="1">
        <f>IFERROR(__xludf.DUMMYFUNCTION("""COMPUTED_VALUE"""),"Mussila is an EdTech company that offers creative digital learning solutions for children through a unique Learn, Play &amp; Create methodology. Mussila won the Bett 2022 for the Best International Digital Educational Resource. Today schools from 20 countries"&amp;" are using the Mussila solutions in the classroom.")</f>
        <v/>
      </c>
      <c r="G294" s="1">
        <f>IFERROR(__xludf.DUMMYFUNCTION("""COMPUTED_VALUE"""),"SuperCharger Ventures, xEdu")</f>
        <v/>
      </c>
      <c r="H294" s="1" t="n"/>
      <c r="I294" s="1">
        <f>IFERROR(__xludf.DUMMYFUNCTION("""COMPUTED_VALUE"""),"jon@mussila.com")</f>
        <v/>
      </c>
      <c r="J294" s="1">
        <f>IFERROR(__xludf.DUMMYFUNCTION("""COMPUTED_VALUE"""),"3548975624")</f>
        <v/>
      </c>
      <c r="K294" s="1">
        <f>IFERROR(__xludf.DUMMYFUNCTION("""COMPUTED_VALUE"""),"Reykjavik")</f>
        <v/>
      </c>
      <c r="L294" s="1">
        <f>IFERROR(__xludf.DUMMYFUNCTION("""COMPUTED_VALUE"""),"Iceland")</f>
        <v/>
      </c>
      <c r="M294" s="1">
        <f>IFERROR(__xludf.DUMMYFUNCTION("""COMPUTED_VALUE"""),"Belgium, Bulgaria, Croatia, Cyprus, Czechia, Denmark, Estonia, France, Germany, Greece, Hungary, Iceland, Ireland, Italy, Norway, Poland, Portugal, Romania, Russia, Serbia, Slovakia, Slovenia, Spain, Sweden, Switzerland, Turkey, Ukraine, United Kingdom")</f>
        <v/>
      </c>
      <c r="N294" s="1">
        <f>IFERROR(__xludf.DUMMYFUNCTION("""COMPUTED_VALUE"""),"11 to 50")</f>
        <v/>
      </c>
      <c r="O294" s="1">
        <f>IFERROR(__xludf.DUMMYFUNCTION("""COMPUTED_VALUE"""),"Business to Business, Business to Consumer, Business to Schools")</f>
        <v/>
      </c>
      <c r="P294" s="1">
        <f>IFERROR(__xludf.DUMMYFUNCTION("""COMPUTED_VALUE"""),"Primary Education")</f>
        <v/>
      </c>
      <c r="Q294" s="1">
        <f>IFERROR(__xludf.DUMMYFUNCTION("""COMPUTED_VALUE"""),"System/Administrative, Teacher interfacing")</f>
        <v/>
      </c>
      <c r="R294" s="15">
        <f>IFERROR(__xludf.DUMMYFUNCTION("""COMPUTED_VALUE"""),"https://www.instagram.com/mussila_apps/")</f>
        <v/>
      </c>
      <c r="S294" s="1" t="n"/>
      <c r="T294" s="15">
        <f>IFERROR(__xludf.DUMMYFUNCTION("""COMPUTED_VALUE"""),"https://www.linkedin.com/in/jongunnarthordarson/")</f>
        <v/>
      </c>
      <c r="U294" s="1">
        <f>IFERROR(__xludf.DUMMYFUNCTION("""COMPUTED_VALUE"""),"Mussila Music")</f>
        <v/>
      </c>
      <c r="V294" s="1">
        <f>IFERROR(__xludf.DUMMYFUNCTION("""COMPUTED_VALUE"""),"Mussila Music is the award-winning app that allows kids to explore the world of music on their own and allows them to gain knowledge without continuous external help.
The app provides hours of musical lessons, games, and challenges, carefully crafted by "&amp;"musical experts and educators, designed to provide a joyful experience.
Not sure about your musical skills? Don’t worry, Mussila is perfect for beginners.")</f>
        <v/>
      </c>
      <c r="W294" s="1">
        <f>IFERROR(__xludf.DUMMYFUNCTION("""COMPUTED_VALUE"""),"Mussila WordPlay")</f>
        <v/>
      </c>
      <c r="X294" s="1">
        <f>IFERROR(__xludf.DUMMYFUNCTION("""COMPUTED_VALUE"""),"WordPlay is a reading and comprehension app that will help kids strengthen their vocabulary in a fun and playful way. While playing, users will improve their language skills, memory, auditory understanding, and speech
Not fluent in English? This is the p"&amp;"erfect app to learn as a native!
Start the journey: learn through play")</f>
        <v/>
      </c>
      <c r="Y294" s="15">
        <f>IFERROR(__xludf.DUMMYFUNCTION("""COMPUTED_VALUE"""),"https://drive.google.com/uc?export=view&amp;id=1CugYaWJjQygOychkFnQ7QOmI9Jel0jF1")</f>
        <v/>
      </c>
      <c r="Z294" s="1">
        <f>IFERROR(__xludf.DUMMYFUNCTION("""COMPUTED_VALUE"""),"Unverified")</f>
        <v/>
      </c>
      <c r="AA294" s="1" t="n"/>
      <c r="AB294" s="1" t="n"/>
      <c r="AC294" s="1" t="n"/>
      <c r="AD294" s="1" t="n"/>
      <c r="AE294" s="1" t="n"/>
    </row>
    <row r="295" ht="42" customHeight="1">
      <c r="A295" s="14">
        <f>IFERROR(__xludf.DUMMYFUNCTION("""COMPUTED_VALUE"""),45679)</f>
        <v/>
      </c>
      <c r="B295" s="1">
        <f>IFERROR(__xludf.DUMMYFUNCTION("""COMPUTED_VALUE"""),"ORG_2391")</f>
        <v/>
      </c>
      <c r="C295" s="1">
        <f>IFERROR(__xludf.DUMMYFUNCTION("""COMPUTED_VALUE"""),TRUE)</f>
        <v/>
      </c>
      <c r="D295" s="1">
        <f>IFERROR(__xludf.DUMMYFUNCTION("""COMPUTED_VALUE"""),"Texthelp Ltd")</f>
        <v/>
      </c>
      <c r="E295" s="15">
        <f>IFERROR(__xludf.DUMMYFUNCTION("""COMPUTED_VALUE"""),"https://www.texthelp.com/en-gb/")</f>
        <v/>
      </c>
      <c r="F295" s="1">
        <f>IFERROR(__xludf.DUMMYFUNCTION("""COMPUTED_VALUE"""),"The Texthelp Group has spent three decades developing innovative education software tools that support literacy, accessibility, maths and science. With 60 million users across the globe, their software tools have a tangible, positive impact upon the educa"&amp;"tional development of countless students. 
Texthelp software includes Read&amp;Write to support literacy and dyslexia, Equatio© that enables engaging opportunities for learning maths online and OrbitNote© to create new ways of utilising PDF documents for lea"&amp;"rning. Across all devices, platforms and content types, they seamlessly integrate with the tools teachers and students already use. 
With over 350 staff based across the UK, Nordics, US and Australia, the Texthelp mission is to help everyone understand a"&amp;"nd be understood. Visit www.texthelp.com for more information.")</f>
        <v/>
      </c>
      <c r="G295" s="1">
        <f>IFERROR(__xludf.DUMMYFUNCTION("""COMPUTED_VALUE"""),"I'm not part of any EdTech association")</f>
        <v/>
      </c>
      <c r="H295" s="1" t="n"/>
      <c r="I295" s="1">
        <f>IFERROR(__xludf.DUMMYFUNCTION("""COMPUTED_VALUE"""),"c.gibson@texthelp.com")</f>
        <v/>
      </c>
      <c r="J295" s="1">
        <f>IFERROR(__xludf.DUMMYFUNCTION("""COMPUTED_VALUE"""),"+44 2894428105")</f>
        <v/>
      </c>
      <c r="K295" s="1">
        <f>IFERROR(__xludf.DUMMYFUNCTION("""COMPUTED_VALUE"""),"Antrim")</f>
        <v/>
      </c>
      <c r="L295" s="1">
        <f>IFERROR(__xludf.DUMMYFUNCTION("""COMPUTED_VALUE"""),"United Kingdom")</f>
        <v/>
      </c>
      <c r="M295" s="1">
        <f>IFERROR(__xludf.DUMMYFUNCTION("""COMPUTED_VALUE"""),"Austria, Belgium, Bulgaria, Cyprus, Denmark, Finland, France, Germany, Hungary, Iceland, Ireland, Italy, Luxembourg, Netherlands, Norway, Poland, Portugal, Romania, Spain, Sweden, Switzerland, United Kingdom")</f>
        <v/>
      </c>
      <c r="N295" s="1">
        <f>IFERROR(__xludf.DUMMYFUNCTION("""COMPUTED_VALUE"""),"100+")</f>
        <v/>
      </c>
      <c r="O295" s="1">
        <f>IFERROR(__xludf.DUMMYFUNCTION("""COMPUTED_VALUE"""),"Business to Consumer, Business to Government, Business to Schools")</f>
        <v/>
      </c>
      <c r="P295" s="1">
        <f>IFERROR(__xludf.DUMMYFUNCTION("""COMPUTED_VALUE"""),"Primary Education, Secondary Education, Higher Education, Lifelong learning/Adult education")</f>
        <v/>
      </c>
      <c r="Q295" s="1">
        <f>IFERROR(__xludf.DUMMYFUNCTION("""COMPUTED_VALUE"""),"System/Administrative, Teacher interfacing, Student interfacing")</f>
        <v/>
      </c>
      <c r="R295" s="15">
        <f>IFERROR(__xludf.DUMMYFUNCTION("""COMPUTED_VALUE"""),"https://www.instagram.com/texthelpers/?hl=en")</f>
        <v/>
      </c>
      <c r="S295" s="15">
        <f>IFERROR(__xludf.DUMMYFUNCTION("""COMPUTED_VALUE"""),"https://twitter.com/texthelp")</f>
        <v/>
      </c>
      <c r="T295" s="15">
        <f>IFERROR(__xludf.DUMMYFUNCTION("""COMPUTED_VALUE"""),"https://www.linkedin.com/company/texthelp/mycompany/")</f>
        <v/>
      </c>
      <c r="U295" s="1">
        <f>IFERROR(__xludf.DUMMYFUNCTION("""COMPUTED_VALUE"""),"Read&amp;Write")</f>
        <v/>
      </c>
      <c r="V295" s="1">
        <f>IFERROR(__xludf.DUMMYFUNCTION("""COMPUTED_VALUE"""),"A literacy support toolbar that works across all content and platforms to support literacy, accessibility, dyslexia and language learning. The toolbar includes a wide range of supports like text to speech, speech to text, talking dictionaries, picture dic"&amp;"tionaries, study and revision tools and more.")</f>
        <v/>
      </c>
      <c r="W295" s="1">
        <f>IFERROR(__xludf.DUMMYFUNCTION("""COMPUTED_VALUE"""),"OrbitNote")</f>
        <v/>
      </c>
      <c r="X295" s="1">
        <f>IFERROR(__xludf.DUMMYFUNCTION("""COMPUTED_VALUE"""),"OrbitNote is a PDF software that allows you to transform and interact with documents in a completely different way. OrbitNote allows you to create an accessible, dynamic and collaborative space that works for everyone and to create new ways of utilising P"&amp;"DF documents for learning.")</f>
        <v/>
      </c>
      <c r="Y295" s="15">
        <f>IFERROR(__xludf.DUMMYFUNCTION("""COMPUTED_VALUE"""),"https://drive.google.com/uc?export=view&amp;id=1IiuEPKZpGt7mOTtPZABGmkr-rWNXWJjG")</f>
        <v/>
      </c>
      <c r="Z295" s="1">
        <f>IFERROR(__xludf.DUMMYFUNCTION("""COMPUTED_VALUE"""),"Unverified")</f>
        <v/>
      </c>
      <c r="AA295" s="1" t="n"/>
      <c r="AB295" s="1" t="n"/>
      <c r="AC295" s="1" t="n"/>
      <c r="AD295" s="1" t="n"/>
      <c r="AE295" s="1" t="n"/>
    </row>
    <row r="296" ht="42" customHeight="1">
      <c r="A296" s="14">
        <f>IFERROR(__xludf.DUMMYFUNCTION("""COMPUTED_VALUE"""),45679)</f>
        <v/>
      </c>
      <c r="B296" s="1">
        <f>IFERROR(__xludf.DUMMYFUNCTION("""COMPUTED_VALUE"""),"ORG_2527")</f>
        <v/>
      </c>
      <c r="C296" s="1">
        <f>IFERROR(__xludf.DUMMYFUNCTION("""COMPUTED_VALUE"""),TRUE)</f>
        <v/>
      </c>
      <c r="D296" s="1">
        <f>IFERROR(__xludf.DUMMYFUNCTION("""COMPUTED_VALUE"""),"Whizz Education")</f>
        <v/>
      </c>
      <c r="E296" s="15">
        <f>IFERROR(__xludf.DUMMYFUNCTION("""COMPUTED_VALUE"""),"www.whizzeducation.com")</f>
        <v/>
      </c>
      <c r="F296" s="1">
        <f>IFERROR(__xludf.DUMMYFUNCTION("""COMPUTED_VALUE"""),"Whizz Education is an education partner accountable for learning outcomes. Guided by a wealth of live learning data from the world’s first personalised, scaffolded, and adaptive virtual tutor, Maths-Whizz, we work with education stakeholders across border"&amp;"s and cultures to instigate sustainable changes to education and deliver accelerate learning. We design large-scale implementations within a coherent theory of change to embrace the unique context of each environment and drive sustainable educational impa"&amp;"ct.
Our technologies are designed for flexible adoption. They are adaptable enough to serve implementations in low and high resource environments. Our solutions are localised to meet the particular requirements of national curricula, ensuring that learni"&amp;"ng, teaching and reporting are aligned to the specific educational objectives of each school client and government project.")</f>
        <v/>
      </c>
      <c r="G296" s="1">
        <f>IFERROR(__xludf.DUMMYFUNCTION("""COMPUTED_VALUE"""),"I'm not part of any EdTech association")</f>
        <v/>
      </c>
      <c r="H296" s="1" t="n"/>
      <c r="I296" s="1">
        <f>IFERROR(__xludf.DUMMYFUNCTION("""COMPUTED_VALUE"""),"sarah.hawkes@whizzeducation.com")</f>
        <v/>
      </c>
      <c r="J296" s="1">
        <f>IFERROR(__xludf.DUMMYFUNCTION("""COMPUTED_VALUE"""),"2033286564")</f>
        <v/>
      </c>
      <c r="K296" s="1">
        <f>IFERROR(__xludf.DUMMYFUNCTION("""COMPUTED_VALUE"""),"London")</f>
        <v/>
      </c>
      <c r="L296" s="1">
        <f>IFERROR(__xludf.DUMMYFUNCTION("""COMPUTED_VALUE"""),"United Kingdom")</f>
        <v/>
      </c>
      <c r="M296" s="1">
        <f>IFERROR(__xludf.DUMMYFUNCTION("""COMPUTED_VALUE"""),"France, Germany, Greece, Ireland, Spain, Switzerland, United Kingdom")</f>
        <v/>
      </c>
      <c r="N296" s="1">
        <f>IFERROR(__xludf.DUMMYFUNCTION("""COMPUTED_VALUE"""),"11 to 50")</f>
        <v/>
      </c>
      <c r="O296" s="1">
        <f>IFERROR(__xludf.DUMMYFUNCTION("""COMPUTED_VALUE"""),"Business to Government, Business to Schools")</f>
        <v/>
      </c>
      <c r="P296" s="1">
        <f>IFERROR(__xludf.DUMMYFUNCTION("""COMPUTED_VALUE"""),"Primary Education, Secondary Education")</f>
        <v/>
      </c>
      <c r="Q296" s="1">
        <f>IFERROR(__xludf.DUMMYFUNCTION("""COMPUTED_VALUE"""),"System/Administrative, Student interfacing, Teacher interfacing")</f>
        <v/>
      </c>
      <c r="R296" s="1" t="n"/>
      <c r="S296" s="1" t="n"/>
      <c r="T296" s="1" t="n"/>
      <c r="U296" s="1" t="n"/>
      <c r="V296" s="1" t="n"/>
      <c r="W296" s="1" t="n"/>
      <c r="X296" s="1" t="n"/>
      <c r="Y296" s="15">
        <f>IFERROR(__xludf.DUMMYFUNCTION("""COMPUTED_VALUE"""),"https://drive.google.com/uc?export=view&amp;id=1HgiulYJF2Q8dxQSXsFN6vbLdkR9j8Qsg")</f>
        <v/>
      </c>
      <c r="Z296" s="1">
        <f>IFERROR(__xludf.DUMMYFUNCTION("""COMPUTED_VALUE"""),"Unverified")</f>
        <v/>
      </c>
      <c r="AA296" s="1" t="n"/>
      <c r="AB296" s="1" t="n"/>
      <c r="AC296" s="1" t="n"/>
      <c r="AD296" s="1" t="n"/>
      <c r="AE296" s="1" t="n"/>
    </row>
    <row r="297" ht="42" customHeight="1">
      <c r="A297" s="14">
        <f>IFERROR(__xludf.DUMMYFUNCTION("""COMPUTED_VALUE"""),45679)</f>
        <v/>
      </c>
      <c r="B297" s="1">
        <f>IFERROR(__xludf.DUMMYFUNCTION("""COMPUTED_VALUE"""),"ORG_1230")</f>
        <v/>
      </c>
      <c r="C297" s="1">
        <f>IFERROR(__xludf.DUMMYFUNCTION("""COMPUTED_VALUE"""),TRUE)</f>
        <v/>
      </c>
      <c r="D297" s="1">
        <f>IFERROR(__xludf.DUMMYFUNCTION("""COMPUTED_VALUE"""),"Chart Learning Solutions")</f>
        <v/>
      </c>
      <c r="E297" s="15">
        <f>IFERROR(__xludf.DUMMYFUNCTION("""COMPUTED_VALUE"""),"www.chartlearningsolutions.com")</f>
        <v/>
      </c>
      <c r="F297" s="1">
        <f>IFERROR(__xludf.DUMMYFUNCTION("""COMPUTED_VALUE"""),"Chart Learning Solutions is a performance improvement company and a leading global provider of award-winning hybrid and e-learning content in professional skill development and employee accountability. 
Piloting Leadership Development training, using arti"&amp;"ficial intelligence together with Area 9 Lyceum.
Chart Learning Solutions' core differentiation is to combine analysis, self-paced online learning, our Performance Assurance System™ with live coaching and value add services to achieve your objectives. 
"&amp;"Chart is today a 10-times award-winning company providing impact to companies on a global basis providing +300 online courses in Soft Skills.")</f>
        <v/>
      </c>
      <c r="G297" s="1">
        <f>IFERROR(__xludf.DUMMYFUNCTION("""COMPUTED_VALUE"""),"I'm not part of any EdTech association")</f>
        <v/>
      </c>
      <c r="H297" s="1" t="n"/>
      <c r="I297" s="1">
        <f>IFERROR(__xludf.DUMMYFUNCTION("""COMPUTED_VALUE"""),"peter.horwing@chartlearningsolutions.com")</f>
        <v/>
      </c>
      <c r="J297" s="1">
        <f>IFERROR(__xludf.DUMMYFUNCTION("""COMPUTED_VALUE"""),"+46709245666")</f>
        <v/>
      </c>
      <c r="K297" s="1">
        <f>IFERROR(__xludf.DUMMYFUNCTION("""COMPUTED_VALUE"""),"BÅSTAD")</f>
        <v/>
      </c>
      <c r="L297" s="1">
        <f>IFERROR(__xludf.DUMMYFUNCTION("""COMPUTED_VALUE"""),"Sweden")</f>
        <v/>
      </c>
      <c r="M297" s="1">
        <f>IFERROR(__xludf.DUMMYFUNCTION("""COMPUTED_VALUE"""),"France, Portugal, Spain, Sweden, Switzerland, United Kingdom")</f>
        <v/>
      </c>
      <c r="N297" s="1">
        <f>IFERROR(__xludf.DUMMYFUNCTION("""COMPUTED_VALUE"""),"0 to 10")</f>
        <v/>
      </c>
      <c r="O297" s="1">
        <f>IFERROR(__xludf.DUMMYFUNCTION("""COMPUTED_VALUE"""),"Business to Business")</f>
        <v/>
      </c>
      <c r="P297" s="1">
        <f>IFERROR(__xludf.DUMMYFUNCTION("""COMPUTED_VALUE"""),"Corporate Training")</f>
        <v/>
      </c>
      <c r="Q297" s="1">
        <f>IFERROR(__xludf.DUMMYFUNCTION("""COMPUTED_VALUE"""),"Teacher interfacing, System/Administrative")</f>
        <v/>
      </c>
      <c r="R297" s="1" t="n"/>
      <c r="S297" s="1" t="n"/>
      <c r="T297" s="15">
        <f>IFERROR(__xludf.DUMMYFUNCTION("""COMPUTED_VALUE"""),"https://www.linkedin.com/company/chart-learning-solutions-international/")</f>
        <v/>
      </c>
      <c r="U297" s="1">
        <f>IFERROR(__xludf.DUMMYFUNCTION("""COMPUTED_VALUE"""),"Chart Leadership Development")</f>
        <v/>
      </c>
      <c r="V297" s="1">
        <f>IFERROR(__xludf.DUMMYFUNCTION("""COMPUTED_VALUE"""),"Chart Learning Solutions offers training options to assist organizations in the development of leaders, teams, customer service providers, and sales executives. Our award-winning, proprietary learning process increases performance, accountability, and del"&amp;"ivers lasting cultural change.
 We are experts at helping organizations: 
•	Begin conversations that stimulate creativity and innovation
•	Create effective processes that drive positive outcomes and results
•	Improve employee accountability 
•	Build a com"&amp;"mon language that enhances communication between sales, service, and leading managers")</f>
        <v/>
      </c>
      <c r="W297" s="1">
        <f>IFERROR(__xludf.DUMMYFUNCTION("""COMPUTED_VALUE"""),"Training Accountability Platform")</f>
        <v/>
      </c>
      <c r="X297" s="1">
        <f>IFERROR(__xludf.DUMMYFUNCTION("""COMPUTED_VALUE"""),"Chart’s Training Accountability Platform (TAP) is recognized by its ease of use and its graphical user interface. You don’t have to leave your dashboard, just get started!
Start your e-learning and blended learning project in minutes to immediately delive"&amp;"r training to users across the world. If you are a traditional class-room provider and wants to become digital, this is the solution!
Chart’s TAP is unique since it comes pre-load with nearly 300 award-winning blended-learning courses.")</f>
        <v/>
      </c>
      <c r="Y297" s="15">
        <f>IFERROR(__xludf.DUMMYFUNCTION("""COMPUTED_VALUE"""),"https://drive.google.com/uc?export=view&amp;id=1R2pjUni_iEWRJ0PzrcVEI775e2HHlLmy")</f>
        <v/>
      </c>
      <c r="Z297" s="1">
        <f>IFERROR(__xludf.DUMMYFUNCTION("""COMPUTED_VALUE"""),"Unverified")</f>
        <v/>
      </c>
      <c r="AA297" s="1" t="n"/>
      <c r="AB297" s="1" t="n"/>
      <c r="AC297" s="1" t="n"/>
      <c r="AD297" s="1" t="n"/>
      <c r="AE297" s="1" t="n"/>
    </row>
    <row r="298" ht="42" customHeight="1">
      <c r="A298" s="14">
        <f>IFERROR(__xludf.DUMMYFUNCTION("""COMPUTED_VALUE"""),45679)</f>
        <v/>
      </c>
      <c r="B298" s="1">
        <f>IFERROR(__xludf.DUMMYFUNCTION("""COMPUTED_VALUE"""),"ORG_1750")</f>
        <v/>
      </c>
      <c r="C298" s="1">
        <f>IFERROR(__xludf.DUMMYFUNCTION("""COMPUTED_VALUE"""),TRUE)</f>
        <v/>
      </c>
      <c r="D298" s="1">
        <f>IFERROR(__xludf.DUMMYFUNCTION("""COMPUTED_VALUE"""),"itslearning")</f>
        <v/>
      </c>
      <c r="E298" s="15">
        <f>IFERROR(__xludf.DUMMYFUNCTION("""COMPUTED_VALUE"""),"https://itslearning.com/global/")</f>
        <v/>
      </c>
      <c r="F298" s="1">
        <f>IFERROR(__xludf.DUMMYFUNCTION("""COMPUTED_VALUE"""),"About itslearning 
itslearning is the leading European provider of learning platforms for schools and universities. We are Nordic in spirit and by design. Our focus is to deliver an intuitive learning platform, empowering educators and students.
Built s"&amp;"pecifically for teaching, itslearning is used by millions of people around the world. The company is headquartered in Bergen, Norway, with offices in 7 countries. Since 2019, itslearning has been part of the Sanoma Group. See more information at itslearni"&amp;"ng.com 
About Sanoma 
Sanoma is an innovative and agile learning and media company impacting the lives of millions every day. Our learning products and services enable teachers to develop the talents of every child to reach their full potential. We offer"&amp;" printed and digital course materials as well as digital learning and teaching platforms. More information is available at www.sanoma.com.")</f>
        <v/>
      </c>
      <c r="G298" s="1">
        <f>IFERROR(__xludf.DUMMYFUNCTION("""COMPUTED_VALUE"""),"EdTech Denmark, Swedish EdTech Industry")</f>
        <v/>
      </c>
      <c r="H298" s="1" t="n"/>
      <c r="I298" s="1">
        <f>IFERROR(__xludf.DUMMYFUNCTION("""COMPUTED_VALUE"""),"Johnny.Anderson@itslearning.com")</f>
        <v/>
      </c>
      <c r="J298" s="1">
        <f>IFERROR(__xludf.DUMMYFUNCTION("""COMPUTED_VALUE"""),"+47 55 23 60 70")</f>
        <v/>
      </c>
      <c r="K298" s="1">
        <f>IFERROR(__xludf.DUMMYFUNCTION("""COMPUTED_VALUE"""),"Edvard Griegs vei 1")</f>
        <v/>
      </c>
      <c r="L298" s="1">
        <f>IFERROR(__xludf.DUMMYFUNCTION("""COMPUTED_VALUE"""),"Norway")</f>
        <v/>
      </c>
      <c r="M298" s="1">
        <f>IFERROR(__xludf.DUMMYFUNCTION("""COMPUTED_VALUE"""),"Belgium, Denmark, Finland, France, Germany, Ireland, Malta, Netherlands, Norway, Poland, Spain, Sweden, United Kingdom")</f>
        <v/>
      </c>
      <c r="N298" s="1">
        <f>IFERROR(__xludf.DUMMYFUNCTION("""COMPUTED_VALUE"""),"101 to 500")</f>
        <v/>
      </c>
      <c r="O298" s="1">
        <f>IFERROR(__xludf.DUMMYFUNCTION("""COMPUTED_VALUE"""),"Business to Business, Business to Government, Business to Schools")</f>
        <v/>
      </c>
      <c r="P298" s="1">
        <f>IFERROR(__xludf.DUMMYFUNCTION("""COMPUTED_VALUE"""),"Primary Education, Secondary Education, Lifelong learning/Adult education, Vocational Education and Training (VET), Higher Education")</f>
        <v/>
      </c>
      <c r="Q298" s="1">
        <f>IFERROR(__xludf.DUMMYFUNCTION("""COMPUTED_VALUE"""),"Student interfacing, Teacher interfacing, System/Administrative")</f>
        <v/>
      </c>
      <c r="R298" s="1" t="n"/>
      <c r="S298" s="15">
        <f>IFERROR(__xludf.DUMMYFUNCTION("""COMPUTED_VALUE"""),"https://twitter.com/itslearning")</f>
        <v/>
      </c>
      <c r="T298" s="15">
        <f>IFERROR(__xludf.DUMMYFUNCTION("""COMPUTED_VALUE"""),"https://www.linkedin.com/company/itslearning-as")</f>
        <v/>
      </c>
      <c r="U298" s="1">
        <f>IFERROR(__xludf.DUMMYFUNCTION("""COMPUTED_VALUE"""),"itslearning")</f>
        <v/>
      </c>
      <c r="V298" s="1">
        <f>IFERROR(__xludf.DUMMYFUNCTION("""COMPUTED_VALUE"""),"itslearning is a cloud-based learning platform designed for teachers and how they want to teach. 
Our platform helps you plan for successful learning. It's easy to create lessons and resources that engage your students. It streamlines common teaching tas"&amp;"ks, allowing more time to teach. It provides actionable insights about student progress to help better personalize instruction.
The result: delighted teachers, happy students, and improved learning.
Learn more at itslearning.com/global")</f>
        <v/>
      </c>
      <c r="W298" s="1" t="n"/>
      <c r="X298" s="1" t="n"/>
      <c r="Y298" s="15">
        <f>IFERROR(__xludf.DUMMYFUNCTION("""COMPUTED_VALUE"""),"https://drive.google.com/uc?export=view&amp;id=1L2ZJs-VbMlvtebHw5l_1nsjxIJ6vY8X8")</f>
        <v/>
      </c>
      <c r="Z298" s="1">
        <f>IFERROR(__xludf.DUMMYFUNCTION("""COMPUTED_VALUE"""),"Unverified")</f>
        <v/>
      </c>
      <c r="AA298" s="1" t="n"/>
      <c r="AB298" s="1" t="n"/>
      <c r="AC298" s="1" t="n"/>
      <c r="AD298" s="1" t="n"/>
      <c r="AE298" s="1" t="n"/>
    </row>
    <row r="299" ht="42" customHeight="1">
      <c r="A299" s="14">
        <f>IFERROR(__xludf.DUMMYFUNCTION("""COMPUTED_VALUE"""),45679)</f>
        <v/>
      </c>
      <c r="B299" s="1">
        <f>IFERROR(__xludf.DUMMYFUNCTION("""COMPUTED_VALUE"""),"ORG_1091")</f>
        <v/>
      </c>
      <c r="C299" s="1">
        <f>IFERROR(__xludf.DUMMYFUNCTION("""COMPUTED_VALUE"""),TRUE)</f>
        <v/>
      </c>
      <c r="D299" s="1">
        <f>IFERROR(__xludf.DUMMYFUNCTION("""COMPUTED_VALUE"""),"Archipel Academy")</f>
        <v/>
      </c>
      <c r="E299" s="15">
        <f>IFERROR(__xludf.DUMMYFUNCTION("""COMPUTED_VALUE"""),"www.archipel.academy")</f>
        <v/>
      </c>
      <c r="F299" s="1">
        <f>IFERROR(__xludf.DUMMYFUNCTION("""COMPUTED_VALUE"""),"●	Archipel Academy is a leading Dutch educational technology and services company
●	The company was launched in 2019 to support organizations with streamlining learning processes, organization and purchasing
Archipel orchestrates learning of large organiz"&amp;"ations and is trusted by blue-chips such as Unilever, KPMG, Bosch, Philips and TransDev
●	Archipel covers the entire learning curriculum and needs: online &amp; offline, company internal courses &amp; training as well as 
third party courses &amp; training
●	Our comp"&amp;"any offers a unique end-to-end platform by combining a SaaS learning platform, content marketplace and a learning services model")</f>
        <v/>
      </c>
      <c r="G299" s="1">
        <f>IFERROR(__xludf.DUMMYFUNCTION("""COMPUTED_VALUE"""),"Dutch EdTech")</f>
        <v/>
      </c>
      <c r="H299" s="1">
        <f>IFERROR(__xludf.DUMMYFUNCTION("""COMPUTED_VALUE"""),"English, French, German, Swedish, Finnish, Dutch")</f>
        <v/>
      </c>
      <c r="I299" s="1">
        <f>IFERROR(__xludf.DUMMYFUNCTION("""COMPUTED_VALUE"""),"info@archipel.academy")</f>
        <v/>
      </c>
      <c r="J299" s="1">
        <f>IFERROR(__xludf.DUMMYFUNCTION("""COMPUTED_VALUE"""),"+31(0)418 688 674")</f>
        <v/>
      </c>
      <c r="K299" s="1">
        <f>IFERROR(__xludf.DUMMYFUNCTION("""COMPUTED_VALUE"""),"ZALTBOMMEL")</f>
        <v/>
      </c>
      <c r="L299" s="1">
        <f>IFERROR(__xludf.DUMMYFUNCTION("""COMPUTED_VALUE"""),"The Netherlands")</f>
        <v/>
      </c>
      <c r="M299" s="1">
        <f>IFERROR(__xludf.DUMMYFUNCTION("""COMPUTED_VALUE"""),"Belgium, Denmark, France, Germany, Netherlands, Norway, Spain, Sweden, United Kingdom")</f>
        <v/>
      </c>
      <c r="N299" s="1">
        <f>IFERROR(__xludf.DUMMYFUNCTION("""COMPUTED_VALUE"""),"101 to 500")</f>
        <v/>
      </c>
      <c r="O299" s="1">
        <f>IFERROR(__xludf.DUMMYFUNCTION("""COMPUTED_VALUE"""),"Business to Business")</f>
        <v/>
      </c>
      <c r="P299" s="1">
        <f>IFERROR(__xludf.DUMMYFUNCTION("""COMPUTED_VALUE"""),"Corporate Training, Lifelong learning/Adult education, Higher Education")</f>
        <v/>
      </c>
      <c r="Q299" s="1">
        <f>IFERROR(__xludf.DUMMYFUNCTION("""COMPUTED_VALUE"""),"Student interfacing, System/Administrative")</f>
        <v/>
      </c>
      <c r="R299" s="1" t="n"/>
      <c r="S299" s="1" t="n"/>
      <c r="T299" s="15">
        <f>IFERROR(__xludf.DUMMYFUNCTION("""COMPUTED_VALUE"""),"https://www.linkedin.com/company/archipel-academy/")</f>
        <v/>
      </c>
      <c r="U299" s="1">
        <f>IFERROR(__xludf.DUMMYFUNCTION("""COMPUTED_VALUE"""),"Learning platform")</f>
        <v/>
      </c>
      <c r="V299" s="1">
        <f>IFERROR(__xludf.DUMMYFUNCTION("""COMPUTED_VALUE"""),"Our all-in-one AI powered learning platform is the central place for organization where there is a clear overview of everything related to learning ranging from certifications, learning curricula, learning content, test and scans and create and publish e-"&amp;"learning modules.")</f>
        <v/>
      </c>
      <c r="W299" s="1">
        <f>IFERROR(__xludf.DUMMYFUNCTION("""COMPUTED_VALUE"""),"Learning services")</f>
        <v/>
      </c>
      <c r="X299" s="1">
        <f>IFERROR(__xludf.DUMMYFUNCTION("""COMPUTED_VALUE"""),"Archipel academy's learning services take operational, financial and administrative processes off your hands. From planning to evaluation we handle it all.")</f>
        <v/>
      </c>
      <c r="Y299" s="15">
        <f>IFERROR(__xludf.DUMMYFUNCTION("""COMPUTED_VALUE"""),"https://drive.google.com/uc?export=view&amp;id=1jTPXcAwTZj6mGTcn-3xdeT67Ydw8hoWY")</f>
        <v/>
      </c>
      <c r="Z299" s="1">
        <f>IFERROR(__xludf.DUMMYFUNCTION("""COMPUTED_VALUE"""),"Unverified")</f>
        <v/>
      </c>
      <c r="AA299" s="1" t="n"/>
      <c r="AB299" s="1" t="n"/>
      <c r="AC299" s="1" t="n"/>
      <c r="AD299" s="1" t="n"/>
      <c r="AE299" s="1" t="n"/>
    </row>
    <row r="300" ht="42" customHeight="1">
      <c r="A300" s="14">
        <f>IFERROR(__xludf.DUMMYFUNCTION("""COMPUTED_VALUE"""),45679)</f>
        <v/>
      </c>
      <c r="B300" s="1">
        <f>IFERROR(__xludf.DUMMYFUNCTION("""COMPUTED_VALUE"""),"ORG_1188")</f>
        <v/>
      </c>
      <c r="C300" s="1">
        <f>IFERROR(__xludf.DUMMYFUNCTION("""COMPUTED_VALUE"""),TRUE)</f>
        <v/>
      </c>
      <c r="D300" s="1">
        <f>IFERROR(__xludf.DUMMYFUNCTION("""COMPUTED_VALUE"""),"Bool Technologies")</f>
        <v/>
      </c>
      <c r="E300" s="15">
        <f>IFERROR(__xludf.DUMMYFUNCTION("""COMPUTED_VALUE"""),"www.bool.ie")</f>
        <v/>
      </c>
      <c r="F300" s="1">
        <f>IFERROR(__xludf.DUMMYFUNCTION("""COMPUTED_VALUE"""),"Edtech school management systems incl. student time and attendance, library management, school meals &amp; cashless catering, parent communications and more")</f>
        <v/>
      </c>
      <c r="G300" s="1">
        <f>IFERROR(__xludf.DUMMYFUNCTION("""COMPUTED_VALUE"""),"I'm not part of any EdTech association")</f>
        <v/>
      </c>
      <c r="H300" s="1" t="n"/>
      <c r="I300" s="1">
        <f>IFERROR(__xludf.DUMMYFUNCTION("""COMPUTED_VALUE"""),"info@bool.ie")</f>
        <v/>
      </c>
      <c r="J300" s="1">
        <f>IFERROR(__xludf.DUMMYFUNCTION("""COMPUTED_VALUE"""),"+353664011321")</f>
        <v/>
      </c>
      <c r="K300" s="1">
        <f>IFERROR(__xludf.DUMMYFUNCTION("""COMPUTED_VALUE"""),"Killarney Rd., Killorglin, Co. Kerry")</f>
        <v/>
      </c>
      <c r="L300" s="1">
        <f>IFERROR(__xludf.DUMMYFUNCTION("""COMPUTED_VALUE"""),"Ireland")</f>
        <v/>
      </c>
      <c r="M300" s="1">
        <f>IFERROR(__xludf.DUMMYFUNCTION("""COMPUTED_VALUE"""),"Ireland")</f>
        <v/>
      </c>
      <c r="N300" s="1">
        <f>IFERROR(__xludf.DUMMYFUNCTION("""COMPUTED_VALUE"""),"0 to 10")</f>
        <v/>
      </c>
      <c r="O300" s="1">
        <f>IFERROR(__xludf.DUMMYFUNCTION("""COMPUTED_VALUE"""),"Business to Business")</f>
        <v/>
      </c>
      <c r="P300" s="1">
        <f>IFERROR(__xludf.DUMMYFUNCTION("""COMPUTED_VALUE"""),"Secondary Education, Higher Education")</f>
        <v/>
      </c>
      <c r="Q300" s="1">
        <f>IFERROR(__xludf.DUMMYFUNCTION("""COMPUTED_VALUE"""),"Student interfacing, Teacher interfacing, System/Administrative")</f>
        <v/>
      </c>
      <c r="R300" s="1" t="n"/>
      <c r="S300" s="1" t="n"/>
      <c r="T300" s="1" t="n"/>
      <c r="U300" s="1" t="n"/>
      <c r="V300" s="1" t="n"/>
      <c r="W300" s="1" t="n"/>
      <c r="X300" s="1" t="n"/>
      <c r="Y300" s="15">
        <f>IFERROR(__xludf.DUMMYFUNCTION("""COMPUTED_VALUE"""),"https://drive.google.com/uc?export=view&amp;id=1DZNSVGV5GfJ1_P88ASD3e77QGXgkQFJm")</f>
        <v/>
      </c>
      <c r="Z300" s="1">
        <f>IFERROR(__xludf.DUMMYFUNCTION("""COMPUTED_VALUE"""),"Unverified")</f>
        <v/>
      </c>
      <c r="AA300" s="1" t="n"/>
      <c r="AB300" s="1" t="n"/>
      <c r="AC300" s="1" t="n"/>
      <c r="AD300" s="1" t="n"/>
      <c r="AE300" s="1" t="n"/>
    </row>
    <row r="301" ht="42" customHeight="1">
      <c r="A301" s="14">
        <f>IFERROR(__xludf.DUMMYFUNCTION("""COMPUTED_VALUE"""),45679)</f>
        <v/>
      </c>
      <c r="B301" s="1">
        <f>IFERROR(__xludf.DUMMYFUNCTION("""COMPUTED_VALUE"""),"ORG_1579")</f>
        <v/>
      </c>
      <c r="C301" s="1">
        <f>IFERROR(__xludf.DUMMYFUNCTION("""COMPUTED_VALUE"""),TRUE)</f>
        <v/>
      </c>
      <c r="D301" s="1">
        <f>IFERROR(__xludf.DUMMYFUNCTION("""COMPUTED_VALUE"""),"Fox Education")</f>
        <v/>
      </c>
      <c r="E301" s="15">
        <f>IFERROR(__xludf.DUMMYFUNCTION("""COMPUTED_VALUE"""),"https://foxeducation.com/")</f>
        <v/>
      </c>
      <c r="F301" s="1">
        <f>IFERROR(__xludf.DUMMYFUNCTION("""COMPUTED_VALUE"""),"FoxEducation helps every educational institution taking the next step into the digital world. As a reliable partner to thousands of schools, daycare centers, boards and municipalities, we support your digitisation at every stage.")</f>
        <v/>
      </c>
      <c r="G301" s="1">
        <f>IFERROR(__xludf.DUMMYFUNCTION("""COMPUTED_VALUE"""),"I'm not part of any EdTech association")</f>
        <v/>
      </c>
      <c r="H301" s="1" t="n"/>
      <c r="I301" s="1">
        <f>IFERROR(__xludf.DUMMYFUNCTION("""COMPUTED_VALUE"""),"sales@foxeducation.com")</f>
        <v/>
      </c>
      <c r="J301" s="1">
        <f>IFERROR(__xludf.DUMMYFUNCTION("""COMPUTED_VALUE"""),"+43 (1)3103065")</f>
        <v/>
      </c>
      <c r="K301" s="1">
        <f>IFERROR(__xludf.DUMMYFUNCTION("""COMPUTED_VALUE"""),"Wien")</f>
        <v/>
      </c>
      <c r="L301" s="1">
        <f>IFERROR(__xludf.DUMMYFUNCTION("""COMPUTED_VALUE"""),"Austria")</f>
        <v/>
      </c>
      <c r="M301" s="1">
        <f>IFERROR(__xludf.DUMMYFUNCTION("""COMPUTED_VALUE"""),"Austria, Belgium, France, Germany, Italy, Spain, Switzerland, Turkey")</f>
        <v/>
      </c>
      <c r="N301" s="1">
        <f>IFERROR(__xludf.DUMMYFUNCTION("""COMPUTED_VALUE"""),"51 to 100")</f>
        <v/>
      </c>
      <c r="O301" s="1">
        <f>IFERROR(__xludf.DUMMYFUNCTION("""COMPUTED_VALUE"""),"Business to Business")</f>
        <v/>
      </c>
      <c r="P301" s="1">
        <f>IFERROR(__xludf.DUMMYFUNCTION("""COMPUTED_VALUE"""),"Early childhood development (0-5 years), Primary Education, Secondary Education")</f>
        <v/>
      </c>
      <c r="Q301" s="1">
        <f>IFERROR(__xludf.DUMMYFUNCTION("""COMPUTED_VALUE"""),"System/Administrative, Student interfacing, Teacher interfacing")</f>
        <v/>
      </c>
      <c r="R301" s="15">
        <f>IFERROR(__xludf.DUMMYFUNCTION("""COMPUTED_VALUE"""),"https://www.instagram.com/foxeducation_dach/")</f>
        <v/>
      </c>
      <c r="S301" s="1" t="n"/>
      <c r="T301" s="15">
        <f>IFERROR(__xludf.DUMMYFUNCTION("""COMPUTED_VALUE"""),"https://at.linkedin.com/company/schoolfox")</f>
        <v/>
      </c>
      <c r="U301" s="1">
        <f>IFERROR(__xludf.DUMMYFUNCTION("""COMPUTED_VALUE"""),"SchoolFox")</f>
        <v/>
      </c>
      <c r="V301" s="1">
        <f>IFERROR(__xludf.DUMMYFUNCTION("""COMPUTED_VALUE"""),"SchoolFox is an integrated messenger, organiser and LMS.
With file storage, group chats and video lessons. For all school types and age groups. This is how school works from anywhere!")</f>
        <v/>
      </c>
      <c r="W301" s="1">
        <f>IFERROR(__xludf.DUMMYFUNCTION("""COMPUTED_VALUE"""),"KidsFox")</f>
        <v/>
      </c>
      <c r="X301" s="1">
        <f>IFERROR(__xludf.DUMMYFUNCTION("""COMPUTED_VALUE"""),"The Daycare-Messenger
3 in 1: Messenger, digital assistant and organisation. With cloud storage, video conference &amp; group chats. Especially for daycare centers and kindergartens.")</f>
        <v/>
      </c>
      <c r="Y301" s="15">
        <f>IFERROR(__xludf.DUMMYFUNCTION("""COMPUTED_VALUE"""),"https://drive.google.com/uc?export=view&amp;id=1ykvgwsRTkJKB1TRdhRNy9v1TVafzC9ad")</f>
        <v/>
      </c>
      <c r="Z301" s="1">
        <f>IFERROR(__xludf.DUMMYFUNCTION("""COMPUTED_VALUE"""),"Unverified")</f>
        <v/>
      </c>
      <c r="AA301" s="1" t="n"/>
      <c r="AB301" s="1" t="n"/>
      <c r="AC301" s="1" t="n"/>
      <c r="AD301" s="1" t="n"/>
      <c r="AE301" s="1" t="n"/>
    </row>
    <row r="302" ht="42" customHeight="1">
      <c r="A302" s="14">
        <f>IFERROR(__xludf.DUMMYFUNCTION("""COMPUTED_VALUE"""),45679)</f>
        <v/>
      </c>
      <c r="B302" s="1">
        <f>IFERROR(__xludf.DUMMYFUNCTION("""COMPUTED_VALUE"""),"ORG_1250")</f>
        <v/>
      </c>
      <c r="C302" s="1">
        <f>IFERROR(__xludf.DUMMYFUNCTION("""COMPUTED_VALUE"""),TRUE)</f>
        <v/>
      </c>
      <c r="D302" s="1">
        <f>IFERROR(__xludf.DUMMYFUNCTION("""COMPUTED_VALUE"""),"Classlist")</f>
        <v/>
      </c>
      <c r="E302" s="15">
        <f>IFERROR(__xludf.DUMMYFUNCTION("""COMPUTED_VALUE"""),"https://www.classlist.com")</f>
        <v/>
      </c>
      <c r="F302" s="1">
        <f>IFERROR(__xludf.DUMMYFUNCTION("""COMPUTED_VALUE"""),"Classlist is the UK’s largest social networking app designed especially for schools. We operate in over 1,000 schools and 25 countries. Basically we help schools build amazing communities. Helping parents to connect with each other and share sensitive inf"&amp;"ormation about their kids and where they live. Helping parents and staff to collaborate - whether it’s helping to run the school garden or lift sharing to school matches. Lastly to help celebrate important milestones: starting school, sports day, concerts"&amp;" and leavers balls. In terms of functionality all the tools for positive community building are in one place. We’re like Linkedin, Ebay and Eventbrite for your school community.")</f>
        <v/>
      </c>
      <c r="G302" s="1">
        <f>IFERROR(__xludf.DUMMYFUNCTION("""COMPUTED_VALUE"""),"I'm not part of any EdTech association")</f>
        <v/>
      </c>
      <c r="H302" s="1" t="n"/>
      <c r="I302" s="1">
        <f>IFERROR(__xludf.DUMMYFUNCTION("""COMPUTED_VALUE"""),"info@classlist.com")</f>
        <v/>
      </c>
      <c r="J302" s="1" t="n"/>
      <c r="K302" s="1">
        <f>IFERROR(__xludf.DUMMYFUNCTION("""COMPUTED_VALUE"""),"Oxford")</f>
        <v/>
      </c>
      <c r="L302" s="1">
        <f>IFERROR(__xludf.DUMMYFUNCTION("""COMPUTED_VALUE"""),"United Kingdom")</f>
        <v/>
      </c>
      <c r="M302" s="1">
        <f>IFERROR(__xludf.DUMMYFUNCTION("""COMPUTED_VALUE"""),"Denmark, France, Germany, Hungary, Poland, Slovenia, Sweden, Switzerland, Turkey, United Kingdom")</f>
        <v/>
      </c>
      <c r="N302" s="1">
        <f>IFERROR(__xludf.DUMMYFUNCTION("""COMPUTED_VALUE"""),"11 to 50")</f>
        <v/>
      </c>
      <c r="O302" s="1">
        <f>IFERROR(__xludf.DUMMYFUNCTION("""COMPUTED_VALUE"""),"Business to Business")</f>
        <v/>
      </c>
      <c r="P302" s="1">
        <f>IFERROR(__xludf.DUMMYFUNCTION("""COMPUTED_VALUE"""),"Primary Education, Secondary Education")</f>
        <v/>
      </c>
      <c r="Q302" s="1">
        <f>IFERROR(__xludf.DUMMYFUNCTION("""COMPUTED_VALUE"""),"System/Administrative")</f>
        <v/>
      </c>
      <c r="R302" s="15">
        <f>IFERROR(__xludf.DUMMYFUNCTION("""COMPUTED_VALUE"""),"https://www.instagram.com/classlist/")</f>
        <v/>
      </c>
      <c r="S302" s="15">
        <f>IFERROR(__xludf.DUMMYFUNCTION("""COMPUTED_VALUE"""),"https://twitter.com/goClasslist")</f>
        <v/>
      </c>
      <c r="T302" s="15">
        <f>IFERROR(__xludf.DUMMYFUNCTION("""COMPUTED_VALUE"""),"https://www.linkedin.com/company/5244730/admin/")</f>
        <v/>
      </c>
      <c r="U302" s="1">
        <f>IFERROR(__xludf.DUMMYFUNCTION("""COMPUTED_VALUE"""),"Classlist Parent Finder")</f>
        <v/>
      </c>
      <c r="V302" s="1">
        <f>IFERROR(__xludf.DUMMYFUNCTION("""COMPUTED_VALUE"""),"The Parent Finder is a popular feature on the Classlist App. It's a directory of parents at your school. Identifiable by their children's class and year group. Parents share sensitive information with each other. Such as their phone number, email and home"&amp;" address to facilitate school run sharing, birthday party invitations and playdates. Parents can private message each other or call them directly.")</f>
        <v/>
      </c>
      <c r="W302" s="1">
        <f>IFERROR(__xludf.DUMMYFUNCTION("""COMPUTED_VALUE"""),"Classlist Events")</f>
        <v/>
      </c>
      <c r="X302" s="1">
        <f>IFERROR(__xludf.DUMMYFUNCTION("""COMPUTED_VALUE"""),"In real life meetups are core to nurturing a thriving school community. Classlist's event feature can cater to the more informal coffee mornings right up to the multi-stall summer festival or fayre. Parents use Classlist events to manage birthday parties "&amp;"and parent nights out. Parent Associations and Schools use Classlist events to arrange large scale fundraising balls and fairs. Utilising additional pro-features such as multiple ticket types and different currencies. Plus a volunteer sign up and scheduli"&amp;"ng tool.")</f>
        <v/>
      </c>
      <c r="Y302" s="15">
        <f>IFERROR(__xludf.DUMMYFUNCTION("""COMPUTED_VALUE"""),"https://drive.google.com/uc?export=view&amp;id=1WbnoXs7lAtAC_HjhkRCZWuSNczy35m9P")</f>
        <v/>
      </c>
      <c r="Z302" s="1">
        <f>IFERROR(__xludf.DUMMYFUNCTION("""COMPUTED_VALUE"""),"Unverified")</f>
        <v/>
      </c>
      <c r="AA302" s="1" t="n"/>
      <c r="AB302" s="1" t="n"/>
      <c r="AC302" s="1" t="n"/>
      <c r="AD302" s="1" t="n"/>
      <c r="AE302" s="1" t="n"/>
    </row>
    <row r="303" ht="42" customHeight="1">
      <c r="A303" s="14">
        <f>IFERROR(__xludf.DUMMYFUNCTION("""COMPUTED_VALUE"""),45679)</f>
        <v/>
      </c>
      <c r="B303" s="1">
        <f>IFERROR(__xludf.DUMMYFUNCTION("""COMPUTED_VALUE"""),"ORG_1531")</f>
        <v/>
      </c>
      <c r="C303" s="1">
        <f>IFERROR(__xludf.DUMMYFUNCTION("""COMPUTED_VALUE"""),TRUE)</f>
        <v/>
      </c>
      <c r="D303" s="1">
        <f>IFERROR(__xludf.DUMMYFUNCTION("""COMPUTED_VALUE"""),"Evolytes")</f>
        <v/>
      </c>
      <c r="E303" s="15">
        <f>IFERROR(__xludf.DUMMYFUNCTION("""COMPUTED_VALUE"""),"https://www.evolytes.com/")</f>
        <v/>
      </c>
      <c r="F303" s="1">
        <f>IFERROR(__xludf.DUMMYFUNCTION("""COMPUTED_VALUE"""),"Evolytes teaches math faster and more effectively in a fun and engaging way. Evolytes is based on leading research and theories in psychology to speed up student skill acquisition. Students who use Evolytes learn math 4x faster on average. Evolytes combin"&amp;"es three products in one: the Evolytes game, companion books and monitoring platform for parents and teachers. Evolytes uses data driven assessment to provide individualized content based on the students skill level.")</f>
        <v/>
      </c>
      <c r="G303" s="1">
        <f>IFERROR(__xludf.DUMMYFUNCTION("""COMPUTED_VALUE"""),"I'm not part of any EdTech association")</f>
        <v/>
      </c>
      <c r="H303" s="1" t="n"/>
      <c r="I303" s="1">
        <f>IFERROR(__xludf.DUMMYFUNCTION("""COMPUTED_VALUE"""),"evolytes@evolytes.com")</f>
        <v/>
      </c>
      <c r="J303" s="1" t="n"/>
      <c r="K303" s="1">
        <f>IFERROR(__xludf.DUMMYFUNCTION("""COMPUTED_VALUE"""),"REYKJAVIK")</f>
        <v/>
      </c>
      <c r="L303" s="1">
        <f>IFERROR(__xludf.DUMMYFUNCTION("""COMPUTED_VALUE"""),"Iceland")</f>
        <v/>
      </c>
      <c r="M303" s="1">
        <f>IFERROR(__xludf.DUMMYFUNCTION("""COMPUTED_VALUE"""),"France, Germany, Iceland, Lithuania, Norway, Sweden, United Kingdom")</f>
        <v/>
      </c>
      <c r="N303" s="1">
        <f>IFERROR(__xludf.DUMMYFUNCTION("""COMPUTED_VALUE"""),"0 to 10")</f>
        <v/>
      </c>
      <c r="O303" s="1">
        <f>IFERROR(__xludf.DUMMYFUNCTION("""COMPUTED_VALUE"""),"Business to Business, Business to Consumer")</f>
        <v/>
      </c>
      <c r="P303" s="1">
        <f>IFERROR(__xludf.DUMMYFUNCTION("""COMPUTED_VALUE"""),"Primary Education")</f>
        <v/>
      </c>
      <c r="Q303" s="1">
        <f>IFERROR(__xludf.DUMMYFUNCTION("""COMPUTED_VALUE"""),"System/Administrative, Student interfacing, Teacher interfacing")</f>
        <v/>
      </c>
      <c r="R303" s="1" t="n"/>
      <c r="S303" s="1" t="n"/>
      <c r="T303" s="1" t="n"/>
      <c r="U303" s="1" t="n"/>
      <c r="V303" s="1" t="n"/>
      <c r="W303" s="1" t="n"/>
      <c r="X303" s="1" t="n"/>
      <c r="Y303" s="15">
        <f>IFERROR(__xludf.DUMMYFUNCTION("""COMPUTED_VALUE"""),"https://drive.google.com/uc?export=view&amp;id=1fEWMTM4pxdghdnZhmTwZgC7oom6dneqH")</f>
        <v/>
      </c>
      <c r="Z303" s="1">
        <f>IFERROR(__xludf.DUMMYFUNCTION("""COMPUTED_VALUE"""),"Unverified")</f>
        <v/>
      </c>
      <c r="AA303" s="1" t="n"/>
      <c r="AB303" s="1" t="n"/>
      <c r="AC303" s="1" t="n"/>
      <c r="AD303" s="1" t="n"/>
      <c r="AE303" s="1" t="n"/>
    </row>
    <row r="304" ht="42" customHeight="1">
      <c r="A304" s="14">
        <f>IFERROR(__xludf.DUMMYFUNCTION("""COMPUTED_VALUE"""),45679)</f>
        <v/>
      </c>
      <c r="B304" s="1">
        <f>IFERROR(__xludf.DUMMYFUNCTION("""COMPUTED_VALUE"""),"ORG_1341")</f>
        <v/>
      </c>
      <c r="C304" s="1">
        <f>IFERROR(__xludf.DUMMYFUNCTION("""COMPUTED_VALUE"""),TRUE)</f>
        <v/>
      </c>
      <c r="D304" s="1">
        <f>IFERROR(__xludf.DUMMYFUNCTION("""COMPUTED_VALUE"""),"Developing Experts")</f>
        <v/>
      </c>
      <c r="E304" s="15">
        <f>IFERROR(__xludf.DUMMYFUNCTION("""COMPUTED_VALUE"""),"https://developingexperts.com/")</f>
        <v/>
      </c>
      <c r="F304" s="1">
        <f>IFERROR(__xludf.DUMMYFUNCTION("""COMPUTED_VALUE"""),"Developing Experts offers a stimulating, interactive STEM applied learning- career ‘ed tech’ platform that links the science curriculum with the STEM workplace. The platform integrates specialists from a network of more than 200 industry and University pr"&amp;"ofessionals, designed to address the long-term STEM skills challenges. We achieve this by: -
- Engaging young children from the age of 4 years to broaden their aspirations and horizons in the STEM sector-cultivating a sustaining sense of self-belief in th"&amp;"eir capabilities and potential. The platform’s insights, experiences, learning, and exposure helps to ignite children’s curiosity and perceptions about the world of STEM to exert continued investment in studies and career options.
- Integrating local empl"&amp;"oyer opportunities into the career platform.
- Increasing confidence amongst the teaching community through a library of self-build curriculum tools
- Fully integrated into a database which features over 1000 career profiles and 100,000 jobs.
- Meeting wi"&amp;"der societal objectives including the preparation of a confident, diverse, inclusive and strong resilient workforce for addressing equality of opportunity and critical labour market shortfalls against
- Employer demands.
- Responding to local and central "&amp;"government campaigns.
We inspire and support young people and their families/job seekers to consider STEM education, skills, and career pathways that they would not have been considered before. On the journey, our solutions fulfil and address shortfalls i"&amp;"n educational attainment and skill deficits. It also builds teachers’ confidence in teaching the evolving STEM subjects. By exposing the range of opportunities, and offering tailored learning-career pathways, the model effectively breaks down barriers int"&amp;"o the labour market to increase diversity, inclusion and human intellectual capital. Developing Experts model is designed to ensure that career choice will not be left to chance, so that diverse communities can be offered greater opportunities to excel.")</f>
        <v/>
      </c>
      <c r="G304" s="1">
        <f>IFERROR(__xludf.DUMMYFUNCTION("""COMPUTED_VALUE"""),"I'm not part of any EdTech association")</f>
        <v/>
      </c>
      <c r="H304" s="1" t="n"/>
      <c r="I304" s="1">
        <f>IFERROR(__xludf.DUMMYFUNCTION("""COMPUTED_VALUE"""),"sarah@developingexperts.com")</f>
        <v/>
      </c>
      <c r="J304" s="1">
        <f>IFERROR(__xludf.DUMMYFUNCTION("""COMPUTED_VALUE"""),"+441603273515")</f>
        <v/>
      </c>
      <c r="K304" s="1">
        <f>IFERROR(__xludf.DUMMYFUNCTION("""COMPUTED_VALUE"""),"Norwich")</f>
        <v/>
      </c>
      <c r="L304" s="1">
        <f>IFERROR(__xludf.DUMMYFUNCTION("""COMPUTED_VALUE"""),"United Kingdom")</f>
        <v/>
      </c>
      <c r="M304" s="1">
        <f>IFERROR(__xludf.DUMMYFUNCTION("""COMPUTED_VALUE"""),"United Kingdom")</f>
        <v/>
      </c>
      <c r="N304" s="1">
        <f>IFERROR(__xludf.DUMMYFUNCTION("""COMPUTED_VALUE"""),"0 to 10")</f>
        <v/>
      </c>
      <c r="O304" s="1">
        <f>IFERROR(__xludf.DUMMYFUNCTION("""COMPUTED_VALUE"""),"Business to Business")</f>
        <v/>
      </c>
      <c r="P304" s="1">
        <f>IFERROR(__xludf.DUMMYFUNCTION("""COMPUTED_VALUE"""),"Early childhood development (0-5 years), Primary Education, Secondary Education, Higher Education")</f>
        <v/>
      </c>
      <c r="Q304" s="1">
        <f>IFERROR(__xludf.DUMMYFUNCTION("""COMPUTED_VALUE"""),"System/Administrative, Student interfacing, Teacher interfacing")</f>
        <v/>
      </c>
      <c r="R304" s="1" t="n"/>
      <c r="S304" s="1" t="n"/>
      <c r="T304" s="1" t="n"/>
      <c r="U304" s="1" t="n"/>
      <c r="V304" s="1" t="n"/>
      <c r="W304" s="1" t="n"/>
      <c r="X304" s="1" t="n"/>
      <c r="Y304" s="15">
        <f>IFERROR(__xludf.DUMMYFUNCTION("""COMPUTED_VALUE"""),"https://drive.google.com/uc?export=view&amp;id=1h_21bBQbP4BO_UAjBkNF0aGp4TQ9Upud")</f>
        <v/>
      </c>
      <c r="Z304" s="1">
        <f>IFERROR(__xludf.DUMMYFUNCTION("""COMPUTED_VALUE"""),"Unverified")</f>
        <v/>
      </c>
      <c r="AA304" s="1" t="n"/>
      <c r="AB304" s="1" t="n"/>
      <c r="AC304" s="1" t="n"/>
      <c r="AD304" s="1" t="n"/>
      <c r="AE304" s="1" t="n"/>
    </row>
    <row r="305" ht="42" customHeight="1">
      <c r="A305" s="14">
        <f>IFERROR(__xludf.DUMMYFUNCTION("""COMPUTED_VALUE"""),45679)</f>
        <v/>
      </c>
      <c r="B305" s="1">
        <f>IFERROR(__xludf.DUMMYFUNCTION("""COMPUTED_VALUE"""),"ORG_1488")</f>
        <v/>
      </c>
      <c r="C305" s="1">
        <f>IFERROR(__xludf.DUMMYFUNCTION("""COMPUTED_VALUE"""),TRUE)</f>
        <v/>
      </c>
      <c r="D305" s="1">
        <f>IFERROR(__xludf.DUMMYFUNCTION("""COMPUTED_VALUE"""),"eMathStudio")</f>
        <v/>
      </c>
      <c r="E305" s="15">
        <f>IFERROR(__xludf.DUMMYFUNCTION("""COMPUTED_VALUE"""),"https://emathstudio.com/")</f>
        <v/>
      </c>
      <c r="F305" s="1">
        <f>IFERROR(__xludf.DUMMYFUNCTION("""COMPUTED_VALUE"""),"eMathStudio is a digital platform for learning, assessments and interactions in mathematics education. The unique math checker verifies the correctness of every step of the student’s working, the math editor helps students to structure their solutions, an"&amp;"d skill gap maps show the fundamental skills a student is missing. For middle school, high school and higher education, for teachers, tutors, learners and parents.")</f>
        <v/>
      </c>
      <c r="G305" s="1">
        <f>IFERROR(__xludf.DUMMYFUNCTION("""COMPUTED_VALUE"""),"EdTech Finland")</f>
        <v/>
      </c>
      <c r="H305" s="1" t="n"/>
      <c r="I305" s="1">
        <f>IFERROR(__xludf.DUMMYFUNCTION("""COMPUTED_VALUE"""),"support@emathstudio.com")</f>
        <v/>
      </c>
      <c r="J305" s="1">
        <f>IFERROR(__xludf.DUMMYFUNCTION("""COMPUTED_VALUE"""),"+358400912083")</f>
        <v/>
      </c>
      <c r="K305" s="1">
        <f>IFERROR(__xludf.DUMMYFUNCTION("""COMPUTED_VALUE"""),"Turku")</f>
        <v/>
      </c>
      <c r="L305" s="1">
        <f>IFERROR(__xludf.DUMMYFUNCTION("""COMPUTED_VALUE"""),"Finland")</f>
        <v/>
      </c>
      <c r="M305" s="1">
        <f>IFERROR(__xludf.DUMMYFUNCTION("""COMPUTED_VALUE"""),"Belgium, Finland, Germany, Iceland, Kosovo, Sweden, United Kingdom")</f>
        <v/>
      </c>
      <c r="N305" s="1">
        <f>IFERROR(__xludf.DUMMYFUNCTION("""COMPUTED_VALUE"""),"0 to 10")</f>
        <v/>
      </c>
      <c r="O305" s="1">
        <f>IFERROR(__xludf.DUMMYFUNCTION("""COMPUTED_VALUE"""),"Business to Business")</f>
        <v/>
      </c>
      <c r="P305" s="1">
        <f>IFERROR(__xludf.DUMMYFUNCTION("""COMPUTED_VALUE"""),"Primary Education, Secondary Education, Higher Education, Lifelong learning/Adult education")</f>
        <v/>
      </c>
      <c r="Q305" s="1">
        <f>IFERROR(__xludf.DUMMYFUNCTION("""COMPUTED_VALUE"""),"System/Administrative, Student interfacing, Teacher interfacing")</f>
        <v/>
      </c>
      <c r="R305" s="1">
        <f>IFERROR(__xludf.DUMMYFUNCTION("""COMPUTED_VALUE"""),"Four Ferries Oy")</f>
        <v/>
      </c>
      <c r="S305" s="1">
        <f>IFERROR(__xludf.DUMMYFUNCTION("""COMPUTED_VALUE"""),"Four Ferries Oy")</f>
        <v/>
      </c>
      <c r="T305" s="1">
        <f>IFERROR(__xludf.DUMMYFUNCTION("""COMPUTED_VALUE"""),"Four Ferries Oy")</f>
        <v/>
      </c>
      <c r="U305" s="1">
        <f>IFERROR(__xludf.DUMMYFUNCTION("""COMPUTED_VALUE"""),"eMathStudio")</f>
        <v/>
      </c>
      <c r="V305" s="1">
        <f>IFERROR(__xludf.DUMMYFUNCTION("""COMPUTED_VALUE"""),"eMathStudio is a digital platform for learning, assessments and interactions in mathematics education. The unique math checker verifies the correctness of every step of the student’s working, the math editor helps students to structure their solutions. Te"&amp;"achers can track progress and problems, check their students' assignments automatically, give individual feedback and share some solutions as models to the class. For middle school, high school and higher education, for teachers, tutors, learners and pare"&amp;"nts.")</f>
        <v/>
      </c>
      <c r="W305" s="1">
        <f>IFERROR(__xludf.DUMMYFUNCTION("""COMPUTED_VALUE"""),"eMath textbook series for grades 7-9 and grades 10-12")</f>
        <v/>
      </c>
      <c r="X305" s="1">
        <f>IFERROR(__xludf.DUMMYFUNCTION("""COMPUTED_VALUE"""),"The eMath textbook series is developed by Math teachers from Finland, Sweden and Estonia. The books follow a teaching approach that uses the Structured Derivations methodology, where the idea is that every step is explained in words. This makes it easy to"&amp;" follow the examples that explain the theory. At the same time the approach forces the student to reflect on what they are doing. The books also introduce the students to logic, a step often skipped in school, but without which mathematics becomes magic i"&amp;"nstead of reasonable and understandable. Fully customizable, interactive books, with over 1000 assignments per grade level. All automatically corrected.")</f>
        <v/>
      </c>
      <c r="Y305" s="15">
        <f>IFERROR(__xludf.DUMMYFUNCTION("""COMPUTED_VALUE"""),"https://drive.google.com/uc?export=view&amp;id=1RI6o8BHyIE7NwVyGsref3RwDIPvgpqdv")</f>
        <v/>
      </c>
      <c r="Z305" s="1">
        <f>IFERROR(__xludf.DUMMYFUNCTION("""COMPUTED_VALUE"""),"Unverified")</f>
        <v/>
      </c>
      <c r="AA305" s="1" t="n"/>
      <c r="AB305" s="1" t="n"/>
      <c r="AC305" s="1" t="n"/>
      <c r="AD305" s="1" t="n"/>
      <c r="AE305" s="1" t="n"/>
    </row>
    <row r="306" ht="42" customHeight="1">
      <c r="A306" s="14">
        <f>IFERROR(__xludf.DUMMYFUNCTION("""COMPUTED_VALUE"""),45679)</f>
        <v/>
      </c>
      <c r="B306" s="1">
        <f>IFERROR(__xludf.DUMMYFUNCTION("""COMPUTED_VALUE"""),"ORG_2216")</f>
        <v/>
      </c>
      <c r="C306" s="1">
        <f>IFERROR(__xludf.DUMMYFUNCTION("""COMPUTED_VALUE"""),TRUE)</f>
        <v/>
      </c>
      <c r="D306" s="1">
        <f>IFERROR(__xludf.DUMMYFUNCTION("""COMPUTED_VALUE"""),"schultech")</f>
        <v/>
      </c>
      <c r="E306" s="15">
        <f>IFERROR(__xludf.DUMMYFUNCTION("""COMPUTED_VALUE"""),"https://schultech.de/")</f>
        <v/>
      </c>
      <c r="F306" s="1">
        <f>IFERROR(__xludf.DUMMYFUNCTION("""COMPUTED_VALUE"""),"You want functional and simple media technology for classrooms? Then you have come to the right place.
At schultech you will find all the options for equipping your teaching rooms with digital media - from media technology and media furniture to screen-ca"&amp;"st dongles and modern presentation solutions.")</f>
        <v/>
      </c>
      <c r="G306" s="1">
        <f>IFERROR(__xludf.DUMMYFUNCTION("""COMPUTED_VALUE"""),"I'm not part of any EdTech association")</f>
        <v/>
      </c>
      <c r="H306" s="1" t="n"/>
      <c r="I306" s="1">
        <f>IFERROR(__xludf.DUMMYFUNCTION("""COMPUTED_VALUE"""),"kontakt@schultech.de")</f>
        <v/>
      </c>
      <c r="J306" s="1">
        <f>IFERROR(__xludf.DUMMYFUNCTION("""COMPUTED_VALUE"""),"+49 7305 178834")</f>
        <v/>
      </c>
      <c r="K306" s="1">
        <f>IFERROR(__xludf.DUMMYFUNCTION("""COMPUTED_VALUE"""),"NEU-ULM")</f>
        <v/>
      </c>
      <c r="L306" s="1">
        <f>IFERROR(__xludf.DUMMYFUNCTION("""COMPUTED_VALUE"""),"Germany")</f>
        <v/>
      </c>
      <c r="M306" s="1">
        <f>IFERROR(__xludf.DUMMYFUNCTION("""COMPUTED_VALUE"""),"Austria, Germany, Italy, Poland, Switzerland")</f>
        <v/>
      </c>
      <c r="N306" s="1">
        <f>IFERROR(__xludf.DUMMYFUNCTION("""COMPUTED_VALUE"""),"11 to 50")</f>
        <v/>
      </c>
      <c r="O306" s="1">
        <f>IFERROR(__xludf.DUMMYFUNCTION("""COMPUTED_VALUE"""),"Business to Business, Business to Government")</f>
        <v/>
      </c>
      <c r="P306" s="1">
        <f>IFERROR(__xludf.DUMMYFUNCTION("""COMPUTED_VALUE"""),"Primary Education, Secondary Education, Higher Education")</f>
        <v/>
      </c>
      <c r="Q306" s="1">
        <f>IFERROR(__xludf.DUMMYFUNCTION("""COMPUTED_VALUE"""),"Teacher interfacing, System/Administrative")</f>
        <v/>
      </c>
      <c r="R306" s="1" t="n"/>
      <c r="S306" s="1" t="n"/>
      <c r="T306" s="1" t="n"/>
      <c r="U306" s="1" t="n"/>
      <c r="V306" s="1" t="n"/>
      <c r="W306" s="1" t="n"/>
      <c r="X306" s="1" t="n"/>
      <c r="Y306" s="15">
        <f>IFERROR(__xludf.DUMMYFUNCTION("""COMPUTED_VALUE"""),"https://drive.google.com/uc?export=view&amp;id=1si3RjDN2FziyYQLs-IdFc5LuFgN0V92M")</f>
        <v/>
      </c>
      <c r="Z306" s="1">
        <f>IFERROR(__xludf.DUMMYFUNCTION("""COMPUTED_VALUE"""),"Unverified")</f>
        <v/>
      </c>
      <c r="AA306" s="1" t="n"/>
      <c r="AB306" s="1" t="n"/>
      <c r="AC306" s="1" t="n"/>
      <c r="AD306" s="1" t="n"/>
      <c r="AE306" s="1" t="n"/>
    </row>
    <row r="307" ht="42" customHeight="1">
      <c r="A307" s="14">
        <f>IFERROR(__xludf.DUMMYFUNCTION("""COMPUTED_VALUE"""),45679)</f>
        <v/>
      </c>
      <c r="B307" s="1">
        <f>IFERROR(__xludf.DUMMYFUNCTION("""COMPUTED_VALUE"""),"ORG_1155")</f>
        <v/>
      </c>
      <c r="C307" s="1">
        <f>IFERROR(__xludf.DUMMYFUNCTION("""COMPUTED_VALUE"""),TRUE)</f>
        <v/>
      </c>
      <c r="D307" s="1">
        <f>IFERROR(__xludf.DUMMYFUNCTION("""COMPUTED_VALUE"""),"bettermarks")</f>
        <v/>
      </c>
      <c r="E307" s="15">
        <f>IFERROR(__xludf.DUMMYFUNCTION("""COMPUTED_VALUE"""),"www.bettermarks.com")</f>
        <v/>
      </c>
      <c r="F307" s="1">
        <f>IFERROR(__xludf.DUMMYFUNCTION("""COMPUTED_VALUE"""),"bettermarks was founded in 2008 by Arndt Kwiatkowski, Marianne Voigt und Christophe Speroni and is located in Berlin, Germany. Teachers, content creators and software specialists are working on the next generation learning material to reach our goal: impr"&amp;"ove math education worldwide.")</f>
        <v/>
      </c>
      <c r="G307" s="1">
        <f>IFERROR(__xludf.DUMMYFUNCTION("""COMPUTED_VALUE"""),"I'm not part of any EdTech association")</f>
        <v/>
      </c>
      <c r="H307" s="1" t="n"/>
      <c r="I307" s="1">
        <f>IFERROR(__xludf.DUMMYFUNCTION("""COMPUTED_VALUE"""),"kontakt@bettermarks.com")</f>
        <v/>
      </c>
      <c r="J307" s="1">
        <f>IFERROR(__xludf.DUMMYFUNCTION("""COMPUTED_VALUE"""),"+49 30 300 244 000")</f>
        <v/>
      </c>
      <c r="K307" s="1">
        <f>IFERROR(__xludf.DUMMYFUNCTION("""COMPUTED_VALUE"""),"BERLIN")</f>
        <v/>
      </c>
      <c r="L307" s="1">
        <f>IFERROR(__xludf.DUMMYFUNCTION("""COMPUTED_VALUE"""),"Germany")</f>
        <v/>
      </c>
      <c r="M307" s="1">
        <f>IFERROR(__xludf.DUMMYFUNCTION("""COMPUTED_VALUE"""),"Austria, Germany, Netherlands, Switzerland")</f>
        <v/>
      </c>
      <c r="N307" s="1">
        <f>IFERROR(__xludf.DUMMYFUNCTION("""COMPUTED_VALUE"""),"11 to 50")</f>
        <v/>
      </c>
      <c r="O307" s="1">
        <f>IFERROR(__xludf.DUMMYFUNCTION("""COMPUTED_VALUE"""),"Business to Business")</f>
        <v/>
      </c>
      <c r="P307" s="1">
        <f>IFERROR(__xludf.DUMMYFUNCTION("""COMPUTED_VALUE"""),"Primary Education, Secondary Education, Higher Education")</f>
        <v/>
      </c>
      <c r="Q307" s="1">
        <f>IFERROR(__xludf.DUMMYFUNCTION("""COMPUTED_VALUE"""),"Teacher interfacing, System/Administrative")</f>
        <v/>
      </c>
      <c r="R307" s="15">
        <f>IFERROR(__xludf.DUMMYFUNCTION("""COMPUTED_VALUE"""),"https://www.instagram.com/bettermarks_de/")</f>
        <v/>
      </c>
      <c r="S307" s="1" t="n"/>
      <c r="T307" s="15">
        <f>IFERROR(__xludf.DUMMYFUNCTION("""COMPUTED_VALUE"""),"https://www.linkedin.com/company/bettermarks-gmbh")</f>
        <v/>
      </c>
      <c r="U307" s="1">
        <f>IFERROR(__xludf.DUMMYFUNCTION("""COMPUTED_VALUE"""),"bettermarks")</f>
        <v/>
      </c>
      <c r="V307" s="1">
        <f>IFERROR(__xludf.DUMMYFUNCTION("""COMPUTED_VALUE"""),"bettermarks is an adaptive learning system for maths replacing printed textbooks or exercise books. Our goal is to facilitate the learning and teaching of mathematics. 
To reach this goal, bettermarks employs teachers, mathematicians, academic educational"&amp;"ists and software specialists to work together. Our adaptive math books guide students through exercises step by step with constructive feedback and enables them to learn from their mistakes. As a teacher, you receive comprehensive reports on all your stu"&amp;"dents‘ activity.")</f>
        <v/>
      </c>
      <c r="W307" s="1" t="n"/>
      <c r="X307" s="1" t="n"/>
      <c r="Y307" s="15">
        <f>IFERROR(__xludf.DUMMYFUNCTION("""COMPUTED_VALUE"""),"https://drive.google.com/uc?export=view&amp;id=12_SAB9zbqMpaEFmmqU3KLKSZlqshHc4I")</f>
        <v/>
      </c>
      <c r="Z307" s="1">
        <f>IFERROR(__xludf.DUMMYFUNCTION("""COMPUTED_VALUE"""),"Unverified")</f>
        <v/>
      </c>
      <c r="AA307" s="1" t="n"/>
      <c r="AB307" s="1" t="n"/>
      <c r="AC307" s="1" t="n"/>
      <c r="AD307" s="1" t="n"/>
      <c r="AE307" s="1" t="n"/>
    </row>
    <row r="308" ht="42" customHeight="1">
      <c r="A308" s="14">
        <f>IFERROR(__xludf.DUMMYFUNCTION("""COMPUTED_VALUE"""),45679)</f>
        <v/>
      </c>
      <c r="B308" s="1">
        <f>IFERROR(__xludf.DUMMYFUNCTION("""COMPUTED_VALUE"""),"ORG_1232")</f>
        <v/>
      </c>
      <c r="C308" s="1">
        <f>IFERROR(__xludf.DUMMYFUNCTION("""COMPUTED_VALUE"""),TRUE)</f>
        <v/>
      </c>
      <c r="D308" s="1">
        <f>IFERROR(__xludf.DUMMYFUNCTION("""COMPUTED_VALUE"""),"ChatterStars")</f>
        <v/>
      </c>
      <c r="E308" s="15">
        <f>IFERROR(__xludf.DUMMYFUNCTION("""COMPUTED_VALUE"""),"https://chatterstars.co.uk/")</f>
        <v/>
      </c>
      <c r="F308" s="1">
        <f>IFERROR(__xludf.DUMMYFUNCTION("""COMPUTED_VALUE"""),"Chatterstars is designed to rapidly develop children’s vocabulary with fun, fast, personalised activities, and dynamic rewards to boost vocabulary confidence - the best predictor of future success. Puzzles are played individually or used to stimulate disc"&amp;"ussion, allowing pupils to unpick layers of meaning and connotation – the bedrock of English assessment. Beneficial for all pupil groups, teachers can track and report progress, without the need for marking and assessment tasks, helping schools bridge the"&amp;" word gap and improve life chances.")</f>
        <v/>
      </c>
      <c r="G308" s="1">
        <f>IFERROR(__xludf.DUMMYFUNCTION("""COMPUTED_VALUE"""),"I'm not part of any EdTech association")</f>
        <v/>
      </c>
      <c r="H308" s="1">
        <f>IFERROR(__xludf.DUMMYFUNCTION("""COMPUTED_VALUE"""),"English")</f>
        <v/>
      </c>
      <c r="I308" s="1">
        <f>IFERROR(__xludf.DUMMYFUNCTION("""COMPUTED_VALUE"""),"helen@chatterstars.co.uk")</f>
        <v/>
      </c>
      <c r="J308" s="1">
        <f>IFERROR(__xludf.DUMMYFUNCTION("""COMPUTED_VALUE"""),"+44 7967032661")</f>
        <v/>
      </c>
      <c r="K308" s="1">
        <f>IFERROR(__xludf.DUMMYFUNCTION("""COMPUTED_VALUE"""),"TORQUAY")</f>
        <v/>
      </c>
      <c r="L308" s="1">
        <f>IFERROR(__xludf.DUMMYFUNCTION("""COMPUTED_VALUE"""),"United Kingdom")</f>
        <v/>
      </c>
      <c r="M308" s="1">
        <f>IFERROR(__xludf.DUMMYFUNCTION("""COMPUTED_VALUE"""),"France, Ireland, Netherlands, United Kingdom")</f>
        <v/>
      </c>
      <c r="N308" s="1">
        <f>IFERROR(__xludf.DUMMYFUNCTION("""COMPUTED_VALUE"""),"0 to 2")</f>
        <v/>
      </c>
      <c r="O308" s="1">
        <f>IFERROR(__xludf.DUMMYFUNCTION("""COMPUTED_VALUE"""),"Business to Business")</f>
        <v/>
      </c>
      <c r="P308" s="1">
        <f>IFERROR(__xludf.DUMMYFUNCTION("""COMPUTED_VALUE"""),"Primary Education, Secondary Education")</f>
        <v/>
      </c>
      <c r="Q308" s="1">
        <f>IFERROR(__xludf.DUMMYFUNCTION("""COMPUTED_VALUE"""),"System/Administrative, Student interfacing, Teacher interfacing")</f>
        <v/>
      </c>
      <c r="R308" s="15">
        <f>IFERROR(__xludf.DUMMYFUNCTION("""COMPUTED_VALUE"""),"https://www.instagram.com/chatterstarsthevocabapp/?hl=en-gb")</f>
        <v/>
      </c>
      <c r="S308" s="15">
        <f>IFERROR(__xludf.DUMMYFUNCTION("""COMPUTED_VALUE"""),"https://twitter.com/ChatterStarsApp")</f>
        <v/>
      </c>
      <c r="T308" s="15">
        <f>IFERROR(__xludf.DUMMYFUNCTION("""COMPUTED_VALUE"""),"https://www.linkedin.com/company/chatterstars/?viewAsMember=true")</f>
        <v/>
      </c>
      <c r="U308" s="1">
        <f>IFERROR(__xludf.DUMMYFUNCTION("""COMPUTED_VALUE"""),"ChatterStars")</f>
        <v/>
      </c>
      <c r="V308" s="1">
        <f>IFERROR(__xludf.DUMMYFUNCTION("""COMPUTED_VALUE"""),"We help families and tutors to boost their child's vocabulary – the best predictor of future success - through our intuitive, gamified app. Our puzzles will secure a confident voice for each child, enhancing academic success and improving life chances. Th"&amp;"rough our unique vocabulary age, families and teachers can track vocabulary progress, without the need for marking or assessment tasks.")</f>
        <v/>
      </c>
      <c r="W308" s="1">
        <f>IFERROR(__xludf.DUMMYFUNCTION("""COMPUTED_VALUE"""),"ChatterStars 11+")</f>
        <v/>
      </c>
      <c r="X308" s="1">
        <f>IFERROR(__xludf.DUMMYFUNCTION("""COMPUTED_VALUE"""),"ChatterStars 11+ has been developed by industry experts to help secure the full range of vocabulary needed for both GL and CEM assessments. Our 11+ puzzles secure a confident voice for each child, enhancing exam success and improving life chances. Through"&amp;" our unique vocabulary age, families and tutors can track vocabulary progress, without the need for marking or assessment tasks.")</f>
        <v/>
      </c>
      <c r="Y308" s="15">
        <f>IFERROR(__xludf.DUMMYFUNCTION("""COMPUTED_VALUE"""),"https://drive.google.com/uc?export=view&amp;id=1BALNGzv5ruw3Nv7Pyc1WWQzmHKvPy13g")</f>
        <v/>
      </c>
      <c r="Z308" s="1">
        <f>IFERROR(__xludf.DUMMYFUNCTION("""COMPUTED_VALUE"""),"Unverified")</f>
        <v/>
      </c>
      <c r="AA308" s="1" t="n"/>
      <c r="AB308" s="1" t="n"/>
      <c r="AC308" s="1" t="n"/>
      <c r="AD308" s="1" t="n"/>
      <c r="AE308" s="1" t="n"/>
    </row>
    <row r="309" ht="42" customHeight="1">
      <c r="A309" s="14">
        <f>IFERROR(__xludf.DUMMYFUNCTION("""COMPUTED_VALUE"""),45679)</f>
        <v/>
      </c>
      <c r="B309" s="1">
        <f>IFERROR(__xludf.DUMMYFUNCTION("""COMPUTED_VALUE"""),"ORG_1310")</f>
        <v/>
      </c>
      <c r="C309" s="1">
        <f>IFERROR(__xludf.DUMMYFUNCTION("""COMPUTED_VALUE"""),TRUE)</f>
        <v/>
      </c>
      <c r="D309" s="1">
        <f>IFERROR(__xludf.DUMMYFUNCTION("""COMPUTED_VALUE"""),"Creaza")</f>
        <v/>
      </c>
      <c r="E309" s="15">
        <f>IFERROR(__xludf.DUMMYFUNCTION("""COMPUTED_VALUE"""),"www.creaza.com")</f>
        <v/>
      </c>
      <c r="F309" s="1">
        <f>IFERROR(__xludf.DUMMYFUNCTION("""COMPUTED_VALUE"""),"Creative and Playful Learning
Creaza provides creative tools and content for Digital Storytelling for all classrooms. 
Creaza enables you to easily create amazing cartoons, videos, animations, podcasts, mind maps, and presentations.")</f>
        <v/>
      </c>
      <c r="G309" s="1">
        <f>IFERROR(__xludf.DUMMYFUNCTION("""COMPUTED_VALUE"""),"I'm not part of any EdTech association")</f>
        <v/>
      </c>
      <c r="H309" s="1" t="n"/>
      <c r="I309" s="1">
        <f>IFERROR(__xludf.DUMMYFUNCTION("""COMPUTED_VALUE"""),"cmk@creaza.com")</f>
        <v/>
      </c>
      <c r="J309" s="1">
        <f>IFERROR(__xludf.DUMMYFUNCTION("""COMPUTED_VALUE"""),"+47 47 77 88 00")</f>
        <v/>
      </c>
      <c r="K309" s="1">
        <f>IFERROR(__xludf.DUMMYFUNCTION("""COMPUTED_VALUE"""),"Oslo")</f>
        <v/>
      </c>
      <c r="L309" s="1">
        <f>IFERROR(__xludf.DUMMYFUNCTION("""COMPUTED_VALUE"""),"Norway")</f>
        <v/>
      </c>
      <c r="M309" s="1">
        <f>IFERROR(__xludf.DUMMYFUNCTION("""COMPUTED_VALUE"""),"Denmark, Finland, Germany, Netherlands, Norway, Sweden")</f>
        <v/>
      </c>
      <c r="N309" s="1">
        <f>IFERROR(__xludf.DUMMYFUNCTION("""COMPUTED_VALUE"""),"11 to 50")</f>
        <v/>
      </c>
      <c r="O309" s="1">
        <f>IFERROR(__xludf.DUMMYFUNCTION("""COMPUTED_VALUE"""),"Business to Business")</f>
        <v/>
      </c>
      <c r="P309" s="1">
        <f>IFERROR(__xludf.DUMMYFUNCTION("""COMPUTED_VALUE"""),"Primary Education, Secondary Education, Higher Education")</f>
        <v/>
      </c>
      <c r="Q309" s="1">
        <f>IFERROR(__xludf.DUMMYFUNCTION("""COMPUTED_VALUE"""),"Student interfacing, Teacher interfacing")</f>
        <v/>
      </c>
      <c r="R309" s="15">
        <f>IFERROR(__xludf.DUMMYFUNCTION("""COMPUTED_VALUE"""),"https://www.instagram.com/creazaas/")</f>
        <v/>
      </c>
      <c r="S309" s="15">
        <f>IFERROR(__xludf.DUMMYFUNCTION("""COMPUTED_VALUE"""),"https://twitter.com/creazatweet")</f>
        <v/>
      </c>
      <c r="T309" s="15">
        <f>IFERROR(__xludf.DUMMYFUNCTION("""COMPUTED_VALUE"""),"https://www.linkedin.com/company/creaza-as/")</f>
        <v/>
      </c>
      <c r="U309" s="1">
        <f>IFERROR(__xludf.DUMMYFUNCTION("""COMPUTED_VALUE"""),"Creaza")</f>
        <v/>
      </c>
      <c r="V309" s="1">
        <f>IFERROR(__xludf.DUMMYFUNCTION("""COMPUTED_VALUE"""),"Creative and Playful Learning
Creaza provides creative tools and content for Digital Storytelling for all classrooms. 
Creaza enables you to easily create amazing cartoons, videos, animations, podcasts, mind maps, and presentations.")</f>
        <v/>
      </c>
      <c r="W309" s="1" t="n"/>
      <c r="X309" s="1" t="n"/>
      <c r="Y309" s="15">
        <f>IFERROR(__xludf.DUMMYFUNCTION("""COMPUTED_VALUE"""),"https://drive.google.com/uc?export=view&amp;id=1jFoxufYAGNcdzl8wXldllljMQsrtKljA")</f>
        <v/>
      </c>
      <c r="Z309" s="1">
        <f>IFERROR(__xludf.DUMMYFUNCTION("""COMPUTED_VALUE"""),"Unverified")</f>
        <v/>
      </c>
      <c r="AA309" s="1" t="n"/>
      <c r="AB309" s="1" t="n"/>
      <c r="AC309" s="1" t="n"/>
      <c r="AD309" s="1" t="n"/>
      <c r="AE309" s="1" t="n"/>
    </row>
    <row r="310" ht="42" customHeight="1">
      <c r="A310" s="14">
        <f>IFERROR(__xludf.DUMMYFUNCTION("""COMPUTED_VALUE"""),45679)</f>
        <v/>
      </c>
      <c r="B310" s="1">
        <f>IFERROR(__xludf.DUMMYFUNCTION("""COMPUTED_VALUE"""),"ORG_1641")</f>
        <v/>
      </c>
      <c r="C310" s="1">
        <f>IFERROR(__xludf.DUMMYFUNCTION("""COMPUTED_VALUE"""),TRUE)</f>
        <v/>
      </c>
      <c r="D310" s="1">
        <f>IFERROR(__xludf.DUMMYFUNCTION("""COMPUTED_VALUE"""),"GraphoGame")</f>
        <v/>
      </c>
      <c r="E310" s="15">
        <f>IFERROR(__xludf.DUMMYFUNCTION("""COMPUTED_VALUE"""),"https://www.graphogame.com/index.html")</f>
        <v/>
      </c>
      <c r="F310" s="1">
        <f>IFERROR(__xludf.DUMMYFUNCTION("""COMPUTED_VALUE"""),"GraphoGame is the world's most researched literacy learning technology. GraphoGame combines Finland's pedagogical expertise with evidence from cutting-edge research in neuroscience to provide personalised reading support for millions of children around th"&amp;"e world. The app is available offline, on any device, in 9 languages and free in 15 participating countries. Find more on our website: graphogame.com")</f>
        <v/>
      </c>
      <c r="G310" s="1">
        <f>IFERROR(__xludf.DUMMYFUNCTION("""COMPUTED_VALUE"""),"EdTech Finland, xEdu")</f>
        <v/>
      </c>
      <c r="H310" s="1" t="n"/>
      <c r="I310" s="1">
        <f>IFERROR(__xludf.DUMMYFUNCTION("""COMPUTED_VALUE"""),"support@graphogame.com")</f>
        <v/>
      </c>
      <c r="J310" s="1" t="n"/>
      <c r="K310" s="1">
        <f>IFERROR(__xludf.DUMMYFUNCTION("""COMPUTED_VALUE"""),"Turku")</f>
        <v/>
      </c>
      <c r="L310" s="1">
        <f>IFERROR(__xludf.DUMMYFUNCTION("""COMPUTED_VALUE"""),"Finland")</f>
        <v/>
      </c>
      <c r="M310" s="1">
        <f>IFERROR(__xludf.DUMMYFUNCTION("""COMPUTED_VALUE"""),"Belgium, Denmark, Estonia, Finland, France, Ireland, Luxembourg, Netherlands, Norway, Portugal, Spain, Sweden, United Kingdom")</f>
        <v/>
      </c>
      <c r="N310" s="1">
        <f>IFERROR(__xludf.DUMMYFUNCTION("""COMPUTED_VALUE"""),"0 to 10")</f>
        <v/>
      </c>
      <c r="O310" s="1">
        <f>IFERROR(__xludf.DUMMYFUNCTION("""COMPUTED_VALUE"""),"Business to Business, Business to Consumer, Business to Government, Business to Schools")</f>
        <v/>
      </c>
      <c r="P310" s="1">
        <f>IFERROR(__xludf.DUMMYFUNCTION("""COMPUTED_VALUE"""),"Primary Education")</f>
        <v/>
      </c>
      <c r="Q310" s="1">
        <f>IFERROR(__xludf.DUMMYFUNCTION("""COMPUTED_VALUE"""),"System/Administrative, Student interfacing, Teacher interfacing")</f>
        <v/>
      </c>
      <c r="R310" s="15">
        <f>IFERROR(__xludf.DUMMYFUNCTION("""COMPUTED_VALUE"""),"https://www.instagram.com/graphogame/")</f>
        <v/>
      </c>
      <c r="S310" s="15">
        <f>IFERROR(__xludf.DUMMYFUNCTION("""COMPUTED_VALUE"""),"https://twitter.com/GraphoGame")</f>
        <v/>
      </c>
      <c r="T310" s="15">
        <f>IFERROR(__xludf.DUMMYFUNCTION("""COMPUTED_VALUE"""),"https://www.linkedin.com/company/11290942/")</f>
        <v/>
      </c>
      <c r="U310" s="1">
        <f>IFERROR(__xludf.DUMMYFUNCTION("""COMPUTED_VALUE"""),"GraphoGame: Kids Learn to Read")</f>
        <v/>
      </c>
      <c r="V310" s="1">
        <f>IFERROR(__xludf.DUMMYFUNCTION("""COMPUTED_VALUE"""),"British English synthetic phonics game researched in collaboration with University of Cambridge Centre for Neuroscience in Education. Most effective for Key Stages 1 and 2 learners (ages 4 - 9) and as effective as direct teacher support for improving phon"&amp;"ics skills.")</f>
        <v/>
      </c>
      <c r="W310" s="1">
        <f>IFERROR(__xludf.DUMMYFUNCTION("""COMPUTED_VALUE"""),"GraphoGame Brasil")</f>
        <v/>
      </c>
      <c r="X310" s="1">
        <f>IFERROR(__xludf.DUMMYFUNCTION("""COMPUTED_VALUE"""),"Brazilian Portuguese literacy game researched in collaboration with the Brain Institute at the Pontifical University of Rio Grande do Sul. Free to download for residents of Brazil as part of the Ministry of Education’s Tempo de Aprender program.")</f>
        <v/>
      </c>
      <c r="Y310" s="15">
        <f>IFERROR(__xludf.DUMMYFUNCTION("""COMPUTED_VALUE"""),"https://drive.google.com/uc?export=view&amp;id=1OX7G1PdT0jMCXOsQEj-9eGlmOC-X2F5A")</f>
        <v/>
      </c>
      <c r="Z310" s="1">
        <f>IFERROR(__xludf.DUMMYFUNCTION("""COMPUTED_VALUE"""),"Unverified")</f>
        <v/>
      </c>
      <c r="AA310" s="1" t="n"/>
      <c r="AB310" s="1" t="n"/>
      <c r="AC310" s="1" t="n"/>
      <c r="AD310" s="1" t="n"/>
      <c r="AE310" s="1" t="n"/>
    </row>
    <row r="311" ht="42" customHeight="1">
      <c r="A311" s="14">
        <f>IFERROR(__xludf.DUMMYFUNCTION("""COMPUTED_VALUE"""),45679)</f>
        <v/>
      </c>
      <c r="B311" s="1">
        <f>IFERROR(__xludf.DUMMYFUNCTION("""COMPUTED_VALUE"""),"ORG_1762")</f>
        <v/>
      </c>
      <c r="C311" s="1">
        <f>IFERROR(__xludf.DUMMYFUNCTION("""COMPUTED_VALUE"""),TRUE)</f>
        <v/>
      </c>
      <c r="D311" s="1">
        <f>IFERROR(__xludf.DUMMYFUNCTION("""COMPUTED_VALUE"""),"KALIGO")</f>
        <v/>
      </c>
      <c r="E311" s="15">
        <f>IFERROR(__xludf.DUMMYFUNCTION("""COMPUTED_VALUE"""),"https://www.kaligo-apps.com/")</f>
        <v/>
      </c>
      <c r="F311" s="1">
        <f>IFERROR(__xludf.DUMMYFUNCTION("""COMPUTED_VALUE"""),"Founded in 2017, Learn&amp;Go is an Ed-tech company with the mission to support each student in their journey of learning to write and spell, through a modern, digital and fun approach : Kaligo. This application available on Playstore and iOS store is designe"&amp;"d to teach students how to write and spell using a tablet and stylus in the classroom or at home. Avalaible in French, English and German, Kaligo aims to support children of all abilities to achieve their highest possible literacy levels.")</f>
        <v/>
      </c>
      <c r="G311" s="1">
        <f>IFERROR(__xludf.DUMMYFUNCTION("""COMPUTED_VALUE"""),"AFINEF")</f>
        <v/>
      </c>
      <c r="H311" s="1" t="n"/>
      <c r="I311" s="1">
        <f>IFERROR(__xludf.DUMMYFUNCTION("""COMPUTED_VALUE"""),"contact@learn-and-go.com")</f>
        <v/>
      </c>
      <c r="J311" s="1">
        <f>IFERROR(__xludf.DUMMYFUNCTION("""COMPUTED_VALUE"""),"+332 30 96 20 67")</f>
        <v/>
      </c>
      <c r="K311" s="1">
        <f>IFERROR(__xludf.DUMMYFUNCTION("""COMPUTED_VALUE"""),"RENNES")</f>
        <v/>
      </c>
      <c r="L311" s="1">
        <f>IFERROR(__xludf.DUMMYFUNCTION("""COMPUTED_VALUE"""),"France")</f>
        <v/>
      </c>
      <c r="M311" s="1">
        <f>IFERROR(__xludf.DUMMYFUNCTION("""COMPUTED_VALUE"""),"Belgium, France, Germany, Ireland, Luxembourg, Switzerland, United Kingdom")</f>
        <v/>
      </c>
      <c r="N311" s="1">
        <f>IFERROR(__xludf.DUMMYFUNCTION("""COMPUTED_VALUE"""),"11 to 50")</f>
        <v/>
      </c>
      <c r="O311" s="1">
        <f>IFERROR(__xludf.DUMMYFUNCTION("""COMPUTED_VALUE"""),"Business to Business, Business to Consumer, Business to Government, Business to Schools")</f>
        <v/>
      </c>
      <c r="P311" s="1">
        <f>IFERROR(__xludf.DUMMYFUNCTION("""COMPUTED_VALUE"""),"Early childhood development (0-5 years), Primary Education")</f>
        <v/>
      </c>
      <c r="Q311" s="1">
        <f>IFERROR(__xludf.DUMMYFUNCTION("""COMPUTED_VALUE"""),"Student interfacing, Teacher interfacing")</f>
        <v/>
      </c>
      <c r="R311" s="15">
        <f>IFERROR(__xludf.DUMMYFUNCTION("""COMPUTED_VALUE"""),"https://www.instagram.com/kaligoapps_en/")</f>
        <v/>
      </c>
      <c r="S311" s="15">
        <f>IFERROR(__xludf.DUMMYFUNCTION("""COMPUTED_VALUE"""),"https://twitter.com/KaligoApps_EN")</f>
        <v/>
      </c>
      <c r="T311" s="15">
        <f>IFERROR(__xludf.DUMMYFUNCTION("""COMPUTED_VALUE"""),"https://www.linkedin.com/company/kaligo-uk/")</f>
        <v/>
      </c>
      <c r="U311" s="1">
        <f>IFERROR(__xludf.DUMMYFUNCTION("""COMPUTED_VALUE"""),"Kaligo")</f>
        <v/>
      </c>
      <c r="V311" s="1">
        <f>IFERROR(__xludf.DUMMYFUNCTION("""COMPUTED_VALUE"""),"Kaligo’s AI machine analyses each handwriting stroke based on shape, direction, order and line spacing, and identifies any difficulties children as young as the age of three may have with forming letters, numbers or even if they have an issue with their p"&amp;"encil control.
Kaligo provides students with real time corrective feedback which empowers independent learning, whilst simultaneously providing teachers with real time results and progression reports for whole classrooms and individual students.
c est cof"&amp;"nirme
With Kaligo, students find handwriting more fun as the colourful and intuitive screens on tablets most students are already familiar with, making the task of handwriting more exciting.")</f>
        <v/>
      </c>
      <c r="W311" s="1" t="n"/>
      <c r="X311" s="1" t="n"/>
      <c r="Y311" s="15">
        <f>IFERROR(__xludf.DUMMYFUNCTION("""COMPUTED_VALUE"""),"https://drive.google.com/uc?export=view&amp;id=1BdgBQQvg41LeVdgIMlUt3Mxu2jxAvDRv")</f>
        <v/>
      </c>
      <c r="Z311" s="1">
        <f>IFERROR(__xludf.DUMMYFUNCTION("""COMPUTED_VALUE"""),"Unverified")</f>
        <v/>
      </c>
      <c r="AA311" s="1" t="n"/>
      <c r="AB311" s="1" t="n"/>
      <c r="AC311" s="1" t="n"/>
      <c r="AD311" s="1" t="n"/>
      <c r="AE311" s="1" t="n"/>
    </row>
    <row r="312" ht="42" customHeight="1">
      <c r="A312" s="14">
        <f>IFERROR(__xludf.DUMMYFUNCTION("""COMPUTED_VALUE"""),45679)</f>
        <v/>
      </c>
      <c r="B312" s="1">
        <f>IFERROR(__xludf.DUMMYFUNCTION("""COMPUTED_VALUE"""),"ORG_1712")</f>
        <v/>
      </c>
      <c r="C312" s="1">
        <f>IFERROR(__xludf.DUMMYFUNCTION("""COMPUTED_VALUE"""),TRUE)</f>
        <v/>
      </c>
      <c r="D312" s="1">
        <f>IFERROR(__xludf.DUMMYFUNCTION("""COMPUTED_VALUE"""),"imagiLabs")</f>
        <v/>
      </c>
      <c r="E312" s="15">
        <f>IFERROR(__xludf.DUMMYFUNCTION("""COMPUTED_VALUE"""),"https://imagilabs.com/")</f>
        <v/>
      </c>
      <c r="F312" s="1">
        <f>IFERROR(__xludf.DUMMYFUNCTION("""COMPUTED_VALUE"""),"At imagiLabs, we empower young girls to unlock the tech industry's full potential and reimagine the future. We do this by inspiring girls to become creators Our products span across the physical and digital. The imagi mobile game is a social sandbox game "&amp;"that teaches coding through pixel art, games, and a one-of-a-kind, positive community. The experience is enhanced by the imagiCharm, a programmable accessory that brings code to life.")</f>
        <v/>
      </c>
      <c r="G312" s="1">
        <f>IFERROR(__xludf.DUMMYFUNCTION("""COMPUTED_VALUE"""),"I'm not part of any EdTech association")</f>
        <v/>
      </c>
      <c r="H312" s="1" t="n"/>
      <c r="I312" s="1" t="n"/>
      <c r="J312" s="1" t="n"/>
      <c r="K312" s="1">
        <f>IFERROR(__xludf.DUMMYFUNCTION("""COMPUTED_VALUE"""),"Stockholm")</f>
        <v/>
      </c>
      <c r="L312" s="1">
        <f>IFERROR(__xludf.DUMMYFUNCTION("""COMPUTED_VALUE"""),"Sweden")</f>
        <v/>
      </c>
      <c r="M312" s="1">
        <f>IFERROR(__xludf.DUMMYFUNCTION("""COMPUTED_VALUE"""),"Austria, Belgium, Czechia, Denmark, Estonia, Finland, France, Germany, Greece, Hungary, Iceland, Ireland, Italy, Latvia, Lithuania, Netherlands, Norway, Poland, Portugal, Romania, Slovakia, Spain, Sweden, Switzerland, United Kingdom")</f>
        <v/>
      </c>
      <c r="N312" s="1">
        <f>IFERROR(__xludf.DUMMYFUNCTION("""COMPUTED_VALUE"""),"0 to 10")</f>
        <v/>
      </c>
      <c r="O312" s="1">
        <f>IFERROR(__xludf.DUMMYFUNCTION("""COMPUTED_VALUE"""),"Business to Business, Business to Consumer, Business to Schools")</f>
        <v/>
      </c>
      <c r="P312" s="1">
        <f>IFERROR(__xludf.DUMMYFUNCTION("""COMPUTED_VALUE"""),"Primary Education")</f>
        <v/>
      </c>
      <c r="Q312" s="1">
        <f>IFERROR(__xludf.DUMMYFUNCTION("""COMPUTED_VALUE"""),"System/Administrative, Student interfacing, Teacher interfacing")</f>
        <v/>
      </c>
      <c r="R312" s="1" t="n"/>
      <c r="S312" s="1" t="n"/>
      <c r="T312" s="1" t="n"/>
      <c r="U312" s="1" t="n"/>
      <c r="V312" s="1" t="n"/>
      <c r="W312" s="1" t="n"/>
      <c r="X312" s="1" t="n"/>
      <c r="Y312" s="15">
        <f>IFERROR(__xludf.DUMMYFUNCTION("""COMPUTED_VALUE"""),"https://drive.google.com/uc?export=view&amp;id=1bM2NWtF-4CPy8GQwfSEvJodSLmwoR1em")</f>
        <v/>
      </c>
      <c r="Z312" s="1">
        <f>IFERROR(__xludf.DUMMYFUNCTION("""COMPUTED_VALUE"""),"Unverified")</f>
        <v/>
      </c>
      <c r="AA312" s="1" t="n"/>
      <c r="AB312" s="1" t="n"/>
      <c r="AC312" s="1" t="n"/>
      <c r="AD312" s="1" t="n"/>
      <c r="AE312" s="1" t="n"/>
    </row>
    <row r="313" ht="42" customHeight="1">
      <c r="A313" s="14">
        <f>IFERROR(__xludf.DUMMYFUNCTION("""COMPUTED_VALUE"""),45679)</f>
        <v/>
      </c>
      <c r="B313" s="1">
        <f>IFERROR(__xludf.DUMMYFUNCTION("""COMPUTED_VALUE"""),"ORG_1528")</f>
        <v/>
      </c>
      <c r="C313" s="1">
        <f>IFERROR(__xludf.DUMMYFUNCTION("""COMPUTED_VALUE"""),TRUE)</f>
        <v/>
      </c>
      <c r="D313" s="1">
        <f>IFERROR(__xludf.DUMMYFUNCTION("""COMPUTED_VALUE"""),"EvidenceB")</f>
        <v/>
      </c>
      <c r="E313" s="15">
        <f>IFERROR(__xludf.DUMMYFUNCTION("""COMPUTED_VALUE"""),"https://www.evidenceb.com/")</f>
        <v/>
      </c>
      <c r="F313" s="1">
        <f>IFERROR(__xludf.DUMMYFUNCTION("""COMPUTED_VALUE"""),"EvidenceB has developed the most advanced evidence-based Intelligent Tutoring System mixing Artificial Intelligence R&amp;D and Cognitive Science. Our adaptive learning ITS is available on a Saas mode. EvidenceB ITS resolves failure in learning in K12, Higher"&amp;" Education and corporate training. Based on cognitive sciences and reinforced by multi-prized AI, our international B2B strategy has been validated with major international contracts and a serie-A fundraising led by EduCapital, the biggest EdTech VC in Eu"&amp;"rope. EvidenceB has buiilt strong partnerships with EdTech, Publishers, Distributors and Institutions / Ministries of Education, in an internationally scalable BtoB approach.")</f>
        <v/>
      </c>
      <c r="G313" s="1">
        <f>IFERROR(__xludf.DUMMYFUNCTION("""COMPUTED_VALUE"""),"AFINEF, EdTech France")</f>
        <v/>
      </c>
      <c r="H313" s="1">
        <f>IFERROR(__xludf.DUMMYFUNCTION("""COMPUTED_VALUE"""),"French, English, Spanish")</f>
        <v/>
      </c>
      <c r="I313" s="1">
        <f>IFERROR(__xludf.DUMMYFUNCTION("""COMPUTED_VALUE"""),"contact@evidenceB.com")</f>
        <v/>
      </c>
      <c r="J313" s="1">
        <f>IFERROR(__xludf.DUMMYFUNCTION("""COMPUTED_VALUE"""),"+33632678714")</f>
        <v/>
      </c>
      <c r="K313" s="1">
        <f>IFERROR(__xludf.DUMMYFUNCTION("""COMPUTED_VALUE"""),"PARIS 18")</f>
        <v/>
      </c>
      <c r="L313" s="1">
        <f>IFERROR(__xludf.DUMMYFUNCTION("""COMPUTED_VALUE"""),"France")</f>
        <v/>
      </c>
      <c r="M313" s="1">
        <f>IFERROR(__xludf.DUMMYFUNCTION("""COMPUTED_VALUE"""),"Belgium, Denmark, France, Germany, Ireland, Italy, Luxembourg, Spain, Switzerland, United Kingdom")</f>
        <v/>
      </c>
      <c r="N313" s="1">
        <f>IFERROR(__xludf.DUMMYFUNCTION("""COMPUTED_VALUE"""),"11 to 50")</f>
        <v/>
      </c>
      <c r="O313" s="1">
        <f>IFERROR(__xludf.DUMMYFUNCTION("""COMPUTED_VALUE"""),"Business to Business, Business to Consumer, Business to Government, Business to Schools")</f>
        <v/>
      </c>
      <c r="P313" s="1">
        <f>IFERROR(__xludf.DUMMYFUNCTION("""COMPUTED_VALUE"""),"Primary Education, Secondary Education, Corporate Training, Higher Education")</f>
        <v/>
      </c>
      <c r="Q313" s="1">
        <f>IFERROR(__xludf.DUMMYFUNCTION("""COMPUTED_VALUE"""),"Student interfacing, Teacher interfacing, System/Administrative")</f>
        <v/>
      </c>
      <c r="R313" s="15">
        <f>IFERROR(__xludf.DUMMYFUNCTION("""COMPUTED_VALUE"""),"https://www.instagram.com/adaptivmath/")</f>
        <v/>
      </c>
      <c r="S313" s="15">
        <f>IFERROR(__xludf.DUMMYFUNCTION("""COMPUTED_VALUE"""),"https://twitter.com/T_EvidenceB")</f>
        <v/>
      </c>
      <c r="T313" s="15">
        <f>IFERROR(__xludf.DUMMYFUNCTION("""COMPUTED_VALUE"""),"https://www.linkedin.com/company/evidenceb-inside")</f>
        <v/>
      </c>
      <c r="U313" s="1">
        <f>IFERROR(__xludf.DUMMYFUNCTION("""COMPUTED_VALUE"""),"EvidenceB Intelligent Tutoring System SaaS")</f>
        <v/>
      </c>
      <c r="V313" s="1">
        <f>IFERROR(__xludf.DUMMYFUNCTION("""COMPUTED_VALUE"""),"EvidenceB ITS (Intelligent Tutoring System) Saas :
1- Analyzes the student's level of mastery of a given concept through a placement test (novice level, expert level, level of conceptual understanding...)
2- Provides recommendations for suitable types of"&amp;" resources based on the level of mastery (EvidenceB remediation modules or other resources from publishers or teachers).
3- Within the chosen resource, automates and personalizes the student's learning path to enhance their mastery of the concept and intr"&amp;"insic motivation, including:
- A personalized sequence of activities
- Personalized feedback
- Motivational messages
- Metacognitive support
- Training in challenging questions
4- Allows the student to change roles, transitioning from ""learner"" to ""tea"&amp;"cher.""
5- Offers the student learning assessments through:
- A dashboard
- Achievement verification tests
- Reviews
6- Facilitates interactions between the student and their human tutor, including:
- The option for the student to request assistance from "&amp;"their human tutor
- A teacher's dashboard with visualization of results and alerts for the class, groups of students, and individual students
- The ability for the human tutor to create new resources based on their dashboard results.")</f>
        <v/>
      </c>
      <c r="W313" s="1">
        <f>IFERROR(__xludf.DUMMYFUNCTION("""COMPUTED_VALUE"""),"Adaptiv'Math")</f>
        <v/>
      </c>
      <c r="X313" s="1">
        <f>IFERROR(__xludf.DUMMYFUNCTION("""COMPUTED_VALUE"""),"Adaptiv'Math offers a personalised path for each student, drawing on a bank of over 10000 self-correcting exercises, presented in 5 modules:
Number 's Sense (Module 1) which, starting from the innate ability to perceive and process quantities, works on t"&amp;"he principles of cardinality, successor, decomposition and position in a variety of exercises that lead the student to compare, position on the number line, order and link symbolic and non-symbolic representations of numbers.
Calculation (Module 2) reinf"&amp;"orces the understanding of operations and their properties by systematically switching back and forth between mathematical symbols and object manipulation, and by consolidating key numerical facts through repetition.
Arithmetic Problem Solving (Module 3)"&amp;" and Scale and Measurement (Module 4) approach the four operations based on intuitive scenarios, taken from students' everyday life, designed to enable students to work beyond intuitive knowledge and develop thorough understanding of the four operations.
"&amp;"
Adaptiv'Math has been developed in partnership with the French Ministry of Education's Artifial Intelligence Innovation Program (P2IA) for early primary students throughout France.")</f>
        <v/>
      </c>
      <c r="Y313" s="15">
        <f>IFERROR(__xludf.DUMMYFUNCTION("""COMPUTED_VALUE"""),"https://drive.google.com/uc?export=view&amp;id=1f32KSaOBheKkP9KbCtUGu_nhD6qcnqts")</f>
        <v/>
      </c>
      <c r="Z313" s="1">
        <f>IFERROR(__xludf.DUMMYFUNCTION("""COMPUTED_VALUE"""),"Unverified")</f>
        <v/>
      </c>
      <c r="AA313" s="1" t="n"/>
      <c r="AB313" s="1" t="n"/>
      <c r="AC313" s="1" t="n"/>
      <c r="AD313" s="1" t="n"/>
      <c r="AE313" s="1" t="n"/>
    </row>
    <row r="314" ht="42" customHeight="1">
      <c r="A314" s="14">
        <f>IFERROR(__xludf.DUMMYFUNCTION("""COMPUTED_VALUE"""),45679)</f>
        <v/>
      </c>
      <c r="B314" s="1">
        <f>IFERROR(__xludf.DUMMYFUNCTION("""COMPUTED_VALUE"""),"ORG_1635")</f>
        <v/>
      </c>
      <c r="C314" s="1">
        <f>IFERROR(__xludf.DUMMYFUNCTION("""COMPUTED_VALUE"""),TRUE)</f>
        <v/>
      </c>
      <c r="D314" s="1">
        <f>IFERROR(__xludf.DUMMYFUNCTION("""COMPUTED_VALUE"""),"Good2Learn")</f>
        <v/>
      </c>
      <c r="E314" s="15">
        <f>IFERROR(__xludf.DUMMYFUNCTION("""COMPUTED_VALUE"""),"www.good2learn.com")</f>
        <v/>
      </c>
      <c r="F314" s="1">
        <f>IFERROR(__xludf.DUMMYFUNCTION("""COMPUTED_VALUE"""),"Good2Learn is a multi award-winning Ed Tech enterprise, based at the Centre for Digital Innovation (C4DI) in Hull, and part of Barclay’s Eagle Labs tech eco system. Focusing mainly on KS2 and KS3 maths and English learning, the innovative platform compris"&amp;"es of short engaging video lessons using ‘real presenters’, accompanied by automated interactive exercises. Children are rewarded with medals and certificates boosting their confidence whilst teachers can easily keep track on their progress and developmen"&amp;"t. The cloud-based platform can be accessed any time on any device that has an internet connection; there are no Apps to download or software to update.
One of the many key benefits schools pay reverence to is that the platform is uniquely knowledge depe"&amp;"ndent and not age or year-group dependent. It eliminates any feeling of peer-pressure or embarrassment when pupils need to back-track to fill in knowledge gaps.
The intuitive platform, powered by AWS – Amazon Web Services, has proven to significantly red"&amp;"uce teacher workload; saving weighty resource planning and assessment time. The innovative software monitors pupil progress and provides crucial insights by pinpointing areas where pupils need targeted intervention. The platform is currently used in schoo"&amp;"ls to very effectively bridge gaps in pupils’ attainment targets and is perfect for intervention groups. 
The platform, designed by UK teachers, is backed and used by schools to support teachers’ delivery of the curriculum. In addition to mainstream scho"&amp;"ols, Good2Learn also provide its services to governmental local authorities; Virtual School for Looked after Children, Pupil Referral Units, Special Needs and Disability Schools and recently a national foster care group. 
The platform promotes in-class a"&amp;"nd remote independent learning, enriches children’s educational journey and makes a significant impact on pupil and school attainment trajectory. 
These are very challenging times for schools, particularly with thousands of children having to isolate fro"&amp;"m school. Good2Learn is very well positioned to make an immediate impact by: ensuring continuity for schools, making school-life easier for teachers and most importantly, keeping children’s learning uninterrupted. 
As part of their expansion plans, Good2"&amp;"Learn are offering a free term trial for schools and Multi Academy Trusts. The on-boarding process is seamless and starts with a thirty-minute video call.
Here are a few key features:
* Online Maths and English Lessons for ages 7 - 16 years
* Designed b"&amp;"y teachers - loved by pupils - backed by schools
* Short 5-10 minute engaging video lessons with ‘real presenters’
* Intuitive and interactive exercises with instant feedback for children and teachers
* Easy monitoring and progress tracking statistics for"&amp;" schools and teachers 
* Pinpoints strengths and areas for development
* Knowledge dependent - not restricted by age or year group
* Colour blind and dyslexic friendly
* Rewards, certificates and confidence boosting incentives for children
* Cloud-based, "&amp;"unlimited use on any device at anytime - no Apps to download or update")</f>
        <v/>
      </c>
      <c r="G314" s="1">
        <f>IFERROR(__xludf.DUMMYFUNCTION("""COMPUTED_VALUE"""),"I'm not part of any EdTech association")</f>
        <v/>
      </c>
      <c r="H314" s="1" t="n"/>
      <c r="I314" s="1">
        <f>IFERROR(__xludf.DUMMYFUNCTION("""COMPUTED_VALUE"""),"paul@good2learn.com")</f>
        <v/>
      </c>
      <c r="J314" s="1">
        <f>IFERROR(__xludf.DUMMYFUNCTION("""COMPUTED_VALUE"""),"+447710677769")</f>
        <v/>
      </c>
      <c r="K314" s="1">
        <f>IFERROR(__xludf.DUMMYFUNCTION("""COMPUTED_VALUE"""),"HULL")</f>
        <v/>
      </c>
      <c r="L314" s="1">
        <f>IFERROR(__xludf.DUMMYFUNCTION("""COMPUTED_VALUE"""),"United Kingdom")</f>
        <v/>
      </c>
      <c r="M314" s="1">
        <f>IFERROR(__xludf.DUMMYFUNCTION("""COMPUTED_VALUE"""),"Ireland, Poland, Spain, United Kingdom")</f>
        <v/>
      </c>
      <c r="N314" s="1">
        <f>IFERROR(__xludf.DUMMYFUNCTION("""COMPUTED_VALUE"""),"0 to 10")</f>
        <v/>
      </c>
      <c r="O314" s="1">
        <f>IFERROR(__xludf.DUMMYFUNCTION("""COMPUTED_VALUE"""),"Business to Business, Business to Consumer, Business to Schools")</f>
        <v/>
      </c>
      <c r="P314" s="1">
        <f>IFERROR(__xludf.DUMMYFUNCTION("""COMPUTED_VALUE"""),"Primary Education, Secondary Education")</f>
        <v/>
      </c>
      <c r="Q314" s="1">
        <f>IFERROR(__xludf.DUMMYFUNCTION("""COMPUTED_VALUE"""),"System/Administrative, Student interfacing, Teacher interfacing")</f>
        <v/>
      </c>
      <c r="R314" s="1" t="n"/>
      <c r="S314" s="1" t="n"/>
      <c r="T314" s="1" t="n"/>
      <c r="U314" s="1" t="n"/>
      <c r="V314" s="1" t="n"/>
      <c r="W314" s="1" t="n"/>
      <c r="X314" s="1" t="n"/>
      <c r="Y314" s="15">
        <f>IFERROR(__xludf.DUMMYFUNCTION("""COMPUTED_VALUE"""),"https://drive.google.com/uc?export=view&amp;id=1SLTz3Q6pM1s_z-7lmLEcJFDvbrrJgKjJ")</f>
        <v/>
      </c>
      <c r="Z314" s="1">
        <f>IFERROR(__xludf.DUMMYFUNCTION("""COMPUTED_VALUE"""),"Unverified")</f>
        <v/>
      </c>
      <c r="AA314" s="1" t="n"/>
      <c r="AB314" s="1" t="n"/>
      <c r="AC314" s="1" t="n"/>
      <c r="AD314" s="1" t="n"/>
      <c r="AE314" s="1" t="n"/>
    </row>
    <row r="315" ht="42" customHeight="1">
      <c r="A315" s="14">
        <f>IFERROR(__xludf.DUMMYFUNCTION("""COMPUTED_VALUE"""),45679)</f>
        <v/>
      </c>
      <c r="B315" s="1">
        <f>IFERROR(__xludf.DUMMYFUNCTION("""COMPUTED_VALUE"""),"ORG_1695")</f>
        <v/>
      </c>
      <c r="C315" s="1">
        <f>IFERROR(__xludf.DUMMYFUNCTION("""COMPUTED_VALUE"""),TRUE)</f>
        <v/>
      </c>
      <c r="D315" s="1">
        <f>IFERROR(__xludf.DUMMYFUNCTION("""COMPUTED_VALUE"""),"Hypatia Learning AS")</f>
        <v/>
      </c>
      <c r="E315" s="15">
        <f>IFERROR(__xludf.DUMMYFUNCTION("""COMPUTED_VALUE"""),"https://www.hypatia-learning.com/")</f>
        <v/>
      </c>
      <c r="F315" s="1">
        <f>IFERROR(__xludf.DUMMYFUNCTION("""COMPUTED_VALUE"""),"The future of education is based on data.
Hypatia Learning provide a digital infrastructure that gives the educational institutions the possibility to govern all data produced by learners from their digital learning activities, to meet ePrivacy and GDPR r"&amp;"egulations.
We provide different tools that focuses on the learning process. We have a collection of tools supporting different aspects of ""Assessment for Learning"" that gives educators a better view where individual learners are on their learning journ"&amp;"ey. We pedagogical AI to provide better insight to learners and educator enabling a more individualized adapted learning experience.
We develop tools that help educators to better understand what learners actually learn in contrast to a focus on what has "&amp;"been taught.")</f>
        <v/>
      </c>
      <c r="G315" s="1">
        <f>IFERROR(__xludf.DUMMYFUNCTION("""COMPUTED_VALUE"""),"I'm not part of any EdTech association")</f>
        <v/>
      </c>
      <c r="H315" s="1">
        <f>IFERROR(__xludf.DUMMYFUNCTION("""COMPUTED_VALUE"""),"All")</f>
        <v/>
      </c>
      <c r="I315" s="1">
        <f>IFERROR(__xludf.DUMMYFUNCTION("""COMPUTED_VALUE"""),"learning@hypatia.no")</f>
        <v/>
      </c>
      <c r="J315" s="1">
        <f>IFERROR(__xludf.DUMMYFUNCTION("""COMPUTED_VALUE"""),"+4790129642")</f>
        <v/>
      </c>
      <c r="K315" s="1">
        <f>IFERROR(__xludf.DUMMYFUNCTION("""COMPUTED_VALUE"""),"FREDRIKSTAD")</f>
        <v/>
      </c>
      <c r="L315" s="1">
        <f>IFERROR(__xludf.DUMMYFUNCTION("""COMPUTED_VALUE"""),"Norway")</f>
        <v/>
      </c>
      <c r="M315" s="1">
        <f>IFERROR(__xludf.DUMMYFUNCTION("""COMPUTED_VALUE"""),"Norway")</f>
        <v/>
      </c>
      <c r="N315" s="1">
        <f>IFERROR(__xludf.DUMMYFUNCTION("""COMPUTED_VALUE"""),"0 to 2")</f>
        <v/>
      </c>
      <c r="O315" s="1">
        <f>IFERROR(__xludf.DUMMYFUNCTION("""COMPUTED_VALUE"""),"Business to Business, Business to Government")</f>
        <v/>
      </c>
      <c r="P315" s="1">
        <f>IFERROR(__xludf.DUMMYFUNCTION("""COMPUTED_VALUE"""),"Primary Education, Secondary Education, Corporate Training, Lifelong learning/Adult education, Vocational Education and Training (VET), Higher Education")</f>
        <v/>
      </c>
      <c r="Q315" s="1">
        <f>IFERROR(__xludf.DUMMYFUNCTION("""COMPUTED_VALUE"""),"Student interfacing, Teacher interfacing, System/Administrative")</f>
        <v/>
      </c>
      <c r="R315" s="15">
        <f>IFERROR(__xludf.DUMMYFUNCTION("""COMPUTED_VALUE"""),"https://www.instagram.com/hypatialearning/")</f>
        <v/>
      </c>
      <c r="S315" s="1">
        <f>IFERROR(__xludf.DUMMYFUNCTION("""COMPUTED_VALUE"""),"@hypatialearning")</f>
        <v/>
      </c>
      <c r="T315" s="15">
        <f>IFERROR(__xludf.DUMMYFUNCTION("""COMPUTED_VALUE"""),"https://www.linkedin.com/company/hypatialearning/")</f>
        <v/>
      </c>
      <c r="U315" s="1">
        <f>IFERROR(__xludf.DUMMYFUNCTION("""COMPUTED_VALUE"""),"Assessment For Learning")</f>
        <v/>
      </c>
      <c r="V315" s="1">
        <f>IFERROR(__xludf.DUMMYFUNCTION("""COMPUTED_VALUE"""),"Supports the pedagogical process of Assessment for Learning, such as insight into learners perspective on school environment, learning environment in class. Defining learning outcomes together with learners, and learners perspective of their understanding"&amp;" of the learning outcome. We support deep learning and evolving of learners metacognitive processes. We use pedagogical AI to provide individual feedback in writing processes. Assignments could be assessed by the educator or peer-reviewed by Lerners.")</f>
        <v/>
      </c>
      <c r="W315" s="1">
        <f>IFERROR(__xludf.DUMMYFUNCTION("""COMPUTED_VALUE"""),"Learning Service Infrastructure")</f>
        <v/>
      </c>
      <c r="X315" s="1">
        <f>IFERROR(__xludf.DUMMYFUNCTION("""COMPUTED_VALUE"""),"The future of education is based on data, and to create value from data to schools, educators, learners, parents and the school-owners we first need to have a secure governance of all data produced by the learners.
With our solutions the data could be gov"&amp;"erned and managed by the educational institutions, or by a selected third party.
When the educational institutions govern their own data, a new set of services using pedagocial AI could be applied to on the collated set of data from all learners.")</f>
        <v/>
      </c>
      <c r="Y315" s="15">
        <f>IFERROR(__xludf.DUMMYFUNCTION("""COMPUTED_VALUE"""),"https://drive.google.com/uc?export=view&amp;id=1I5QwkeyEy4LKDT1vkYVANXOWLEsR8KeV")</f>
        <v/>
      </c>
      <c r="Z315" s="1">
        <f>IFERROR(__xludf.DUMMYFUNCTION("""COMPUTED_VALUE"""),"Unverified")</f>
        <v/>
      </c>
      <c r="AA315" s="1" t="n"/>
      <c r="AB315" s="1" t="n"/>
      <c r="AC315" s="1" t="n"/>
      <c r="AD315" s="1" t="n"/>
      <c r="AE315" s="1" t="n"/>
    </row>
    <row r="316" ht="42" customHeight="1">
      <c r="A316" s="14">
        <f>IFERROR(__xludf.DUMMYFUNCTION("""COMPUTED_VALUE"""),45679)</f>
        <v/>
      </c>
      <c r="B316" s="1">
        <f>IFERROR(__xludf.DUMMYFUNCTION("""COMPUTED_VALUE"""),"ORG_2098")</f>
        <v/>
      </c>
      <c r="C316" s="1">
        <f>IFERROR(__xludf.DUMMYFUNCTION("""COMPUTED_VALUE"""),TRUE)</f>
        <v/>
      </c>
      <c r="D316" s="1">
        <f>IFERROR(__xludf.DUMMYFUNCTION("""COMPUTED_VALUE"""),"phase6")</f>
        <v/>
      </c>
      <c r="E316" s="15">
        <f>IFERROR(__xludf.DUMMYFUNCTION("""COMPUTED_VALUE"""),"www.phase6.de")</f>
        <v/>
      </c>
      <c r="F316" s="1">
        <f>IFERROR(__xludf.DUMMYFUNCTION("""COMPUTED_VALUE"""),"phase6 is the market leader in digital vocabulary training in the DACH region.
phase6 is the only provider in Germany to offer tailor-made digital vocabulary lists for school books for all common language textbooks in cooperation with all leading textbook"&amp;" and educational publishers.")</f>
        <v/>
      </c>
      <c r="G316" s="1">
        <f>IFERROR(__xludf.DUMMYFUNCTION("""COMPUTED_VALUE"""),"I'm not part of any EdTech association")</f>
        <v/>
      </c>
      <c r="H316" s="1" t="n"/>
      <c r="I316" s="1">
        <f>IFERROR(__xludf.DUMMYFUNCTION("""COMPUTED_VALUE"""),"info@phase6.de")</f>
        <v/>
      </c>
      <c r="J316" s="1" t="n"/>
      <c r="K316" s="1">
        <f>IFERROR(__xludf.DUMMYFUNCTION("""COMPUTED_VALUE"""),"BERLIN")</f>
        <v/>
      </c>
      <c r="L316" s="1">
        <f>IFERROR(__xludf.DUMMYFUNCTION("""COMPUTED_VALUE"""),"Germany")</f>
        <v/>
      </c>
      <c r="M316" s="1">
        <f>IFERROR(__xludf.DUMMYFUNCTION("""COMPUTED_VALUE"""),"Austria, Germany, Luxembourg, Switzerland")</f>
        <v/>
      </c>
      <c r="N316" s="1">
        <f>IFERROR(__xludf.DUMMYFUNCTION("""COMPUTED_VALUE"""),"11 to 50")</f>
        <v/>
      </c>
      <c r="O316" s="1">
        <f>IFERROR(__xludf.DUMMYFUNCTION("""COMPUTED_VALUE"""),"Business to Consumer")</f>
        <v/>
      </c>
      <c r="P316" s="1">
        <f>IFERROR(__xludf.DUMMYFUNCTION("""COMPUTED_VALUE"""),"Primary Education, Secondary Education, Higher Education, Corporate Training, Lifelong learning/Adult education")</f>
        <v/>
      </c>
      <c r="Q316" s="1">
        <f>IFERROR(__xludf.DUMMYFUNCTION("""COMPUTED_VALUE"""),"System/Administrative, Student interfacing, Teacher interfacing")</f>
        <v/>
      </c>
      <c r="R316" s="1" t="n"/>
      <c r="S316" s="1" t="n"/>
      <c r="T316" s="1" t="n"/>
      <c r="U316" s="1">
        <f>IFERROR(__xludf.DUMMYFUNCTION("""COMPUTED_VALUE"""),"phase6")</f>
        <v/>
      </c>
      <c r="V316" s="1">
        <f>IFERROR(__xludf.DUMMYFUNCTION("""COMPUTED_VALUE"""),"phase6 is Germany's leading vocabulary trainer. phase6 is the only app to offer vocabulary lists for all current course books and schoolbooks developed in close cooperation with Germany's leading educational publishers. 
phase6 provides systematic trainin"&amp;"g in vocabulary with lasting success. The app is based in the learner's current state of knowledge. More difficult words are repeated more frequently than ones which the learner already knows well.")</f>
        <v/>
      </c>
      <c r="W316" s="1" t="n"/>
      <c r="X316" s="1" t="n"/>
      <c r="Y316" s="15">
        <f>IFERROR(__xludf.DUMMYFUNCTION("""COMPUTED_VALUE"""),"https://drive.google.com/uc?export=view&amp;id=1HpwGQ0v0w0b08HQ4Xu1Hv2kHv2ie967Q")</f>
        <v/>
      </c>
      <c r="Z316" s="1">
        <f>IFERROR(__xludf.DUMMYFUNCTION("""COMPUTED_VALUE"""),"Unverified")</f>
        <v/>
      </c>
      <c r="AA316" s="1" t="n"/>
      <c r="AB316" s="1" t="n"/>
      <c r="AC316" s="1" t="n"/>
      <c r="AD316" s="1" t="n"/>
      <c r="AE316" s="1" t="n"/>
    </row>
    <row r="317" ht="42" customHeight="1">
      <c r="A317" s="14">
        <f>IFERROR(__xludf.DUMMYFUNCTION("""COMPUTED_VALUE"""),45679)</f>
        <v/>
      </c>
      <c r="B317" s="1">
        <f>IFERROR(__xludf.DUMMYFUNCTION("""COMPUTED_VALUE"""),"ORG_1309")</f>
        <v/>
      </c>
      <c r="C317" s="1">
        <f>IFERROR(__xludf.DUMMYFUNCTION("""COMPUTED_VALUE"""),TRUE)</f>
        <v/>
      </c>
      <c r="D317" s="1">
        <f>IFERROR(__xludf.DUMMYFUNCTION("""COMPUTED_VALUE"""),"CreativeHUT")</f>
        <v/>
      </c>
      <c r="E317" s="15">
        <f>IFERROR(__xludf.DUMMYFUNCTION("""COMPUTED_VALUE"""),"www.creative-hut.com")</f>
        <v/>
      </c>
      <c r="F317" s="1">
        <f>IFERROR(__xludf.DUMMYFUNCTION("""COMPUTED_VALUE"""),"CreativeHUT are a STEAM Education resources and training provider also delivering state of the art learning centres and engaging edutainment experience days.
Catering for learning from early years right through to higher and further education. Our missio"&amp;"n is to create lifelong learners, through get hands on resources. Providing the tools and inspiration requited to develop 21st Century Learning Skills for a future yet to be determined.")</f>
        <v/>
      </c>
      <c r="G317" s="1">
        <f>IFERROR(__xludf.DUMMYFUNCTION("""COMPUTED_VALUE"""),"I'm not part of any EdTech association")</f>
        <v/>
      </c>
      <c r="H317" s="1" t="n"/>
      <c r="I317" s="1">
        <f>IFERROR(__xludf.DUMMYFUNCTION("""COMPUTED_VALUE"""),"paul@creative-hut.com")</f>
        <v/>
      </c>
      <c r="J317" s="1">
        <f>IFERROR(__xludf.DUMMYFUNCTION("""COMPUTED_VALUE"""),"7885213065")</f>
        <v/>
      </c>
      <c r="K317" s="1">
        <f>IFERROR(__xludf.DUMMYFUNCTION("""COMPUTED_VALUE"""),"WARRINGTON")</f>
        <v/>
      </c>
      <c r="L317" s="1">
        <f>IFERROR(__xludf.DUMMYFUNCTION("""COMPUTED_VALUE"""),"United Kingdom")</f>
        <v/>
      </c>
      <c r="M317" s="1">
        <f>IFERROR(__xludf.DUMMYFUNCTION("""COMPUTED_VALUE"""),"United Kingdom")</f>
        <v/>
      </c>
      <c r="N317" s="1">
        <f>IFERROR(__xludf.DUMMYFUNCTION("""COMPUTED_VALUE"""),"0 to 10")</f>
        <v/>
      </c>
      <c r="O317" s="1">
        <f>IFERROR(__xludf.DUMMYFUNCTION("""COMPUTED_VALUE"""),"Business to Business")</f>
        <v/>
      </c>
      <c r="P317" s="1">
        <f>IFERROR(__xludf.DUMMYFUNCTION("""COMPUTED_VALUE"""),"Early childhood development (0-5 years), Primary Education, Secondary Education, Higher Education, Corporate Training, Lifelong learning/Adult education")</f>
        <v/>
      </c>
      <c r="Q317" s="1">
        <f>IFERROR(__xludf.DUMMYFUNCTION("""COMPUTED_VALUE"""),"System/Administrative, Student interfacing, Teacher interfacing")</f>
        <v/>
      </c>
      <c r="R317" s="1" t="n"/>
      <c r="S317" s="1" t="n"/>
      <c r="T317" s="1" t="n"/>
      <c r="U317" s="1" t="n"/>
      <c r="V317" s="1" t="n"/>
      <c r="W317" s="1" t="n"/>
      <c r="X317" s="1" t="n"/>
      <c r="Y317" s="15">
        <f>IFERROR(__xludf.DUMMYFUNCTION("""COMPUTED_VALUE"""),"https://drive.google.com/uc?export=view&amp;id=1ZZY2AIlTDFjH-D-6_u6USIElYG0fiyEx")</f>
        <v/>
      </c>
      <c r="Z317" s="1">
        <f>IFERROR(__xludf.DUMMYFUNCTION("""COMPUTED_VALUE"""),"Unverified")</f>
        <v/>
      </c>
      <c r="AA317" s="1" t="n"/>
      <c r="AB317" s="1" t="n"/>
      <c r="AC317" s="1" t="n"/>
      <c r="AD317" s="1" t="n"/>
      <c r="AE317" s="1" t="n"/>
    </row>
    <row r="318" ht="42" customHeight="1">
      <c r="A318" s="14">
        <f>IFERROR(__xludf.DUMMYFUNCTION("""COMPUTED_VALUE"""),45679)</f>
        <v/>
      </c>
      <c r="B318" s="1">
        <f>IFERROR(__xludf.DUMMYFUNCTION("""COMPUTED_VALUE"""),"ORG_1771")</f>
        <v/>
      </c>
      <c r="C318" s="1">
        <f>IFERROR(__xludf.DUMMYFUNCTION("""COMPUTED_VALUE"""),TRUE)</f>
        <v/>
      </c>
      <c r="D318" s="1">
        <f>IFERROR(__xludf.DUMMYFUNCTION("""COMPUTED_VALUE"""),"Kikora")</f>
        <v/>
      </c>
      <c r="E318" s="15">
        <f>IFERROR(__xludf.DUMMYFUNCTION("""COMPUTED_VALUE"""),"www.kikora.no")</f>
        <v/>
      </c>
      <c r="F318" s="1">
        <f>IFERROR(__xludf.DUMMYFUNCTION("""COMPUTED_VALUE"""),"Kikora is a learning platform withing maths, and a leading edtech company in Scandinavia. 
With our unique math engine we provide the students with step-by-step feedback, enhancing the importance of the mathematical process, and not just end-answer verif"&amp;"ication. With hundreds of digital interactive mathematical concretes we are explorative by nature, learning students topics by activating them. In Kikora you will also find a classroom discussion tool, programming and an low-stake assessment feature. 
Ki"&amp;"kora is one of the market leader within digital maths in Scandinvaia. We are present in Germany and France through partnerships. 
Kikora AS is a subsidiary of Inspera AS - a leading assessment platform globally")</f>
        <v/>
      </c>
      <c r="G318" s="1" t="n"/>
      <c r="H318" s="1" t="n"/>
      <c r="I318" s="1">
        <f>IFERROR(__xludf.DUMMYFUNCTION("""COMPUTED_VALUE"""),"info@kikora.no")</f>
        <v/>
      </c>
      <c r="J318" s="1" t="n"/>
      <c r="K318" s="1">
        <f>IFERROR(__xludf.DUMMYFUNCTION("""COMPUTED_VALUE"""),"Oslo")</f>
        <v/>
      </c>
      <c r="L318" s="1">
        <f>IFERROR(__xludf.DUMMYFUNCTION("""COMPUTED_VALUE"""),"Norway")</f>
        <v/>
      </c>
      <c r="M318" s="1">
        <f>IFERROR(__xludf.DUMMYFUNCTION("""COMPUTED_VALUE"""),"France, Germany, Norway, Sweden")</f>
        <v/>
      </c>
      <c r="N318" s="1">
        <f>IFERROR(__xludf.DUMMYFUNCTION("""COMPUTED_VALUE"""),"11 to 50")</f>
        <v/>
      </c>
      <c r="O318" s="1">
        <f>IFERROR(__xludf.DUMMYFUNCTION("""COMPUTED_VALUE"""),"Business to Business, Business to Consumer, Business to Schools")</f>
        <v/>
      </c>
      <c r="P318" s="1">
        <f>IFERROR(__xludf.DUMMYFUNCTION("""COMPUTED_VALUE"""),"Primary Education, Secondary Education")</f>
        <v/>
      </c>
      <c r="Q318" s="1">
        <f>IFERROR(__xludf.DUMMYFUNCTION("""COMPUTED_VALUE"""),"Student interfacing, Teacher interfacing")</f>
        <v/>
      </c>
      <c r="R318" s="1">
        <f>IFERROR(__xludf.DUMMYFUNCTION("""COMPUTED_VALUE"""),"Kikora AS")</f>
        <v/>
      </c>
      <c r="S318" s="1">
        <f>IFERROR(__xludf.DUMMYFUNCTION("""COMPUTED_VALUE"""),"Kikora AS")</f>
        <v/>
      </c>
      <c r="T318" s="1">
        <f>IFERROR(__xludf.DUMMYFUNCTION("""COMPUTED_VALUE"""),"https://no.linkedin.com › kikora-as")</f>
        <v/>
      </c>
      <c r="U318" s="1">
        <f>IFERROR(__xludf.DUMMYFUNCTION("""COMPUTED_VALUE"""),"Kikora")</f>
        <v/>
      </c>
      <c r="V318" s="1">
        <f>IFERROR(__xludf.DUMMYFUNCTION("""COMPUTED_VALUE"""),"Kikora is a mathematical univers. We cover the curriculum in Norway, Sweden, Germany and France. Grade 1-12. 
Our unique math engine we provide the students with step-by-step feedback. With hundreds of digital interactive mathematical concretes we are ex"&amp;"plorative by nature. We have more than 50 000 exercises, and the teacher has full oversight of all activities, tasks and work the class has done, and for the individual students.")</f>
        <v/>
      </c>
      <c r="W318" s="1" t="n"/>
      <c r="X318" s="1" t="n"/>
      <c r="Y318" s="15">
        <f>IFERROR(__xludf.DUMMYFUNCTION("""COMPUTED_VALUE"""),"https://drive.google.com/uc?export=view&amp;id=1ov4oT-5tAvROXFPJRFOSxeAHqgdMQjnH")</f>
        <v/>
      </c>
      <c r="Z318" s="1">
        <f>IFERROR(__xludf.DUMMYFUNCTION("""COMPUTED_VALUE"""),"Unverified")</f>
        <v/>
      </c>
      <c r="AA318" s="1" t="n"/>
      <c r="AB318" s="1" t="n"/>
      <c r="AC318" s="1" t="n"/>
      <c r="AD318" s="1" t="n"/>
      <c r="AE318" s="1" t="n"/>
    </row>
    <row r="319" ht="42" customHeight="1">
      <c r="A319" s="14">
        <f>IFERROR(__xludf.DUMMYFUNCTION("""COMPUTED_VALUE"""),45679)</f>
        <v/>
      </c>
      <c r="B319" s="1">
        <f>IFERROR(__xludf.DUMMYFUNCTION("""COMPUTED_VALUE"""),"ORG_1893")</f>
        <v/>
      </c>
      <c r="C319" s="1">
        <f>IFERROR(__xludf.DUMMYFUNCTION("""COMPUTED_VALUE"""),TRUE)</f>
        <v/>
      </c>
      <c r="D319" s="1">
        <f>IFERROR(__xludf.DUMMYFUNCTION("""COMPUTED_VALUE"""),"Ludenso")</f>
        <v/>
      </c>
      <c r="E319" s="15">
        <f>IFERROR(__xludf.DUMMYFUNCTION("""COMPUTED_VALUE"""),"https://ludenso.com/")</f>
        <v/>
      </c>
      <c r="F319" s="1">
        <f>IFERROR(__xludf.DUMMYFUNCTION("""COMPUTED_VALUE"""),"We are building a learning universe to empower all learners and educators with augmented reality (AR).")</f>
        <v/>
      </c>
      <c r="G319" s="1">
        <f>IFERROR(__xludf.DUMMYFUNCTION("""COMPUTED_VALUE"""),"Dutch EdTech, Swedish EdTech Industry, SuperCharger Ventures")</f>
        <v/>
      </c>
      <c r="H319" s="1">
        <f>IFERROR(__xludf.DUMMYFUNCTION("""COMPUTED_VALUE"""),"English")</f>
        <v/>
      </c>
      <c r="I319" s="1">
        <f>IFERROR(__xludf.DUMMYFUNCTION("""COMPUTED_VALUE"""),"ingrid@ludenso.com")</f>
        <v/>
      </c>
      <c r="J319" s="1">
        <f>IFERROR(__xludf.DUMMYFUNCTION("""COMPUTED_VALUE"""),"+4747643427")</f>
        <v/>
      </c>
      <c r="K319" s="1">
        <f>IFERROR(__xludf.DUMMYFUNCTION("""COMPUTED_VALUE"""),"OSLO")</f>
        <v/>
      </c>
      <c r="L319" s="1">
        <f>IFERROR(__xludf.DUMMYFUNCTION("""COMPUTED_VALUE"""),"Norway")</f>
        <v/>
      </c>
      <c r="M319" s="1">
        <f>IFERROR(__xludf.DUMMYFUNCTION("""COMPUTED_VALUE"""),"Belgium, Germany, Greece, Norway, Sweden, United Kingdom")</f>
        <v/>
      </c>
      <c r="N319" s="1">
        <f>IFERROR(__xludf.DUMMYFUNCTION("""COMPUTED_VALUE"""),"6 to 10")</f>
        <v/>
      </c>
      <c r="O319" s="1">
        <f>IFERROR(__xludf.DUMMYFUNCTION("""COMPUTED_VALUE"""),"Business to Business, Business to Government")</f>
        <v/>
      </c>
      <c r="P319" s="1">
        <f>IFERROR(__xludf.DUMMYFUNCTION("""COMPUTED_VALUE"""),"Primary Education, Secondary Education, Vocational Education and Training (VET), Higher Education")</f>
        <v/>
      </c>
      <c r="Q319" s="1">
        <f>IFERROR(__xludf.DUMMYFUNCTION("""COMPUTED_VALUE"""),"Student interfacing, Teacher interfacing, System/Administrative")</f>
        <v/>
      </c>
      <c r="R319" s="15">
        <f>IFERROR(__xludf.DUMMYFUNCTION("""COMPUTED_VALUE"""),"https://www.instagram.com/byludenso/?hl=en")</f>
        <v/>
      </c>
      <c r="S319" s="15">
        <f>IFERROR(__xludf.DUMMYFUNCTION("""COMPUTED_VALUE"""),"https://twitter.com/ByLudenso")</f>
        <v/>
      </c>
      <c r="T319" s="15">
        <f>IFERROR(__xludf.DUMMYFUNCTION("""COMPUTED_VALUE"""),"https://www.linkedin.com/company/11865939/admin/feed/posts/")</f>
        <v/>
      </c>
      <c r="U319" s="1">
        <f>IFERROR(__xludf.DUMMYFUNCTION("""COMPUTED_VALUE"""),"Ludenso Explore")</f>
        <v/>
      </c>
      <c r="V319" s="1">
        <f>IFERROR(__xludf.DUMMYFUNCTION("""COMPUTED_VALUE"""),"Ludenso Explore AR app, recognized as the ""Best Free App"" in the BETT Awards, seamlessly integrates textbooks with digital resources, offering an immersive educational experience. By bridging the gap between printed materials and technology, it enriches"&amp;" learning through videos, audio support, and interactive 3D models, enhancing engagement and comprehension for students.")</f>
        <v/>
      </c>
      <c r="W319" s="1">
        <f>IFERROR(__xludf.DUMMYFUNCTION("""COMPUTED_VALUE"""),"Ludenso Studio")</f>
        <v/>
      </c>
      <c r="X319" s="1">
        <f>IFERROR(__xludf.DUMMYFUNCTION("""COMPUTED_VALUE"""),"Ludenso Studio is a dynamic platform enabling publishers in the US, UK, Nordics, Greece, and Belgium to effortlessly enhance their textbooks with engaging augmented reality (AR) content. This tool seamlessly integrates 3D models, videos, and audio support"&amp;", breathing life into traditional learning materials, and adapting them to the digital age.")</f>
        <v/>
      </c>
      <c r="Y319" s="15">
        <f>IFERROR(__xludf.DUMMYFUNCTION("""COMPUTED_VALUE"""),"https://drive.google.com/uc?export=view&amp;id=1DVzKbCF-0LHGs4q7RsJeIVSAhhMencNj")</f>
        <v/>
      </c>
      <c r="Z319" s="1">
        <f>IFERROR(__xludf.DUMMYFUNCTION("""COMPUTED_VALUE"""),"Unverified")</f>
        <v/>
      </c>
      <c r="AA319" s="1" t="n"/>
      <c r="AB319" s="1" t="n"/>
      <c r="AC319" s="1" t="n"/>
      <c r="AD319" s="1" t="n"/>
      <c r="AE319" s="1" t="n"/>
    </row>
    <row r="320" ht="42" customHeight="1">
      <c r="A320" s="14">
        <f>IFERROR(__xludf.DUMMYFUNCTION("""COMPUTED_VALUE"""),45679)</f>
        <v/>
      </c>
      <c r="B320" s="1">
        <f>IFERROR(__xludf.DUMMYFUNCTION("""COMPUTED_VALUE"""),"ORG_2029")</f>
        <v/>
      </c>
      <c r="C320" s="1">
        <f>IFERROR(__xludf.DUMMYFUNCTION("""COMPUTED_VALUE"""),TRUE)</f>
        <v/>
      </c>
      <c r="D320" s="1">
        <f>IFERROR(__xludf.DUMMYFUNCTION("""COMPUTED_VALUE"""),"NetSupport")</f>
        <v/>
      </c>
      <c r="E320" s="15">
        <f>IFERROR(__xludf.DUMMYFUNCTION("""COMPUTED_VALUE"""),"www.netsupportsoftware.com")</f>
        <v/>
      </c>
      <c r="F320" s="1">
        <f>IFERROR(__xludf.DUMMYFUNCTION("""COMPUTED_VALUE"""),"NetSupport are a UK based EdTech company, with offices in Atlanta, Toronto and Munich, that creates solutions for school IT Management, Online Safety, Classroom Orchestration, Alerting and Remote support tools. NetSupport has been developing EdTech soluti"&amp;"ons for 33 years and has an install base exceeding 19 million users in over 110 countries.")</f>
        <v/>
      </c>
      <c r="G320" s="1">
        <f>IFERROR(__xludf.DUMMYFUNCTION("""COMPUTED_VALUE"""),"I'm not part of any EdTech association")</f>
        <v/>
      </c>
      <c r="H320" s="1" t="n"/>
      <c r="I320" s="1">
        <f>IFERROR(__xludf.DUMMYFUNCTION("""COMPUTED_VALUE"""),"sales@netsupportsoftware.com")</f>
        <v/>
      </c>
      <c r="J320" s="1">
        <f>IFERROR(__xludf.DUMMYFUNCTION("""COMPUTED_VALUE"""),"+44 1778 382270")</f>
        <v/>
      </c>
      <c r="K320" s="1">
        <f>IFERROR(__xludf.DUMMYFUNCTION("""COMPUTED_VALUE"""),"PETERBOROUGH")</f>
        <v/>
      </c>
      <c r="L320" s="1">
        <f>IFERROR(__xludf.DUMMYFUNCTION("""COMPUTED_VALUE"""),"United Kingdom")</f>
        <v/>
      </c>
      <c r="M320" s="1">
        <f>IFERROR(__xludf.DUMMYFUNCTION("""COMPUTED_VALUE"""),"Austria, Belgium, Bosnia and Herzegovina, Bulgaria, Croatia, Cyprus, Czechia, Denmark, Estonia, Finland, France, Georgia, Germany, Greece, Hungary, Iceland, Ireland, Italy, Latvia, Lithuania, Luxembourg, Malta, Monaco, Netherlands, Norway, Poland, Portuga"&amp;"l, Romania, San Marino, Serbia, Slovakia, Slovenia, Spain, Sweden, Switzerland, Turkey, Ukraine, United Kingdom")</f>
        <v/>
      </c>
      <c r="N320" s="1">
        <f>IFERROR(__xludf.DUMMYFUNCTION("""COMPUTED_VALUE"""),"100+")</f>
        <v/>
      </c>
      <c r="O320" s="1">
        <f>IFERROR(__xludf.DUMMYFUNCTION("""COMPUTED_VALUE"""),"Business to Business, Business to Government, Business to Schools")</f>
        <v/>
      </c>
      <c r="P320" s="1">
        <f>IFERROR(__xludf.DUMMYFUNCTION("""COMPUTED_VALUE"""),"Primary Education, Secondary Education, Higher Education, Corporate Training")</f>
        <v/>
      </c>
      <c r="Q320" s="1">
        <f>IFERROR(__xludf.DUMMYFUNCTION("""COMPUTED_VALUE"""),"Teacher interfacing, System/Administrative")</f>
        <v/>
      </c>
      <c r="R320" s="15">
        <f>IFERROR(__xludf.DUMMYFUNCTION("""COMPUTED_VALUE"""),"https://www.instagram.com/netsupportgroup/")</f>
        <v/>
      </c>
      <c r="S320" s="15">
        <f>IFERROR(__xludf.DUMMYFUNCTION("""COMPUTED_VALUE"""),"https://twitter.com/NetSupportGroup")</f>
        <v/>
      </c>
      <c r="T320" s="15">
        <f>IFERROR(__xludf.DUMMYFUNCTION("""COMPUTED_VALUE"""),"https://www.linkedin.com/company/netsupport-limited")</f>
        <v/>
      </c>
      <c r="U320" s="1">
        <f>IFERROR(__xludf.DUMMYFUNCTION("""COMPUTED_VALUE"""),"Classroom.cloud")</f>
        <v/>
      </c>
      <c r="V320" s="1">
        <f>IFERROR(__xludf.DUMMYFUNCTION("""COMPUTED_VALUE"""),"Super easy to set up and use, classroom.cloud is a cloud-based teaching, online safety and IT management platform, providing all the essential tools for supporting teaching and learning in any setting. http://classroom.cloud")</f>
        <v/>
      </c>
      <c r="W320" s="1">
        <f>IFERROR(__xludf.DUMMYFUNCTION("""COMPUTED_VALUE"""),"NetSupport School")</f>
        <v/>
      </c>
      <c r="X320" s="1">
        <f>IFERROR(__xludf.DUMMYFUNCTION("""COMPUTED_VALUE"""),"Complete classroom management - With over 31 years of development, NetSupport School is the market-leading and most feature-rich classroom instruction and monitoring solution (includes a wealth of monitoring, control, collaboration and assessment features"&amp;") available for multiple platforms across LAN and WAN.")</f>
        <v/>
      </c>
      <c r="Y320" s="15">
        <f>IFERROR(__xludf.DUMMYFUNCTION("""COMPUTED_VALUE"""),"https://drive.google.com/uc?export=view&amp;id=1eMMfNPHgCkxXpGghUe-hDcdVPmsIYz1O")</f>
        <v/>
      </c>
      <c r="Z320" s="1">
        <f>IFERROR(__xludf.DUMMYFUNCTION("""COMPUTED_VALUE"""),"Unverified")</f>
        <v/>
      </c>
      <c r="AA320" s="1" t="n"/>
      <c r="AB320" s="1" t="n"/>
      <c r="AC320" s="1" t="n"/>
      <c r="AD320" s="1" t="n"/>
      <c r="AE320" s="1" t="n"/>
    </row>
    <row r="321" ht="42" customHeight="1">
      <c r="A321" s="14">
        <f>IFERROR(__xludf.DUMMYFUNCTION("""COMPUTED_VALUE"""),45679)</f>
        <v/>
      </c>
      <c r="B321" s="1">
        <f>IFERROR(__xludf.DUMMYFUNCTION("""COMPUTED_VALUE"""),"ORG_2209")</f>
        <v/>
      </c>
      <c r="C321" s="1">
        <f>IFERROR(__xludf.DUMMYFUNCTION("""COMPUTED_VALUE"""),TRUE)</f>
        <v/>
      </c>
      <c r="D321" s="1">
        <f>IFERROR(__xludf.DUMMYFUNCTION("""COMPUTED_VALUE"""),"School Day")</f>
        <v/>
      </c>
      <c r="E321" s="15">
        <f>IFERROR(__xludf.DUMMYFUNCTION("""COMPUTED_VALUE"""),"https://schoolday.com")</f>
        <v/>
      </c>
      <c r="F321" s="1">
        <f>IFERROR(__xludf.DUMMYFUNCTION("""COMPUTED_VALUE"""),"School Day is a tool for district leaders and teachers to proactively lead well-being in the classroom in order to improve learning results.")</f>
        <v/>
      </c>
      <c r="G321" s="1">
        <f>IFERROR(__xludf.DUMMYFUNCTION("""COMPUTED_VALUE"""),"EdTech Finland")</f>
        <v/>
      </c>
      <c r="H321" s="1" t="n"/>
      <c r="I321" s="1">
        <f>IFERROR(__xludf.DUMMYFUNCTION("""COMPUTED_VALUE"""),"info@schoolday.com")</f>
        <v/>
      </c>
      <c r="J321" s="1" t="n"/>
      <c r="K321" s="1">
        <f>IFERROR(__xludf.DUMMYFUNCTION("""COMPUTED_VALUE"""),"HELSINKI")</f>
        <v/>
      </c>
      <c r="L321" s="1">
        <f>IFERROR(__xludf.DUMMYFUNCTION("""COMPUTED_VALUE"""),"Finland")</f>
        <v/>
      </c>
      <c r="M321" s="1">
        <f>IFERROR(__xludf.DUMMYFUNCTION("""COMPUTED_VALUE"""),"Finland, United Kingdom")</f>
        <v/>
      </c>
      <c r="N321" s="1">
        <f>IFERROR(__xludf.DUMMYFUNCTION("""COMPUTED_VALUE"""),"0 to 10")</f>
        <v/>
      </c>
      <c r="O321" s="1">
        <f>IFERROR(__xludf.DUMMYFUNCTION("""COMPUTED_VALUE"""),"Business to Business, Business to Schools")</f>
        <v/>
      </c>
      <c r="P321" s="1">
        <f>IFERROR(__xludf.DUMMYFUNCTION("""COMPUTED_VALUE"""),"Primary Education, Secondary Education")</f>
        <v/>
      </c>
      <c r="Q321" s="1">
        <f>IFERROR(__xludf.DUMMYFUNCTION("""COMPUTED_VALUE"""),"Teacher interfacing, System/Administrative")</f>
        <v/>
      </c>
      <c r="R321" s="15">
        <f>IFERROR(__xludf.DUMMYFUNCTION("""COMPUTED_VALUE"""),"https://www.instagram.com/schooldaycom/")</f>
        <v/>
      </c>
      <c r="S321" s="15">
        <f>IFERROR(__xludf.DUMMYFUNCTION("""COMPUTED_VALUE"""),"https://twitter.com/schooldaycom")</f>
        <v/>
      </c>
      <c r="T321" s="15">
        <f>IFERROR(__xludf.DUMMYFUNCTION("""COMPUTED_VALUE"""),"https://www.linkedin.com/company/school-day-finland")</f>
        <v/>
      </c>
      <c r="U321" s="1">
        <f>IFERROR(__xludf.DUMMYFUNCTION("""COMPUTED_VALUE"""),"School Day")</f>
        <v/>
      </c>
      <c r="V321" s="1">
        <f>IFERROR(__xludf.DUMMYFUNCTION("""COMPUTED_VALUE"""),"School Day asks students questions about their well-being, analyzes the data, and provides real-time insight. Our service highlights what’s going well in the classroom and provides easily implementable solutions. From the classroom to school and district "&amp;"level, we help students and educators around the world learn how well-being improves learning outcomes. When students feel good, they learn better.")</f>
        <v/>
      </c>
      <c r="W321" s="1" t="n"/>
      <c r="X321" s="1" t="n"/>
      <c r="Y321" s="15">
        <f>IFERROR(__xludf.DUMMYFUNCTION("""COMPUTED_VALUE"""),"https://drive.google.com/uc?export=view&amp;id=1goqD6_U9g5P0YYzhp8tuO3xcstCF0zPF")</f>
        <v/>
      </c>
      <c r="Z321" s="1">
        <f>IFERROR(__xludf.DUMMYFUNCTION("""COMPUTED_VALUE"""),"Unverified")</f>
        <v/>
      </c>
      <c r="AA321" s="1" t="n"/>
      <c r="AB321" s="1" t="n"/>
      <c r="AC321" s="1" t="n"/>
      <c r="AD321" s="1" t="n"/>
      <c r="AE321" s="1" t="n"/>
    </row>
    <row r="322" ht="42" customHeight="1">
      <c r="A322" s="14">
        <f>IFERROR(__xludf.DUMMYFUNCTION("""COMPUTED_VALUE"""),45679)</f>
        <v/>
      </c>
      <c r="B322" s="1">
        <f>IFERROR(__xludf.DUMMYFUNCTION("""COMPUTED_VALUE"""),"ORG_2446")</f>
        <v/>
      </c>
      <c r="C322" s="1">
        <f>IFERROR(__xludf.DUMMYFUNCTION("""COMPUTED_VALUE"""),TRUE)</f>
        <v/>
      </c>
      <c r="D322" s="1">
        <f>IFERROR(__xludf.DUMMYFUNCTION("""COMPUTED_VALUE"""),"Twig Education")</f>
        <v/>
      </c>
      <c r="E322" s="15">
        <f>IFERROR(__xludf.DUMMYFUNCTION("""COMPUTED_VALUE"""),"https://twigeducation.com/")</f>
        <v/>
      </c>
      <c r="F322" s="1">
        <f>IFERROR(__xludf.DUMMYFUNCTION("""COMPUTED_VALUE"""),"Twig Education is at the forefront of STEM education, specializing in short films, media-rich instructional materials, and core-curriculum solutions for Pre–K–12 learning. Our modern, innovative, engaging, and interactive content, mapped to global curricu"&amp;"la, makes complex scientific concepts accessible and understandable for all.
Our multi-lingual portfolio supports schools, publishers, and governments around the world and includes Twig Science, a comprehensive STEM program for ages 4-12. Built around lo"&amp;"ng-form, immersive investigations, Twig Science transforms science curricula into engaging 3D storylines that integrate visual, digital, and hands-on learning. Also available are Tigtag and Twig, platforms for ages 4-16, containing a suite of supplemental"&amp;" resources centered on video-based learning for science, maths, and geography and supported by complete lesson plans and multimedia content.")</f>
        <v/>
      </c>
      <c r="G322" s="1">
        <f>IFERROR(__xludf.DUMMYFUNCTION("""COMPUTED_VALUE"""),"I'm not part of any EdTech association")</f>
        <v/>
      </c>
      <c r="H322" s="1" t="n"/>
      <c r="I322" s="1">
        <f>IFERROR(__xludf.DUMMYFUNCTION("""COMPUTED_VALUE"""),"Lcuthbertson@twigeducation.com")</f>
        <v/>
      </c>
      <c r="J322" s="1" t="n"/>
      <c r="K322" s="1">
        <f>IFERROR(__xludf.DUMMYFUNCTION("""COMPUTED_VALUE"""),"GLASGOW")</f>
        <v/>
      </c>
      <c r="L322" s="1">
        <f>IFERROR(__xludf.DUMMYFUNCTION("""COMPUTED_VALUE"""),"United Kingdom")</f>
        <v/>
      </c>
      <c r="M322" s="1">
        <f>IFERROR(__xludf.DUMMYFUNCTION("""COMPUTED_VALUE"""),"Austria, Croatia, France, Germany, Greece, Iceland, Ireland, Italy, Kazakhstan, Latvia, Lithuania, Montenegro, Netherlands, North Macedonia, Norway, Poland, Portugal, Romania, Serbia, Slovakia, Slovenia, Spain, Sweden, Switzerland, Turkey, Ukraine, United"&amp;" Kingdom")</f>
        <v/>
      </c>
      <c r="N322" s="1">
        <f>IFERROR(__xludf.DUMMYFUNCTION("""COMPUTED_VALUE"""),"100+")</f>
        <v/>
      </c>
      <c r="O322" s="1">
        <f>IFERROR(__xludf.DUMMYFUNCTION("""COMPUTED_VALUE"""),"Business to Government, Business to Schools")</f>
        <v/>
      </c>
      <c r="P322" s="1">
        <f>IFERROR(__xludf.DUMMYFUNCTION("""COMPUTED_VALUE"""),"Early childhood development (0-5 years), Primary Education, Secondary Education")</f>
        <v/>
      </c>
      <c r="Q322" s="1">
        <f>IFERROR(__xludf.DUMMYFUNCTION("""COMPUTED_VALUE"""),"Student interfacing, Teacher interfacing, System/Administrative")</f>
        <v/>
      </c>
      <c r="R322" s="1" t="n"/>
      <c r="S322" s="1" t="n"/>
      <c r="T322" s="1" t="n"/>
      <c r="U322" s="1" t="n"/>
      <c r="V322" s="1" t="n"/>
      <c r="W322" s="1" t="n"/>
      <c r="X322" s="1" t="n"/>
      <c r="Y322" s="15">
        <f>IFERROR(__xludf.DUMMYFUNCTION("""COMPUTED_VALUE"""),"https://drive.google.com/uc?export=view&amp;id=1eSfjJfWhZKB3KKlP6h83gQs3K0EZq9Op")</f>
        <v/>
      </c>
      <c r="Z322" s="1">
        <f>IFERROR(__xludf.DUMMYFUNCTION("""COMPUTED_VALUE"""),"Unverified")</f>
        <v/>
      </c>
      <c r="AA322" s="1" t="n"/>
      <c r="AB322" s="1" t="n"/>
      <c r="AC322" s="1" t="n"/>
      <c r="AD322" s="1" t="n"/>
      <c r="AE322" s="1" t="n"/>
    </row>
    <row r="323" ht="42" customHeight="1">
      <c r="A323" s="14">
        <f>IFERROR(__xludf.DUMMYFUNCTION("""COMPUTED_VALUE"""),45679)</f>
        <v/>
      </c>
      <c r="B323" s="1">
        <f>IFERROR(__xludf.DUMMYFUNCTION("""COMPUTED_VALUE"""),"ORG_2334")</f>
        <v/>
      </c>
      <c r="C323" s="1">
        <f>IFERROR(__xludf.DUMMYFUNCTION("""COMPUTED_VALUE"""),TRUE)</f>
        <v/>
      </c>
      <c r="D323" s="1">
        <f>IFERROR(__xludf.DUMMYFUNCTION("""COMPUTED_VALUE"""),"Studentlitteratur AB")</f>
        <v/>
      </c>
      <c r="E323" s="15">
        <f>IFERROR(__xludf.DUMMYFUNCTION("""COMPUTED_VALUE"""),"http://www.studentlitteratur.se")</f>
        <v/>
      </c>
      <c r="F323" s="1">
        <f>IFERROR(__xludf.DUMMYFUNCTION("""COMPUTED_VALUE"""),"Studentlitteratur is Sweden’s leading publisher of educational materials. In close collaboration with representatives of preschool, primary, secondary and adult education, university and professional life, we develop products that support knowledge and de"&amp;"velopment of skills along all stages of life.
We publish around 300 new titles annually and lead the way in developing digital learning materials. Regardless of the form and packaging, however, the basic concept remains the same. Everything we offer is b"&amp;"ased on scientific grounds, proven experience and the adaptivity of our educational materials to our target groups.
Studentlitteratur is a family-owned publishing company founded in 1963. Our range of study resources, academic publishing, easy-to-read li"&amp;"terature, study programmes and digital information services makes Studentlitteratur Sweden’s leading educational publisher. The Studentlitteratur Group has a turnover of SEK 422 million and 164 employees.")</f>
        <v/>
      </c>
      <c r="G323" s="1" t="n"/>
      <c r="H323" s="1" t="n"/>
      <c r="I323" s="1">
        <f>IFERROR(__xludf.DUMMYFUNCTION("""COMPUTED_VALUE"""),"info@studentlitteratur.se")</f>
        <v/>
      </c>
      <c r="J323" s="1">
        <f>IFERROR(__xludf.DUMMYFUNCTION("""COMPUTED_VALUE"""),"+ 46 46 31 21 00")</f>
        <v/>
      </c>
      <c r="K323" s="1">
        <f>IFERROR(__xludf.DUMMYFUNCTION("""COMPUTED_VALUE"""),"LUND")</f>
        <v/>
      </c>
      <c r="L323" s="1">
        <f>IFERROR(__xludf.DUMMYFUNCTION("""COMPUTED_VALUE"""),"Sweden")</f>
        <v/>
      </c>
      <c r="M323" s="1">
        <f>IFERROR(__xludf.DUMMYFUNCTION("""COMPUTED_VALUE"""),"Sweden")</f>
        <v/>
      </c>
      <c r="N323" s="1">
        <f>IFERROR(__xludf.DUMMYFUNCTION("""COMPUTED_VALUE"""),"100+")</f>
        <v/>
      </c>
      <c r="O323" s="1">
        <f>IFERROR(__xludf.DUMMYFUNCTION("""COMPUTED_VALUE"""),"Business to Business, Business to Government, Business to Schools")</f>
        <v/>
      </c>
      <c r="P323" s="1">
        <f>IFERROR(__xludf.DUMMYFUNCTION("""COMPUTED_VALUE"""),"Early childhood development (0-5 years), Primary Education, Secondary Education, Higher Education, Corporate Training, Lifelong learning/Adult education")</f>
        <v/>
      </c>
      <c r="Q323" s="1">
        <f>IFERROR(__xludf.DUMMYFUNCTION("""COMPUTED_VALUE"""),"Student interfacing, Teacher interfacing, System/Administrative")</f>
        <v/>
      </c>
      <c r="R323" s="1" t="n"/>
      <c r="S323" s="15">
        <f>IFERROR(__xludf.DUMMYFUNCTION("""COMPUTED_VALUE"""),"https://twitter.com/Studentlitterat")</f>
        <v/>
      </c>
      <c r="T323" s="15">
        <f>IFERROR(__xludf.DUMMYFUNCTION("""COMPUTED_VALUE"""),"https://www.linkedin.com/company/studentlitteratur")</f>
        <v/>
      </c>
      <c r="U323" s="1">
        <f>IFERROR(__xludf.DUMMYFUNCTION("""COMPUTED_VALUE"""),"Digital learning materials")</f>
        <v/>
      </c>
      <c r="V323" s="1">
        <f>IFERROR(__xludf.DUMMYFUNCTION("""COMPUTED_VALUE"""),"In close collaboration with representatives of preschool, primary, secondary and adult education, university and professional life, we develop products that support knowledge and development of skills along all stages of life.
Everything we offer is base"&amp;"d on scientific grounds, proven experience and the adaptivity of our educational materials to our target groups.")</f>
        <v/>
      </c>
      <c r="W323" s="1" t="n"/>
      <c r="X323" s="1" t="n"/>
      <c r="Y323" s="15">
        <f>IFERROR(__xludf.DUMMYFUNCTION("""COMPUTED_VALUE"""),"https://drive.google.com/uc?export=view&amp;id=1YI85j1TsJqXtkzktcC5bY27csS3YzOt4")</f>
        <v/>
      </c>
      <c r="Z323" s="1">
        <f>IFERROR(__xludf.DUMMYFUNCTION("""COMPUTED_VALUE"""),"Unverified")</f>
        <v/>
      </c>
      <c r="AA323" s="1" t="n"/>
      <c r="AB323" s="1" t="n"/>
      <c r="AC323" s="1" t="n"/>
      <c r="AD323" s="1" t="n"/>
      <c r="AE323" s="1" t="n"/>
    </row>
    <row r="324" ht="42" customHeight="1">
      <c r="A324" s="14">
        <f>IFERROR(__xludf.DUMMYFUNCTION("""COMPUTED_VALUE"""),45679)</f>
        <v/>
      </c>
      <c r="B324" s="1">
        <f>IFERROR(__xludf.DUMMYFUNCTION("""COMPUTED_VALUE"""),"ORG_1005")</f>
        <v/>
      </c>
      <c r="C324" s="1">
        <f>IFERROR(__xludf.DUMMYFUNCTION("""COMPUTED_VALUE"""),TRUE)</f>
        <v/>
      </c>
      <c r="D324" s="1">
        <f>IFERROR(__xludf.DUMMYFUNCTION("""COMPUTED_VALUE"""),"123Chemie")</f>
        <v/>
      </c>
      <c r="E324" s="15">
        <f>IFERROR(__xludf.DUMMYFUNCTION("""COMPUTED_VALUE"""),"https://www.123chemie.de/")</f>
        <v/>
      </c>
      <c r="F324" s="1">
        <f>IFERROR(__xludf.DUMMYFUNCTION("""COMPUTED_VALUE"""),"The digital chemistry shelf: this is how successful learning succeeds
Individualized Learning because the learning applications take up the knowledge learned in experimental chemistry lessons in order to link and expand it at a higher learning level.")</f>
        <v/>
      </c>
      <c r="G324" s="1">
        <f>IFERROR(__xludf.DUMMYFUNCTION("""COMPUTED_VALUE"""),"I'm not part of any EdTech association")</f>
        <v/>
      </c>
      <c r="H324" s="1" t="n"/>
      <c r="I324" s="1">
        <f>IFERROR(__xludf.DUMMYFUNCTION("""COMPUTED_VALUE"""),"info@123chemie.de")</f>
        <v/>
      </c>
      <c r="J324" s="1">
        <f>IFERROR(__xludf.DUMMYFUNCTION("""COMPUTED_VALUE"""),"1774605757")</f>
        <v/>
      </c>
      <c r="K324" s="1">
        <f>IFERROR(__xludf.DUMMYFUNCTION("""COMPUTED_VALUE"""),"NEUKIRCHEN")</f>
        <v/>
      </c>
      <c r="L324" s="1">
        <f>IFERROR(__xludf.DUMMYFUNCTION("""COMPUTED_VALUE"""),"Germany")</f>
        <v/>
      </c>
      <c r="M324" s="1">
        <f>IFERROR(__xludf.DUMMYFUNCTION("""COMPUTED_VALUE"""),"Germany")</f>
        <v/>
      </c>
      <c r="N324" s="1">
        <f>IFERROR(__xludf.DUMMYFUNCTION("""COMPUTED_VALUE"""),"0 to 10")</f>
        <v/>
      </c>
      <c r="O324" s="1">
        <f>IFERROR(__xludf.DUMMYFUNCTION("""COMPUTED_VALUE"""),"Business to Business")</f>
        <v/>
      </c>
      <c r="P324" s="1">
        <f>IFERROR(__xludf.DUMMYFUNCTION("""COMPUTED_VALUE"""),"Secondary Education")</f>
        <v/>
      </c>
      <c r="Q324" s="1">
        <f>IFERROR(__xludf.DUMMYFUNCTION("""COMPUTED_VALUE"""),"Student interfacing, Teacher interfacing")</f>
        <v/>
      </c>
      <c r="R324" s="1">
        <f>IFERROR(__xludf.DUMMYFUNCTION("""COMPUTED_VALUE"""),"123Chemie")</f>
        <v/>
      </c>
      <c r="S324" s="1">
        <f>IFERROR(__xludf.DUMMYFUNCTION("""COMPUTED_VALUE"""),"123Chemie")</f>
        <v/>
      </c>
      <c r="T324" s="1">
        <f>IFERROR(__xludf.DUMMYFUNCTION("""COMPUTED_VALUE"""),"123Chemie")</f>
        <v/>
      </c>
      <c r="U324" s="1">
        <f>IFERROR(__xludf.DUMMYFUNCTION("""COMPUTED_VALUE"""),"The digital chemistry shelf")</f>
        <v/>
      </c>
      <c r="V324" s="1">
        <f>IFERROR(__xludf.DUMMYFUNCTION("""COMPUTED_VALUE"""),"Read - Practise - Test - Design: This is how successful learning succeeds in Chemistry")</f>
        <v/>
      </c>
      <c r="W324" s="1" t="n"/>
      <c r="X324" s="1" t="n"/>
      <c r="Y324" s="15">
        <f>IFERROR(__xludf.DUMMYFUNCTION("""COMPUTED_VALUE"""),"https://drive.google.com/uc?export=view&amp;id=1vFSvaLUqKh21Cw2NbHFQv6efYz4RIJUd")</f>
        <v/>
      </c>
      <c r="Z324" s="1">
        <f>IFERROR(__xludf.DUMMYFUNCTION("""COMPUTED_VALUE"""),"Unverified")</f>
        <v/>
      </c>
      <c r="AA324" s="1" t="n"/>
      <c r="AB324" s="1" t="n"/>
      <c r="AC324" s="1" t="n"/>
      <c r="AD324" s="1" t="n"/>
      <c r="AE324" s="1" t="n"/>
    </row>
    <row r="325" ht="42" customHeight="1">
      <c r="A325" s="14">
        <f>IFERROR(__xludf.DUMMYFUNCTION("""COMPUTED_VALUE"""),45679)</f>
        <v/>
      </c>
      <c r="B325" s="1">
        <f>IFERROR(__xludf.DUMMYFUNCTION("""COMPUTED_VALUE"""),"ORG_1698")</f>
        <v/>
      </c>
      <c r="C325" s="1">
        <f>IFERROR(__xludf.DUMMYFUNCTION("""COMPUTED_VALUE"""),TRUE)</f>
        <v/>
      </c>
      <c r="D325" s="1">
        <f>IFERROR(__xludf.DUMMYFUNCTION("""COMPUTED_VALUE"""),"Hypocampus")</f>
        <v/>
      </c>
      <c r="E325" s="15">
        <f>IFERROR(__xludf.DUMMYFUNCTION("""COMPUTED_VALUE"""),"hypocampus.fr")</f>
        <v/>
      </c>
      <c r="F325" s="1">
        <f>IFERROR(__xludf.DUMMYFUNCTION("""COMPUTED_VALUE"""),"The core of Hypocampus AB is Cortexio, a complete and flexible learning experience platform with modules for learners, content creators and educators. We take control of both the content production and the learning experience to help each learner reach th"&amp;"eir goals. More than 100k learners stretching from HE (law &amp; medical students), K12 and corporate education rely on our study platform to reach their educational goals.")</f>
        <v/>
      </c>
      <c r="G325" s="1" t="n"/>
      <c r="H325" s="1" t="n"/>
      <c r="I325" s="1">
        <f>IFERROR(__xludf.DUMMYFUNCTION("""COMPUTED_VALUE"""),"info@hypocampus.se")</f>
        <v/>
      </c>
      <c r="J325" s="1" t="n"/>
      <c r="K325" s="1">
        <f>IFERROR(__xludf.DUMMYFUNCTION("""COMPUTED_VALUE"""),"Göteborg")</f>
        <v/>
      </c>
      <c r="L325" s="1">
        <f>IFERROR(__xludf.DUMMYFUNCTION("""COMPUTED_VALUE"""),"Sweden")</f>
        <v/>
      </c>
      <c r="M325" s="1">
        <f>IFERROR(__xludf.DUMMYFUNCTION("""COMPUTED_VALUE"""),"Belgium, Denmark, Finland, Italy, Norway, Romania, Sweden, Turkey")</f>
        <v/>
      </c>
      <c r="N325" s="1">
        <f>IFERROR(__xludf.DUMMYFUNCTION("""COMPUTED_VALUE"""),"11 to 50")</f>
        <v/>
      </c>
      <c r="O325" s="1">
        <f>IFERROR(__xludf.DUMMYFUNCTION("""COMPUTED_VALUE"""),"Business to Business")</f>
        <v/>
      </c>
      <c r="P325" s="1">
        <f>IFERROR(__xludf.DUMMYFUNCTION("""COMPUTED_VALUE"""),"Secondary Education, Higher Education, Corporate Training, Lifelong learning/Adult education")</f>
        <v/>
      </c>
      <c r="Q325" s="1">
        <f>IFERROR(__xludf.DUMMYFUNCTION("""COMPUTED_VALUE"""),"Student interfacing, Teacher interfacing")</f>
        <v/>
      </c>
      <c r="R325" s="15">
        <f>IFERROR(__xludf.DUMMYFUNCTION("""COMPUTED_VALUE"""),"https://www.instagram.com/hypocampus.fr/")</f>
        <v/>
      </c>
      <c r="S325" s="1" t="n"/>
      <c r="T325" s="15">
        <f>IFERROR(__xludf.DUMMYFUNCTION("""COMPUTED_VALUE"""),"https://www.linkedin.com/company/hypocampus-ab")</f>
        <v/>
      </c>
      <c r="U325" s="1">
        <f>IFERROR(__xludf.DUMMYFUNCTION("""COMPUTED_VALUE"""),"Hypocampus")</f>
        <v/>
      </c>
      <c r="V325" s="1">
        <f>IFERROR(__xludf.DUMMYFUNCTION("""COMPUTED_VALUE"""),"A complete solution for medical students and doctors. Hypocampus provides a combination of a knowledge and a Q-bank packaged in an evidenced based study platform that support each user to learn the right thing, in the right way at the right time. More tha"&amp;"n 50k medical students across Europe rely on Hypocampus in their studies.")</f>
        <v/>
      </c>
      <c r="W325" s="1">
        <f>IFERROR(__xludf.DUMMYFUNCTION("""COMPUTED_VALUE"""),"Cortexio")</f>
        <v/>
      </c>
      <c r="X325" s="1">
        <f>IFERROR(__xludf.DUMMYFUNCTION("""COMPUTED_VALUE"""),"The platform behind Hypocampus is also provided as a white label SaaS product for publishers, educators and enterprises.")</f>
        <v/>
      </c>
      <c r="Y325" s="15">
        <f>IFERROR(__xludf.DUMMYFUNCTION("""COMPUTED_VALUE"""),"https://drive.google.com/uc?export=view&amp;id=1tCps8JSGsBupSeghtYCTZRPP53HwAy9L")</f>
        <v/>
      </c>
      <c r="Z325" s="1">
        <f>IFERROR(__xludf.DUMMYFUNCTION("""COMPUTED_VALUE"""),"Unverified")</f>
        <v/>
      </c>
      <c r="AA325" s="1" t="n"/>
      <c r="AB325" s="1" t="n"/>
      <c r="AC325" s="1" t="n"/>
      <c r="AD325" s="1" t="n"/>
      <c r="AE325" s="1" t="n"/>
    </row>
    <row r="326" ht="42" customHeight="1">
      <c r="A326" s="14">
        <f>IFERROR(__xludf.DUMMYFUNCTION("""COMPUTED_VALUE"""),45679)</f>
        <v/>
      </c>
      <c r="B326" s="1">
        <f>IFERROR(__xludf.DUMMYFUNCTION("""COMPUTED_VALUE"""),"ORG_2519")</f>
        <v/>
      </c>
      <c r="C326" s="1">
        <f>IFERROR(__xludf.DUMMYFUNCTION("""COMPUTED_VALUE"""),TRUE)</f>
        <v/>
      </c>
      <c r="D326" s="1">
        <f>IFERROR(__xludf.DUMMYFUNCTION("""COMPUTED_VALUE"""),"WebWeaver®")</f>
        <v/>
      </c>
      <c r="E326" s="15">
        <f>IFERROR(__xludf.DUMMYFUNCTION("""COMPUTED_VALUE"""),"https://www.webweaver.de/")</f>
        <v/>
      </c>
      <c r="F326" s="1">
        <f>IFERROR(__xludf.DUMMYFUNCTION("""COMPUTED_VALUE"""),"Founded in 1996, DigiOnline GmbH is an IT-Company based in Cologne and specializes in the development of high quality web applications, interactive media, prototypical curricula and apps for every education sector. The products are distributed under the n"&amp;"ame WebWeaver® and customers include schools, education and training providers as well as associations and publishers.")</f>
        <v/>
      </c>
      <c r="G326" s="1">
        <f>IFERROR(__xludf.DUMMYFUNCTION("""COMPUTED_VALUE"""),"I'm not part of any EdTech association")</f>
        <v/>
      </c>
      <c r="H326" s="1" t="n"/>
      <c r="I326" s="1">
        <f>IFERROR(__xludf.DUMMYFUNCTION("""COMPUTED_VALUE"""),"info@digionline.de")</f>
        <v/>
      </c>
      <c r="J326" s="1">
        <f>IFERROR(__xludf.DUMMYFUNCTION("""COMPUTED_VALUE"""),"+49 221 6500 500")</f>
        <v/>
      </c>
      <c r="K326" s="1">
        <f>IFERROR(__xludf.DUMMYFUNCTION("""COMPUTED_VALUE"""),"COLOGNE")</f>
        <v/>
      </c>
      <c r="L326" s="1">
        <f>IFERROR(__xludf.DUMMYFUNCTION("""COMPUTED_VALUE"""),"Germany")</f>
        <v/>
      </c>
      <c r="M326" s="1">
        <f>IFERROR(__xludf.DUMMYFUNCTION("""COMPUTED_VALUE"""),"Germany, Switzerland")</f>
        <v/>
      </c>
      <c r="N326" s="1">
        <f>IFERROR(__xludf.DUMMYFUNCTION("""COMPUTED_VALUE"""),"11 to 50")</f>
        <v/>
      </c>
      <c r="O326" s="1">
        <f>IFERROR(__xludf.DUMMYFUNCTION("""COMPUTED_VALUE"""),"Business to Government, Business to Schools")</f>
        <v/>
      </c>
      <c r="P326" s="1">
        <f>IFERROR(__xludf.DUMMYFUNCTION("""COMPUTED_VALUE"""),"Primary Education, Secondary Education, Lifelong learning/Adult education")</f>
        <v/>
      </c>
      <c r="Q326" s="1">
        <f>IFERROR(__xludf.DUMMYFUNCTION("""COMPUTED_VALUE"""),"Student interfacing, Teacher interfacing, System/Administrative")</f>
        <v/>
      </c>
      <c r="R326" s="1" t="n"/>
      <c r="S326" s="15">
        <f>IFERROR(__xludf.DUMMYFUNCTION("""COMPUTED_VALUE"""),"https://twitter.com/WebWeaver_DE")</f>
        <v/>
      </c>
      <c r="T326" s="15">
        <f>IFERROR(__xludf.DUMMYFUNCTION("""COMPUTED_VALUE"""),"https://www.linkedin.com/company/digionline-gmbh")</f>
        <v/>
      </c>
      <c r="U326" s="1">
        <f>IFERROR(__xludf.DUMMYFUNCTION("""COMPUTED_VALUE"""),"WebWeaver®")</f>
        <v/>
      </c>
      <c r="V326" s="1">
        <f>IFERROR(__xludf.DUMMYFUNCTION("""COMPUTED_VALUE"""),"WebWeaver® is a cloud solution tailored to the requirements of learning environments. Flexible communication and collaboration is provided by a range of add-ons such as a video conferencing and document processing tool.
Learners have access to the learnin"&amp;"g platform at any time using any device and stay mobile with the WebWeaver®Messenger &amp; Mail App. 
Content providers can develop and distribute online courses, exercises and tests via the integrated Courselets authoring system. The platform also allows com"&amp;"bining various components and modules and connecting third-party systems.")</f>
        <v/>
      </c>
      <c r="W326" s="1" t="n"/>
      <c r="X326" s="1" t="n"/>
      <c r="Y326" s="15">
        <f>IFERROR(__xludf.DUMMYFUNCTION("""COMPUTED_VALUE"""),"https://drive.google.com/uc?export=view&amp;id=1P1lg9lrdRe-sgmaVY9m39qJNzldk-m_S")</f>
        <v/>
      </c>
      <c r="Z326" s="1">
        <f>IFERROR(__xludf.DUMMYFUNCTION("""COMPUTED_VALUE"""),"Unverified")</f>
        <v/>
      </c>
      <c r="AA326" s="1" t="n"/>
      <c r="AB326" s="1" t="n"/>
      <c r="AC326" s="1" t="n"/>
      <c r="AD326" s="1" t="n"/>
      <c r="AE326" s="1" t="n"/>
    </row>
    <row r="327" ht="42" customHeight="1">
      <c r="A327" s="14">
        <f>IFERROR(__xludf.DUMMYFUNCTION("""COMPUTED_VALUE"""),45679)</f>
        <v/>
      </c>
      <c r="B327" s="1">
        <f>IFERROR(__xludf.DUMMYFUNCTION("""COMPUTED_VALUE"""),"ORG_1516")</f>
        <v/>
      </c>
      <c r="C327" s="1">
        <f>IFERROR(__xludf.DUMMYFUNCTION("""COMPUTED_VALUE"""),TRUE)</f>
        <v/>
      </c>
      <c r="D327" s="1">
        <f>IFERROR(__xludf.DUMMYFUNCTION("""COMPUTED_VALUE"""),"eSquirrel")</f>
        <v/>
      </c>
      <c r="E327" s="15">
        <f>IFERROR(__xludf.DUMMYFUNCTION("""COMPUTED_VALUE"""),"www.eSquirrel.com")</f>
        <v/>
      </c>
      <c r="F327" s="1">
        <f>IFERROR(__xludf.DUMMYFUNCTION("""COMPUTED_VALUE"""),"eSquirrel is a learning experience platform designed for smartphones that offers valuable digital learning content for existing textbooks or your own learning materials. eSquirrel takes on the hassle of correcting homework, simplifies tests and motivates "&amp;"students to learn via gamification throughout the whole school year. It saves publishers time and money by providing them a validated, certified and affordable digital add-on to their textbooks.")</f>
        <v/>
      </c>
      <c r="G327" s="1">
        <f>IFERROR(__xludf.DUMMYFUNCTION("""COMPUTED_VALUE"""),"EdTech Austria, EDUvation")</f>
        <v/>
      </c>
      <c r="H327" s="1">
        <f>IFERROR(__xludf.DUMMYFUNCTION("""COMPUTED_VALUE"""),"German, English, French, Spanish, Ukrainian, Hungarian")</f>
        <v/>
      </c>
      <c r="I327" s="1">
        <f>IFERROR(__xludf.DUMMYFUNCTION("""COMPUTED_VALUE"""),"info@eSquirrel.com")</f>
        <v/>
      </c>
      <c r="J327" s="1">
        <f>IFERROR(__xludf.DUMMYFUNCTION("""COMPUTED_VALUE"""),"+43 1 3305453")</f>
        <v/>
      </c>
      <c r="K327" s="1">
        <f>IFERROR(__xludf.DUMMYFUNCTION("""COMPUTED_VALUE"""),"VIENNA")</f>
        <v/>
      </c>
      <c r="L327" s="1">
        <f>IFERROR(__xludf.DUMMYFUNCTION("""COMPUTED_VALUE"""),"Austria")</f>
        <v/>
      </c>
      <c r="M327" s="1">
        <f>IFERROR(__xludf.DUMMYFUNCTION("""COMPUTED_VALUE"""),"Austria, Czechia, France, Germany, Hungary, Italy, Liechtenstein, Luxembourg, Romania, Slovakia, Switzerland, Turkey, Ukraine, United Kingdom")</f>
        <v/>
      </c>
      <c r="N327" s="1">
        <f>IFERROR(__xludf.DUMMYFUNCTION("""COMPUTED_VALUE"""),"11 to 50")</f>
        <v/>
      </c>
      <c r="O327" s="1">
        <f>IFERROR(__xludf.DUMMYFUNCTION("""COMPUTED_VALUE"""),"Business to Business, Business to Consumer, Business to Government, Business to Schools")</f>
        <v/>
      </c>
      <c r="P327" s="1">
        <f>IFERROR(__xludf.DUMMYFUNCTION("""COMPUTED_VALUE"""),"Primary Education, Secondary Education, Corporate Training, Lifelong learning/Adult education, Vocational Education and Training (VET), Higher Education")</f>
        <v/>
      </c>
      <c r="Q327" s="1">
        <f>IFERROR(__xludf.DUMMYFUNCTION("""COMPUTED_VALUE"""),"Student interfacing, Teacher interfacing, System/Administrative")</f>
        <v/>
      </c>
      <c r="R327" s="15">
        <f>IFERROR(__xludf.DUMMYFUNCTION("""COMPUTED_VALUE"""),"https://www.instagram.com/esquirrelapp/")</f>
        <v/>
      </c>
      <c r="S327" s="15">
        <f>IFERROR(__xludf.DUMMYFUNCTION("""COMPUTED_VALUE"""),"https://twitter.com/esquirrelapp")</f>
        <v/>
      </c>
      <c r="T327" s="15">
        <f>IFERROR(__xludf.DUMMYFUNCTION("""COMPUTED_VALUE"""),"https://www.linkedin.com/company/esquirrel/")</f>
        <v/>
      </c>
      <c r="U327" s="1">
        <f>IFERROR(__xludf.DUMMYFUNCTION("""COMPUTED_VALUE"""),"eSquirrel")</f>
        <v/>
      </c>
      <c r="V327" s="1">
        <f>IFERROR(__xludf.DUMMYFUNCTION("""COMPUTED_VALUE"""),"eSquirrel turns any smartphone into a learning fascination!
Well suited for textbooks in schools or learning materials for employees - eSquirrel inspires learners, and simplifies teaching, training, and onboarding. 
Experience exciting quests, 1-click ana"&amp;"lysis of homework and training exercises, quizzes and learning analytics - completely available offline.")</f>
        <v/>
      </c>
      <c r="W327" s="1">
        <f>IFERROR(__xludf.DUMMYFUNCTION("""COMPUTED_VALUE"""),"eSquirrel business")</f>
        <v/>
      </c>
      <c r="X327" s="1">
        <f>IFERROR(__xludf.DUMMYFUNCTION("""COMPUTED_VALUE"""),"With eSquirrel, companies bring new employees onboard efficiently and for the long term. With a learning app tailored to individual onboarding materials, newcomers can be integrated into the company faster and better. Long-time employees benefit from subj"&amp;"ect-specific and mobile-optimised training opportunities.")</f>
        <v/>
      </c>
      <c r="Y327" s="15">
        <f>IFERROR(__xludf.DUMMYFUNCTION("""COMPUTED_VALUE"""),"https://drive.google.com/uc?export=view&amp;id=1j7oIooMD7COCTlXxIaeXerlBJUggNYVU")</f>
        <v/>
      </c>
      <c r="Z327" s="1">
        <f>IFERROR(__xludf.DUMMYFUNCTION("""COMPUTED_VALUE"""),"Unverified")</f>
        <v/>
      </c>
      <c r="AA327" s="1" t="n"/>
      <c r="AB327" s="1" t="n"/>
      <c r="AC327" s="1" t="n"/>
      <c r="AD327" s="1" t="n"/>
      <c r="AE327" s="1" t="n"/>
    </row>
    <row r="328" ht="42" customHeight="1">
      <c r="A328" s="14">
        <f>IFERROR(__xludf.DUMMYFUNCTION("""COMPUTED_VALUE"""),45679)</f>
        <v/>
      </c>
      <c r="B328" s="1">
        <f>IFERROR(__xludf.DUMMYFUNCTION("""COMPUTED_VALUE"""),"ORG_1938")</f>
        <v/>
      </c>
      <c r="C328" s="1">
        <f>IFERROR(__xludf.DUMMYFUNCTION("""COMPUTED_VALUE"""),TRUE)</f>
        <v/>
      </c>
      <c r="D328" s="1">
        <f>IFERROR(__xludf.DUMMYFUNCTION("""COMPUTED_VALUE"""),"MedienLB - Experts for digital educational content")</f>
        <v/>
      </c>
      <c r="E328" s="15">
        <f>IFERROR(__xludf.DUMMYFUNCTION("""COMPUTED_VALUE"""),"https://www.medienlb.de")</f>
        <v/>
      </c>
      <c r="F328" s="1">
        <f>IFERROR(__xludf.DUMMYFUNCTION("""COMPUTED_VALUE"""),"MedienLB is a near munich based company. Founded in 2006, MedienLB has produced more than 700 educational films for all subjects and the ages from Elementary School up to K12. Since 2018, MedienLB produces digital interactive tasks based on H5P. As the Ge"&amp;"rman Market Leader for privately produced educational content, MedienLb takes part in German discussions on educational matters and is an active member of Bündnis für Bildung e.V.")</f>
        <v/>
      </c>
      <c r="G328" s="1">
        <f>IFERROR(__xludf.DUMMYFUNCTION("""COMPUTED_VALUE"""),"I'm not part of any EdTech association")</f>
        <v/>
      </c>
      <c r="H328" s="1" t="n"/>
      <c r="I328" s="1">
        <f>IFERROR(__xludf.DUMMYFUNCTION("""COMPUTED_VALUE"""),"info@medienlb.de")</f>
        <v/>
      </c>
      <c r="J328" s="1">
        <f>IFERROR(__xludf.DUMMYFUNCTION("""COMPUTED_VALUE"""),"+49 8151 55071-20")</f>
        <v/>
      </c>
      <c r="K328" s="1">
        <f>IFERROR(__xludf.DUMMYFUNCTION("""COMPUTED_VALUE"""),"STARNBERG")</f>
        <v/>
      </c>
      <c r="L328" s="1">
        <f>IFERROR(__xludf.DUMMYFUNCTION("""COMPUTED_VALUE"""),"Germany")</f>
        <v/>
      </c>
      <c r="M328" s="1">
        <f>IFERROR(__xludf.DUMMYFUNCTION("""COMPUTED_VALUE"""),"Germany")</f>
        <v/>
      </c>
      <c r="N328" s="1">
        <f>IFERROR(__xludf.DUMMYFUNCTION("""COMPUTED_VALUE"""),"11 to 50")</f>
        <v/>
      </c>
      <c r="O328" s="1">
        <f>IFERROR(__xludf.DUMMYFUNCTION("""COMPUTED_VALUE"""),"Business to Business, Business to Government")</f>
        <v/>
      </c>
      <c r="P328" s="1">
        <f>IFERROR(__xludf.DUMMYFUNCTION("""COMPUTED_VALUE"""),"Early childhood development (0-5 years), Primary Education, Secondary Education")</f>
        <v/>
      </c>
      <c r="Q328" s="1">
        <f>IFERROR(__xludf.DUMMYFUNCTION("""COMPUTED_VALUE"""),"Student interfacing, Teacher interfacing")</f>
        <v/>
      </c>
      <c r="R328" s="1" t="n"/>
      <c r="S328" s="15">
        <f>IFERROR(__xludf.DUMMYFUNCTION("""COMPUTED_VALUE"""),"https://mobile.twitter.com/medienlb")</f>
        <v/>
      </c>
      <c r="T328" s="1" t="n"/>
      <c r="U328" s="1">
        <f>IFERROR(__xludf.DUMMYFUNCTION("""COMPUTED_VALUE"""),"Fake News - Glaubwürdigkeit in den Medien")</f>
        <v/>
      </c>
      <c r="V328" s="1">
        <f>IFERROR(__xludf.DUMMYFUNCTION("""COMPUTED_VALUE"""),"Thes educational movie adresses Learners from K8-K12. Combined with additional educational media (interactive tasks, worksheets...) it gives important content to a critical media consumption. The Movie is in German language.")</f>
        <v/>
      </c>
      <c r="W328" s="1">
        <f>IFERROR(__xludf.DUMMYFUNCTION("""COMPUTED_VALUE"""),"Politics, Economy 10-12, Vol. 1 - Political Systems, Economy, Environment")</f>
        <v/>
      </c>
      <c r="X328" s="1">
        <f>IFERROR(__xludf.DUMMYFUNCTION("""COMPUTED_VALUE"""),"This collection of 50 interactive tasks (based on H5P) adresses pupils from K10 up to K12.")</f>
        <v/>
      </c>
      <c r="Y328" s="15">
        <f>IFERROR(__xludf.DUMMYFUNCTION("""COMPUTED_VALUE"""),"https://drive.google.com/uc?export=view&amp;id=1Mr4emRSVu5BmOvihMgDy5HAa4hNjVUFA")</f>
        <v/>
      </c>
      <c r="Z328" s="1">
        <f>IFERROR(__xludf.DUMMYFUNCTION("""COMPUTED_VALUE"""),"Unverified")</f>
        <v/>
      </c>
      <c r="AA328" s="1" t="n"/>
      <c r="AB328" s="1" t="n"/>
      <c r="AC328" s="1" t="n"/>
      <c r="AD328" s="1" t="n"/>
      <c r="AE328" s="1" t="n"/>
    </row>
    <row r="329" ht="42" customHeight="1">
      <c r="A329" s="14">
        <f>IFERROR(__xludf.DUMMYFUNCTION("""COMPUTED_VALUE"""),45679)</f>
        <v/>
      </c>
      <c r="B329" s="1">
        <f>IFERROR(__xludf.DUMMYFUNCTION("""COMPUTED_VALUE"""),"ORG_2082")</f>
        <v/>
      </c>
      <c r="C329" s="1">
        <f>IFERROR(__xludf.DUMMYFUNCTION("""COMPUTED_VALUE"""),TRUE)</f>
        <v/>
      </c>
      <c r="D329" s="1">
        <f>IFERROR(__xludf.DUMMYFUNCTION("""COMPUTED_VALUE"""),"OxEd and Assessment Ltd")</f>
        <v/>
      </c>
      <c r="E329" s="15">
        <f>IFERROR(__xludf.DUMMYFUNCTION("""COMPUTED_VALUE"""),"https://oxedandassessment.com/")</f>
        <v/>
      </c>
      <c r="F329" s="1">
        <f>IFERROR(__xludf.DUMMYFUNCTION("""COMPUTED_VALUE"""),"OxEd and Assessment Ltd (OxEd) is a University of Oxford spinout company launched to take the research of Professor Charles Hulme and his team through to practical application in schools. 
Developed by the same research team responsible for the Nuffield "&amp;"Early Language Intervention (NELI) programme. We develop educational assessment apps and interventions which improve educational outcomes for children.")</f>
        <v/>
      </c>
      <c r="G329" s="1">
        <f>IFERROR(__xludf.DUMMYFUNCTION("""COMPUTED_VALUE"""),"I'm not part of any EdTech association")</f>
        <v/>
      </c>
      <c r="H329" s="1" t="n"/>
      <c r="I329" s="1">
        <f>IFERROR(__xludf.DUMMYFUNCTION("""COMPUTED_VALUE"""),"info@oxedandassessment.com")</f>
        <v/>
      </c>
      <c r="J329" s="1" t="n"/>
      <c r="K329" s="1">
        <f>IFERROR(__xludf.DUMMYFUNCTION("""COMPUTED_VALUE"""),"Oxford")</f>
        <v/>
      </c>
      <c r="L329" s="1">
        <f>IFERROR(__xludf.DUMMYFUNCTION("""COMPUTED_VALUE"""),"United Kingdom")</f>
        <v/>
      </c>
      <c r="M329" s="1">
        <f>IFERROR(__xludf.DUMMYFUNCTION("""COMPUTED_VALUE"""),"Netherlands")</f>
        <v/>
      </c>
      <c r="N329" s="1">
        <f>IFERROR(__xludf.DUMMYFUNCTION("""COMPUTED_VALUE"""),"0 to 10")</f>
        <v/>
      </c>
      <c r="O329" s="1">
        <f>IFERROR(__xludf.DUMMYFUNCTION("""COMPUTED_VALUE"""),"Business to Business, Business to Government, Business to Schools")</f>
        <v/>
      </c>
      <c r="P329" s="1">
        <f>IFERROR(__xludf.DUMMYFUNCTION("""COMPUTED_VALUE"""),"Early childhood development (0-5 years), Primary Education")</f>
        <v/>
      </c>
      <c r="Q329" s="1">
        <f>IFERROR(__xludf.DUMMYFUNCTION("""COMPUTED_VALUE"""),"Teacher interfacing")</f>
        <v/>
      </c>
      <c r="R329" s="1" t="n"/>
      <c r="S329" s="1" t="n"/>
      <c r="T329" s="1" t="n"/>
      <c r="U329" s="1" t="n"/>
      <c r="V329" s="1" t="n"/>
      <c r="W329" s="1" t="n"/>
      <c r="X329" s="1" t="n"/>
      <c r="Y329" s="15">
        <f>IFERROR(__xludf.DUMMYFUNCTION("""COMPUTED_VALUE"""),"https://drive.google.com/uc?export=view&amp;id=1X6uAHzsZ90xjGcfWdWp_mMag6_zvXihy")</f>
        <v/>
      </c>
      <c r="Z329" s="1">
        <f>IFERROR(__xludf.DUMMYFUNCTION("""COMPUTED_VALUE"""),"Unverified")</f>
        <v/>
      </c>
      <c r="AA329" s="1" t="n"/>
      <c r="AB329" s="1" t="n"/>
      <c r="AC329" s="1" t="n"/>
      <c r="AD329" s="1" t="n"/>
      <c r="AE329" s="1" t="n"/>
    </row>
    <row r="330" ht="42" customHeight="1">
      <c r="A330" s="14">
        <f>IFERROR(__xludf.DUMMYFUNCTION("""COMPUTED_VALUE"""),45679)</f>
        <v/>
      </c>
      <c r="B330" s="1">
        <f>IFERROR(__xludf.DUMMYFUNCTION("""COMPUTED_VALUE"""),"ORG_1347")</f>
        <v/>
      </c>
      <c r="C330" s="1">
        <f>IFERROR(__xludf.DUMMYFUNCTION("""COMPUTED_VALUE"""),TRUE)</f>
        <v/>
      </c>
      <c r="D330" s="1">
        <f>IFERROR(__xludf.DUMMYFUNCTION("""COMPUTED_VALUE"""),"didactmedia")</f>
        <v/>
      </c>
      <c r="E330" s="15">
        <f>IFERROR(__xludf.DUMMYFUNCTION("""COMPUTED_VALUE"""),"www.didactmedia.eu")</f>
        <v/>
      </c>
      <c r="F330" s="1">
        <f>IFERROR(__xludf.DUMMYFUNCTION("""COMPUTED_VALUE"""),"didactmedia produces audiovisual media for education combined with interactive worksheets and exercises.")</f>
        <v/>
      </c>
      <c r="G330" s="1">
        <f>IFERROR(__xludf.DUMMYFUNCTION("""COMPUTED_VALUE"""),"I'm not part of any EdTech association")</f>
        <v/>
      </c>
      <c r="H330" s="1" t="n"/>
      <c r="I330" s="1">
        <f>IFERROR(__xludf.DUMMYFUNCTION("""COMPUTED_VALUE"""),"info@didactmedia.eu")</f>
        <v/>
      </c>
      <c r="J330" s="1">
        <f>IFERROR(__xludf.DUMMYFUNCTION("""COMPUTED_VALUE"""),"+49-7531-9914490")</f>
        <v/>
      </c>
      <c r="K330" s="1">
        <f>IFERROR(__xludf.DUMMYFUNCTION("""COMPUTED_VALUE"""),"KONSTANZ")</f>
        <v/>
      </c>
      <c r="L330" s="1">
        <f>IFERROR(__xludf.DUMMYFUNCTION("""COMPUTED_VALUE"""),"Germany")</f>
        <v/>
      </c>
      <c r="M330" s="1">
        <f>IFERROR(__xludf.DUMMYFUNCTION("""COMPUTED_VALUE"""),"Austria, Germany, Luxembourg, Switzerland")</f>
        <v/>
      </c>
      <c r="N330" s="1">
        <f>IFERROR(__xludf.DUMMYFUNCTION("""COMPUTED_VALUE"""),"11 to 50")</f>
        <v/>
      </c>
      <c r="O330" s="1">
        <f>IFERROR(__xludf.DUMMYFUNCTION("""COMPUTED_VALUE"""),"Business to Business, Business to Consumer")</f>
        <v/>
      </c>
      <c r="P330" s="1">
        <f>IFERROR(__xludf.DUMMYFUNCTION("""COMPUTED_VALUE"""),"Primary Education, Secondary Education")</f>
        <v/>
      </c>
      <c r="Q330" s="1">
        <f>IFERROR(__xludf.DUMMYFUNCTION("""COMPUTED_VALUE"""),"Student interfacing, Teacher interfacing, System/Administrative")</f>
        <v/>
      </c>
      <c r="R330" s="1" t="n"/>
      <c r="S330" s="1" t="n"/>
      <c r="T330" s="1" t="n"/>
      <c r="U330" s="1">
        <f>IFERROR(__xludf.DUMMYFUNCTION("""COMPUTED_VALUE"""),"Audiovisual Media")</f>
        <v/>
      </c>
      <c r="V330" s="1">
        <f>IFERROR(__xludf.DUMMYFUNCTION("""COMPUTED_VALUE"""),"Audiovisual media for education combined with interactive worksheets and exercises")</f>
        <v/>
      </c>
      <c r="W330" s="1" t="n"/>
      <c r="X330" s="1" t="n"/>
      <c r="Y330" s="15">
        <f>IFERROR(__xludf.DUMMYFUNCTION("""COMPUTED_VALUE"""),"https://drive.google.com/uc?export=view&amp;id=189hh6gcu3MRjjqFzoTLQ5nlYZyjgZgoT")</f>
        <v/>
      </c>
      <c r="Z330" s="1">
        <f>IFERROR(__xludf.DUMMYFUNCTION("""COMPUTED_VALUE"""),"Unverified")</f>
        <v/>
      </c>
      <c r="AA330" s="1" t="n"/>
      <c r="AB330" s="1" t="n"/>
      <c r="AC330" s="1" t="n"/>
      <c r="AD330" s="1" t="n"/>
      <c r="AE330" s="1" t="n"/>
    </row>
    <row r="331" ht="42" customHeight="1">
      <c r="A331" s="14">
        <f>IFERROR(__xludf.DUMMYFUNCTION("""COMPUTED_VALUE"""),45679)</f>
        <v/>
      </c>
      <c r="B331" s="1">
        <f>IFERROR(__xludf.DUMMYFUNCTION("""COMPUTED_VALUE"""),"ORG_1465")</f>
        <v/>
      </c>
      <c r="C331" s="1">
        <f>IFERROR(__xludf.DUMMYFUNCTION("""COMPUTED_VALUE"""),TRUE)</f>
        <v/>
      </c>
      <c r="D331" s="1">
        <f>IFERROR(__xludf.DUMMYFUNCTION("""COMPUTED_VALUE"""),"Eduversum Verlag und Bildungsagentur")</f>
        <v/>
      </c>
      <c r="E331" s="15">
        <f>IFERROR(__xludf.DUMMYFUNCTION("""COMPUTED_VALUE"""),"www.eduversum.de")</f>
        <v/>
      </c>
      <c r="F331" s="1">
        <f>IFERROR(__xludf.DUMMYFUNCTION("""COMPUTED_VALUE"""),"Successful communication with schools and young people:
Eduversum is a publisher that develops digital products and services for schools and non-formal education. On behalf of ministries, associations and companies, we develop a wide range of educational"&amp;" projects. Our website www.lehrer-online.de (""teachers online"") is the leading independent educational portal in the German-speaking countries with pedagogically and editorially reviewed contents that schools and teachers can use freely in all education"&amp;"al settings. 
With our innovative communication activities, we reach teachers as well as children and teenagers of all ages all over Germany. This way, we make sure that our topics and messages reach our target groups reliably and are received favourably"&amp;" by teachers and their pupils.")</f>
        <v/>
      </c>
      <c r="G331" s="1">
        <f>IFERROR(__xludf.DUMMYFUNCTION("""COMPUTED_VALUE"""),"I'm not part of any EdTech association")</f>
        <v/>
      </c>
      <c r="H331" s="1" t="n"/>
      <c r="I331" s="1">
        <f>IFERROR(__xludf.DUMMYFUNCTION("""COMPUTED_VALUE"""),"info@eduversum.de")</f>
        <v/>
      </c>
      <c r="J331" s="1">
        <f>IFERROR(__xludf.DUMMYFUNCTION("""COMPUTED_VALUE"""),"0049 611 5050 9200")</f>
        <v/>
      </c>
      <c r="K331" s="1">
        <f>IFERROR(__xludf.DUMMYFUNCTION("""COMPUTED_VALUE"""),"Wiesbaden")</f>
        <v/>
      </c>
      <c r="L331" s="1">
        <f>IFERROR(__xludf.DUMMYFUNCTION("""COMPUTED_VALUE"""),"Germany")</f>
        <v/>
      </c>
      <c r="M331" s="1">
        <f>IFERROR(__xludf.DUMMYFUNCTION("""COMPUTED_VALUE"""),"Austria, Switzerland")</f>
        <v/>
      </c>
      <c r="N331" s="1">
        <f>IFERROR(__xludf.DUMMYFUNCTION("""COMPUTED_VALUE"""),"11 to 50")</f>
        <v/>
      </c>
      <c r="O331" s="1">
        <f>IFERROR(__xludf.DUMMYFUNCTION("""COMPUTED_VALUE"""),"Business to Business, Business to Consumer")</f>
        <v/>
      </c>
      <c r="P331" s="1">
        <f>IFERROR(__xludf.DUMMYFUNCTION("""COMPUTED_VALUE"""),"Primary Education, Secondary Education, Higher Education")</f>
        <v/>
      </c>
      <c r="Q331" s="1">
        <f>IFERROR(__xludf.DUMMYFUNCTION("""COMPUTED_VALUE"""),"Student interfacing, Teacher interfacing")</f>
        <v/>
      </c>
      <c r="R331" s="15">
        <f>IFERROR(__xludf.DUMMYFUNCTION("""COMPUTED_VALUE"""),"https://www.instagram.com/lehrer_online/")</f>
        <v/>
      </c>
      <c r="S331" s="15">
        <f>IFERROR(__xludf.DUMMYFUNCTION("""COMPUTED_VALUE"""),"https://twitter.com/lehrer_online/")</f>
        <v/>
      </c>
      <c r="T331" s="15">
        <f>IFERROR(__xludf.DUMMYFUNCTION("""COMPUTED_VALUE"""),"https://www.linkedin.com/company/6994438/admin/")</f>
        <v/>
      </c>
      <c r="U331" s="1">
        <f>IFERROR(__xludf.DUMMYFUNCTION("""COMPUTED_VALUE"""),"Lehrer-Online (""Teachers online"")")</f>
        <v/>
      </c>
      <c r="V331" s="1">
        <f>IFERROR(__xludf.DUMMYFUNCTION("""COMPUTED_VALUE"""),"Lehrer-Online (""Teachers Online"")
- is the leading independent educational portal for teachers in the German-speaking countries
- offers a wide range of teaching materials that can be used freely and in a legally secure manner by teachers in their class"&amp;"rooms 
- is the most important website for schools and teachers with pedagogically and editorially reviewed materials
- offers an ideal access to the world of digital education
- is the central starting point for searching high-quality materials and servi"&amp;"ces for all educational settings
www.lehrer-online.de")</f>
        <v/>
      </c>
      <c r="W331" s="1">
        <f>IFERROR(__xludf.DUMMYFUNCTION("""COMPUTED_VALUE"""),"Europa - unsere Geschichte (""Europe - Our History"")")</f>
        <v/>
      </c>
      <c r="X331" s="1">
        <f>IFERROR(__xludf.DUMMYFUNCTION("""COMPUTED_VALUE"""),"""Europa – Unsere Geschichte"" (""Europe - Our History"") is a course book in four volumes for history classes at secondary schools in Germany and Poland. The course book was developed in close cooperation between Eduversum from Germany and a publisher fr"&amp;"om Poland. The fourth volume of ""Europe - Our History"" won the prestigious award ""Schulbuch des Jahres"" (""Text Book of the Year"") in 2021.
www.lehrer-online.de/shop/lp-geschichtsunterrichtsmaterial")</f>
        <v/>
      </c>
      <c r="Y331" s="15">
        <f>IFERROR(__xludf.DUMMYFUNCTION("""COMPUTED_VALUE"""),"https://drive.google.com/uc?export=view&amp;id=1sxJCvbjVoBaZ4FLp21VNZWkmJys561Td")</f>
        <v/>
      </c>
      <c r="Z331" s="1">
        <f>IFERROR(__xludf.DUMMYFUNCTION("""COMPUTED_VALUE"""),"Unverified")</f>
        <v/>
      </c>
      <c r="AA331" s="1" t="n"/>
      <c r="AB331" s="1" t="n"/>
      <c r="AC331" s="1" t="n"/>
      <c r="AD331" s="1" t="n"/>
      <c r="AE331" s="1" t="n"/>
    </row>
    <row r="332" ht="42" customHeight="1">
      <c r="A332" s="14">
        <f>IFERROR(__xludf.DUMMYFUNCTION("""COMPUTED_VALUE"""),45679)</f>
        <v/>
      </c>
      <c r="B332" s="1">
        <f>IFERROR(__xludf.DUMMYFUNCTION("""COMPUTED_VALUE"""),"ORG_1770")</f>
        <v/>
      </c>
      <c r="C332" s="1">
        <f>IFERROR(__xludf.DUMMYFUNCTION("""COMPUTED_VALUE"""),TRUE)</f>
        <v/>
      </c>
      <c r="D332" s="1">
        <f>IFERROR(__xludf.DUMMYFUNCTION("""COMPUTED_VALUE"""),"Kide Science")</f>
        <v/>
      </c>
      <c r="E332" s="15">
        <f>IFERROR(__xludf.DUMMYFUNCTION("""COMPUTED_VALUE"""),"kidescience.com")</f>
        <v/>
      </c>
      <c r="F332" s="1">
        <f>IFERROR(__xludf.DUMMYFUNCTION("""COMPUTED_VALUE"""),"Making teaching for kids aged 3-8 engaging and easy through our story-based and playful content platform. Super fun lessons, each starting with a story where anything is possible. Learn to use a child's sense of wonder to explore scientific problems hands"&amp;"-on. Preschools, kindergartens, learning centers and homeschools, Get started with everyday objects and just a few minutes out of your day!")</f>
        <v/>
      </c>
      <c r="G332" s="1">
        <f>IFERROR(__xludf.DUMMYFUNCTION("""COMPUTED_VALUE"""),"EdTech Finland, xEdu")</f>
        <v/>
      </c>
      <c r="H332" s="1" t="n"/>
      <c r="I332" s="1">
        <f>IFERROR(__xludf.DUMMYFUNCTION("""COMPUTED_VALUE"""),"info@kidescience.com")</f>
        <v/>
      </c>
      <c r="J332" s="1">
        <f>IFERROR(__xludf.DUMMYFUNCTION("""COMPUTED_VALUE"""),"+358 44 019 0535")</f>
        <v/>
      </c>
      <c r="K332" s="1">
        <f>IFERROR(__xludf.DUMMYFUNCTION("""COMPUTED_VALUE"""),"HELSINKI")</f>
        <v/>
      </c>
      <c r="L332" s="1">
        <f>IFERROR(__xludf.DUMMYFUNCTION("""COMPUTED_VALUE"""),"Finland")</f>
        <v/>
      </c>
      <c r="M332" s="1">
        <f>IFERROR(__xludf.DUMMYFUNCTION("""COMPUTED_VALUE"""),"Estonia, Finland, Greece, Ireland, Italy, Kosovo, United Kingdom")</f>
        <v/>
      </c>
      <c r="N332" s="1">
        <f>IFERROR(__xludf.DUMMYFUNCTION("""COMPUTED_VALUE"""),"11 to 50")</f>
        <v/>
      </c>
      <c r="O332" s="1">
        <f>IFERROR(__xludf.DUMMYFUNCTION("""COMPUTED_VALUE"""),"Business to Business, Business to Government")</f>
        <v/>
      </c>
      <c r="P332" s="1">
        <f>IFERROR(__xludf.DUMMYFUNCTION("""COMPUTED_VALUE"""),"Early childhood development (0-5 years)")</f>
        <v/>
      </c>
      <c r="Q332" s="1">
        <f>IFERROR(__xludf.DUMMYFUNCTION("""COMPUTED_VALUE"""),"System/Administrative, Student interfacing, Teacher interfacing")</f>
        <v/>
      </c>
      <c r="R332" s="15">
        <f>IFERROR(__xludf.DUMMYFUNCTION("""COMPUTED_VALUE"""),"https://www.instagram.com/kidescience/")</f>
        <v/>
      </c>
      <c r="S332" s="15">
        <f>IFERROR(__xludf.DUMMYFUNCTION("""COMPUTED_VALUE"""),"https://twitter.com/kidescience")</f>
        <v/>
      </c>
      <c r="T332" s="15">
        <f>IFERROR(__xludf.DUMMYFUNCTION("""COMPUTED_VALUE"""),"https://www.linkedin.com/company/kidescience")</f>
        <v/>
      </c>
      <c r="U332" s="1">
        <f>IFERROR(__xludf.DUMMYFUNCTION("""COMPUTED_VALUE"""),"Kide Science Teacher Platform")</f>
        <v/>
      </c>
      <c r="V332" s="1">
        <f>IFERROR(__xludf.DUMMYFUNCTION("""COMPUTED_VALUE"""),"Platform for teachers as a treasure trove of story-based lesson plans and has tips to adjust for age or ability. Search lessons by keyword and start with quick ones or continue your professional development with research-backed training.")</f>
        <v/>
      </c>
      <c r="W332" s="1" t="n"/>
      <c r="X332" s="1" t="n"/>
      <c r="Y332" s="15">
        <f>IFERROR(__xludf.DUMMYFUNCTION("""COMPUTED_VALUE"""),"https://drive.google.com/uc?export=view&amp;id=1ZT4h_fG_NW6YggQEdj8GsiNEAncp5ymh")</f>
        <v/>
      </c>
      <c r="Z332" s="1">
        <f>IFERROR(__xludf.DUMMYFUNCTION("""COMPUTED_VALUE"""),"Unverified")</f>
        <v/>
      </c>
      <c r="AA332" s="1" t="n"/>
      <c r="AB332" s="1" t="n"/>
      <c r="AC332" s="1" t="n"/>
      <c r="AD332" s="1" t="n"/>
      <c r="AE332" s="1" t="n"/>
    </row>
    <row r="333" ht="42" customHeight="1">
      <c r="A333" s="14">
        <f>IFERROR(__xludf.DUMMYFUNCTION("""COMPUTED_VALUE"""),45679)</f>
        <v/>
      </c>
      <c r="B333" s="1">
        <f>IFERROR(__xludf.DUMMYFUNCTION("""COMPUTED_VALUE"""),"ORG_1829")</f>
        <v/>
      </c>
      <c r="C333" s="1">
        <f>IFERROR(__xludf.DUMMYFUNCTION("""COMPUTED_VALUE"""),TRUE)</f>
        <v/>
      </c>
      <c r="D333" s="1">
        <f>IFERROR(__xludf.DUMMYFUNCTION("""COMPUTED_VALUE"""),"Learnesy")</f>
        <v/>
      </c>
      <c r="E333" s="15">
        <f>IFERROR(__xludf.DUMMYFUNCTION("""COMPUTED_VALUE"""),"learnesy.com")</f>
        <v/>
      </c>
      <c r="F333" s="1">
        <f>IFERROR(__xludf.DUMMYFUNCTION("""COMPUTED_VALUE"""),"Learnesy will make your organization master Excel, Power BI and data analysis with our effective online courses. Learn the important foundations of the most common programs for spreadsheets and data analytics. With Learnesy you will learn by video, comple"&amp;"ting practical assignments and quizzes. It won’t take long for you to develop the skills and confidence to complete complex tasks on your own.")</f>
        <v/>
      </c>
      <c r="G333" s="1">
        <f>IFERROR(__xludf.DUMMYFUNCTION("""COMPUTED_VALUE"""),"I'm not part of any EdTech association")</f>
        <v/>
      </c>
      <c r="H333" s="1" t="n"/>
      <c r="I333" s="1">
        <f>IFERROR(__xludf.DUMMYFUNCTION("""COMPUTED_VALUE"""),"marcus@learnesy.com")</f>
        <v/>
      </c>
      <c r="J333" s="1">
        <f>IFERROR(__xludf.DUMMYFUNCTION("""COMPUTED_VALUE"""),"+46704568680")</f>
        <v/>
      </c>
      <c r="K333" s="1">
        <f>IFERROR(__xludf.DUMMYFUNCTION("""COMPUTED_VALUE"""),"Stockholm")</f>
        <v/>
      </c>
      <c r="L333" s="1">
        <f>IFERROR(__xludf.DUMMYFUNCTION("""COMPUTED_VALUE"""),"Sweden")</f>
        <v/>
      </c>
      <c r="M333" s="1">
        <f>IFERROR(__xludf.DUMMYFUNCTION("""COMPUTED_VALUE"""),"Finland, Norway, Sweden")</f>
        <v/>
      </c>
      <c r="N333" s="1">
        <f>IFERROR(__xludf.DUMMYFUNCTION("""COMPUTED_VALUE"""),"0 to 10")</f>
        <v/>
      </c>
      <c r="O333" s="1">
        <f>IFERROR(__xludf.DUMMYFUNCTION("""COMPUTED_VALUE"""),"Business to Business, Business to Consumer, Business to Government, Business to Schools")</f>
        <v/>
      </c>
      <c r="P333" s="1">
        <f>IFERROR(__xludf.DUMMYFUNCTION("""COMPUTED_VALUE"""),"Higher Education, Corporate Training, Lifelong learning/Adult education")</f>
        <v/>
      </c>
      <c r="Q333" s="1">
        <f>IFERROR(__xludf.DUMMYFUNCTION("""COMPUTED_VALUE"""),"Student interfacing, System/Administrative")</f>
        <v/>
      </c>
      <c r="R333" s="15">
        <f>IFERROR(__xludf.DUMMYFUNCTION("""COMPUTED_VALUE"""),"https://www.instagram.com/learnesycom/")</f>
        <v/>
      </c>
      <c r="S333" s="1" t="n"/>
      <c r="T333" s="15">
        <f>IFERROR(__xludf.DUMMYFUNCTION("""COMPUTED_VALUE"""),"https://www.linkedin.com/company/learnesy")</f>
        <v/>
      </c>
      <c r="U333" s="1">
        <f>IFERROR(__xludf.DUMMYFUNCTION("""COMPUTED_VALUE"""),"Excel for Educators")</f>
        <v/>
      </c>
      <c r="V333" s="1">
        <f>IFERROR(__xludf.DUMMYFUNCTION("""COMPUTED_VALUE"""),"Excel is already a desired skill in many industries, and the demand for data analysis is growing rapidly. Learnesy educates thousands of students yearly in the Nordics and prepare them for classes and internships where Excel is a desired skill. We have de"&amp;"veloped a work method that decreases the administrative work for you as a lecturer.
By constantly evaluating and updating our course content, we have developed an engaging educational experience.")</f>
        <v/>
      </c>
      <c r="W333" s="1">
        <f>IFERROR(__xludf.DUMMYFUNCTION("""COMPUTED_VALUE"""),"Excel Essentials")</f>
        <v/>
      </c>
      <c r="X333" s="1">
        <f>IFERROR(__xludf.DUMMYFUNCTION("""COMPUTED_VALUE"""),"Get a better understanding of the Excel workflow.
Learn to feel more comfortable in Excel. This course will help quickly develop your knowledge in Excel. Excel Essentials is a course that both beginners and advanced users can find helpful. In addition to "&amp;"the basics, you’ll also learn more advanced aspects, such as PivotTables and Functions.")</f>
        <v/>
      </c>
      <c r="Y333" s="15">
        <f>IFERROR(__xludf.DUMMYFUNCTION("""COMPUTED_VALUE"""),"https://drive.google.com/uc?export=view&amp;id=1epfOEeCxm3mBwkuNDYkxL4zTbL3SNozR")</f>
        <v/>
      </c>
      <c r="Z333" s="1">
        <f>IFERROR(__xludf.DUMMYFUNCTION("""COMPUTED_VALUE"""),"Unverified")</f>
        <v/>
      </c>
      <c r="AA333" s="1" t="n"/>
      <c r="AB333" s="1" t="n"/>
      <c r="AC333" s="1" t="n"/>
      <c r="AD333" s="1" t="n"/>
      <c r="AE333" s="1" t="n"/>
    </row>
    <row r="334" ht="42" customHeight="1">
      <c r="A334" s="14">
        <f>IFERROR(__xludf.DUMMYFUNCTION("""COMPUTED_VALUE"""),45679)</f>
        <v/>
      </c>
      <c r="B334" s="1">
        <f>IFERROR(__xludf.DUMMYFUNCTION("""COMPUTED_VALUE"""),"ORG_1215")</f>
        <v/>
      </c>
      <c r="C334" s="1">
        <f>IFERROR(__xludf.DUMMYFUNCTION("""COMPUTED_VALUE"""),TRUE)</f>
        <v/>
      </c>
      <c r="D334" s="1">
        <f>IFERROR(__xludf.DUMMYFUNCTION("""COMPUTED_VALUE"""),"Canopy Education CIC")</f>
        <v/>
      </c>
      <c r="E334" s="15">
        <f>IFERROR(__xludf.DUMMYFUNCTION("""COMPUTED_VALUE"""),"https://www.canopy.education/")</f>
        <v/>
      </c>
      <c r="F334" s="1">
        <f>IFERROR(__xludf.DUMMYFUNCTION("""COMPUTED_VALUE"""),"Canopy is passionate about using digital technology to enhance teaching and learning. We train students and teachers to make the most of Google Workspace for Education. We are Google for Education Professional Development Partner based in the United Kingd"&amp;"om, supporting schools across the globe.")</f>
        <v/>
      </c>
      <c r="G334" s="1">
        <f>IFERROR(__xludf.DUMMYFUNCTION("""COMPUTED_VALUE"""),"I'm not part of any EdTech association")</f>
        <v/>
      </c>
      <c r="H334" s="1" t="n"/>
      <c r="I334" s="1">
        <f>IFERROR(__xludf.DUMMYFUNCTION("""COMPUTED_VALUE"""),"hello@canopy.education")</f>
        <v/>
      </c>
      <c r="J334" s="1">
        <f>IFERROR(__xludf.DUMMYFUNCTION("""COMPUTED_VALUE"""),"020 3048 4350")</f>
        <v/>
      </c>
      <c r="K334" s="1">
        <f>IFERROR(__xludf.DUMMYFUNCTION("""COMPUTED_VALUE"""),"LONDON")</f>
        <v/>
      </c>
      <c r="L334" s="1">
        <f>IFERROR(__xludf.DUMMYFUNCTION("""COMPUTED_VALUE"""),"United Kingdom")</f>
        <v/>
      </c>
      <c r="M334" s="1">
        <f>IFERROR(__xludf.DUMMYFUNCTION("""COMPUTED_VALUE"""),"Denmark, Iceland, Ireland, Italy, Netherlands, Spain, Sweden, Switzerland, United Kingdom")</f>
        <v/>
      </c>
      <c r="N334" s="1">
        <f>IFERROR(__xludf.DUMMYFUNCTION("""COMPUTED_VALUE"""),"6 to 10")</f>
        <v/>
      </c>
      <c r="O334" s="1">
        <f>IFERROR(__xludf.DUMMYFUNCTION("""COMPUTED_VALUE"""),"Business to Business")</f>
        <v/>
      </c>
      <c r="P334" s="1">
        <f>IFERROR(__xludf.DUMMYFUNCTION("""COMPUTED_VALUE"""),"Primary Education, Secondary Education, Corporate Training")</f>
        <v/>
      </c>
      <c r="Q334" s="1">
        <f>IFERROR(__xludf.DUMMYFUNCTION("""COMPUTED_VALUE"""),"Teacher interfacing")</f>
        <v/>
      </c>
      <c r="R334" s="15">
        <f>IFERROR(__xludf.DUMMYFUNCTION("""COMPUTED_VALUE"""),"https://www.instagram.com/canopyCIC/")</f>
        <v/>
      </c>
      <c r="S334" s="15">
        <f>IFERROR(__xludf.DUMMYFUNCTION("""COMPUTED_VALUE"""),"https://twitter.com/CanopyCIC")</f>
        <v/>
      </c>
      <c r="T334" s="15">
        <f>IFERROR(__xludf.DUMMYFUNCTION("""COMPUTED_VALUE"""),"https://www.linkedin.com/company/canopy-cic/")</f>
        <v/>
      </c>
      <c r="U334" s="1">
        <f>IFERROR(__xludf.DUMMYFUNCTION("""COMPUTED_VALUE"""),"Workspace Skills")</f>
        <v/>
      </c>
      <c r="V334" s="1">
        <f>IFERROR(__xludf.DUMMYFUNCTION("""COMPUTED_VALUE"""),"Workspace Skills is a series of interactive tutorials that help students and teachers make the most from Google Workspace for Education. Deployed via Google Classroom, this provides Self-paced Certification for Google Workspace.")</f>
        <v/>
      </c>
      <c r="W334" s="1">
        <f>IFERROR(__xludf.DUMMYFUNCTION("""COMPUTED_VALUE"""),"Training")</f>
        <v/>
      </c>
      <c r="X334" s="1">
        <f>IFERROR(__xludf.DUMMYFUNCTION("""COMPUTED_VALUE"""),"As a Google for Education Partner, we can provide a variety of technology training for teachers in-person and online.")</f>
        <v/>
      </c>
      <c r="Y334" s="15">
        <f>IFERROR(__xludf.DUMMYFUNCTION("""COMPUTED_VALUE"""),"https://drive.google.com/uc?export=view&amp;id=1nClQ2zRx4ICHQCySSWjpCKI4dXBa3Nj4")</f>
        <v/>
      </c>
      <c r="Z334" s="1">
        <f>IFERROR(__xludf.DUMMYFUNCTION("""COMPUTED_VALUE"""),"Unverified")</f>
        <v/>
      </c>
      <c r="AA334" s="1" t="n"/>
      <c r="AB334" s="1" t="n"/>
      <c r="AC334" s="1" t="n"/>
      <c r="AD334" s="1" t="n"/>
      <c r="AE334" s="1" t="n"/>
    </row>
    <row r="335" ht="42" customHeight="1">
      <c r="A335" s="14">
        <f>IFERROR(__xludf.DUMMYFUNCTION("""COMPUTED_VALUE"""),45679)</f>
        <v/>
      </c>
      <c r="B335" s="1">
        <f>IFERROR(__xludf.DUMMYFUNCTION("""COMPUTED_VALUE"""),"ORG_1375")</f>
        <v/>
      </c>
      <c r="C335" s="1">
        <f>IFERROR(__xludf.DUMMYFUNCTION("""COMPUTED_VALUE"""),TRUE)</f>
        <v/>
      </c>
      <c r="D335" s="1">
        <f>IFERROR(__xludf.DUMMYFUNCTION("""COMPUTED_VALUE"""),"DoodleLearning")</f>
        <v/>
      </c>
      <c r="E335" s="15">
        <f>IFERROR(__xludf.DUMMYFUNCTION("""COMPUTED_VALUE"""),"www.doodlelearning.com")</f>
        <v/>
      </c>
      <c r="F335" s="1">
        <f>IFERROR(__xludf.DUMMYFUNCTION("""COMPUTED_VALUE"""),"Based in Bath, UK, and founded by two teachers in 2012, we create immersive, highly interactive, curriculum-aligned maths and English content for 4 to 14 year-olds. Content can set work for learners, or alternatively, our AI looks at learners' prior perfo"&amp;"rmance and creates the perfect learning pathway for each child.
We sell directly to families, and also to over 1000 schools in the UK, and have an increasing distributor network worldwide.")</f>
        <v/>
      </c>
      <c r="G335" s="1">
        <f>IFERROR(__xludf.DUMMYFUNCTION("""COMPUTED_VALUE"""),"I'm not part of any EdTech association")</f>
        <v/>
      </c>
      <c r="H335" s="1" t="n"/>
      <c r="I335" s="1">
        <f>IFERROR(__xludf.DUMMYFUNCTION("""COMPUTED_VALUE"""),"enquiries@ezeducation.co.uk")</f>
        <v/>
      </c>
      <c r="J335" s="1">
        <f>IFERROR(__xludf.DUMMYFUNCTION("""COMPUTED_VALUE"""),"1225220122")</f>
        <v/>
      </c>
      <c r="K335" s="1">
        <f>IFERROR(__xludf.DUMMYFUNCTION("""COMPUTED_VALUE"""),"BATH")</f>
        <v/>
      </c>
      <c r="L335" s="1">
        <f>IFERROR(__xludf.DUMMYFUNCTION("""COMPUTED_VALUE"""),"United Kingdom")</f>
        <v/>
      </c>
      <c r="M335" s="1">
        <f>IFERROR(__xludf.DUMMYFUNCTION("""COMPUTED_VALUE"""),"Ireland, Spain, United Kingdom")</f>
        <v/>
      </c>
      <c r="N335" s="1">
        <f>IFERROR(__xludf.DUMMYFUNCTION("""COMPUTED_VALUE"""),"11 to 50")</f>
        <v/>
      </c>
      <c r="O335" s="1">
        <f>IFERROR(__xludf.DUMMYFUNCTION("""COMPUTED_VALUE"""),"Business to Business, Business to Consumer")</f>
        <v/>
      </c>
      <c r="P335" s="1">
        <f>IFERROR(__xludf.DUMMYFUNCTION("""COMPUTED_VALUE"""),"Primary Education")</f>
        <v/>
      </c>
      <c r="Q335" s="1">
        <f>IFERROR(__xludf.DUMMYFUNCTION("""COMPUTED_VALUE"""),"System/Administrative, Teacher interfacing")</f>
        <v/>
      </c>
      <c r="R335" s="15">
        <f>IFERROR(__xludf.DUMMYFUNCTION("""COMPUTED_VALUE"""),"https://www.instagram.com/doodlelearning_")</f>
        <v/>
      </c>
      <c r="S335" s="15">
        <f>IFERROR(__xludf.DUMMYFUNCTION("""COMPUTED_VALUE"""),"https://twitter.com/doodlelearning")</f>
        <v/>
      </c>
      <c r="T335" s="15">
        <f>IFERROR(__xludf.DUMMYFUNCTION("""COMPUTED_VALUE"""),"https://www.linkedin.com/company/ez-education")</f>
        <v/>
      </c>
      <c r="U335" s="1">
        <f>IFERROR(__xludf.DUMMYFUNCTION("""COMPUTED_VALUE"""),"DoodleMaths")</f>
        <v/>
      </c>
      <c r="V335" s="1">
        <f>IFERROR(__xludf.DUMMYFUNCTION("""COMPUTED_VALUE"""),"DoodleMaths delivers immersive, highly interactive, curriculum-aligned maths content for 4 to 14 year-olds.
In Assign mode, teachers and parents can set work for learners; in Adapt mode, our AI looks at prior performance and creates the perfect learning "&amp;"pathway for each child.")</f>
        <v/>
      </c>
      <c r="W335" s="1">
        <f>IFERROR(__xludf.DUMMYFUNCTION("""COMPUTED_VALUE"""),"DoodleEnglish")</f>
        <v/>
      </c>
      <c r="X335" s="1">
        <f>IFERROR(__xludf.DUMMYFUNCTION("""COMPUTED_VALUE"""),"DoodleEnglish delivers immersive, highly interactive, curriculum-aligned English content for 6 to 11 year-olds.
In Assign mode, teachers and parents can set work for learners; in Adapt mode, our AI looks at prior performance and creates the perfect learn"&amp;"ing pathway for each child.")</f>
        <v/>
      </c>
      <c r="Y335" s="15">
        <f>IFERROR(__xludf.DUMMYFUNCTION("""COMPUTED_VALUE"""),"https://drive.google.com/uc?export=view&amp;id=1Xb-guwRv1ellecf5cssaz0sbwKizGtur")</f>
        <v/>
      </c>
      <c r="Z335" s="1">
        <f>IFERROR(__xludf.DUMMYFUNCTION("""COMPUTED_VALUE"""),"Unverified")</f>
        <v/>
      </c>
      <c r="AA335" s="1" t="n"/>
      <c r="AB335" s="1" t="n"/>
      <c r="AC335" s="1" t="n"/>
      <c r="AD335" s="1" t="n"/>
      <c r="AE335" s="1" t="n"/>
    </row>
    <row r="336" ht="42" customHeight="1">
      <c r="A336" s="14">
        <f>IFERROR(__xludf.DUMMYFUNCTION("""COMPUTED_VALUE"""),45678)</f>
        <v/>
      </c>
      <c r="B336" s="1">
        <f>IFERROR(__xludf.DUMMYFUNCTION("""COMPUTED_VALUE"""),"ORG_1782")</f>
        <v/>
      </c>
      <c r="C336" s="1">
        <f>IFERROR(__xludf.DUMMYFUNCTION("""COMPUTED_VALUE"""),TRUE)</f>
        <v/>
      </c>
      <c r="D336" s="1">
        <f>IFERROR(__xludf.DUMMYFUNCTION("""COMPUTED_VALUE"""),"Klett")</f>
        <v/>
      </c>
      <c r="E336" s="15">
        <f>IFERROR(__xludf.DUMMYFUNCTION("""COMPUTED_VALUE"""),"https://klett.bg/")</f>
        <v/>
      </c>
      <c r="F336" s="1">
        <f>IFERROR(__xludf.DUMMYFUNCTION("""COMPUTED_VALUE"""),"""Education is our mission and vision. We create learning content that develops, inspires and supports students and teachers. We believe that quality education is a key factor in building successful and responsible individuals, a healthy and prosperous so"&amp;"ciety.
Klett Bulgaria is part of the large international education group Klett Group and is a leading publisher of textbooks and educational resources under the Anubis, Bulvest 2000, Izkustva, Klett, iZZI, PONS and Langenscheidt brands. The company's bro"&amp;"ad portfolio encompasses both high-quality print media and advanced digital solutions, providing a complete experience for students and educators in the educational process from kindergarten through graduation.
Klett Bulgaria is a member of the Associati"&amp;"on of Cambridge Schools in Bulgaria, the Bulgarian-British Business Association, the German-Bulgarian Chamber of Industry and Commerce and the Bulgarian Book Association.""")</f>
        <v/>
      </c>
      <c r="G336" s="1">
        <f>IFERROR(__xludf.DUMMYFUNCTION("""COMPUTED_VALUE"""),"EdTech Bulgaria")</f>
        <v/>
      </c>
      <c r="H336" s="1">
        <f>IFERROR(__xludf.DUMMYFUNCTION("""COMPUTED_VALUE"""),"Bulgaria, English, Croatian, German")</f>
        <v/>
      </c>
      <c r="I336" s="1">
        <f>IFERROR(__xludf.DUMMYFUNCTION("""COMPUTED_VALUE"""),"b.tabakova@klett.bg")</f>
        <v/>
      </c>
      <c r="J336" s="1">
        <f>IFERROR(__xludf.DUMMYFUNCTION("""COMPUTED_VALUE"""),"0700 47 400")</f>
        <v/>
      </c>
      <c r="K336" s="1">
        <f>IFERROR(__xludf.DUMMYFUNCTION("""COMPUTED_VALUE"""),"SOFIA")</f>
        <v/>
      </c>
      <c r="L336" s="1">
        <f>IFERROR(__xludf.DUMMYFUNCTION("""COMPUTED_VALUE"""),"Bulgaria")</f>
        <v/>
      </c>
      <c r="M336" s="1">
        <f>IFERROR(__xludf.DUMMYFUNCTION("""COMPUTED_VALUE"""),"Bulgaria, Croatia, Czechia, Germany, Greece, Hungary, Poland, Romania, Serbia, Slovenia")</f>
        <v/>
      </c>
      <c r="N336" s="1">
        <f>IFERROR(__xludf.DUMMYFUNCTION("""COMPUTED_VALUE"""),"101 to 500")</f>
        <v/>
      </c>
      <c r="O336" s="1">
        <f>IFERROR(__xludf.DUMMYFUNCTION("""COMPUTED_VALUE"""),"Business to Schools, Business to Consumer")</f>
        <v/>
      </c>
      <c r="P336" s="1">
        <f>IFERROR(__xludf.DUMMYFUNCTION("""COMPUTED_VALUE"""),"Early childhood development (0-5 years), Primary Education, Secondary Education, Corporate Training, Lifelong learning/Adult education, Vocational Education and Training (VET), Higher Education")</f>
        <v/>
      </c>
      <c r="Q336" s="1">
        <f>IFERROR(__xludf.DUMMYFUNCTION("""COMPUTED_VALUE"""),"System/Administrative, Student interfacing, Teacher interfacing")</f>
        <v/>
      </c>
      <c r="R336" s="1" t="n"/>
      <c r="S336" s="1" t="n"/>
      <c r="T336" s="15">
        <f>IFERROR(__xludf.DUMMYFUNCTION("""COMPUTED_VALUE"""),"https://bg.linkedin.com/company/klett-bulgaria-ltd-")</f>
        <v/>
      </c>
      <c r="U336" s="1">
        <f>IFERROR(__xludf.DUMMYFUNCTION("""COMPUTED_VALUE"""),"Textbooks and all type of learning materials as well high level digital and interactive education content and resources")</f>
        <v/>
      </c>
      <c r="V336" s="1">
        <f>IFERROR(__xludf.DUMMYFUNCTION("""COMPUTED_VALUE"""),"We offer educational aids and books for all age groups in kindergarten, textbooks and learning materials for primary, lower secondary, and upper secondary levels, as well as textbooks for education abroad. Additionally, we provide e-readable textbooks for"&amp;" grades 1–12 and e-cognitive books for kindergarten. We ensure a modern and innovative educational environment through our digital platform iZZI, which contains a variety of interactive educational resources, such as exercises and tasks, games, simulation"&amp;"s, video materials, 3D models, visualizations, interactive panoramas and maps, audio files, texts, images, and much more.")</f>
        <v/>
      </c>
      <c r="W336" s="1">
        <f>IFERROR(__xludf.DUMMYFUNCTION("""COMPUTED_VALUE"""),"Teacher’s trainings and seminars")</f>
        <v/>
      </c>
      <c r="X336" s="1">
        <f>IFERROR(__xludf.DUMMYFUNCTION("""COMPUTED_VALUE"""),"We offer a wide range of services and materials for teachers, supporting both their daily work at school and their personal and professional development and well-being. Teacher’s guides for various subjects, webinars, reflective content, and valuable mate"&amp;"rials on the topic of ""Safe Internet,"" credit-bearing training sessions, an e-academy (a program for personal growth and professional advancement) are just some of the solutions we continually improve and expand every day.")</f>
        <v/>
      </c>
      <c r="Y336" s="15">
        <f>IFERROR(__xludf.DUMMYFUNCTION("""COMPUTED_VALUE"""),"https://drive.google.com/uc?export=view&amp;id=1faisBA-XFRyH0gPYkLTwiZeaH4qaQSlB")</f>
        <v/>
      </c>
      <c r="Z336" s="1">
        <f>IFERROR(__xludf.DUMMYFUNCTION("""COMPUTED_VALUE"""),"Unverified")</f>
        <v/>
      </c>
      <c r="AA336" s="1" t="n"/>
      <c r="AB336" s="1" t="n"/>
      <c r="AC336" s="1" t="n"/>
      <c r="AD336" s="1" t="n"/>
      <c r="AE336" s="1" t="n"/>
    </row>
    <row r="337" ht="42" customHeight="1">
      <c r="A337" s="14">
        <f>IFERROR(__xludf.DUMMYFUNCTION("""COMPUTED_VALUE"""),45671)</f>
        <v/>
      </c>
      <c r="B337" s="1">
        <f>IFERROR(__xludf.DUMMYFUNCTION("""COMPUTED_VALUE"""),"ORG_2508")</f>
        <v/>
      </c>
      <c r="C337" s="1">
        <f>IFERROR(__xludf.DUMMYFUNCTION("""COMPUTED_VALUE"""),TRUE)</f>
        <v/>
      </c>
      <c r="D337" s="1">
        <f>IFERROR(__xludf.DUMMYFUNCTION("""COMPUTED_VALUE"""),"Voovo")</f>
        <v/>
      </c>
      <c r="E337" s="15">
        <f>IFERROR(__xludf.DUMMYFUNCTION("""COMPUTED_VALUE"""),"https://www.voovostudy.com")</f>
        <v/>
      </c>
      <c r="F337" s="1">
        <f>IFERROR(__xludf.DUMMYFUNCTION("""COMPUTED_VALUE"""),"Voovo is an AI-powered platform that seamlessly integrates the most effective learning methods - active recall and spaced repetition - into everyday education for students and institutions.
Our platform transforms content - texts, notes, images - into hi"&amp;"gh-quality quizzes and flashcards, which are automatically adapted into a gamified learning experience tailored to each student’s memory.
This way, we help students learn better, provide teachers with performance insights, and enable institutions to redu"&amp;"ce exam fail rates through consistent, year-round study")</f>
        <v/>
      </c>
      <c r="G337" s="1">
        <f>IFERROR(__xludf.DUMMYFUNCTION("""COMPUTED_VALUE"""),"SuperCharger Ventures, EduTech Hungary")</f>
        <v/>
      </c>
      <c r="H337" s="1">
        <f>IFERROR(__xludf.DUMMYFUNCTION("""COMPUTED_VALUE"""),"All")</f>
        <v/>
      </c>
      <c r="I337" s="1">
        <f>IFERROR(__xludf.DUMMYFUNCTION("""COMPUTED_VALUE"""),"benedek@voovo.study")</f>
        <v/>
      </c>
      <c r="J337" s="1">
        <f>IFERROR(__xludf.DUMMYFUNCTION("""COMPUTED_VALUE"""),"+36 70 415 8036")</f>
        <v/>
      </c>
      <c r="K337" s="1">
        <f>IFERROR(__xludf.DUMMYFUNCTION("""COMPUTED_VALUE"""),"BUDAPEST")</f>
        <v/>
      </c>
      <c r="L337" s="1">
        <f>IFERROR(__xludf.DUMMYFUNCTION("""COMPUTED_VALUE"""),"Hungary")</f>
        <v/>
      </c>
      <c r="M337"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337" s="1">
        <f>IFERROR(__xludf.DUMMYFUNCTION("""COMPUTED_VALUE"""),"6 to 10")</f>
        <v/>
      </c>
      <c r="O337" s="1">
        <f>IFERROR(__xludf.DUMMYFUNCTION("""COMPUTED_VALUE"""),"Business to Business, Business to Schools, Business to Consumer, Business to Government")</f>
        <v/>
      </c>
      <c r="P337" s="1">
        <f>IFERROR(__xludf.DUMMYFUNCTION("""COMPUTED_VALUE"""),"Secondary Education, Vocational Education and Training (VET), Higher Education")</f>
        <v/>
      </c>
      <c r="Q337" s="1">
        <f>IFERROR(__xludf.DUMMYFUNCTION("""COMPUTED_VALUE"""),"Student interfacing, Teacher interfacing")</f>
        <v/>
      </c>
      <c r="R337" s="15">
        <f>IFERROR(__xludf.DUMMYFUNCTION("""COMPUTED_VALUE"""),"https://www.instagram.com/voovo.study/")</f>
        <v/>
      </c>
      <c r="S337" s="1" t="n"/>
      <c r="T337" s="15">
        <f>IFERROR(__xludf.DUMMYFUNCTION("""COMPUTED_VALUE"""),"https://www.linkedin.com/company/voovo/")</f>
        <v/>
      </c>
      <c r="U337" s="1">
        <f>IFERROR(__xludf.DUMMYFUNCTION("""COMPUTED_VALUE"""),"Voovo Classroom")</f>
        <v/>
      </c>
      <c r="V337" s="1">
        <f>IFERROR(__xludf.DUMMYFUNCTION("""COMPUTED_VALUE"""),"Voovo helps educational institutions to implement the scientifically proven best learning methods - active recall, spaced repetition - in every day education seamlessly. Voovo allows teachers to turn content from texts, notes, images into quality quizzes "&amp;"and flashcards. Voovo automatically converts these quizzes and flashcards into a gamified learning experience that adapts to each students unique memory. 
With this approach, we allow students to study faster and more effectively, we help teachers to gai"&amp;"n a deep understanding of the strengths and weaknesses of students through detailed analytics and we will help institutions to drastically decrease exam churn rates by allowing students to consume information throughout the year and not just cram at the l"&amp;"ast days of the exam period. As an analogy, Voovo turns any content into a Duolingo-like learning experience!")</f>
        <v/>
      </c>
      <c r="W337" s="1" t="n"/>
      <c r="X337" s="1" t="n"/>
      <c r="Y337" s="15">
        <f>IFERROR(__xludf.DUMMYFUNCTION("""COMPUTED_VALUE"""),"https://drive.google.com/uc?export=view&amp;id=10dJftsvR6OavYjXB-_NvpyqUrDQH9BaL")</f>
        <v/>
      </c>
      <c r="Z337" s="1">
        <f>IFERROR(__xludf.DUMMYFUNCTION("""COMPUTED_VALUE"""),"Unverified")</f>
        <v/>
      </c>
      <c r="AA337" s="1" t="n"/>
      <c r="AB337" s="1" t="n"/>
      <c r="AC337" s="1" t="n"/>
      <c r="AD337" s="1" t="n"/>
      <c r="AE337" s="1" t="n"/>
    </row>
    <row r="338" ht="42" customHeight="1">
      <c r="A338" s="14">
        <f>IFERROR(__xludf.DUMMYFUNCTION("""COMPUTED_VALUE"""),45669)</f>
        <v/>
      </c>
      <c r="B338" s="1">
        <f>IFERROR(__xludf.DUMMYFUNCTION("""COMPUTED_VALUE"""),"ORG_1806")</f>
        <v/>
      </c>
      <c r="C338" s="1">
        <f>IFERROR(__xludf.DUMMYFUNCTION("""COMPUTED_VALUE"""),TRUE)</f>
        <v/>
      </c>
      <c r="D338" s="1">
        <f>IFERROR(__xludf.DUMMYFUNCTION("""COMPUTED_VALUE"""),"lablife")</f>
        <v/>
      </c>
      <c r="E338" s="15">
        <f>IFERROR(__xludf.DUMMYFUNCTION("""COMPUTED_VALUE"""),"https://lablife.video/")</f>
        <v/>
      </c>
      <c r="F338" s="1">
        <f>IFERROR(__xludf.DUMMYFUNCTION("""COMPUTED_VALUE"""),"LABLIFE develops, produces and distributes high-quality video tutorials and training material according to the highest standards of Good Cell Culture Practice (GCCP) for practical work in cell culture laboratories (life science, pharmaceuticals, biotechno"&amp;"logy). The video tutorials can be used by students, technicians, as well as higher level vocational schools, universities and research institutions.")</f>
        <v/>
      </c>
      <c r="G338" s="1">
        <f>IFERROR(__xludf.DUMMYFUNCTION("""COMPUTED_VALUE"""),"EdTech Austria")</f>
        <v/>
      </c>
      <c r="H338" s="1">
        <f>IFERROR(__xludf.DUMMYFUNCTION("""COMPUTED_VALUE"""),"English")</f>
        <v/>
      </c>
      <c r="I338" s="1">
        <f>IFERROR(__xludf.DUMMYFUNCTION("""COMPUTED_VALUE"""),"office@lablife.video")</f>
        <v/>
      </c>
      <c r="J338" s="1">
        <f>IFERROR(__xludf.DUMMYFUNCTION("""COMPUTED_VALUE"""),"+436707007003")</f>
        <v/>
      </c>
      <c r="K338" s="1">
        <f>IFERROR(__xludf.DUMMYFUNCTION("""COMPUTED_VALUE"""),"VIENNA")</f>
        <v/>
      </c>
      <c r="L338" s="1">
        <f>IFERROR(__xludf.DUMMYFUNCTION("""COMPUTED_VALUE"""),"Austria")</f>
        <v/>
      </c>
      <c r="M338" s="1">
        <f>IFERROR(__xludf.DUMMYFUNCTION("""COMPUTED_VALUE"""),"Austria, France, Germany, Netherlands, Slovenia")</f>
        <v/>
      </c>
      <c r="N338" s="1">
        <f>IFERROR(__xludf.DUMMYFUNCTION("""COMPUTED_VALUE"""),"0 to 2")</f>
        <v/>
      </c>
      <c r="O338" s="1">
        <f>IFERROR(__xludf.DUMMYFUNCTION("""COMPUTED_VALUE"""),"Business to Business, Business to Schools, Business to Consumer, Business to Government")</f>
        <v/>
      </c>
      <c r="P338" s="1">
        <f>IFERROR(__xludf.DUMMYFUNCTION("""COMPUTED_VALUE"""),"Corporate Training, Lifelong learning/Adult education, Vocational Education and Training (VET), Higher Education")</f>
        <v/>
      </c>
      <c r="Q338" s="1">
        <f>IFERROR(__xludf.DUMMYFUNCTION("""COMPUTED_VALUE"""),"Student interfacing, Teacher interfacing, System/Administrative")</f>
        <v/>
      </c>
      <c r="R338" s="15">
        <f>IFERROR(__xludf.DUMMYFUNCTION("""COMPUTED_VALUE"""),"https://www.instagram.com/lablife.video")</f>
        <v/>
      </c>
      <c r="S338" s="1" t="n"/>
      <c r="T338" s="15">
        <f>IFERROR(__xludf.DUMMYFUNCTION("""COMPUTED_VALUE"""),"https://www.linkedin.com/company/lablife-video")</f>
        <v/>
      </c>
      <c r="U338" s="1">
        <f>IFERROR(__xludf.DUMMYFUNCTION("""COMPUTED_VALUE"""),"Video tutorials")</f>
        <v/>
      </c>
      <c r="V338" s="1">
        <f>IFERROR(__xludf.DUMMYFUNCTION("""COMPUTED_VALUE"""),"Video tutorials with special focus on practical skills for the cell culture laboratory. Lablife videos and training material are best used as preparation before one-on-one trainings in person. This allows enormous time savings for in-person trainings. Fur"&amp;"thermore, this program leads to standardized training outcomes and enhances reproducibility of biological studies.")</f>
        <v/>
      </c>
      <c r="W338" s="1" t="n"/>
      <c r="X338" s="1" t="n"/>
      <c r="Y338" s="15">
        <f>IFERROR(__xludf.DUMMYFUNCTION("""COMPUTED_VALUE"""),"https://drive.google.com/uc?export=view&amp;id=1fWlurD-Fj05QYhJlZxtCEej2m8z4Z0w3")</f>
        <v/>
      </c>
      <c r="Z338" s="1">
        <f>IFERROR(__xludf.DUMMYFUNCTION("""COMPUTED_VALUE"""),"Unverified")</f>
        <v/>
      </c>
      <c r="AA338" s="1" t="n"/>
      <c r="AB338" s="1" t="n"/>
      <c r="AC338" s="1" t="n"/>
      <c r="AD338" s="1" t="n"/>
      <c r="AE338" s="1" t="n"/>
    </row>
    <row r="339" ht="42" customHeight="1">
      <c r="A339" s="14">
        <f>IFERROR(__xludf.DUMMYFUNCTION("""COMPUTED_VALUE"""),45646)</f>
        <v/>
      </c>
      <c r="B339" s="1">
        <f>IFERROR(__xludf.DUMMYFUNCTION("""COMPUTED_VALUE"""),"ORG_2351")</f>
        <v/>
      </c>
      <c r="C339" s="1">
        <f>IFERROR(__xludf.DUMMYFUNCTION("""COMPUTED_VALUE"""),TRUE)</f>
        <v/>
      </c>
      <c r="D339" s="1">
        <f>IFERROR(__xludf.DUMMYFUNCTION("""COMPUTED_VALUE"""),"Supportsquare")</f>
        <v/>
      </c>
      <c r="E339" s="15">
        <f>IFERROR(__xludf.DUMMYFUNCTION("""COMPUTED_VALUE"""),"https://teach.supportsquare.io/")</f>
        <v/>
      </c>
      <c r="F339" s="1">
        <f>IFERROR(__xludf.DUMMYFUNCTION("""COMPUTED_VALUE"""),"Supportsquare transforms how industries train, assist, and collaborate remotely 
by leveraging immersive technologies for real-time, interactive and scalable solutions.
Passerelle XR Teach is our open SaaS solution to deploy and use XR content at scale i"&amp;"n educational and corporate learning/training.")</f>
        <v/>
      </c>
      <c r="G339" s="1">
        <f>IFERROR(__xludf.DUMMYFUNCTION("""COMPUTED_VALUE"""),"edtechstation")</f>
        <v/>
      </c>
      <c r="H339" s="1" t="n"/>
      <c r="I339" s="1" t="n"/>
      <c r="J339" s="1" t="n"/>
      <c r="K339" s="1">
        <f>IFERROR(__xludf.DUMMYFUNCTION("""COMPUTED_VALUE"""),"Gent")</f>
        <v/>
      </c>
      <c r="L339" s="1">
        <f>IFERROR(__xludf.DUMMYFUNCTION("""COMPUTED_VALUE"""),"Belgium")</f>
        <v/>
      </c>
      <c r="M339" s="1">
        <f>IFERROR(__xludf.DUMMYFUNCTION("""COMPUTED_VALUE"""),"Belgium, France, Germany, Netherlands, Spain, Switzerland, United Kingdom")</f>
        <v/>
      </c>
      <c r="N339" s="1">
        <f>IFERROR(__xludf.DUMMYFUNCTION("""COMPUTED_VALUE"""),"11 to 50")</f>
        <v/>
      </c>
      <c r="O339" s="1">
        <f>IFERROR(__xludf.DUMMYFUNCTION("""COMPUTED_VALUE"""),"Business to Business, Business to Schools, Business to Government")</f>
        <v/>
      </c>
      <c r="P339" s="1">
        <f>IFERROR(__xludf.DUMMYFUNCTION("""COMPUTED_VALUE"""),"Secondary Education, Corporate Training, Lifelong learning/Adult education, Vocational Education and Training (VET)")</f>
        <v/>
      </c>
      <c r="Q339" s="1">
        <f>IFERROR(__xludf.DUMMYFUNCTION("""COMPUTED_VALUE"""),"Student interfacing, Teacher interfacing, System/Administrative")</f>
        <v/>
      </c>
      <c r="R339" s="1" t="n"/>
      <c r="S339" s="1" t="n"/>
      <c r="T339" s="15">
        <f>IFERROR(__xludf.DUMMYFUNCTION("""COMPUTED_VALUE"""),"https://be.linkedin.com/company/supportsquare")</f>
        <v/>
      </c>
      <c r="U339" s="1" t="n"/>
      <c r="V339" s="1" t="n"/>
      <c r="W339" s="1" t="n"/>
      <c r="X339" s="1" t="n"/>
      <c r="Y339" s="15">
        <f>IFERROR(__xludf.DUMMYFUNCTION("""COMPUTED_VALUE"""),"https://drive.google.com/uc?export=view&amp;id=16gVhWPopyINvEcWTYUIGmZhERhZtdpEt")</f>
        <v/>
      </c>
      <c r="Z339" s="1">
        <f>IFERROR(__xludf.DUMMYFUNCTION("""COMPUTED_VALUE"""),"Unverified")</f>
        <v/>
      </c>
      <c r="AA339" s="1" t="n"/>
      <c r="AB339" s="1" t="n"/>
      <c r="AC339" s="1" t="n"/>
      <c r="AD339" s="1" t="n"/>
      <c r="AE339" s="1" t="n"/>
    </row>
    <row r="340" ht="42" customHeight="1">
      <c r="A340" s="14">
        <f>IFERROR(__xludf.DUMMYFUNCTION("""COMPUTED_VALUE"""),45644)</f>
        <v/>
      </c>
      <c r="B340" s="1">
        <f>IFERROR(__xludf.DUMMYFUNCTION("""COMPUTED_VALUE"""),"ORG_1370")</f>
        <v/>
      </c>
      <c r="C340" s="1">
        <f>IFERROR(__xludf.DUMMYFUNCTION("""COMPUTED_VALUE"""),TRUE)</f>
        <v/>
      </c>
      <c r="D340" s="1">
        <f>IFERROR(__xludf.DUMMYFUNCTION("""COMPUTED_VALUE"""),"Docfield")</f>
        <v/>
      </c>
      <c r="E340" s="15">
        <f>IFERROR(__xludf.DUMMYFUNCTION("""COMPUTED_VALUE"""),"https://docfield.com")</f>
        <v/>
      </c>
      <c r="F340" s="1">
        <f>IFERROR(__xludf.DUMMYFUNCTION("""COMPUTED_VALUE"""),"Docfield is a technology company specialised in developing end-to-end contract lifecycle management (CLM) solutions. 
Founded in 2019 and headquartered in Amsterdam (Netherlands) Docfield aims to streamline the creation, collaboration, and management of "&amp;"business documents across various sectors. Their contract management software simplifies the entire contract process, making it faster and easier for teams to stay organised and compliant. 
Creating documents is a breeze with self-service templates, data"&amp;" import tools, flexible workflows, and smart conditional logic. Real-time collaboration and approval mechanisms enable teams to leave comments, track revisions, and automate repetitive tasks to prevent bottlenecks. Updating thousands of documents is hassl"&amp;"e-free with bulk template editing, ensuring consistency across the board. 
With Docfield, teams can focus on what matters most: creating impact and driving growth while the platform handles the complexities of contract management with ease, accuracy, and"&amp;" reliability.")</f>
        <v/>
      </c>
      <c r="G340" s="1">
        <f>IFERROR(__xludf.DUMMYFUNCTION("""COMPUTED_VALUE"""),"Dutch EdTech")</f>
        <v/>
      </c>
      <c r="H340" s="1">
        <f>IFERROR(__xludf.DUMMYFUNCTION("""COMPUTED_VALUE"""),"English, Dutch, German")</f>
        <v/>
      </c>
      <c r="I340" s="1">
        <f>IFERROR(__xludf.DUMMYFUNCTION("""COMPUTED_VALUE"""),"tim@docfield.com")</f>
        <v/>
      </c>
      <c r="J340" s="1" t="n"/>
      <c r="K340" s="1">
        <f>IFERROR(__xludf.DUMMYFUNCTION("""COMPUTED_VALUE"""),"Singel 542")</f>
        <v/>
      </c>
      <c r="L340" s="1">
        <f>IFERROR(__xludf.DUMMYFUNCTION("""COMPUTED_VALUE"""),"The Netherlands")</f>
        <v/>
      </c>
      <c r="M340" s="1">
        <f>IFERROR(__xludf.DUMMYFUNCTION("""COMPUTED_VALUE"""),"Netherlands")</f>
        <v/>
      </c>
      <c r="N340" s="1">
        <f>IFERROR(__xludf.DUMMYFUNCTION("""COMPUTED_VALUE"""),"11 to 50")</f>
        <v/>
      </c>
      <c r="O340" s="1">
        <f>IFERROR(__xludf.DUMMYFUNCTION("""COMPUTED_VALUE"""),"Business to Business, Business to Schools")</f>
        <v/>
      </c>
      <c r="P340" s="1">
        <f>IFERROR(__xludf.DUMMYFUNCTION("""COMPUTED_VALUE"""),"Vocational Education and Training (VET), Higher Education")</f>
        <v/>
      </c>
      <c r="Q340" s="1">
        <f>IFERROR(__xludf.DUMMYFUNCTION("""COMPUTED_VALUE"""),"Teacher interfacing, System/Administrative, Student interfacing")</f>
        <v/>
      </c>
      <c r="R340" s="1" t="n"/>
      <c r="S340" s="1" t="n"/>
      <c r="T340" s="15">
        <f>IFERROR(__xludf.DUMMYFUNCTION("""COMPUTED_VALUE"""),"https://www.linkedin.com/company/docfield/?viewAsMember=true")</f>
        <v/>
      </c>
      <c r="U340" s="1">
        <f>IFERROR(__xludf.DUMMYFUNCTION("""COMPUTED_VALUE"""),"Docfield")</f>
        <v/>
      </c>
      <c r="V340" s="1">
        <f>IFERROR(__xludf.DUMMYFUNCTION("""COMPUTED_VALUE"""),"Docfield is a technology company specialised in developing end-to-end contract lifecycle management (CLM) solutions. 
Founded in 2019 and headquartered in Amsterdam (Netherlands) Docfield aims to streamline the creation, collaboration, and management of "&amp;"business documents across various sectors. Their contract management software simplifies the entire contract process, making it faster and easier for teams to stay organised and compliant. 
Creating documents is a breeze with self-service templates, data"&amp;" import tools, flexible workflows, and smart conditional logic. Real-time collaboration and approval mechanisms enable teams to leave comments, track revisions, and automate repetitive tasks to prevent bottlenecks. Updating thousands of documents is hassl"&amp;"e-free with bulk template editing, ensuring consistency across the board. 
With Docfield, teams can focus on what matters most: creating impact and driving growth while the platform handles the complexities of contract management with ease, accuracy, and"&amp;" reliability.")</f>
        <v/>
      </c>
      <c r="W340" s="1" t="n"/>
      <c r="X340" s="1" t="n"/>
      <c r="Y340" s="15">
        <f>IFERROR(__xludf.DUMMYFUNCTION("""COMPUTED_VALUE"""),"https://drive.google.com/uc?export=view&amp;id=1RtR1ImCPOfkWTq1DE653TvPdF88gNCu4")</f>
        <v/>
      </c>
      <c r="Z340" s="1">
        <f>IFERROR(__xludf.DUMMYFUNCTION("""COMPUTED_VALUE"""),"Unverified")</f>
        <v/>
      </c>
      <c r="AA340" s="1" t="n"/>
      <c r="AB340" s="1" t="n"/>
      <c r="AC340" s="1" t="n"/>
      <c r="AD340" s="1" t="n"/>
      <c r="AE340" s="1" t="n"/>
    </row>
    <row r="341" ht="42" customHeight="1">
      <c r="A341" s="14">
        <f>IFERROR(__xludf.DUMMYFUNCTION("""COMPUTED_VALUE"""),45636)</f>
        <v/>
      </c>
      <c r="B341" s="1">
        <f>IFERROR(__xludf.DUMMYFUNCTION("""COMPUTED_VALUE"""),"ORG_1483")</f>
        <v/>
      </c>
      <c r="C341" s="1">
        <f>IFERROR(__xludf.DUMMYFUNCTION("""COMPUTED_VALUE"""),TRUE)</f>
        <v/>
      </c>
      <c r="D341" s="1">
        <f>IFERROR(__xludf.DUMMYFUNCTION("""COMPUTED_VALUE"""),"Elevate")</f>
        <v/>
      </c>
      <c r="E341" s="15">
        <f>IFERROR(__xludf.DUMMYFUNCTION("""COMPUTED_VALUE"""),"https://elevatehealth.eu/")</f>
        <v/>
      </c>
      <c r="F341" s="1">
        <f>IFERROR(__xludf.DUMMYFUNCTION("""COMPUTED_VALUE"""),"Elevate connects innovative medical knowledge with didactics. In co-creation with the best scientists and medical experts, we develop tailor-made learning solutions. They have the knowledge, we help to disseminate it. From hospitals, knowledge institutes "&amp;"to consortia.
We enable health professionals and researchers from all over the world to develop and deepen their knowledge. Over the years, thousands of learners have successfully completed one of our accredited online courses. We work with more than 200"&amp;" experts and we partner with leading Academic Medical Centers, universities and professional associations in Europe.")</f>
        <v/>
      </c>
      <c r="G341" s="1">
        <f>IFERROR(__xludf.DUMMYFUNCTION("""COMPUTED_VALUE"""),"Dutch EdTech")</f>
        <v/>
      </c>
      <c r="H341" s="1">
        <f>IFERROR(__xludf.DUMMYFUNCTION("""COMPUTED_VALUE"""),"Dutch, English")</f>
        <v/>
      </c>
      <c r="I341" s="1">
        <f>IFERROR(__xludf.DUMMYFUNCTION("""COMPUTED_VALUE"""),"info@elevatehealth.eu")</f>
        <v/>
      </c>
      <c r="J341" s="1">
        <f>IFERROR(__xludf.DUMMYFUNCTION("""COMPUTED_VALUE"""),"+31 (0)85 488 5381")</f>
        <v/>
      </c>
      <c r="K341" s="1">
        <f>IFERROR(__xludf.DUMMYFUNCTION("""COMPUTED_VALUE"""),"Utrecht")</f>
        <v/>
      </c>
      <c r="L341" s="1">
        <f>IFERROR(__xludf.DUMMYFUNCTION("""COMPUTED_VALUE"""),"The Netherlands")</f>
        <v/>
      </c>
      <c r="M341" s="1">
        <f>IFERROR(__xludf.DUMMYFUNCTION("""COMPUTED_VALUE"""),"Netherlands")</f>
        <v/>
      </c>
      <c r="N341" s="1">
        <f>IFERROR(__xludf.DUMMYFUNCTION("""COMPUTED_VALUE"""),"11 to 50")</f>
        <v/>
      </c>
      <c r="O341" s="1">
        <f>IFERROR(__xludf.DUMMYFUNCTION("""COMPUTED_VALUE"""),"Business to Business, Business to Consumer, Business to Government")</f>
        <v/>
      </c>
      <c r="P341" s="1">
        <f>IFERROR(__xludf.DUMMYFUNCTION("""COMPUTED_VALUE"""),"Corporate Training, Lifelong learning/Adult education")</f>
        <v/>
      </c>
      <c r="Q341" s="1">
        <f>IFERROR(__xludf.DUMMYFUNCTION("""COMPUTED_VALUE"""),"Student interfacing, System/Administrative")</f>
        <v/>
      </c>
      <c r="R341" s="1" t="n"/>
      <c r="S341" s="1" t="n"/>
      <c r="T341" s="15">
        <f>IFERROR(__xludf.DUMMYFUNCTION("""COMPUTED_VALUE"""),"https://www.linkedin.com/company/elevate-health")</f>
        <v/>
      </c>
      <c r="U341" s="1">
        <f>IFERROR(__xludf.DUMMYFUNCTION("""COMPUTED_VALUE"""),"Learning Solutions")</f>
        <v/>
      </c>
      <c r="V341" s="1">
        <f>IFERROR(__xludf.DUMMYFUNCTION("""COMPUTED_VALUE"""),"As a full-service learning solutions company, we are passionate about delivering customized online and blended learning solutions, in co-creation with our partners in healthcare, education, and the public sector.")</f>
        <v/>
      </c>
      <c r="W341" s="1">
        <f>IFERROR(__xludf.DUMMYFUNCTION("""COMPUTED_VALUE"""),"Consultancy &amp; Instructional Design")</f>
        <v/>
      </c>
      <c r="X341" s="1">
        <f>IFERROR(__xludf.DUMMYFUNCTION("""COMPUTED_VALUE"""),"Our job is to help you deliver great learning outcomes. Having a trusted partner to ask the right questions will help you achieve great results. Interested in what our consultants can do for you? Read more below and find out how our learning advisory serv"&amp;"ices work or book a free consultation.
Our consultancy extends from training needs analysis, evaluation of your current learning structure to the design and development of entire online and blended learning programs.")</f>
        <v/>
      </c>
      <c r="Y341" s="15">
        <f>IFERROR(__xludf.DUMMYFUNCTION("""COMPUTED_VALUE"""),"https://drive.google.com/uc?export=view&amp;id=1xrsBXkj2Qt-smxYvgp_2rDo4sHz6PBC_")</f>
        <v/>
      </c>
      <c r="Z341" s="1">
        <f>IFERROR(__xludf.DUMMYFUNCTION("""COMPUTED_VALUE"""),"Unverified")</f>
        <v/>
      </c>
      <c r="AA341" s="1" t="n"/>
      <c r="AB341" s="1" t="n"/>
      <c r="AC341" s="1" t="n"/>
      <c r="AD341" s="1" t="n"/>
      <c r="AE341" s="1" t="n"/>
    </row>
    <row r="342" ht="42" customHeight="1">
      <c r="A342" s="14">
        <f>IFERROR(__xludf.DUMMYFUNCTION("""COMPUTED_VALUE"""),45632)</f>
        <v/>
      </c>
      <c r="B342" s="1">
        <f>IFERROR(__xludf.DUMMYFUNCTION("""COMPUTED_VALUE"""),"ORG_1638")</f>
        <v/>
      </c>
      <c r="C342" s="1">
        <f>IFERROR(__xludf.DUMMYFUNCTION("""COMPUTED_VALUE"""),TRUE)</f>
        <v/>
      </c>
      <c r="D342" s="1">
        <f>IFERROR(__xludf.DUMMYFUNCTION("""COMPUTED_VALUE"""),"GradeBuilder")</f>
        <v/>
      </c>
      <c r="E342" s="15">
        <f>IFERROR(__xludf.DUMMYFUNCTION("""COMPUTED_VALUE"""),"https://gradebuilder.tech/")</f>
        <v/>
      </c>
      <c r="F342" s="1">
        <f>IFERROR(__xludf.DUMMYFUNCTION("""COMPUTED_VALUE"""),"Inclusive IT education platform for people with focus challenges and ADHD")</f>
        <v/>
      </c>
      <c r="G342" s="1">
        <f>IFERROR(__xludf.DUMMYFUNCTION("""COMPUTED_VALUE"""),"I'm not part of any EdTech association")</f>
        <v/>
      </c>
      <c r="H342" s="1">
        <f>IFERROR(__xludf.DUMMYFUNCTION("""COMPUTED_VALUE"""),"Spanish, English, russian")</f>
        <v/>
      </c>
      <c r="I342" s="1">
        <f>IFERROR(__xludf.DUMMYFUNCTION("""COMPUTED_VALUE"""),"org@gradebuilder.tech")</f>
        <v/>
      </c>
      <c r="J342" s="1">
        <f>IFERROR(__xludf.DUMMYFUNCTION("""COMPUTED_VALUE"""),"622448805")</f>
        <v/>
      </c>
      <c r="K342" s="1">
        <f>IFERROR(__xludf.DUMMYFUNCTION("""COMPUTED_VALUE"""),"SANTIAGO DE LA RIBERA, MURCIA")</f>
        <v/>
      </c>
      <c r="L342" s="1">
        <f>IFERROR(__xludf.DUMMYFUNCTION("""COMPUTED_VALUE"""),"Spain")</f>
        <v/>
      </c>
      <c r="M342" s="1">
        <f>IFERROR(__xludf.DUMMYFUNCTION("""COMPUTED_VALUE"""),"Spain")</f>
        <v/>
      </c>
      <c r="N342" s="1">
        <f>IFERROR(__xludf.DUMMYFUNCTION("""COMPUTED_VALUE"""),"3 to 5")</f>
        <v/>
      </c>
      <c r="O342" s="1">
        <f>IFERROR(__xludf.DUMMYFUNCTION("""COMPUTED_VALUE"""),"Business to Business, Business to Consumer")</f>
        <v/>
      </c>
      <c r="P342" s="1">
        <f>IFERROR(__xludf.DUMMYFUNCTION("""COMPUTED_VALUE"""),"Corporate Training, Lifelong learning/Adult education, Vocational Education and Training (VET)")</f>
        <v/>
      </c>
      <c r="Q342" s="1">
        <f>IFERROR(__xludf.DUMMYFUNCTION("""COMPUTED_VALUE"""),"Student interfacing, System/Administrative")</f>
        <v/>
      </c>
      <c r="R342" s="1" t="n"/>
      <c r="S342" s="15">
        <f>IFERROR(__xludf.DUMMYFUNCTION("""COMPUTED_VALUE"""),"https://x.com/gradebuildertec")</f>
        <v/>
      </c>
      <c r="T342" s="15">
        <f>IFERROR(__xludf.DUMMYFUNCTION("""COMPUTED_VALUE"""),"https://www.linkedin.com/company/gradebuilder/")</f>
        <v/>
      </c>
      <c r="U342" s="1">
        <f>IFERROR(__xludf.DUMMYFUNCTION("""COMPUTED_VALUE"""),"IT courses for neurodivergent students")</f>
        <v/>
      </c>
      <c r="V342" s="1">
        <f>IFERROR(__xludf.DUMMYFUNCTION("""COMPUTED_VALUE"""),"IT courses specifically designed for neurodivergent students, offering a supportive, personalized learning experience tailored to individuals with ADHD and focus challenges. Our courses aim to bridge the gap in tech education, providing adaptable resource"&amp;"s for every learner to succeed in IT")</f>
        <v/>
      </c>
      <c r="W342" s="1">
        <f>IFERROR(__xludf.DUMMYFUNCTION("""COMPUTED_VALUE"""),"Corporate IT courses")</f>
        <v/>
      </c>
      <c r="X342" s="1">
        <f>IFERROR(__xludf.DUMMYFUNCTION("""COMPUTED_VALUE"""),"Corporate IT courses designed to enhance employee skills, boost productivity, and streamline professional development. These courses offer tailored content to meet the needs of companies looking to upskill their workforce in the tech sector")</f>
        <v/>
      </c>
      <c r="Y342" s="15">
        <f>IFERROR(__xludf.DUMMYFUNCTION("""COMPUTED_VALUE"""),"https://drive.google.com/uc?export=view&amp;id=1Iw2roVLWgYa61t_7ewNalQqq-iJH6y2D")</f>
        <v/>
      </c>
      <c r="Z342" s="1">
        <f>IFERROR(__xludf.DUMMYFUNCTION("""COMPUTED_VALUE"""),"Unverified")</f>
        <v/>
      </c>
      <c r="AA342" s="1" t="n"/>
      <c r="AB342" s="1" t="n"/>
      <c r="AC342" s="1" t="n"/>
      <c r="AD342" s="1" t="n"/>
      <c r="AE342" s="1" t="n"/>
    </row>
    <row r="343" ht="42" customHeight="1">
      <c r="A343" s="14">
        <f>IFERROR(__xludf.DUMMYFUNCTION("""COMPUTED_VALUE"""),45629)</f>
        <v/>
      </c>
      <c r="B343" s="1">
        <f>IFERROR(__xludf.DUMMYFUNCTION("""COMPUTED_VALUE"""),"ORG_1397")</f>
        <v/>
      </c>
      <c r="C343" s="1">
        <f>IFERROR(__xludf.DUMMYFUNCTION("""COMPUTED_VALUE"""),TRUE)</f>
        <v/>
      </c>
      <c r="D343" s="1">
        <f>IFERROR(__xludf.DUMMYFUNCTION("""COMPUTED_VALUE"""),"Edavia")</f>
        <v/>
      </c>
      <c r="E343" s="15">
        <f>IFERROR(__xludf.DUMMYFUNCTION("""COMPUTED_VALUE"""),"edavia.se")</f>
        <v/>
      </c>
      <c r="F343" s="1">
        <f>IFERROR(__xludf.DUMMYFUNCTION("""COMPUTED_VALUE"""),"Edavia provides software solutions for education. The company flagship product, pluggamatte.se, is used by teachers and students all over Sweden to improve mathematics learning using spaced repetition.")</f>
        <v/>
      </c>
      <c r="G343" s="1">
        <f>IFERROR(__xludf.DUMMYFUNCTION("""COMPUTED_VALUE"""),"Swedish EdTech Industry")</f>
        <v/>
      </c>
      <c r="H343" s="1">
        <f>IFERROR(__xludf.DUMMYFUNCTION("""COMPUTED_VALUE"""),"Swedish, English")</f>
        <v/>
      </c>
      <c r="I343" s="1">
        <f>IFERROR(__xludf.DUMMYFUNCTION("""COMPUTED_VALUE"""),"info@edavia.se")</f>
        <v/>
      </c>
      <c r="J343" s="1" t="n"/>
      <c r="K343" s="1">
        <f>IFERROR(__xludf.DUMMYFUNCTION("""COMPUTED_VALUE"""),"UPPSALA")</f>
        <v/>
      </c>
      <c r="L343" s="1">
        <f>IFERROR(__xludf.DUMMYFUNCTION("""COMPUTED_VALUE"""),"Sweden")</f>
        <v/>
      </c>
      <c r="M343" s="1">
        <f>IFERROR(__xludf.DUMMYFUNCTION("""COMPUTED_VALUE"""),"Sweden")</f>
        <v/>
      </c>
      <c r="N343" s="1">
        <f>IFERROR(__xludf.DUMMYFUNCTION("""COMPUTED_VALUE"""),"3 to 5")</f>
        <v/>
      </c>
      <c r="O343" s="1">
        <f>IFERROR(__xludf.DUMMYFUNCTION("""COMPUTED_VALUE"""),"Business to Schools, Business to Government")</f>
        <v/>
      </c>
      <c r="P343" s="1">
        <f>IFERROR(__xludf.DUMMYFUNCTION("""COMPUTED_VALUE"""),"Primary Education, Secondary Education")</f>
        <v/>
      </c>
      <c r="Q343" s="1">
        <f>IFERROR(__xludf.DUMMYFUNCTION("""COMPUTED_VALUE"""),"Teacher interfacing")</f>
        <v/>
      </c>
      <c r="R343" s="1" t="n"/>
      <c r="S343" s="1" t="n"/>
      <c r="T343" s="15">
        <f>IFERROR(__xludf.DUMMYFUNCTION("""COMPUTED_VALUE"""),"https://www.linkedin.com/company/edavia")</f>
        <v/>
      </c>
      <c r="U343" s="15">
        <f>IFERROR(__xludf.DUMMYFUNCTION("""COMPUTED_VALUE"""),"pluggamatte.se")</f>
        <v/>
      </c>
      <c r="V343" s="1">
        <f>IFERROR(__xludf.DUMMYFUNCTION("""COMPUTED_VALUE"""),"PM (pluggamatte.se) has been designed so that every student optimally practices and consolidates their math knowledge, in order for everything learned so far to be retained and possible to recall at any time during the course. Very much in mathematics bui"&amp;"lds on what is previously learned, but far from everything comes back and is interwoven into the next phase. We want to combat the forgetting curve, resulting from not maintaining the already acquired knowledge. Using the PM method, we will retain what we"&amp;" have learned, all the way up to the course exam and also going forward.")</f>
        <v/>
      </c>
      <c r="W343" s="1" t="n"/>
      <c r="X343" s="1" t="n"/>
      <c r="Y343" s="15">
        <f>IFERROR(__xludf.DUMMYFUNCTION("""COMPUTED_VALUE"""),"https://drive.google.com/uc?export=view&amp;id=1h_V6egrH56YualvffdRsgWlBIrAoOlrV")</f>
        <v/>
      </c>
      <c r="Z343" s="1">
        <f>IFERROR(__xludf.DUMMYFUNCTION("""COMPUTED_VALUE"""),"Unverified")</f>
        <v/>
      </c>
      <c r="AA343" s="1" t="n"/>
      <c r="AB343" s="1" t="n"/>
      <c r="AC343" s="1" t="n"/>
      <c r="AD343" s="1" t="n"/>
      <c r="AE343" s="1" t="n"/>
    </row>
    <row r="344" ht="42" customHeight="1">
      <c r="A344" s="14">
        <f>IFERROR(__xludf.DUMMYFUNCTION("""COMPUTED_VALUE"""),45628)</f>
        <v/>
      </c>
      <c r="B344" s="1">
        <f>IFERROR(__xludf.DUMMYFUNCTION("""COMPUTED_VALUE"""),"ORG_1070")</f>
        <v/>
      </c>
      <c r="C344" s="1">
        <f>IFERROR(__xludf.DUMMYFUNCTION("""COMPUTED_VALUE"""),TRUE)</f>
        <v/>
      </c>
      <c r="D344" s="1">
        <f>IFERROR(__xludf.DUMMYFUNCTION("""COMPUTED_VALUE"""),"Ampliro")</f>
        <v/>
      </c>
      <c r="E344" s="15">
        <f>IFERROR(__xludf.DUMMYFUNCTION("""COMPUTED_VALUE"""),"www.ampliro.com")</f>
        <v/>
      </c>
      <c r="F344" s="1">
        <f>IFERROR(__xludf.DUMMYFUNCTION("""COMPUTED_VALUE"""),"Ampliro is a management consultancy specializing in AI strategies and digital transformation. We help organizations align AI innovations with their strategic goals to improve efficiency, stay competitive, and adapt to change. With a strong focus on educat"&amp;"ion technology and digital solutions, we support clients in enhancing learning environments and streamlining processes. By combining strategic management expertise with practical AI applications, Ampliro contributes to making technology more accessible an"&amp;"d impactful in education and beyond.")</f>
        <v/>
      </c>
      <c r="G344" s="1">
        <f>IFERROR(__xludf.DUMMYFUNCTION("""COMPUTED_VALUE"""),"Swedish EdTech Industry")</f>
        <v/>
      </c>
      <c r="H344" s="1">
        <f>IFERROR(__xludf.DUMMYFUNCTION("""COMPUTED_VALUE"""),"English")</f>
        <v/>
      </c>
      <c r="I344" s="1">
        <f>IFERROR(__xludf.DUMMYFUNCTION("""COMPUTED_VALUE"""),"info@ampliro.com")</f>
        <v/>
      </c>
      <c r="J344" s="1">
        <f>IFERROR(__xludf.DUMMYFUNCTION("""COMPUTED_VALUE"""),"+46 8 555 162 00")</f>
        <v/>
      </c>
      <c r="K344" s="1">
        <f>IFERROR(__xludf.DUMMYFUNCTION("""COMPUTED_VALUE"""),"STOCKHOLM")</f>
        <v/>
      </c>
      <c r="L344" s="1">
        <f>IFERROR(__xludf.DUMMYFUNCTION("""COMPUTED_VALUE"""),"Sweden")</f>
        <v/>
      </c>
      <c r="M34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344" s="1">
        <f>IFERROR(__xludf.DUMMYFUNCTION("""COMPUTED_VALUE"""),"0 to 2")</f>
        <v/>
      </c>
      <c r="O344" s="1">
        <f>IFERROR(__xludf.DUMMYFUNCTION("""COMPUTED_VALUE"""),"Business to Business, Business to Schools, Business to Consumer, Business to Government")</f>
        <v/>
      </c>
      <c r="P344" s="1">
        <f>IFERROR(__xludf.DUMMYFUNCTION("""COMPUTED_VALUE"""),"Primary Education, Secondary Education, Corporate Training, Lifelong learning/Adult education, Vocational Education and Training (VET), Higher Education")</f>
        <v/>
      </c>
      <c r="Q344" s="1">
        <f>IFERROR(__xludf.DUMMYFUNCTION("""COMPUTED_VALUE"""),"System/Administrative, Student interfacing")</f>
        <v/>
      </c>
      <c r="R344" s="1" t="n"/>
      <c r="S344" s="15">
        <f>IFERROR(__xludf.DUMMYFUNCTION("""COMPUTED_VALUE"""),"http://x.com/ampliro")</f>
        <v/>
      </c>
      <c r="T344" s="15">
        <f>IFERROR(__xludf.DUMMYFUNCTION("""COMPUTED_VALUE"""),"http://linkedin.com/company/ampliro")</f>
        <v/>
      </c>
      <c r="U344" s="1">
        <f>IFERROR(__xludf.DUMMYFUNCTION("""COMPUTED_VALUE"""),"AI Strategy Consulting for Education")</f>
        <v/>
      </c>
      <c r="V344" s="1">
        <f>IFERROR(__xludf.DUMMYFUNCTION("""COMPUTED_VALUE"""),"Ampliro helps education organizations and edtech companies develop and implement AI strategies tailored to their goals. By focusing on opportunities within learning environments and administrative efficiency, we guide clients in integrating AI technologie"&amp;"s to improve outcomes, enhance operational processes, and meet the challenges of modern education.")</f>
        <v/>
      </c>
      <c r="W344" s="1">
        <f>IFERROR(__xludf.DUMMYFUNCTION("""COMPUTED_VALUE"""),"Digital Transformation Advisory for Education")</f>
        <v/>
      </c>
      <c r="X344" s="1">
        <f>IFERROR(__xludf.DUMMYFUNCTION("""COMPUTED_VALUE"""),"Ampliro provides strategic support to education-focused organizations and edtech companies navigating digital transformation. We help streamline processes, optimize the use of digital tools, and design solutions that foster innovation in education. Our se"&amp;"rvices are ideal for those aiming to create impactful, future-ready learning environments.")</f>
        <v/>
      </c>
      <c r="Y344" s="15">
        <f>IFERROR(__xludf.DUMMYFUNCTION("""COMPUTED_VALUE"""),"https://drive.google.com/uc?export=view&amp;id=1PDemQsPeAvE6tGwxdS0ZWc1ROLWdpBn0")</f>
        <v/>
      </c>
      <c r="Z344" s="1">
        <f>IFERROR(__xludf.DUMMYFUNCTION("""COMPUTED_VALUE"""),"Unverified")</f>
        <v/>
      </c>
      <c r="AA344" s="1" t="n"/>
      <c r="AB344" s="1" t="n"/>
      <c r="AC344" s="1" t="n"/>
      <c r="AD344" s="1" t="n"/>
      <c r="AE344" s="1" t="n"/>
    </row>
    <row r="345" ht="42" customHeight="1">
      <c r="A345" s="14">
        <f>IFERROR(__xludf.DUMMYFUNCTION("""COMPUTED_VALUE"""),45615)</f>
        <v/>
      </c>
      <c r="B345" s="1">
        <f>IFERROR(__xludf.DUMMYFUNCTION("""COMPUTED_VALUE"""),"ORG_1327")</f>
        <v/>
      </c>
      <c r="C345" s="1">
        <f>IFERROR(__xludf.DUMMYFUNCTION("""COMPUTED_VALUE"""),TRUE)</f>
        <v/>
      </c>
      <c r="D345" s="1">
        <f>IFERROR(__xludf.DUMMYFUNCTION("""COMPUTED_VALUE"""),"Daidream")</f>
        <v/>
      </c>
      <c r="E345" s="15">
        <f>IFERROR(__xludf.DUMMYFUNCTION("""COMPUTED_VALUE"""),"https://www.talesofmello.com/")</f>
        <v/>
      </c>
      <c r="F345" s="1">
        <f>IFERROR(__xludf.DUMMYFUNCTION("""COMPUTED_VALUE"""),"Daidream’s Mello platform addresses the lack of healthy, educational digital content for children by providing an alternative to passive, overstimulating screentime. Through interactive, personalized storytelling focused on STEAM topics, Mello fosters cre"&amp;"ativity, mindfulness, and critical thinking. As an Impact Startup, Mello aligns with UN SDGs, collaborating with organizations like WWF to educate children on sustainability while promoting inclusive, quality edutainment that empowers young minds.")</f>
        <v/>
      </c>
      <c r="G345" s="1">
        <f>IFERROR(__xludf.DUMMYFUNCTION("""COMPUTED_VALUE"""),"I'm not part of any EdTech association")</f>
        <v/>
      </c>
      <c r="H345" s="1">
        <f>IFERROR(__xludf.DUMMYFUNCTION("""COMPUTED_VALUE"""),"German, English, Croatian, Bulgarian")</f>
        <v/>
      </c>
      <c r="I345" s="1">
        <f>IFERROR(__xludf.DUMMYFUNCTION("""COMPUTED_VALUE"""),"nevio.buric@daidream.io")</f>
        <v/>
      </c>
      <c r="J345" s="1" t="n"/>
      <c r="K345" s="1">
        <f>IFERROR(__xludf.DUMMYFUNCTION("""COMPUTED_VALUE"""),"VUKOVAR")</f>
        <v/>
      </c>
      <c r="L345" s="1">
        <f>IFERROR(__xludf.DUMMYFUNCTION("""COMPUTED_VALUE"""),"Croatia")</f>
        <v/>
      </c>
      <c r="M345" s="1">
        <f>IFERROR(__xludf.DUMMYFUNCTION("""COMPUTED_VALUE"""),"Bulgaria, Croatia, Germany")</f>
        <v/>
      </c>
      <c r="N345" s="1">
        <f>IFERROR(__xludf.DUMMYFUNCTION("""COMPUTED_VALUE"""),"6 to 10")</f>
        <v/>
      </c>
      <c r="O345" s="1">
        <f>IFERROR(__xludf.DUMMYFUNCTION("""COMPUTED_VALUE"""),"Business to Business, Business to Government")</f>
        <v/>
      </c>
      <c r="P345" s="1">
        <f>IFERROR(__xludf.DUMMYFUNCTION("""COMPUTED_VALUE"""),"Early childhood development (0-5 years), Primary Education")</f>
        <v/>
      </c>
      <c r="Q345" s="1">
        <f>IFERROR(__xludf.DUMMYFUNCTION("""COMPUTED_VALUE"""),"System/Administrative, Student interfacing")</f>
        <v/>
      </c>
      <c r="R345" s="15">
        <f>IFERROR(__xludf.DUMMYFUNCTION("""COMPUTED_VALUE"""),"https://www.instagram.com/daidream.io/")</f>
        <v/>
      </c>
      <c r="S345" s="1" t="n"/>
      <c r="T345" s="15">
        <f>IFERROR(__xludf.DUMMYFUNCTION("""COMPUTED_VALUE"""),"https://www.linkedin.com/company/daidream-io")</f>
        <v/>
      </c>
      <c r="U345" s="1">
        <f>IFERROR(__xludf.DUMMYFUNCTION("""COMPUTED_VALUE"""),"Tales of Mello")</f>
        <v/>
      </c>
      <c r="V345" s="1">
        <f>IFERROR(__xludf.DUMMYFUNCTION("""COMPUTED_VALUE"""),"Daidream’s Mello platform addresses the lack of healthy, educational digital content for children by providing an alternative to passive, overstimulating screentime. Through interactive, personalized storytelling focused on STEAM topics, Mello fosters cre"&amp;"ativity, mindfulness, and critical thinking. As an Impact Startup, Mello aligns with UN SDGs, collaborating with organizations like WWF to educate children on sustainability while promoting inclusive, quality edutainment that empowers young minds.")</f>
        <v/>
      </c>
      <c r="W345" s="1" t="n"/>
      <c r="X345" s="1" t="n"/>
      <c r="Y345" s="15">
        <f>IFERROR(__xludf.DUMMYFUNCTION("""COMPUTED_VALUE"""),"https://drive.google.com/uc?export=view&amp;id=1JOZaRIUNolSpDcQQ9ri9xZGFBbIRKJIf")</f>
        <v/>
      </c>
      <c r="Z345" s="1">
        <f>IFERROR(__xludf.DUMMYFUNCTION("""COMPUTED_VALUE"""),"Unverified")</f>
        <v/>
      </c>
      <c r="AA345" s="1" t="n"/>
      <c r="AB345" s="1" t="n"/>
      <c r="AC345" s="1" t="n"/>
      <c r="AD345" s="1" t="n"/>
      <c r="AE345" s="1" t="n"/>
    </row>
    <row r="346" ht="42" customHeight="1">
      <c r="A346" s="14">
        <f>IFERROR(__xludf.DUMMYFUNCTION("""COMPUTED_VALUE"""),45615)</f>
        <v/>
      </c>
      <c r="B346" s="1">
        <f>IFERROR(__xludf.DUMMYFUNCTION("""COMPUTED_VALUE"""),"ORG_1791")</f>
        <v/>
      </c>
      <c r="C346" s="1">
        <f>IFERROR(__xludf.DUMMYFUNCTION("""COMPUTED_VALUE"""),TRUE)</f>
        <v/>
      </c>
      <c r="D346" s="1">
        <f>IFERROR(__xludf.DUMMYFUNCTION("""COMPUTED_VALUE"""),"Kumo Cloud Solutions GmbH")</f>
        <v/>
      </c>
      <c r="E346" s="15">
        <f>IFERROR(__xludf.DUMMYFUNCTION("""COMPUTED_VALUE"""),"https://kumo-cloud.com")</f>
        <v/>
      </c>
      <c r="F346" s="1">
        <f>IFERROR(__xludf.DUMMYFUNCTION("""COMPUTED_VALUE"""),"Kumo Cloud Solutions GmbH i.G. is an up-and-coming BizTech company that specializes in optimizing business processes in various industries. We strive to make processes more efficient and generate substantial added value for our customers through the targe"&amp;"ted use of artificial intelligence (AI) and advanced algorithms.
BrainBridge - your intelligent tool for efficient employee onboarding and offboarding
In times of digital change and demographic upheaval, maintaining and sharing knowledge within companie"&amp;"s is more important than ever. BrainBridge offers an AI-supported solution that intelligently supports the entire onboarding and offboarding process while securing valuable employee knowledge in the long term.
Documenting knowledge is often seen as a sim"&amp;"ple task, but in practice the opposite is often the case. Implicit knowledge remains in the minds of individual employees without being passed on in a structured manner. This makes knowledge sharing more difficult and leads to a loss of efficiency in the "&amp;"company. This is exactly where BrainBridge comes in.")</f>
        <v/>
      </c>
      <c r="G346" s="1">
        <f>IFERROR(__xludf.DUMMYFUNCTION("""COMPUTED_VALUE"""),"I'm not part of any EdTech association")</f>
        <v/>
      </c>
      <c r="H346" s="1">
        <f>IFERROR(__xludf.DUMMYFUNCTION("""COMPUTED_VALUE"""),"German, English")</f>
        <v/>
      </c>
      <c r="I346" s="1">
        <f>IFERROR(__xludf.DUMMYFUNCTION("""COMPUTED_VALUE"""),"info@kumo-cloud.com")</f>
        <v/>
      </c>
      <c r="J346" s="1">
        <f>IFERROR(__xludf.DUMMYFUNCTION("""COMPUTED_VALUE"""),"+4922199989850")</f>
        <v/>
      </c>
      <c r="K346" s="1">
        <f>IFERROR(__xludf.DUMMYFUNCTION("""COMPUTED_VALUE"""),"Cologne")</f>
        <v/>
      </c>
      <c r="L346" s="1">
        <f>IFERROR(__xludf.DUMMYFUNCTION("""COMPUTED_VALUE"""),"Germany")</f>
        <v/>
      </c>
      <c r="M346" s="1">
        <f>IFERROR(__xludf.DUMMYFUNCTION("""COMPUTED_VALUE"""),"Germany")</f>
        <v/>
      </c>
      <c r="N346" s="1">
        <f>IFERROR(__xludf.DUMMYFUNCTION("""COMPUTED_VALUE"""),"6 to 10")</f>
        <v/>
      </c>
      <c r="O346" s="1">
        <f>IFERROR(__xludf.DUMMYFUNCTION("""COMPUTED_VALUE"""),"Business to Business, Business to Schools, Business to Consumer, Business to Government")</f>
        <v/>
      </c>
      <c r="P346" s="1">
        <f>IFERROR(__xludf.DUMMYFUNCTION("""COMPUTED_VALUE"""),"Corporate Training")</f>
        <v/>
      </c>
      <c r="Q346" s="1">
        <f>IFERROR(__xludf.DUMMYFUNCTION("""COMPUTED_VALUE"""),"System/Administrative, Student interfacing")</f>
        <v/>
      </c>
      <c r="R346" s="1" t="n"/>
      <c r="S346" s="1" t="n"/>
      <c r="T346" s="15">
        <f>IFERROR(__xludf.DUMMYFUNCTION("""COMPUTED_VALUE"""),"https://www.linkedin.com/company/kumocloud/")</f>
        <v/>
      </c>
      <c r="U346" s="1">
        <f>IFERROR(__xludf.DUMMYFUNCTION("""COMPUTED_VALUE"""),"Brainbridge")</f>
        <v/>
      </c>
      <c r="V346" s="1">
        <f>IFERROR(__xludf.DUMMYFUNCTION("""COMPUTED_VALUE"""),"BrainBridge - your intelligent tool for efficient employee onboarding and offboarding
In times of digital change and demographic upheaval, maintaining and sharing knowledge within companies is more important than ever. BrainBridge offers an AI-supported "&amp;"solution that intelligently supports the entire onboarding and offboarding process while securing valuable employee knowledge in the long term.
Documenting knowledge is often seen as a simple task, but in practice the opposite is often the case. Implicit"&amp;" knowledge remains in the minds of individual employees without being passed on in a structured manner. This makes knowledge sharing more difficult and leads to a loss of efficiency in the company. This is exactly where BrainBridge comes in.")</f>
        <v/>
      </c>
      <c r="W346" s="1">
        <f>IFERROR(__xludf.DUMMYFUNCTION("""COMPUTED_VALUE"""),"SayHy")</f>
        <v/>
      </c>
      <c r="X346" s="1">
        <f>IFERROR(__xludf.DUMMYFUNCTION("""COMPUTED_VALUE"""),"A communication platform that optimizes customer service and sales via messenger services such as WhatsApp.
Our customer service solution transforms customer communication by providing self-service options and interactive templates, which increases effici"&amp;"ency and reduces the workload on employees. SayHy integrates various messenger services in one platform and even offers the option of developing simple apps in the messenger via the FlowEditor. This comprehensive, cross-channel solution increases customer"&amp;" satisfaction and enables up- and cross-selling in an intuitive way.")</f>
        <v/>
      </c>
      <c r="Y346" s="15">
        <f>IFERROR(__xludf.DUMMYFUNCTION("""COMPUTED_VALUE"""),"https://drive.google.com/uc?export=view&amp;id=1s3OGLRI-um-cVDJAKoMk4UcOJQLgsn1W")</f>
        <v/>
      </c>
      <c r="Z346" s="1">
        <f>IFERROR(__xludf.DUMMYFUNCTION("""COMPUTED_VALUE"""),"Unverified")</f>
        <v/>
      </c>
      <c r="AA346" s="1" t="n"/>
      <c r="AB346" s="1" t="n"/>
      <c r="AC346" s="1" t="n"/>
      <c r="AD346" s="1" t="n"/>
      <c r="AE346" s="1" t="n"/>
    </row>
    <row r="347" ht="42" customHeight="1">
      <c r="A347" s="14">
        <f>IFERROR(__xludf.DUMMYFUNCTION("""COMPUTED_VALUE"""),45610)</f>
        <v/>
      </c>
      <c r="B347" s="1">
        <f>IFERROR(__xludf.DUMMYFUNCTION("""COMPUTED_VALUE"""),"ORG_1292")</f>
        <v/>
      </c>
      <c r="C347" s="1">
        <f>IFERROR(__xludf.DUMMYFUNCTION("""COMPUTED_VALUE"""),TRUE)</f>
        <v/>
      </c>
      <c r="D347" s="1">
        <f>IFERROR(__xludf.DUMMYFUNCTION("""COMPUTED_VALUE"""),"Contipso")</f>
        <v/>
      </c>
      <c r="E347" s="15">
        <f>IFERROR(__xludf.DUMMYFUNCTION("""COMPUTED_VALUE"""),"https://lms.contipso.com/")</f>
        <v/>
      </c>
      <c r="F347" s="1">
        <f>IFERROR(__xludf.DUMMYFUNCTION("""COMPUTED_VALUE"""),"Contipso is a company that offers software and methodical provision for knowledge management within organizations, covering their creation, storage, sharing, updating, and monitoring of activity and perception levels. Contipso Learning is a platform desig"&amp;"ned to save time for teams managing training processes within organizations, while simultaneously providing powerful tools for internally creating engaging interactive online courses, featuring an integrated virtual room, administering in-person training,"&amp;" and providing detailed real-time reports.")</f>
        <v/>
      </c>
      <c r="G347" s="1">
        <f>IFERROR(__xludf.DUMMYFUNCTION("""COMPUTED_VALUE"""),"EdTech Bulgaria")</f>
        <v/>
      </c>
      <c r="H347" s="1">
        <f>IFERROR(__xludf.DUMMYFUNCTION("""COMPUTED_VALUE"""),"English, Bulgarian, Greek, Romanian")</f>
        <v/>
      </c>
      <c r="I347" s="1">
        <f>IFERROR(__xludf.DUMMYFUNCTION("""COMPUTED_VALUE"""),"office@contipso.com")</f>
        <v/>
      </c>
      <c r="J347" s="1">
        <f>IFERROR(__xludf.DUMMYFUNCTION("""COMPUTED_VALUE"""),"878708841")</f>
        <v/>
      </c>
      <c r="K347" s="1">
        <f>IFERROR(__xludf.DUMMYFUNCTION("""COMPUTED_VALUE"""),"SOFIA")</f>
        <v/>
      </c>
      <c r="L347" s="1">
        <f>IFERROR(__xludf.DUMMYFUNCTION("""COMPUTED_VALUE"""),"Bulgaria")</f>
        <v/>
      </c>
      <c r="M347" s="1">
        <f>IFERROR(__xludf.DUMMYFUNCTION("""COMPUTED_VALUE"""),"Greece, North Macedonia, Poland, Romania")</f>
        <v/>
      </c>
      <c r="N347" s="1">
        <f>IFERROR(__xludf.DUMMYFUNCTION("""COMPUTED_VALUE"""),"6 to 10")</f>
        <v/>
      </c>
      <c r="O347" s="1">
        <f>IFERROR(__xludf.DUMMYFUNCTION("""COMPUTED_VALUE"""),"Business to Business")</f>
        <v/>
      </c>
      <c r="P347" s="1">
        <f>IFERROR(__xludf.DUMMYFUNCTION("""COMPUTED_VALUE"""),"Corporate Training, Lifelong learning/Adult education, Vocational Education and Training (VET), Higher Education")</f>
        <v/>
      </c>
      <c r="Q347" s="1">
        <f>IFERROR(__xludf.DUMMYFUNCTION("""COMPUTED_VALUE"""),"System/Administrative, Student interfacing")</f>
        <v/>
      </c>
      <c r="R347" s="1" t="n"/>
      <c r="S347" s="1" t="n"/>
      <c r="T347" s="15">
        <f>IFERROR(__xludf.DUMMYFUNCTION("""COMPUTED_VALUE"""),"https://bg.linkedin.com/company/contipso")</f>
        <v/>
      </c>
      <c r="U347" s="1">
        <f>IFERROR(__xludf.DUMMYFUNCTION("""COMPUTED_VALUE"""),"Contipso LMS")</f>
        <v/>
      </c>
      <c r="V347" s="1">
        <f>IFERROR(__xludf.DUMMYFUNCTION("""COMPUTED_VALUE"""),"Learning Management System, designed and developed to make the online training process as enjoyable and close to in-person training as possible. The system offers a wide range of intuitive tools for access management, communication, monitoring, and report"&amp;"ing on individual user performance.")</f>
        <v/>
      </c>
      <c r="W347" s="1">
        <f>IFERROR(__xludf.DUMMYFUNCTION("""COMPUTED_VALUE"""),"Contipso Author")</f>
        <v/>
      </c>
      <c r="X347" s="1">
        <f>IFERROR(__xludf.DUMMYFUNCTION("""COMPUTED_VALUE"""),"A tool for creating interactive multimedia educational content, aimed at greatly facilitating authors and developers of online courses. With Contipso Author, you create interactive multimedia educational content that interacts with learners.")</f>
        <v/>
      </c>
      <c r="Y347" s="15">
        <f>IFERROR(__xludf.DUMMYFUNCTION("""COMPUTED_VALUE"""),"https://drive.google.com/uc?export=view&amp;id=1voPW9jbG7PNJmAnsFRHwoq4NZog2FX9Y")</f>
        <v/>
      </c>
      <c r="Z347" s="1">
        <f>IFERROR(__xludf.DUMMYFUNCTION("""COMPUTED_VALUE"""),"Unverified")</f>
        <v/>
      </c>
      <c r="AA347" s="1" t="n"/>
      <c r="AB347" s="1" t="n"/>
      <c r="AC347" s="1" t="n"/>
      <c r="AD347" s="1" t="n"/>
      <c r="AE347" s="1" t="n"/>
    </row>
    <row r="348" ht="42" customHeight="1">
      <c r="A348" s="14">
        <f>IFERROR(__xludf.DUMMYFUNCTION("""COMPUTED_VALUE"""),45610)</f>
        <v/>
      </c>
      <c r="B348" s="1">
        <f>IFERROR(__xludf.DUMMYFUNCTION("""COMPUTED_VALUE"""),"ORG_2288")</f>
        <v/>
      </c>
      <c r="C348" s="1">
        <f>IFERROR(__xludf.DUMMYFUNCTION("""COMPUTED_VALUE"""),TRUE)</f>
        <v/>
      </c>
      <c r="D348" s="1">
        <f>IFERROR(__xludf.DUMMYFUNCTION("""COMPUTED_VALUE"""),"Sofia University St. Kliment Ohridski")</f>
        <v/>
      </c>
      <c r="E348" s="15">
        <f>IFERROR(__xludf.DUMMYFUNCTION("""COMPUTED_VALUE"""),"https://uni-sofia.bg/index.php/eng/the_university/faculties/faculty_of_education/faculty_clubs_museums_and_centres/centre_of_educational_technologies")</f>
        <v/>
      </c>
      <c r="F348" s="1">
        <f>IFERROR(__xludf.DUMMYFUNCTION("""COMPUTED_VALUE"""),"The Center for Educational Technologies (CET) is a research unit within the Faculty of Education at Sofia University ""St. Kliment Ohridski."" It develops innovative pedagogical models for integrating digital technologies in education. The team’s research"&amp;" is published in prestigious, peer-reviewed academic journals, indexed in international databases such as Web of Science, Scopus, and others.
CET participates in national and international research and applied projects in the field of educational digitali"&amp;"zation. The team trains students from bachelor’s, master’s, and doctoral programs, teachers and educational management staff, as well as teachers from across the country and from Bulgarian schools abroad. The courses are conducted entirely online or in a "&amp;"blended format - combining traditional and digital learning.")</f>
        <v/>
      </c>
      <c r="G348" s="1">
        <f>IFERROR(__xludf.DUMMYFUNCTION("""COMPUTED_VALUE"""),"EdTech Bulgaria")</f>
        <v/>
      </c>
      <c r="H348" s="1">
        <f>IFERROR(__xludf.DUMMYFUNCTION("""COMPUTED_VALUE"""),"English, Bulgarian")</f>
        <v/>
      </c>
      <c r="I348" s="1">
        <f>IFERROR(__xludf.DUMMYFUNCTION("""COMPUTED_VALUE"""),"r.peytcheva@fp.uni-sofia.bg")</f>
        <v/>
      </c>
      <c r="J348" s="1">
        <f>IFERROR(__xludf.DUMMYFUNCTION("""COMPUTED_VALUE"""),"+35929711002 /377")</f>
        <v/>
      </c>
      <c r="K348" s="1">
        <f>IFERROR(__xludf.DUMMYFUNCTION("""COMPUTED_VALUE"""),"SOFIA")</f>
        <v/>
      </c>
      <c r="L348" s="1">
        <f>IFERROR(__xludf.DUMMYFUNCTION("""COMPUTED_VALUE"""),"Bulgaria")</f>
        <v/>
      </c>
      <c r="M348" s="1">
        <f>IFERROR(__xludf.DUMMYFUNCTION("""COMPUTED_VALUE"""),"Bulgaria")</f>
        <v/>
      </c>
      <c r="N348" s="1">
        <f>IFERROR(__xludf.DUMMYFUNCTION("""COMPUTED_VALUE"""),"3 to 5")</f>
        <v/>
      </c>
      <c r="O348" s="1">
        <f>IFERROR(__xludf.DUMMYFUNCTION("""COMPUTED_VALUE"""),"Business to Business, Business to Schools, Business to Consumer, Business to Government")</f>
        <v/>
      </c>
      <c r="P348" s="1">
        <f>IFERROR(__xludf.DUMMYFUNCTION("""COMPUTED_VALUE"""),"Lifelong learning/Adult education, Higher Education")</f>
        <v/>
      </c>
      <c r="Q348" s="1">
        <f>IFERROR(__xludf.DUMMYFUNCTION("""COMPUTED_VALUE"""),"Student interfacing, Teacher interfacing")</f>
        <v/>
      </c>
      <c r="R348" s="1" t="n"/>
      <c r="S348" s="1" t="n"/>
      <c r="T348" s="1" t="n"/>
      <c r="U348" s="1">
        <f>IFERROR(__xludf.DUMMYFUNCTION("""COMPUTED_VALUE"""),"Research in the field of Educational Technologies")</f>
        <v/>
      </c>
      <c r="V348" s="1">
        <f>IFERROR(__xludf.DUMMYFUNCTION("""COMPUTED_VALUE"""),"Research in the field of Educational Technologies at the Center for Educational Technologies, Sofia University, focuses on developing innovative digital solutions to enhance learning outcomes and educational experiences. The center conducts research and c"&amp;"reates products and services that incorporate the latest advancements in technology, such as AI-driven learning platforms, interactive digital content, and tools for personalized education. These innovations are designed to support educators, improve stud"&amp;"ent engagement, and adapt to diverse learning needs, making modern educational practices more effective and accessible.")</f>
        <v/>
      </c>
      <c r="W348" s="1">
        <f>IFERROR(__xludf.DUMMYFUNCTION("""COMPUTED_VALUE"""),"Professional development training in the field of Educational Technologies")</f>
        <v/>
      </c>
      <c r="X348" s="1">
        <f>IFERROR(__xludf.DUMMYFUNCTION("""COMPUTED_VALUE"""),"Professional Development Training in the field of Educational Technologies, offered by the Center for Educational Technologies at Sofia University, equips educators and professionals with the skills needed to integrate modern technologies into teaching an"&amp;"d learning processes effectively. These training programs focus on the practical use of digital tools, online learning platforms, AI in education, and interactive content creation, enabling participants to enhance their pedagogical techniques. The trainin"&amp;"g also covers emerging trends and best practices in educational technology, supporting continuous improvement and innovation in educational settings.")</f>
        <v/>
      </c>
      <c r="Y348" s="15">
        <f>IFERROR(__xludf.DUMMYFUNCTION("""COMPUTED_VALUE"""),"https://drive.google.com/uc?export=view&amp;id=1ShSw-bOsMcLviGufDGf9zrLkkNnLtx-2")</f>
        <v/>
      </c>
      <c r="Z348" s="1">
        <f>IFERROR(__xludf.DUMMYFUNCTION("""COMPUTED_VALUE"""),"Unverified")</f>
        <v/>
      </c>
      <c r="AA348" s="1" t="n"/>
      <c r="AB348" s="1" t="n"/>
      <c r="AC348" s="1" t="n"/>
      <c r="AD348" s="1" t="n"/>
      <c r="AE348" s="1" t="n"/>
    </row>
    <row r="349" ht="42" customHeight="1">
      <c r="A349" s="14">
        <f>IFERROR(__xludf.DUMMYFUNCTION("""COMPUTED_VALUE"""),45610)</f>
        <v/>
      </c>
      <c r="B349" s="1">
        <f>IFERROR(__xludf.DUMMYFUNCTION("""COMPUTED_VALUE"""),"ORG_2322")</f>
        <v/>
      </c>
      <c r="C349" s="1">
        <f>IFERROR(__xludf.DUMMYFUNCTION("""COMPUTED_VALUE"""),TRUE)</f>
        <v/>
      </c>
      <c r="D349" s="1">
        <f>IFERROR(__xludf.DUMMYFUNCTION("""COMPUTED_VALUE"""),"Steamy Kids")</f>
        <v/>
      </c>
      <c r="E349" s="15">
        <f>IFERROR(__xludf.DUMMYFUNCTION("""COMPUTED_VALUE"""),"https://www.stem-y.com/")</f>
        <v/>
      </c>
      <c r="F349" s="1">
        <f>IFERROR(__xludf.DUMMYFUNCTION("""COMPUTED_VALUE"""),"Stemy is dedicated to preparing children for the future by teaching STEM (Science, Technology, Engineering, and Mathematics) in a dynamic and engaging way. Our programs are designed to equip students with critical thinking, problem-solving, and innovation"&amp;" skills that are essential in a rapidly evolving world. We combine hands-on learning with cutting-edge technologies, helping kids understand complex concepts while fostering creativity and curiosity. Stemy's curriculum also emphasizes English proficiency,"&amp;" preparing students for global communication and collaboration in the tech-driven industries of tomorrow. Our mission is to inspire the next generation of innovators and leaders through STEM education.")</f>
        <v/>
      </c>
      <c r="G349" s="1">
        <f>IFERROR(__xludf.DUMMYFUNCTION("""COMPUTED_VALUE"""),"EdTech Bulgaria")</f>
        <v/>
      </c>
      <c r="H349" s="1">
        <f>IFERROR(__xludf.DUMMYFUNCTION("""COMPUTED_VALUE"""),"All")</f>
        <v/>
      </c>
      <c r="I349" s="1">
        <f>IFERROR(__xludf.DUMMYFUNCTION("""COMPUTED_VALUE"""),"info@stem-y.com")</f>
        <v/>
      </c>
      <c r="J349" s="1">
        <f>IFERROR(__xludf.DUMMYFUNCTION("""COMPUTED_VALUE"""),"896353087")</f>
        <v/>
      </c>
      <c r="K349" s="1">
        <f>IFERROR(__xludf.DUMMYFUNCTION("""COMPUTED_VALUE"""),"SOFIA")</f>
        <v/>
      </c>
      <c r="L349" s="1">
        <f>IFERROR(__xludf.DUMMYFUNCTION("""COMPUTED_VALUE"""),"Bulgaria")</f>
        <v/>
      </c>
      <c r="M349" s="1">
        <f>IFERROR(__xludf.DUMMYFUNCTION("""COMPUTED_VALUE"""),"Bulgaria")</f>
        <v/>
      </c>
      <c r="N349" s="1">
        <f>IFERROR(__xludf.DUMMYFUNCTION("""COMPUTED_VALUE"""),"3 to 5")</f>
        <v/>
      </c>
      <c r="O349" s="1">
        <f>IFERROR(__xludf.DUMMYFUNCTION("""COMPUTED_VALUE"""),"Business to Business, Business to Schools, Business to Consumer, Business to Government")</f>
        <v/>
      </c>
      <c r="P349" s="1">
        <f>IFERROR(__xludf.DUMMYFUNCTION("""COMPUTED_VALUE"""),"Early childhood development (0-5 years)")</f>
        <v/>
      </c>
      <c r="Q349" s="1">
        <f>IFERROR(__xludf.DUMMYFUNCTION("""COMPUTED_VALUE"""),"System/Administrative")</f>
        <v/>
      </c>
      <c r="R349" s="1" t="n"/>
      <c r="S349" s="1" t="n"/>
      <c r="T349" s="15">
        <f>IFERROR(__xludf.DUMMYFUNCTION("""COMPUTED_VALUE"""),"https://www.linkedin.com/in/stemy-kids-1724162b2/")</f>
        <v/>
      </c>
      <c r="U349" s="1">
        <f>IFERROR(__xludf.DUMMYFUNCTION("""COMPUTED_VALUE"""),"STEM courses")</f>
        <v/>
      </c>
      <c r="V349" s="1">
        <f>IFERROR(__xludf.DUMMYFUNCTION("""COMPUTED_VALUE"""),"STEMY’s courses are structured to help children understand core STEM concepts through age-appropriate lessons and interactive activities. From beginner to advanced levels, each course is tailored to build foundational skills while nurturing curiosity, cri"&amp;"tical thinking, and problem-solving.")</f>
        <v/>
      </c>
      <c r="W349" s="1">
        <f>IFERROR(__xludf.DUMMYFUNCTION("""COMPUTED_VALUE"""),"STEM workshops and camps")</f>
        <v/>
      </c>
      <c r="X349" s="1">
        <f>IFERROR(__xludf.DUMMYFUNCTION("""COMPUTED_VALUE"""),"Workshops: These immersive workshops allow students to dive deeper into specific STEM topics and explore projects like robotics, coding, environmental science, and engineering. Workshops are crafted to encourage teamwork, creativity, and real-time problem"&amp;"-solving.
Camps: STEMY’s daycare offers a safe and stimulating environment that integrates STEM learning into daily routines. Kids engage in enriching activities, creative play, and guided exploration, making their time both educational and enjoyable.")</f>
        <v/>
      </c>
      <c r="Y349" s="15">
        <f>IFERROR(__xludf.DUMMYFUNCTION("""COMPUTED_VALUE"""),"https://drive.google.com/uc?export=view&amp;id=1sjECQtGKlO7qfiVnU3UapMeCsHOXuR30")</f>
        <v/>
      </c>
      <c r="Z349" s="1">
        <f>IFERROR(__xludf.DUMMYFUNCTION("""COMPUTED_VALUE"""),"Unverified")</f>
        <v/>
      </c>
      <c r="AA349" s="1" t="n"/>
      <c r="AB349" s="1" t="n"/>
      <c r="AC349" s="1" t="n"/>
      <c r="AD349" s="1" t="n"/>
      <c r="AE349" s="1" t="n"/>
    </row>
    <row r="350" ht="42" customHeight="1">
      <c r="A350" s="14">
        <f>IFERROR(__xludf.DUMMYFUNCTION("""COMPUTED_VALUE"""),45596)</f>
        <v/>
      </c>
      <c r="B350" s="1">
        <f>IFERROR(__xludf.DUMMYFUNCTION("""COMPUTED_VALUE"""),"ORG_2264")</f>
        <v/>
      </c>
      <c r="C350" s="1">
        <f>IFERROR(__xludf.DUMMYFUNCTION("""COMPUTED_VALUE"""),TRUE)</f>
        <v/>
      </c>
      <c r="D350" s="1">
        <f>IFERROR(__xludf.DUMMYFUNCTION("""COMPUTED_VALUE"""),"skip Institut")</f>
        <v/>
      </c>
      <c r="E350" s="15">
        <f>IFERROR(__xludf.DUMMYFUNCTION("""COMPUTED_VALUE"""),"www.skip-institut.de")</f>
        <v/>
      </c>
      <c r="F350" s="1">
        <f>IFERROR(__xludf.DUMMYFUNCTION("""COMPUTED_VALUE"""),"Primarily focused on R&amp;D of educational and scientific applications, mainly in the field of visualization e.g. VR/AR and AI.
Highly qualified team of experts and professors in Berlin and Cologne (main office). Open to international cooperation.")</f>
        <v/>
      </c>
      <c r="G350" s="1">
        <f>IFERROR(__xludf.DUMMYFUNCTION("""COMPUTED_VALUE"""),"EDUvation")</f>
        <v/>
      </c>
      <c r="H350" s="1">
        <f>IFERROR(__xludf.DUMMYFUNCTION("""COMPUTED_VALUE"""),"German, English, French, Spanish, Polish, Italian, Arabic")</f>
        <v/>
      </c>
      <c r="I350" s="1">
        <f>IFERROR(__xludf.DUMMYFUNCTION("""COMPUTED_VALUE"""),"mail@skip-institut.de")</f>
        <v/>
      </c>
      <c r="J350" s="1">
        <f>IFERROR(__xludf.DUMMYFUNCTION("""COMPUTED_VALUE"""),"+49 171 4793360")</f>
        <v/>
      </c>
      <c r="K350" s="1">
        <f>IFERROR(__xludf.DUMMYFUNCTION("""COMPUTED_VALUE"""),"COLOGNE")</f>
        <v/>
      </c>
      <c r="L350" s="1">
        <f>IFERROR(__xludf.DUMMYFUNCTION("""COMPUTED_VALUE"""),"Germany")</f>
        <v/>
      </c>
      <c r="M350" s="1">
        <f>IFERROR(__xludf.DUMMYFUNCTION("""COMPUTED_VALUE"""),"Germany, United Kingdom")</f>
        <v/>
      </c>
      <c r="N350" s="1">
        <f>IFERROR(__xludf.DUMMYFUNCTION("""COMPUTED_VALUE"""),"11 to 50")</f>
        <v/>
      </c>
      <c r="O350" s="1">
        <f>IFERROR(__xludf.DUMMYFUNCTION("""COMPUTED_VALUE"""),"Business to Business, Business to Schools, Business to Consumer, Business to Government")</f>
        <v/>
      </c>
      <c r="P350" s="1">
        <f>IFERROR(__xludf.DUMMYFUNCTION("""COMPUTED_VALUE"""),"Corporate Training, Lifelong learning/Adult education")</f>
        <v/>
      </c>
      <c r="Q350" s="1">
        <f>IFERROR(__xludf.DUMMYFUNCTION("""COMPUTED_VALUE"""),"System/Administrative, Teacher interfacing, Student interfacing")</f>
        <v/>
      </c>
      <c r="R350" s="1" t="n"/>
      <c r="S350" s="1" t="n"/>
      <c r="T350" s="1">
        <f>IFERROR(__xludf.DUMMYFUNCTION("""COMPUTED_VALUE"""),"Skip institute")</f>
        <v/>
      </c>
      <c r="U350" s="1">
        <f>IFERROR(__xludf.DUMMYFUNCTION("""COMPUTED_VALUE"""),"R&amp;D VR/AR/XR/AI")</f>
        <v/>
      </c>
      <c r="V350" s="1">
        <f>IFERROR(__xludf.DUMMYFUNCTION("""COMPUTED_VALUE"""),"Scientific R&amp;D - Prototyping")</f>
        <v/>
      </c>
      <c r="W350" s="1" t="n"/>
      <c r="X350" s="1" t="n"/>
      <c r="Y350" s="15">
        <f>IFERROR(__xludf.DUMMYFUNCTION("""COMPUTED_VALUE"""),"https://drive.google.com/uc?export=view&amp;id=1e2uz5ktifjh8G1d3nHm5ldBqOIzLFP3C")</f>
        <v/>
      </c>
      <c r="Z350" s="1">
        <f>IFERROR(__xludf.DUMMYFUNCTION("""COMPUTED_VALUE"""),"Unverified")</f>
        <v/>
      </c>
      <c r="AA350" s="1" t="n"/>
      <c r="AB350" s="1" t="n"/>
      <c r="AC350" s="1" t="n"/>
      <c r="AD350" s="1" t="n"/>
      <c r="AE350" s="1" t="n"/>
    </row>
    <row r="351" ht="42" customHeight="1">
      <c r="A351" s="14">
        <f>IFERROR(__xludf.DUMMYFUNCTION("""COMPUTED_VALUE"""),45592)</f>
        <v/>
      </c>
      <c r="B351" s="1">
        <f>IFERROR(__xludf.DUMMYFUNCTION("""COMPUTED_VALUE"""),"ORG_2383")</f>
        <v/>
      </c>
      <c r="C351" s="1">
        <f>IFERROR(__xludf.DUMMYFUNCTION("""COMPUTED_VALUE"""),TRUE)</f>
        <v/>
      </c>
      <c r="D351" s="1">
        <f>IFERROR(__xludf.DUMMYFUNCTION("""COMPUTED_VALUE"""),"Telelink Business Services")</f>
        <v/>
      </c>
      <c r="E351" s="15">
        <f>IFERROR(__xludf.DUMMYFUNCTION("""COMPUTED_VALUE"""),"www.tbs.tech")</f>
        <v/>
      </c>
      <c r="F351" s="1">
        <f>IFERROR(__xludf.DUMMYFUNCTION("""COMPUTED_VALUE"""),"TBS is at the forefront of transforming education in Bulgaria through innovative technology solutions. With a strong commitment to enhancing digital learning environments, TBS has played a pivotal role in developing the Digital Backpack platform, a compre"&amp;"hensive tool designed to facilitate effective online learning for students and educators alike. This initiative aligns with the Ministry of Education and Science's vision to modernize the educational landscape.
Through the Digital Backpack, TBS enables se"&amp;"amless access to educational resources, promoting an integrated approach to digital education. By implementing single sign-on capabilities and digitizing educational content, TBS fosters an inclusive learning experience that empowers both teachers and stu"&amp;"dents. This commitment to innovation ensures that Bulgarian education is equipped to meet the demands of the 21st century, enhancing educational outcomes and preparing students for a dynamic future.
As a leader in this educational revolution, TBS is dedic"&amp;"ated to building a brighter, digitally empowered future for Bulgaria’s youth, reinforcing the importance of technology in education and ensuring that every student has access to the tools they need to succeed.")</f>
        <v/>
      </c>
      <c r="G351" s="1">
        <f>IFERROR(__xludf.DUMMYFUNCTION("""COMPUTED_VALUE"""),"EdTech Bulgaria")</f>
        <v/>
      </c>
      <c r="H351" s="1">
        <f>IFERROR(__xludf.DUMMYFUNCTION("""COMPUTED_VALUE"""),"Bulgaria, English")</f>
        <v/>
      </c>
      <c r="I351" s="1">
        <f>IFERROR(__xludf.DUMMYFUNCTION("""COMPUTED_VALUE"""),"office@tbs.tech")</f>
        <v/>
      </c>
      <c r="J351" s="1">
        <f>IFERROR(__xludf.DUMMYFUNCTION("""COMPUTED_VALUE"""),"+359 2 970 4040")</f>
        <v/>
      </c>
      <c r="K351" s="1">
        <f>IFERROR(__xludf.DUMMYFUNCTION("""COMPUTED_VALUE"""),"SOFIA")</f>
        <v/>
      </c>
      <c r="L351" s="1">
        <f>IFERROR(__xludf.DUMMYFUNCTION("""COMPUTED_VALUE"""),"Bulgaria")</f>
        <v/>
      </c>
      <c r="M351" s="1">
        <f>IFERROR(__xludf.DUMMYFUNCTION("""COMPUTED_VALUE"""),"Bulgaria")</f>
        <v/>
      </c>
      <c r="N351" s="1">
        <f>IFERROR(__xludf.DUMMYFUNCTION("""COMPUTED_VALUE"""),"101 to 500")</f>
        <v/>
      </c>
      <c r="O351" s="1">
        <f>IFERROR(__xludf.DUMMYFUNCTION("""COMPUTED_VALUE"""),"Business to Business, Business to Schools, Business to Consumer, Business to Government")</f>
        <v/>
      </c>
      <c r="P351" s="1">
        <f>IFERROR(__xludf.DUMMYFUNCTION("""COMPUTED_VALUE"""),"Early childhood development (0-5 years), Primary Education, Secondary Education, Corporate Training, Lifelong learning/Adult education, Vocational Education and Training (VET), Higher Education")</f>
        <v/>
      </c>
      <c r="Q351" s="1">
        <f>IFERROR(__xludf.DUMMYFUNCTION("""COMPUTED_VALUE"""),"System/Administrative, Student interfacing, Teacher interfacing")</f>
        <v/>
      </c>
      <c r="R351" s="1" t="n"/>
      <c r="S351" s="1" t="n"/>
      <c r="T351" s="15">
        <f>IFERROR(__xludf.DUMMYFUNCTION("""COMPUTED_VALUE"""),"https://www.linkedin.com/company/telelink-business-services/posts/?feedView=all")</f>
        <v/>
      </c>
      <c r="U351" s="1">
        <f>IFERROR(__xludf.DUMMYFUNCTION("""COMPUTED_VALUE"""),"Digitizinf Higher Education")</f>
        <v/>
      </c>
      <c r="V351" s="1">
        <f>IFERROR(__xludf.DUMMYFUNCTION("""COMPUTED_VALUE"""),"We employ a variety of campus management tools, integration systems, mobility and content delivery solutions to help colleges and universities deliver a safe, efficient, and results-oriented educational experience to their students with four facets:
- Dig"&amp;"ital Campus
- Research Excellence
- Student Excellence
- Accreditation &amp; Compliance")</f>
        <v/>
      </c>
      <c r="W351" s="1">
        <f>IFERROR(__xludf.DUMMYFUNCTION("""COMPUTED_VALUE"""),"Providing system-wide EdTech solutions for k-12 education")</f>
        <v/>
      </c>
      <c r="X351" s="1">
        <f>IFERROR(__xludf.DUMMYFUNCTION("""COMPUTED_VALUE"""),"Support of distance, online, hybrid and blended learning models that empower teachers to strengthen their practice. Our solutions also help solve k-12 administrative needs and engage parents in the educational process.")</f>
        <v/>
      </c>
      <c r="Y351" s="15">
        <f>IFERROR(__xludf.DUMMYFUNCTION("""COMPUTED_VALUE"""),"https://drive.google.com/uc?export=view&amp;id=1aX4sGAG0rjlxjfZ9YIDtqJw2WWmGVILD")</f>
        <v/>
      </c>
      <c r="Z351" s="1">
        <f>IFERROR(__xludf.DUMMYFUNCTION("""COMPUTED_VALUE"""),"Unverified")</f>
        <v/>
      </c>
      <c r="AA351" s="1" t="n"/>
      <c r="AB351" s="1" t="n"/>
      <c r="AC351" s="1" t="n"/>
      <c r="AD351" s="1" t="n"/>
      <c r="AE351" s="1" t="n"/>
    </row>
    <row r="352" ht="42" customHeight="1">
      <c r="A352" s="14">
        <f>IFERROR(__xludf.DUMMYFUNCTION("""COMPUTED_VALUE"""),45589)</f>
        <v/>
      </c>
      <c r="B352" s="1">
        <f>IFERROR(__xludf.DUMMYFUNCTION("""COMPUTED_VALUE"""),"ORG_2232")</f>
        <v/>
      </c>
      <c r="C352" s="1">
        <f>IFERROR(__xludf.DUMMYFUNCTION("""COMPUTED_VALUE"""),TRUE)</f>
        <v/>
      </c>
      <c r="D352" s="1">
        <f>IFERROR(__xludf.DUMMYFUNCTION("""COMPUTED_VALUE"""),"SET University")</f>
        <v/>
      </c>
      <c r="E352" s="15">
        <f>IFERROR(__xludf.DUMMYFUNCTION("""COMPUTED_VALUE"""),"setuniversity.edu.ua")</f>
        <v/>
      </c>
      <c r="F352" s="1">
        <f>IFERROR(__xludf.DUMMYFUNCTION("""COMPUTED_VALUE"""),"SET is a private nonprofit higher education institution and is among the top-providers of digital innovation and entrepreneurial education in Ukraine. SET is aimed at tech business including startups and deep tech working in two dimensions: talents develo"&amp;"pment (skilling/upskilling/reskilling) and academic educational products (customer development approach). It operates in a blended format, closely cooperating with IT business companies and startups to bring up-to-date agile knowledge and practice to its "&amp;"learners. The strategic educational areas are cybersecurity, AI, blockchain, DeepTech, innovations, and startups. Another strategic focus of interest is bringing science closer to market. SET is licensed to award master’s degrees in “Security, Quality and"&amp;" Data Analysis” (Cyber Defense) and “Computer Science and Innovation Engineering” (Computer Science: Machine Learning &amp; Cloud Computing; Computer Science: Innovation Engineering) and also delivers the 4 MicroMasters programs and a number of short-term qua"&amp;"lification advancement courses aimed at tech business. SET has launched a SET Accelerator for IT professionals and deep tech entrepreneurs and innovators, with a special focus on women-led businesses and startups, as well as the wider public. SET is dedic"&amp;"ated to sensitive social impact and is supporting Ukraine in international projects related to digital transformation and cybersecurity education.")</f>
        <v/>
      </c>
      <c r="G352" s="1">
        <f>IFERROR(__xludf.DUMMYFUNCTION("""COMPUTED_VALUE"""),"I'm not part of any EdTech association")</f>
        <v/>
      </c>
      <c r="H352" s="1">
        <f>IFERROR(__xludf.DUMMYFUNCTION("""COMPUTED_VALUE"""),"Ukrainian")</f>
        <v/>
      </c>
      <c r="I352" s="1">
        <f>IFERROR(__xludf.DUMMYFUNCTION("""COMPUTED_VALUE"""),"hello@setuniversity.edu.ua")</f>
        <v/>
      </c>
      <c r="J352" s="1" t="n"/>
      <c r="K352" s="1">
        <f>IFERROR(__xludf.DUMMYFUNCTION("""COMPUTED_VALUE"""),"KYIV")</f>
        <v/>
      </c>
      <c r="L352" s="1">
        <f>IFERROR(__xludf.DUMMYFUNCTION("""COMPUTED_VALUE"""),"Ukraine")</f>
        <v/>
      </c>
      <c r="M352" s="1">
        <f>IFERROR(__xludf.DUMMYFUNCTION("""COMPUTED_VALUE"""),"Ukraine")</f>
        <v/>
      </c>
      <c r="N352" s="1">
        <f>IFERROR(__xludf.DUMMYFUNCTION("""COMPUTED_VALUE"""),"6 to 10")</f>
        <v/>
      </c>
      <c r="O352" s="1">
        <f>IFERROR(__xludf.DUMMYFUNCTION("""COMPUTED_VALUE"""),"Business to Business, Business to Schools, Business to Consumer, Business to Government")</f>
        <v/>
      </c>
      <c r="P352" s="1">
        <f>IFERROR(__xludf.DUMMYFUNCTION("""COMPUTED_VALUE"""),"Secondary Education, Corporate Training, Lifelong learning/Adult education, Vocational Education and Training (VET), Higher Education")</f>
        <v/>
      </c>
      <c r="Q352" s="1">
        <f>IFERROR(__xludf.DUMMYFUNCTION("""COMPUTED_VALUE"""),"System/Administrative, Student interfacing, Teacher interfacing")</f>
        <v/>
      </c>
      <c r="R352" s="15">
        <f>IFERROR(__xludf.DUMMYFUNCTION("""COMPUTED_VALUE"""),"https://www.linkedin.com/company/set-university/")</f>
        <v/>
      </c>
      <c r="S352" s="15">
        <f>IFERROR(__xludf.DUMMYFUNCTION("""COMPUTED_VALUE"""),"https://x.com/SetUniversity")</f>
        <v/>
      </c>
      <c r="T352" s="15">
        <f>IFERROR(__xludf.DUMMYFUNCTION("""COMPUTED_VALUE"""),"https://www.linkedin.com/company/set-university/")</f>
        <v/>
      </c>
      <c r="U352" s="1">
        <f>IFERROR(__xludf.DUMMYFUNCTION("""COMPUTED_VALUE"""),"“Security, Quality and Data Analysis” and “Computer Science and Innovation Engineering”masters")</f>
        <v/>
      </c>
      <c r="V352" s="1">
        <f>IFERROR(__xludf.DUMMYFUNCTION("""COMPUTED_VALUE"""),"Comprehensive academic programs licensed by the Ministry of Education and Science of Ukraine. The programs in cyber defense and computer science and innovative engineering are designed to combine the in-depth study of theory with practical solutions to bu"&amp;"siness problems. The graduates create a startup or an IT solution for a real business as a part of their Master’s thesis.
The duration of programs is 1.5 years.")</f>
        <v/>
      </c>
      <c r="W352" s="1">
        <f>IFERROR(__xludf.DUMMYFUNCTION("""COMPUTED_VALUE"""),"MicroMasters programs")</f>
        <v/>
      </c>
      <c r="X352" s="1">
        <f>IFERROR(__xludf.DUMMYFUNCTION("""COMPUTED_VALUE"""),"Mid-term academic programs based on the principle of executive business schools. Flexibility, blended format and practical expertise allow you to tailor your experience to your specific career goals.
The average duration of the programs is 6-14 weeks.")</f>
        <v/>
      </c>
      <c r="Y352" s="15">
        <f>IFERROR(__xludf.DUMMYFUNCTION("""COMPUTED_VALUE"""),"https://drive.google.com/uc?export=view&amp;id=1JzN45ABSg914ydPxoeifRXovDQvFSnCV")</f>
        <v/>
      </c>
      <c r="Z352" s="1">
        <f>IFERROR(__xludf.DUMMYFUNCTION("""COMPUTED_VALUE"""),"Unverified")</f>
        <v/>
      </c>
      <c r="AA352" s="1" t="n"/>
      <c r="AB352" s="1" t="n"/>
      <c r="AC352" s="1" t="n"/>
      <c r="AD352" s="1" t="n"/>
      <c r="AE352" s="1" t="n"/>
    </row>
    <row r="353" ht="42" customHeight="1">
      <c r="A353" s="14">
        <f>IFERROR(__xludf.DUMMYFUNCTION("""COMPUTED_VALUE"""),45588)</f>
        <v/>
      </c>
      <c r="B353" s="1">
        <f>IFERROR(__xludf.DUMMYFUNCTION("""COMPUTED_VALUE"""),"ORG_2199")</f>
        <v/>
      </c>
      <c r="C353" s="1">
        <f>IFERROR(__xludf.DUMMYFUNCTION("""COMPUTED_VALUE"""),TRUE)</f>
        <v/>
      </c>
      <c r="D353" s="1">
        <f>IFERROR(__xludf.DUMMYFUNCTION("""COMPUTED_VALUE"""),"Rollama Education Ltd")</f>
        <v/>
      </c>
      <c r="E353" s="15">
        <f>IFERROR(__xludf.DUMMYFUNCTION("""COMPUTED_VALUE"""),"www.rollama.com")</f>
        <v/>
      </c>
      <c r="F353" s="1">
        <f>IFERROR(__xludf.DUMMYFUNCTION("""COMPUTED_VALUE"""),"Rollama is website of activities to learn English spelling, punctuation and, grammar. 
Made for teachers, by teachers, with 18 years’ experience in Primary School classrooms, Rollama is fully aligned to the English National Curriculum.
We have gamified "&amp;"grammar to help students build fluent fundamentals.")</f>
        <v/>
      </c>
      <c r="G353" s="1">
        <f>IFERROR(__xludf.DUMMYFUNCTION("""COMPUTED_VALUE"""),"I'm not part of any EdTech association")</f>
        <v/>
      </c>
      <c r="H353" s="1">
        <f>IFERROR(__xludf.DUMMYFUNCTION("""COMPUTED_VALUE"""),"English")</f>
        <v/>
      </c>
      <c r="I353" s="1">
        <f>IFERROR(__xludf.DUMMYFUNCTION("""COMPUTED_VALUE"""),"contact@rollama.com")</f>
        <v/>
      </c>
      <c r="J353" s="1">
        <f>IFERROR(__xludf.DUMMYFUNCTION("""COMPUTED_VALUE"""),"+441158882637")</f>
        <v/>
      </c>
      <c r="K353" s="1">
        <f>IFERROR(__xludf.DUMMYFUNCTION("""COMPUTED_VALUE"""),"Kimberley")</f>
        <v/>
      </c>
      <c r="L353" s="1">
        <f>IFERROR(__xludf.DUMMYFUNCTION("""COMPUTED_VALUE"""),"United Kingdom")</f>
        <v/>
      </c>
      <c r="M353" s="1">
        <f>IFERROR(__xludf.DUMMYFUNCTION("""COMPUTED_VALUE"""),"Armenia, Czechia, France, Germany, Ireland, Italy, Netherlands, Poland, Spain, United Kingdom")</f>
        <v/>
      </c>
      <c r="N353" s="1">
        <f>IFERROR(__xludf.DUMMYFUNCTION("""COMPUTED_VALUE"""),"0 to 2")</f>
        <v/>
      </c>
      <c r="O353" s="1">
        <f>IFERROR(__xludf.DUMMYFUNCTION("""COMPUTED_VALUE"""),"Business to Business, Business to Schools, Business to Consumer, Business to Government")</f>
        <v/>
      </c>
      <c r="P353" s="1">
        <f>IFERROR(__xludf.DUMMYFUNCTION("""COMPUTED_VALUE"""),"Primary Education")</f>
        <v/>
      </c>
      <c r="Q353" s="1">
        <f>IFERROR(__xludf.DUMMYFUNCTION("""COMPUTED_VALUE"""),"System/Administrative, Student interfacing, Teacher interfacing")</f>
        <v/>
      </c>
      <c r="R353" s="15">
        <f>IFERROR(__xludf.DUMMYFUNCTION("""COMPUTED_VALUE"""),"instagram.com/rollama_edu")</f>
        <v/>
      </c>
      <c r="S353" s="15">
        <f>IFERROR(__xludf.DUMMYFUNCTION("""COMPUTED_VALUE"""),"http://www.twitter.com/RollamaEdu")</f>
        <v/>
      </c>
      <c r="T353" s="15">
        <f>IFERROR(__xludf.DUMMYFUNCTION("""COMPUTED_VALUE"""),"https://www.linkedin.com/company/81532461")</f>
        <v/>
      </c>
      <c r="U353" s="1">
        <f>IFERROR(__xludf.DUMMYFUNCTION("""COMPUTED_VALUE"""),"Rollama")</f>
        <v/>
      </c>
      <c r="V353" s="1">
        <f>IFERROR(__xludf.DUMMYFUNCTION("""COMPUTED_VALUE"""),"Rollama is website of activities to learn English spelling, punctuation and, grammar. 
Made for teachers, by teachers, with 18 years’ experience in KS2 classrooms, Rollama is fully aligned to the English National Curriculum.
We have over 350 mini-games "&amp;"for students to build fluent fundamentals through individual practice.")</f>
        <v/>
      </c>
      <c r="W353" s="1" t="n"/>
      <c r="X353" s="1" t="n"/>
      <c r="Y353" s="15">
        <f>IFERROR(__xludf.DUMMYFUNCTION("""COMPUTED_VALUE"""),"https://drive.google.com/uc?export=view&amp;id=1nh5JWNrnLpafBIWOPt5GQcErQFORchnt")</f>
        <v/>
      </c>
      <c r="Z353" s="1">
        <f>IFERROR(__xludf.DUMMYFUNCTION("""COMPUTED_VALUE"""),"Unverified")</f>
        <v/>
      </c>
      <c r="AA353" s="1" t="n"/>
      <c r="AB353" s="1" t="n"/>
      <c r="AC353" s="1" t="n"/>
      <c r="AD353" s="1" t="n"/>
      <c r="AE353" s="1" t="n"/>
    </row>
    <row r="354" ht="42" customHeight="1">
      <c r="A354" s="14">
        <f>IFERROR(__xludf.DUMMYFUNCTION("""COMPUTED_VALUE"""),45581)</f>
        <v/>
      </c>
      <c r="B354" s="1">
        <f>IFERROR(__xludf.DUMMYFUNCTION("""COMPUTED_VALUE"""),"ORG_2395")</f>
        <v/>
      </c>
      <c r="C354" s="1">
        <f>IFERROR(__xludf.DUMMYFUNCTION("""COMPUTED_VALUE"""),TRUE)</f>
        <v/>
      </c>
      <c r="D354" s="1">
        <f>IFERROR(__xludf.DUMMYFUNCTION("""COMPUTED_VALUE"""),"The Coderz")</f>
        <v/>
      </c>
      <c r="E354" s="15">
        <f>IFERROR(__xludf.DUMMYFUNCTION("""COMPUTED_VALUE"""),"https://thecoderz.estate")</f>
        <v/>
      </c>
      <c r="F354" s="1">
        <f>IFERROR(__xludf.DUMMYFUNCTION("""COMPUTED_VALUE"""),"The Coderz is a forward-thinking company dedicated to providing accessible and affordable digital solutions for coaching professionals, educators, and academic institutions. With a focus on scalability, customization, and long-term ownership, The Coderz E"&amp;"dtech stack helps users build learning platforms that meet their evolving needs without the burden of ongoing subscription fees.")</f>
        <v/>
      </c>
      <c r="G354" s="1">
        <f>IFERROR(__xludf.DUMMYFUNCTION("""COMPUTED_VALUE"""),"I'm not part of any EdTech association")</f>
        <v/>
      </c>
      <c r="H354" s="1">
        <f>IFERROR(__xludf.DUMMYFUNCTION("""COMPUTED_VALUE"""),"English")</f>
        <v/>
      </c>
      <c r="I354" s="1">
        <f>IFERROR(__xludf.DUMMYFUNCTION("""COMPUTED_VALUE"""),"support@thecoderz.estate")</f>
        <v/>
      </c>
      <c r="J354" s="1" t="n"/>
      <c r="K354" s="1">
        <f>IFERROR(__xludf.DUMMYFUNCTION("""COMPUTED_VALUE"""),"LONDON")</f>
        <v/>
      </c>
      <c r="L354" s="1">
        <f>IFERROR(__xludf.DUMMYFUNCTION("""COMPUTED_VALUE"""),"United Kingdom")</f>
        <v/>
      </c>
      <c r="M354" s="1">
        <f>IFERROR(__xludf.DUMMYFUNCTION("""COMPUTED_VALUE"""),"United Kingdom")</f>
        <v/>
      </c>
      <c r="N354" s="1">
        <f>IFERROR(__xludf.DUMMYFUNCTION("""COMPUTED_VALUE"""),"3 to 5")</f>
        <v/>
      </c>
      <c r="O354" s="1">
        <f>IFERROR(__xludf.DUMMYFUNCTION("""COMPUTED_VALUE"""),"Business to Business, Business to Schools, Business to Consumer, Business to Government")</f>
        <v/>
      </c>
      <c r="P354" s="1">
        <f>IFERROR(__xludf.DUMMYFUNCTION("""COMPUTED_VALUE"""),"Corporate Training, Lifelong learning/Adult education, Vocational Education and Training (VET), Higher Education")</f>
        <v/>
      </c>
      <c r="Q354" s="1">
        <f>IFERROR(__xludf.DUMMYFUNCTION("""COMPUTED_VALUE"""),"Teacher interfacing, System/Administrative, Student interfacing")</f>
        <v/>
      </c>
      <c r="R354" s="15">
        <f>IFERROR(__xludf.DUMMYFUNCTION("""COMPUTED_VALUE"""),"https://www.instagram.com/thecoderz.estate/")</f>
        <v/>
      </c>
      <c r="S354" s="1" t="n"/>
      <c r="T354" s="15">
        <f>IFERROR(__xludf.DUMMYFUNCTION("""COMPUTED_VALUE"""),"https://www.linkedin.com/company/thecoderz")</f>
        <v/>
      </c>
      <c r="U354" s="1">
        <f>IFERROR(__xludf.DUMMYFUNCTION("""COMPUTED_VALUE"""),"The Coderz tech stack")</f>
        <v/>
      </c>
      <c r="V354" s="1">
        <f>IFERROR(__xludf.DUMMYFUNCTION("""COMPUTED_VALUE"""),"The Coderz tech stack provides the tools necessary to create a branded, scalable platform for delivering high-quality coaching, training, or education—all while granting users complete ownership of the source code.
This game-changing solution offers:
Fu"&amp;"lly Customizable Source Code: Users have full control over the platform’s design and functionality, enabling them to tailor it to meet their exact business or educational needs.
Exclusive UI/UX Design: The tech stack includes professional Figma design ass"&amp;"ets to create an intuitive, attractive user experience that keeps students, trainees, or coaching clients engaged.
Perpetual License: With a one-time payment of $199, users gain lifetime access to the software, avoiding ongoing subscription fees or licens"&amp;"ing hassles.
Easy Deployment: The tech stack can be quickly deployed on users' own servers, giving them full autonomy over the hosting and maintenance of their platform.")</f>
        <v/>
      </c>
      <c r="W354" s="1">
        <f>IFERROR(__xludf.DUMMYFUNCTION("""COMPUTED_VALUE"""),"Tarik Bouderhem")</f>
        <v/>
      </c>
      <c r="X354" s="1" t="n"/>
      <c r="Y354" s="15">
        <f>IFERROR(__xludf.DUMMYFUNCTION("""COMPUTED_VALUE"""),"https://drive.google.com/uc?export=view&amp;id=1C7lE_PMViq9qCdUuukK7dc8rw7RxA0w4")</f>
        <v/>
      </c>
      <c r="Z354" s="1">
        <f>IFERROR(__xludf.DUMMYFUNCTION("""COMPUTED_VALUE"""),"Unverified")</f>
        <v/>
      </c>
      <c r="AA354" s="1" t="n"/>
      <c r="AB354" s="1" t="n"/>
      <c r="AC354" s="1" t="n"/>
      <c r="AD354" s="1" t="n"/>
      <c r="AE354" s="1" t="n"/>
    </row>
    <row r="355" ht="42" customHeight="1">
      <c r="A355" s="14">
        <f>IFERROR(__xludf.DUMMYFUNCTION("""COMPUTED_VALUE"""),45578)</f>
        <v/>
      </c>
      <c r="B355" s="1">
        <f>IFERROR(__xludf.DUMMYFUNCTION("""COMPUTED_VALUE"""),"ORG_1645")</f>
        <v/>
      </c>
      <c r="C355" s="1">
        <f>IFERROR(__xludf.DUMMYFUNCTION("""COMPUTED_VALUE"""),TRUE)</f>
        <v/>
      </c>
      <c r="D355" s="1">
        <f>IFERROR(__xludf.DUMMYFUNCTION("""COMPUTED_VALUE"""),"Greenscreenbox")</f>
        <v/>
      </c>
      <c r="E355" s="15">
        <f>IFERROR(__xludf.DUMMYFUNCTION("""COMPUTED_VALUE"""),"https://greenscreenbox.nl/")</f>
        <v/>
      </c>
      <c r="F355" s="1">
        <f>IFERROR(__xludf.DUMMYFUNCTION("""COMPUTED_VALUE"""),"We empower teachers to integrate storytelling, creativity, and digital skills into their lessons by combining physical materials with our user-friendly software and ready-made educational content.
The Greenscreenbox, an innovative tool that complements ou"&amp;"r approach, is a wooden tabletop film studio designed to facilitate the application of greenscreen technology. Our device-independent software is easy to use, making it accessible to educators and students from 4 years up to adults. 
At the core of our co"&amp;"ncept lies simplicity, believing it to be the key to widespread adoption among teachers. This compact yet versatile setup allows teachers and students to explore multimedia storytelling in an engaging and interactive way.")</f>
        <v/>
      </c>
      <c r="G355" s="1">
        <f>IFERROR(__xludf.DUMMYFUNCTION("""COMPUTED_VALUE"""),"Dutch EdTech")</f>
        <v/>
      </c>
      <c r="H355" s="1">
        <f>IFERROR(__xludf.DUMMYFUNCTION("""COMPUTED_VALUE"""),"Dutch, English, German, Italian, French, Spanish, Catalan")</f>
        <v/>
      </c>
      <c r="I355" s="1">
        <f>IFERROR(__xludf.DUMMYFUNCTION("""COMPUTED_VALUE"""),"petra@greenscreenbox.eu")</f>
        <v/>
      </c>
      <c r="J355" s="1">
        <f>IFERROR(__xludf.DUMMYFUNCTION("""COMPUTED_VALUE"""),"31640201296")</f>
        <v/>
      </c>
      <c r="K355" s="1">
        <f>IFERROR(__xludf.DUMMYFUNCTION("""COMPUTED_VALUE"""),"LIESHOUT")</f>
        <v/>
      </c>
      <c r="L355" s="1">
        <f>IFERROR(__xludf.DUMMYFUNCTION("""COMPUTED_VALUE"""),"The Netherlands")</f>
        <v/>
      </c>
      <c r="M355" s="1">
        <f>IFERROR(__xludf.DUMMYFUNCTION("""COMPUTED_VALUE"""),"Belgium, Denmark, France, Germany, Ireland, Italy, Netherlands, Spain, Switzerland, United Kingdom")</f>
        <v/>
      </c>
      <c r="N355" s="1">
        <f>IFERROR(__xludf.DUMMYFUNCTION("""COMPUTED_VALUE"""),"3 to 5")</f>
        <v/>
      </c>
      <c r="O355" s="1">
        <f>IFERROR(__xludf.DUMMYFUNCTION("""COMPUTED_VALUE"""),"Business to Business, Business to Consumer, Business to Schools")</f>
        <v/>
      </c>
      <c r="P355" s="1">
        <f>IFERROR(__xludf.DUMMYFUNCTION("""COMPUTED_VALUE"""),"Primary Education, Secondary Education")</f>
        <v/>
      </c>
      <c r="Q355" s="1">
        <f>IFERROR(__xludf.DUMMYFUNCTION("""COMPUTED_VALUE"""),"Teacher interfacing")</f>
        <v/>
      </c>
      <c r="R355" s="15">
        <f>IFERROR(__xludf.DUMMYFUNCTION("""COMPUTED_VALUE"""),"https://www.instagram.com/greenscreenbox/")</f>
        <v/>
      </c>
      <c r="S355" s="1" t="n"/>
      <c r="T355" s="15">
        <f>IFERROR(__xludf.DUMMYFUNCTION("""COMPUTED_VALUE"""),"https://nl.linkedin.com/company/monop-greenscreenbox")</f>
        <v/>
      </c>
      <c r="U355" s="1">
        <f>IFERROR(__xludf.DUMMYFUNCTION("""COMPUTED_VALUE"""),"Greenscreenbox")</f>
        <v/>
      </c>
      <c r="V355" s="1">
        <f>IFERROR(__xludf.DUMMYFUNCTION("""COMPUTED_VALUE"""),"The Greenscreenbox is a portable wooden tabletop film studio, allowing students in primary and secundary education to create greenscreen recordings of their learning material. This fosters creativity, storytelling and digital skills, aligning with their i"&amp;"nterest in digital media. It is applicable across various subjects. For example, let students reenact historical events, act out scenes from literature, develop language skills by role-playing scenarios, and much more.
Greenscreenbox: endless possibilitie"&amp;"s!")</f>
        <v/>
      </c>
      <c r="W355" s="1">
        <f>IFERROR(__xludf.DUMMYFUNCTION("""COMPUTED_VALUE"""),"Greenscreenbox App")</f>
        <v/>
      </c>
      <c r="X355" s="1">
        <f>IFERROR(__xludf.DUMMYFUNCTION("""COMPUTED_VALUE"""),"With the Greenscreenbox App, you can effortlessly create greenscreen photos, stop motions, and videos. Users greatly value its simplicity. The app offers standard background images or allows users to upload their own. It is compatible with iOS and Android"&amp;" tablets, Chromebooks, and laptops, requiring only an internet browser and a back camera or separate USB webcam. The app is accessible at no cost with a code included upon Greenscreenbox purchase and is ad-free.
Additionally, there is a Pro version of our"&amp;" app, offering extra features such as voice-over for stop-motion projects and access to a library of 100+ royalty-free backgrounds. The Pro version is also available as a license-only option.")</f>
        <v/>
      </c>
      <c r="Y355" s="15">
        <f>IFERROR(__xludf.DUMMYFUNCTION("""COMPUTED_VALUE"""),"https://drive.google.com/uc?export=view&amp;id=15VHYoGIclV0qDYbhqVvkwPtb6PCSybbN")</f>
        <v/>
      </c>
      <c r="Z355" s="1">
        <f>IFERROR(__xludf.DUMMYFUNCTION("""COMPUTED_VALUE"""),"Unverified")</f>
        <v/>
      </c>
      <c r="AA355" s="1" t="n"/>
      <c r="AB355" s="1" t="n"/>
      <c r="AC355" s="1" t="n"/>
      <c r="AD355" s="1" t="n"/>
      <c r="AE355" s="1" t="n"/>
    </row>
    <row r="356" ht="42" customHeight="1">
      <c r="A356" s="14">
        <f>IFERROR(__xludf.DUMMYFUNCTION("""COMPUTED_VALUE"""),45575)</f>
        <v/>
      </c>
      <c r="B356" s="1">
        <f>IFERROR(__xludf.DUMMYFUNCTION("""COMPUTED_VALUE"""),"ORG_2258")</f>
        <v/>
      </c>
      <c r="C356" s="1">
        <f>IFERROR(__xludf.DUMMYFUNCTION("""COMPUTED_VALUE"""),TRUE)</f>
        <v/>
      </c>
      <c r="D356" s="1">
        <f>IFERROR(__xludf.DUMMYFUNCTION("""COMPUTED_VALUE"""),"SKILLS4IMPACT")</f>
        <v/>
      </c>
      <c r="E356" s="15">
        <f>IFERROR(__xludf.DUMMYFUNCTION("""COMPUTED_VALUE"""),"https://skills4impact.org/")</f>
        <v/>
      </c>
      <c r="F356" s="1">
        <f>IFERROR(__xludf.DUMMYFUNCTION("""COMPUTED_VALUE"""),"Skills4Impact is the best-in-class academy that helps professionals and organizations to upgrade your skills and knowledge in sustainability and climate action. Setting us apart from traditional higher education and massive on-demand programs, our cohort-"&amp;"based courses and bootcamps provide a challenge-oriented, transformative learning experience led by industry experts and set within a collaborative community environment. We ensure a deeply impactful educational journey for all participants.")</f>
        <v/>
      </c>
      <c r="G356" s="1">
        <f>IFERROR(__xludf.DUMMYFUNCTION("""COMPUTED_VALUE"""),"I'm not part of any EdTech association")</f>
        <v/>
      </c>
      <c r="H356" s="1">
        <f>IFERROR(__xludf.DUMMYFUNCTION("""COMPUTED_VALUE"""),"Spanish, English")</f>
        <v/>
      </c>
      <c r="I356" s="1">
        <f>IFERROR(__xludf.DUMMYFUNCTION("""COMPUTED_VALUE"""),"info@skills4impact.org")</f>
        <v/>
      </c>
      <c r="J356" s="1" t="n"/>
      <c r="K356" s="1">
        <f>IFERROR(__xludf.DUMMYFUNCTION("""COMPUTED_VALUE"""),"Carrer Pallars, 147 - 3a planta")</f>
        <v/>
      </c>
      <c r="L356" s="1">
        <f>IFERROR(__xludf.DUMMYFUNCTION("""COMPUTED_VALUE"""),"Spain")</f>
        <v/>
      </c>
      <c r="M356" s="1">
        <f>IFERROR(__xludf.DUMMYFUNCTION("""COMPUTED_VALUE"""),"Andorra, Spain")</f>
        <v/>
      </c>
      <c r="N356" s="1">
        <f>IFERROR(__xludf.DUMMYFUNCTION("""COMPUTED_VALUE"""),"3 to 5")</f>
        <v/>
      </c>
      <c r="O356" s="1">
        <f>IFERROR(__xludf.DUMMYFUNCTION("""COMPUTED_VALUE"""),"Business to Business, Business to Consumer, Business to Government")</f>
        <v/>
      </c>
      <c r="P356" s="1">
        <f>IFERROR(__xludf.DUMMYFUNCTION("""COMPUTED_VALUE"""),"Corporate Training, Lifelong learning/Adult education")</f>
        <v/>
      </c>
      <c r="Q356" s="1">
        <f>IFERROR(__xludf.DUMMYFUNCTION("""COMPUTED_VALUE"""),"System/Administrative, Student interfacing")</f>
        <v/>
      </c>
      <c r="R356" s="1" t="n"/>
      <c r="S356" s="1" t="n"/>
      <c r="T356" s="15">
        <f>IFERROR(__xludf.DUMMYFUNCTION("""COMPUTED_VALUE"""),"https://www.linkedin.com/company/101066262/")</f>
        <v/>
      </c>
      <c r="U356" s="1">
        <f>IFERROR(__xludf.DUMMYFUNCTION("""COMPUTED_VALUE"""),"Advanced CSRD Certified Professional Course")</f>
        <v/>
      </c>
      <c r="V356" s="1">
        <f>IFERROR(__xludf.DUMMYFUNCTION("""COMPUTED_VALUE"""),"-Understand and master the CSRD and the step-by-step process of regulatory compliance management.
-Use a structured guideline to perform a Double Materiality analysis.
Identify qualitative and quantitative indicators to report according to ESRS and perfor"&amp;"m a gap analysis.
-Develop a roadmap with corrective actions based on the results of the analysis.
-Get familiar with the latest technology platforms for collecting, managing and presenting data for CSRD compliance.")</f>
        <v/>
      </c>
      <c r="W356" s="1">
        <f>IFERROR(__xludf.DUMMYFUNCTION("""COMPUTED_VALUE"""),"Impact &amp; Sustainability Marketing Program")</f>
        <v/>
      </c>
      <c r="X356" s="1">
        <f>IFERROR(__xludf.DUMMYFUNCTION("""COMPUTED_VALUE"""),"-Understand why and how to evolve current marketing and communication models and the responsibility in generating impact.
-Build authentic brands with purpose based on reference frameworks such as the Brand Impact Model Framework.
-Establish communicati"&amp;"on strategies and narratives aligned with an active purpose.
Recognize and mitigate Greenwashing and Purpose-washing practices in different sectors.
-Acquire a new mindset in your professional development to drive positive impact.")</f>
        <v/>
      </c>
      <c r="Y356" s="15">
        <f>IFERROR(__xludf.DUMMYFUNCTION("""COMPUTED_VALUE"""),"https://drive.google.com/uc?export=view&amp;id=1G4xV9DzTPEqEGbHZUjiM32zuF9qT4JuB")</f>
        <v/>
      </c>
      <c r="Z356" s="1">
        <f>IFERROR(__xludf.DUMMYFUNCTION("""COMPUTED_VALUE"""),"Unverified")</f>
        <v/>
      </c>
      <c r="AA356" s="1" t="n"/>
      <c r="AB356" s="1" t="n"/>
      <c r="AC356" s="1" t="n"/>
      <c r="AD356" s="1" t="n"/>
      <c r="AE356" s="1" t="n"/>
    </row>
    <row r="357" ht="42" customHeight="1">
      <c r="A357" s="14">
        <f>IFERROR(__xludf.DUMMYFUNCTION("""COMPUTED_VALUE"""),45559)</f>
        <v/>
      </c>
      <c r="B357" s="1">
        <f>IFERROR(__xludf.DUMMYFUNCTION("""COMPUTED_VALUE"""),"ORG_2449")</f>
        <v/>
      </c>
      <c r="C357" s="1">
        <f>IFERROR(__xludf.DUMMYFUNCTION("""COMPUTED_VALUE"""),TRUE)</f>
        <v/>
      </c>
      <c r="D357" s="1">
        <f>IFERROR(__xludf.DUMMYFUNCTION("""COMPUTED_VALUE"""),"ubbu - Code to Create")</f>
        <v/>
      </c>
      <c r="E357" s="15">
        <f>IFERROR(__xludf.DUMMYFUNCTION("""COMPUTED_VALUE"""),"www.ubbu.io")</f>
        <v/>
      </c>
      <c r="F357" s="1">
        <f>IFERROR(__xludf.DUMMYFUNCTION("""COMPUTED_VALUE"""),"ubbu is a user-friendly coding platform designed for students aged 6 to 12 and tailored for educators with no prior coding experience. It provides pre-made lesson plans, teacher training, and essential classroom tools, making it easy to introduce coding i"&amp;"nto the classroom. In addition to teaching coding, ubbu explores the history of technology, algorithms, and fundamental computer science concepts. Each lesson aligns with the UN’s 17 Sustainable Development Goals, inspiring students to use technology for "&amp;"positive global change. ubbu also integrates coding with STEAM subjects, helping students grasp math and science concepts more effectively. By fostering computational thinking, problem-solving, and creativity, ubbu encourages conscious citizenship and dev"&amp;"elops cognitive-motor skills. Trusted by over 6,000 educators worldwide, ubbu is proven to enhance the teaching and learning experience for both teachers and students, making it a powerful tool in education.")</f>
        <v/>
      </c>
      <c r="G357" s="1">
        <f>IFERROR(__xludf.DUMMYFUNCTION("""COMPUTED_VALUE"""),"I'm not part of any EdTech association")</f>
        <v/>
      </c>
      <c r="H357" s="1">
        <f>IFERROR(__xludf.DUMMYFUNCTION("""COMPUTED_VALUE"""),"Portuguese, English, Spanish")</f>
        <v/>
      </c>
      <c r="I357" s="1">
        <f>IFERROR(__xludf.DUMMYFUNCTION("""COMPUTED_VALUE"""),"daniela.almeida@ubbu.io")</f>
        <v/>
      </c>
      <c r="J357" s="1" t="n"/>
      <c r="K357" s="1">
        <f>IFERROR(__xludf.DUMMYFUNCTION("""COMPUTED_VALUE"""),"LISBOA")</f>
        <v/>
      </c>
      <c r="L357" s="1">
        <f>IFERROR(__xludf.DUMMYFUNCTION("""COMPUTED_VALUE"""),"Portugal")</f>
        <v/>
      </c>
      <c r="M357" s="1">
        <f>IFERROR(__xludf.DUMMYFUNCTION("""COMPUTED_VALUE"""),"Portugal, Spain")</f>
        <v/>
      </c>
      <c r="N357" s="1">
        <f>IFERROR(__xludf.DUMMYFUNCTION("""COMPUTED_VALUE"""),"11 to 50")</f>
        <v/>
      </c>
      <c r="O357" s="1">
        <f>IFERROR(__xludf.DUMMYFUNCTION("""COMPUTED_VALUE"""),"Business to Business, Business to Schools, Business to Consumer, Business to Government")</f>
        <v/>
      </c>
      <c r="P357" s="1">
        <f>IFERROR(__xludf.DUMMYFUNCTION("""COMPUTED_VALUE"""),"Primary Education")</f>
        <v/>
      </c>
      <c r="Q357" s="1">
        <f>IFERROR(__xludf.DUMMYFUNCTION("""COMPUTED_VALUE"""),"System/Administrative, Student interfacing, Teacher interfacing")</f>
        <v/>
      </c>
      <c r="R357" s="1" t="n"/>
      <c r="S357" s="1" t="n"/>
      <c r="T357" s="1" t="n"/>
      <c r="U357" s="1">
        <f>IFERROR(__xludf.DUMMYFUNCTION("""COMPUTED_VALUE"""),"ubbu - Code to Create")</f>
        <v/>
      </c>
      <c r="V357" s="1">
        <f>IFERROR(__xludf.DUMMYFUNCTION("""COMPUTED_VALUE"""),"ubbu is a coding platform for students aged 6 to 12, designed to help educators without coding experience teach computer science. It offers pre-made lesson plans, training, and classroom tools, simplifying the process for teachers. The curriculum integrat"&amp;"es coding with STEAM subjects, while lessons align with the UN’s 17 Sustainable Development Goals. ubbu fosters skills like computational thinking, problem-solving, and creativity, making it a trusted platform used by over 6,000 educators worldwide.")</f>
        <v/>
      </c>
      <c r="W357" s="1" t="n"/>
      <c r="X357" s="1" t="n"/>
      <c r="Y357" s="15">
        <f>IFERROR(__xludf.DUMMYFUNCTION("""COMPUTED_VALUE"""),"https://drive.google.com/uc?export=view&amp;id=1j29iI04XkhEf8bWBFEWn1ltr1PIdI5iB")</f>
        <v/>
      </c>
      <c r="Z357" s="1">
        <f>IFERROR(__xludf.DUMMYFUNCTION("""COMPUTED_VALUE"""),"Unverified")</f>
        <v/>
      </c>
      <c r="AA357" s="1" t="n"/>
      <c r="AB357" s="1" t="n"/>
      <c r="AC357" s="1" t="n"/>
      <c r="AD357" s="1" t="n"/>
      <c r="AE357" s="1" t="n"/>
    </row>
    <row r="358" ht="42" customHeight="1">
      <c r="A358" s="14">
        <f>IFERROR(__xludf.DUMMYFUNCTION("""COMPUTED_VALUE"""),45547)</f>
        <v/>
      </c>
      <c r="B358" s="1">
        <f>IFERROR(__xludf.DUMMYFUNCTION("""COMPUTED_VALUE"""),"ORG_1708")</f>
        <v/>
      </c>
      <c r="C358" s="1">
        <f>IFERROR(__xludf.DUMMYFUNCTION("""COMPUTED_VALUE"""),TRUE)</f>
        <v/>
      </c>
      <c r="D358" s="15">
        <f>IFERROR(__xludf.DUMMYFUNCTION("""COMPUTED_VALUE"""),"Ikleeralles.nl")</f>
        <v/>
      </c>
      <c r="E358" s="15">
        <f>IFERROR(__xludf.DUMMYFUNCTION("""COMPUTED_VALUE"""),"https://ikleeralles.nl")</f>
        <v/>
      </c>
      <c r="F358" s="1">
        <f>IFERROR(__xludf.DUMMYFUNCTION("""COMPUTED_VALUE"""),"Ikleeralles.nl is a platform that helps high-school students prepare for their upcoming exams/tests. Students can take pictures from learning material in their book and using the newest AI technology, they are questioned on any topic within seconds. This "&amp;"interactive way of learning gives students the confidence that they are well prepared.")</f>
        <v/>
      </c>
      <c r="G358" s="1">
        <f>IFERROR(__xludf.DUMMYFUNCTION("""COMPUTED_VALUE"""),"Dutch EdTech")</f>
        <v/>
      </c>
      <c r="H358" s="1" t="n"/>
      <c r="I358" s="1">
        <f>IFERROR(__xludf.DUMMYFUNCTION("""COMPUTED_VALUE"""),"patrick@ikleeralles.nl")</f>
        <v/>
      </c>
      <c r="J358" s="1" t="n"/>
      <c r="K358" s="1">
        <f>IFERROR(__xludf.DUMMYFUNCTION("""COMPUTED_VALUE"""),"Eindhoven")</f>
        <v/>
      </c>
      <c r="L358" s="1" t="n"/>
      <c r="M358" s="1">
        <f>IFERROR(__xludf.DUMMYFUNCTION("""COMPUTED_VALUE"""),"Netherlands")</f>
        <v/>
      </c>
      <c r="N358" s="1">
        <f>IFERROR(__xludf.DUMMYFUNCTION("""COMPUTED_VALUE"""),"0 to 2")</f>
        <v/>
      </c>
      <c r="O358" s="1">
        <f>IFERROR(__xludf.DUMMYFUNCTION("""COMPUTED_VALUE"""),"Business to Schools, Business to Consumer")</f>
        <v/>
      </c>
      <c r="P358" s="1">
        <f>IFERROR(__xludf.DUMMYFUNCTION("""COMPUTED_VALUE"""),"Primary Education, Secondary Education")</f>
        <v/>
      </c>
      <c r="Q358" s="1">
        <f>IFERROR(__xludf.DUMMYFUNCTION("""COMPUTED_VALUE"""),"System/Administrative, Student interfacing")</f>
        <v/>
      </c>
      <c r="R358" s="1" t="n"/>
      <c r="S358" s="1" t="n"/>
      <c r="T358" s="15">
        <f>IFERROR(__xludf.DUMMYFUNCTION("""COMPUTED_VALUE"""),"https://www.linkedin.com/company/ikleerallesnl/")</f>
        <v/>
      </c>
      <c r="U358" s="15">
        <f>IFERROR(__xludf.DUMMYFUNCTION("""COMPUTED_VALUE"""),"Ikleeralles.nl")</f>
        <v/>
      </c>
      <c r="V358" s="1">
        <f>IFERROR(__xludf.DUMMYFUNCTION("""COMPUTED_VALUE"""),"Ikleeralles.nl offers a personalized ""Studybuddy"", which guides the user through their learning process. The user inputs learning material that he wants to be questioned on, and Studybuddy takes care of the rest. The user is being asked open, multiple-c"&amp;"hoice and insight questions that test the user on multiple levels of understanding.")</f>
        <v/>
      </c>
      <c r="W358" s="1" t="n"/>
      <c r="X358" s="1" t="n"/>
      <c r="Y358" s="15">
        <f>IFERROR(__xludf.DUMMYFUNCTION("""COMPUTED_VALUE"""),"https://drive.google.com/uc?export=view&amp;id=1TiqSZzyLpcbTsG_4q84WsD2qdweR6kqB")</f>
        <v/>
      </c>
      <c r="Z358" s="1">
        <f>IFERROR(__xludf.DUMMYFUNCTION("""COMPUTED_VALUE"""),"Unverified")</f>
        <v/>
      </c>
      <c r="AA358" s="1" t="n"/>
      <c r="AB358" s="1" t="n"/>
      <c r="AC358" s="1" t="n"/>
      <c r="AD358" s="1" t="n"/>
      <c r="AE358" s="1" t="n"/>
    </row>
    <row r="359" ht="42" customHeight="1">
      <c r="A359" s="14">
        <f>IFERROR(__xludf.DUMMYFUNCTION("""COMPUTED_VALUE"""),45541)</f>
        <v/>
      </c>
      <c r="B359" s="1">
        <f>IFERROR(__xludf.DUMMYFUNCTION("""COMPUTED_VALUE"""),"ORG_2389")</f>
        <v/>
      </c>
      <c r="C359" s="1">
        <f>IFERROR(__xludf.DUMMYFUNCTION("""COMPUTED_VALUE"""),TRUE)</f>
        <v/>
      </c>
      <c r="D359" s="1">
        <f>IFERROR(__xludf.DUMMYFUNCTION("""COMPUTED_VALUE"""),"test")</f>
        <v/>
      </c>
      <c r="E359" s="15">
        <f>IFERROR(__xludf.DUMMYFUNCTION("""COMPUTED_VALUE"""),"www.test.de")</f>
        <v/>
      </c>
      <c r="F359" s="1">
        <f>IFERROR(__xludf.DUMMYFUNCTION("""COMPUTED_VALUE"""),"test")</f>
        <v/>
      </c>
      <c r="G359" s="1">
        <f>IFERROR(__xludf.DUMMYFUNCTION("""COMPUTED_VALUE"""),"I'm not part of any EdTech association")</f>
        <v/>
      </c>
      <c r="H359" s="1" t="n"/>
      <c r="I359" s="1" t="n"/>
      <c r="J359" s="1" t="n"/>
      <c r="K359" s="1">
        <f>IFERROR(__xludf.DUMMYFUNCTION("""COMPUTED_VALUE"""),"ROMMERSKIRCHEN")</f>
        <v/>
      </c>
      <c r="L359" s="1">
        <f>IFERROR(__xludf.DUMMYFUNCTION("""COMPUTED_VALUE"""),"Germany")</f>
        <v/>
      </c>
      <c r="M359" s="1">
        <f>IFERROR(__xludf.DUMMYFUNCTION("""COMPUTED_VALUE"""),"Italy")</f>
        <v/>
      </c>
      <c r="N359" s="1">
        <f>IFERROR(__xludf.DUMMYFUNCTION("""COMPUTED_VALUE"""),"0 to 2")</f>
        <v/>
      </c>
      <c r="O359" s="1" t="n"/>
      <c r="P359" s="1">
        <f>IFERROR(__xludf.DUMMYFUNCTION("""COMPUTED_VALUE"""),"Primary Education, Secondary Education")</f>
        <v/>
      </c>
      <c r="Q359" s="1">
        <f>IFERROR(__xludf.DUMMYFUNCTION("""COMPUTED_VALUE"""),"Student interfacing")</f>
        <v/>
      </c>
      <c r="R359" s="1" t="n"/>
      <c r="S359" s="1" t="n"/>
      <c r="T359" s="1" t="n"/>
      <c r="U359" s="1" t="n"/>
      <c r="V359" s="1" t="n"/>
      <c r="W359" s="1" t="n"/>
      <c r="X359" s="1" t="n"/>
      <c r="Y359" s="15">
        <f>IFERROR(__xludf.DUMMYFUNCTION("""COMPUTED_VALUE"""),"https://drive.google.com/uc?export=view&amp;id=1PmgMWazcSa1IhCndw7vA8M8Zubt54xxJ")</f>
        <v/>
      </c>
      <c r="Z359" s="1">
        <f>IFERROR(__xludf.DUMMYFUNCTION("""COMPUTED_VALUE"""),"Unverified")</f>
        <v/>
      </c>
      <c r="AA359" s="1" t="n"/>
      <c r="AB359" s="1" t="n"/>
      <c r="AC359" s="1" t="n"/>
      <c r="AD359" s="1" t="n"/>
      <c r="AE359" s="1" t="n"/>
    </row>
    <row r="360" ht="42" customHeight="1">
      <c r="A360" s="14">
        <f>IFERROR(__xludf.DUMMYFUNCTION("""COMPUTED_VALUE"""),45539)</f>
        <v/>
      </c>
      <c r="B360" s="1">
        <f>IFERROR(__xludf.DUMMYFUNCTION("""COMPUTED_VALUE"""),"ORG_2349")</f>
        <v/>
      </c>
      <c r="C360" s="1">
        <f>IFERROR(__xludf.DUMMYFUNCTION("""COMPUTED_VALUE"""),TRUE)</f>
        <v/>
      </c>
      <c r="D360" s="1">
        <f>IFERROR(__xludf.DUMMYFUNCTION("""COMPUTED_VALUE"""),"SupeFlat Math")</f>
        <v/>
      </c>
      <c r="E360" s="15">
        <f>IFERROR(__xludf.DUMMYFUNCTION("""COMPUTED_VALUE"""),"www.matematcasuperpiatta.it/en")</f>
        <v/>
      </c>
      <c r="F360" s="1">
        <f>IFERROR(__xludf.DUMMYFUNCTION("""COMPUTED_VALUE"""),"Video game based methodology for teaching Math in primary and middle school (8-13)")</f>
        <v/>
      </c>
      <c r="G360" s="1">
        <f>IFERROR(__xludf.DUMMYFUNCTION("""COMPUTED_VALUE"""),"EdTech Italia")</f>
        <v/>
      </c>
      <c r="H360" s="1">
        <f>IFERROR(__xludf.DUMMYFUNCTION("""COMPUTED_VALUE"""),"Italian")</f>
        <v/>
      </c>
      <c r="I360" s="1" t="n"/>
      <c r="J360" s="1" t="n"/>
      <c r="K360" s="1">
        <f>IFERROR(__xludf.DUMMYFUNCTION("""COMPUTED_VALUE"""),"Roma")</f>
        <v/>
      </c>
      <c r="L360" s="1">
        <f>IFERROR(__xludf.DUMMYFUNCTION("""COMPUTED_VALUE"""),"Italy")</f>
        <v/>
      </c>
      <c r="M360" s="1">
        <f>IFERROR(__xludf.DUMMYFUNCTION("""COMPUTED_VALUE"""),"Italy, Switzerland")</f>
        <v/>
      </c>
      <c r="N360" s="1">
        <f>IFERROR(__xludf.DUMMYFUNCTION("""COMPUTED_VALUE"""),"0 to 2")</f>
        <v/>
      </c>
      <c r="O360" s="1">
        <f>IFERROR(__xludf.DUMMYFUNCTION("""COMPUTED_VALUE"""),"Business to Business, Business to Schools, Business to Government")</f>
        <v/>
      </c>
      <c r="P360" s="1">
        <f>IFERROR(__xludf.DUMMYFUNCTION("""COMPUTED_VALUE"""),"Primary Education, Secondary Education")</f>
        <v/>
      </c>
      <c r="Q360" s="1">
        <f>IFERROR(__xludf.DUMMYFUNCTION("""COMPUTED_VALUE"""),"Student interfacing, Teacher interfacing")</f>
        <v/>
      </c>
      <c r="R360" s="15">
        <f>IFERROR(__xludf.DUMMYFUNCTION("""COMPUTED_VALUE"""),"https://www.instagram.com/matematica.superpiatta/")</f>
        <v/>
      </c>
      <c r="S360" s="1" t="n"/>
      <c r="T360" s="15">
        <f>IFERROR(__xludf.DUMMYFUNCTION("""COMPUTED_VALUE"""),"https://www.linkedin.com/company/90944851")</f>
        <v/>
      </c>
      <c r="U360" s="1">
        <f>IFERROR(__xludf.DUMMYFUNCTION("""COMPUTED_VALUE"""),"Matematica Superpiatta")</f>
        <v/>
      </c>
      <c r="V360" s="1">
        <f>IFERROR(__xludf.DUMMYFUNCTION("""COMPUTED_VALUE"""),"A videogame with integrated methodology for teaching Math")</f>
        <v/>
      </c>
      <c r="W360" s="1" t="n"/>
      <c r="X360" s="1" t="n"/>
      <c r="Y360" s="15">
        <f>IFERROR(__xludf.DUMMYFUNCTION("""COMPUTED_VALUE"""),"https://drive.google.com/uc?export=view&amp;id=1iQlptGSiUdAY0yMZ5XqAV8Y4WOUPuvaj")</f>
        <v/>
      </c>
      <c r="Z360" s="1">
        <f>IFERROR(__xludf.DUMMYFUNCTION("""COMPUTED_VALUE"""),"Unverified")</f>
        <v/>
      </c>
      <c r="AA360" s="1" t="n"/>
      <c r="AB360" s="1" t="n"/>
      <c r="AC360" s="1" t="n"/>
      <c r="AD360" s="1" t="n"/>
      <c r="AE360" s="1" t="n"/>
    </row>
    <row r="361" ht="42" customHeight="1">
      <c r="A361" s="14">
        <f>IFERROR(__xludf.DUMMYFUNCTION("""COMPUTED_VALUE"""),45523)</f>
        <v/>
      </c>
      <c r="B361" s="1">
        <f>IFERROR(__xludf.DUMMYFUNCTION("""COMPUTED_VALUE"""),"ORG_1105")</f>
        <v/>
      </c>
      <c r="C361" s="1">
        <f>IFERROR(__xludf.DUMMYFUNCTION("""COMPUTED_VALUE"""),TRUE)</f>
        <v/>
      </c>
      <c r="D361" s="1">
        <f>IFERROR(__xludf.DUMMYFUNCTION("""COMPUTED_VALUE"""),"Aryzon.World")</f>
        <v/>
      </c>
      <c r="E361" s="15">
        <f>IFERROR(__xludf.DUMMYFUNCTION("""COMPUTED_VALUE"""),"www.aryzon.world")</f>
        <v/>
      </c>
      <c r="F361" s="1">
        <f>IFERROR(__xludf.DUMMYFUNCTION("""COMPUTED_VALUE"""),"Aryzon.World, the XR creation platform where you can prototype your own training materials, without programming! We empower people to take an active role in their own education. Anyone can create VR content, with many XR companies doing so. But what sets "&amp;"us apart even more is our passion for fellow humans with unique ways of thinking. They carry labels such as ADHD, ADD, dyslexia, autism, being gifted and more.
The combination of our technology and approach gives our neurodiverse employees (each with the"&amp;"ir own background) the opportunity to develop and contribute to major societal issues with their special talents. Together we can create a future where boundaries fade and ideas come to life, where everyone can learn in their own way, label or not.
Our p"&amp;"latform provides the opportunity to ""Learning how to Learn, Live and Work"" together with experienced experts from your own target audience, regardless of topic, location, or device.
Join our exciting journey. Step into the future. Join Aryzon.World, wh"&amp;"ere together we can create a world of possibilities.")</f>
        <v/>
      </c>
      <c r="G361" s="1">
        <f>IFERROR(__xludf.DUMMYFUNCTION("""COMPUTED_VALUE"""),"Dutch EdTech")</f>
        <v/>
      </c>
      <c r="H361" s="1">
        <f>IFERROR(__xludf.DUMMYFUNCTION("""COMPUTED_VALUE"""),"English")</f>
        <v/>
      </c>
      <c r="I361" s="1">
        <f>IFERROR(__xludf.DUMMYFUNCTION("""COMPUTED_VALUE"""),"info@aryzon.world")</f>
        <v/>
      </c>
      <c r="J361" s="1" t="n"/>
      <c r="K361" s="1">
        <f>IFERROR(__xludf.DUMMYFUNCTION("""COMPUTED_VALUE"""),"EDE")</f>
        <v/>
      </c>
      <c r="L361" s="1">
        <f>IFERROR(__xludf.DUMMYFUNCTION("""COMPUTED_VALUE"""),"The Netherlands")</f>
        <v/>
      </c>
      <c r="M361" s="1">
        <f>IFERROR(__xludf.DUMMYFUNCTION("""COMPUTED_VALUE"""),"Belgium, Denmark, Finland, France, Germany, Ireland, Italy, Netherlands, Norway, Poland, Portugal, Spain, Sweden, Switzerland, Turkey, United Kingdom")</f>
        <v/>
      </c>
      <c r="N361" s="1">
        <f>IFERROR(__xludf.DUMMYFUNCTION("""COMPUTED_VALUE"""),"3 to 5")</f>
        <v/>
      </c>
      <c r="O361" s="1">
        <f>IFERROR(__xludf.DUMMYFUNCTION("""COMPUTED_VALUE"""),"Business to Business, Business to Schools, Business to Consumer, Business to Government")</f>
        <v/>
      </c>
      <c r="P361" s="1">
        <f>IFERROR(__xludf.DUMMYFUNCTION("""COMPUTED_VALUE"""),"Secondary Education, Corporate Training, Lifelong learning/Adult education, Vocational Education and Training (VET), Higher Education")</f>
        <v/>
      </c>
      <c r="Q361" s="1">
        <f>IFERROR(__xludf.DUMMYFUNCTION("""COMPUTED_VALUE"""),"System/Administrative, Student interfacing, Teacher interfacing")</f>
        <v/>
      </c>
      <c r="R361" s="15">
        <f>IFERROR(__xludf.DUMMYFUNCTION("""COMPUTED_VALUE"""),"https://www.instagram.com/aryzon.world/")</f>
        <v/>
      </c>
      <c r="S361" s="1" t="n"/>
      <c r="T361" s="15">
        <f>IFERROR(__xludf.DUMMYFUNCTION("""COMPUTED_VALUE"""),"https://www.linkedin.com/company/aryzon-world/")</f>
        <v/>
      </c>
      <c r="U361" s="1">
        <f>IFERROR(__xludf.DUMMYFUNCTION("""COMPUTED_VALUE"""),"Aryzon.World")</f>
        <v/>
      </c>
      <c r="V361" s="1">
        <f>IFERROR(__xludf.DUMMYFUNCTION("""COMPUTED_VALUE"""),"The VR &amp; AR creation platform where you can prototype your own training materials, without programmers.")</f>
        <v/>
      </c>
      <c r="W361" s="1" t="n"/>
      <c r="X361" s="1" t="n"/>
      <c r="Y361" s="15">
        <f>IFERROR(__xludf.DUMMYFUNCTION("""COMPUTED_VALUE"""),"https://drive.google.com/uc?export=view&amp;id=17gGzTxu8z7JDFZhDx6pTXyBkfZB6xsKj")</f>
        <v/>
      </c>
      <c r="Z361" s="1">
        <f>IFERROR(__xludf.DUMMYFUNCTION("""COMPUTED_VALUE"""),"Unverified")</f>
        <v/>
      </c>
      <c r="AA361" s="1" t="n"/>
      <c r="AB361" s="1" t="n"/>
      <c r="AC361" s="1" t="n"/>
      <c r="AD361" s="1" t="n"/>
      <c r="AE361" s="1" t="n"/>
    </row>
    <row r="362" ht="42" customHeight="1">
      <c r="A362" s="14">
        <f>IFERROR(__xludf.DUMMYFUNCTION("""COMPUTED_VALUE"""),45522)</f>
        <v/>
      </c>
      <c r="B362" s="1">
        <f>IFERROR(__xludf.DUMMYFUNCTION("""COMPUTED_VALUE"""),"ORG_2228")</f>
        <v/>
      </c>
      <c r="C362" s="1">
        <f>IFERROR(__xludf.DUMMYFUNCTION("""COMPUTED_VALUE"""),TRUE)</f>
        <v/>
      </c>
      <c r="D362" s="1">
        <f>IFERROR(__xludf.DUMMYFUNCTION("""COMPUTED_VALUE"""),"Senior Lingua")</f>
        <v/>
      </c>
      <c r="E362" s="15">
        <f>IFERROR(__xludf.DUMMYFUNCTION("""COMPUTED_VALUE"""),"https://seniorlingua.com/en")</f>
        <v/>
      </c>
      <c r="F362" s="1">
        <f>IFERROR(__xludf.DUMMYFUNCTION("""COMPUTED_VALUE"""),"Senior Lingua is a platform that joins seniors with language students through random videocalls asisted by a conversational guide about a weekly topic, allowing chats with previously contacted users.")</f>
        <v/>
      </c>
      <c r="G362" s="1">
        <f>IFERROR(__xludf.DUMMYFUNCTION("""COMPUTED_VALUE"""),"I'm not part of any EdTech association")</f>
        <v/>
      </c>
      <c r="H362" s="1">
        <f>IFERROR(__xludf.DUMMYFUNCTION("""COMPUTED_VALUE"""),"Spanish, English")</f>
        <v/>
      </c>
      <c r="I362" s="1">
        <f>IFERROR(__xludf.DUMMYFUNCTION("""COMPUTED_VALUE"""),"info@seniorlingua.com")</f>
        <v/>
      </c>
      <c r="J362" s="1" t="n"/>
      <c r="K362" s="1">
        <f>IFERROR(__xludf.DUMMYFUNCTION("""COMPUTED_VALUE"""),"A Coruña")</f>
        <v/>
      </c>
      <c r="L362" s="1">
        <f>IFERROR(__xludf.DUMMYFUNCTION("""COMPUTED_VALUE"""),"Spain")</f>
        <v/>
      </c>
      <c r="M362" s="1">
        <f>IFERROR(__xludf.DUMMYFUNCTION("""COMPUTED_VALUE"""),"Spain")</f>
        <v/>
      </c>
      <c r="N362" s="1">
        <f>IFERROR(__xludf.DUMMYFUNCTION("""COMPUTED_VALUE"""),"0 to 2")</f>
        <v/>
      </c>
      <c r="O362" s="1">
        <f>IFERROR(__xludf.DUMMYFUNCTION("""COMPUTED_VALUE"""),"Business to Consumer")</f>
        <v/>
      </c>
      <c r="P362" s="1">
        <f>IFERROR(__xludf.DUMMYFUNCTION("""COMPUTED_VALUE"""),"Lifelong learning/Adult education")</f>
        <v/>
      </c>
      <c r="Q362" s="1">
        <f>IFERROR(__xludf.DUMMYFUNCTION("""COMPUTED_VALUE"""),"Student interfacing")</f>
        <v/>
      </c>
      <c r="R362" s="15">
        <f>IFERROR(__xludf.DUMMYFUNCTION("""COMPUTED_VALUE"""),"https://www.instagram.com/seniorlingua/")</f>
        <v/>
      </c>
      <c r="S362" s="1">
        <f>IFERROR(__xludf.DUMMYFUNCTION("""COMPUTED_VALUE"""),"@Senior_Lingua")</f>
        <v/>
      </c>
      <c r="T362" s="15">
        <f>IFERROR(__xludf.DUMMYFUNCTION("""COMPUTED_VALUE"""),"https://www.linkedin.com/company/senior-lingua/")</f>
        <v/>
      </c>
      <c r="U362" s="1">
        <f>IFERROR(__xludf.DUMMYFUNCTION("""COMPUTED_VALUE"""),"Senior Lingua")</f>
        <v/>
      </c>
      <c r="V362" s="1">
        <f>IFERROR(__xludf.DUMMYFUNCTION("""COMPUTED_VALUE"""),"Senior Lingua is a platform that joins seniors with language students through random videocalls asisted by a conversational guide about a weekly topic, that allows chats between previously contacted useres.")</f>
        <v/>
      </c>
      <c r="W362" s="1" t="n"/>
      <c r="X362" s="1" t="n"/>
      <c r="Y362" s="15">
        <f>IFERROR(__xludf.DUMMYFUNCTION("""COMPUTED_VALUE"""),"https://drive.google.com/uc?export=view&amp;id=1-i87-HBKuqKykDNFFC45hu1J7-D6F2ka")</f>
        <v/>
      </c>
      <c r="Z362" s="1">
        <f>IFERROR(__xludf.DUMMYFUNCTION("""COMPUTED_VALUE"""),"Unverified")</f>
        <v/>
      </c>
      <c r="AA362" s="1" t="n"/>
      <c r="AB362" s="1" t="n"/>
      <c r="AC362" s="1" t="n"/>
      <c r="AD362" s="1" t="n"/>
      <c r="AE362" s="1" t="n"/>
    </row>
    <row r="363" ht="42" customHeight="1">
      <c r="A363" s="14">
        <f>IFERROR(__xludf.DUMMYFUNCTION("""COMPUTED_VALUE"""),45518)</f>
        <v/>
      </c>
      <c r="B363" s="1">
        <f>IFERROR(__xludf.DUMMYFUNCTION("""COMPUTED_VALUE"""),"ORG_1269")</f>
        <v/>
      </c>
      <c r="C363" s="1">
        <f>IFERROR(__xludf.DUMMYFUNCTION("""COMPUTED_VALUE"""),TRUE)</f>
        <v/>
      </c>
      <c r="D363" s="15">
        <f>IFERROR(__xludf.DUMMYFUNCTION("""COMPUTED_VALUE"""),"CodeEasy.io")</f>
        <v/>
      </c>
      <c r="E363" s="15">
        <f>IFERROR(__xludf.DUMMYFUNCTION("""COMPUTED_VALUE"""),"https://codeeasy.io")</f>
        <v/>
      </c>
      <c r="F363" s="1">
        <f>IFERROR(__xludf.DUMMYFUNCTION("""COMPUTED_VALUE"""),"AI-powered story-based educational platform designed for teaching programming at schools and colleges with rich practice base, providing detailed insights on students’ success journey.")</f>
        <v/>
      </c>
      <c r="G363" s="1">
        <f>IFERROR(__xludf.DUMMYFUNCTION("""COMPUTED_VALUE"""),"Swedish EdTech Industry")</f>
        <v/>
      </c>
      <c r="H363" s="1">
        <f>IFERROR(__xludf.DUMMYFUNCTION("""COMPUTED_VALUE"""),"English, Swedish")</f>
        <v/>
      </c>
      <c r="I363" s="1">
        <f>IFERROR(__xludf.DUMMYFUNCTION("""COMPUTED_VALUE"""),"info@codeeasy.io")</f>
        <v/>
      </c>
      <c r="J363" s="1" t="n"/>
      <c r="K363" s="1">
        <f>IFERROR(__xludf.DUMMYFUNCTION("""COMPUTED_VALUE"""),"STOCKHOLM")</f>
        <v/>
      </c>
      <c r="L363" s="1">
        <f>IFERROR(__xludf.DUMMYFUNCTION("""COMPUTED_VALUE"""),"Sweden")</f>
        <v/>
      </c>
      <c r="M363" s="1">
        <f>IFERROR(__xludf.DUMMYFUNCTION("""COMPUTED_VALUE"""),"Albania, Andorra, Armenia, Austria, Azerbaijan, Belgium, Bosnia and Herzegovina, Bulgaria, Croatia, Cyprus, Czechia, Denmark, Estonia, Finland, France, Georgia, Germany, Greece, Hungary, Iceland, Ireland, Italy, Kosovo, Latvia, Liechtenstein, Lithuania, L"&amp;"uxembourg, Malta, Moldova, Monaco, Montenegro, Netherlands, North Macedonia, Norway, Poland, Portugal, Romania, San Marino, Serbia, Slovakia, Slovenia, Spain, Sweden, Switzerland, Turkey, Ukraine, United Kingdom")</f>
        <v/>
      </c>
      <c r="N363" s="1">
        <f>IFERROR(__xludf.DUMMYFUNCTION("""COMPUTED_VALUE"""),"3 to 5")</f>
        <v/>
      </c>
      <c r="O363" s="1">
        <f>IFERROR(__xludf.DUMMYFUNCTION("""COMPUTED_VALUE"""),"Business to Business")</f>
        <v/>
      </c>
      <c r="P363" s="1">
        <f>IFERROR(__xludf.DUMMYFUNCTION("""COMPUTED_VALUE"""),"Secondary Education, Corporate Training, Lifelong learning/Adult education, Vocational Education and Training (VET), Higher Education")</f>
        <v/>
      </c>
      <c r="Q363" s="1">
        <f>IFERROR(__xludf.DUMMYFUNCTION("""COMPUTED_VALUE"""),"System/Administrative, Student interfacing, Teacher interfacing")</f>
        <v/>
      </c>
      <c r="R363" s="15">
        <f>IFERROR(__xludf.DUMMYFUNCTION("""COMPUTED_VALUE"""),"https://www.instagram.com/codeeasy.io")</f>
        <v/>
      </c>
      <c r="S363" s="1" t="n"/>
      <c r="T363" s="15">
        <f>IFERROR(__xludf.DUMMYFUNCTION("""COMPUTED_VALUE"""),"https://www.linkedin.com/company/codeasy")</f>
        <v/>
      </c>
      <c r="U363" s="1">
        <f>IFERROR(__xludf.DUMMYFUNCTION("""COMPUTED_VALUE"""),"CodeEasy story-based Python programming course for beginners")</f>
        <v/>
      </c>
      <c r="V363" s="1">
        <f>IFERROR(__xludf.DUMMYFUNCTION("""COMPUTED_VALUE"""),"CodeEasy is an AI-powered facilitation programming platform for schools and colleges focusing on Python coding lesson personalization and engagement through the story-based narrative.
The key highlights of the course:
- story-based futuristic course narra"&amp;"tive
- teacher's and student's account
- functionality to track student's progress and automatically verify and grade the student's solution
- integrated web IDE on the course
- AI-powered smart hints to personalize assistance while solving tasks
- afford"&amp;"able prices for schools and colleges")</f>
        <v/>
      </c>
      <c r="W363" s="1">
        <f>IFERROR(__xludf.DUMMYFUNCTION("""COMPUTED_VALUE"""),"CodeEasy story-based C# programming course for beginners")</f>
        <v/>
      </c>
      <c r="X363" s="1">
        <f>IFERROR(__xludf.DUMMYFUNCTION("""COMPUTED_VALUE"""),"CodeEasy is an AI-powered facilitation programming platform for schools and colleges focusing on C# coding lesson personalization and engagement through the story-based narrative.
The key highlights of the course:
- story-based futuristic course narrative"&amp;"
- teacher's and student's account
- functionality to track student's progress and automatically verify and grade the student's solution
- integrated web IDE on the course
- Visual Studio IDE extension (for C# course only)
- AI-powered smart hints to pers"&amp;"onalize assistance while solving tasks
- affordable prices for schools and colleges")</f>
        <v/>
      </c>
      <c r="Y363" s="15">
        <f>IFERROR(__xludf.DUMMYFUNCTION("""COMPUTED_VALUE"""),"https://drive.google.com/uc?export=view&amp;id=1737Gy13sr1wxQ-piMFje3qVHTzuLYuma")</f>
        <v/>
      </c>
      <c r="Z363" s="1">
        <f>IFERROR(__xludf.DUMMYFUNCTION("""COMPUTED_VALUE"""),"Unverified")</f>
        <v/>
      </c>
      <c r="AA363" s="1" t="n"/>
      <c r="AB363" s="1" t="n"/>
      <c r="AC363" s="1" t="n"/>
      <c r="AD363" s="1" t="n"/>
      <c r="AE363" s="1" t="n"/>
    </row>
    <row r="364" ht="42" customHeight="1">
      <c r="A364" s="14">
        <f>IFERROR(__xludf.DUMMYFUNCTION("""COMPUTED_VALUE"""),45517)</f>
        <v/>
      </c>
      <c r="B364" s="1">
        <f>IFERROR(__xludf.DUMMYFUNCTION("""COMPUTED_VALUE"""),"ORG_1596")</f>
        <v/>
      </c>
      <c r="C364" s="1">
        <f>IFERROR(__xludf.DUMMYFUNCTION("""COMPUTED_VALUE"""),TRUE)</f>
        <v/>
      </c>
      <c r="D364" s="1">
        <f>IFERROR(__xludf.DUMMYFUNCTION("""COMPUTED_VALUE"""),"Furhat Robotics")</f>
        <v/>
      </c>
      <c r="E364" s="15">
        <f>IFERROR(__xludf.DUMMYFUNCTION("""COMPUTED_VALUE"""),"www.furhatrobotics.com")</f>
        <v/>
      </c>
      <c r="F364" s="1">
        <f>IFERROR(__xludf.DUMMYFUNCTION("""COMPUTED_VALUE"""),"Furhat Robotics are pioneering the Social Robotics and Conversational AI Industry by giving a human face to robots.")</f>
        <v/>
      </c>
      <c r="G364" s="1" t="n"/>
      <c r="H364" s="1" t="n"/>
      <c r="I364" s="1">
        <f>IFERROR(__xludf.DUMMYFUNCTION("""COMPUTED_VALUE"""),"sales@furhatrobotics.com")</f>
        <v/>
      </c>
      <c r="J364" s="1" t="n"/>
      <c r="K364" s="1">
        <f>IFERROR(__xludf.DUMMYFUNCTION("""COMPUTED_VALUE"""),"STOCKHOLM")</f>
        <v/>
      </c>
      <c r="L364" s="1">
        <f>IFERROR(__xludf.DUMMYFUNCTION("""COMPUTED_VALUE"""),"Sweden")</f>
        <v/>
      </c>
      <c r="M364" s="1">
        <f>IFERROR(__xludf.DUMMYFUNCTION("""COMPUTED_VALUE"""),"Austria, Azerbaijan, Belgium, Czechia, Denmark, Estonia, Finland, France, Germany, Greece, Hungary, Ireland, Italy, Kazakhstan, Netherlands, Norway, Poland, Portugal, Slovakia, Slovenia, Spain, Sweden, Switzerland, United Kingdom")</f>
        <v/>
      </c>
      <c r="N364" s="1">
        <f>IFERROR(__xludf.DUMMYFUNCTION("""COMPUTED_VALUE"""),"11 to 50")</f>
        <v/>
      </c>
      <c r="O364" s="1">
        <f>IFERROR(__xludf.DUMMYFUNCTION("""COMPUTED_VALUE"""),"Business to Business, Business to Government, Business to Schools")</f>
        <v/>
      </c>
      <c r="P364" s="1">
        <f>IFERROR(__xludf.DUMMYFUNCTION("""COMPUTED_VALUE"""),"Primary Education, Secondary Education, Higher Education, Corporate Training")</f>
        <v/>
      </c>
      <c r="Q364" s="1">
        <f>IFERROR(__xludf.DUMMYFUNCTION("""COMPUTED_VALUE"""),"Student interfacing, Teacher interfacing, System/Administrative")</f>
        <v/>
      </c>
      <c r="R364" s="15">
        <f>IFERROR(__xludf.DUMMYFUNCTION("""COMPUTED_VALUE"""),"https://www.instagram.com/furhatrobotics/")</f>
        <v/>
      </c>
      <c r="S364" s="15">
        <f>IFERROR(__xludf.DUMMYFUNCTION("""COMPUTED_VALUE"""),"https://twitter.com/furhatrobotics")</f>
        <v/>
      </c>
      <c r="T364" s="15">
        <f>IFERROR(__xludf.DUMMYFUNCTION("""COMPUTED_VALUE"""),"https://www.linkedin.com/company/furhat-robotics/")</f>
        <v/>
      </c>
      <c r="U364" s="1">
        <f>IFERROR(__xludf.DUMMYFUNCTION("""COMPUTED_VALUE"""),"Furhat")</f>
        <v/>
      </c>
      <c r="V364" s="1">
        <f>IFERROR(__xludf.DUMMYFUNCTION("""COMPUTED_VALUE"""),"The Furhat robot is a powerful education and learning tool. With its advanced social and interactive skills, it can help students of all ages learn programming in a hands-on way. Already in use by schools around the world, Furhat is helpful beyond just pr"&amp;"ogramming courses. Furhat can also provide mentoring and support to students in any subject and language, ensuring classrooms become more inclusive.")</f>
        <v/>
      </c>
      <c r="W364" s="1">
        <f>IFERROR(__xludf.DUMMYFUNCTION("""COMPUTED_VALUE"""),"Misty")</f>
        <v/>
      </c>
      <c r="X364" s="1">
        <f>IFERROR(__xludf.DUMMYFUNCTION("""COMPUTED_VALUE"""),"The Misty robot's friendly appearance and advanced social skills make her the perfect learning companion. Equipped with the visual programming language Blockly, Misty provides a great introduction to programming for younger students. Beyond programming co"&amp;"urses, Misty has also proven to be a valuable asset in special education, helping students with ASD develop social and emotional skills.")</f>
        <v/>
      </c>
      <c r="Y364" s="15">
        <f>IFERROR(__xludf.DUMMYFUNCTION("""COMPUTED_VALUE"""),"https://drive.google.com/uc?export=view&amp;id=1J2gXlRTPiN96thhQdpX_p62OHT_DZICI")</f>
        <v/>
      </c>
      <c r="Z364" s="1">
        <f>IFERROR(__xludf.DUMMYFUNCTION("""COMPUTED_VALUE"""),"Unverified")</f>
        <v/>
      </c>
      <c r="AA364" s="1" t="n"/>
      <c r="AB364" s="1" t="n"/>
      <c r="AC364" s="1" t="n"/>
      <c r="AD364" s="1" t="n"/>
      <c r="AE364" s="1" t="n"/>
    </row>
    <row r="365" ht="42" customHeight="1">
      <c r="A365" s="14">
        <f>IFERROR(__xludf.DUMMYFUNCTION("""COMPUTED_VALUE"""),45517)</f>
        <v/>
      </c>
      <c r="B365" s="1">
        <f>IFERROR(__xludf.DUMMYFUNCTION("""COMPUTED_VALUE"""),"ORG_1976")</f>
        <v/>
      </c>
      <c r="C365" s="1">
        <f>IFERROR(__xludf.DUMMYFUNCTION("""COMPUTED_VALUE"""),TRUE)</f>
        <v/>
      </c>
      <c r="D365" s="1">
        <f>IFERROR(__xludf.DUMMYFUNCTION("""COMPUTED_VALUE"""),"Mobile Stories")</f>
        <v/>
      </c>
      <c r="E365" s="15">
        <f>IFERROR(__xludf.DUMMYFUNCTION("""COMPUTED_VALUE"""),"publiceringsverkyg.mobilestories.se")</f>
        <v/>
      </c>
      <c r="F365" s="1">
        <f>IFERROR(__xludf.DUMMYFUNCTION("""COMPUTED_VALUE"""),"Mobile Stories offers a production and publishing tool that educates young people in media and information literacy, and improves their skills as producers in the digital media landscape.")</f>
        <v/>
      </c>
      <c r="G365" s="1" t="n"/>
      <c r="H365" s="1">
        <f>IFERROR(__xludf.DUMMYFUNCTION("""COMPUTED_VALUE"""),"Swedish, English")</f>
        <v/>
      </c>
      <c r="I365" s="1">
        <f>IFERROR(__xludf.DUMMYFUNCTION("""COMPUTED_VALUE"""),"info@mobilestories.se")</f>
        <v/>
      </c>
      <c r="J365" s="1">
        <f>IFERROR(__xludf.DUMMYFUNCTION("""COMPUTED_VALUE"""),"+ 46 7 04 77 16 88")</f>
        <v/>
      </c>
      <c r="K365" s="1">
        <f>IFERROR(__xludf.DUMMYFUNCTION("""COMPUTED_VALUE"""),"POLLARGATAN 16")</f>
        <v/>
      </c>
      <c r="L365" s="1">
        <f>IFERROR(__xludf.DUMMYFUNCTION("""COMPUTED_VALUE"""),"Sweden")</f>
        <v/>
      </c>
      <c r="M365" s="1">
        <f>IFERROR(__xludf.DUMMYFUNCTION("""COMPUTED_VALUE"""),"Finland, Ireland, Romania, Sweden")</f>
        <v/>
      </c>
      <c r="N365" s="1">
        <f>IFERROR(__xludf.DUMMYFUNCTION("""COMPUTED_VALUE"""),"0 to 2")</f>
        <v/>
      </c>
      <c r="O365" s="1">
        <f>IFERROR(__xludf.DUMMYFUNCTION("""COMPUTED_VALUE"""),"Business to Business, Business to Schools")</f>
        <v/>
      </c>
      <c r="P365" s="1">
        <f>IFERROR(__xludf.DUMMYFUNCTION("""COMPUTED_VALUE"""),"Primary Education, Secondary Education, Vocational Education and Training (VET)")</f>
        <v/>
      </c>
      <c r="Q365" s="1">
        <f>IFERROR(__xludf.DUMMYFUNCTION("""COMPUTED_VALUE"""),"Student interfacing, Teacher interfacing")</f>
        <v/>
      </c>
      <c r="R365" s="1">
        <f>IFERROR(__xludf.DUMMYFUNCTION("""COMPUTED_VALUE"""),"mobilestories")</f>
        <v/>
      </c>
      <c r="S365" s="1" t="n"/>
      <c r="T365" s="15">
        <f>IFERROR(__xludf.DUMMYFUNCTION("""COMPUTED_VALUE"""),"https://www.linkedin.com/company/mobile-stories/https://www.linkedin.com/company/mobile-stories/")</f>
        <v/>
      </c>
      <c r="U365" s="1">
        <f>IFERROR(__xludf.DUMMYFUNCTION("""COMPUTED_VALUE"""),"Educational production and publishing tool")</f>
        <v/>
      </c>
      <c r="V365" s="1">
        <f>IFERROR(__xludf.DUMMYFUNCTION("""COMPUTED_VALUE"""),"Developed by journalists with a passion for education, Mobile Stories offers an innovative and proven solution to the MIL challenge. It empowers young people to become responsible and informed citizen journalists, while arming them with both a critical un"&amp;"derstanding of digital media and the power to influence peers and a wider audience. Harnessing young people’s creativity and desire to be heard, it supports the development of transferable journalistic skills while instilling a deep understanding of and c"&amp;"ommitment to journalistic ethics, truth-seeking and fact-checking. Through relationships with media outlets and other third-party platforms, it amplifies the voices of youth beyond the Mobile Stories space to a wider, potentially global audience. Suitable"&amp;" for both formal and non-formal settings, it offers educators a multi-disciplinary teaching tool that nurtures communication skills, critical thinking, media literacy and global citizenship. It brings the outside world into the classroom while taking the "&amp;"classroom to the outside world.")</f>
        <v/>
      </c>
      <c r="W365" s="1">
        <f>IFERROR(__xludf.DUMMYFUNCTION("""COMPUTED_VALUE"""),"Worshops/lectures")</f>
        <v/>
      </c>
      <c r="X365" s="1">
        <f>IFERROR(__xludf.DUMMYFUNCTION("""COMPUTED_VALUE"""),"The founders of Mobile Stories, Lotta Bergseth and Jenny Sköld, are often hired for lectures or workshops, as experts on journalism, the digital media landscape and media and information literacy. Together with the teacher educator and Lead Teacher Charlo"&amp;"tta Granath, they have written the book Digital kompetens och källkritik i praktiken (Digital Competence and source assessment in practice), for the publishing house Sanoma Utbildning. Mobile Stories also offers web courses for teachers and librarians on "&amp;"media and information literacy.")</f>
        <v/>
      </c>
      <c r="Y365" s="15">
        <f>IFERROR(__xludf.DUMMYFUNCTION("""COMPUTED_VALUE"""),"https://drive.google.com/uc?export=view&amp;id=1UwEw4Amf-Lz2GxT4TLkEQQnwi2jvZH_U")</f>
        <v/>
      </c>
      <c r="Z365" s="1">
        <f>IFERROR(__xludf.DUMMYFUNCTION("""COMPUTED_VALUE"""),"Unverified")</f>
        <v/>
      </c>
      <c r="AA365" s="1" t="n"/>
      <c r="AB365" s="1" t="n"/>
      <c r="AC365" s="1" t="n"/>
      <c r="AD365" s="1" t="n"/>
      <c r="AE365" s="1" t="n"/>
    </row>
    <row r="366" ht="42" customHeight="1">
      <c r="A366" s="14">
        <f>IFERROR(__xludf.DUMMYFUNCTION("""COMPUTED_VALUE"""),45517)</f>
        <v/>
      </c>
      <c r="B366" s="1">
        <f>IFERROR(__xludf.DUMMYFUNCTION("""COMPUTED_VALUE"""),"ORG_2051")</f>
        <v/>
      </c>
      <c r="C366" s="1">
        <f>IFERROR(__xludf.DUMMYFUNCTION("""COMPUTED_VALUE"""),TRUE)</f>
        <v/>
      </c>
      <c r="D366" s="1">
        <f>IFERROR(__xludf.DUMMYFUNCTION("""COMPUTED_VALUE"""),"NUITEQ")</f>
        <v/>
      </c>
      <c r="E366" s="15">
        <f>IFERROR(__xludf.DUMMYFUNCTION("""COMPUTED_VALUE"""),"https://www.nuiteq.com/")</f>
        <v/>
      </c>
      <c r="F366" s="1">
        <f>IFERROR(__xludf.DUMMYFUNCTION("""COMPUTED_VALUE"""),"NUITEQ is a global software company from Sweden that enables teams, educational institutions, and businesses to add value through smarter human interaction. The software is used at schools and corporates on large interactive displays, laptops, tablets and"&amp;" phones.")</f>
        <v/>
      </c>
      <c r="G366" s="1" t="n"/>
      <c r="H366" s="1" t="n"/>
      <c r="I366" s="1">
        <f>IFERROR(__xludf.DUMMYFUNCTION("""COMPUTED_VALUE"""),"hv@nuiteq.com")</f>
        <v/>
      </c>
      <c r="J366" s="1">
        <f>IFERROR(__xludf.DUMMYFUNCTION("""COMPUTED_VALUE"""),"+46 702-865-975")</f>
        <v/>
      </c>
      <c r="K366" s="1">
        <f>IFERROR(__xludf.DUMMYFUNCTION("""COMPUTED_VALUE"""),"SKELLEFTEÅ")</f>
        <v/>
      </c>
      <c r="L366" s="1">
        <f>IFERROR(__xludf.DUMMYFUNCTION("""COMPUTED_VALUE"""),"Sweden")</f>
        <v/>
      </c>
      <c r="M366" s="1">
        <f>IFERROR(__xludf.DUMMYFUNCTION("""COMPUTED_VALUE"""),"Germany, Netherlands, Russia, Spain, Sweden, Turkey, United Kingdom")</f>
        <v/>
      </c>
      <c r="N366" s="1">
        <f>IFERROR(__xludf.DUMMYFUNCTION("""COMPUTED_VALUE"""),"11 to 50")</f>
        <v/>
      </c>
      <c r="O366" s="1">
        <f>IFERROR(__xludf.DUMMYFUNCTION("""COMPUTED_VALUE"""),"Business to Business, Business to Government, Business to Schools")</f>
        <v/>
      </c>
      <c r="P366" s="1">
        <f>IFERROR(__xludf.DUMMYFUNCTION("""COMPUTED_VALUE"""),"Primary Education, Secondary Education")</f>
        <v/>
      </c>
      <c r="Q366" s="1">
        <f>IFERROR(__xludf.DUMMYFUNCTION("""COMPUTED_VALUE"""),"Student interfacing, Teacher interfacing")</f>
        <v/>
      </c>
      <c r="R366" s="1" t="n"/>
      <c r="S366" s="1" t="n"/>
      <c r="T366" s="15">
        <f>IFERROR(__xludf.DUMMYFUNCTION("""COMPUTED_VALUE"""),"https://www.linkedin.com/company/nuiteq/")</f>
        <v/>
      </c>
      <c r="U366" s="1">
        <f>IFERROR(__xludf.DUMMYFUNCTION("""COMPUTED_VALUE"""),"NUITEQ Snowflake")</f>
        <v/>
      </c>
      <c r="V366" s="1">
        <f>IFERROR(__xludf.DUMMYFUNCTION("""COMPUTED_VALUE"""),"NUITEQ Snowflake is a Teaching &amp; Learning Platform that gives K12 teachers access to complete curriculum-aligned lessons for active and differentiated learning. Every lesson engages students in the classroom and remotely by having them create and interact"&amp;" with content and games in the lesson.")</f>
        <v/>
      </c>
      <c r="W366" s="1" t="n"/>
      <c r="X366" s="1" t="n"/>
      <c r="Y366" s="15">
        <f>IFERROR(__xludf.DUMMYFUNCTION("""COMPUTED_VALUE"""),"https://drive.google.com/uc?export=view&amp;id=1L645_RcN44Qfw_NjO1NP77PGezF0L5S0")</f>
        <v/>
      </c>
      <c r="Z366" s="1">
        <f>IFERROR(__xludf.DUMMYFUNCTION("""COMPUTED_VALUE"""),"Unverified")</f>
        <v/>
      </c>
      <c r="AA366" s="1" t="n"/>
      <c r="AB366" s="1" t="n"/>
      <c r="AC366" s="1" t="n"/>
      <c r="AD366" s="1" t="n"/>
      <c r="AE366" s="1" t="n"/>
    </row>
    <row r="367" ht="42" customHeight="1">
      <c r="A367" s="14">
        <f>IFERROR(__xludf.DUMMYFUNCTION("""COMPUTED_VALUE"""),45517)</f>
        <v/>
      </c>
      <c r="B367" s="1">
        <f>IFERROR(__xludf.DUMMYFUNCTION("""COMPUTED_VALUE"""),"ORG_2512")</f>
        <v/>
      </c>
      <c r="C367" s="1">
        <f>IFERROR(__xludf.DUMMYFUNCTION("""COMPUTED_VALUE"""),TRUE)</f>
        <v/>
      </c>
      <c r="D367" s="1">
        <f>IFERROR(__xludf.DUMMYFUNCTION("""COMPUTED_VALUE"""),"Wacano")</f>
        <v/>
      </c>
      <c r="E367" s="15">
        <f>IFERROR(__xludf.DUMMYFUNCTION("""COMPUTED_VALUE"""),"https://www.wacano.se/")</f>
        <v/>
      </c>
      <c r="F367" s="1">
        <f>IFERROR(__xludf.DUMMYFUNCTION("""COMPUTED_VALUE"""),"Wacano has long experience in creating podcasts for use as an educational tool for the needs of different businesses. Using educational podcasts provides flexibility and effective dissemination of knowledge. Listening and learning via educational podcasts"&amp;" adds an additional dimension to learning. Suitable for many uses such as informing, competence development and as an in-depth study in school.")</f>
        <v/>
      </c>
      <c r="G367" s="1" t="n"/>
      <c r="H367" s="1" t="n"/>
      <c r="I367" s="1">
        <f>IFERROR(__xludf.DUMMYFUNCTION("""COMPUTED_VALUE"""),"info@wacano.se")</f>
        <v/>
      </c>
      <c r="J367" s="1">
        <f>IFERROR(__xludf.DUMMYFUNCTION("""COMPUTED_VALUE"""),"+46708358502")</f>
        <v/>
      </c>
      <c r="K367" s="1">
        <f>IFERROR(__xludf.DUMMYFUNCTION("""COMPUTED_VALUE"""),"LIDINGÖ")</f>
        <v/>
      </c>
      <c r="L367" s="1">
        <f>IFERROR(__xludf.DUMMYFUNCTION("""COMPUTED_VALUE"""),"Sweden")</f>
        <v/>
      </c>
      <c r="M367" s="1">
        <f>IFERROR(__xludf.DUMMYFUNCTION("""COMPUTED_VALUE"""),"Sweden")</f>
        <v/>
      </c>
      <c r="N367" s="1">
        <f>IFERROR(__xludf.DUMMYFUNCTION("""COMPUTED_VALUE"""),"0 to 10")</f>
        <v/>
      </c>
      <c r="O367" s="1">
        <f>IFERROR(__xludf.DUMMYFUNCTION("""COMPUTED_VALUE"""),"Business to Schools")</f>
        <v/>
      </c>
      <c r="P367" s="1">
        <f>IFERROR(__xludf.DUMMYFUNCTION("""COMPUTED_VALUE"""),"Higher Education, Corporate Training, Lifelong learning/Adult education")</f>
        <v/>
      </c>
      <c r="Q367" s="1">
        <f>IFERROR(__xludf.DUMMYFUNCTION("""COMPUTED_VALUE"""),"Student interfacing, Teacher interfacing, System/Administrative")</f>
        <v/>
      </c>
      <c r="R367" s="1" t="n"/>
      <c r="S367" s="15">
        <f>IFERROR(__xludf.DUMMYFUNCTION("""COMPUTED_VALUE"""),"https://twitter.com/WacanoSE")</f>
        <v/>
      </c>
      <c r="T367" s="1" t="n"/>
      <c r="U367" s="1">
        <f>IFERROR(__xludf.DUMMYFUNCTION("""COMPUTED_VALUE"""),"Podcast for flexible learning")</f>
        <v/>
      </c>
      <c r="V367" s="1">
        <f>IFERROR(__xludf.DUMMYFUNCTION("""COMPUTED_VALUE"""),"The format we use is short podcasts in the form of an educational conversation. The podcasts have a clear structure with purpose and goals followed by test questions. The podcasts can be distributed and effectively reach the target group via text message,"&amp;" e-mail or via your own platform. The method is flexible, stimulating and requires minimal administration.")</f>
        <v/>
      </c>
      <c r="W367" s="1" t="n"/>
      <c r="X367" s="1" t="n"/>
      <c r="Y367" s="1" t="n"/>
      <c r="Z367" s="1">
        <f>IFERROR(__xludf.DUMMYFUNCTION("""COMPUTED_VALUE"""),"Unverified")</f>
        <v/>
      </c>
      <c r="AA367" s="1" t="n"/>
      <c r="AB367" s="1" t="n"/>
      <c r="AC367" s="1" t="n"/>
      <c r="AD367" s="1" t="n"/>
      <c r="AE367" s="1" t="n"/>
    </row>
    <row r="368" ht="42" customHeight="1">
      <c r="A368" s="14">
        <f>IFERROR(__xludf.DUMMYFUNCTION("""COMPUTED_VALUE"""),45517)</f>
        <v/>
      </c>
      <c r="B368" s="1">
        <f>IFERROR(__xludf.DUMMYFUNCTION("""COMPUTED_VALUE"""),"ORG_1186")</f>
        <v/>
      </c>
      <c r="C368" s="1">
        <f>IFERROR(__xludf.DUMMYFUNCTION("""COMPUTED_VALUE"""),TRUE)</f>
        <v/>
      </c>
      <c r="D368" s="1">
        <f>IFERROR(__xludf.DUMMYFUNCTION("""COMPUTED_VALUE"""),"Booksquare")</f>
        <v/>
      </c>
      <c r="E368" s="15">
        <f>IFERROR(__xludf.DUMMYFUNCTION("""COMPUTED_VALUE"""),"https://booksquare.se/")</f>
        <v/>
      </c>
      <c r="F368" s="1">
        <f>IFERROR(__xludf.DUMMYFUNCTION("""COMPUTED_VALUE"""),"Booksquare is an online subscription service for textbooks. Users get unlimited access to e-textbooks for a fixed, monthly cost.")</f>
        <v/>
      </c>
      <c r="G368" s="1" t="n"/>
      <c r="H368" s="1" t="n"/>
      <c r="I368" s="1">
        <f>IFERROR(__xludf.DUMMYFUNCTION("""COMPUTED_VALUE"""),"simon@booksquare.se")</f>
        <v/>
      </c>
      <c r="J368" s="1">
        <f>IFERROR(__xludf.DUMMYFUNCTION("""COMPUTED_VALUE"""),"+46709504389")</f>
        <v/>
      </c>
      <c r="K368" s="1">
        <f>IFERROR(__xludf.DUMMYFUNCTION("""COMPUTED_VALUE"""),"BORLÄNGE")</f>
        <v/>
      </c>
      <c r="L368" s="1">
        <f>IFERROR(__xludf.DUMMYFUNCTION("""COMPUTED_VALUE"""),"Sweden")</f>
        <v/>
      </c>
      <c r="M368" s="1">
        <f>IFERROR(__xludf.DUMMYFUNCTION("""COMPUTED_VALUE"""),"Sweden")</f>
        <v/>
      </c>
      <c r="N368" s="1">
        <f>IFERROR(__xludf.DUMMYFUNCTION("""COMPUTED_VALUE"""),"0 to 10")</f>
        <v/>
      </c>
      <c r="O368" s="1">
        <f>IFERROR(__xludf.DUMMYFUNCTION("""COMPUTED_VALUE"""),"Business to Business")</f>
        <v/>
      </c>
      <c r="P368" s="1">
        <f>IFERROR(__xludf.DUMMYFUNCTION("""COMPUTED_VALUE"""),"Higher Education, Lifelong learning/Adult education")</f>
        <v/>
      </c>
      <c r="Q368" s="1">
        <f>IFERROR(__xludf.DUMMYFUNCTION("""COMPUTED_VALUE"""),"Student interfacing")</f>
        <v/>
      </c>
      <c r="R368" s="15">
        <f>IFERROR(__xludf.DUMMYFUNCTION("""COMPUTED_VALUE"""),"https://www.instagram.com/booksquare.se/")</f>
        <v/>
      </c>
      <c r="S368" s="15">
        <f>IFERROR(__xludf.DUMMYFUNCTION("""COMPUTED_VALUE"""),"https://twitter.com/booksquare_se")</f>
        <v/>
      </c>
      <c r="T368" s="15">
        <f>IFERROR(__xludf.DUMMYFUNCTION("""COMPUTED_VALUE"""),"https://www.linkedin.com/company/booksquaresweden")</f>
        <v/>
      </c>
      <c r="U368" s="1">
        <f>IFERROR(__xludf.DUMMYFUNCTION("""COMPUTED_VALUE"""),"Booksquare")</f>
        <v/>
      </c>
      <c r="V368" s="1">
        <f>IFERROR(__xludf.DUMMYFUNCTION("""COMPUTED_VALUE"""),"Booksquare is an online subscription service for textbooks aimed towards college students. Users get unlimited access to e-textbooks for a fixed, monthly cost.")</f>
        <v/>
      </c>
      <c r="W368" s="1" t="n"/>
      <c r="X368" s="1" t="n"/>
      <c r="Y368" s="15">
        <f>IFERROR(__xludf.DUMMYFUNCTION("""COMPUTED_VALUE"""),"https://drive.google.com/uc?export=view&amp;id=1zZsO_Rs9yi_YIDyxQS1AwOQzAaFw3Hw8")</f>
        <v/>
      </c>
      <c r="Z368" s="1">
        <f>IFERROR(__xludf.DUMMYFUNCTION("""COMPUTED_VALUE"""),"Unverified")</f>
        <v/>
      </c>
      <c r="AA368" s="1" t="n"/>
      <c r="AB368" s="1" t="n"/>
      <c r="AC368" s="1" t="n"/>
      <c r="AD368" s="1" t="n"/>
      <c r="AE368" s="1" t="n"/>
    </row>
    <row r="369" ht="42" customHeight="1">
      <c r="A369" s="14">
        <f>IFERROR(__xludf.DUMMYFUNCTION("""COMPUTED_VALUE"""),45517)</f>
        <v/>
      </c>
      <c r="B369" s="1">
        <f>IFERROR(__xludf.DUMMYFUNCTION("""COMPUTED_VALUE"""),"ORG_1137")</f>
        <v/>
      </c>
      <c r="C369" s="1">
        <f>IFERROR(__xludf.DUMMYFUNCTION("""COMPUTED_VALUE"""),TRUE)</f>
        <v/>
      </c>
      <c r="D369" s="1">
        <f>IFERROR(__xludf.DUMMYFUNCTION("""COMPUTED_VALUE"""),"Baobabooks")</f>
        <v/>
      </c>
      <c r="E369" s="15">
        <f>IFERROR(__xludf.DUMMYFUNCTION("""COMPUTED_VALUE"""),"www.baobabooks.com")</f>
        <v/>
      </c>
      <c r="F369" s="1">
        <f>IFERROR(__xludf.DUMMYFUNCTION("""COMPUTED_VALUE"""),"Baobabooks is a social impact company dedicated to supporting and fostering creativity. We do this by providing an interactive platform to encourage positive use of technology. We partner with educators and parents to engage young people in the creative p"&amp;"rocess and transform writing, illustrating and publishing books into a fun and collaborative experience.")</f>
        <v/>
      </c>
      <c r="G369" s="1">
        <f>IFERROR(__xludf.DUMMYFUNCTION("""COMPUTED_VALUE"""),"EdTech Finland")</f>
        <v/>
      </c>
      <c r="H369" s="1" t="n"/>
      <c r="I369" s="1">
        <f>IFERROR(__xludf.DUMMYFUNCTION("""COMPUTED_VALUE"""),"info@baobabooks.com")</f>
        <v/>
      </c>
      <c r="J369" s="1" t="n"/>
      <c r="K369" s="1">
        <f>IFERROR(__xludf.DUMMYFUNCTION("""COMPUTED_VALUE"""),"Lausanne")</f>
        <v/>
      </c>
      <c r="L369" s="1">
        <f>IFERROR(__xludf.DUMMYFUNCTION("""COMPUTED_VALUE"""),"Switzerland")</f>
        <v/>
      </c>
      <c r="M369" s="1">
        <f>IFERROR(__xludf.DUMMYFUNCTION("""COMPUTED_VALUE"""),"Austria, Belgium, Cyprus, Denmark, Estonia, Finland, France, Germany, Greece, Iceland, Ireland, Italy, Netherlands, Norway, Slovakia, Spain, Sweden, Switzerland, United Kingdom")</f>
        <v/>
      </c>
      <c r="N369" s="1">
        <f>IFERROR(__xludf.DUMMYFUNCTION("""COMPUTED_VALUE"""),"11 to 50")</f>
        <v/>
      </c>
      <c r="O369" s="1">
        <f>IFERROR(__xludf.DUMMYFUNCTION("""COMPUTED_VALUE"""),"Business to Business, Business to Consumer, Business to Government")</f>
        <v/>
      </c>
      <c r="P369" s="1">
        <f>IFERROR(__xludf.DUMMYFUNCTION("""COMPUTED_VALUE"""),"Early childhood development (0-5 years), Primary Education, Secondary Education")</f>
        <v/>
      </c>
      <c r="Q369" s="1">
        <f>IFERROR(__xludf.DUMMYFUNCTION("""COMPUTED_VALUE"""),"System/Administrative, Student interfacing, Teacher interfacing")</f>
        <v/>
      </c>
      <c r="R369" s="15">
        <f>IFERROR(__xludf.DUMMYFUNCTION("""COMPUTED_VALUE"""),"https://www.instagram.com/baobabooks/")</f>
        <v/>
      </c>
      <c r="S369" s="15">
        <f>IFERROR(__xludf.DUMMYFUNCTION("""COMPUTED_VALUE"""),"https://twitter.com/Baobabooks1")</f>
        <v/>
      </c>
      <c r="T369" s="15">
        <f>IFERROR(__xludf.DUMMYFUNCTION("""COMPUTED_VALUE"""),"https://www.linkedin.com/company/baobabooks/mycompany/")</f>
        <v/>
      </c>
      <c r="U369" s="15">
        <f>IFERROR(__xludf.DUMMYFUNCTION("""COMPUTED_VALUE"""),"Baobabooks.com")</f>
        <v/>
      </c>
      <c r="V369" s="1">
        <f>IFERROR(__xludf.DUMMYFUNCTION("""COMPUTED_VALUE"""),"A Creative and Intuitive Writing and Reading Portal for Students:
Creativity board for brainstorming ideas. Support to engage students from the early phases of writing with flexible mind-mapping tools and additional fiction story graphic.
Differentiated "&amp;"and inclusive learning opportunities:
Differentiated and independent learning as well as vocabulary and grammar support-tools. Integrated word banks and spell check features. Opportunities to provide interactive peer feedback.
Students as illustrators: 
"&amp;"Integrated gallery with 2.4 million indexed images and the opportunity for students to upload their own personal artwork.")</f>
        <v/>
      </c>
      <c r="W369" s="1" t="n"/>
      <c r="X369" s="1" t="n"/>
      <c r="Y369" s="15">
        <f>IFERROR(__xludf.DUMMYFUNCTION("""COMPUTED_VALUE"""),"https://drive.google.com/uc?export=view&amp;id=1wUE_3FzSjcwmqUmfAXHJaH6PeErA0M_M")</f>
        <v/>
      </c>
      <c r="Z369" s="1">
        <f>IFERROR(__xludf.DUMMYFUNCTION("""COMPUTED_VALUE"""),"Unverified")</f>
        <v/>
      </c>
      <c r="AA369" s="1" t="n"/>
      <c r="AB369" s="1" t="n"/>
      <c r="AC369" s="1" t="n"/>
      <c r="AD369" s="1" t="n"/>
      <c r="AE369" s="1" t="n"/>
    </row>
    <row r="370" ht="42" customHeight="1">
      <c r="A370" s="14">
        <f>IFERROR(__xludf.DUMMYFUNCTION("""COMPUTED_VALUE"""),45512)</f>
        <v/>
      </c>
      <c r="B370" s="1">
        <f>IFERROR(__xludf.DUMMYFUNCTION("""COMPUTED_VALUE"""),"ORG_1198")</f>
        <v/>
      </c>
      <c r="C370" s="1">
        <f>IFERROR(__xludf.DUMMYFUNCTION("""COMPUTED_VALUE"""),TRUE)</f>
        <v/>
      </c>
      <c r="D370" s="1">
        <f>IFERROR(__xludf.DUMMYFUNCTION("""COMPUTED_VALUE"""),"brainy")</f>
        <v/>
      </c>
      <c r="E370" s="15">
        <f>IFERROR(__xludf.DUMMYFUNCTION("""COMPUTED_VALUE"""),"https://brainy.gr/")</f>
        <v/>
      </c>
      <c r="F370" s="1">
        <f>IFERROR(__xludf.DUMMYFUNCTION("""COMPUTED_VALUE"""),"Brainy is a digital learning platform, a state-of-the-art study system designed by experienced teachers specifically for the Greek curriculum. It caters to students in the 5th and 6th grades of elementary school and junior high students. The curriculum is"&amp;" presented using modern graphics and videos. Lessons are developed to perfectly correspond to the structure of school books and are enriched with extra exercises and interactive tests to ensure maximum levels of comprehension and assimilation.")</f>
        <v/>
      </c>
      <c r="G370" s="1">
        <f>IFERROR(__xludf.DUMMYFUNCTION("""COMPUTED_VALUE"""),"I'm not part of any EdTech association")</f>
        <v/>
      </c>
      <c r="H370" s="1">
        <f>IFERROR(__xludf.DUMMYFUNCTION("""COMPUTED_VALUE"""),"Greek")</f>
        <v/>
      </c>
      <c r="I370" s="1">
        <f>IFERROR(__xludf.DUMMYFUNCTION("""COMPUTED_VALUE"""),"info@brainy.gr")</f>
        <v/>
      </c>
      <c r="J370" s="1">
        <f>IFERROR(__xludf.DUMMYFUNCTION("""COMPUTED_VALUE"""),"+302120002293")</f>
        <v/>
      </c>
      <c r="K370" s="1">
        <f>IFERROR(__xludf.DUMMYFUNCTION("""COMPUTED_VALUE"""),"ATHENS")</f>
        <v/>
      </c>
      <c r="L370" s="1">
        <f>IFERROR(__xludf.DUMMYFUNCTION("""COMPUTED_VALUE"""),"Greece")</f>
        <v/>
      </c>
      <c r="M370" s="1">
        <f>IFERROR(__xludf.DUMMYFUNCTION("""COMPUTED_VALUE"""),"Greece")</f>
        <v/>
      </c>
      <c r="N370" s="1">
        <f>IFERROR(__xludf.DUMMYFUNCTION("""COMPUTED_VALUE"""),"3 to 5")</f>
        <v/>
      </c>
      <c r="O370" s="1">
        <f>IFERROR(__xludf.DUMMYFUNCTION("""COMPUTED_VALUE"""),"Business to Business, Business to Schools, Business to Consumer, Business to Government")</f>
        <v/>
      </c>
      <c r="P370" s="1">
        <f>IFERROR(__xludf.DUMMYFUNCTION("""COMPUTED_VALUE"""),"Early childhood development (0-5 years), Primary Education, Secondary Education")</f>
        <v/>
      </c>
      <c r="Q370" s="1">
        <f>IFERROR(__xludf.DUMMYFUNCTION("""COMPUTED_VALUE"""),"System/Administrative, Student interfacing, Teacher interfacing")</f>
        <v/>
      </c>
      <c r="R370" s="15">
        <f>IFERROR(__xludf.DUMMYFUNCTION("""COMPUTED_VALUE"""),"https://www.instagram.com/brainy.gr/")</f>
        <v/>
      </c>
      <c r="S370" s="1" t="n"/>
      <c r="T370" s="15">
        <f>IFERROR(__xludf.DUMMYFUNCTION("""COMPUTED_VALUE"""),"https://www.linkedin.com/company/brainy-gr/")</f>
        <v/>
      </c>
      <c r="U370" s="1">
        <f>IFERROR(__xludf.DUMMYFUNCTION("""COMPUTED_VALUE"""),"brainy")</f>
        <v/>
      </c>
      <c r="V370" s="1">
        <f>IFERROR(__xludf.DUMMYFUNCTION("""COMPUTED_VALUE"""),"Brainy is a digital learning platform, a state-of-the-art study system designed by experienced teachers specifically for the Greek curriculum. It caters to students in the 5th and 6th grades of elementary school and junior high students. The curriculum is"&amp;" presented using modern graphics and videos. Lessons are developed to perfectly correspond to the structure of school books and are enriched with extra exercises and interactive tests to ensure maximum levels of comprehension and assimilation.")</f>
        <v/>
      </c>
      <c r="W370" s="1" t="n"/>
      <c r="X370" s="1" t="n"/>
      <c r="Y370" s="15">
        <f>IFERROR(__xludf.DUMMYFUNCTION("""COMPUTED_VALUE"""),"https://drive.google.com/uc?export=view&amp;id=1AUtQaow05e4Omzorl2DvTpmPb82s_8-0")</f>
        <v/>
      </c>
      <c r="Z370" s="1">
        <f>IFERROR(__xludf.DUMMYFUNCTION("""COMPUTED_VALUE"""),"Unverified")</f>
        <v/>
      </c>
      <c r="AA370" s="1" t="n"/>
      <c r="AB370" s="1" t="n"/>
      <c r="AC370" s="1" t="n"/>
      <c r="AD370" s="1" t="n"/>
      <c r="AE370" s="1" t="n"/>
    </row>
    <row r="371" ht="42" customHeight="1">
      <c r="A371" s="14">
        <f>IFERROR(__xludf.DUMMYFUNCTION("""COMPUTED_VALUE"""),45509)</f>
        <v/>
      </c>
      <c r="B371" s="1">
        <f>IFERROR(__xludf.DUMMYFUNCTION("""COMPUTED_VALUE"""),"ORG_1022")</f>
        <v/>
      </c>
      <c r="C371" s="1">
        <f>IFERROR(__xludf.DUMMYFUNCTION("""COMPUTED_VALUE"""),TRUE)</f>
        <v/>
      </c>
      <c r="D371" s="1">
        <f>IFERROR(__xludf.DUMMYFUNCTION("""COMPUTED_VALUE"""),"Abstract Technology GmbH")</f>
        <v/>
      </c>
      <c r="E371" s="15">
        <f>IFERROR(__xludf.DUMMYFUNCTION("""COMPUTED_VALUE"""),"https://abstract-technology.de/de")</f>
        <v/>
      </c>
      <c r="F371" s="1">
        <f>IFERROR(__xludf.DUMMYFUNCTION("""COMPUTED_VALUE"""),"Abstract Technology is a company that specializes in providing Open Source Learning Management Systems (LMS) for educational institutions. Our focus extends to universities, training providers, public institutions, academies, NGOs as well as industrial an"&amp;"d enterprises. Based in Germany, we carefully select, design and customize innovative learning solutions for our customers. As a verified service partner of Open edX, we offer a modular and modern Learning Management System (LMS) that enhances the learnin"&amp;"g experience and appeals to both educators and learners.")</f>
        <v/>
      </c>
      <c r="G371" s="1">
        <f>IFERROR(__xludf.DUMMYFUNCTION("""COMPUTED_VALUE"""),"I'm not part of any EdTech association")</f>
        <v/>
      </c>
      <c r="H371" s="1">
        <f>IFERROR(__xludf.DUMMYFUNCTION("""COMPUTED_VALUE"""),"All")</f>
        <v/>
      </c>
      <c r="I371" s="1">
        <f>IFERROR(__xludf.DUMMYFUNCTION("""COMPUTED_VALUE"""),"t.pais@abstract-technology.de")</f>
        <v/>
      </c>
      <c r="J371" s="1">
        <f>IFERROR(__xludf.DUMMYFUNCTION("""COMPUTED_VALUE"""),"+49 176 747 25 686")</f>
        <v/>
      </c>
      <c r="K371" s="1">
        <f>IFERROR(__xludf.DUMMYFUNCTION("""COMPUTED_VALUE"""),"Berlin")</f>
        <v/>
      </c>
      <c r="L371" s="1">
        <f>IFERROR(__xludf.DUMMYFUNCTION("""COMPUTED_VALUE"""),"Germany")</f>
        <v/>
      </c>
      <c r="M371" s="1">
        <f>IFERROR(__xludf.DUMMYFUNCTION("""COMPUTED_VALUE"""),"Austria, Finland, France, Germany, Greece, Italy, Netherlands, Poland, Portugal, Romania, Spain, Switzerland, United Kingdom")</f>
        <v/>
      </c>
      <c r="N371" s="1">
        <f>IFERROR(__xludf.DUMMYFUNCTION("""COMPUTED_VALUE"""),"11 to 50")</f>
        <v/>
      </c>
      <c r="O371" s="1">
        <f>IFERROR(__xludf.DUMMYFUNCTION("""COMPUTED_VALUE"""),"Business to Business, Business to Government, Business to Schools")</f>
        <v/>
      </c>
      <c r="P371" s="1">
        <f>IFERROR(__xludf.DUMMYFUNCTION("""COMPUTED_VALUE"""),"Corporate Training, Lifelong learning/Adult education, Vocational Education and Training (VET), Higher Education")</f>
        <v/>
      </c>
      <c r="Q371" s="1">
        <f>IFERROR(__xludf.DUMMYFUNCTION("""COMPUTED_VALUE"""),"Student interfacing, Teacher interfacing, System/Administrative")</f>
        <v/>
      </c>
      <c r="R371" s="1" t="n"/>
      <c r="S371" s="15">
        <f>IFERROR(__xludf.DUMMYFUNCTION("""COMPUTED_VALUE"""),"https://x.com/abstractGmbH")</f>
        <v/>
      </c>
      <c r="T371" s="15">
        <f>IFERROR(__xludf.DUMMYFUNCTION("""COMPUTED_VALUE"""),"https://www.linkedin.com/company/abstract-technology-gmbh/")</f>
        <v/>
      </c>
      <c r="U371" s="1">
        <f>IFERROR(__xludf.DUMMYFUNCTION("""COMPUTED_VALUE"""),"Open edX LMS Developer Provider")</f>
        <v/>
      </c>
      <c r="V371" s="1">
        <f>IFERROR(__xludf.DUMMYFUNCTION("""COMPUTED_VALUE"""),"We're revolutionizing the future of learning by leveraging Open edX (LMS) as our engine and integrating it with cutting-edge technologies. Our holistic approach encompasses AI, mobile apps, VR/AR, gamification, and proctoring to create an immersive and en"&amp;"gaging learning experience.
Experience the transformative power of our integrated online learning solution, fueled by Open edX (LMS). Abstract Technology empowers your educational projects with a comprehensive, tailored product designed around your uniq"&amp;"ue needs. Our Open edX software engine blends flexibility and responsiveness, embracing advanced technologies to deliver a learner-centric and innovative training model. Built upon our robust digital knowledge infrastructure, our solution rests upon three"&amp;" pillars:
- Customized software that unlocks unique solutions
- Virtual classroom integration for immersive learning experiences
- Expert learning design to support authors and drive effective outcomes
Why the Open edX Platform?
1. Outstanding Learning"&amp;" Experience: The Open edX platform is designed to provide a superior learning experience with interactive content, assessments, and social learning features, ensuring an engaging and effective learning journey.
2. Deliver Courses on a Scale (MOOCs): One "&amp;"of the Open edX platform’s significant strengths is its ability to deliver massive open online courses (MOOCs). It is capable of handling thousands of learners simultaneously, making it ideal for large-scale education initiatives.
3. Platform, Not a Prod"&amp;"uct: Unlike traditional software products, the Open edX software is a versatile platform that can be customized and extended. This allows organizations to tailor the LMS to their specific needs and integrate it with other systems.
4. Scalability &amp; Securi"&amp;"ty: The Open edX platform is built to scale, supporting both small and large implementations. It offers robust security features to protect sensitive data, ensuring a secure learning environment for all users.
5. Democratic Community &amp; Control: As an ope"&amp;"n-source platform, the Open edX LMS benefits from a democratic community of developers and users who contribute to its continuous improvement. This collaborative approach ensures that the platform evolves to meet the changing needs of educators and learne"&amp;"rs.
6. Customization: The flexibility of the Open edX platform allows for extensive customization. Institutions can modify the platform’s look and feel, add new functionalities, and create custom workflows to better suit their educational goals.
7. Temp"&amp;"lating: The Open edX LMS supports the use of templates to streamline the creation of courses and content. This feature enables educators to maintain consistency across multiple courses and simplifies the course development process.
8. Adaptable in the Wi"&amp;"dest Range of Use Cases: The Open edX platform is highly adaptable and can be used in various educational settings, from K-12 and higher education to corporate training and professional development. Its flexibility makes it suitable for a wide range of us"&amp;"e cases.
9. Flexibility &amp; Configurability: The platform’s architecture allows for significant flexibility and configurability. Administrators can configure courses, user roles, and permissions to align with their organizational requirements.
10. Multi-t"&amp;"enancy: The Open edX LMS supports multi-tenancy, enabling multiple organizations to operate their own branded instances of the platform within a single deployment. This is particularly useful for institutions or enterprises with diverse educational needs."&amp;"
11. Vendors to Support Custom Solutions: A variety of vendors and service providers specialize in the Open edX platform, offering custom solutions, support, and services. This ecosystem ensures that organizations can find the expertise they need to impl"&amp;"ement and optimize their Open edX instances.
12. Open Source: As an open-source platform, the Open edX LMS offers transparency and flexibility. Organizations can inspect the source code, make modifications, and contribute to the community, fostering a co"&amp;"llaborative and innovative environment.
13. Course Auditing: The Open edX LMS provides tools for course auditing, allowing educators to review and improve course content and delivery. This ensures that courses remain relevant and effective over time.
14"&amp;". Free &amp; Open: The Open edX LMS is free to use, reducing the financial barrier to entry for institutions and educators. Its open nature promotes accessibility and inclusivity in education.
15. Student UI/UX &amp; Authoring UX: The platform offers a user-frie"&amp;"ndly interface for both students and course authors. The intuitive design ensures that users can easily navigate the platform and create high-quality courses without extensive technical knowledge.
16. Course Authoring Environment: The Open edX platform i"&amp;"ncludes a powerful course authoring environment that allows educators to create and manage course content efficiently. The platform supports a wide range of content types, including videos, quizzes, and interactive exercises.
17. Outstanding Learning Exp"&amp;"eriences: The combination of interactive content, peer learning, and comprehensive assessments contributes t^o outstanding learning experiences. The Open edX LMS is designed to engage learners and promote deep understanding of the subject matter.
18. Tra"&amp;"nsparency: The open-source nature of the Open edX LMS ensures transparency in its development and operation. Users can access the source code, understand how the platform works, and contribute to its ongoing improvement.
19. Resilient and Robust: Built w"&amp;"ith reliability in mind, the Open edX platform is a resilient and robust platform. It is designed to operate smoothly even under heavy usage, ensuring a consistent learning experience.
20. High Performance: The Open edX LMS delivers high performance, wit"&amp;"h fast load times and responsive interactions. This ensures that learners and educators can focus on the content without being hindered by technical issues.
For more information, visit:
https://abstract-technology.de/open-edx")</f>
        <v/>
      </c>
      <c r="W371" s="1">
        <f>IFERROR(__xludf.DUMMYFUNCTION("""COMPUTED_VALUE"""),"Plone")</f>
        <v/>
      </c>
      <c r="X371" s="1">
        <f>IFERROR(__xludf.DUMMYFUNCTION("""COMPUTED_VALUE"""),"Plone is a free and open source content management system (CMS) built on top of the Zope application server. Plone is positioned as an enterprise CMS and is commonly used for intranets and as part of the web presence of large organizations. High-profile p"&amp;"ublic sector users include the U.S. Federal Bureau of Investigation, Brazilian Government, United Nations, City of Bern (Switzerland), New South Wales Government (Australia), and European Environment Agency. Plone's proponents cite its security track reco"&amp;"rd and its accessibility as reasons to choose Plone.")</f>
        <v/>
      </c>
      <c r="Y371" s="15">
        <f>IFERROR(__xludf.DUMMYFUNCTION("""COMPUTED_VALUE"""),"https://drive.google.com/uc?export=view&amp;id=1QkRC8kOa_-tyPVsRmP5ZgKp8pJ3Wby4h")</f>
        <v/>
      </c>
      <c r="Z371" s="1">
        <f>IFERROR(__xludf.DUMMYFUNCTION("""COMPUTED_VALUE"""),"Unverified")</f>
        <v/>
      </c>
      <c r="AA371" s="1" t="n"/>
      <c r="AB371" s="1" t="n"/>
      <c r="AC371" s="1" t="n"/>
      <c r="AD371" s="1" t="n"/>
      <c r="AE371" s="1" t="n"/>
    </row>
    <row r="372" ht="42" customHeight="1">
      <c r="A372" s="14">
        <f>IFERROR(__xludf.DUMMYFUNCTION("""COMPUTED_VALUE"""),45506)</f>
        <v/>
      </c>
      <c r="B372" s="1">
        <f>IFERROR(__xludf.DUMMYFUNCTION("""COMPUTED_VALUE"""),"ORG_1996")</f>
        <v/>
      </c>
      <c r="C372" s="1">
        <f>IFERROR(__xludf.DUMMYFUNCTION("""COMPUTED_VALUE"""),TRUE)</f>
        <v/>
      </c>
      <c r="D372" s="1">
        <f>IFERROR(__xludf.DUMMYFUNCTION("""COMPUTED_VALUE"""),"Music Crab")</f>
        <v/>
      </c>
      <c r="E372" s="15">
        <f>IFERROR(__xludf.DUMMYFUNCTION("""COMPUTED_VALUE"""),"Music-Crab.com")</f>
        <v/>
      </c>
      <c r="F372" s="1">
        <f>IFERROR(__xludf.DUMMYFUNCTION("""COMPUTED_VALUE"""),"Music Crab app-how to learn to read music notes while's having fun- is downloaded 700 000 times in 200 countries ! Give the chance to all the children into the world to learn to read music through a music game.")</f>
        <v/>
      </c>
      <c r="G372" s="1">
        <f>IFERROR(__xludf.DUMMYFUNCTION("""COMPUTED_VALUE"""),"EdTech France")</f>
        <v/>
      </c>
      <c r="H372" s="1">
        <f>IFERROR(__xludf.DUMMYFUNCTION("""COMPUTED_VALUE"""),"All")</f>
        <v/>
      </c>
      <c r="I372" s="1">
        <f>IFERROR(__xludf.DUMMYFUNCTION("""COMPUTED_VALUE"""),"zorgniottieric@gmail.com")</f>
        <v/>
      </c>
      <c r="J372" s="1">
        <f>IFERROR(__xludf.DUMMYFUNCTION("""COMPUTED_VALUE"""),"33616570460")</f>
        <v/>
      </c>
      <c r="K372" s="1">
        <f>IFERROR(__xludf.DUMMYFUNCTION("""COMPUTED_VALUE"""),"Paris")</f>
        <v/>
      </c>
      <c r="L372" s="1">
        <f>IFERROR(__xludf.DUMMYFUNCTION("""COMPUTED_VALUE"""),"France")</f>
        <v/>
      </c>
      <c r="M372" s="1">
        <f>IFERROR(__xludf.DUMMYFUNCTION("""COMPUTED_VALUE"""),"France")</f>
        <v/>
      </c>
      <c r="N372" s="1">
        <f>IFERROR(__xludf.DUMMYFUNCTION("""COMPUTED_VALUE"""),"0 to 2")</f>
        <v/>
      </c>
      <c r="O372" s="1">
        <f>IFERROR(__xludf.DUMMYFUNCTION("""COMPUTED_VALUE"""),"Business to Schools, Business to Consumer")</f>
        <v/>
      </c>
      <c r="P372" s="1">
        <f>IFERROR(__xludf.DUMMYFUNCTION("""COMPUTED_VALUE"""),"Early childhood development (0-5 years), Primary Education, Secondary Education, Vocational Education and Training (VET), Higher Education")</f>
        <v/>
      </c>
      <c r="Q372" s="1">
        <f>IFERROR(__xludf.DUMMYFUNCTION("""COMPUTED_VALUE"""),"System/Administrative, Student interfacing, Teacher interfacing")</f>
        <v/>
      </c>
      <c r="R372" s="1">
        <f>IFERROR(__xludf.DUMMYFUNCTION("""COMPUTED_VALUE"""),"MusicCrab")</f>
        <v/>
      </c>
      <c r="S372" s="1">
        <f>IFERROR(__xludf.DUMMYFUNCTION("""COMPUTED_VALUE"""),"MusicCrab")</f>
        <v/>
      </c>
      <c r="T372" s="1">
        <f>IFERROR(__xludf.DUMMYFUNCTION("""COMPUTED_VALUE"""),"Eric Zorgniotti")</f>
        <v/>
      </c>
      <c r="U372" s="1">
        <f>IFERROR(__xludf.DUMMYFUNCTION("""COMPUTED_VALUE"""),"Music Crab app")</f>
        <v/>
      </c>
      <c r="V372" s="1" t="n"/>
      <c r="W372" s="1" t="n"/>
      <c r="X372" s="1" t="n"/>
      <c r="Y372" s="15">
        <f>IFERROR(__xludf.DUMMYFUNCTION("""COMPUTED_VALUE"""),"https://drive.google.com/uc?export=view&amp;id=1QmrwTrHQvRjELUHeOStYw9nzi28tEzMp")</f>
        <v/>
      </c>
      <c r="Z372" s="1">
        <f>IFERROR(__xludf.DUMMYFUNCTION("""COMPUTED_VALUE"""),"Unverified")</f>
        <v/>
      </c>
      <c r="AA372" s="1" t="n"/>
      <c r="AB372" s="1" t="n"/>
      <c r="AC372" s="1" t="n"/>
      <c r="AD372" s="1" t="n"/>
      <c r="AE372" s="1" t="n"/>
    </row>
    <row r="373" ht="42" customHeight="1">
      <c r="A373" s="14">
        <f>IFERROR(__xludf.DUMMYFUNCTION("""COMPUTED_VALUE"""),45506)</f>
        <v/>
      </c>
      <c r="B373" s="1">
        <f>IFERROR(__xludf.DUMMYFUNCTION("""COMPUTED_VALUE"""),"ORG_2077")</f>
        <v/>
      </c>
      <c r="C373" s="1">
        <f>IFERROR(__xludf.DUMMYFUNCTION("""COMPUTED_VALUE"""),TRUE)</f>
        <v/>
      </c>
      <c r="D373" s="1">
        <f>IFERROR(__xludf.DUMMYFUNCTION("""COMPUTED_VALUE"""),"Orbit8")</f>
        <v/>
      </c>
      <c r="E373" s="15">
        <f>IFERROR(__xludf.DUMMYFUNCTION("""COMPUTED_VALUE"""),"https://orbit8.app")</f>
        <v/>
      </c>
      <c r="F373" s="1">
        <f>IFERROR(__xludf.DUMMYFUNCTION("""COMPUTED_VALUE"""),"Orbit8 is building an AI-powered career guidance platform for young people. Using proprietary Professional DNA algorithm, the tool offers personalized educational and career recommendations and detailed career roadmaps. Orbit8 provides personalized, AI-dr"&amp;"iven career guidance that adapts to the evolving job market, helping young people and their parents make informed decisions.")</f>
        <v/>
      </c>
      <c r="G373" s="1">
        <f>IFERROR(__xludf.DUMMYFUNCTION("""COMPUTED_VALUE"""),"I'm not part of any EdTech association")</f>
        <v/>
      </c>
      <c r="H373" s="1">
        <f>IFERROR(__xludf.DUMMYFUNCTION("""COMPUTED_VALUE"""),"English")</f>
        <v/>
      </c>
      <c r="I373" s="1">
        <f>IFERROR(__xludf.DUMMYFUNCTION("""COMPUTED_VALUE"""),"info@orbit8.app")</f>
        <v/>
      </c>
      <c r="J373" s="1">
        <f>IFERROR(__xludf.DUMMYFUNCTION("""COMPUTED_VALUE"""),"+371 29423324")</f>
        <v/>
      </c>
      <c r="K373" s="1">
        <f>IFERROR(__xludf.DUMMYFUNCTION("""COMPUTED_VALUE"""),"Riga")</f>
        <v/>
      </c>
      <c r="L373" s="1">
        <f>IFERROR(__xludf.DUMMYFUNCTION("""COMPUTED_VALUE"""),"Latvia")</f>
        <v/>
      </c>
      <c r="M373" s="1">
        <f>IFERROR(__xludf.DUMMYFUNCTION("""COMPUTED_VALUE"""),"Latvia")</f>
        <v/>
      </c>
      <c r="N373" s="1">
        <f>IFERROR(__xludf.DUMMYFUNCTION("""COMPUTED_VALUE"""),"3 to 5")</f>
        <v/>
      </c>
      <c r="O373" s="1">
        <f>IFERROR(__xludf.DUMMYFUNCTION("""COMPUTED_VALUE"""),"Business to Business, Business to Schools, Business to Consumer, Business to Government")</f>
        <v/>
      </c>
      <c r="P373" s="1">
        <f>IFERROR(__xludf.DUMMYFUNCTION("""COMPUTED_VALUE"""),"Secondary Education, Corporate Training, Vocational Education and Training (VET), Higher Education")</f>
        <v/>
      </c>
      <c r="Q373" s="1">
        <f>IFERROR(__xludf.DUMMYFUNCTION("""COMPUTED_VALUE"""),"System/Administrative, Student interfacing")</f>
        <v/>
      </c>
      <c r="R373" s="15">
        <f>IFERROR(__xludf.DUMMYFUNCTION("""COMPUTED_VALUE"""),"https://www.instagram.com/orbit8_app")</f>
        <v/>
      </c>
      <c r="S373" s="1" t="n"/>
      <c r="T373" s="15">
        <f>IFERROR(__xludf.DUMMYFUNCTION("""COMPUTED_VALUE"""),"https://www.linkedin.com/company/orbit8")</f>
        <v/>
      </c>
      <c r="U373" s="1">
        <f>IFERROR(__xludf.DUMMYFUNCTION("""COMPUTED_VALUE"""),"Orbit8 Digital Career Assistant")</f>
        <v/>
      </c>
      <c r="V373" s="1">
        <f>IFERROR(__xludf.DUMMYFUNCTION("""COMPUTED_VALUE"""),"Orbit8 is building an AI-powered career guidance platform for students aged 16-20. The platform uses our proprietary Professional DNA algorithm, which integrates multiple validated psychometric tools to assess personality, interests, and skills. The outpu"&amp;"ts are personalized educational and career recommendations and detailed career roadmaps. This approach helps students navigate their educational and career journeys with confidence, ensuring they are well-prepared for the future workforce. https://www.lin"&amp;"kedin.com/company/orbit8Orbit8 aims to transform how students make career decisions, aligning their education with their unique strengths and market demands.")</f>
        <v/>
      </c>
      <c r="W373" s="1" t="n"/>
      <c r="X373" s="1" t="n"/>
      <c r="Y373" s="15">
        <f>IFERROR(__xludf.DUMMYFUNCTION("""COMPUTED_VALUE"""),"https://drive.google.com/uc?export=view&amp;id=1S-o6oAGOyNyhT2_yR9VWFtHh96doI8Zm")</f>
        <v/>
      </c>
      <c r="Z373" s="1">
        <f>IFERROR(__xludf.DUMMYFUNCTION("""COMPUTED_VALUE"""),"Unverified")</f>
        <v/>
      </c>
      <c r="AA373" s="1" t="n"/>
      <c r="AB373" s="1" t="n"/>
      <c r="AC373" s="1" t="n"/>
      <c r="AD373" s="1" t="n"/>
      <c r="AE373" s="1" t="n"/>
    </row>
    <row r="374" ht="42" customHeight="1">
      <c r="A374" s="14">
        <f>IFERROR(__xludf.DUMMYFUNCTION("""COMPUTED_VALUE"""),45505)</f>
        <v/>
      </c>
      <c r="B374" s="1">
        <f>IFERROR(__xludf.DUMMYFUNCTION("""COMPUTED_VALUE"""),"ORG_1746")</f>
        <v/>
      </c>
      <c r="C374" s="1">
        <f>IFERROR(__xludf.DUMMYFUNCTION("""COMPUTED_VALUE"""),TRUE)</f>
        <v/>
      </c>
      <c r="D374" s="1">
        <f>IFERROR(__xludf.DUMMYFUNCTION("""COMPUTED_VALUE"""),"iteNlearning")</f>
        <v/>
      </c>
      <c r="E374" s="15">
        <f>IFERROR(__xludf.DUMMYFUNCTION("""COMPUTED_VALUE"""),"www.itenlearning.com")</f>
        <v/>
      </c>
      <c r="F374" s="1">
        <f>IFERROR(__xludf.DUMMYFUNCTION("""COMPUTED_VALUE"""),"iteNlearning is an R&amp;D company with more than 25 years in the industry. Our purpose has been to develop adaptative technologies for education that allow each person to attain their Optimal Neurodevelopment (meaning their brain is developed at its maximum "&amp;"potencial) regardless of their socioeconomic environment. To do so, iteNlearning has developed a AI-based software resulting from the convergence of Scientific Evidences (models that tell us how the brain needs to be developed and help us understand the c"&amp;"auses behind each person's learning process) and Technologies, such as Expert Systems and other tech components, that are at the service of these evidences.")</f>
        <v/>
      </c>
      <c r="G374" s="1">
        <f>IFERROR(__xludf.DUMMYFUNCTION("""COMPUTED_VALUE"""),"I'm not part of any EdTech association")</f>
        <v/>
      </c>
      <c r="H374" s="1">
        <f>IFERROR(__xludf.DUMMYFUNCTION("""COMPUTED_VALUE"""),"Spanish, Portuguese, French, English, Catalan")</f>
        <v/>
      </c>
      <c r="I374" s="1">
        <f>IFERROR(__xludf.DUMMYFUNCTION("""COMPUTED_VALUE"""),"hola@itenlearning.com")</f>
        <v/>
      </c>
      <c r="J374" s="1" t="n"/>
      <c r="K374" s="1">
        <f>IFERROR(__xludf.DUMMYFUNCTION("""COMPUTED_VALUE"""),"ELCHE, ALICANTE")</f>
        <v/>
      </c>
      <c r="L374" s="1">
        <f>IFERROR(__xludf.DUMMYFUNCTION("""COMPUTED_VALUE"""),"Spain")</f>
        <v/>
      </c>
      <c r="M374" s="1">
        <f>IFERROR(__xludf.DUMMYFUNCTION("""COMPUTED_VALUE"""),"Spain")</f>
        <v/>
      </c>
      <c r="N374" s="1">
        <f>IFERROR(__xludf.DUMMYFUNCTION("""COMPUTED_VALUE"""),"6 to 10")</f>
        <v/>
      </c>
      <c r="O374" s="1">
        <f>IFERROR(__xludf.DUMMYFUNCTION("""COMPUTED_VALUE"""),"Business to Business, Business to Schools, Business to Government")</f>
        <v/>
      </c>
      <c r="P374" s="1">
        <f>IFERROR(__xludf.DUMMYFUNCTION("""COMPUTED_VALUE"""),"Early childhood development (0-5 years), Primary Education, Secondary Education")</f>
        <v/>
      </c>
      <c r="Q374" s="1">
        <f>IFERROR(__xludf.DUMMYFUNCTION("""COMPUTED_VALUE"""),"Teacher interfacing, System/Administrative")</f>
        <v/>
      </c>
      <c r="R374" s="15">
        <f>IFERROR(__xludf.DUMMYFUNCTION("""COMPUTED_VALUE"""),"https://www.instagram.com/itenlearning_es/")</f>
        <v/>
      </c>
      <c r="S374" s="1">
        <f>IFERROR(__xludf.DUMMYFUNCTION("""COMPUTED_VALUE"""),"n/a")</f>
        <v/>
      </c>
      <c r="T374" s="15">
        <f>IFERROR(__xludf.DUMMYFUNCTION("""COMPUTED_VALUE"""),"https://www.linkedin.com/company/itenlearning/?viewAsMember=true")</f>
        <v/>
      </c>
      <c r="U374" s="1">
        <f>IFERROR(__xludf.DUMMYFUNCTION("""COMPUTED_VALUE"""),"MathLAB")</f>
        <v/>
      </c>
      <c r="V374" s="1">
        <f>IFERROR(__xludf.DUMMYFUNCTION("""COMPUTED_VALUE"""),"It's a software, result of Scientific-Technological convergence, whose objective is to allow each student neurodevelop their Mathematical Language as per their needs and characteristics. To do so, the software creates learning experiences adapted to each "&amp;"student's needs. Meaning, their memory and learning curves, their answers and interactions, their Neurodevelopment status in comparison to their age...")</f>
        <v/>
      </c>
      <c r="W374" s="1">
        <f>IFERROR(__xludf.DUMMYFUNCTION("""COMPUTED_VALUE"""),"DataLAB")</f>
        <v/>
      </c>
      <c r="X374" s="1">
        <f>IFERROR(__xludf.DUMMYFUNCTION("""COMPUTED_VALUE"""),"It's a software, result of Scientific-Technological convergence, whose objective is to help educational organizations and decision-makers to make the best decisions, for each school or region or country. The purpose is to give access to tools that are not"&amp;" based on data fruit of correlations, but tools that offer information and knowledge that help understand the learning and Neurodevelopment status of the students. In order to ensure that our decisions are having not just positive results, but a positive "&amp;"impact.")</f>
        <v/>
      </c>
      <c r="Y374" s="15">
        <f>IFERROR(__xludf.DUMMYFUNCTION("""COMPUTED_VALUE"""),"https://drive.google.com/uc?export=view&amp;id=1nzx25kkpfwvU2Kg6a1ai5UBtOQRShJU9")</f>
        <v/>
      </c>
      <c r="Z374" s="1">
        <f>IFERROR(__xludf.DUMMYFUNCTION("""COMPUTED_VALUE"""),"Unverified")</f>
        <v/>
      </c>
      <c r="AA374" s="1" t="n"/>
      <c r="AB374" s="1" t="n"/>
      <c r="AC374" s="1" t="n"/>
      <c r="AD374" s="1" t="n"/>
      <c r="AE374" s="1" t="n"/>
    </row>
    <row r="375" ht="42" customHeight="1">
      <c r="A375" s="14">
        <f>IFERROR(__xludf.DUMMYFUNCTION("""COMPUTED_VALUE"""),45504)</f>
        <v/>
      </c>
      <c r="B375" s="1">
        <f>IFERROR(__xludf.DUMMYFUNCTION("""COMPUTED_VALUE"""),"ORG_1248")</f>
        <v/>
      </c>
      <c r="C375" s="1">
        <f>IFERROR(__xludf.DUMMYFUNCTION("""COMPUTED_VALUE"""),TRUE)</f>
        <v/>
      </c>
      <c r="D375" s="1">
        <f>IFERROR(__xludf.DUMMYFUNCTION("""COMPUTED_VALUE"""),"ClassInTheBox")</f>
        <v/>
      </c>
      <c r="E375" s="15">
        <f>IFERROR(__xludf.DUMMYFUNCTION("""COMPUTED_VALUE"""),"www.classinthebox.com")</f>
        <v/>
      </c>
      <c r="F375" s="1">
        <f>IFERROR(__xludf.DUMMYFUNCTION("""COMPUTED_VALUE"""),"ClassInTheBox revolutionizes educational content delivery with AI-driven enhancements for both video and text. Our solution seamlessly integrates multimedia elements, turning static lessons into dynamic, interactive experiences. Designed for K12 schools a"&amp;"nd universities, ClassInTheBox leverages advanced technology to provide visual aids, expanded information, and engaging multimedia support. This makes learning more accessible and enjoyable for students while easing the burden on teachers.
Our Boxie AI of"&amp;"fers personalized feedback, self-assessment tools, and detailed reports, allowing educators to focus on deeper, value-driven teaching. By enhancing existing content rather than requiring new tech adoption, we cater to teachers who prefer traditional metho"&amp;"ds but want to offer modern, interactive learning experiences. With established partnerships, including agreements with major publishers and device manufacturers like Samsung, ClassInTheBox ensures widespread integration and impact, making it a vital tool"&amp;" for the future of education.")</f>
        <v/>
      </c>
      <c r="G375" s="1">
        <f>IFERROR(__xludf.DUMMYFUNCTION("""COMPUTED_VALUE"""),"I'm not part of any EdTech association, EdTech Estonia")</f>
        <v/>
      </c>
      <c r="H375" s="1">
        <f>IFERROR(__xludf.DUMMYFUNCTION("""COMPUTED_VALUE"""),"French, Portuguese, Italian, Spanish, English, Estonian")</f>
        <v/>
      </c>
      <c r="I375" s="1">
        <f>IFERROR(__xludf.DUMMYFUNCTION("""COMPUTED_VALUE"""),"k.pereyra@classinthebox.com")</f>
        <v/>
      </c>
      <c r="J375" s="1" t="n"/>
      <c r="K375" s="1">
        <f>IFERROR(__xludf.DUMMYFUNCTION("""COMPUTED_VALUE"""),"Linnaosa")</f>
        <v/>
      </c>
      <c r="L375" s="1">
        <f>IFERROR(__xludf.DUMMYFUNCTION("""COMPUTED_VALUE"""),"Estonia")</f>
        <v/>
      </c>
      <c r="M375" s="1">
        <f>IFERROR(__xludf.DUMMYFUNCTION("""COMPUTED_VALUE"""),"Bulgaria, Estonia, France, Italy, Spain, United Kingdom")</f>
        <v/>
      </c>
      <c r="N375" s="1">
        <f>IFERROR(__xludf.DUMMYFUNCTION("""COMPUTED_VALUE"""),"6 to 10")</f>
        <v/>
      </c>
      <c r="O375" s="1">
        <f>IFERROR(__xludf.DUMMYFUNCTION("""COMPUTED_VALUE"""),"Business to Business, Business to Schools, Business to Government")</f>
        <v/>
      </c>
      <c r="P375" s="1">
        <f>IFERROR(__xludf.DUMMYFUNCTION("""COMPUTED_VALUE"""),"Primary Education, Secondary Education, Corporate Training, Vocational Education and Training (VET), Higher Education")</f>
        <v/>
      </c>
      <c r="Q375" s="1">
        <f>IFERROR(__xludf.DUMMYFUNCTION("""COMPUTED_VALUE"""),"Student interfacing, Teacher interfacing, System/Administrative")</f>
        <v/>
      </c>
      <c r="R375" s="1" t="n"/>
      <c r="S375" s="1" t="n"/>
      <c r="T375" s="1" t="n"/>
      <c r="U375" s="1">
        <f>IFERROR(__xludf.DUMMYFUNCTION("""COMPUTED_VALUE"""),"Böxie by ClassInTheBox")</f>
        <v/>
      </c>
      <c r="V375" s="1">
        <f>IFERROR(__xludf.DUMMYFUNCTION("""COMPUTED_VALUE"""),"ClassInTheBox revolutionizes educational content delivery with AI-driven enhancements for both video and docs. Our solution seamlessly integrates multimedia elements, transforming static lessons into dynamic, interactive experiences. Targeting K12 schools"&amp;" and universities, ClassInTheBox uses advanced technology to provide visual aids, expanded information, and engaging multimedia support, making learning more accessible and enjoyable for students while easing the burden on teachers.
Our Boxie AI offers pe"&amp;"rsonalized feedback, self-assessment tools, and detailed reports, allowing educators to focus on deeper, value-driven teaching. We enhance existing content rather than requiring new tech adoption, catering to teachers who prefer traditional methods but wa"&amp;"nt to offer modern, interactive learning experiences. With established partnerships, including agreements with major publishers and device manufacturers like Samsung, ClassInTheBox ensures widespread integration and impact, making it an essential tool for"&amp;" the future of education.")</f>
        <v/>
      </c>
      <c r="W375" s="1" t="n"/>
      <c r="X375" s="1" t="n"/>
      <c r="Y375" s="15">
        <f>IFERROR(__xludf.DUMMYFUNCTION("""COMPUTED_VALUE"""),"https://drive.google.com/uc?export=view&amp;id=1mBKlYZ4EI0W4_wmMvDlMDsNmW7aLVUvH")</f>
        <v/>
      </c>
      <c r="Z375" s="1">
        <f>IFERROR(__xludf.DUMMYFUNCTION("""COMPUTED_VALUE"""),"Unverified")</f>
        <v/>
      </c>
      <c r="AA375" s="1" t="n"/>
      <c r="AB375" s="1" t="n"/>
      <c r="AC375" s="1" t="n"/>
      <c r="AD375" s="1" t="n"/>
      <c r="AE375" s="1" t="n"/>
    </row>
    <row r="376" ht="42" customHeight="1">
      <c r="A376" s="14">
        <f>IFERROR(__xludf.DUMMYFUNCTION("""COMPUTED_VALUE"""),45503)</f>
        <v/>
      </c>
      <c r="B376" s="1">
        <f>IFERROR(__xludf.DUMMYFUNCTION("""COMPUTED_VALUE"""),"ORG_2311")</f>
        <v/>
      </c>
      <c r="C376" s="1">
        <f>IFERROR(__xludf.DUMMYFUNCTION("""COMPUTED_VALUE"""),TRUE)</f>
        <v/>
      </c>
      <c r="D376" s="1">
        <f>IFERROR(__xludf.DUMMYFUNCTION("""COMPUTED_VALUE"""),"Springlab")</f>
        <v/>
      </c>
      <c r="E376" s="15">
        <f>IFERROR(__xludf.DUMMYFUNCTION("""COMPUTED_VALUE"""),"www.springlab.nl")</f>
        <v/>
      </c>
      <c r="F376" s="1">
        <f>IFERROR(__xludf.DUMMYFUNCTION("""COMPUTED_VALUE"""),"Our mission is to get children to move more! We share our knowledge and expertise, provide advice and offer innovative digital solutions to get children in childcare and primary education moving again. Through our interactive floor, our move app for table"&amp;"ts and smartphones and our smartboard app we have added nearly 2 million active minutes to children's lives in 2023. Will you help to get all children moving?")</f>
        <v/>
      </c>
      <c r="G376" s="1">
        <f>IFERROR(__xludf.DUMMYFUNCTION("""COMPUTED_VALUE"""),"Dutch EdTech")</f>
        <v/>
      </c>
      <c r="H376" s="1">
        <f>IFERROR(__xludf.DUMMYFUNCTION("""COMPUTED_VALUE"""),"Dutch")</f>
        <v/>
      </c>
      <c r="I376" s="1">
        <f>IFERROR(__xludf.DUMMYFUNCTION("""COMPUTED_VALUE"""),"info@springlab.nl")</f>
        <v/>
      </c>
      <c r="J376" s="1">
        <f>IFERROR(__xludf.DUMMYFUNCTION("""COMPUTED_VALUE"""),"+31 85 - 104 68 80")</f>
        <v/>
      </c>
      <c r="K376" s="1">
        <f>IFERROR(__xludf.DUMMYFUNCTION("""COMPUTED_VALUE"""),"Utrecht")</f>
        <v/>
      </c>
      <c r="L376" s="1">
        <f>IFERROR(__xludf.DUMMYFUNCTION("""COMPUTED_VALUE"""),"The Netherlands")</f>
        <v/>
      </c>
      <c r="M376" s="1">
        <f>IFERROR(__xludf.DUMMYFUNCTION("""COMPUTED_VALUE"""),"Belgium, Netherlands")</f>
        <v/>
      </c>
      <c r="N376" s="1">
        <f>IFERROR(__xludf.DUMMYFUNCTION("""COMPUTED_VALUE"""),"11 to 50")</f>
        <v/>
      </c>
      <c r="O376" s="1">
        <f>IFERROR(__xludf.DUMMYFUNCTION("""COMPUTED_VALUE"""),"Business to Business, Business to Schools")</f>
        <v/>
      </c>
      <c r="P376" s="1">
        <f>IFERROR(__xludf.DUMMYFUNCTION("""COMPUTED_VALUE"""),"Early childhood development (0-5 years), Primary Education")</f>
        <v/>
      </c>
      <c r="Q376" s="1">
        <f>IFERROR(__xludf.DUMMYFUNCTION("""COMPUTED_VALUE"""),"Teacher interfacing, System/Administrative")</f>
        <v/>
      </c>
      <c r="R376" s="15">
        <f>IFERROR(__xludf.DUMMYFUNCTION("""COMPUTED_VALUE"""),"https://www.instagram.com/springlabnl/")</f>
        <v/>
      </c>
      <c r="S376" s="1" t="n"/>
      <c r="T376" s="15">
        <f>IFERROR(__xludf.DUMMYFUNCTION("""COMPUTED_VALUE"""),"https://www.linkedin.com/company/springlab-nl/")</f>
        <v/>
      </c>
      <c r="U376" s="1">
        <f>IFERROR(__xludf.DUMMYFUNCTION("""COMPUTED_VALUE"""),"Springlab Beweegvloer")</f>
        <v/>
      </c>
      <c r="V376" s="1">
        <f>IFERROR(__xludf.DUMMYFUNCTION("""COMPUTED_VALUE"""),"The Springlab interactive floor is an interactive experience in which children discover and learn with their whole bodies while playing and moving.")</f>
        <v/>
      </c>
      <c r="W376" s="1">
        <f>IFERROR(__xludf.DUMMYFUNCTION("""COMPUTED_VALUE"""),"Springloop - the move app")</f>
        <v/>
      </c>
      <c r="X376" s="1">
        <f>IFERROR(__xludf.DUMMYFUNCTION("""COMPUTED_VALUE"""),"Springloop is the app that gets children moving with tablets! From sitting and swiping, to running and scanning! Each tablet is transformed into a fun, physically active game, where children have to complete assignments and find answers by finding special"&amp;" QR codes. In short: gaming and exercise in an educationally responsible way, a win-win!")</f>
        <v/>
      </c>
      <c r="Y376" s="15">
        <f>IFERROR(__xludf.DUMMYFUNCTION("""COMPUTED_VALUE"""),"https://drive.google.com/uc?export=view&amp;id=1KSkqvo-u2ciar63nVbxtjj-r4lX2kASh")</f>
        <v/>
      </c>
      <c r="Z376" s="1">
        <f>IFERROR(__xludf.DUMMYFUNCTION("""COMPUTED_VALUE"""),"Unverified")</f>
        <v/>
      </c>
      <c r="AA376" s="1" t="n"/>
      <c r="AB376" s="1" t="n"/>
      <c r="AC376" s="1" t="n"/>
      <c r="AD376" s="1" t="n"/>
      <c r="AE376" s="1" t="n"/>
    </row>
    <row r="377" ht="42" customHeight="1">
      <c r="A377" s="14">
        <f>IFERROR(__xludf.DUMMYFUNCTION("""COMPUTED_VALUE"""),45502)</f>
        <v/>
      </c>
      <c r="B377" s="1">
        <f>IFERROR(__xludf.DUMMYFUNCTION("""COMPUTED_VALUE"""),"ORG_2039")</f>
        <v/>
      </c>
      <c r="C377" s="1">
        <f>IFERROR(__xludf.DUMMYFUNCTION("""COMPUTED_VALUE"""),TRUE)</f>
        <v/>
      </c>
      <c r="D377" s="1">
        <f>IFERROR(__xludf.DUMMYFUNCTION("""COMPUTED_VALUE"""),"NINEFEB Technical Documentation")</f>
        <v/>
      </c>
      <c r="E377" s="15">
        <f>IFERROR(__xludf.DUMMYFUNCTION("""COMPUTED_VALUE"""),"www.ninefeb.com")</f>
        <v/>
      </c>
      <c r="F377" s="1">
        <f>IFERROR(__xludf.DUMMYFUNCTION("""COMPUTED_VALUE"""),"MDR related Technical documentation, IfUs, risk management EN 14971, traceability management systems, EUDAMED data preparation, eLearning for MedTech products")</f>
        <v/>
      </c>
      <c r="G377" s="1">
        <f>IFERROR(__xludf.DUMMYFUNCTION("""COMPUTED_VALUE"""),"EdTech Austria")</f>
        <v/>
      </c>
      <c r="H377" s="1">
        <f>IFERROR(__xludf.DUMMYFUNCTION("""COMPUTED_VALUE"""),"English, German")</f>
        <v/>
      </c>
      <c r="I377" s="1">
        <f>IFERROR(__xludf.DUMMYFUNCTION("""COMPUTED_VALUE"""),"harald.stadlbauer@ninefeb.com")</f>
        <v/>
      </c>
      <c r="J377" s="1">
        <f>IFERROR(__xludf.DUMMYFUNCTION("""COMPUTED_VALUE"""),"+4316002000")</f>
        <v/>
      </c>
      <c r="K377" s="1">
        <f>IFERROR(__xludf.DUMMYFUNCTION("""COMPUTED_VALUE"""),"VIENNA")</f>
        <v/>
      </c>
      <c r="L377" s="1">
        <f>IFERROR(__xludf.DUMMYFUNCTION("""COMPUTED_VALUE"""),"Austria")</f>
        <v/>
      </c>
      <c r="M377" s="1">
        <f>IFERROR(__xludf.DUMMYFUNCTION("""COMPUTED_VALUE"""),"Austria, Belgium, Germany, Netherlands, Sweden, Switzerland, United Kingdom")</f>
        <v/>
      </c>
      <c r="N377" s="1">
        <f>IFERROR(__xludf.DUMMYFUNCTION("""COMPUTED_VALUE"""),"11 to 50")</f>
        <v/>
      </c>
      <c r="O377" s="1">
        <f>IFERROR(__xludf.DUMMYFUNCTION("""COMPUTED_VALUE"""),"Business to Business")</f>
        <v/>
      </c>
      <c r="P377" s="1">
        <f>IFERROR(__xludf.DUMMYFUNCTION("""COMPUTED_VALUE"""),"Corporate Training, Higher Education")</f>
        <v/>
      </c>
      <c r="Q377" s="1">
        <f>IFERROR(__xludf.DUMMYFUNCTION("""COMPUTED_VALUE"""),"System/Administrative, Student interfacing")</f>
        <v/>
      </c>
      <c r="R377" s="1" t="n"/>
      <c r="S377" s="1" t="n"/>
      <c r="T377" s="15">
        <f>IFERROR(__xludf.DUMMYFUNCTION("""COMPUTED_VALUE"""),"https://www.linkedin.com/company/6522826/")</f>
        <v/>
      </c>
      <c r="U377" s="1">
        <f>IFERROR(__xludf.DUMMYFUNCTION("""COMPUTED_VALUE"""),"eLearning development")</f>
        <v/>
      </c>
      <c r="V377" s="1">
        <f>IFERROR(__xludf.DUMMYFUNCTION("""COMPUTED_VALUE"""),"We are offering eLearning development, based on instructional considerations, dependent of the KSA split (Knowledge - Skills - Awareness/Attitude), demanding different approaches for each category;
we are developing eLearnings as courses as well as small "&amp;"eLearning modules for performance support and microtraining at the workplace.")</f>
        <v/>
      </c>
      <c r="W377" s="1">
        <f>IFERROR(__xludf.DUMMYFUNCTION("""COMPUTED_VALUE"""),"VR / AR development")</f>
        <v/>
      </c>
      <c r="X377" s="1">
        <f>IFERROR(__xludf.DUMMYFUNCTION("""COMPUTED_VALUE"""),"We are drafting highly interactive VR and AR solutions for technical installations, where we are integrating xAPI, in order to track performance and be able to give feedback as well as personalise learning paths.
This is vital in an age of skills shortage"&amp;"s to be able to upskill people efficiently.")</f>
        <v/>
      </c>
      <c r="Y377" s="15">
        <f>IFERROR(__xludf.DUMMYFUNCTION("""COMPUTED_VALUE"""),"https://drive.google.com/uc?export=view&amp;id=11R7b7YRJ28NDU3GzDmXVqunBFjZHY6RP")</f>
        <v/>
      </c>
      <c r="Z377" s="1">
        <f>IFERROR(__xludf.DUMMYFUNCTION("""COMPUTED_VALUE"""),"Unverified")</f>
        <v/>
      </c>
      <c r="AA377" s="1" t="n"/>
      <c r="AB377" s="1" t="n"/>
      <c r="AC377" s="1" t="n"/>
      <c r="AD377" s="1" t="n"/>
      <c r="AE377" s="1" t="n"/>
    </row>
    <row r="378" ht="42" customHeight="1">
      <c r="A378" s="14">
        <f>IFERROR(__xludf.DUMMYFUNCTION("""COMPUTED_VALUE"""),45496)</f>
        <v/>
      </c>
      <c r="B378" s="1">
        <f>IFERROR(__xludf.DUMMYFUNCTION("""COMPUTED_VALUE"""),"ORG_1466")</f>
        <v/>
      </c>
      <c r="C378" s="1">
        <f>IFERROR(__xludf.DUMMYFUNCTION("""COMPUTED_VALUE"""),TRUE)</f>
        <v/>
      </c>
      <c r="D378" s="1">
        <f>IFERROR(__xludf.DUMMYFUNCTION("""COMPUTED_VALUE"""),"EduvolutionX")</f>
        <v/>
      </c>
      <c r="E378" s="15">
        <f>IFERROR(__xludf.DUMMYFUNCTION("""COMPUTED_VALUE"""),"https://www.eduvolutionx.com/")</f>
        <v/>
      </c>
      <c r="F378" s="1">
        <f>IFERROR(__xludf.DUMMYFUNCTION("""COMPUTED_VALUE"""),"EduvolutionX is a EDtech startup focused on transforming the landscape of learning through interactive, adaptive learning. By providing interactive resources and tools, EduvolutionX empowers students to learn in their own way. Connected with AI, this appr"&amp;"oach makes learning fun and personal. We believe in the power of fun and interactive learning")</f>
        <v/>
      </c>
      <c r="G378" s="1">
        <f>IFERROR(__xludf.DUMMYFUNCTION("""COMPUTED_VALUE"""),"Dutch EdTech")</f>
        <v/>
      </c>
      <c r="H378" s="1">
        <f>IFERROR(__xludf.DUMMYFUNCTION("""COMPUTED_VALUE"""),"English, Dutch")</f>
        <v/>
      </c>
      <c r="I378" s="1">
        <f>IFERROR(__xludf.DUMMYFUNCTION("""COMPUTED_VALUE"""),"muhammet@eduvolutionx.com")</f>
        <v/>
      </c>
      <c r="J378" s="1">
        <f>IFERROR(__xludf.DUMMYFUNCTION("""COMPUTED_VALUE"""),"+31 645147320")</f>
        <v/>
      </c>
      <c r="K378" s="1">
        <f>IFERROR(__xludf.DUMMYFUNCTION("""COMPUTED_VALUE"""),"DEN HAAG")</f>
        <v/>
      </c>
      <c r="L378" s="1">
        <f>IFERROR(__xludf.DUMMYFUNCTION("""COMPUTED_VALUE"""),"The Netherlands")</f>
        <v/>
      </c>
      <c r="M378" s="1">
        <f>IFERROR(__xludf.DUMMYFUNCTION("""COMPUTED_VALUE"""),"Netherlands")</f>
        <v/>
      </c>
      <c r="N378" s="1">
        <f>IFERROR(__xludf.DUMMYFUNCTION("""COMPUTED_VALUE"""),"3 to 5")</f>
        <v/>
      </c>
      <c r="O378" s="1">
        <f>IFERROR(__xludf.DUMMYFUNCTION("""COMPUTED_VALUE"""),"Business to Consumer")</f>
        <v/>
      </c>
      <c r="P378" s="1">
        <f>IFERROR(__xludf.DUMMYFUNCTION("""COMPUTED_VALUE"""),"Primary Education, Secondary Education")</f>
        <v/>
      </c>
      <c r="Q378" s="1">
        <f>IFERROR(__xludf.DUMMYFUNCTION("""COMPUTED_VALUE"""),"System/Administrative, Student interfacing, Teacher interfacing")</f>
        <v/>
      </c>
      <c r="R378" s="1" t="n"/>
      <c r="S378" s="1" t="n"/>
      <c r="T378" s="15">
        <f>IFERROR(__xludf.DUMMYFUNCTION("""COMPUTED_VALUE"""),"https://www.linkedin.com/company/eduvolutionx/")</f>
        <v/>
      </c>
      <c r="U378" s="1">
        <f>IFERROR(__xludf.DUMMYFUNCTION("""COMPUTED_VALUE"""),"Wised Platform")</f>
        <v/>
      </c>
      <c r="V378" s="1">
        <f>IFERROR(__xludf.DUMMYFUNCTION("""COMPUTED_VALUE"""),"Provides adaptive learning through interactive modules connected with AI")</f>
        <v/>
      </c>
      <c r="W378" s="1">
        <f>IFERROR(__xludf.DUMMYFUNCTION("""COMPUTED_VALUE"""),"Educational Gadgets")</f>
        <v/>
      </c>
      <c r="X378" s="1">
        <f>IFERROR(__xludf.DUMMYFUNCTION("""COMPUTED_VALUE"""),"From Arduino to raspberry pi and DIY to VR applications. EduvolutionX is provides different educational STEAM modules to learn about interesting topics.")</f>
        <v/>
      </c>
      <c r="Y378" s="15">
        <f>IFERROR(__xludf.DUMMYFUNCTION("""COMPUTED_VALUE"""),"https://drive.google.com/uc?export=view&amp;id=1-uJgN80nDfAzGxhggOO9sQIJ8cVAERHc")</f>
        <v/>
      </c>
      <c r="Z378" s="1">
        <f>IFERROR(__xludf.DUMMYFUNCTION("""COMPUTED_VALUE"""),"Unverified")</f>
        <v/>
      </c>
      <c r="AA378" s="1" t="n"/>
      <c r="AB378" s="1" t="n"/>
      <c r="AC378" s="1" t="n"/>
      <c r="AD378" s="1" t="n"/>
      <c r="AE378" s="1" t="n"/>
    </row>
    <row r="379" ht="42" customHeight="1">
      <c r="A379" s="14">
        <f>IFERROR(__xludf.DUMMYFUNCTION("""COMPUTED_VALUE"""),45496)</f>
        <v/>
      </c>
      <c r="B379" s="1">
        <f>IFERROR(__xludf.DUMMYFUNCTION("""COMPUTED_VALUE"""),"ORG_2544")</f>
        <v/>
      </c>
      <c r="C379" s="1">
        <f>IFERROR(__xludf.DUMMYFUNCTION("""COMPUTED_VALUE"""),TRUE)</f>
        <v/>
      </c>
      <c r="D379" s="1">
        <f>IFERROR(__xludf.DUMMYFUNCTION("""COMPUTED_VALUE"""),"Wizzie")</f>
        <v/>
      </c>
      <c r="E379" s="15">
        <f>IFERROR(__xludf.DUMMYFUNCTION("""COMPUTED_VALUE"""),"https://www.mywizzie.com/")</f>
        <v/>
      </c>
      <c r="F379" s="1">
        <f>IFERROR(__xludf.DUMMYFUNCTION("""COMPUTED_VALUE"""),"At Datalake Creative, our mission is to create the ultimate language learning tool based on reading and to make it universally accessible to everyone.
The AI-powered Wizzie app provides a free, fun, and effective way to learn English through reading. Wiz"&amp;"zie is designed to improve vocabulary, pronunciation, spelling, and comprehension.
Wizzie supports and engages learners in their reading adventures, transforming every new word into an opportunity for growth rather than a stumbling block.
Wizzie is for:"&amp;"
• English language learners
• Students preparing for English exams
• English as a second language (ESL) learners
• Learners with reading and learning differences")</f>
        <v/>
      </c>
      <c r="G379" s="1">
        <f>IFERROR(__xludf.DUMMYFUNCTION("""COMPUTED_VALUE"""),"I'm not part of any EdTech association")</f>
        <v/>
      </c>
      <c r="H379" s="1">
        <f>IFERROR(__xludf.DUMMYFUNCTION("""COMPUTED_VALUE"""),"English")</f>
        <v/>
      </c>
      <c r="I379" s="1">
        <f>IFERROR(__xludf.DUMMYFUNCTION("""COMPUTED_VALUE"""),"hello@mywizzie.com")</f>
        <v/>
      </c>
      <c r="J379" s="1" t="n"/>
      <c r="K379" s="1">
        <f>IFERROR(__xludf.DUMMYFUNCTION("""COMPUTED_VALUE"""),"STOWMARKET")</f>
        <v/>
      </c>
      <c r="L379" s="1">
        <f>IFERROR(__xludf.DUMMYFUNCTION("""COMPUTED_VALUE"""),"United Kingdom")</f>
        <v/>
      </c>
      <c r="M379" s="1">
        <f>IFERROR(__xludf.DUMMYFUNCTION("""COMPUTED_VALUE"""),"United Kingdom")</f>
        <v/>
      </c>
      <c r="N379" s="1">
        <f>IFERROR(__xludf.DUMMYFUNCTION("""COMPUTED_VALUE"""),"0 to 2")</f>
        <v/>
      </c>
      <c r="O379" s="1">
        <f>IFERROR(__xludf.DUMMYFUNCTION("""COMPUTED_VALUE"""),"Business to Business, Business to Schools, Business to Consumer, Business to Government")</f>
        <v/>
      </c>
      <c r="P379" s="1">
        <f>IFERROR(__xludf.DUMMYFUNCTION("""COMPUTED_VALUE"""),"Primary Education, Secondary Education, Corporate Training, Lifelong learning/Adult education, Vocational Education and Training (VET)")</f>
        <v/>
      </c>
      <c r="Q379" s="1">
        <f>IFERROR(__xludf.DUMMYFUNCTION("""COMPUTED_VALUE"""),"System/Administrative, Student interfacing")</f>
        <v/>
      </c>
      <c r="R379" s="15">
        <f>IFERROR(__xludf.DUMMYFUNCTION("""COMPUTED_VALUE"""),"https://www.instagram.com/wizzieapp/")</f>
        <v/>
      </c>
      <c r="S379" s="15">
        <f>IFERROR(__xludf.DUMMYFUNCTION("""COMPUTED_VALUE"""),"https://twitter.com/wizzieapp/")</f>
        <v/>
      </c>
      <c r="T379" s="15">
        <f>IFERROR(__xludf.DUMMYFUNCTION("""COMPUTED_VALUE"""),"https://www.linkedin.com/company/wizzieapp/")</f>
        <v/>
      </c>
      <c r="U379" s="1">
        <f>IFERROR(__xludf.DUMMYFUNCTION("""COMPUTED_VALUE"""),"Wizzie")</f>
        <v/>
      </c>
      <c r="V379" s="1">
        <f>IFERROR(__xludf.DUMMYFUNCTION("""COMPUTED_VALUE"""),"Designed to improve vocabulary, pronunciation, spelling, and comprehension, the AI powered Wizzie app provides a free, fun, and effective way to learn English through reading. 
Features:
• Instantly defines words and clarifies idioms while reading printe"&amp;"d or handwritten text.
• Allows saving and categorizing words for easy access and review.
• Provides instant translations by setting the native language.
• Includes adaptive reading aids like color overlays, text-to-audio, and adjustable fonts.")</f>
        <v/>
      </c>
      <c r="W379" s="1" t="n"/>
      <c r="X379" s="1" t="n"/>
      <c r="Y379" s="15">
        <f>IFERROR(__xludf.DUMMYFUNCTION("""COMPUTED_VALUE"""),"https://drive.google.com/uc?export=view&amp;id=1UJsFCFwMIKbVPwHMUYqvCOCvrzcoRYCY")</f>
        <v/>
      </c>
      <c r="Z379" s="1">
        <f>IFERROR(__xludf.DUMMYFUNCTION("""COMPUTED_VALUE"""),"Unverified")</f>
        <v/>
      </c>
      <c r="AA379" s="1" t="n"/>
      <c r="AB379" s="1" t="n"/>
      <c r="AC379" s="1" t="n"/>
      <c r="AD379" s="1" t="n"/>
      <c r="AE379" s="1" t="n"/>
    </row>
    <row r="380" ht="42" customHeight="1">
      <c r="A380" s="14">
        <f>IFERROR(__xludf.DUMMYFUNCTION("""COMPUTED_VALUE"""),45495)</f>
        <v/>
      </c>
      <c r="B380" s="1">
        <f>IFERROR(__xludf.DUMMYFUNCTION("""COMPUTED_VALUE"""),"ORG_2103")</f>
        <v/>
      </c>
      <c r="C380" s="1">
        <f>IFERROR(__xludf.DUMMYFUNCTION("""COMPUTED_VALUE"""),TRUE)</f>
        <v/>
      </c>
      <c r="D380" s="1">
        <f>IFERROR(__xludf.DUMMYFUNCTION("""COMPUTED_VALUE"""),"PioGroup")</f>
        <v/>
      </c>
      <c r="E380" s="15">
        <f>IFERROR(__xludf.DUMMYFUNCTION("""COMPUTED_VALUE"""),"https://piogroup.net/")</f>
        <v/>
      </c>
      <c r="F380" s="1">
        <f>IFERROR(__xludf.DUMMYFUNCTION("""COMPUTED_VALUE"""),"PioGroup Software is a company with a primary focus on EdTech solutions &amp; particularly building custom LMS, SCORM, pre-built solutions, custom modules, instructional design, 3rd party integrations, and mobile apps. We are on a mission to help organization"&amp;"s optimize educational opportunities through continuous integration of cutting-edge technologies in the learning process.
PioGroup Software is headquartered in the UK with office development hubs in Central and Eastern Europe. We provide a cross-function"&amp;"al global delivery model which reduces software development costs and increases speed to market.")</f>
        <v/>
      </c>
      <c r="G380" s="1">
        <f>IFERROR(__xludf.DUMMYFUNCTION("""COMPUTED_VALUE"""),"I'm not part of any EdTech association")</f>
        <v/>
      </c>
      <c r="H380" s="1">
        <f>IFERROR(__xludf.DUMMYFUNCTION("""COMPUTED_VALUE"""),"English")</f>
        <v/>
      </c>
      <c r="I380" s="1">
        <f>IFERROR(__xludf.DUMMYFUNCTION("""COMPUTED_VALUE"""),"contact@piogroup.net")</f>
        <v/>
      </c>
      <c r="J380" s="1">
        <f>IFERROR(__xludf.DUMMYFUNCTION("""COMPUTED_VALUE"""),"+43 664 930 84 201")</f>
        <v/>
      </c>
      <c r="K380" s="1">
        <f>IFERROR(__xludf.DUMMYFUNCTION("""COMPUTED_VALUE"""),"London")</f>
        <v/>
      </c>
      <c r="L380" s="1">
        <f>IFERROR(__xludf.DUMMYFUNCTION("""COMPUTED_VALUE"""),"United Kingdom")</f>
        <v/>
      </c>
      <c r="M380" s="1">
        <f>IFERROR(__xludf.DUMMYFUNCTION("""COMPUTED_VALUE"""),"Austria, Belgium, Denmark, Finland, Germany, Netherlands, Ukraine, United Kingdom")</f>
        <v/>
      </c>
      <c r="N380" s="1">
        <f>IFERROR(__xludf.DUMMYFUNCTION("""COMPUTED_VALUE"""),"11 to 50")</f>
        <v/>
      </c>
      <c r="O380" s="1">
        <f>IFERROR(__xludf.DUMMYFUNCTION("""COMPUTED_VALUE"""),"Business to Business, Business to Schools, Business to Consumer")</f>
        <v/>
      </c>
      <c r="P380" s="1">
        <f>IFERROR(__xludf.DUMMYFUNCTION("""COMPUTED_VALUE"""),"Corporate Training, Lifelong learning/Adult education, Vocational Education and Training (VET), Higher Education")</f>
        <v/>
      </c>
      <c r="Q380" s="1">
        <f>IFERROR(__xludf.DUMMYFUNCTION("""COMPUTED_VALUE"""),"Teacher interfacing, System/Administrative, Student interfacing")</f>
        <v/>
      </c>
      <c r="R380" s="15">
        <f>IFERROR(__xludf.DUMMYFUNCTION("""COMPUTED_VALUE"""),"https://www.instagram.com/piogroup_software/")</f>
        <v/>
      </c>
      <c r="S380" s="1" t="n"/>
      <c r="T380" s="15">
        <f>IFERROR(__xludf.DUMMYFUNCTION("""COMPUTED_VALUE"""),"https://www.linkedin.com/company/10346147")</f>
        <v/>
      </c>
      <c r="U380" s="1">
        <f>IFERROR(__xludf.DUMMYFUNCTION("""COMPUTED_VALUE"""),"EdTech software development")</f>
        <v/>
      </c>
      <c r="V380" s="1">
        <f>IFERROR(__xludf.DUMMYFUNCTION("""COMPUTED_VALUE"""),"Our suite of technology solutions encompasses a range of cutting-edge developments aimed at improving various aspects of education, training, and workforce management. Specializing in Node.js, PHP, Python, Go, React.js / React Native, Angular, Vue.js, Swi"&amp;"ft, Symfony, Laravel, Magento, Wordpress, Docker, AWS, Java, Scala, Spring Boot, BI Development, Microsoft Azure, .NET Core, C#, ASP.NET MVC, etc.")</f>
        <v/>
      </c>
      <c r="W380" s="1">
        <f>IFERROR(__xludf.DUMMYFUNCTION("""COMPUTED_VALUE"""),"Pre-built LMS solution")</f>
        <v/>
      </c>
      <c r="X380" s="1">
        <f>IFERROR(__xludf.DUMMYFUNCTION("""COMPUTED_VALUE"""),"We have our own product - DrivEd LMS. DrivEd LMS is a powerful learning platform with various configurations for educational businesses as well as employee training solutions. It’s a pre-built solution, which can save time and money rather than develop so"&amp;"ftware from scratch.")</f>
        <v/>
      </c>
      <c r="Y380" s="15">
        <f>IFERROR(__xludf.DUMMYFUNCTION("""COMPUTED_VALUE"""),"https://drive.google.com/uc?export=view&amp;id=1yNu9dj0CWalapMprBk9pXWyfmWIeERzp")</f>
        <v/>
      </c>
      <c r="Z380" s="1">
        <f>IFERROR(__xludf.DUMMYFUNCTION("""COMPUTED_VALUE"""),"Unverified")</f>
        <v/>
      </c>
      <c r="AA380" s="1" t="n"/>
      <c r="AB380" s="1" t="n"/>
      <c r="AC380" s="1" t="n"/>
      <c r="AD380" s="1" t="n"/>
      <c r="AE380" s="1" t="n"/>
    </row>
    <row r="381" ht="42" customHeight="1">
      <c r="A381" s="14">
        <f>IFERROR(__xludf.DUMMYFUNCTION("""COMPUTED_VALUE"""),45493)</f>
        <v/>
      </c>
      <c r="B381" s="1">
        <f>IFERROR(__xludf.DUMMYFUNCTION("""COMPUTED_VALUE"""),"ORG_1527")</f>
        <v/>
      </c>
      <c r="C381" s="1">
        <f>IFERROR(__xludf.DUMMYFUNCTION("""COMPUTED_VALUE"""),TRUE)</f>
        <v/>
      </c>
      <c r="D381" s="1">
        <f>IFERROR(__xludf.DUMMYFUNCTION("""COMPUTED_VALUE"""),"everyone codes")</f>
        <v/>
      </c>
      <c r="E381" s="15">
        <f>IFERROR(__xludf.DUMMYFUNCTION("""COMPUTED_VALUE"""),"https://everyonecodes.io/")</f>
        <v/>
      </c>
      <c r="F381" s="1">
        <f>IFERROR(__xludf.DUMMYFUNCTION("""COMPUTED_VALUE"""),"Our mission is to help people start a better professional future in the field of IT.")</f>
        <v/>
      </c>
      <c r="G381" s="1">
        <f>IFERROR(__xludf.DUMMYFUNCTION("""COMPUTED_VALUE"""),"EdTech Austria")</f>
        <v/>
      </c>
      <c r="H381" s="1">
        <f>IFERROR(__xludf.DUMMYFUNCTION("""COMPUTED_VALUE"""),"English")</f>
        <v/>
      </c>
      <c r="I381" s="1">
        <f>IFERROR(__xludf.DUMMYFUNCTION("""COMPUTED_VALUE"""),"office@everyonecodes.io")</f>
        <v/>
      </c>
      <c r="J381" s="1" t="n"/>
      <c r="K381" s="1">
        <f>IFERROR(__xludf.DUMMYFUNCTION("""COMPUTED_VALUE"""),"VIENNA")</f>
        <v/>
      </c>
      <c r="L381" s="1">
        <f>IFERROR(__xludf.DUMMYFUNCTION("""COMPUTED_VALUE"""),"Austria")</f>
        <v/>
      </c>
      <c r="M381" s="1">
        <f>IFERROR(__xludf.DUMMYFUNCTION("""COMPUTED_VALUE"""),"Austria")</f>
        <v/>
      </c>
      <c r="N381" s="1">
        <f>IFERROR(__xludf.DUMMYFUNCTION("""COMPUTED_VALUE"""),"6 to 10")</f>
        <v/>
      </c>
      <c r="O381" s="1">
        <f>IFERROR(__xludf.DUMMYFUNCTION("""COMPUTED_VALUE"""),"Business to Business")</f>
        <v/>
      </c>
      <c r="P381" s="1">
        <f>IFERROR(__xludf.DUMMYFUNCTION("""COMPUTED_VALUE"""),"Corporate Training, Lifelong learning/Adult education")</f>
        <v/>
      </c>
      <c r="Q381" s="1">
        <f>IFERROR(__xludf.DUMMYFUNCTION("""COMPUTED_VALUE"""),"Student interfacing")</f>
        <v/>
      </c>
      <c r="R381" s="1" t="n"/>
      <c r="S381" s="1" t="n"/>
      <c r="T381" s="15">
        <f>IFERROR(__xludf.DUMMYFUNCTION("""COMPUTED_VALUE"""),"https://www.linkedin.com/company/everyonecodes")</f>
        <v/>
      </c>
      <c r="U381" s="1">
        <f>IFERROR(__xludf.DUMMYFUNCTION("""COMPUTED_VALUE"""),"full-time programmes")</f>
        <v/>
      </c>
      <c r="V381" s="1">
        <f>IFERROR(__xludf.DUMMYFUNCTION("""COMPUTED_VALUE"""),"We offer different programmes to help people to start a better professional future.
All details see on the website: https://everyonecodes.io")</f>
        <v/>
      </c>
      <c r="W381" s="1">
        <f>IFERROR(__xludf.DUMMYFUNCTION("""COMPUTED_VALUE"""),"short-term workshops")</f>
        <v/>
      </c>
      <c r="X381" s="1">
        <f>IFERROR(__xludf.DUMMYFUNCTION("""COMPUTED_VALUE"""),"We offer short-term programmes to aquire different skills and knowledge.
All details see on the website: https://everyonecodes.io")</f>
        <v/>
      </c>
      <c r="Y381" s="15">
        <f>IFERROR(__xludf.DUMMYFUNCTION("""COMPUTED_VALUE"""),"https://drive.google.com/uc?export=view&amp;id=192mk0iNtChldVg6kvO3cwrdf7HY1snVY")</f>
        <v/>
      </c>
      <c r="Z381" s="1">
        <f>IFERROR(__xludf.DUMMYFUNCTION("""COMPUTED_VALUE"""),"Unverified")</f>
        <v/>
      </c>
      <c r="AA381" s="1" t="n"/>
      <c r="AB381" s="1" t="n"/>
      <c r="AC381" s="1" t="n"/>
      <c r="AD381" s="1" t="n"/>
      <c r="AE381" s="1" t="n"/>
    </row>
    <row r="382" ht="42" customHeight="1">
      <c r="A382" s="14">
        <f>IFERROR(__xludf.DUMMYFUNCTION("""COMPUTED_VALUE"""),45491)</f>
        <v/>
      </c>
      <c r="B382" s="1">
        <f>IFERROR(__xludf.DUMMYFUNCTION("""COMPUTED_VALUE"""),"ORG_1769")</f>
        <v/>
      </c>
      <c r="C382" s="1">
        <f>IFERROR(__xludf.DUMMYFUNCTION("""COMPUTED_VALUE"""),TRUE)</f>
        <v/>
      </c>
      <c r="D382" s="1">
        <f>IFERROR(__xludf.DUMMYFUNCTION("""COMPUTED_VALUE"""),"Kialo")</f>
        <v/>
      </c>
      <c r="E382" s="15">
        <f>IFERROR(__xludf.DUMMYFUNCTION("""COMPUTED_VALUE"""),"https://www.kialo-edu.com")</f>
        <v/>
      </c>
      <c r="F382" s="1">
        <f>IFERROR(__xludf.DUMMYFUNCTION("""COMPUTED_VALUE"""),"Kialo is a mission-driven company based in Berlin, Germany, founded to promote reasoned, inclusive discussions that students are genuinely interested in having. In this way, Kialo ultimately aims to make the world a more thoughtful place.")</f>
        <v/>
      </c>
      <c r="G382" s="1">
        <f>IFERROR(__xludf.DUMMYFUNCTION("""COMPUTED_VALUE"""),"I'm not part of any EdTech association")</f>
        <v/>
      </c>
      <c r="H382" s="1">
        <f>IFERROR(__xludf.DUMMYFUNCTION("""COMPUTED_VALUE"""),"English, German, Spanish, Portuguese, French")</f>
        <v/>
      </c>
      <c r="I382" s="1" t="n"/>
      <c r="J382" s="1" t="n"/>
      <c r="K382" s="1">
        <f>IFERROR(__xludf.DUMMYFUNCTION("""COMPUTED_VALUE"""),"BERLIN")</f>
        <v/>
      </c>
      <c r="L382" s="1">
        <f>IFERROR(__xludf.DUMMYFUNCTION("""COMPUTED_VALUE"""),"Germany")</f>
        <v/>
      </c>
      <c r="M38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382" s="1">
        <f>IFERROR(__xludf.DUMMYFUNCTION("""COMPUTED_VALUE"""),"11 to 50")</f>
        <v/>
      </c>
      <c r="O382" s="1">
        <f>IFERROR(__xludf.DUMMYFUNCTION("""COMPUTED_VALUE"""),"Business to Schools, Business to Government")</f>
        <v/>
      </c>
      <c r="P382" s="1">
        <f>IFERROR(__xludf.DUMMYFUNCTION("""COMPUTED_VALUE"""),"Secondary Education, Lifelong learning/Adult education, Vocational Education and Training (VET), Higher Education")</f>
        <v/>
      </c>
      <c r="Q382" s="1">
        <f>IFERROR(__xludf.DUMMYFUNCTION("""COMPUTED_VALUE"""),"Student interfacing, Teacher interfacing")</f>
        <v/>
      </c>
      <c r="R382" s="1" t="n"/>
      <c r="S382" s="15">
        <f>IFERROR(__xludf.DUMMYFUNCTION("""COMPUTED_VALUE"""),"https://x.com/kialoedu")</f>
        <v/>
      </c>
      <c r="T382" s="15">
        <f>IFERROR(__xludf.DUMMYFUNCTION("""COMPUTED_VALUE"""),"https://www.linkedin.com/company/kialo")</f>
        <v/>
      </c>
      <c r="U382" s="1">
        <f>IFERROR(__xludf.DUMMYFUNCTION("""COMPUTED_VALUE"""),"Kialo Edu")</f>
        <v/>
      </c>
      <c r="V382" s="1">
        <f>IFERROR(__xludf.DUMMYFUNCTION("""COMPUTED_VALUE"""),"Kialo Edu is the free tool for smarter, more productive class discussions. Starting from a central thesis, students add pros and cons, engaging with each other’s arguments to build an interactive map of the entire discussion.
Since its launch in 2019, Ki"&amp;"alo Edu has been helping educators around the world to hold discussions that teach students to engage in critical thinking and civil discourse. Kialo Edu also increases participation and inclusivity, builds student confidence, and reduces teacher workload"&amp;".")</f>
        <v/>
      </c>
      <c r="W382" s="1" t="n"/>
      <c r="X382" s="1" t="n"/>
      <c r="Y382" s="15">
        <f>IFERROR(__xludf.DUMMYFUNCTION("""COMPUTED_VALUE"""),"https://drive.google.com/uc?export=view&amp;id=1qBZSNkvwyTDywYSbXUHzoTr8vKa3pDAZ")</f>
        <v/>
      </c>
      <c r="Z382" s="1">
        <f>IFERROR(__xludf.DUMMYFUNCTION("""COMPUTED_VALUE"""),"Unverified")</f>
        <v/>
      </c>
      <c r="AA382" s="1" t="n"/>
      <c r="AB382" s="1" t="n"/>
      <c r="AC382" s="1" t="n"/>
      <c r="AD382" s="1" t="n"/>
      <c r="AE382" s="1" t="n"/>
    </row>
    <row r="383" ht="42" customHeight="1">
      <c r="A383" s="14">
        <f>IFERROR(__xludf.DUMMYFUNCTION("""COMPUTED_VALUE"""),45490)</f>
        <v/>
      </c>
      <c r="B383" s="1">
        <f>IFERROR(__xludf.DUMMYFUNCTION("""COMPUTED_VALUE"""),"ORG_2060")</f>
        <v/>
      </c>
      <c r="C383" s="1">
        <f>IFERROR(__xludf.DUMMYFUNCTION("""COMPUTED_VALUE"""),TRUE)</f>
        <v/>
      </c>
      <c r="D383" s="1">
        <f>IFERROR(__xludf.DUMMYFUNCTION("""COMPUTED_VALUE"""),"Omnia - Smart Campus")</f>
        <v/>
      </c>
      <c r="E383" s="15">
        <f>IFERROR(__xludf.DUMMYFUNCTION("""COMPUTED_VALUE"""),"https://www.omniabuildings.nl/")</f>
        <v/>
      </c>
      <c r="F383" s="1">
        <f>IFERROR(__xludf.DUMMYFUNCTION("""COMPUTED_VALUE"""),"Omnia develops PLEQ, smart campus software for higher education in the Netherlands. PLEQ uses sensors to measure air quality and the occupancy of study and lecture rooms, displaying real-time availability to improve the student experience. By optimizing s"&amp;"pace utilization, PLEQ ensures sufficient study and collaboration areas, enhancing educational quality, social cohesion, and student collaboration. This data helps campus management operate more efficiently and sustainably by saving energy in underutilize"&amp;"d spaces.")</f>
        <v/>
      </c>
      <c r="G383" s="1">
        <f>IFERROR(__xludf.DUMMYFUNCTION("""COMPUTED_VALUE"""),"Dutch EdTech")</f>
        <v/>
      </c>
      <c r="H383" s="1">
        <f>IFERROR(__xludf.DUMMYFUNCTION("""COMPUTED_VALUE"""),"Dutch, English")</f>
        <v/>
      </c>
      <c r="I383" s="1">
        <f>IFERROR(__xludf.DUMMYFUNCTION("""COMPUTED_VALUE"""),"info@omniabuildings.nl")</f>
        <v/>
      </c>
      <c r="J383" s="1">
        <f>IFERROR(__xludf.DUMMYFUNCTION("""COMPUTED_VALUE"""),"-")</f>
        <v/>
      </c>
      <c r="K383" s="1">
        <f>IFERROR(__xludf.DUMMYFUNCTION("""COMPUTED_VALUE"""),"AMSTERDAM")</f>
        <v/>
      </c>
      <c r="L383" s="1">
        <f>IFERROR(__xludf.DUMMYFUNCTION("""COMPUTED_VALUE"""),"The Netherlands")</f>
        <v/>
      </c>
      <c r="M383" s="1">
        <f>IFERROR(__xludf.DUMMYFUNCTION("""COMPUTED_VALUE"""),"Netherlands")</f>
        <v/>
      </c>
      <c r="N383" s="1">
        <f>IFERROR(__xludf.DUMMYFUNCTION("""COMPUTED_VALUE"""),"6 to 10")</f>
        <v/>
      </c>
      <c r="O383" s="1">
        <f>IFERROR(__xludf.DUMMYFUNCTION("""COMPUTED_VALUE"""),"Business to Business, Business to Government, Business to Schools")</f>
        <v/>
      </c>
      <c r="P383" s="1">
        <f>IFERROR(__xludf.DUMMYFUNCTION("""COMPUTED_VALUE"""),"Vocational Education and Training (VET), Higher Education")</f>
        <v/>
      </c>
      <c r="Q383" s="1">
        <f>IFERROR(__xludf.DUMMYFUNCTION("""COMPUTED_VALUE"""),"Student interfacing, Teacher interfacing, System/Administrative")</f>
        <v/>
      </c>
      <c r="R383" s="15">
        <f>IFERROR(__xludf.DUMMYFUNCTION("""COMPUTED_VALUE"""),"https://www.instagram.com/pleqcampus/")</f>
        <v/>
      </c>
      <c r="S383" s="1">
        <f>IFERROR(__xludf.DUMMYFUNCTION("""COMPUTED_VALUE"""),"-")</f>
        <v/>
      </c>
      <c r="T383" s="15">
        <f>IFERROR(__xludf.DUMMYFUNCTION("""COMPUTED_VALUE"""),"https://www.linkedin.com/company/omnia-smartcampus")</f>
        <v/>
      </c>
      <c r="U383" s="1">
        <f>IFERROR(__xludf.DUMMYFUNCTION("""COMPUTED_VALUE"""),"PLEQ")</f>
        <v/>
      </c>
      <c r="V383" s="1">
        <f>IFERROR(__xludf.DUMMYFUNCTION("""COMPUTED_VALUE"""),"Helps Students find collaboration or study spaces based on real time availability. Students can book and share locations to collaborate with other students. Students can rate rooms and give feedback based on their experience which get alerted to the right"&amp;" campus managers to solve, for example broken chairs. 
Facilitating students with a campus map that helps with enhancing campus experience for the higher education.")</f>
        <v/>
      </c>
      <c r="W383" s="1">
        <f>IFERROR(__xludf.DUMMYFUNCTION("""COMPUTED_VALUE"""),"Admin Panel + Sensors")</f>
        <v/>
      </c>
      <c r="X383" s="1">
        <f>IFERROR(__xludf.DUMMYFUNCTION("""COMPUTED_VALUE"""),"The admin panel gives the university control over how PLEQ is presented to students, allowing for changes to the facilities in the app. The sensors gather historical data on campus real estate usage, enabling policymakers to make informed operational deci"&amp;"sions.
Key questions answered by the admin panel include:
Which types of rooms are used more? Do we need more of these facilities?
Are the opening hours of our buildings optimal based on actual visitor data?
Are lecture halls being used efficiently to m"&amp;"aximize educational use of existing space?")</f>
        <v/>
      </c>
      <c r="Y383" s="15">
        <f>IFERROR(__xludf.DUMMYFUNCTION("""COMPUTED_VALUE"""),"https://drive.google.com/uc?export=view&amp;id=1QNUskMomrN-D6pcAJZrEWNyB-PW1kFUk")</f>
        <v/>
      </c>
      <c r="Z383" s="1">
        <f>IFERROR(__xludf.DUMMYFUNCTION("""COMPUTED_VALUE"""),"Unverified")</f>
        <v/>
      </c>
      <c r="AA383" s="1" t="n"/>
      <c r="AB383" s="1" t="n"/>
      <c r="AC383" s="1" t="n"/>
      <c r="AD383" s="1" t="n"/>
      <c r="AE383" s="1" t="n"/>
    </row>
    <row r="384" ht="42" customHeight="1">
      <c r="A384" s="14">
        <f>IFERROR(__xludf.DUMMYFUNCTION("""COMPUTED_VALUE"""),45489)</f>
        <v/>
      </c>
      <c r="B384" s="1">
        <f>IFERROR(__xludf.DUMMYFUNCTION("""COMPUTED_VALUE"""),"ORG_1786")</f>
        <v/>
      </c>
      <c r="C384" s="1">
        <f>IFERROR(__xludf.DUMMYFUNCTION("""COMPUTED_VALUE"""),TRUE)</f>
        <v/>
      </c>
      <c r="D384" s="1">
        <f>IFERROR(__xludf.DUMMYFUNCTION("""COMPUTED_VALUE"""),"Kognity")</f>
        <v/>
      </c>
      <c r="E384" s="15">
        <f>IFERROR(__xludf.DUMMYFUNCTION("""COMPUTED_VALUE"""),"www.kognity.com")</f>
        <v/>
      </c>
      <c r="F384" s="1">
        <f>IFERROR(__xludf.DUMMYFUNCTION("""COMPUTED_VALUE"""),"The single factor that has the highest impact on the prosperity and well-being of humankind is education. Still, technology has not yet delivered on any of its promises for better learning. At Kognity, we have set out to change this. Our vision is to radi"&amp;"cally improve learning for the world’s school students. 
By using Kognity, teachers get a variety of interactive resources, assessment support and professional development – all in one easy-to-use platform. Kognity saves teachers time, improves learning e"&amp;"xperiences and empowers students to become independent learners.
It all began with two students who wanted to create the dynamic and interactive learning resources they’d always wanted to experience in their own classrooms. Today, teachers and students in"&amp;" over 1000 schools and over 100 countries rely on Kognity.")</f>
        <v/>
      </c>
      <c r="G384" s="1">
        <f>IFERROR(__xludf.DUMMYFUNCTION("""COMPUTED_VALUE"""),"I'm not part of any EdTech association")</f>
        <v/>
      </c>
      <c r="H384" s="1" t="n"/>
      <c r="I384" s="1">
        <f>IFERROR(__xludf.DUMMYFUNCTION("""COMPUTED_VALUE"""),"josefin.watz@kognity.com")</f>
        <v/>
      </c>
      <c r="J384" s="1">
        <f>IFERROR(__xludf.DUMMYFUNCTION("""COMPUTED_VALUE"""),"+46729722245")</f>
        <v/>
      </c>
      <c r="K384" s="1">
        <f>IFERROR(__xludf.DUMMYFUNCTION("""COMPUTED_VALUE"""),"Stockholm")</f>
        <v/>
      </c>
      <c r="L384" s="1">
        <f>IFERROR(__xludf.DUMMYFUNCTION("""COMPUTED_VALUE"""),"Sweden")</f>
        <v/>
      </c>
      <c r="M38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384" s="1">
        <f>IFERROR(__xludf.DUMMYFUNCTION("""COMPUTED_VALUE"""),"100+")</f>
        <v/>
      </c>
      <c r="O384" s="1">
        <f>IFERROR(__xludf.DUMMYFUNCTION("""COMPUTED_VALUE"""),"Business to Business, Business to Consumer, Business to Government, Business to Schools")</f>
        <v/>
      </c>
      <c r="P384" s="1">
        <f>IFERROR(__xludf.DUMMYFUNCTION("""COMPUTED_VALUE"""),"Secondary Education")</f>
        <v/>
      </c>
      <c r="Q384" s="1">
        <f>IFERROR(__xludf.DUMMYFUNCTION("""COMPUTED_VALUE"""),"Teacher interfacing")</f>
        <v/>
      </c>
      <c r="R384" s="1" t="n"/>
      <c r="S384" s="1" t="n"/>
      <c r="T384" s="1" t="n"/>
      <c r="U384" s="1" t="n"/>
      <c r="V384" s="1" t="n"/>
      <c r="W384" s="1" t="n"/>
      <c r="X384" s="1" t="n"/>
      <c r="Y384" s="15">
        <f>IFERROR(__xludf.DUMMYFUNCTION("""COMPUTED_VALUE"""),"https://drive.google.com/uc?export=view&amp;id=167feE1eCXHjsG-MQX51cNOmfbB3CLdWU")</f>
        <v/>
      </c>
      <c r="Z384" s="1">
        <f>IFERROR(__xludf.DUMMYFUNCTION("""COMPUTED_VALUE"""),"Unverified")</f>
        <v/>
      </c>
      <c r="AA384" s="1" t="n"/>
      <c r="AB384" s="1" t="n"/>
      <c r="AC384" s="1" t="n"/>
      <c r="AD384" s="1" t="n"/>
      <c r="AE384" s="1" t="n"/>
    </row>
    <row r="385" ht="42" customHeight="1">
      <c r="A385" s="14">
        <f>IFERROR(__xludf.DUMMYFUNCTION("""COMPUTED_VALUE"""),45484)</f>
        <v/>
      </c>
      <c r="B385" s="1">
        <f>IFERROR(__xludf.DUMMYFUNCTION("""COMPUTED_VALUE"""),"ORG_1153")</f>
        <v/>
      </c>
      <c r="C385" s="1">
        <f>IFERROR(__xludf.DUMMYFUNCTION("""COMPUTED_VALUE"""),TRUE)</f>
        <v/>
      </c>
      <c r="D385" s="1">
        <f>IFERROR(__xludf.DUMMYFUNCTION("""COMPUTED_VALUE"""),"BetaYeda")</f>
        <v/>
      </c>
      <c r="E385" s="15">
        <f>IFERROR(__xludf.DUMMYFUNCTION("""COMPUTED_VALUE"""),"www.beta.vision")</f>
        <v/>
      </c>
      <c r="F385" s="1">
        <f>IFERROR(__xludf.DUMMYFUNCTION("""COMPUTED_VALUE"""),"Beta Entrepreneurship is an edtech startup focused on driving change in skill development for life success using cutting edge technology and 21st-century learning methods.
Founders are Yoav Guez and Manoel Menashe, with vast hitech experience in the globa"&amp;"l communication arena, that now dedicate their lives to driving positive change in the education world.")</f>
        <v/>
      </c>
      <c r="G385" s="1">
        <f>IFERROR(__xludf.DUMMYFUNCTION("""COMPUTED_VALUE"""),"I'm not part of any EdTech association")</f>
        <v/>
      </c>
      <c r="H385" s="1">
        <f>IFERROR(__xludf.DUMMYFUNCTION("""COMPUTED_VALUE"""),"All")</f>
        <v/>
      </c>
      <c r="I385" s="1">
        <f>IFERROR(__xludf.DUMMYFUNCTION("""COMPUTED_VALUE"""),"contact@beta.vision")</f>
        <v/>
      </c>
      <c r="J385" s="1">
        <f>IFERROR(__xludf.DUMMYFUNCTION("""COMPUTED_VALUE"""),"+972512292260")</f>
        <v/>
      </c>
      <c r="K385" s="1">
        <f>IFERROR(__xludf.DUMMYFUNCTION("""COMPUTED_VALUE"""),"HodHaSharon")</f>
        <v/>
      </c>
      <c r="L385" s="1">
        <f>IFERROR(__xludf.DUMMYFUNCTION("""COMPUTED_VALUE"""),"Israel")</f>
        <v/>
      </c>
      <c r="M385" s="1">
        <f>IFERROR(__xludf.DUMMYFUNCTION("""COMPUTED_VALUE"""),"United Kingdom")</f>
        <v/>
      </c>
      <c r="N385" s="1">
        <f>IFERROR(__xludf.DUMMYFUNCTION("""COMPUTED_VALUE"""),"0 to 2")</f>
        <v/>
      </c>
      <c r="O385" s="1">
        <f>IFERROR(__xludf.DUMMYFUNCTION("""COMPUTED_VALUE"""),"Business to Business, Business to Schools, Business to Government")</f>
        <v/>
      </c>
      <c r="P385" s="1">
        <f>IFERROR(__xludf.DUMMYFUNCTION("""COMPUTED_VALUE"""),"Primary Education, Secondary Education, Corporate Training, Lifelong learning/Adult education, Vocational Education and Training (VET), Higher Education")</f>
        <v/>
      </c>
      <c r="Q385" s="1">
        <f>IFERROR(__xludf.DUMMYFUNCTION("""COMPUTED_VALUE"""),"Teacher interfacing, System/Administrative, Student interfacing")</f>
        <v/>
      </c>
      <c r="R385" s="1" t="n"/>
      <c r="S385" s="1" t="n"/>
      <c r="T385" s="15">
        <f>IFERROR(__xludf.DUMMYFUNCTION("""COMPUTED_VALUE"""),"https://www.linkedin.com/company/betabusinessinnovation/")</f>
        <v/>
      </c>
      <c r="U385" s="1">
        <f>IFERROR(__xludf.DUMMYFUNCTION("""COMPUTED_VALUE"""),"BetaYeda")</f>
        <v/>
      </c>
      <c r="V385" s="1">
        <f>IFERROR(__xludf.DUMMYFUNCTION("""COMPUTED_VALUE"""),"BetaYeda is our flagship product, an innovative SaaS platform designed to develop essential skills for success in life in the age of artificial intelligence. Our solution enables educators to create self-learning units quickly and easily, using a user-fri"&amp;"endly interface and artificial intelligence to streamline content development and knowledge assessment processes. Our system provides users with a flexible, personalized, and effective learning experience, allowing schools,colleges and SMBs to address cha"&amp;"llenges such as a shortage of lecturers and crowded classrooms in a cost-effective and efficient manner. 
BetaYeda is specifically designed for educators and students, providing advanced technological solutions tailored to the needs of the 21st century.")</f>
        <v/>
      </c>
      <c r="W385" s="1" t="n"/>
      <c r="X385" s="1" t="n"/>
      <c r="Y385" s="15">
        <f>IFERROR(__xludf.DUMMYFUNCTION("""COMPUTED_VALUE"""),"https://drive.google.com/uc?export=view&amp;id=1X61aJMZlBJT5HelyXP0H9KAMZ3FXbd5s")</f>
        <v/>
      </c>
      <c r="Z385" s="1">
        <f>IFERROR(__xludf.DUMMYFUNCTION("""COMPUTED_VALUE"""),"Unverified")</f>
        <v/>
      </c>
      <c r="AA385" s="1" t="n"/>
      <c r="AB385" s="1" t="n"/>
      <c r="AC385" s="1" t="n"/>
      <c r="AD385" s="1" t="n"/>
      <c r="AE385" s="1" t="n"/>
    </row>
    <row r="386" ht="42" customHeight="1">
      <c r="A386" s="14">
        <f>IFERROR(__xludf.DUMMYFUNCTION("""COMPUTED_VALUE"""),45484)</f>
        <v/>
      </c>
      <c r="B386" s="1">
        <f>IFERROR(__xludf.DUMMYFUNCTION("""COMPUTED_VALUE"""),"ORG_1169")</f>
        <v/>
      </c>
      <c r="C386" s="1">
        <f>IFERROR(__xludf.DUMMYFUNCTION("""COMPUTED_VALUE"""),TRUE)</f>
        <v/>
      </c>
      <c r="D386" s="1">
        <f>IFERROR(__xludf.DUMMYFUNCTION("""COMPUTED_VALUE"""),"BitDegree")</f>
        <v/>
      </c>
      <c r="E386" s="15">
        <f>IFERROR(__xludf.DUMMYFUNCTION("""COMPUTED_VALUE"""),"https://www.bitdegree.org/")</f>
        <v/>
      </c>
      <c r="F386" s="1">
        <f>IFERROR(__xludf.DUMMYFUNCTION("""COMPUTED_VALUE"""),"BitDegree is the leading Web3 education hub that has been at the forefront of digital education since 2017. Renowned for its innovative and user-friendly learning solutions, BitDegree has introduced over 45 million users to the Web3 space, empowering indi"&amp;"viduals worldwide with the knowledge and skills needed to excel in the evolving digital economy. Its newest adventure, Web3 Missions, helps users secure essential Web3 knowledge in an incentivized and gamified manner.")</f>
        <v/>
      </c>
      <c r="G386" s="1">
        <f>IFERROR(__xludf.DUMMYFUNCTION("""COMPUTED_VALUE"""),"EdTech Lithuania")</f>
        <v/>
      </c>
      <c r="H386" s="1">
        <f>IFERROR(__xludf.DUMMYFUNCTION("""COMPUTED_VALUE"""),"English, Portuguese, Spanish, Turkish, French, Russian, Chinese, Vietnamese, Indonesian")</f>
        <v/>
      </c>
      <c r="I386" s="1">
        <f>IFERROR(__xludf.DUMMYFUNCTION("""COMPUTED_VALUE"""),"hello@bitdegree.org")</f>
        <v/>
      </c>
      <c r="J386" s="1">
        <f>IFERROR(__xludf.DUMMYFUNCTION("""COMPUTED_VALUE"""),"+37061780199")</f>
        <v/>
      </c>
      <c r="K386" s="1">
        <f>IFERROR(__xludf.DUMMYFUNCTION("""COMPUTED_VALUE"""),"VILNIUS")</f>
        <v/>
      </c>
      <c r="L386" s="1">
        <f>IFERROR(__xludf.DUMMYFUNCTION("""COMPUTED_VALUE"""),"Lithuania")</f>
        <v/>
      </c>
      <c r="M38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386" s="1">
        <f>IFERROR(__xludf.DUMMYFUNCTION("""COMPUTED_VALUE"""),"11 to 50")</f>
        <v/>
      </c>
      <c r="O386" s="1">
        <f>IFERROR(__xludf.DUMMYFUNCTION("""COMPUTED_VALUE"""),"Business to Business, Business to Schools, Business to Consumer, Business to Government")</f>
        <v/>
      </c>
      <c r="P386" s="1">
        <f>IFERROR(__xludf.DUMMYFUNCTION("""COMPUTED_VALUE"""),"Lifelong learning/Adult education")</f>
        <v/>
      </c>
      <c r="Q386" s="1">
        <f>IFERROR(__xludf.DUMMYFUNCTION("""COMPUTED_VALUE"""),"Student interfacing")</f>
        <v/>
      </c>
      <c r="R386" s="15">
        <f>IFERROR(__xludf.DUMMYFUNCTION("""COMPUTED_VALUE"""),"https://www.instagram.com/bitdegree/")</f>
        <v/>
      </c>
      <c r="S386" s="15">
        <f>IFERROR(__xludf.DUMMYFUNCTION("""COMPUTED_VALUE"""),"https://wwww.x.com/BitDegree")</f>
        <v/>
      </c>
      <c r="T386" s="15">
        <f>IFERROR(__xludf.DUMMYFUNCTION("""COMPUTED_VALUE"""),"https://www.linkedin.com/company/bitdegree/")</f>
        <v/>
      </c>
      <c r="U386" s="1">
        <f>IFERROR(__xludf.DUMMYFUNCTION("""COMPUTED_VALUE"""),"Educational Crypto Hub")</f>
        <v/>
      </c>
      <c r="V386" s="1">
        <f>IFERROR(__xludf.DUMMYFUNCTION("""COMPUTED_VALUE"""),"The BitDegree Educational Crypto Hub is an extensive resource for all things Web3. It houses tutorials, guides, reviews, comparisons, and other forms of informative crypto and Web3 content, all presented in English and localized into eight additional lang"&amp;"uages. The content on the Crypto Hub is thoroughly reviewed by the BitDegree Expert Analysts &amp; Contributors. The platform also features a Crypto Tracker that tracks over 21,000 cryptocurrencies, in addition to other exchange-, NFT-, and dApp-tracking tool"&amp;"s.")</f>
        <v/>
      </c>
      <c r="W386" s="1">
        <f>IFERROR(__xludf.DUMMYFUNCTION("""COMPUTED_VALUE"""),"Web3 Missions")</f>
        <v/>
      </c>
      <c r="X386" s="1">
        <f>IFERROR(__xludf.DUMMYFUNCTION("""COMPUTED_VALUE"""),"BitDegree's Web3 Missions are an innovative take on Web3 education. By participating in the Missions, users gain new Web3 knowledge through short, fun quiz-like tasks and social actions. The student Web3 Mission journey is rewarded with in-game points (ca"&amp;"lled Bits) and a chance to win rewards like cryptocurrencies, merch, bonuses, among others.")</f>
        <v/>
      </c>
      <c r="Y386" s="15">
        <f>IFERROR(__xludf.DUMMYFUNCTION("""COMPUTED_VALUE"""),"https://drive.google.com/uc?export=view&amp;id=1P3zWqrukiddfcpqhqtBcqiqQsZSiD9jK")</f>
        <v/>
      </c>
      <c r="Z386" s="1">
        <f>IFERROR(__xludf.DUMMYFUNCTION("""COMPUTED_VALUE"""),"Unverified")</f>
        <v/>
      </c>
      <c r="AA386" s="1" t="n"/>
      <c r="AB386" s="1" t="n"/>
      <c r="AC386" s="1" t="n"/>
      <c r="AD386" s="1" t="n"/>
      <c r="AE386" s="1" t="n"/>
    </row>
    <row r="387" ht="42" customHeight="1">
      <c r="A387" s="14">
        <f>IFERROR(__xludf.DUMMYFUNCTION("""COMPUTED_VALUE"""),45483)</f>
        <v/>
      </c>
      <c r="B387" s="1">
        <f>IFERROR(__xludf.DUMMYFUNCTION("""COMPUTED_VALUE"""),"ORG_1418")</f>
        <v/>
      </c>
      <c r="C387" s="1">
        <f>IFERROR(__xludf.DUMMYFUNCTION("""COMPUTED_VALUE"""),TRUE)</f>
        <v/>
      </c>
      <c r="D387" s="1">
        <f>IFERROR(__xludf.DUMMYFUNCTION("""COMPUTED_VALUE"""),"edtake")</f>
        <v/>
      </c>
      <c r="E387" s="15">
        <f>IFERROR(__xludf.DUMMYFUNCTION("""COMPUTED_VALUE"""),"https://www.edtake.com/en")</f>
        <v/>
      </c>
      <c r="F387" s="1">
        <f>IFERROR(__xludf.DUMMYFUNCTION("""COMPUTED_VALUE"""),"edtake is a IA platform that helps training manager to creating and producing learning content in few minutes.")</f>
        <v/>
      </c>
      <c r="G387" s="1">
        <f>IFERROR(__xludf.DUMMYFUNCTION("""COMPUTED_VALUE"""),"AFINEF, EdTech France")</f>
        <v/>
      </c>
      <c r="H387" s="1">
        <f>IFERROR(__xludf.DUMMYFUNCTION("""COMPUTED_VALUE"""),"French, English, German, Portuguese, Spanish, Italian")</f>
        <v/>
      </c>
      <c r="I387" s="1">
        <f>IFERROR(__xludf.DUMMYFUNCTION("""COMPUTED_VALUE"""),"contact@edtake.com")</f>
        <v/>
      </c>
      <c r="J387" s="1">
        <f>IFERROR(__xludf.DUMMYFUNCTION("""COMPUTED_VALUE"""),"+ 33 1 43 06 02 85")</f>
        <v/>
      </c>
      <c r="K387" s="1">
        <f>IFERROR(__xludf.DUMMYFUNCTION("""COMPUTED_VALUE"""),"TOULOUSE")</f>
        <v/>
      </c>
      <c r="L387" s="1">
        <f>IFERROR(__xludf.DUMMYFUNCTION("""COMPUTED_VALUE"""),"France")</f>
        <v/>
      </c>
      <c r="M387" s="1">
        <f>IFERROR(__xludf.DUMMYFUNCTION("""COMPUTED_VALUE"""),"Belgium, France, Germany, Portugal, Spain, Switzerland, United Kingdom")</f>
        <v/>
      </c>
      <c r="N387" s="1">
        <f>IFERROR(__xludf.DUMMYFUNCTION("""COMPUTED_VALUE"""),"11 to 50")</f>
        <v/>
      </c>
      <c r="O387" s="1">
        <f>IFERROR(__xludf.DUMMYFUNCTION("""COMPUTED_VALUE"""),"Business to Schools, Business to Consumer")</f>
        <v/>
      </c>
      <c r="P387" s="1">
        <f>IFERROR(__xludf.DUMMYFUNCTION("""COMPUTED_VALUE"""),"Higher Education")</f>
        <v/>
      </c>
      <c r="Q387" s="1">
        <f>IFERROR(__xludf.DUMMYFUNCTION("""COMPUTED_VALUE"""),"System/Administrative, Student interfacing")</f>
        <v/>
      </c>
      <c r="R387" s="1" t="n"/>
      <c r="S387" s="1" t="n"/>
      <c r="T387" s="15">
        <f>IFERROR(__xludf.DUMMYFUNCTION("""COMPUTED_VALUE"""),"https://www.linkedin.com/company/edtake")</f>
        <v/>
      </c>
      <c r="U387" s="15">
        <f>IFERROR(__xludf.DUMMYFUNCTION("""COMPUTED_VALUE"""),"edtake.ai")</f>
        <v/>
      </c>
      <c r="V387" s="1">
        <f>IFERROR(__xludf.DUMMYFUNCTION("""COMPUTED_VALUE"""),"edtake is the solution which enhances the productivity of training teams through a combination of AI and human expertise with an AI-assisted instructional design and production tool : 
1. Instructional design : Frame and instructional design the basis of"&amp;" your training. AI assists you in quickly creating your objectives, synopses, and sequences. 
2. Production : Generate learning content and activities. From your source documents (PDF, PPT, videos, URLs...), AI produces your content and transforms your me"&amp;"dia into activities such as multiple-choice questions, interactive videos, and so much more. 
3. Export : Easily export to your LMS and LXP All you have to do is export your modules. Exports: H5P, SCORM (xAPI), Word, HTML, Moodle and Rise360.")</f>
        <v/>
      </c>
      <c r="W387" s="1">
        <f>IFERROR(__xludf.DUMMYFUNCTION("""COMPUTED_VALUE"""),"EdTech freelance marketplace")</f>
        <v/>
      </c>
      <c r="X387" s="1">
        <f>IFERROR(__xludf.DUMMYFUNCTION("""COMPUTED_VALUE"""),"edtake has also a Marketplace of 3000 freelancers with expertise in 80 skills within EdTECH sector.")</f>
        <v/>
      </c>
      <c r="Y387" s="15">
        <f>IFERROR(__xludf.DUMMYFUNCTION("""COMPUTED_VALUE"""),"https://drive.google.com/uc?export=view&amp;id=1W837jH_PBeQCejmQDYnqrlBsC2vgSvJC")</f>
        <v/>
      </c>
      <c r="Z387" s="1">
        <f>IFERROR(__xludf.DUMMYFUNCTION("""COMPUTED_VALUE"""),"Unverified")</f>
        <v/>
      </c>
      <c r="AA387" s="1" t="n"/>
      <c r="AB387" s="1" t="n"/>
      <c r="AC387" s="1" t="n"/>
      <c r="AD387" s="1" t="n"/>
      <c r="AE387" s="1" t="n"/>
    </row>
    <row r="388" ht="42" customHeight="1">
      <c r="A388" s="14">
        <f>IFERROR(__xludf.DUMMYFUNCTION("""COMPUTED_VALUE"""),45483)</f>
        <v/>
      </c>
      <c r="B388" s="1">
        <f>IFERROR(__xludf.DUMMYFUNCTION("""COMPUTED_VALUE"""),"ORG_1962")</f>
        <v/>
      </c>
      <c r="C388" s="1">
        <f>IFERROR(__xludf.DUMMYFUNCTION("""COMPUTED_VALUE"""),TRUE)</f>
        <v/>
      </c>
      <c r="D388" s="1">
        <f>IFERROR(__xludf.DUMMYFUNCTION("""COMPUTED_VALUE"""),"Micromate")</f>
        <v/>
      </c>
      <c r="E388" s="15">
        <f>IFERROR(__xludf.DUMMYFUNCTION("""COMPUTED_VALUE"""),"https://micromate.ai/")</f>
        <v/>
      </c>
      <c r="F388" s="1">
        <f>IFERROR(__xludf.DUMMYFUNCTION("""COMPUTED_VALUE"""),"Recognizing the need for easily accessible and quick learning options for employees, the founders of Micromate, Christoph Süess and Stefan Schöb, who initially established Paixon GmbH to develop chatbot projects, discovered a niche in e-learning. They saw"&amp;" the potential for chatbots in both external communication and internal applications. Since 2021, the team has been developing the software in-house. By 2023, Micromate became their main focus, involving almost all employees of Paixon GmbH. In 2023, Micro"&amp;"mate was promoted and launched publicly via social media. By the end of 2024, the conversational assistant is expected to be further developed to enhance corporate learning with a digital assistant.
Fortunately, Micromate has a strong and diverse team of"&amp;" five individuals. Four team members have a computer science background, and one has a business administration background. Our team members have valuable software development, design, user perception, and computer linguistics knowledge, ensuring they poss"&amp;"ess all the necessary skills to develop chat-based learning software. The company was originally founded to develop individual software projects for chat and voice bots, providing existing knowledge on the complexity of conversational agents (CAs), such a"&amp;"s chatbots, along with entrepreneurial experience.")</f>
        <v/>
      </c>
      <c r="G388" s="1">
        <f>IFERROR(__xludf.DUMMYFUNCTION("""COMPUTED_VALUE"""),"I'm not part of any EdTech association")</f>
        <v/>
      </c>
      <c r="H388" s="1">
        <f>IFERROR(__xludf.DUMMYFUNCTION("""COMPUTED_VALUE"""),"German, Italian, French, Dutch")</f>
        <v/>
      </c>
      <c r="I388" s="1">
        <f>IFERROR(__xludf.DUMMYFUNCTION("""COMPUTED_VALUE"""),"hello@micromate.ai")</f>
        <v/>
      </c>
      <c r="J388" s="1" t="n"/>
      <c r="K388" s="1">
        <f>IFERROR(__xludf.DUMMYFUNCTION("""COMPUTED_VALUE"""),"ZURICH")</f>
        <v/>
      </c>
      <c r="L388" s="1">
        <f>IFERROR(__xludf.DUMMYFUNCTION("""COMPUTED_VALUE"""),"Switzerland")</f>
        <v/>
      </c>
      <c r="M388" s="1">
        <f>IFERROR(__xludf.DUMMYFUNCTION("""COMPUTED_VALUE"""),"Austria, Germany, Switzerland")</f>
        <v/>
      </c>
      <c r="N388" s="1">
        <f>IFERROR(__xludf.DUMMYFUNCTION("""COMPUTED_VALUE"""),"3 to 5")</f>
        <v/>
      </c>
      <c r="O388" s="1">
        <f>IFERROR(__xludf.DUMMYFUNCTION("""COMPUTED_VALUE"""),"Business to Business, Business to Schools, Business to Consumer")</f>
        <v/>
      </c>
      <c r="P388" s="1">
        <f>IFERROR(__xludf.DUMMYFUNCTION("""COMPUTED_VALUE"""),"Corporate Training, Lifelong learning/Adult education")</f>
        <v/>
      </c>
      <c r="Q388" s="1">
        <f>IFERROR(__xludf.DUMMYFUNCTION("""COMPUTED_VALUE"""),"System/Administrative, Student interfacing")</f>
        <v/>
      </c>
      <c r="R388" s="15">
        <f>IFERROR(__xludf.DUMMYFUNCTION("""COMPUTED_VALUE"""),"https://www.instagram.com/micromate_learning/")</f>
        <v/>
      </c>
      <c r="S388" s="15">
        <f>IFERROR(__xludf.DUMMYFUNCTION("""COMPUTED_VALUE"""),"https://x.com/Micromate_ai")</f>
        <v/>
      </c>
      <c r="T388" s="15">
        <f>IFERROR(__xludf.DUMMYFUNCTION("""COMPUTED_VALUE"""),"https://www.linkedin.com/company/micromate-learning/")</f>
        <v/>
      </c>
      <c r="U388" s="1">
        <f>IFERROR(__xludf.DUMMYFUNCTION("""COMPUTED_VALUE"""),"Micromate")</f>
        <v/>
      </c>
      <c r="V388" s="1">
        <f>IFERROR(__xludf.DUMMYFUNCTION("""COMPUTED_VALUE"""),"Micromate is a conversational e-learning assistant that integrates seamlessly into existing learning environments. It deepens knowledge by conducting quizzes in microlearning sessions through natural-sounding chat conversations. Consequently, Micromate re"&amp;"presents a minimal obstacle to employees' knowledge acquisition during brief interludes in their daily activities. It simultaneously offers the potential for employees to invest a mere five minutes in learning activities within their already demanding sch"&amp;"edules, thanks to straightforward access and an intuitive design.")</f>
        <v/>
      </c>
      <c r="W388" s="1" t="n"/>
      <c r="X388" s="1" t="n"/>
      <c r="Y388" s="15">
        <f>IFERROR(__xludf.DUMMYFUNCTION("""COMPUTED_VALUE"""),"https://drive.google.com/uc?export=view&amp;id=1SciFpk85YUHxS9T94o3c5k55XiyDA3vj")</f>
        <v/>
      </c>
      <c r="Z388" s="1">
        <f>IFERROR(__xludf.DUMMYFUNCTION("""COMPUTED_VALUE"""),"Unverified")</f>
        <v/>
      </c>
      <c r="AA388" s="1" t="n"/>
      <c r="AB388" s="1" t="n"/>
      <c r="AC388" s="1" t="n"/>
      <c r="AD388" s="1" t="n"/>
      <c r="AE388" s="1" t="n"/>
    </row>
    <row r="389" ht="42" customHeight="1">
      <c r="A389" s="14">
        <f>IFERROR(__xludf.DUMMYFUNCTION("""COMPUTED_VALUE"""),45482)</f>
        <v/>
      </c>
      <c r="B389" s="1">
        <f>IFERROR(__xludf.DUMMYFUNCTION("""COMPUTED_VALUE"""),"ORG_1445")</f>
        <v/>
      </c>
      <c r="C389" s="1">
        <f>IFERROR(__xludf.DUMMYFUNCTION("""COMPUTED_VALUE"""),TRUE)</f>
        <v/>
      </c>
      <c r="D389" s="1">
        <f>IFERROR(__xludf.DUMMYFUNCTION("""COMPUTED_VALUE"""),"Edulia")</f>
        <v/>
      </c>
      <c r="E389" s="15">
        <f>IFERROR(__xludf.DUMMYFUNCTION("""COMPUTED_VALUE"""),"https://edulia.it/company/")</f>
        <v/>
      </c>
      <c r="F389" s="1">
        <f>IFERROR(__xludf.DUMMYFUNCTION("""COMPUTED_VALUE"""),"Edulia is born from Treccani's knowledge to accompany you on your journey towards the future. Whether you are studying or entering the job market, Edulia offers easy and intuitive tools and quality content to tackle the challenges of today and tomorrow.
"&amp;"As an ed-tech hub for formal and informal education, Edulia provides solutions for schools and their teachers, as well as for young people, disseminating knowledge, skills, and insights for the contemporary world.
With an original, cross-disciplinary, ac"&amp;"cessible, and certified educational offer, its goal is to actively contribute to the culture in our country and to promote the education and guidance of young people and young adults.")</f>
        <v/>
      </c>
      <c r="G389" s="1">
        <f>IFERROR(__xludf.DUMMYFUNCTION("""COMPUTED_VALUE"""),"EdTech Italia")</f>
        <v/>
      </c>
      <c r="H389" s="1">
        <f>IFERROR(__xludf.DUMMYFUNCTION("""COMPUTED_VALUE"""),"Italian")</f>
        <v/>
      </c>
      <c r="I389" s="1">
        <f>IFERROR(__xludf.DUMMYFUNCTION("""COMPUTED_VALUE"""),"info@edulia.it")</f>
        <v/>
      </c>
      <c r="J389" s="1" t="n"/>
      <c r="K389" s="1">
        <f>IFERROR(__xludf.DUMMYFUNCTION("""COMPUTED_VALUE"""),"PIAZZA DELL'ENCICLOPEDIA ITALIANA 4")</f>
        <v/>
      </c>
      <c r="L389" s="1">
        <f>IFERROR(__xludf.DUMMYFUNCTION("""COMPUTED_VALUE"""),"Italy")</f>
        <v/>
      </c>
      <c r="M389" s="1">
        <f>IFERROR(__xludf.DUMMYFUNCTION("""COMPUTED_VALUE"""),"Italy")</f>
        <v/>
      </c>
      <c r="N389" s="1">
        <f>IFERROR(__xludf.DUMMYFUNCTION("""COMPUTED_VALUE"""),"11 to 50")</f>
        <v/>
      </c>
      <c r="O389" s="1">
        <f>IFERROR(__xludf.DUMMYFUNCTION("""COMPUTED_VALUE"""),"Business to Business, Business to Schools, Business to Consumer")</f>
        <v/>
      </c>
      <c r="P389" s="1">
        <f>IFERROR(__xludf.DUMMYFUNCTION("""COMPUTED_VALUE"""),"Secondary Education, Corporate Training, Lifelong learning/Adult education")</f>
        <v/>
      </c>
      <c r="Q389" s="1">
        <f>IFERROR(__xludf.DUMMYFUNCTION("""COMPUTED_VALUE"""),"Student interfacing, Teacher interfacing, System/Administrative")</f>
        <v/>
      </c>
      <c r="R389" s="1">
        <f>IFERROR(__xludf.DUMMYFUNCTION("""COMPUTED_VALUE"""),"@Edulia_TreccaniScuola")</f>
        <v/>
      </c>
      <c r="S389" s="1" t="n"/>
      <c r="T389" s="15">
        <f>IFERROR(__xludf.DUMMYFUNCTION("""COMPUTED_VALUE"""),"https://www.linkedin.com/company/eduliatreccani")</f>
        <v/>
      </c>
      <c r="U389" s="1">
        <f>IFERROR(__xludf.DUMMYFUNCTION("""COMPUTED_VALUE"""),"Edulia Masterclass")</f>
        <v/>
      </c>
      <c r="V389" s="1">
        <f>IFERROR(__xludf.DUMMYFUNCTION("""COMPUTED_VALUE"""),"Edulia Masterclass is the portal dedicated to those who always want to learn something new.
Our courses are designed for beginners, the curious, scholars, enthusiasts, and dreamers.
The topics range from A to Z: from business to writing, marketing to per"&amp;"sonal growth, including art, sports, music, and photography.
https://edulia.it/")</f>
        <v/>
      </c>
      <c r="W389" s="1">
        <f>IFERROR(__xludf.DUMMYFUNCTION("""COMPUTED_VALUE"""),"Edulia Treccani Scuola")</f>
        <v/>
      </c>
      <c r="X389" s="1">
        <f>IFERROR(__xludf.DUMMYFUNCTION("""COMPUTED_VALUE"""),"Under the Edulia Treccani Scuola brand, Edulia operates in the education sector: an original, cross-disciplinary, accessible, and certified educational offer to actively contribute to building a new vision of culture in Italy, using digital tools and qual"&amp;"ity content to bring innovation in teaching and meet the needs of the entire educational community. Edulia Treccani Scuola offers tools for learning for teachers (InPratica) and students (InClasse).
https://scuola.edulia.it/")</f>
        <v/>
      </c>
      <c r="Y389" s="15">
        <f>IFERROR(__xludf.DUMMYFUNCTION("""COMPUTED_VALUE"""),"https://drive.google.com/uc?export=view&amp;id=1TZOr6Iw9uQt6xALwF3Fh--g9WCsMR5VR")</f>
        <v/>
      </c>
      <c r="Z389" s="1">
        <f>IFERROR(__xludf.DUMMYFUNCTION("""COMPUTED_VALUE"""),"Unverified")</f>
        <v/>
      </c>
      <c r="AA389" s="1" t="n"/>
      <c r="AB389" s="1" t="n"/>
      <c r="AC389" s="1" t="n"/>
      <c r="AD389" s="1" t="n"/>
      <c r="AE389" s="1" t="n"/>
    </row>
    <row r="390" ht="42" customHeight="1">
      <c r="A390" s="14">
        <f>IFERROR(__xludf.DUMMYFUNCTION("""COMPUTED_VALUE"""),45481)</f>
        <v/>
      </c>
      <c r="B390" s="1">
        <f>IFERROR(__xludf.DUMMYFUNCTION("""COMPUTED_VALUE"""),"ORG_1896")</f>
        <v/>
      </c>
      <c r="C390" s="1">
        <f>IFERROR(__xludf.DUMMYFUNCTION("""COMPUTED_VALUE"""),TRUE)</f>
        <v/>
      </c>
      <c r="D390" s="1">
        <f>IFERROR(__xludf.DUMMYFUNCTION("""COMPUTED_VALUE"""),"Luxembourg Media and Digital Design")</f>
        <v/>
      </c>
      <c r="E390" s="15">
        <f>IFERROR(__xludf.DUMMYFUNCTION("""COMPUTED_VALUE"""),"https://www.lmddc.lu")</f>
        <v/>
      </c>
      <c r="F390" s="1">
        <f>IFERROR(__xludf.DUMMYFUNCTION("""COMPUTED_VALUE"""),"The Luxembourg Media and Digital Design Centre (LMDDC) is an Economic Interest Grouping gathering the Ministry of Education, Children and Youth (MENEJ), the Ministry of Higher Education and Research (MESR), and the Luxembourg Institute of Science and Tech"&amp;"nology (LIST).
We are the public EdTech one-stop-shop in Luxembourg, acting as non for profit digital innovation centre dedicated to training and learning. We design, implement and deploy innovative digital content for the local education, training and le"&amp;"arning ecosystem. Additionally, we bring together EdTech providers, digital content and media creators, public institutions, educators, citizens and researchers.")</f>
        <v/>
      </c>
      <c r="G390" s="1">
        <f>IFERROR(__xludf.DUMMYFUNCTION("""COMPUTED_VALUE"""),"I'm not part of any EdTech association")</f>
        <v/>
      </c>
      <c r="H390" s="1">
        <f>IFERROR(__xludf.DUMMYFUNCTION("""COMPUTED_VALUE"""),"English, French, German, Luxembourgish")</f>
        <v/>
      </c>
      <c r="I390" s="1">
        <f>IFERROR(__xludf.DUMMYFUNCTION("""COMPUTED_VALUE"""),"communication@lmddc.lu")</f>
        <v/>
      </c>
      <c r="J390" s="1" t="n"/>
      <c r="K390" s="1">
        <f>IFERROR(__xludf.DUMMYFUNCTION("""COMPUTED_VALUE"""),"Belval")</f>
        <v/>
      </c>
      <c r="L390" s="1">
        <f>IFERROR(__xludf.DUMMYFUNCTION("""COMPUTED_VALUE"""),"Luxembourg")</f>
        <v/>
      </c>
      <c r="M390" s="1">
        <f>IFERROR(__xludf.DUMMYFUNCTION("""COMPUTED_VALUE"""),"Luxembourg")</f>
        <v/>
      </c>
      <c r="N390" s="1">
        <f>IFERROR(__xludf.DUMMYFUNCTION("""COMPUTED_VALUE"""),"11 to 50")</f>
        <v/>
      </c>
      <c r="O390" s="1">
        <f>IFERROR(__xludf.DUMMYFUNCTION("""COMPUTED_VALUE"""),"Business to Business, Business to Schools, Business to Government")</f>
        <v/>
      </c>
      <c r="P390" s="1">
        <f>IFERROR(__xludf.DUMMYFUNCTION("""COMPUTED_VALUE"""),"Primary Education, Secondary Education, Corporate Training, Lifelong learning/Adult education, Vocational Education and Training (VET), Higher Education")</f>
        <v/>
      </c>
      <c r="Q390" s="1">
        <f>IFERROR(__xludf.DUMMYFUNCTION("""COMPUTED_VALUE"""),"Teacher interfacing, System/Administrative, Student interfacing")</f>
        <v/>
      </c>
      <c r="R390" s="1" t="n"/>
      <c r="S390" s="15">
        <f>IFERROR(__xludf.DUMMYFUNCTION("""COMPUTED_VALUE"""),"https://x.com/skilltech_LU")</f>
        <v/>
      </c>
      <c r="T390" s="15">
        <f>IFERROR(__xludf.DUMMYFUNCTION("""COMPUTED_VALUE"""),"https://www.linkedin.com/company/81318169/admin/dashboard/")</f>
        <v/>
      </c>
      <c r="U390" s="1">
        <f>IFERROR(__xludf.DUMMYFUNCTION("""COMPUTED_VALUE"""),"Platfoms, tools and technical assistance")</f>
        <v/>
      </c>
      <c r="V390" s="1">
        <f>IFERROR(__xludf.DUMMYFUNCTION("""COMPUTED_VALUE"""),"We develop hosting platforms for digital learning (e.g. to host a Moodle course) and tools (free, collaborative, open); we also provide technical advice and assistance (e.g. design and implementation of a digital training strategy, creation of technologic"&amp;"al and pedagogical content for e-learning purposes).")</f>
        <v/>
      </c>
      <c r="W390" s="1">
        <f>IFERROR(__xludf.DUMMYFUNCTION("""COMPUTED_VALUE"""),"Innovative digital education content")</f>
        <v/>
      </c>
      <c r="X390" s="1">
        <f>IFERROR(__xludf.DUMMYFUNCTION("""COMPUTED_VALUE"""),"We create and implement innovative digital media for in situ and online digital learning (e.g. 2D/3D, AV/VR videos/animations, development of mobile games and video games, creation of a chatbot with generative AI); we organise of hands-on workshops to rai"&amp;"se awareness of the use of these technologies in education; we also run a complementary blog: https://skilltech.cafe")</f>
        <v/>
      </c>
      <c r="Y390" s="15">
        <f>IFERROR(__xludf.DUMMYFUNCTION("""COMPUTED_VALUE"""),"https://drive.google.com/uc?export=view&amp;id=14yRcdY7sOmfImPt84e8ZpwdVqqPvulXK")</f>
        <v/>
      </c>
      <c r="Z390" s="1">
        <f>IFERROR(__xludf.DUMMYFUNCTION("""COMPUTED_VALUE"""),"Unverified")</f>
        <v/>
      </c>
      <c r="AA390" s="1" t="n"/>
      <c r="AB390" s="1" t="n"/>
      <c r="AC390" s="1" t="n"/>
      <c r="AD390" s="1" t="n"/>
      <c r="AE390" s="1" t="n"/>
    </row>
    <row r="391" ht="42" customHeight="1">
      <c r="A391" s="14">
        <f>IFERROR(__xludf.DUMMYFUNCTION("""COMPUTED_VALUE"""),45476)</f>
        <v/>
      </c>
      <c r="B391" s="1">
        <f>IFERROR(__xludf.DUMMYFUNCTION("""COMPUTED_VALUE"""),"ORG_1112")</f>
        <v/>
      </c>
      <c r="C391" s="1">
        <f>IFERROR(__xludf.DUMMYFUNCTION("""COMPUTED_VALUE"""),TRUE)</f>
        <v/>
      </c>
      <c r="D391" s="1">
        <f>IFERROR(__xludf.DUMMYFUNCTION("""COMPUTED_VALUE"""),"Astra AI")</f>
        <v/>
      </c>
      <c r="E391" s="15">
        <f>IFERROR(__xludf.DUMMYFUNCTION("""COMPUTED_VALUE"""),"https://astra.si/en/astra-ai/")</f>
        <v/>
      </c>
      <c r="F391" s="1">
        <f>IFERROR(__xludf.DUMMYFUNCTION("""COMPUTED_VALUE"""),"ASTRA AI is the most advanced AI tutor that leverages the power of artificial intelligence and operates based on the most sophisticated language model, GPT-4o. It is available to anyone who would like to get help with learning mathematics and is much chea"&amp;"per than traditional tutoring. We designed Astra AI so that the user experience is very similar to tutoring, with answers that adapt to your level of knowledge.")</f>
        <v/>
      </c>
      <c r="G391" s="1">
        <f>IFERROR(__xludf.DUMMYFUNCTION("""COMPUTED_VALUE"""),"I'm not part of any EdTech association")</f>
        <v/>
      </c>
      <c r="H391" s="1">
        <f>IFERROR(__xludf.DUMMYFUNCTION("""COMPUTED_VALUE"""),"English, Slovenian, Croatian")</f>
        <v/>
      </c>
      <c r="I391" s="1">
        <f>IFERROR(__xludf.DUMMYFUNCTION("""COMPUTED_VALUE"""),"info@astra.si")</f>
        <v/>
      </c>
      <c r="J391" s="1" t="n"/>
      <c r="K391" s="1">
        <f>IFERROR(__xludf.DUMMYFUNCTION("""COMPUTED_VALUE"""),"LJUBLJANA")</f>
        <v/>
      </c>
      <c r="L391" s="1">
        <f>IFERROR(__xludf.DUMMYFUNCTION("""COMPUTED_VALUE"""),"Slovenia")</f>
        <v/>
      </c>
      <c r="M391" s="1">
        <f>IFERROR(__xludf.DUMMYFUNCTION("""COMPUTED_VALUE"""),"Croatia, Slovenia")</f>
        <v/>
      </c>
      <c r="N391" s="1">
        <f>IFERROR(__xludf.DUMMYFUNCTION("""COMPUTED_VALUE"""),"0 to 2")</f>
        <v/>
      </c>
      <c r="O391" s="1">
        <f>IFERROR(__xludf.DUMMYFUNCTION("""COMPUTED_VALUE"""),"Business to Consumer")</f>
        <v/>
      </c>
      <c r="P391" s="1">
        <f>IFERROR(__xludf.DUMMYFUNCTION("""COMPUTED_VALUE"""),"Primary Education, Secondary Education")</f>
        <v/>
      </c>
      <c r="Q391" s="1">
        <f>IFERROR(__xludf.DUMMYFUNCTION("""COMPUTED_VALUE"""),"Student interfacing")</f>
        <v/>
      </c>
      <c r="R391" s="15">
        <f>IFERROR(__xludf.DUMMYFUNCTION("""COMPUTED_VALUE"""),"https://www.instagram.com/astra_ai_official/")</f>
        <v/>
      </c>
      <c r="S391" s="1" t="n"/>
      <c r="T391" s="15">
        <f>IFERROR(__xludf.DUMMYFUNCTION("""COMPUTED_VALUE"""),"https://www.linkedin.com/company/astra-si/")</f>
        <v/>
      </c>
      <c r="U391" s="1">
        <f>IFERROR(__xludf.DUMMYFUNCTION("""COMPUTED_VALUE"""),"Astra AI")</f>
        <v/>
      </c>
      <c r="V391" s="1">
        <f>IFERROR(__xludf.DUMMYFUNCTION("""COMPUTED_VALUE"""),"ASTRA AI is the most advanced AI tutor that leverages the power of artificial intelligence and operates based on the most sophisticated language model, GPT-4. It is available to anyone who would like to get help with learning mathematics and is much cheap"&amp;"er than traditional tutoring. We designed Astra AI so that the user experience is very similar to tutoring, with answers that adapt to your level of knowledge.")</f>
        <v/>
      </c>
      <c r="W391" s="1">
        <f>IFERROR(__xludf.DUMMYFUNCTION("""COMPUTED_VALUE"""),"Matura AI")</f>
        <v/>
      </c>
      <c r="X391" s="1">
        <f>IFERROR(__xludf.DUMMYFUNCTION("""COMPUTED_VALUE"""),"Matura AI is a digital instructor that uses the most advanced artificial intelligence model, trained with solutions and procedures from the final exams of the past 20 years, to provide you with the best possible preparation for the matura exam.")</f>
        <v/>
      </c>
      <c r="Y391" s="15">
        <f>IFERROR(__xludf.DUMMYFUNCTION("""COMPUTED_VALUE"""),"https://drive.google.com/uc?export=view&amp;id=1paK-hsfO4S6AEZyLP000Cdiio1c969Eo")</f>
        <v/>
      </c>
      <c r="Z391" s="1">
        <f>IFERROR(__xludf.DUMMYFUNCTION("""COMPUTED_VALUE"""),"Unverified")</f>
        <v/>
      </c>
      <c r="AA391" s="1" t="n"/>
      <c r="AB391" s="1" t="n"/>
      <c r="AC391" s="1" t="n"/>
      <c r="AD391" s="1" t="n"/>
      <c r="AE391" s="1" t="n"/>
    </row>
    <row r="392" ht="42" customHeight="1">
      <c r="A392" s="14">
        <f>IFERROR(__xludf.DUMMYFUNCTION("""COMPUTED_VALUE"""),45475)</f>
        <v/>
      </c>
      <c r="B392" s="1">
        <f>IFERROR(__xludf.DUMMYFUNCTION("""COMPUTED_VALUE"""),"ORG_2038")</f>
        <v/>
      </c>
      <c r="C392" s="1">
        <f>IFERROR(__xludf.DUMMYFUNCTION("""COMPUTED_VALUE"""),TRUE)</f>
        <v/>
      </c>
      <c r="D392" s="1">
        <f>IFERROR(__xludf.DUMMYFUNCTION("""COMPUTED_VALUE"""),"Night Zookeeper")</f>
        <v/>
      </c>
      <c r="E392" s="15">
        <f>IFERROR(__xludf.DUMMYFUNCTION("""COMPUTED_VALUE"""),"http://www.nightzookeeper.com")</f>
        <v/>
      </c>
      <c r="F392" s="1">
        <f>IFERROR(__xludf.DUMMYFUNCTION("""COMPUTED_VALUE"""),"Night Zookeeper makes reading and writing fantastically fun for children, whilst improving their spelling, punctuation, grammar, vocabulary and creativity. 
On Night Zookeeper, children join the magical world of the Night Zoo, inventing their own charac"&amp;"ters to help Night Zookeeper Will, Sam the Spying Giraffe, and Riya defeat the evil Lord of Nulth from destroying creativity.
Alongside the BAFTA-nominated Night Zookeeper website and apps are a series of award-winning adventure books and an animated TV "&amp;"show, which aired on SKY TV in the UK, MangoTV in China and Siminn in Iceland.")</f>
        <v/>
      </c>
      <c r="G392" s="1">
        <f>IFERROR(__xludf.DUMMYFUNCTION("""COMPUTED_VALUE"""),"I'm not part of any EdTech association")</f>
        <v/>
      </c>
      <c r="H392" s="1">
        <f>IFERROR(__xludf.DUMMYFUNCTION("""COMPUTED_VALUE"""),"English")</f>
        <v/>
      </c>
      <c r="I392" s="1">
        <f>IFERROR(__xludf.DUMMYFUNCTION("""COMPUTED_VALUE"""),"support@nightzookeeper.com")</f>
        <v/>
      </c>
      <c r="J392" s="1" t="n"/>
      <c r="K392" s="1">
        <f>IFERROR(__xludf.DUMMYFUNCTION("""COMPUTED_VALUE"""),"CHARECROFT ROAD")</f>
        <v/>
      </c>
      <c r="L392" s="1">
        <f>IFERROR(__xludf.DUMMYFUNCTION("""COMPUTED_VALUE"""),"United Kingdom")</f>
        <v/>
      </c>
      <c r="M392" s="1">
        <f>IFERROR(__xludf.DUMMYFUNCTION("""COMPUTED_VALUE"""),"United Kingdom")</f>
        <v/>
      </c>
      <c r="N392" s="1">
        <f>IFERROR(__xludf.DUMMYFUNCTION("""COMPUTED_VALUE"""),"11 to 50")</f>
        <v/>
      </c>
      <c r="O392" s="1">
        <f>IFERROR(__xludf.DUMMYFUNCTION("""COMPUTED_VALUE"""),"Business to Business, Business to Schools, Business to Consumer, Business to Government")</f>
        <v/>
      </c>
      <c r="P392" s="1">
        <f>IFERROR(__xludf.DUMMYFUNCTION("""COMPUTED_VALUE"""),"Primary Education")</f>
        <v/>
      </c>
      <c r="Q392" s="1">
        <f>IFERROR(__xludf.DUMMYFUNCTION("""COMPUTED_VALUE"""),"System/Administrative, Student interfacing, Teacher interfacing")</f>
        <v/>
      </c>
      <c r="R392" s="15">
        <f>IFERROR(__xludf.DUMMYFUNCTION("""COMPUTED_VALUE"""),"https://www.instagram.com/nightzookeeper/?hl=en")</f>
        <v/>
      </c>
      <c r="S392" s="15">
        <f>IFERROR(__xludf.DUMMYFUNCTION("""COMPUTED_VALUE"""),"https://x.com/nightzookeeper?lang=en&amp;mx=2")</f>
        <v/>
      </c>
      <c r="T392" s="15">
        <f>IFERROR(__xludf.DUMMYFUNCTION("""COMPUTED_VALUE"""),"https://www.linkedin.com/company/night-zookeeper/?viewAsMember=true")</f>
        <v/>
      </c>
      <c r="U392" s="1">
        <f>IFERROR(__xludf.DUMMYFUNCTION("""COMPUTED_VALUE"""),"Night Zookeeper")</f>
        <v/>
      </c>
      <c r="V392" s="1">
        <f>IFERROR(__xludf.DUMMYFUNCTION("""COMPUTED_VALUE"""),"By providing thousands of fun and engaging lessons, challenges, and games, Night Zookeeper helps children to learn new words, use them in sentences, and then create amazing pieces of writing that are shared with children from around the world. They receiv"&amp;"e feedback from our team of tutors as well as other children that highlight where they can improve. In-game awards and competitions keep them motivated to continue to learn and progress.
Children write about everything on Night Zookeeper, from stories ab"&amp;"out magical animals to instructions on how to make the perfect hot chocolate. All genres of writing are gradually introduced including newspaper articles, persuasive writing, reports, and poetry.
Night Zookeeper has been proven over and over to inspire e"&amp;"ven the most reluctant writers to develop a love of writing.")</f>
        <v/>
      </c>
      <c r="W392" s="1" t="n"/>
      <c r="X392" s="1" t="n"/>
      <c r="Y392" s="15">
        <f>IFERROR(__xludf.DUMMYFUNCTION("""COMPUTED_VALUE"""),"https://drive.google.com/uc?export=view&amp;id=1cT2fOYtlYB09QjCpRET3Q5kNmicoP2eU")</f>
        <v/>
      </c>
      <c r="Z392" s="1">
        <f>IFERROR(__xludf.DUMMYFUNCTION("""COMPUTED_VALUE"""),"Unverified")</f>
        <v/>
      </c>
      <c r="AA392" s="1" t="n"/>
      <c r="AB392" s="1" t="n"/>
      <c r="AC392" s="1" t="n"/>
      <c r="AD392" s="1" t="n"/>
      <c r="AE392" s="1" t="n"/>
    </row>
    <row r="393" ht="42" customHeight="1">
      <c r="A393" s="14">
        <f>IFERROR(__xludf.DUMMYFUNCTION("""COMPUTED_VALUE"""),45471)</f>
        <v/>
      </c>
      <c r="B393" s="1">
        <f>IFERROR(__xludf.DUMMYFUNCTION("""COMPUTED_VALUE"""),"ORG_1544")</f>
        <v/>
      </c>
      <c r="C393" s="1">
        <f>IFERROR(__xludf.DUMMYFUNCTION("""COMPUTED_VALUE"""),TRUE)</f>
        <v/>
      </c>
      <c r="D393" s="1">
        <f>IFERROR(__xludf.DUMMYFUNCTION("""COMPUTED_VALUE"""),"ExR - Free to Access - Virtual Reality Medical Education Platform")</f>
        <v/>
      </c>
      <c r="E393" s="15">
        <f>IFERROR(__xludf.DUMMYFUNCTION("""COMPUTED_VALUE"""),"https://exr.education")</f>
        <v/>
      </c>
      <c r="F393" s="1">
        <f>IFERROR(__xludf.DUMMYFUNCTION("""COMPUTED_VALUE"""),"ExR is a free to NHS and healthcare student, fully-immersive virtual reality medical education platform. The training content is co-developed by universities, NHS trusts, and healthcare charities and available on a single platform, working on any device. "&amp;"
Training content exists in many specialties including ENT/otolaryngology, orthopaedic surgery, general medicine, radiology, emergency medicine and primary care.
All experiences have been awarded CPD points by the Royal College of Surgeons of Edinburgh."&amp;" 
The experiences work on phones, tablets, computers, and virtual reality headsets including Google Cardboard, Oculus (Meta), HTC Vive, and PICO Neo.
Explore the platform now: 
https://app.exr.education/collections")</f>
        <v/>
      </c>
      <c r="G393" s="1">
        <f>IFERROR(__xludf.DUMMYFUNCTION("""COMPUTED_VALUE"""),"EdTech Austria")</f>
        <v/>
      </c>
      <c r="H393" s="1">
        <f>IFERROR(__xludf.DUMMYFUNCTION("""COMPUTED_VALUE"""),"English")</f>
        <v/>
      </c>
      <c r="I393" s="1">
        <f>IFERROR(__xludf.DUMMYFUNCTION("""COMPUTED_VALUE"""),"jonny@exr.education")</f>
        <v/>
      </c>
      <c r="J393" s="1" t="n"/>
      <c r="K393" s="1">
        <f>IFERROR(__xludf.DUMMYFUNCTION("""COMPUTED_VALUE"""),"London")</f>
        <v/>
      </c>
      <c r="L393" s="1">
        <f>IFERROR(__xludf.DUMMYFUNCTION("""COMPUTED_VALUE"""),"United Kingdom")</f>
        <v/>
      </c>
      <c r="M393" s="1">
        <f>IFERROR(__xludf.DUMMYFUNCTION("""COMPUTED_VALUE"""),"United Kingdom")</f>
        <v/>
      </c>
      <c r="N393" s="1">
        <f>IFERROR(__xludf.DUMMYFUNCTION("""COMPUTED_VALUE"""),"3 to 5")</f>
        <v/>
      </c>
      <c r="O393" s="1">
        <f>IFERROR(__xludf.DUMMYFUNCTION("""COMPUTED_VALUE"""),"Business to Business, Business to Schools, Business to Government")</f>
        <v/>
      </c>
      <c r="P393" s="1">
        <f>IFERROR(__xludf.DUMMYFUNCTION("""COMPUTED_VALUE"""),"Secondary Education, Corporate Training, Lifelong learning/Adult education, Vocational Education and Training (VET), Higher Education")</f>
        <v/>
      </c>
      <c r="Q393" s="1">
        <f>IFERROR(__xludf.DUMMYFUNCTION("""COMPUTED_VALUE"""),"Student interfacing, Teacher interfacing, System/Administrative")</f>
        <v/>
      </c>
      <c r="R393" s="1" t="n"/>
      <c r="S393" s="1" t="n"/>
      <c r="T393" s="15">
        <f>IFERROR(__xludf.DUMMYFUNCTION("""COMPUTED_VALUE"""),"https://www.linkedin.com/company/exrsolutions/")</f>
        <v/>
      </c>
      <c r="U393" s="1">
        <f>IFERROR(__xludf.DUMMYFUNCTION("""COMPUTED_VALUE"""),"ExR - VR Education Platform")</f>
        <v/>
      </c>
      <c r="V393" s="1">
        <f>IFERROR(__xludf.DUMMYFUNCTION("""COMPUTED_VALUE"""),"Free, device agnostic, virtual reality healthcare education platform. 
100 experiences co-developed in 15 NHS Trusts, Charities, and Universities.")</f>
        <v/>
      </c>
      <c r="W393" s="1">
        <f>IFERROR(__xludf.DUMMYFUNCTION("""COMPUTED_VALUE"""),"Bespoke VR Development")</f>
        <v/>
      </c>
      <c r="X393" s="1">
        <f>IFERROR(__xludf.DUMMYFUNCTION("""COMPUTED_VALUE"""),"White label VR platform 
Bespoke simulation development
Immersive VR 360 film production and development")</f>
        <v/>
      </c>
      <c r="Y393" s="15">
        <f>IFERROR(__xludf.DUMMYFUNCTION("""COMPUTED_VALUE"""),"https://drive.google.com/uc?export=view&amp;id=1wv6ERHE1kOQM4b5DqeDX2f1eguka5LIZ")</f>
        <v/>
      </c>
      <c r="Z393" s="1">
        <f>IFERROR(__xludf.DUMMYFUNCTION("""COMPUTED_VALUE"""),"Unverified")</f>
        <v/>
      </c>
      <c r="AA393" s="1" t="n"/>
      <c r="AB393" s="1" t="n"/>
      <c r="AC393" s="1" t="n"/>
      <c r="AD393" s="1" t="n"/>
      <c r="AE393" s="1" t="n"/>
    </row>
    <row r="394" ht="42" customHeight="1">
      <c r="A394" s="14">
        <f>IFERROR(__xludf.DUMMYFUNCTION("""COMPUTED_VALUE"""),45469)</f>
        <v/>
      </c>
      <c r="B394" s="1">
        <f>IFERROR(__xludf.DUMMYFUNCTION("""COMPUTED_VALUE"""),"ORG_1045")</f>
        <v/>
      </c>
      <c r="C394" s="1">
        <f>IFERROR(__xludf.DUMMYFUNCTION("""COMPUTED_VALUE"""),TRUE)</f>
        <v/>
      </c>
      <c r="D394" s="1">
        <f>IFERROR(__xludf.DUMMYFUNCTION("""COMPUTED_VALUE"""),"Aktiedysten")</f>
        <v/>
      </c>
      <c r="E394" s="15">
        <f>IFERROR(__xludf.DUMMYFUNCTION("""COMPUTED_VALUE"""),"https://aktiedysten.dk/")</f>
        <v/>
      </c>
      <c r="F394" s="1">
        <f>IFERROR(__xludf.DUMMYFUNCTION("""COMPUTED_VALUE"""),"Aktiedysten is a digital learning platform with two main components: a stock market simulation game using virtual currency and real stock prices, and an educational universe with tools and courses about economics through stock trading. Our goal is to crea"&amp;"te a motivating learning tool for all ages, developed in collaboration with educational institutions and financial experts. Aktiedysten is primarily used by teachers and students from 7th grade to university, but it is designed for anyone interested in le"&amp;"arning about economics from the perspective of the stock market.")</f>
        <v/>
      </c>
      <c r="G394" s="1">
        <f>IFERROR(__xludf.DUMMYFUNCTION("""COMPUTED_VALUE"""),"EdTech Denmark")</f>
        <v/>
      </c>
      <c r="H394" s="1">
        <f>IFERROR(__xludf.DUMMYFUNCTION("""COMPUTED_VALUE"""),"Danish, Swedish, English, German")</f>
        <v/>
      </c>
      <c r="I394" s="1">
        <f>IFERROR(__xludf.DUMMYFUNCTION("""COMPUTED_VALUE"""),"mira@aktiedysten.dk")</f>
        <v/>
      </c>
      <c r="J394" s="1">
        <f>IFERROR(__xludf.DUMMYFUNCTION("""COMPUTED_VALUE"""),"28770933")</f>
        <v/>
      </c>
      <c r="K394" s="1">
        <f>IFERROR(__xludf.DUMMYFUNCTION("""COMPUTED_VALUE"""),"Odense C")</f>
        <v/>
      </c>
      <c r="L394" s="1">
        <f>IFERROR(__xludf.DUMMYFUNCTION("""COMPUTED_VALUE"""),"Denmark")</f>
        <v/>
      </c>
      <c r="M394" s="1">
        <f>IFERROR(__xludf.DUMMYFUNCTION("""COMPUTED_VALUE"""),"Denmark, Germany, Sweden")</f>
        <v/>
      </c>
      <c r="N394" s="1">
        <f>IFERROR(__xludf.DUMMYFUNCTION("""COMPUTED_VALUE"""),"0 to 2")</f>
        <v/>
      </c>
      <c r="O394" s="1">
        <f>IFERROR(__xludf.DUMMYFUNCTION("""COMPUTED_VALUE"""),"Business to Business, Business to Schools, Business to Consumer, Business to Government")</f>
        <v/>
      </c>
      <c r="P394" s="1">
        <f>IFERROR(__xludf.DUMMYFUNCTION("""COMPUTED_VALUE"""),"Primary Education, Secondary Education, Corporate Training, Lifelong learning/Adult education, Vocational Education and Training (VET), Higher Education")</f>
        <v/>
      </c>
      <c r="Q394" s="1">
        <f>IFERROR(__xludf.DUMMYFUNCTION("""COMPUTED_VALUE"""),"Student interfacing, Teacher interfacing")</f>
        <v/>
      </c>
      <c r="R394" s="15">
        <f>IFERROR(__xludf.DUMMYFUNCTION("""COMPUTED_VALUE"""),"https://www.instagram.com/aktiedysten")</f>
        <v/>
      </c>
      <c r="S394" s="15">
        <f>IFERROR(__xludf.DUMMYFUNCTION("""COMPUTED_VALUE"""),"https://www.instagram.com/aktiedysten/")</f>
        <v/>
      </c>
      <c r="T394" s="15">
        <f>IFERROR(__xludf.DUMMYFUNCTION("""COMPUTED_VALUE"""),"https://www.linkedin.com/company/12662458")</f>
        <v/>
      </c>
      <c r="U394" s="1">
        <f>IFERROR(__xludf.DUMMYFUNCTION("""COMPUTED_VALUE"""),"Aktiedysten Premium Keys")</f>
        <v/>
      </c>
      <c r="V394" s="1">
        <f>IFERROR(__xludf.DUMMYFUNCTION("""COMPUTED_VALUE"""),"The premium model aims to offer tools that give teachers extra options to visualize risk for students and manage the game:
- Significantly higher diversification with ETFs, funds, indices, and bonds
- Rethinking balancing risk vs. return as the key to wi"&amp;"nning
- Setup for evaluating student performance and expectations")</f>
        <v/>
      </c>
      <c r="W394" s="1">
        <f>IFERROR(__xludf.DUMMYFUNCTION("""COMPUTED_VALUE"""),"Learning Competitions")</f>
        <v/>
      </c>
      <c r="X394" s="1">
        <f>IFERROR(__xludf.DUMMYFUNCTION("""COMPUTED_VALUE"""),"Learning competitions that connect businesses and credible experts with users, providing a framework for economic education through the stock market's perspective in a fun and credible way. For example, the School Stock Market Challenge with 4,000 student"&amp;"s participating annually.")</f>
        <v/>
      </c>
      <c r="Y394" s="15">
        <f>IFERROR(__xludf.DUMMYFUNCTION("""COMPUTED_VALUE"""),"https://drive.google.com/uc?export=view&amp;id=1V5iQ3jqJOhe-NJ0N59xMg0Q9dOz1CeTN")</f>
        <v/>
      </c>
      <c r="Z394" s="1">
        <f>IFERROR(__xludf.DUMMYFUNCTION("""COMPUTED_VALUE"""),"Unverified")</f>
        <v/>
      </c>
      <c r="AA394" s="1" t="n"/>
      <c r="AB394" s="1" t="n"/>
      <c r="AC394" s="1" t="n"/>
      <c r="AD394" s="1" t="n"/>
      <c r="AE394" s="1" t="n"/>
    </row>
    <row r="395" ht="42" customHeight="1">
      <c r="A395" s="14">
        <f>IFERROR(__xludf.DUMMYFUNCTION("""COMPUTED_VALUE"""),45469)</f>
        <v/>
      </c>
      <c r="B395" s="1">
        <f>IFERROR(__xludf.DUMMYFUNCTION("""COMPUTED_VALUE"""),"ORG_2006")</f>
        <v/>
      </c>
      <c r="C395" s="1">
        <f>IFERROR(__xludf.DUMMYFUNCTION("""COMPUTED_VALUE"""),TRUE)</f>
        <v/>
      </c>
      <c r="D395" s="1">
        <f>IFERROR(__xludf.DUMMYFUNCTION("""COMPUTED_VALUE"""),"MYdys by FACIL'iti")</f>
        <v/>
      </c>
      <c r="E395" s="15">
        <f>IFERROR(__xludf.DUMMYFUNCTION("""COMPUTED_VALUE"""),"https://mydys.app/fr/")</f>
        <v/>
      </c>
      <c r="F395" s="1">
        <f>IFERROR(__xludf.DUMMYFUNCTION("""COMPUTED_VALUE"""),"FACIL'iti s’est développée à travers l’idée de proposer un large choix de paramétrages permettant d'adapter l’affichage d’un site internet, en fonction des besoins visuels, gestuels et cognitifs, dans une volonté de rendre l’accès au web égal à tous. Ains"&amp;"i, chaque internaute rencontrant des difficultés sur internet, peut bénéficier d’une meilleure accessibilité aux sites en activant, selon ses besoins, un ou plusieurs paramétrages. Fort de notre expérience dans l'accessibilité numérique, nous avons souhai"&amp;"té aller plus loin pour accompagner toujours plus de personnes grâce à l'innovation. C'est ainsi qu'est née MYdys, notre application mobile d'aide à la lecture récompensée au CES de Las Vegas.")</f>
        <v/>
      </c>
      <c r="G395" s="1">
        <f>IFERROR(__xludf.DUMMYFUNCTION("""COMPUTED_VALUE"""),"EdTech France")</f>
        <v/>
      </c>
      <c r="H395" s="1">
        <f>IFERROR(__xludf.DUMMYFUNCTION("""COMPUTED_VALUE"""),"French, English")</f>
        <v/>
      </c>
      <c r="I395" s="1">
        <f>IFERROR(__xludf.DUMMYFUNCTION("""COMPUTED_VALUE"""),"j.debord@facil-iti.com")</f>
        <v/>
      </c>
      <c r="J395" s="1">
        <f>IFERROR(__xludf.DUMMYFUNCTION("""COMPUTED_VALUE"""),"+33 587146920")</f>
        <v/>
      </c>
      <c r="K395" s="1">
        <f>IFERROR(__xludf.DUMMYFUNCTION("""COMPUTED_VALUE"""),"LIMOGES")</f>
        <v/>
      </c>
      <c r="L395" s="1">
        <f>IFERROR(__xludf.DUMMYFUNCTION("""COMPUTED_VALUE"""),"France")</f>
        <v/>
      </c>
      <c r="M395" s="1">
        <f>IFERROR(__xludf.DUMMYFUNCTION("""COMPUTED_VALUE"""),"Belgium, Germany, Spain, Switzerland, United Kingdom")</f>
        <v/>
      </c>
      <c r="N395" s="1">
        <f>IFERROR(__xludf.DUMMYFUNCTION("""COMPUTED_VALUE"""),"11 to 50")</f>
        <v/>
      </c>
      <c r="O395" s="1">
        <f>IFERROR(__xludf.DUMMYFUNCTION("""COMPUTED_VALUE"""),"Business to Business, Business to Schools, Business to Consumer, Business to Government")</f>
        <v/>
      </c>
      <c r="P395" s="1">
        <f>IFERROR(__xludf.DUMMYFUNCTION("""COMPUTED_VALUE"""),"Primary Education, Secondary Education, Corporate Training, Lifelong learning/Adult education, Vocational Education and Training (VET), Higher Education")</f>
        <v/>
      </c>
      <c r="Q395" s="1">
        <f>IFERROR(__xludf.DUMMYFUNCTION("""COMPUTED_VALUE"""),"System/Administrative, Student interfacing, Teacher interfacing")</f>
        <v/>
      </c>
      <c r="R395" s="15">
        <f>IFERROR(__xludf.DUMMYFUNCTION("""COMPUTED_VALUE"""),"https://www.instagram.com/facil_iti/")</f>
        <v/>
      </c>
      <c r="S395" s="15">
        <f>IFERROR(__xludf.DUMMYFUNCTION("""COMPUTED_VALUE"""),"https://twitter.com/facil_iti")</f>
        <v/>
      </c>
      <c r="T395" s="15">
        <f>IFERROR(__xludf.DUMMYFUNCTION("""COMPUTED_VALUE"""),"https://www.linkedin.com/company/facil-iti-france/mycompany/")</f>
        <v/>
      </c>
      <c r="U395" s="1">
        <f>IFERROR(__xludf.DUMMYFUNCTION("""COMPUTED_VALUE"""),"MYdys")</f>
        <v/>
      </c>
      <c r="V395" s="1">
        <f>IFERROR(__xludf.DUMMYFUNCTION("""COMPUTED_VALUE"""),"MYdys est une application conçue pour aider tout apprenant dyslexique, enfant ou adulte. Elle les accompagne dans leur vie quotidienne en facilitant la lecture et la compréhension de tous types de textes. 
Prenez un texte en photo (livre, magazine, signal"&amp;"étique, écran d'ordinateur, etc.), il s'adapte instantanément selon les réglages de l’utilisateur (choix de la taille de police, interlignage, espacement des caractères, identification des lettres et des chiffres confusants, lecteur d’écran…).
MYdys est d"&amp;"isponible sur iOs et Android et compatible sur tablettes et smartphones.")</f>
        <v/>
      </c>
      <c r="W395" s="1" t="n"/>
      <c r="X395" s="1" t="n"/>
      <c r="Y395" s="15">
        <f>IFERROR(__xludf.DUMMYFUNCTION("""COMPUTED_VALUE"""),"https://drive.google.com/uc?export=view&amp;id=1DwKrB6fjFGNMmxGxF89k6T46U5XDWwF8")</f>
        <v/>
      </c>
      <c r="Z395" s="1">
        <f>IFERROR(__xludf.DUMMYFUNCTION("""COMPUTED_VALUE"""),"Unverified")</f>
        <v/>
      </c>
      <c r="AA395" s="1" t="n"/>
      <c r="AB395" s="1" t="n"/>
      <c r="AC395" s="1" t="n"/>
      <c r="AD395" s="1" t="n"/>
      <c r="AE395" s="1" t="n"/>
    </row>
    <row r="396" ht="42" customHeight="1">
      <c r="A396" s="14">
        <f>IFERROR(__xludf.DUMMYFUNCTION("""COMPUTED_VALUE"""),45469)</f>
        <v/>
      </c>
      <c r="B396" s="1">
        <f>IFERROR(__xludf.DUMMYFUNCTION("""COMPUTED_VALUE"""),"ORG_1028")</f>
        <v/>
      </c>
      <c r="C396" s="1">
        <f>IFERROR(__xludf.DUMMYFUNCTION("""COMPUTED_VALUE"""),TRUE)</f>
        <v/>
      </c>
      <c r="D396" s="1">
        <f>IFERROR(__xludf.DUMMYFUNCTION("""COMPUTED_VALUE"""),"Acco Learn for Business")</f>
        <v/>
      </c>
      <c r="E396" s="15">
        <f>IFERROR(__xludf.DUMMYFUNCTION("""COMPUTED_VALUE"""),"https://acco.be/en/learning-solutions-for-businesses/")</f>
        <v/>
      </c>
      <c r="F396" s="1" t="n"/>
      <c r="G396" s="1">
        <f>IFERROR(__xludf.DUMMYFUNCTION("""COMPUTED_VALUE"""),"edtechstation")</f>
        <v/>
      </c>
      <c r="H396" s="1" t="n"/>
      <c r="I396" s="1" t="n"/>
      <c r="J396" s="1" t="n"/>
      <c r="K396" s="1">
        <f>IFERROR(__xludf.DUMMYFUNCTION("""COMPUTED_VALUE"""),"LEUVEN")</f>
        <v/>
      </c>
      <c r="L396" s="1">
        <f>IFERROR(__xludf.DUMMYFUNCTION("""COMPUTED_VALUE"""),"Belgium")</f>
        <v/>
      </c>
      <c r="M396" s="1" t="n"/>
      <c r="N396" s="1" t="n"/>
      <c r="O396" s="1">
        <f>IFERROR(__xludf.DUMMYFUNCTION("""COMPUTED_VALUE"""),"Business to Business")</f>
        <v/>
      </c>
      <c r="P396" s="1" t="n"/>
      <c r="Q396" s="1" t="n"/>
      <c r="R396" s="1" t="n"/>
      <c r="S396" s="1" t="n"/>
      <c r="T396" s="1" t="n"/>
      <c r="U396" s="1" t="n"/>
      <c r="V396" s="1" t="n"/>
      <c r="W396" s="1" t="n"/>
      <c r="X396" s="1" t="n"/>
      <c r="Y396" s="1" t="n"/>
      <c r="Z396" s="1">
        <f>IFERROR(__xludf.DUMMYFUNCTION("""COMPUTED_VALUE"""),"Unverified")</f>
        <v/>
      </c>
      <c r="AA396" s="1" t="n"/>
      <c r="AB396" s="1" t="n"/>
      <c r="AC396" s="1" t="n"/>
      <c r="AD396" s="1" t="n"/>
      <c r="AE396" s="1" t="n"/>
    </row>
    <row r="397" ht="42" customHeight="1">
      <c r="A397" s="14">
        <f>IFERROR(__xludf.DUMMYFUNCTION("""COMPUTED_VALUE"""),45469)</f>
        <v/>
      </c>
      <c r="B397" s="1">
        <f>IFERROR(__xludf.DUMMYFUNCTION("""COMPUTED_VALUE"""),"ORG_1059")</f>
        <v/>
      </c>
      <c r="C397" s="1">
        <f>IFERROR(__xludf.DUMMYFUNCTION("""COMPUTED_VALUE"""),TRUE)</f>
        <v/>
      </c>
      <c r="D397" s="1">
        <f>IFERROR(__xludf.DUMMYFUNCTION("""COMPUTED_VALUE"""),"AlterEyes")</f>
        <v/>
      </c>
      <c r="E397" s="15">
        <f>IFERROR(__xludf.DUMMYFUNCTION("""COMPUTED_VALUE"""),"https://altereyes.com/")</f>
        <v/>
      </c>
      <c r="F397" s="1" t="n"/>
      <c r="G397" s="1">
        <f>IFERROR(__xludf.DUMMYFUNCTION("""COMPUTED_VALUE"""),"edtechstation")</f>
        <v/>
      </c>
      <c r="H397" s="1" t="n"/>
      <c r="I397" s="1" t="n"/>
      <c r="J397" s="1" t="n"/>
      <c r="K397" s="1">
        <f>IFERROR(__xludf.DUMMYFUNCTION("""COMPUTED_VALUE"""),"HASSELT")</f>
        <v/>
      </c>
      <c r="L397" s="1">
        <f>IFERROR(__xludf.DUMMYFUNCTION("""COMPUTED_VALUE"""),"Belgium")</f>
        <v/>
      </c>
      <c r="M397" s="1" t="n"/>
      <c r="N397" s="1" t="n"/>
      <c r="O397" s="1">
        <f>IFERROR(__xludf.DUMMYFUNCTION("""COMPUTED_VALUE"""),"Business to Business")</f>
        <v/>
      </c>
      <c r="P397" s="1" t="n"/>
      <c r="Q397" s="1" t="n"/>
      <c r="R397" s="1" t="n"/>
      <c r="S397" s="1" t="n"/>
      <c r="T397" s="1" t="n"/>
      <c r="U397" s="1" t="n"/>
      <c r="V397" s="1" t="n"/>
      <c r="W397" s="1" t="n"/>
      <c r="X397" s="1" t="n"/>
      <c r="Y397" s="1" t="n"/>
      <c r="Z397" s="1">
        <f>IFERROR(__xludf.DUMMYFUNCTION("""COMPUTED_VALUE"""),"Unverified")</f>
        <v/>
      </c>
      <c r="AA397" s="1" t="n"/>
      <c r="AB397" s="1" t="n"/>
      <c r="AC397" s="1" t="n"/>
      <c r="AD397" s="1" t="n"/>
      <c r="AE397" s="1" t="n"/>
    </row>
    <row r="398" ht="42" customHeight="1">
      <c r="A398" s="14">
        <f>IFERROR(__xludf.DUMMYFUNCTION("""COMPUTED_VALUE"""),45469)</f>
        <v/>
      </c>
      <c r="B398" s="1">
        <f>IFERROR(__xludf.DUMMYFUNCTION("""COMPUTED_VALUE"""),"ORG_1096")</f>
        <v/>
      </c>
      <c r="C398" s="1">
        <f>IFERROR(__xludf.DUMMYFUNCTION("""COMPUTED_VALUE"""),TRUE)</f>
        <v/>
      </c>
      <c r="D398" s="1">
        <f>IFERROR(__xludf.DUMMYFUNCTION("""COMPUTED_VALUE"""),"Arithmeticus")</f>
        <v/>
      </c>
      <c r="E398" s="1" t="n"/>
      <c r="F398" s="1" t="n"/>
      <c r="G398" s="1">
        <f>IFERROR(__xludf.DUMMYFUNCTION("""COMPUTED_VALUE"""),"edtechstation")</f>
        <v/>
      </c>
      <c r="H398" s="1" t="n"/>
      <c r="I398" s="1" t="n"/>
      <c r="J398" s="1" t="n"/>
      <c r="K398" s="1">
        <f>IFERROR(__xludf.DUMMYFUNCTION("""COMPUTED_VALUE"""),"ANTWERPEN")</f>
        <v/>
      </c>
      <c r="L398" s="1">
        <f>IFERROR(__xludf.DUMMYFUNCTION("""COMPUTED_VALUE"""),"Belgium")</f>
        <v/>
      </c>
      <c r="M398" s="1" t="n"/>
      <c r="N398" s="1" t="n"/>
      <c r="O398" s="1">
        <f>IFERROR(__xludf.DUMMYFUNCTION("""COMPUTED_VALUE"""),"Business to Business")</f>
        <v/>
      </c>
      <c r="P398" s="1" t="n"/>
      <c r="Q398" s="1" t="n"/>
      <c r="R398" s="1" t="n"/>
      <c r="S398" s="1" t="n"/>
      <c r="T398" s="1" t="n"/>
      <c r="U398" s="1" t="n"/>
      <c r="V398" s="1" t="n"/>
      <c r="W398" s="1" t="n"/>
      <c r="X398" s="1" t="n"/>
      <c r="Y398" s="1" t="n"/>
      <c r="Z398" s="1">
        <f>IFERROR(__xludf.DUMMYFUNCTION("""COMPUTED_VALUE"""),"Unverified")</f>
        <v/>
      </c>
      <c r="AA398" s="1" t="n"/>
      <c r="AB398" s="1" t="n"/>
      <c r="AC398" s="1" t="n"/>
      <c r="AD398" s="1" t="n"/>
      <c r="AE398" s="1" t="n"/>
    </row>
    <row r="399" ht="42" customHeight="1">
      <c r="A399" s="14">
        <f>IFERROR(__xludf.DUMMYFUNCTION("""COMPUTED_VALUE"""),45469)</f>
        <v/>
      </c>
      <c r="B399" s="1">
        <f>IFERROR(__xludf.DUMMYFUNCTION("""COMPUTED_VALUE"""),"ORG_1321")</f>
        <v/>
      </c>
      <c r="C399" s="1">
        <f>IFERROR(__xludf.DUMMYFUNCTION("""COMPUTED_VALUE"""),TRUE)</f>
        <v/>
      </c>
      <c r="D399" s="1">
        <f>IFERROR(__xludf.DUMMYFUNCTION("""COMPUTED_VALUE"""),"Cybernetic Walrus")</f>
        <v/>
      </c>
      <c r="E399" s="15">
        <f>IFERROR(__xludf.DUMMYFUNCTION("""COMPUTED_VALUE"""),"http://www.cyberneticwalrus.be/")</f>
        <v/>
      </c>
      <c r="F399" s="1" t="n"/>
      <c r="G399" s="1">
        <f>IFERROR(__xludf.DUMMYFUNCTION("""COMPUTED_VALUE"""),"edtechstation")</f>
        <v/>
      </c>
      <c r="H399" s="1" t="n"/>
      <c r="I399" s="1" t="n"/>
      <c r="J399" s="1" t="n"/>
      <c r="K399" s="1">
        <f>IFERROR(__xludf.DUMMYFUNCTION("""COMPUTED_VALUE"""),"ANTWERPEN")</f>
        <v/>
      </c>
      <c r="L399" s="1">
        <f>IFERROR(__xludf.DUMMYFUNCTION("""COMPUTED_VALUE"""),"Belgium")</f>
        <v/>
      </c>
      <c r="M399" s="1" t="n"/>
      <c r="N399" s="1" t="n"/>
      <c r="O399" s="1">
        <f>IFERROR(__xludf.DUMMYFUNCTION("""COMPUTED_VALUE"""),"Business to Business, Business to Government, Business to Schools")</f>
        <v/>
      </c>
      <c r="P399" s="1" t="n"/>
      <c r="Q399" s="1" t="n"/>
      <c r="R399" s="1" t="n"/>
      <c r="S399" s="1" t="n"/>
      <c r="T399" s="1" t="n"/>
      <c r="U399" s="1" t="n"/>
      <c r="V399" s="1" t="n"/>
      <c r="W399" s="1" t="n"/>
      <c r="X399" s="1" t="n"/>
      <c r="Y399" s="1" t="n"/>
      <c r="Z399" s="1">
        <f>IFERROR(__xludf.DUMMYFUNCTION("""COMPUTED_VALUE"""),"Unverified")</f>
        <v/>
      </c>
      <c r="AA399" s="1" t="n"/>
      <c r="AB399" s="1" t="n"/>
      <c r="AC399" s="1" t="n"/>
      <c r="AD399" s="1" t="n"/>
      <c r="AE399" s="1" t="n"/>
    </row>
    <row r="400" ht="42" customHeight="1">
      <c r="A400" s="14">
        <f>IFERROR(__xludf.DUMMYFUNCTION("""COMPUTED_VALUE"""),45469)</f>
        <v/>
      </c>
      <c r="B400" s="1">
        <f>IFERROR(__xludf.DUMMYFUNCTION("""COMPUTED_VALUE"""),"ORG_1337")</f>
        <v/>
      </c>
      <c r="C400" s="1">
        <f>IFERROR(__xludf.DUMMYFUNCTION("""COMPUTED_VALUE"""),TRUE)</f>
        <v/>
      </c>
      <c r="D400" s="1">
        <f>IFERROR(__xludf.DUMMYFUNCTION("""COMPUTED_VALUE"""),"DENKie")</f>
        <v/>
      </c>
      <c r="E400" s="15">
        <f>IFERROR(__xludf.DUMMYFUNCTION("""COMPUTED_VALUE"""),"https://denkie.com/")</f>
        <v/>
      </c>
      <c r="F400" s="1" t="n"/>
      <c r="G400" s="1">
        <f>IFERROR(__xludf.DUMMYFUNCTION("""COMPUTED_VALUE"""),"edtechstation")</f>
        <v/>
      </c>
      <c r="H400" s="1" t="n"/>
      <c r="I400" s="1" t="n"/>
      <c r="J400" s="1" t="n"/>
      <c r="K400" s="1">
        <f>IFERROR(__xludf.DUMMYFUNCTION("""COMPUTED_VALUE"""),"OOSTENDE")</f>
        <v/>
      </c>
      <c r="L400" s="1">
        <f>IFERROR(__xludf.DUMMYFUNCTION("""COMPUTED_VALUE"""),"Belgium")</f>
        <v/>
      </c>
      <c r="M400" s="1" t="n"/>
      <c r="N400" s="1" t="n"/>
      <c r="O400" s="1">
        <f>IFERROR(__xludf.DUMMYFUNCTION("""COMPUTED_VALUE"""),"Business to Business, Business to Government, Business to Schools")</f>
        <v/>
      </c>
      <c r="P400" s="1" t="n"/>
      <c r="Q400" s="1" t="n"/>
      <c r="R400" s="1" t="n"/>
      <c r="S400" s="1" t="n"/>
      <c r="T400" s="1" t="n"/>
      <c r="U400" s="1" t="n"/>
      <c r="V400" s="1" t="n"/>
      <c r="W400" s="1" t="n"/>
      <c r="X400" s="1" t="n"/>
      <c r="Y400" s="1" t="n"/>
      <c r="Z400" s="1">
        <f>IFERROR(__xludf.DUMMYFUNCTION("""COMPUTED_VALUE"""),"Unverified")</f>
        <v/>
      </c>
      <c r="AA400" s="1" t="n"/>
      <c r="AB400" s="1" t="n"/>
      <c r="AC400" s="1" t="n"/>
      <c r="AD400" s="1" t="n"/>
      <c r="AE400" s="1" t="n"/>
    </row>
    <row r="401" ht="42" customHeight="1">
      <c r="A401" s="14">
        <f>IFERROR(__xludf.DUMMYFUNCTION("""COMPUTED_VALUE"""),45469)</f>
        <v/>
      </c>
      <c r="B401" s="1">
        <f>IFERROR(__xludf.DUMMYFUNCTION("""COMPUTED_VALUE"""),"ORG_1349")</f>
        <v/>
      </c>
      <c r="C401" s="1">
        <f>IFERROR(__xludf.DUMMYFUNCTION("""COMPUTED_VALUE"""),TRUE)</f>
        <v/>
      </c>
      <c r="D401" s="1">
        <f>IFERROR(__xludf.DUMMYFUNCTION("""COMPUTED_VALUE"""),"Die Keure (KAI)")</f>
        <v/>
      </c>
      <c r="E401" s="15">
        <f>IFERROR(__xludf.DUMMYFUNCTION("""COMPUTED_VALUE"""),"https://www.diekeure.be/educatief/kabas/")</f>
        <v/>
      </c>
      <c r="F401" s="1" t="n"/>
      <c r="G401" s="1">
        <f>IFERROR(__xludf.DUMMYFUNCTION("""COMPUTED_VALUE"""),"edtechstation")</f>
        <v/>
      </c>
      <c r="H401" s="1" t="n"/>
      <c r="I401" s="1" t="n"/>
      <c r="J401" s="1" t="n"/>
      <c r="K401" s="1">
        <f>IFERROR(__xludf.DUMMYFUNCTION("""COMPUTED_VALUE"""),"BRUGGE")</f>
        <v/>
      </c>
      <c r="L401" s="1">
        <f>IFERROR(__xludf.DUMMYFUNCTION("""COMPUTED_VALUE"""),"Belgium")</f>
        <v/>
      </c>
      <c r="M401" s="1" t="n"/>
      <c r="N401" s="1" t="n"/>
      <c r="O401" s="1">
        <f>IFERROR(__xludf.DUMMYFUNCTION("""COMPUTED_VALUE"""),"Business to Government, Business to Schools")</f>
        <v/>
      </c>
      <c r="P401" s="1" t="n"/>
      <c r="Q401" s="1" t="n"/>
      <c r="R401" s="1" t="n"/>
      <c r="S401" s="1" t="n"/>
      <c r="T401" s="1" t="n"/>
      <c r="U401" s="1" t="n"/>
      <c r="V401" s="1" t="n"/>
      <c r="W401" s="1" t="n"/>
      <c r="X401" s="1" t="n"/>
      <c r="Y401" s="1" t="n"/>
      <c r="Z401" s="1">
        <f>IFERROR(__xludf.DUMMYFUNCTION("""COMPUTED_VALUE"""),"Unverified")</f>
        <v/>
      </c>
      <c r="AA401" s="1" t="n"/>
      <c r="AB401" s="1" t="n"/>
      <c r="AC401" s="1" t="n"/>
      <c r="AD401" s="1" t="n"/>
      <c r="AE401" s="1" t="n"/>
    </row>
    <row r="402" ht="42" customHeight="1">
      <c r="A402" s="14">
        <f>IFERROR(__xludf.DUMMYFUNCTION("""COMPUTED_VALUE"""),45469)</f>
        <v/>
      </c>
      <c r="B402" s="1">
        <f>IFERROR(__xludf.DUMMYFUNCTION("""COMPUTED_VALUE"""),"ORG_1569")</f>
        <v/>
      </c>
      <c r="C402" s="1">
        <f>IFERROR(__xludf.DUMMYFUNCTION("""COMPUTED_VALUE"""),TRUE)</f>
        <v/>
      </c>
      <c r="D402" s="1">
        <f>IFERROR(__xludf.DUMMYFUNCTION("""COMPUTED_VALUE"""),"Flowsparks")</f>
        <v/>
      </c>
      <c r="E402" s="15">
        <f>IFERROR(__xludf.DUMMYFUNCTION("""COMPUTED_VALUE"""),"https://www.flowsparks.com/")</f>
        <v/>
      </c>
      <c r="F402" s="1" t="n"/>
      <c r="G402" s="1">
        <f>IFERROR(__xludf.DUMMYFUNCTION("""COMPUTED_VALUE"""),"edtechstation")</f>
        <v/>
      </c>
      <c r="H402" s="1" t="n"/>
      <c r="I402" s="1" t="n"/>
      <c r="J402" s="1" t="n"/>
      <c r="K402" s="1">
        <f>IFERROR(__xludf.DUMMYFUNCTION("""COMPUTED_VALUE"""),"GENT")</f>
        <v/>
      </c>
      <c r="L402" s="1">
        <f>IFERROR(__xludf.DUMMYFUNCTION("""COMPUTED_VALUE"""),"Belgium")</f>
        <v/>
      </c>
      <c r="M402" s="1" t="n"/>
      <c r="N402" s="1" t="n"/>
      <c r="O402" s="1">
        <f>IFERROR(__xludf.DUMMYFUNCTION("""COMPUTED_VALUE"""),"Business to Schools, Business to Consumer")</f>
        <v/>
      </c>
      <c r="P402" s="1" t="n"/>
      <c r="Q402" s="1" t="n"/>
      <c r="R402" s="1" t="n"/>
      <c r="S402" s="1" t="n"/>
      <c r="T402" s="1" t="n"/>
      <c r="U402" s="1" t="n"/>
      <c r="V402" s="1" t="n"/>
      <c r="W402" s="1" t="n"/>
      <c r="X402" s="1" t="n"/>
      <c r="Y402" s="1" t="n"/>
      <c r="Z402" s="1">
        <f>IFERROR(__xludf.DUMMYFUNCTION("""COMPUTED_VALUE"""),"Unverified")</f>
        <v/>
      </c>
      <c r="AA402" s="1" t="n"/>
      <c r="AB402" s="1" t="n"/>
      <c r="AC402" s="1" t="n"/>
      <c r="AD402" s="1" t="n"/>
      <c r="AE402" s="1" t="n"/>
    </row>
    <row r="403" ht="42" customHeight="1">
      <c r="A403" s="14">
        <f>IFERROR(__xludf.DUMMYFUNCTION("""COMPUTED_VALUE"""),45469)</f>
        <v/>
      </c>
      <c r="B403" s="1">
        <f>IFERROR(__xludf.DUMMYFUNCTION("""COMPUTED_VALUE"""),"ORG_1654")</f>
        <v/>
      </c>
      <c r="C403" s="1">
        <f>IFERROR(__xludf.DUMMYFUNCTION("""COMPUTED_VALUE"""),TRUE)</f>
        <v/>
      </c>
      <c r="D403" s="1">
        <f>IFERROR(__xludf.DUMMYFUNCTION("""COMPUTED_VALUE"""),"Gynzy")</f>
        <v/>
      </c>
      <c r="E403" s="15">
        <f>IFERROR(__xludf.DUMMYFUNCTION("""COMPUTED_VALUE"""),"https://www.gynzy.com/nl-be")</f>
        <v/>
      </c>
      <c r="F403" s="1" t="n"/>
      <c r="G403" s="1">
        <f>IFERROR(__xludf.DUMMYFUNCTION("""COMPUTED_VALUE"""),"edtechstation")</f>
        <v/>
      </c>
      <c r="H403" s="1" t="n"/>
      <c r="I403" s="1" t="n"/>
      <c r="J403" s="1" t="n"/>
      <c r="K403" s="1">
        <f>IFERROR(__xludf.DUMMYFUNCTION("""COMPUTED_VALUE"""),"ANTWERPEN")</f>
        <v/>
      </c>
      <c r="L403" s="1">
        <f>IFERROR(__xludf.DUMMYFUNCTION("""COMPUTED_VALUE"""),"Belgium")</f>
        <v/>
      </c>
      <c r="M403" s="1" t="n"/>
      <c r="N403" s="1" t="n"/>
      <c r="O403" s="1">
        <f>IFERROR(__xludf.DUMMYFUNCTION("""COMPUTED_VALUE"""),"Business to Business, Business to Schools, Business to Consumer, Business to Government")</f>
        <v/>
      </c>
      <c r="P403" s="1" t="n"/>
      <c r="Q403" s="1" t="n"/>
      <c r="R403" s="1" t="n"/>
      <c r="S403" s="1" t="n"/>
      <c r="T403" s="1" t="n"/>
      <c r="U403" s="1" t="n"/>
      <c r="V403" s="1" t="n"/>
      <c r="W403" s="1" t="n"/>
      <c r="X403" s="1" t="n"/>
      <c r="Y403" s="1" t="n"/>
      <c r="Z403" s="1">
        <f>IFERROR(__xludf.DUMMYFUNCTION("""COMPUTED_VALUE"""),"Unverified")</f>
        <v/>
      </c>
      <c r="AA403" s="1" t="n"/>
      <c r="AB403" s="1" t="n"/>
      <c r="AC403" s="1" t="n"/>
      <c r="AD403" s="1" t="n"/>
      <c r="AE403" s="1" t="n"/>
    </row>
    <row r="404" ht="42" customHeight="1">
      <c r="A404" s="14">
        <f>IFERROR(__xludf.DUMMYFUNCTION("""COMPUTED_VALUE"""),45469)</f>
        <v/>
      </c>
      <c r="B404" s="1">
        <f>IFERROR(__xludf.DUMMYFUNCTION("""COMPUTED_VALUE"""),"ORG_1816")</f>
        <v/>
      </c>
      <c r="C404" s="1">
        <f>IFERROR(__xludf.DUMMYFUNCTION("""COMPUTED_VALUE"""),TRUE)</f>
        <v/>
      </c>
      <c r="D404" s="1">
        <f>IFERROR(__xludf.DUMMYFUNCTION("""COMPUTED_VALUE"""),"Laurea")</f>
        <v/>
      </c>
      <c r="E404" s="15">
        <f>IFERROR(__xludf.DUMMYFUNCTION("""COMPUTED_VALUE"""),"https://www.laurea.be/")</f>
        <v/>
      </c>
      <c r="F404" s="1" t="n"/>
      <c r="G404" s="1">
        <f>IFERROR(__xludf.DUMMYFUNCTION("""COMPUTED_VALUE"""),"edtechstation")</f>
        <v/>
      </c>
      <c r="H404" s="1" t="n"/>
      <c r="I404" s="1" t="n"/>
      <c r="J404" s="1" t="n"/>
      <c r="K404" s="1">
        <f>IFERROR(__xludf.DUMMYFUNCTION("""COMPUTED_VALUE"""),"BRUSSELS")</f>
        <v/>
      </c>
      <c r="L404" s="1">
        <f>IFERROR(__xludf.DUMMYFUNCTION("""COMPUTED_VALUE"""),"Belgium")</f>
        <v/>
      </c>
      <c r="M404" s="1" t="n"/>
      <c r="N404" s="1" t="n"/>
      <c r="O404" s="1">
        <f>IFERROR(__xludf.DUMMYFUNCTION("""COMPUTED_VALUE"""),"Business to Business, Business to Schools, Business to Government")</f>
        <v/>
      </c>
      <c r="P404" s="1" t="n"/>
      <c r="Q404" s="1" t="n"/>
      <c r="R404" s="1" t="n"/>
      <c r="S404" s="1" t="n"/>
      <c r="T404" s="1" t="n"/>
      <c r="U404" s="1" t="n"/>
      <c r="V404" s="1" t="n"/>
      <c r="W404" s="1" t="n"/>
      <c r="X404" s="1" t="n"/>
      <c r="Y404" s="1" t="n"/>
      <c r="Z404" s="1">
        <f>IFERROR(__xludf.DUMMYFUNCTION("""COMPUTED_VALUE"""),"Unverified")</f>
        <v/>
      </c>
      <c r="AA404" s="1" t="n"/>
      <c r="AB404" s="1" t="n"/>
      <c r="AC404" s="1" t="n"/>
      <c r="AD404" s="1" t="n"/>
      <c r="AE404" s="1" t="n"/>
    </row>
    <row r="405" ht="42" customHeight="1">
      <c r="A405" s="14">
        <f>IFERROR(__xludf.DUMMYFUNCTION("""COMPUTED_VALUE"""),45469)</f>
        <v/>
      </c>
      <c r="B405" s="1">
        <f>IFERROR(__xludf.DUMMYFUNCTION("""COMPUTED_VALUE"""),"ORG_1866")</f>
        <v/>
      </c>
      <c r="C405" s="1">
        <f>IFERROR(__xludf.DUMMYFUNCTION("""COMPUTED_VALUE"""),TRUE)</f>
        <v/>
      </c>
      <c r="D405" s="1">
        <f>IFERROR(__xludf.DUMMYFUNCTION("""COMPUTED_VALUE"""),"Lexima België")</f>
        <v/>
      </c>
      <c r="E405" s="15">
        <f>IFERROR(__xludf.DUMMYFUNCTION("""COMPUTED_VALUE"""),"https://lexima.be/")</f>
        <v/>
      </c>
      <c r="F405" s="1" t="n"/>
      <c r="G405" s="1">
        <f>IFERROR(__xludf.DUMMYFUNCTION("""COMPUTED_VALUE"""),"edtechstation")</f>
        <v/>
      </c>
      <c r="H405" s="1" t="n"/>
      <c r="I405" s="1" t="n"/>
      <c r="J405" s="1" t="n"/>
      <c r="K405" s="1">
        <f>IFERROR(__xludf.DUMMYFUNCTION("""COMPUTED_VALUE"""),"JABBEKE")</f>
        <v/>
      </c>
      <c r="L405" s="1">
        <f>IFERROR(__xludf.DUMMYFUNCTION("""COMPUTED_VALUE"""),"Belgium")</f>
        <v/>
      </c>
      <c r="M405" s="1" t="n"/>
      <c r="N405" s="1" t="n"/>
      <c r="O405" s="1">
        <f>IFERROR(__xludf.DUMMYFUNCTION("""COMPUTED_VALUE"""),"Business to Business, Business to Government")</f>
        <v/>
      </c>
      <c r="P405" s="1" t="n"/>
      <c r="Q405" s="1" t="n"/>
      <c r="R405" s="1" t="n"/>
      <c r="S405" s="1" t="n"/>
      <c r="T405" s="1" t="n"/>
      <c r="U405" s="1" t="n"/>
      <c r="V405" s="1" t="n"/>
      <c r="W405" s="1" t="n"/>
      <c r="X405" s="1" t="n"/>
      <c r="Y405" s="1" t="n"/>
      <c r="Z405" s="1">
        <f>IFERROR(__xludf.DUMMYFUNCTION("""COMPUTED_VALUE"""),"Unverified")</f>
        <v/>
      </c>
      <c r="AA405" s="1" t="n"/>
      <c r="AB405" s="1" t="n"/>
      <c r="AC405" s="1" t="n"/>
      <c r="AD405" s="1" t="n"/>
      <c r="AE405" s="1" t="n"/>
    </row>
    <row r="406" ht="42" customHeight="1">
      <c r="A406" s="14">
        <f>IFERROR(__xludf.DUMMYFUNCTION("""COMPUTED_VALUE"""),45469)</f>
        <v/>
      </c>
      <c r="B406" s="1">
        <f>IFERROR(__xludf.DUMMYFUNCTION("""COMPUTED_VALUE"""),"ORG_1867")</f>
        <v/>
      </c>
      <c r="C406" s="1">
        <f>IFERROR(__xludf.DUMMYFUNCTION("""COMPUTED_VALUE"""),TRUE)</f>
        <v/>
      </c>
      <c r="D406" s="1">
        <f>IFERROR(__xludf.DUMMYFUNCTION("""COMPUTED_VALUE"""),"Lexima Nederland")</f>
        <v/>
      </c>
      <c r="E406" s="15">
        <f>IFERROR(__xludf.DUMMYFUNCTION("""COMPUTED_VALUE"""),"https://lexima.nl/")</f>
        <v/>
      </c>
      <c r="F406" s="1" t="n"/>
      <c r="G406" s="1">
        <f>IFERROR(__xludf.DUMMYFUNCTION("""COMPUTED_VALUE"""),"edtechstation")</f>
        <v/>
      </c>
      <c r="H406" s="1" t="n"/>
      <c r="I406" s="1" t="n"/>
      <c r="J406" s="1" t="n"/>
      <c r="K406" s="1">
        <f>IFERROR(__xludf.DUMMYFUNCTION("""COMPUTED_VALUE"""),"LEUSDEN")</f>
        <v/>
      </c>
      <c r="L406" s="1">
        <f>IFERROR(__xludf.DUMMYFUNCTION("""COMPUTED_VALUE"""),"Belgium")</f>
        <v/>
      </c>
      <c r="M406" s="1" t="n"/>
      <c r="N406" s="1" t="n"/>
      <c r="O406" s="1" t="n"/>
      <c r="P406" s="1" t="n"/>
      <c r="Q406" s="1" t="n"/>
      <c r="R406" s="1" t="n"/>
      <c r="S406" s="1" t="n"/>
      <c r="T406" s="1" t="n"/>
      <c r="U406" s="1" t="n"/>
      <c r="V406" s="1" t="n"/>
      <c r="W406" s="1" t="n"/>
      <c r="X406" s="1" t="n"/>
      <c r="Y406" s="1" t="n"/>
      <c r="Z406" s="1">
        <f>IFERROR(__xludf.DUMMYFUNCTION("""COMPUTED_VALUE"""),"Unverified")</f>
        <v/>
      </c>
      <c r="AA406" s="1" t="n"/>
      <c r="AB406" s="1" t="n"/>
      <c r="AC406" s="1" t="n"/>
      <c r="AD406" s="1" t="n"/>
      <c r="AE406" s="1" t="n"/>
    </row>
    <row r="407" ht="42" customHeight="1">
      <c r="A407" s="14">
        <f>IFERROR(__xludf.DUMMYFUNCTION("""COMPUTED_VALUE"""),45469)</f>
        <v/>
      </c>
      <c r="B407" s="1">
        <f>IFERROR(__xludf.DUMMYFUNCTION("""COMPUTED_VALUE"""),"ORG_2456")</f>
        <v/>
      </c>
      <c r="C407" s="1">
        <f>IFERROR(__xludf.DUMMYFUNCTION("""COMPUTED_VALUE"""),TRUE)</f>
        <v/>
      </c>
      <c r="D407" s="1">
        <f>IFERROR(__xludf.DUMMYFUNCTION("""COMPUTED_VALUE"""),"UlIA")</f>
        <v/>
      </c>
      <c r="E407" s="15">
        <f>IFERROR(__xludf.DUMMYFUNCTION("""COMPUTED_VALUE"""),"https://www.ulia.be/")</f>
        <v/>
      </c>
      <c r="F407" s="1" t="n"/>
      <c r="G407" s="1">
        <f>IFERROR(__xludf.DUMMYFUNCTION("""COMPUTED_VALUE"""),"edtechstation")</f>
        <v/>
      </c>
      <c r="H407" s="1" t="n"/>
      <c r="I407" s="1" t="n"/>
      <c r="J407" s="1" t="n"/>
      <c r="K407" s="1">
        <f>IFERROR(__xludf.DUMMYFUNCTION("""COMPUTED_VALUE"""),"GENT")</f>
        <v/>
      </c>
      <c r="L407" s="1">
        <f>IFERROR(__xludf.DUMMYFUNCTION("""COMPUTED_VALUE"""),"Belgium")</f>
        <v/>
      </c>
      <c r="M407" s="1" t="n"/>
      <c r="N407" s="1" t="n"/>
      <c r="O407" s="1" t="n"/>
      <c r="P407" s="1" t="n"/>
      <c r="Q407" s="1" t="n"/>
      <c r="R407" s="1" t="n"/>
      <c r="S407" s="1" t="n"/>
      <c r="T407" s="1" t="n"/>
      <c r="U407" s="1" t="n"/>
      <c r="V407" s="1" t="n"/>
      <c r="W407" s="1" t="n"/>
      <c r="X407" s="1" t="n"/>
      <c r="Y407" s="1" t="n"/>
      <c r="Z407" s="1">
        <f>IFERROR(__xludf.DUMMYFUNCTION("""COMPUTED_VALUE"""),"Unverified")</f>
        <v/>
      </c>
      <c r="AA407" s="1" t="n"/>
      <c r="AB407" s="1" t="n"/>
      <c r="AC407" s="1" t="n"/>
      <c r="AD407" s="1" t="n"/>
      <c r="AE407" s="1" t="n"/>
    </row>
    <row r="408" ht="42" customHeight="1">
      <c r="A408" s="14">
        <f>IFERROR(__xludf.DUMMYFUNCTION("""COMPUTED_VALUE"""),45469)</f>
        <v/>
      </c>
      <c r="B408" s="1">
        <f>IFERROR(__xludf.DUMMYFUNCTION("""COMPUTED_VALUE"""),"ORG_2477")</f>
        <v/>
      </c>
      <c r="C408" s="1">
        <f>IFERROR(__xludf.DUMMYFUNCTION("""COMPUTED_VALUE"""),TRUE)</f>
        <v/>
      </c>
      <c r="D408" s="1">
        <f>IFERROR(__xludf.DUMMYFUNCTION("""COMPUTED_VALUE"""),"UQalify")</f>
        <v/>
      </c>
      <c r="E408" s="15">
        <f>IFERROR(__xludf.DUMMYFUNCTION("""COMPUTED_VALUE"""),"https://uqalify.com/")</f>
        <v/>
      </c>
      <c r="F408" s="1" t="n"/>
      <c r="G408" s="1">
        <f>IFERROR(__xludf.DUMMYFUNCTION("""COMPUTED_VALUE"""),"edtechstation")</f>
        <v/>
      </c>
      <c r="H408" s="1" t="n"/>
      <c r="I408" s="1" t="n"/>
      <c r="J408" s="1" t="n"/>
      <c r="K408" s="1">
        <f>IFERROR(__xludf.DUMMYFUNCTION("""COMPUTED_VALUE"""),"ANTWERPEN")</f>
        <v/>
      </c>
      <c r="L408" s="1">
        <f>IFERROR(__xludf.DUMMYFUNCTION("""COMPUTED_VALUE"""),"Belgium")</f>
        <v/>
      </c>
      <c r="M408" s="1" t="n"/>
      <c r="N408" s="1" t="n"/>
      <c r="O408" s="1" t="n"/>
      <c r="P408" s="1" t="n"/>
      <c r="Q408" s="1" t="n"/>
      <c r="R408" s="1" t="n"/>
      <c r="S408" s="1" t="n"/>
      <c r="T408" s="1" t="n"/>
      <c r="U408" s="1" t="n"/>
      <c r="V408" s="1" t="n"/>
      <c r="W408" s="1" t="n"/>
      <c r="X408" s="1" t="n"/>
      <c r="Y408" s="1" t="n"/>
      <c r="Z408" s="1">
        <f>IFERROR(__xludf.DUMMYFUNCTION("""COMPUTED_VALUE"""),"Unverified")</f>
        <v/>
      </c>
      <c r="AA408" s="1" t="n"/>
      <c r="AB408" s="1" t="n"/>
      <c r="AC408" s="1" t="n"/>
      <c r="AD408" s="1" t="n"/>
      <c r="AE408" s="1" t="n"/>
    </row>
    <row r="409" ht="42" customHeight="1">
      <c r="A409" s="14">
        <f>IFERROR(__xludf.DUMMYFUNCTION("""COMPUTED_VALUE"""),45469)</f>
        <v/>
      </c>
      <c r="B409" s="1">
        <f>IFERROR(__xludf.DUMMYFUNCTION("""COMPUTED_VALUE"""),"ORG_2561")</f>
        <v/>
      </c>
      <c r="C409" s="1">
        <f>IFERROR(__xludf.DUMMYFUNCTION("""COMPUTED_VALUE"""),TRUE)</f>
        <v/>
      </c>
      <c r="D409" s="1">
        <f>IFERROR(__xludf.DUMMYFUNCTION("""COMPUTED_VALUE"""),"Xylos Neo Learning")</f>
        <v/>
      </c>
      <c r="E409" s="15">
        <f>IFERROR(__xludf.DUMMYFUNCTION("""COMPUTED_VALUE"""),"https://neolearning.eu/")</f>
        <v/>
      </c>
      <c r="F409" s="1" t="n"/>
      <c r="G409" s="1">
        <f>IFERROR(__xludf.DUMMYFUNCTION("""COMPUTED_VALUE"""),"edtechstation")</f>
        <v/>
      </c>
      <c r="H409" s="1" t="n"/>
      <c r="I409" s="1" t="n"/>
      <c r="J409" s="1" t="n"/>
      <c r="K409" s="1">
        <f>IFERROR(__xludf.DUMMYFUNCTION("""COMPUTED_VALUE"""),"ANTWERPEN")</f>
        <v/>
      </c>
      <c r="L409" s="1">
        <f>IFERROR(__xludf.DUMMYFUNCTION("""COMPUTED_VALUE"""),"Belgium")</f>
        <v/>
      </c>
      <c r="M409" s="1" t="n"/>
      <c r="N409" s="1" t="n"/>
      <c r="O409" s="1" t="n"/>
      <c r="P409" s="1" t="n"/>
      <c r="Q409" s="1" t="n"/>
      <c r="R409" s="1" t="n"/>
      <c r="S409" s="1" t="n"/>
      <c r="T409" s="1" t="n"/>
      <c r="U409" s="1" t="n"/>
      <c r="V409" s="1" t="n"/>
      <c r="W409" s="1" t="n"/>
      <c r="X409" s="1" t="n"/>
      <c r="Y409" s="1" t="n"/>
      <c r="Z409" s="1">
        <f>IFERROR(__xludf.DUMMYFUNCTION("""COMPUTED_VALUE"""),"Unverified")</f>
        <v/>
      </c>
      <c r="AA409" s="1" t="n"/>
      <c r="AB409" s="1" t="n"/>
      <c r="AC409" s="1" t="n"/>
      <c r="AD409" s="1" t="n"/>
      <c r="AE409" s="1" t="n"/>
    </row>
    <row r="410" ht="42" customHeight="1">
      <c r="A410" s="14">
        <f>IFERROR(__xludf.DUMMYFUNCTION("""COMPUTED_VALUE"""),45467)</f>
        <v/>
      </c>
      <c r="B410" s="1">
        <f>IFERROR(__xludf.DUMMYFUNCTION("""COMPUTED_VALUE"""),"ORG_1535")</f>
        <v/>
      </c>
      <c r="C410" s="1">
        <f>IFERROR(__xludf.DUMMYFUNCTION("""COMPUTED_VALUE"""),TRUE)</f>
        <v/>
      </c>
      <c r="D410" s="1">
        <f>IFERROR(__xludf.DUMMYFUNCTION("""COMPUTED_VALUE"""),"eWorking")</f>
        <v/>
      </c>
      <c r="E410" s="15">
        <f>IFERROR(__xludf.DUMMYFUNCTION("""COMPUTED_VALUE"""),"eworking.it")</f>
        <v/>
      </c>
      <c r="F410" s="1">
        <f>IFERROR(__xludf.DUMMYFUNCTION("""COMPUTED_VALUE"""),"Adaptive learning experience platform based on NeLP® (Neuroscientific Learning Pattern) that improve adult learning rate through brain-friendly designed content; powered by artificial intelligence for real time adaptivity and dynamic learning measurement "&amp;"and evaluation.")</f>
        <v/>
      </c>
      <c r="G410" s="1">
        <f>IFERROR(__xludf.DUMMYFUNCTION("""COMPUTED_VALUE"""),"EdTech Italia")</f>
        <v/>
      </c>
      <c r="H410" s="1">
        <f>IFERROR(__xludf.DUMMYFUNCTION("""COMPUTED_VALUE"""),"English, French, Polish, Indian")</f>
        <v/>
      </c>
      <c r="I410" s="1">
        <f>IFERROR(__xludf.DUMMYFUNCTION("""COMPUTED_VALUE"""),"contact@eworking.it")</f>
        <v/>
      </c>
      <c r="J410" s="1" t="n"/>
      <c r="K410" s="1">
        <f>IFERROR(__xludf.DUMMYFUNCTION("""COMPUTED_VALUE"""),"PESCARA")</f>
        <v/>
      </c>
      <c r="L410" s="1">
        <f>IFERROR(__xludf.DUMMYFUNCTION("""COMPUTED_VALUE"""),"Italy")</f>
        <v/>
      </c>
      <c r="M410" s="1">
        <f>IFERROR(__xludf.DUMMYFUNCTION("""COMPUTED_VALUE"""),"Italy")</f>
        <v/>
      </c>
      <c r="N410" s="1">
        <f>IFERROR(__xludf.DUMMYFUNCTION("""COMPUTED_VALUE"""),"0 to 2")</f>
        <v/>
      </c>
      <c r="O410" s="1">
        <f>IFERROR(__xludf.DUMMYFUNCTION("""COMPUTED_VALUE"""),"Business to Business, Business to Schools, Business to Consumer, Business to Government")</f>
        <v/>
      </c>
      <c r="P410" s="1">
        <f>IFERROR(__xludf.DUMMYFUNCTION("""COMPUTED_VALUE"""),"Corporate Training, Lifelong learning/Adult education")</f>
        <v/>
      </c>
      <c r="Q410" s="1">
        <f>IFERROR(__xludf.DUMMYFUNCTION("""COMPUTED_VALUE"""),"System/Administrative, Student interfacing")</f>
        <v/>
      </c>
      <c r="R410" s="15">
        <f>IFERROR(__xludf.DUMMYFUNCTION("""COMPUTED_VALUE"""),"https://www.instagram.com/eworking.it/")</f>
        <v/>
      </c>
      <c r="S410" s="1" t="n"/>
      <c r="T410" s="15">
        <f>IFERROR(__xludf.DUMMYFUNCTION("""COMPUTED_VALUE"""),"https://www.linkedin.com/company/eworking/")</f>
        <v/>
      </c>
      <c r="U410" s="1">
        <f>IFERROR(__xludf.DUMMYFUNCTION("""COMPUTED_VALUE"""),"NeLP®")</f>
        <v/>
      </c>
      <c r="V410" s="1">
        <f>IFERROR(__xludf.DUMMYFUNCTION("""COMPUTED_VALUE"""),"NeLP® (Neuroscientifc Learning Pattern) is a learning design methodology that allows to create brain-friendly educational content.")</f>
        <v/>
      </c>
      <c r="W410" s="1">
        <f>IFERROR(__xludf.DUMMYFUNCTION("""COMPUTED_VALUE"""),"NeLPx")</f>
        <v/>
      </c>
      <c r="X410" s="1">
        <f>IFERROR(__xludf.DUMMYFUNCTION("""COMPUTED_VALUE"""),"NeLPx is the LXP (Learning Experience Platform) based on NeLP®: it's a real time adaptive platform for each user, powered by A.I.")</f>
        <v/>
      </c>
      <c r="Y410" s="15">
        <f>IFERROR(__xludf.DUMMYFUNCTION("""COMPUTED_VALUE"""),"https://drive.google.com/uc?export=view&amp;id=13qNKJfXDG2UBpRQF-FV-xMKaVYU4KrOx")</f>
        <v/>
      </c>
      <c r="Z410" s="1">
        <f>IFERROR(__xludf.DUMMYFUNCTION("""COMPUTED_VALUE"""),"Unverified")</f>
        <v/>
      </c>
      <c r="AA410" s="1" t="n"/>
      <c r="AB410" s="1" t="n"/>
      <c r="AC410" s="1" t="n"/>
      <c r="AD410" s="1" t="n"/>
      <c r="AE410" s="1" t="n"/>
    </row>
    <row r="411" ht="42" customHeight="1">
      <c r="A411" s="14">
        <f>IFERROR(__xludf.DUMMYFUNCTION("""COMPUTED_VALUE"""),45467)</f>
        <v/>
      </c>
      <c r="B411" s="1">
        <f>IFERROR(__xludf.DUMMYFUNCTION("""COMPUTED_VALUE"""),"ORG_1598")</f>
        <v/>
      </c>
      <c r="C411" s="1">
        <f>IFERROR(__xludf.DUMMYFUNCTION("""COMPUTED_VALUE"""),TRUE)</f>
        <v/>
      </c>
      <c r="D411" s="1">
        <f>IFERROR(__xludf.DUMMYFUNCTION("""COMPUTED_VALUE"""),"Future Horizons Education")</f>
        <v/>
      </c>
      <c r="E411" s="15">
        <f>IFERROR(__xludf.DUMMYFUNCTION("""COMPUTED_VALUE"""),"https://www.futurehorizonseducation.com/")</f>
        <v/>
      </c>
      <c r="F411" s="1">
        <f>IFERROR(__xludf.DUMMYFUNCTION("""COMPUTED_VALUE"""),"At Future Horizons Education, we are supporting education institutions by integrating AI and data analytics to provide tailored curriculum designs, data-driven insights and cutting-edge solutions for school, colleges and universities to support staff and "&amp;"prepare learners for the future.")</f>
        <v/>
      </c>
      <c r="G411" s="1">
        <f>IFERROR(__xludf.DUMMYFUNCTION("""COMPUTED_VALUE"""),"I'm not part of any EdTech association")</f>
        <v/>
      </c>
      <c r="H411" s="1">
        <f>IFERROR(__xludf.DUMMYFUNCTION("""COMPUTED_VALUE"""),"English, French")</f>
        <v/>
      </c>
      <c r="I411" s="1">
        <f>IFERROR(__xludf.DUMMYFUNCTION("""COMPUTED_VALUE"""),"info@futurehorizonseducation.com")</f>
        <v/>
      </c>
      <c r="J411" s="1">
        <f>IFERROR(__xludf.DUMMYFUNCTION("""COMPUTED_VALUE"""),"+447872941452")</f>
        <v/>
      </c>
      <c r="K411" s="1">
        <f>IFERROR(__xludf.DUMMYFUNCTION("""COMPUTED_VALUE"""),"Bridgend, Wales")</f>
        <v/>
      </c>
      <c r="L411" s="1">
        <f>IFERROR(__xludf.DUMMYFUNCTION("""COMPUTED_VALUE"""),"United Kingdom")</f>
        <v/>
      </c>
      <c r="M411" s="1">
        <f>IFERROR(__xludf.DUMMYFUNCTION("""COMPUTED_VALUE"""),"Switzerland, United Kingdom")</f>
        <v/>
      </c>
      <c r="N411" s="1">
        <f>IFERROR(__xludf.DUMMYFUNCTION("""COMPUTED_VALUE"""),"3 to 5")</f>
        <v/>
      </c>
      <c r="O411" s="1">
        <f>IFERROR(__xludf.DUMMYFUNCTION("""COMPUTED_VALUE"""),"Business to Business, Business to Schools, Business to Consumer, Business to Government")</f>
        <v/>
      </c>
      <c r="P411" s="1">
        <f>IFERROR(__xludf.DUMMYFUNCTION("""COMPUTED_VALUE"""),"Primary Education, Secondary Education, Corporate Training, Lifelong learning/Adult education, Vocational Education and Training (VET), Higher Education")</f>
        <v/>
      </c>
      <c r="Q411" s="1">
        <f>IFERROR(__xludf.DUMMYFUNCTION("""COMPUTED_VALUE"""),"Student interfacing, Teacher interfacing, System/Administrative")</f>
        <v/>
      </c>
      <c r="R411" s="1" t="n"/>
      <c r="S411" s="15">
        <f>IFERROR(__xludf.DUMMYFUNCTION("""COMPUTED_VALUE"""),"https://x.com/FutureHori56378")</f>
        <v/>
      </c>
      <c r="T411" s="15">
        <f>IFERROR(__xludf.DUMMYFUNCTION("""COMPUTED_VALUE"""),"https://www.linkedin.com/company/future-horizons-education/?viewAsMember=true")</f>
        <v/>
      </c>
      <c r="U411" s="1">
        <f>IFERROR(__xludf.DUMMYFUNCTION("""COMPUTED_VALUE"""),"Curriculum AI")</f>
        <v/>
      </c>
      <c r="V411" s="1">
        <f>IFERROR(__xludf.DUMMYFUNCTION("""COMPUTED_VALUE"""),"Backed by state-of-the-art technology and data-driven insights Future Horizons Education’s Curriculum AI solution transforms educational processes with its cutting-edge AI-powered processes, enhancing curriculum design, streamlining curriculum reviews, pr"&amp;"oviding educators and institutions with the most relevant and high-quality information and delivering relevant courses that will appeal to prospective students.")</f>
        <v/>
      </c>
      <c r="W411" s="1" t="n"/>
      <c r="X411" s="1" t="n"/>
      <c r="Y411" s="15">
        <f>IFERROR(__xludf.DUMMYFUNCTION("""COMPUTED_VALUE"""),"https://drive.google.com/uc?export=view&amp;id=1bUPEk2zZot9Phg5yrvJ3mCyBwZOZoSEb")</f>
        <v/>
      </c>
      <c r="Z411" s="1">
        <f>IFERROR(__xludf.DUMMYFUNCTION("""COMPUTED_VALUE"""),"Unverified")</f>
        <v/>
      </c>
      <c r="AA411" s="1" t="n"/>
      <c r="AB411" s="1" t="n"/>
      <c r="AC411" s="1" t="n"/>
      <c r="AD411" s="1" t="n"/>
      <c r="AE411" s="1" t="n"/>
    </row>
    <row r="412" ht="42" customHeight="1">
      <c r="A412" s="14">
        <f>IFERROR(__xludf.DUMMYFUNCTION("""COMPUTED_VALUE"""),45467)</f>
        <v/>
      </c>
      <c r="B412" s="1">
        <f>IFERROR(__xludf.DUMMYFUNCTION("""COMPUTED_VALUE"""),"ORG_2229")</f>
        <v/>
      </c>
      <c r="C412" s="1">
        <f>IFERROR(__xludf.DUMMYFUNCTION("""COMPUTED_VALUE"""),TRUE)</f>
        <v/>
      </c>
      <c r="D412" s="1">
        <f>IFERROR(__xludf.DUMMYFUNCTION("""COMPUTED_VALUE"""),"SentiraXR")</f>
        <v/>
      </c>
      <c r="E412" s="15">
        <f>IFERROR(__xludf.DUMMYFUNCTION("""COMPUTED_VALUE"""),"www.sentiraxr.com")</f>
        <v/>
      </c>
      <c r="F412" s="1">
        <f>IFERROR(__xludf.DUMMYFUNCTION("""COMPUTED_VALUE"""),"At Sentira XR, we create advanced extended-reality training simulations for the medical field. Our immersive environments, enhanced with natural language processing, enable medical students to interact with virtual AI patients, improving clinical reasonin"&amp;"g and decision-making skills.
Our versatile, resource-efficient solutions can be used independently or alongside traditional healthcare training methods. We offer realistic VR experiences and desktop/mobile applications covering a range of medical scenari"&amp;"os. These detailed simulations foster a 'sense of presence,' helping students develop empathy and practical skills. Available 24/7, our scalable, on-demand training ensures continuous access to essential practice.
Our team’s extensive experience in medica"&amp;"l training and VR/AI technology has allowed us to develop a groundbreaking portfolio for higher education and healthcare training. We are proud to have received funding from Innovate UK and to be part of the NHS London Procurement Partnership.")</f>
        <v/>
      </c>
      <c r="G412" s="1">
        <f>IFERROR(__xludf.DUMMYFUNCTION("""COMPUTED_VALUE"""),"I'm not part of any EdTech association")</f>
        <v/>
      </c>
      <c r="H412" s="1">
        <f>IFERROR(__xludf.DUMMYFUNCTION("""COMPUTED_VALUE"""),"English")</f>
        <v/>
      </c>
      <c r="I412" s="1">
        <f>IFERROR(__xludf.DUMMYFUNCTION("""COMPUTED_VALUE"""),"jeremy.carter@sentiraxr.com")</f>
        <v/>
      </c>
      <c r="J412" s="1">
        <f>IFERROR(__xludf.DUMMYFUNCTION("""COMPUTED_VALUE"""),"+44 7921786880")</f>
        <v/>
      </c>
      <c r="K412" s="1">
        <f>IFERROR(__xludf.DUMMYFUNCTION("""COMPUTED_VALUE"""),"MANCHESTER")</f>
        <v/>
      </c>
      <c r="L412" s="1">
        <f>IFERROR(__xludf.DUMMYFUNCTION("""COMPUTED_VALUE"""),"United Kingdom")</f>
        <v/>
      </c>
      <c r="M412" s="1">
        <f>IFERROR(__xludf.DUMMYFUNCTION("""COMPUTED_VALUE"""),"United Kingdom")</f>
        <v/>
      </c>
      <c r="N412" s="1">
        <f>IFERROR(__xludf.DUMMYFUNCTION("""COMPUTED_VALUE"""),"3 to 5")</f>
        <v/>
      </c>
      <c r="O412" s="1">
        <f>IFERROR(__xludf.DUMMYFUNCTION("""COMPUTED_VALUE"""),"Business to Business, Business to Government")</f>
        <v/>
      </c>
      <c r="P412" s="1">
        <f>IFERROR(__xludf.DUMMYFUNCTION("""COMPUTED_VALUE"""),"Lifelong learning/Adult education, Vocational Education and Training (VET), Higher Education")</f>
        <v/>
      </c>
      <c r="Q412" s="1">
        <f>IFERROR(__xludf.DUMMYFUNCTION("""COMPUTED_VALUE"""),"Student interfacing, Teacher interfacing, System/Administrative")</f>
        <v/>
      </c>
      <c r="R412" s="1" t="n"/>
      <c r="S412" s="15">
        <f>IFERROR(__xludf.DUMMYFUNCTION("""COMPUTED_VALUE"""),"https://x.com/SentiraXR")</f>
        <v/>
      </c>
      <c r="T412" s="15">
        <f>IFERROR(__xludf.DUMMYFUNCTION("""COMPUTED_VALUE"""),"https://www.linkedin.com/company/sentira-xr/")</f>
        <v/>
      </c>
      <c r="U412" s="1">
        <f>IFERROR(__xludf.DUMMYFUNCTION("""COMPUTED_VALUE"""),"SentiraXR")</f>
        <v/>
      </c>
      <c r="V412" s="1">
        <f>IFERROR(__xludf.DUMMYFUNCTION("""COMPUTED_VALUE"""),"Sentira XR offers advanced extended reality training simulations for medical and healthcare education. Our immersive environments, enhanced with natural language processing, allow students to interact with virtual AI patients, improving clinical reasoning"&amp;" and decision-making skills. These versatile, resource-efficient solutions can complement traditional training methods or be used independently. Available 24/7, our scalable, on-demand VR experiences cover a wide range of medical scenarios, fostering empa"&amp;"thy and practical skills development.")</f>
        <v/>
      </c>
      <c r="W412" s="1" t="n"/>
      <c r="X412" s="1" t="n"/>
      <c r="Y412" s="15">
        <f>IFERROR(__xludf.DUMMYFUNCTION("""COMPUTED_VALUE"""),"https://drive.google.com/uc?export=view&amp;id=1bVRbQFiresO2WZ4OysIzVcZFULkiTvrZ")</f>
        <v/>
      </c>
      <c r="Z412" s="1">
        <f>IFERROR(__xludf.DUMMYFUNCTION("""COMPUTED_VALUE"""),"Unverified")</f>
        <v/>
      </c>
      <c r="AA412" s="1" t="n"/>
      <c r="AB412" s="1" t="n"/>
      <c r="AC412" s="1" t="n"/>
      <c r="AD412" s="1" t="n"/>
      <c r="AE412" s="1" t="n"/>
    </row>
    <row r="413" ht="42" customHeight="1">
      <c r="A413" s="14">
        <f>IFERROR(__xludf.DUMMYFUNCTION("""COMPUTED_VALUE"""),45467)</f>
        <v/>
      </c>
      <c r="B413" s="1">
        <f>IFERROR(__xludf.DUMMYFUNCTION("""COMPUTED_VALUE"""),"ORG_1193")</f>
        <v/>
      </c>
      <c r="C413" s="1">
        <f>IFERROR(__xludf.DUMMYFUNCTION("""COMPUTED_VALUE"""),TRUE)</f>
        <v/>
      </c>
      <c r="D413" s="1">
        <f>IFERROR(__xludf.DUMMYFUNCTION("""COMPUTED_VALUE"""),"BrainCore Solutions")</f>
        <v/>
      </c>
      <c r="E413" s="15">
        <f>IFERROR(__xludf.DUMMYFUNCTION("""COMPUTED_VALUE"""),"https://braincore.swiss/en/")</f>
        <v/>
      </c>
      <c r="F413" s="1">
        <f>IFERROR(__xludf.DUMMYFUNCTION("""COMPUTED_VALUE"""),"BrainCore brings an innovative approach to the acts of learning and teaching. We are building individualised learning paths based on the learner's profile (from the age of 12) in order to enhance both his/her motivation and performances. 
Using artificia"&amp;"l intelligence (AI), our solutions provide advice and guidance to optimize each learning experience. The outcomes of our method are to shorten the invested time and to extend the duration of long-term memories. 
Set your institution apart with the follow"&amp;"ing benefits: 
1. Offer your learners a motivating course tailored to their profile. By increasing their motivation and enjoyment of learning, you reduce the drop-out rate. 
2. Offer your teachers and trainers effective tools to help them reduce the het"&amp;"erogeneity of levels and profiles in their classes. Thanks to our tools, they will know what teaching method to adopt with each student even before the start of the school year. 
3. Increase your employees' skills by facilitating lifelong learning, up-sk"&amp;"illing and re-skilling. Your HR department can better anticipate the changes required, support new team leaders and retain talent.
Over 20 years of applied research in cognitive pedagogy, psychology and neuroscience are implemented in our algorithms. Our"&amp;" strength? We are both teachers and researchers. As such, we are confronted on a daily basis with the multifactorial challenges facing the world of education today. We are therefore developing a new learning model, based on the biological functioning of t"&amp;"he human brain, while incorporating the performance of machine intelligence. We include a strong social and emotional learning component in our model, to promote the well-being of the learner.")</f>
        <v/>
      </c>
      <c r="G413" s="1">
        <f>IFERROR(__xludf.DUMMYFUNCTION("""COMPUTED_VALUE"""),"I'm not part of any EdTech association")</f>
        <v/>
      </c>
      <c r="H413" s="1">
        <f>IFERROR(__xludf.DUMMYFUNCTION("""COMPUTED_VALUE"""),"French, English, Polish")</f>
        <v/>
      </c>
      <c r="I413" s="1">
        <f>IFERROR(__xludf.DUMMYFUNCTION("""COMPUTED_VALUE"""),"info@brainelem.com")</f>
        <v/>
      </c>
      <c r="J413" s="1">
        <f>IFERROR(__xludf.DUMMYFUNCTION("""COMPUTED_VALUE"""),"+41 79 798 22 68")</f>
        <v/>
      </c>
      <c r="K413" s="1">
        <f>IFERROR(__xludf.DUMMYFUNCTION("""COMPUTED_VALUE"""),"MONTHEY")</f>
        <v/>
      </c>
      <c r="L413" s="1">
        <f>IFERROR(__xludf.DUMMYFUNCTION("""COMPUTED_VALUE"""),"Switzerland")</f>
        <v/>
      </c>
      <c r="M413" s="1">
        <f>IFERROR(__xludf.DUMMYFUNCTION("""COMPUTED_VALUE"""),"France, Poland, Switzerland")</f>
        <v/>
      </c>
      <c r="N413" s="1">
        <f>IFERROR(__xludf.DUMMYFUNCTION("""COMPUTED_VALUE"""),"3 to 5")</f>
        <v/>
      </c>
      <c r="O413" s="1">
        <f>IFERROR(__xludf.DUMMYFUNCTION("""COMPUTED_VALUE"""),"Business to Business, Business to Schools")</f>
        <v/>
      </c>
      <c r="P413" s="1">
        <f>IFERROR(__xludf.DUMMYFUNCTION("""COMPUTED_VALUE"""),"Secondary Education, Corporate Training, Lifelong learning/Adult education, Vocational Education and Training (VET), Higher Education")</f>
        <v/>
      </c>
      <c r="Q413" s="1">
        <f>IFERROR(__xludf.DUMMYFUNCTION("""COMPUTED_VALUE"""),"System/Administrative, Student interfacing, Teacher interfacing")</f>
        <v/>
      </c>
      <c r="R413" s="1" t="n"/>
      <c r="S413" s="1" t="n"/>
      <c r="T413" s="15">
        <f>IFERROR(__xludf.DUMMYFUNCTION("""COMPUTED_VALUE"""),"https://www.linkedin.com/company/braincore")</f>
        <v/>
      </c>
      <c r="U413" s="1">
        <f>IFERROR(__xludf.DUMMYFUNCTION("""COMPUTED_VALUE"""),"BrainCore Tests")</f>
        <v/>
      </c>
      <c r="V413" s="1">
        <f>IFERROR(__xludf.DUMMYFUNCTION("""COMPUTED_VALUE"""),"Our 2 assessment tests enlighten each learner about their capacity and their mechanism to acquire new knowledge. This helps to accelerate their learning capacity and to optimize cross-disciplinary skills.
We propose 2 different tests: 
•	BrainCore Edu : "&amp;"for students wishing to enhance their experience and to study more effectively (&gt; 12 years old)
•	BrainCore Me : For professionals wishing to improve their potential and to accelerate their career path")</f>
        <v/>
      </c>
      <c r="W413" s="1">
        <f>IFERROR(__xludf.DUMMYFUNCTION("""COMPUTED_VALUE"""),"BrainCore Learning Management System (LMS)")</f>
        <v/>
      </c>
      <c r="X413" s="1">
        <f>IFERROR(__xludf.DUMMYFUNCTION("""COMPUTED_VALUE"""),"Two versions of our LMS are available:
- For educational institutions: 
Our online platform is offering a practical support for teachers and includes the latest cognitive teaching methods, pedagogical tools and AI proposed solutions. This LMS is particul"&amp;"arly interesting for schools willing to apply a personalized teaching method (multi-level) in their classrooms and for institutions offering distance learning tuitions
- For companies: 
Our Sentinel platform is designed for HR departments of SMEs. It ena"&amp;"bles a novel ""predictive"" approach to recruitment and to professional development. HR have access to the advancement potential of each new employee. Guided by an AI, managers have the opportunity to drive the development of each employee in a personaliz"&amp;"ed and in a more efficient manner.")</f>
        <v/>
      </c>
      <c r="Y413" s="15">
        <f>IFERROR(__xludf.DUMMYFUNCTION("""COMPUTED_VALUE"""),"https://drive.google.com/uc?export=view&amp;id=1NusC2PGeYj-w8E-YQ20NrDz0CNjBasyi")</f>
        <v/>
      </c>
      <c r="Z413" s="1">
        <f>IFERROR(__xludf.DUMMYFUNCTION("""COMPUTED_VALUE"""),"Unverified")</f>
        <v/>
      </c>
      <c r="AA413" s="1" t="n"/>
      <c r="AB413" s="1" t="n"/>
      <c r="AC413" s="1" t="n"/>
      <c r="AD413" s="1" t="n"/>
      <c r="AE413" s="1" t="n"/>
    </row>
    <row r="414" ht="42" customHeight="1">
      <c r="A414" s="14">
        <f>IFERROR(__xludf.DUMMYFUNCTION("""COMPUTED_VALUE"""),45463)</f>
        <v/>
      </c>
      <c r="B414" s="1">
        <f>IFERROR(__xludf.DUMMYFUNCTION("""COMPUTED_VALUE"""),"ORG_2093")</f>
        <v/>
      </c>
      <c r="C414" s="1">
        <f>IFERROR(__xludf.DUMMYFUNCTION("""COMPUTED_VALUE"""),TRUE)</f>
        <v/>
      </c>
      <c r="D414" s="1">
        <f>IFERROR(__xludf.DUMMYFUNCTION("""COMPUTED_VALUE"""),"Peek")</f>
        <v/>
      </c>
      <c r="E414" s="15">
        <f>IFERROR(__xludf.DUMMYFUNCTION("""COMPUTED_VALUE"""),"www.peek.app")</f>
        <v/>
      </c>
      <c r="F414" s="1">
        <f>IFERROR(__xludf.DUMMYFUNCTION("""COMPUTED_VALUE"""),"Make an interactive excursion with the Peek app, and facilitate active dialogue about landscapes and surroundings.")</f>
        <v/>
      </c>
      <c r="G414" s="1">
        <f>IFERROR(__xludf.DUMMYFUNCTION("""COMPUTED_VALUE"""),"Dutch EdTech")</f>
        <v/>
      </c>
      <c r="H414" s="1">
        <f>IFERROR(__xludf.DUMMYFUNCTION("""COMPUTED_VALUE"""),"All")</f>
        <v/>
      </c>
      <c r="I414" s="1">
        <f>IFERROR(__xludf.DUMMYFUNCTION("""COMPUTED_VALUE"""),"hello@peek.app")</f>
        <v/>
      </c>
      <c r="J414" s="1" t="n"/>
      <c r="K414" s="1">
        <f>IFERROR(__xludf.DUMMYFUNCTION("""COMPUTED_VALUE"""),"AMERSFOORT")</f>
        <v/>
      </c>
      <c r="L414" s="1">
        <f>IFERROR(__xludf.DUMMYFUNCTION("""COMPUTED_VALUE"""),"The Netherlands")</f>
        <v/>
      </c>
      <c r="M41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14" s="1">
        <f>IFERROR(__xludf.DUMMYFUNCTION("""COMPUTED_VALUE"""),"3 to 5")</f>
        <v/>
      </c>
      <c r="O414" s="1">
        <f>IFERROR(__xludf.DUMMYFUNCTION("""COMPUTED_VALUE"""),"Business to Business, Business to Schools, Business to Consumer, Business to Government")</f>
        <v/>
      </c>
      <c r="P414" s="1">
        <f>IFERROR(__xludf.DUMMYFUNCTION("""COMPUTED_VALUE"""),"Secondary Education, Higher Education")</f>
        <v/>
      </c>
      <c r="Q414" s="1">
        <f>IFERROR(__xludf.DUMMYFUNCTION("""COMPUTED_VALUE"""),"Student interfacing, Teacher interfacing")</f>
        <v/>
      </c>
      <c r="R414" s="1" t="n"/>
      <c r="S414" s="1" t="n"/>
      <c r="T414" s="15">
        <f>IFERROR(__xludf.DUMMYFUNCTION("""COMPUTED_VALUE"""),"https://www.linkedin.com/company/67243846")</f>
        <v/>
      </c>
      <c r="U414" s="1">
        <f>IFERROR(__xludf.DUMMYFUNCTION("""COMPUTED_VALUE"""),"Peek App")</f>
        <v/>
      </c>
      <c r="V414" s="1">
        <f>IFERROR(__xludf.DUMMYFUNCTION("""COMPUTED_VALUE"""),"App for students")</f>
        <v/>
      </c>
      <c r="W414" s="1">
        <f>IFERROR(__xludf.DUMMYFUNCTION("""COMPUTED_VALUE"""),"My Peek")</f>
        <v/>
      </c>
      <c r="X414" s="1">
        <f>IFERROR(__xludf.DUMMYFUNCTION("""COMPUTED_VALUE"""),"Creating excursions for the app")</f>
        <v/>
      </c>
      <c r="Y414" s="15">
        <f>IFERROR(__xludf.DUMMYFUNCTION("""COMPUTED_VALUE"""),"https://drive.google.com/uc?export=view&amp;id=1y5UIFYXs4VpmnXEWjQpJLP-JYsoU_O43")</f>
        <v/>
      </c>
      <c r="Z414" s="1">
        <f>IFERROR(__xludf.DUMMYFUNCTION("""COMPUTED_VALUE"""),"Unverified")</f>
        <v/>
      </c>
      <c r="AA414" s="1" t="n"/>
      <c r="AB414" s="1" t="n"/>
      <c r="AC414" s="1" t="n"/>
      <c r="AD414" s="1" t="n"/>
      <c r="AE414" s="1" t="n"/>
    </row>
    <row r="415" ht="42" customHeight="1">
      <c r="A415" s="14">
        <f>IFERROR(__xludf.DUMMYFUNCTION("""COMPUTED_VALUE"""),45460)</f>
        <v/>
      </c>
      <c r="B415" s="1">
        <f>IFERROR(__xludf.DUMMYFUNCTION("""COMPUTED_VALUE"""),"ORG_1233")</f>
        <v/>
      </c>
      <c r="C415" s="1">
        <f>IFERROR(__xludf.DUMMYFUNCTION("""COMPUTED_VALUE"""),TRUE)</f>
        <v/>
      </c>
      <c r="D415" s="1">
        <f>IFERROR(__xludf.DUMMYFUNCTION("""COMPUTED_VALUE"""),"ChatTutor")</f>
        <v/>
      </c>
      <c r="E415" s="15">
        <f>IFERROR(__xludf.DUMMYFUNCTION("""COMPUTED_VALUE"""),"https://chattutor.io/")</f>
        <v/>
      </c>
      <c r="F415" s="1">
        <f>IFERROR(__xludf.DUMMYFUNCTION("""COMPUTED_VALUE"""),"Research based team involved in Generative Learning. Generative learning involves ""making sense"" of learning material by actively organizing and integrating it with existing knowledge. According to Fiorella ""a generative learning activity (GLA) is some"&amp;"thing a learner does to try to make sense of what they are learning"". There is evidence that learners do not spontaneously engage in sense-making when learning from text (e.g., Fiorella &amp; Mayer, 2017), visualizations (e.g., 
Makransky et al., 2021) or ex"&amp;"amples (Renkl, 1997). Prompting learners to engage in GLAs is therefore a potential remedy for achieving meaningful and durable learning outcomes. 
(Fiorella, 2023). Fiorella and Mayer (2015, 2016) identified eight generative learning 
strategies (GLS) in"&amp;"cluding: summarizing, mapping, drawing, imagining, self-testing, self-
explaining, teaching, and enacting. Reviews and meta-analyses generally show that GLS 
support learning but each is susceptible to potential boundary conditions related to learner 
cha"&amp;"racteristics, learning materials, and support levels")</f>
        <v/>
      </c>
      <c r="G415" s="1">
        <f>IFERROR(__xludf.DUMMYFUNCTION("""COMPUTED_VALUE"""),"EdTech Denmark")</f>
        <v/>
      </c>
      <c r="H415" s="1">
        <f>IFERROR(__xludf.DUMMYFUNCTION("""COMPUTED_VALUE"""),"English")</f>
        <v/>
      </c>
      <c r="I415" s="1">
        <f>IFERROR(__xludf.DUMMYFUNCTION("""COMPUTED_VALUE"""),"marius@chattutor.io")</f>
        <v/>
      </c>
      <c r="J415" s="1" t="n"/>
      <c r="K415" s="1">
        <f>IFERROR(__xludf.DUMMYFUNCTION("""COMPUTED_VALUE"""),"Kgs Lyngby")</f>
        <v/>
      </c>
      <c r="L415" s="1">
        <f>IFERROR(__xludf.DUMMYFUNCTION("""COMPUTED_VALUE"""),"Denmark")</f>
        <v/>
      </c>
      <c r="M415" s="1">
        <f>IFERROR(__xludf.DUMMYFUNCTION("""COMPUTED_VALUE"""),"Belgium, Bulgaria, Croatia, Cyprus, Czechia, Denmark, Estonia, Finland, France, Germany, Greece, Hungary, Iceland, Ireland, Italy, Kosovo, Latvia, Liechtenstein, Lithuania, Luxembourg, Malta, Moldova, Monaco, Montenegro, Netherlands, North Macedonia, Norw"&amp;"ay, Poland, Portugal, Romania, San Marino, Serbia, Slovakia, Slovenia, Spain, Sweden, Switzerland, Turkey, Ukraine, United Kingdom")</f>
        <v/>
      </c>
      <c r="N415" s="1">
        <f>IFERROR(__xludf.DUMMYFUNCTION("""COMPUTED_VALUE"""),"0 to 2")</f>
        <v/>
      </c>
      <c r="O415" s="1">
        <f>IFERROR(__xludf.DUMMYFUNCTION("""COMPUTED_VALUE"""),"Business to Business")</f>
        <v/>
      </c>
      <c r="P415" s="1">
        <f>IFERROR(__xludf.DUMMYFUNCTION("""COMPUTED_VALUE"""),"Corporate Training, Lifelong learning/Adult education, Vocational Education and Training (VET), Higher Education")</f>
        <v/>
      </c>
      <c r="Q415" s="1">
        <f>IFERROR(__xludf.DUMMYFUNCTION("""COMPUTED_VALUE"""),"Teacher interfacing, System/Administrative, Student interfacing")</f>
        <v/>
      </c>
      <c r="R415" s="1" t="n"/>
      <c r="S415" s="1" t="n"/>
      <c r="T415" s="1" t="n"/>
      <c r="U415" s="1">
        <f>IFERROR(__xludf.DUMMYFUNCTION("""COMPUTED_VALUE"""),"ChatTutor")</f>
        <v/>
      </c>
      <c r="V415" s="1">
        <f>IFERROR(__xludf.DUMMYFUNCTION("""COMPUTED_VALUE"""),"AI agnostic service to support teacher and student. Teacher is supported in instructrual design of Generative Learning. Student is supported in Generative learning by ""making sense"" of learning material by actively organizing and integrating it with exi"&amp;"sting knowledge")</f>
        <v/>
      </c>
      <c r="W415" s="1" t="n"/>
      <c r="X415" s="1" t="n"/>
      <c r="Y415" s="15">
        <f>IFERROR(__xludf.DUMMYFUNCTION("""COMPUTED_VALUE"""),"https://drive.google.com/uc?export=view&amp;id=1xmTXbr2Jqt8Aeq-guApVl_WfW_6NtKyO")</f>
        <v/>
      </c>
      <c r="Z415" s="1">
        <f>IFERROR(__xludf.DUMMYFUNCTION("""COMPUTED_VALUE"""),"Unverified")</f>
        <v/>
      </c>
      <c r="AA415" s="1" t="n"/>
      <c r="AB415" s="1" t="n"/>
      <c r="AC415" s="1" t="n"/>
      <c r="AD415" s="1" t="n"/>
      <c r="AE415" s="1" t="n"/>
    </row>
    <row r="416" ht="42" customHeight="1">
      <c r="A416" s="14">
        <f>IFERROR(__xludf.DUMMYFUNCTION("""COMPUTED_VALUE"""),45441)</f>
        <v/>
      </c>
      <c r="B416" s="1">
        <f>IFERROR(__xludf.DUMMYFUNCTION("""COMPUTED_VALUE"""),"ORG_1753")</f>
        <v/>
      </c>
      <c r="C416" s="1">
        <f>IFERROR(__xludf.DUMMYFUNCTION("""COMPUTED_VALUE"""),TRUE)</f>
        <v/>
      </c>
      <c r="D416" s="1">
        <f>IFERROR(__xludf.DUMMYFUNCTION("""COMPUTED_VALUE"""),"JetLearn")</f>
        <v/>
      </c>
      <c r="E416" s="15">
        <f>IFERROR(__xludf.DUMMYFUNCTION("""COMPUTED_VALUE"""),"www.jetlearn.com")</f>
        <v/>
      </c>
      <c r="F416" s="1">
        <f>IFERROR(__xludf.DUMMYFUNCTION("""COMPUTED_VALUE"""),"JetLearn is the worlds best AI academy for kids and teens")</f>
        <v/>
      </c>
      <c r="G416" s="1">
        <f>IFERROR(__xludf.DUMMYFUNCTION("""COMPUTED_VALUE"""),"Dutch EdTech")</f>
        <v/>
      </c>
      <c r="H416" s="1">
        <f>IFERROR(__xludf.DUMMYFUNCTION("""COMPUTED_VALUE"""),"English, Dutch")</f>
        <v/>
      </c>
      <c r="I416" s="1">
        <f>IFERROR(__xludf.DUMMYFUNCTION("""COMPUTED_VALUE"""),"abhishek.bahl@jet-learn.com")</f>
        <v/>
      </c>
      <c r="J416" s="1" t="n"/>
      <c r="K416" s="1">
        <f>IFERROR(__xludf.DUMMYFUNCTION("""COMPUTED_VALUE"""),"Amsterdam")</f>
        <v/>
      </c>
      <c r="L416" s="1">
        <f>IFERROR(__xludf.DUMMYFUNCTION("""COMPUTED_VALUE"""),"The Netherlands")</f>
        <v/>
      </c>
      <c r="M416" s="1">
        <f>IFERROR(__xludf.DUMMYFUNCTION("""COMPUTED_VALUE"""),"Belgium, Denmark, Finland, Germany, Greece, Ireland, Italy, Liechtenstein, Luxembourg, Malta, Monaco, Netherlands, Norway, Poland, Portugal, Romania, Spain, Switzerland, Turkey, Ukraine, United Kingdom")</f>
        <v/>
      </c>
      <c r="N416" s="1">
        <f>IFERROR(__xludf.DUMMYFUNCTION("""COMPUTED_VALUE"""),"11 to 50")</f>
        <v/>
      </c>
      <c r="O416" s="1">
        <f>IFERROR(__xludf.DUMMYFUNCTION("""COMPUTED_VALUE"""),"Business to Business, Business to Schools, Business to Consumer")</f>
        <v/>
      </c>
      <c r="P416" s="1">
        <f>IFERROR(__xludf.DUMMYFUNCTION("""COMPUTED_VALUE"""),"Primary Education, Secondary Education")</f>
        <v/>
      </c>
      <c r="Q416" s="1">
        <f>IFERROR(__xludf.DUMMYFUNCTION("""COMPUTED_VALUE"""),"System/Administrative, Student interfacing, Teacher interfacing")</f>
        <v/>
      </c>
      <c r="R416" s="1" t="n"/>
      <c r="S416" s="1" t="n"/>
      <c r="T416" s="15">
        <f>IFERROR(__xludf.DUMMYFUNCTION("""COMPUTED_VALUE"""),"https://www.linkedin.com/company/jet-learn")</f>
        <v/>
      </c>
      <c r="U416" s="1">
        <f>IFERROR(__xludf.DUMMYFUNCTION("""COMPUTED_VALUE"""),"Live online learning on AI and Robotics for Kids and Teens")</f>
        <v/>
      </c>
      <c r="V416" s="1" t="n"/>
      <c r="W416" s="1" t="n"/>
      <c r="X416" s="1" t="n"/>
      <c r="Y416" s="15">
        <f>IFERROR(__xludf.DUMMYFUNCTION("""COMPUTED_VALUE"""),"https://drive.google.com/uc?export=view&amp;id=1u--uHxIjbQgF02WtElFk3ViF4HuWMSIa")</f>
        <v/>
      </c>
      <c r="Z416" s="1">
        <f>IFERROR(__xludf.DUMMYFUNCTION("""COMPUTED_VALUE"""),"Unverified")</f>
        <v/>
      </c>
      <c r="AA416" s="1" t="n"/>
      <c r="AB416" s="1" t="n"/>
      <c r="AC416" s="1" t="n"/>
      <c r="AD416" s="1" t="n"/>
      <c r="AE416" s="1" t="n"/>
    </row>
    <row r="417" ht="42" customHeight="1">
      <c r="A417" s="14">
        <f>IFERROR(__xludf.DUMMYFUNCTION("""COMPUTED_VALUE"""),45430)</f>
        <v/>
      </c>
      <c r="B417" s="1">
        <f>IFERROR(__xludf.DUMMYFUNCTION("""COMPUTED_VALUE"""),"ORG_1126")</f>
        <v/>
      </c>
      <c r="C417" s="1">
        <f>IFERROR(__xludf.DUMMYFUNCTION("""COMPUTED_VALUE"""),TRUE)</f>
        <v/>
      </c>
      <c r="D417" s="1">
        <f>IFERROR(__xludf.DUMMYFUNCTION("""COMPUTED_VALUE"""),"Automated Education")</f>
        <v/>
      </c>
      <c r="E417" s="15">
        <f>IFERROR(__xludf.DUMMYFUNCTION("""COMPUTED_VALUE"""),"https://automated.education")</f>
        <v/>
      </c>
      <c r="F417" s="1">
        <f>IFERROR(__xludf.DUMMYFUNCTION("""COMPUTED_VALUE"""),"In the rapidly evolving landscape of education, Automated Education stands as a beacon of innovation and efficiency. Our web-based platform is a comprehensive solution, meticulously engineered to transform the educational sphere by enhancing every facet o"&amp;"f the teaching and learning process. Designed to meet the dynamic needs of modern education, our integrated suite of tools is poised to revolutionize how educators plan, teach, and assess.
Our platform's cornerstone is its ability to facilitate the creat"&amp;"ion of custom, curriculum-aligned schemes of work that seamlessly integrate educational standards and outcomes. This enables educators to craft personalized learning experiences that are both purposeful and impactful. With real-time updates to reflect the"&amp;" latest educational standards, our system ensures that educators are always at the forefront of educational compliance and excellence.
The versatility of Automated Education is evident in its diverse unit types and built-in assessment schemas, catering t"&amp;"o various grade levels and teaching styles. The platform's cross-platform compatibility and export options further underscore its commitment to accessibility and ease of use, allowing educators to work flexibly and on-the-go.
Moreover, our platform's int"&amp;"erconnected structure links assignments to units, units to schemes, and schemes to year groups and subjects, creating a cohesive and comprehensive educational process. This integrated approach not only streamlines planning and execution but also provides "&amp;"a holistic view of the educational journey.
Despite its integrated nature, Automated Education is built with the utmost flexibility. Educators can choose to generate standalone assignments or lesson plans, adapting the platform to their unique needs. Thi"&amp;"s flexibility is a testament to our understanding that one size does not fit all in education")</f>
        <v/>
      </c>
      <c r="G417" s="1">
        <f>IFERROR(__xludf.DUMMYFUNCTION("""COMPUTED_VALUE"""),"I'm not part of any EdTech association")</f>
        <v/>
      </c>
      <c r="H417" s="1">
        <f>IFERROR(__xludf.DUMMYFUNCTION("""COMPUTED_VALUE"""),"All")</f>
        <v/>
      </c>
      <c r="I417" s="1">
        <f>IFERROR(__xludf.DUMMYFUNCTION("""COMPUTED_VALUE"""),"team@automated.education")</f>
        <v/>
      </c>
      <c r="J417" s="1" t="n"/>
      <c r="K417" s="1">
        <f>IFERROR(__xludf.DUMMYFUNCTION("""COMPUTED_VALUE"""),"HASTVEDA")</f>
        <v/>
      </c>
      <c r="L417" s="1">
        <f>IFERROR(__xludf.DUMMYFUNCTION("""COMPUTED_VALUE"""),"Sweden")</f>
        <v/>
      </c>
      <c r="M417"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San Marino, Serbia, Slovakia, Slovenia, Spain, Sweden, Switzerland, Turkey, Ukraine, United Kingdom")</f>
        <v/>
      </c>
      <c r="N417" s="1">
        <f>IFERROR(__xludf.DUMMYFUNCTION("""COMPUTED_VALUE"""),"0 to 2")</f>
        <v/>
      </c>
      <c r="O417" s="1">
        <f>IFERROR(__xludf.DUMMYFUNCTION("""COMPUTED_VALUE"""),"Business to Business, Business to Schools, Business to Consumer, Business to Government")</f>
        <v/>
      </c>
      <c r="P417" s="1">
        <f>IFERROR(__xludf.DUMMYFUNCTION("""COMPUTED_VALUE"""),"Early childhood development (0-5 years), Primary Education, Secondary Education")</f>
        <v/>
      </c>
      <c r="Q417" s="1">
        <f>IFERROR(__xludf.DUMMYFUNCTION("""COMPUTED_VALUE"""),"Teacher interfacing, System/Administrative, Student interfacing")</f>
        <v/>
      </c>
      <c r="R417" s="15">
        <f>IFERROR(__xludf.DUMMYFUNCTION("""COMPUTED_VALUE"""),"https://www.instagram.com/automated.education/")</f>
        <v/>
      </c>
      <c r="S417" s="1" t="n"/>
      <c r="T417" s="15">
        <f>IFERROR(__xludf.DUMMYFUNCTION("""COMPUTED_VALUE"""),"https://www.linkedin.com/company/102511543/")</f>
        <v/>
      </c>
      <c r="U417" s="1">
        <f>IFERROR(__xludf.DUMMYFUNCTION("""COMPUTED_VALUE"""),"Automated Education")</f>
        <v/>
      </c>
      <c r="V417" s="1">
        <f>IFERROR(__xludf.DUMMYFUNCTION("""COMPUTED_VALUE"""),"Automated Education offers an innovative web-based platform for educators, streamlining curriculum design, assessment, and teaching. It integrates educational standards, provides customisable schemes of work, and ensures efficient lesson planning. With re"&amp;"al-time updates and cross-platform compatibility, it empowers educators to focus on student engagement and personalised learning, revolutionising the educational process with technology-driven solutions.")</f>
        <v/>
      </c>
      <c r="W417" s="1" t="n"/>
      <c r="X417" s="1" t="n"/>
      <c r="Y417" s="15">
        <f>IFERROR(__xludf.DUMMYFUNCTION("""COMPUTED_VALUE"""),"https://drive.google.com/uc?export=view&amp;id=1NDVO3PpnqAdmtHlJndyfeKhCzAZkLTG3")</f>
        <v/>
      </c>
      <c r="Z417" s="1">
        <f>IFERROR(__xludf.DUMMYFUNCTION("""COMPUTED_VALUE"""),"Unverified")</f>
        <v/>
      </c>
      <c r="AA417" s="1" t="n"/>
      <c r="AB417" s="1" t="n"/>
      <c r="AC417" s="1" t="n"/>
      <c r="AD417" s="1" t="n"/>
      <c r="AE417" s="1" t="n"/>
    </row>
    <row r="418" ht="42" customHeight="1">
      <c r="A418" s="14">
        <f>IFERROR(__xludf.DUMMYFUNCTION("""COMPUTED_VALUE"""),45428)</f>
        <v/>
      </c>
      <c r="B418" s="1">
        <f>IFERROR(__xludf.DUMMYFUNCTION("""COMPUTED_VALUE"""),"ORG_1607")</f>
        <v/>
      </c>
      <c r="C418" s="1">
        <f>IFERROR(__xludf.DUMMYFUNCTION("""COMPUTED_VALUE"""),TRUE)</f>
        <v/>
      </c>
      <c r="D418" s="1">
        <f>IFERROR(__xludf.DUMMYFUNCTION("""COMPUTED_VALUE"""),"GAMS Platform")</f>
        <v/>
      </c>
      <c r="E418" s="15">
        <f>IFERROR(__xludf.DUMMYFUNCTION("""COMPUTED_VALUE"""),"https://gamsplatform.com")</f>
        <v/>
      </c>
      <c r="F418" s="1">
        <f>IFERROR(__xludf.DUMMYFUNCTION("""COMPUTED_VALUE"""),"GAMS Platform enables Challenge Based Learning &amp; Skill Assessment and
developed the Profile Scorecard, a dynamic certification accredited by the
European Union to validate digital skills during the trainings and be helpful for
recruiters to find the right"&amp;" talent")</f>
        <v/>
      </c>
      <c r="G418" s="1">
        <f>IFERROR(__xludf.DUMMYFUNCTION("""COMPUTED_VALUE"""),"EdTech Italia")</f>
        <v/>
      </c>
      <c r="H418" s="1">
        <f>IFERROR(__xludf.DUMMYFUNCTION("""COMPUTED_VALUE"""),"English, Italia")</f>
        <v/>
      </c>
      <c r="I418" s="1">
        <f>IFERROR(__xludf.DUMMYFUNCTION("""COMPUTED_VALUE"""),"learn@gamsplatform.com")</f>
        <v/>
      </c>
      <c r="J418" s="1" t="n"/>
      <c r="K418" s="1">
        <f>IFERROR(__xludf.DUMMYFUNCTION("""COMPUTED_VALUE"""),"ROME")</f>
        <v/>
      </c>
      <c r="L418" s="1">
        <f>IFERROR(__xludf.DUMMYFUNCTION("""COMPUTED_VALUE"""),"Italy")</f>
        <v/>
      </c>
      <c r="M418" s="1">
        <f>IFERROR(__xludf.DUMMYFUNCTION("""COMPUTED_VALUE"""),"Finland, France, Germany, Italy, Netherlands, Poland, Spain, Switzerland, United Kingdom")</f>
        <v/>
      </c>
      <c r="N418" s="1">
        <f>IFERROR(__xludf.DUMMYFUNCTION("""COMPUTED_VALUE"""),"11 to 50")</f>
        <v/>
      </c>
      <c r="O418" s="1">
        <f>IFERROR(__xludf.DUMMYFUNCTION("""COMPUTED_VALUE"""),"Business to Business, Business to Schools, Business to Consumer")</f>
        <v/>
      </c>
      <c r="P418" s="1">
        <f>IFERROR(__xludf.DUMMYFUNCTION("""COMPUTED_VALUE"""),"Corporate Training, Lifelong learning/Adult education")</f>
        <v/>
      </c>
      <c r="Q418" s="1">
        <f>IFERROR(__xludf.DUMMYFUNCTION("""COMPUTED_VALUE"""),"Student interfacing, Teacher interfacing, System/Administrative")</f>
        <v/>
      </c>
      <c r="R418" s="15">
        <f>IFERROR(__xludf.DUMMYFUNCTION("""COMPUTED_VALUE"""),"https://www.instagram.com/gamsplatform")</f>
        <v/>
      </c>
      <c r="S418" s="1" t="n"/>
      <c r="T418" s="15">
        <f>IFERROR(__xludf.DUMMYFUNCTION("""COMPUTED_VALUE"""),"https://www.linkedin.com/company/gamsplatform/")</f>
        <v/>
      </c>
      <c r="U418" s="1">
        <f>IFERROR(__xludf.DUMMYFUNCTION("""COMPUTED_VALUE"""),"GAMS Training Licences and Services")</f>
        <v/>
      </c>
      <c r="V418" s="1">
        <f>IFERROR(__xludf.DUMMYFUNCTION("""COMPUTED_VALUE"""),"Complete training with hands-on practice using GAMS Platform. It caters to synchronous and asynchronous learning for various courses like digital marketing, Excel, analytics, project management, cybersecurity, and coding. Students receive a Profile Scorec"&amp;"ard validating their skills after completing challenges and training.")</f>
        <v/>
      </c>
      <c r="W418" s="1">
        <f>IFERROR(__xludf.DUMMYFUNCTION("""COMPUTED_VALUE"""),"GAMS Excel for Everyone")</f>
        <v/>
      </c>
      <c r="X418" s="1">
        <f>IFERROR(__xludf.DUMMYFUNCTION("""COMPUTED_VALUE"""),"Excel training with a unique method of learning via challenges direcly by using the platform.
Works for both synchronous and asynchronous training depending on the academy needs.")</f>
        <v/>
      </c>
      <c r="Y418" s="15">
        <f>IFERROR(__xludf.DUMMYFUNCTION("""COMPUTED_VALUE"""),"https://drive.google.com/uc?export=view&amp;id=1i1-mMnEgGLU3pXOkVVLruKtD8j2x6nxl")</f>
        <v/>
      </c>
      <c r="Z418" s="1">
        <f>IFERROR(__xludf.DUMMYFUNCTION("""COMPUTED_VALUE"""),"Unverified")</f>
        <v/>
      </c>
      <c r="AA418" s="1" t="n"/>
      <c r="AB418" s="1" t="n"/>
      <c r="AC418" s="1" t="n"/>
      <c r="AD418" s="1" t="n"/>
      <c r="AE418" s="1" t="n"/>
    </row>
    <row r="419" ht="42" customHeight="1">
      <c r="A419" s="14">
        <f>IFERROR(__xludf.DUMMYFUNCTION("""COMPUTED_VALUE"""),45428)</f>
        <v/>
      </c>
      <c r="B419" s="1">
        <f>IFERROR(__xludf.DUMMYFUNCTION("""COMPUTED_VALUE"""),"ORG_1677")</f>
        <v/>
      </c>
      <c r="C419" s="1">
        <f>IFERROR(__xludf.DUMMYFUNCTION("""COMPUTED_VALUE"""),TRUE)</f>
        <v/>
      </c>
      <c r="D419" s="1">
        <f>IFERROR(__xludf.DUMMYFUNCTION("""COMPUTED_VALUE"""),"hihaho interactive video")</f>
        <v/>
      </c>
      <c r="E419" s="15">
        <f>IFERROR(__xludf.DUMMYFUNCTION("""COMPUTED_VALUE"""),"https://hihaho.com/")</f>
        <v/>
      </c>
      <c r="F419" s="1">
        <f>IFERROR(__xludf.DUMMYFUNCTION("""COMPUTED_VALUE"""),"Hihaho stands for High Interactivity, High Attention values and High Outcomes. We are a leading SaaS layer technology platform for interactive video, the next generation internet content standard for e-learning/video learning, public information and e-mar"&amp;"keting. The hihaho layer technology platform can be used either stand-alone or fully integrated within Online Video Platforms, Learning Management Systems and Content Authoring environments, Customer Relations Management systems, or any website or busines"&amp;"s application. Hihaho is ultra scalable and ultra integrable proven technology which is already used by renowned video en LMS platforms and brands.")</f>
        <v/>
      </c>
      <c r="G419" s="1">
        <f>IFERROR(__xludf.DUMMYFUNCTION("""COMPUTED_VALUE"""),"Dutch EdTech")</f>
        <v/>
      </c>
      <c r="H419" s="1">
        <f>IFERROR(__xludf.DUMMYFUNCTION("""COMPUTED_VALUE"""),"All")</f>
        <v/>
      </c>
      <c r="I419" s="1">
        <f>IFERROR(__xludf.DUMMYFUNCTION("""COMPUTED_VALUE"""),"jojanneke@hihaho.com")</f>
        <v/>
      </c>
      <c r="J419" s="1">
        <f>IFERROR(__xludf.DUMMYFUNCTION("""COMPUTED_VALUE"""),"+31(0)592 377 285")</f>
        <v/>
      </c>
      <c r="K419" s="1">
        <f>IFERROR(__xludf.DUMMYFUNCTION("""COMPUTED_VALUE"""),"ASSEN")</f>
        <v/>
      </c>
      <c r="L419" s="1">
        <f>IFERROR(__xludf.DUMMYFUNCTION("""COMPUTED_VALUE"""),"The Netherlands")</f>
        <v/>
      </c>
      <c r="M41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19" s="1">
        <f>IFERROR(__xludf.DUMMYFUNCTION("""COMPUTED_VALUE"""),"11 to 50")</f>
        <v/>
      </c>
      <c r="O419" s="1">
        <f>IFERROR(__xludf.DUMMYFUNCTION("""COMPUTED_VALUE"""),"Business to Business, Business to Consumer")</f>
        <v/>
      </c>
      <c r="P419" s="1">
        <f>IFERROR(__xludf.DUMMYFUNCTION("""COMPUTED_VALUE"""),"Corporate Training, Lifelong learning/Adult education, Vocational Education and Training (VET), Higher Education")</f>
        <v/>
      </c>
      <c r="Q419" s="1">
        <f>IFERROR(__xludf.DUMMYFUNCTION("""COMPUTED_VALUE"""),"Teacher interfacing, System/Administrative")</f>
        <v/>
      </c>
      <c r="R419" s="1">
        <f>IFERROR(__xludf.DUMMYFUNCTION("""COMPUTED_VALUE"""),"-")</f>
        <v/>
      </c>
      <c r="S419" s="1">
        <f>IFERROR(__xludf.DUMMYFUNCTION("""COMPUTED_VALUE"""),"-")</f>
        <v/>
      </c>
      <c r="T419" s="15">
        <f>IFERROR(__xludf.DUMMYFUNCTION("""COMPUTED_VALUE"""),"https://www.linkedin.com/company/hihaho/mycompany/")</f>
        <v/>
      </c>
      <c r="U419" s="1">
        <f>IFERROR(__xludf.DUMMYFUNCTION("""COMPUTED_VALUE"""),"hihaho interactive video")</f>
        <v/>
      </c>
      <c r="V419" s="1">
        <f>IFERROR(__xludf.DUMMYFUNCTION("""COMPUTED_VALUE"""),"Interactive layer technology SaaS platform for interactive video. Can either be used stand alone or fully integrated in OVP, LMS, CRM and other business applications. See https://hihaho.com/integrations-and-partners/")</f>
        <v/>
      </c>
      <c r="W419" s="1">
        <f>IFERROR(__xludf.DUMMYFUNCTION("""COMPUTED_VALUE"""),"hihaho pay-per-use")</f>
        <v/>
      </c>
      <c r="X419" s="1">
        <f>IFERROR(__xludf.DUMMYFUNCTION("""COMPUTED_VALUE"""),"Online pay-per-use solution for creative content agencies and small businesses that need an affordable solution without subscription. See: https://studio.hihaho.com/register")</f>
        <v/>
      </c>
      <c r="Y419" s="15">
        <f>IFERROR(__xludf.DUMMYFUNCTION("""COMPUTED_VALUE"""),"https://drive.google.com/uc?export=view&amp;id=1xZJOt-CBkTwrccfTksl4xvGr3-IUGkRq")</f>
        <v/>
      </c>
      <c r="Z419" s="1">
        <f>IFERROR(__xludf.DUMMYFUNCTION("""COMPUTED_VALUE"""),"Unverified")</f>
        <v/>
      </c>
      <c r="AA419" s="1" t="n"/>
      <c r="AB419" s="1" t="n"/>
      <c r="AC419" s="1" t="n"/>
      <c r="AD419" s="1" t="n"/>
      <c r="AE419" s="1" t="n"/>
    </row>
    <row r="420" ht="42" customHeight="1">
      <c r="A420" s="14">
        <f>IFERROR(__xludf.DUMMYFUNCTION("""COMPUTED_VALUE"""),45420)</f>
        <v/>
      </c>
      <c r="B420" s="1">
        <f>IFERROR(__xludf.DUMMYFUNCTION("""COMPUTED_VALUE"""),"ORG_2260")</f>
        <v/>
      </c>
      <c r="C420" s="1">
        <f>IFERROR(__xludf.DUMMYFUNCTION("""COMPUTED_VALUE"""),TRUE)</f>
        <v/>
      </c>
      <c r="D420" s="1">
        <f>IFERROR(__xludf.DUMMYFUNCTION("""COMPUTED_VALUE"""),"SkillsPlay")</f>
        <v/>
      </c>
      <c r="E420" s="15">
        <f>IFERROR(__xludf.DUMMYFUNCTION("""COMPUTED_VALUE"""),"www.brightgame.com")</f>
        <v/>
      </c>
      <c r="F420" s="1">
        <f>IFERROR(__xludf.DUMMYFUNCTION("""COMPUTED_VALUE"""),"The SkillsPlay team are the creators of BrightGame - a novel platform enabling educators and trainers to create their own deep scenario based serious learning games.
We offer support for anyone thinking of using ‘Serious Learning Games’ with bespoke desi"&amp;"gn services, BrightGame training and partner accreditation, research collaborations and much more.")</f>
        <v/>
      </c>
      <c r="G420" s="1">
        <f>IFERROR(__xludf.DUMMYFUNCTION("""COMPUTED_VALUE"""),"I'm not part of any EdTech association")</f>
        <v/>
      </c>
      <c r="H420" s="1">
        <f>IFERROR(__xludf.DUMMYFUNCTION("""COMPUTED_VALUE"""),"English")</f>
        <v/>
      </c>
      <c r="I420" s="1">
        <f>IFERROR(__xludf.DUMMYFUNCTION("""COMPUTED_VALUE"""),"hello@skillsplay.com")</f>
        <v/>
      </c>
      <c r="J420" s="1">
        <f>IFERROR(__xludf.DUMMYFUNCTION("""COMPUTED_VALUE"""),"1913130009")</f>
        <v/>
      </c>
      <c r="K420" s="1">
        <f>IFERROR(__xludf.DUMMYFUNCTION("""COMPUTED_VALUE"""),"NEWCASTLE UPON TYNE")</f>
        <v/>
      </c>
      <c r="L420" s="1">
        <f>IFERROR(__xludf.DUMMYFUNCTION("""COMPUTED_VALUE"""),"United Kingdom")</f>
        <v/>
      </c>
      <c r="M420" s="1">
        <f>IFERROR(__xludf.DUMMYFUNCTION("""COMPUTED_VALUE"""),"United Kingdom")</f>
        <v/>
      </c>
      <c r="N420" s="1">
        <f>IFERROR(__xludf.DUMMYFUNCTION("""COMPUTED_VALUE"""),"3 to 5")</f>
        <v/>
      </c>
      <c r="O420" s="1">
        <f>IFERROR(__xludf.DUMMYFUNCTION("""COMPUTED_VALUE"""),"Business to Business, Business to Schools, Business to Government")</f>
        <v/>
      </c>
      <c r="P420" s="1">
        <f>IFERROR(__xludf.DUMMYFUNCTION("""COMPUTED_VALUE"""),"Secondary Education, Corporate Training, Lifelong learning/Adult education, Vocational Education and Training (VET), Higher Education")</f>
        <v/>
      </c>
      <c r="Q420" s="1">
        <f>IFERROR(__xludf.DUMMYFUNCTION("""COMPUTED_VALUE"""),"Teacher interfacing, System/Administrative")</f>
        <v/>
      </c>
      <c r="R420" s="1" t="n"/>
      <c r="S420" s="1">
        <f>IFERROR(__xludf.DUMMYFUNCTION("""COMPUTED_VALUE"""),"@SkillsPlay_")</f>
        <v/>
      </c>
      <c r="T420" s="15">
        <f>IFERROR(__xludf.DUMMYFUNCTION("""COMPUTED_VALUE"""),"https://www.linkedin.com/company/skillsplay-ltd/")</f>
        <v/>
      </c>
      <c r="U420" s="1">
        <f>IFERROR(__xludf.DUMMYFUNCTION("""COMPUTED_VALUE"""),"BrightGame")</f>
        <v/>
      </c>
      <c r="V420" s="1">
        <f>IFERROR(__xludf.DUMMYFUNCTION("""COMPUTED_VALUE"""),"BrightGame is a novel platform enabling educators and trainers to create their own deep scenario based serious learning games.
Unlike VR/ AR or bespoke games studio's, the system offers rapid creation of situational learning games for use in capturing tac"&amp;"it knowledge and sharing best practice, learner engagement, learning reinforcement and formative assessment. The system generates games with no need for expertise in game design, gamification or associated logics,, with personal and group performance metr"&amp;"ics generated automatically by the platform.")</f>
        <v/>
      </c>
      <c r="W420" s="1">
        <f>IFERROR(__xludf.DUMMYFUNCTION("""COMPUTED_VALUE"""),"SkillsPlay studio")</f>
        <v/>
      </c>
      <c r="X420" s="1">
        <f>IFERROR(__xludf.DUMMYFUNCTION("""COMPUTED_VALUE"""),"The Studio team offer support for anyone thinking of using ‘Serious Learning Games’ with bespoke design services, training and partner accreditation, research collaborations and much more.")</f>
        <v/>
      </c>
      <c r="Y420" s="15">
        <f>IFERROR(__xludf.DUMMYFUNCTION("""COMPUTED_VALUE"""),"https://drive.google.com/uc?export=view&amp;id=1_2paPPiy2gOHouf52PfmtDL5txb3SPJy")</f>
        <v/>
      </c>
      <c r="Z420" s="1">
        <f>IFERROR(__xludf.DUMMYFUNCTION("""COMPUTED_VALUE"""),"Unverified")</f>
        <v/>
      </c>
      <c r="AA420" s="1" t="n"/>
      <c r="AB420" s="1" t="n"/>
      <c r="AC420" s="1" t="n"/>
      <c r="AD420" s="1" t="n"/>
      <c r="AE420" s="1" t="n"/>
    </row>
    <row r="421" ht="42" customHeight="1">
      <c r="A421" s="14">
        <f>IFERROR(__xludf.DUMMYFUNCTION("""COMPUTED_VALUE"""),45420)</f>
        <v/>
      </c>
      <c r="B421" s="1">
        <f>IFERROR(__xludf.DUMMYFUNCTION("""COMPUTED_VALUE"""),"ORG_1345")</f>
        <v/>
      </c>
      <c r="C421" s="1">
        <f>IFERROR(__xludf.DUMMYFUNCTION("""COMPUTED_VALUE"""),TRUE)</f>
        <v/>
      </c>
      <c r="D421" s="1">
        <f>IFERROR(__xludf.DUMMYFUNCTION("""COMPUTED_VALUE"""),"DIBS")</f>
        <v/>
      </c>
      <c r="E421" s="15">
        <f>IFERROR(__xludf.DUMMYFUNCTION("""COMPUTED_VALUE"""),"www.dibs-school.com")</f>
        <v/>
      </c>
      <c r="F421" s="1">
        <f>IFERROR(__xludf.DUMMYFUNCTION("""COMPUTED_VALUE"""),"A new way to shape and improve the value of education (up to 18).DIBS is the first reality to propose a new educational model that si able to help students and companies to discover the best educational path and able to enhance their talens and skills. Ou"&amp;"r model is based on the collaboration with teachers and schools in order to create, share and adapt education contents to learners's needs thanks to our AI Platform. A tool to create, share, find and adapt educational's content and programs using the most"&amp;" modern technologies with and olistic view.")</f>
        <v/>
      </c>
      <c r="G421" s="1">
        <f>IFERROR(__xludf.DUMMYFUNCTION("""COMPUTED_VALUE"""),"EdTech Italia")</f>
        <v/>
      </c>
      <c r="H421" s="1">
        <f>IFERROR(__xludf.DUMMYFUNCTION("""COMPUTED_VALUE"""),"Italian")</f>
        <v/>
      </c>
      <c r="I421" s="1">
        <f>IFERROR(__xludf.DUMMYFUNCTION("""COMPUTED_VALUE"""),"info@dibs-school.com")</f>
        <v/>
      </c>
      <c r="J421" s="1">
        <f>IFERROR(__xludf.DUMMYFUNCTION("""COMPUTED_VALUE"""),"+39 3342058980")</f>
        <v/>
      </c>
      <c r="K421" s="1">
        <f>IFERROR(__xludf.DUMMYFUNCTION("""COMPUTED_VALUE"""),"COMO")</f>
        <v/>
      </c>
      <c r="L421" s="1">
        <f>IFERROR(__xludf.DUMMYFUNCTION("""COMPUTED_VALUE"""),"Italy")</f>
        <v/>
      </c>
      <c r="M421" s="1">
        <f>IFERROR(__xludf.DUMMYFUNCTION("""COMPUTED_VALUE"""),"Italy")</f>
        <v/>
      </c>
      <c r="N421" s="1">
        <f>IFERROR(__xludf.DUMMYFUNCTION("""COMPUTED_VALUE"""),"0 to 2")</f>
        <v/>
      </c>
      <c r="O421" s="1">
        <f>IFERROR(__xludf.DUMMYFUNCTION("""COMPUTED_VALUE"""),"Business to Business, Business to Consumer, Business to Schools")</f>
        <v/>
      </c>
      <c r="P421" s="1">
        <f>IFERROR(__xludf.DUMMYFUNCTION("""COMPUTED_VALUE"""),"Corporate Training, Lifelong learning/Adult education")</f>
        <v/>
      </c>
      <c r="Q421" s="1">
        <f>IFERROR(__xludf.DUMMYFUNCTION("""COMPUTED_VALUE"""),"Student interfacing, Teacher interfacing, System/Administrative")</f>
        <v/>
      </c>
      <c r="R421" s="1" t="n"/>
      <c r="S421" s="1" t="n"/>
      <c r="T421" s="1" t="n"/>
      <c r="U421" s="1">
        <f>IFERROR(__xludf.DUMMYFUNCTION("""COMPUTED_VALUE"""),"DIBS AI platform")</f>
        <v/>
      </c>
      <c r="V421" s="1">
        <f>IFERROR(__xludf.DUMMYFUNCTION("""COMPUTED_VALUE"""),"DIBS platform offers personalized learning paths and an AI reccomandation engine to suggest relevant skills. DIBS partenered with teachers and schools to provide content and certifications.")</f>
        <v/>
      </c>
      <c r="W421" s="1">
        <f>IFERROR(__xludf.DUMMYFUNCTION("""COMPUTED_VALUE"""),"CDD")</f>
        <v/>
      </c>
      <c r="X421" s="1">
        <f>IFERROR(__xludf.DUMMYFUNCTION("""COMPUTED_VALUE"""),"is a didattics CPQ")</f>
        <v/>
      </c>
      <c r="Y421" s="15">
        <f>IFERROR(__xludf.DUMMYFUNCTION("""COMPUTED_VALUE"""),"https://drive.google.com/uc?export=view&amp;id=1enyRbrKQ8mYyOnjJnl_hm6APAsdZEP_s")</f>
        <v/>
      </c>
      <c r="Z421" s="1">
        <f>IFERROR(__xludf.DUMMYFUNCTION("""COMPUTED_VALUE"""),"Unverified")</f>
        <v/>
      </c>
      <c r="AA421" s="1" t="n"/>
      <c r="AB421" s="1" t="n"/>
      <c r="AC421" s="1" t="n"/>
      <c r="AD421" s="1" t="n"/>
      <c r="AE421" s="1" t="n"/>
    </row>
    <row r="422" ht="42" customHeight="1">
      <c r="A422" s="14">
        <f>IFERROR(__xludf.DUMMYFUNCTION("""COMPUTED_VALUE"""),45415)</f>
        <v/>
      </c>
      <c r="B422" s="1">
        <f>IFERROR(__xludf.DUMMYFUNCTION("""COMPUTED_VALUE"""),"ORG_1400")</f>
        <v/>
      </c>
      <c r="C422" s="1">
        <f>IFERROR(__xludf.DUMMYFUNCTION("""COMPUTED_VALUE"""),TRUE)</f>
        <v/>
      </c>
      <c r="D422" s="1">
        <f>IFERROR(__xludf.DUMMYFUNCTION("""COMPUTED_VALUE"""),"eddilake")</f>
        <v/>
      </c>
      <c r="E422" s="15">
        <f>IFERROR(__xludf.DUMMYFUNCTION("""COMPUTED_VALUE"""),"https://eddilake.de/")</f>
        <v/>
      </c>
      <c r="F422" s="1">
        <f>IFERROR(__xludf.DUMMYFUNCTION("""COMPUTED_VALUE"""),"We develop innovative learning software for media education in schools and at home.")</f>
        <v/>
      </c>
      <c r="G422" s="1">
        <f>IFERROR(__xludf.DUMMYFUNCTION("""COMPUTED_VALUE"""),"I'm not part of any EdTech association")</f>
        <v/>
      </c>
      <c r="H422" s="1">
        <f>IFERROR(__xludf.DUMMYFUNCTION("""COMPUTED_VALUE"""),"German")</f>
        <v/>
      </c>
      <c r="I422" s="1">
        <f>IFERROR(__xludf.DUMMYFUNCTION("""COMPUTED_VALUE"""),"info@eddilake.de")</f>
        <v/>
      </c>
      <c r="J422" s="1" t="n"/>
      <c r="K422" s="1">
        <f>IFERROR(__xludf.DUMMYFUNCTION("""COMPUTED_VALUE"""),"KONSTANZ")</f>
        <v/>
      </c>
      <c r="L422" s="1">
        <f>IFERROR(__xludf.DUMMYFUNCTION("""COMPUTED_VALUE"""),"Germany")</f>
        <v/>
      </c>
      <c r="M422" s="1">
        <f>IFERROR(__xludf.DUMMYFUNCTION("""COMPUTED_VALUE"""),"Austria, Germany, Switzerland")</f>
        <v/>
      </c>
      <c r="N422" s="1">
        <f>IFERROR(__xludf.DUMMYFUNCTION("""COMPUTED_VALUE"""),"3 to 5")</f>
        <v/>
      </c>
      <c r="O422" s="1">
        <f>IFERROR(__xludf.DUMMYFUNCTION("""COMPUTED_VALUE"""),"Business to Business, Business to Schools, Business to Consumer, Business to Government")</f>
        <v/>
      </c>
      <c r="P422" s="1">
        <f>IFERROR(__xludf.DUMMYFUNCTION("""COMPUTED_VALUE"""),"Primary Education, Secondary Education")</f>
        <v/>
      </c>
      <c r="Q422" s="1">
        <f>IFERROR(__xludf.DUMMYFUNCTION("""COMPUTED_VALUE"""),"System/Administrative, Student interfacing, Teacher interfacing")</f>
        <v/>
      </c>
      <c r="R422" s="1" t="n"/>
      <c r="S422" s="1" t="n"/>
      <c r="T422" s="15">
        <f>IFERROR(__xludf.DUMMYFUNCTION("""COMPUTED_VALUE"""),"https://www.linkedin.com/company/eddilake")</f>
        <v/>
      </c>
      <c r="U422" s="1" t="n"/>
      <c r="V422" s="1" t="n"/>
      <c r="W422" s="1" t="n"/>
      <c r="X422" s="1" t="n"/>
      <c r="Y422" s="15">
        <f>IFERROR(__xludf.DUMMYFUNCTION("""COMPUTED_VALUE"""),"https://drive.google.com/uc?export=view&amp;id=1VqLlUTJ3BACoceEolhBv7YdBOm9zNDiq")</f>
        <v/>
      </c>
      <c r="Z422" s="1">
        <f>IFERROR(__xludf.DUMMYFUNCTION("""COMPUTED_VALUE"""),"Unverified")</f>
        <v/>
      </c>
      <c r="AA422" s="1" t="n"/>
      <c r="AB422" s="1" t="n"/>
      <c r="AC422" s="1" t="n"/>
      <c r="AD422" s="1" t="n"/>
      <c r="AE422" s="1" t="n"/>
    </row>
    <row r="423" ht="42" customHeight="1">
      <c r="A423" s="14">
        <f>IFERROR(__xludf.DUMMYFUNCTION("""COMPUTED_VALUE"""),45412)</f>
        <v/>
      </c>
      <c r="B423" s="1">
        <f>IFERROR(__xludf.DUMMYFUNCTION("""COMPUTED_VALUE"""),"ORG_1192")</f>
        <v/>
      </c>
      <c r="C423" s="1">
        <f>IFERROR(__xludf.DUMMYFUNCTION("""COMPUTED_VALUE"""),TRUE)</f>
        <v/>
      </c>
      <c r="D423" s="15">
        <f>IFERROR(__xludf.DUMMYFUNCTION("""COMPUTED_VALUE"""),"BrainBite.ai")</f>
        <v/>
      </c>
      <c r="E423" s="15">
        <f>IFERROR(__xludf.DUMMYFUNCTION("""COMPUTED_VALUE"""),"www.brainbite.ai")</f>
        <v/>
      </c>
      <c r="F423" s="1">
        <f>IFERROR(__xludf.DUMMYFUNCTION("""COMPUTED_VALUE"""),"BrainBite is an advanced educational technology platform that enhances the learning experience by providing personalized, AI-driven educational content for children aged 8 and above. It aims to transform traditional education methods by making learning mo"&amp;"re engaging, inclusive, and effective through a variety of innovative features. These include personalized learning paths, AI-driven adaptability, inclusive learning solutions, engagement through storytelling, and a global tutor network. BrainBite also of"&amp;"fers extensive insights for parents and tutors to help them support the learners effectively​​.")</f>
        <v/>
      </c>
      <c r="G423" s="1">
        <f>IFERROR(__xludf.DUMMYFUNCTION("""COMPUTED_VALUE"""),"Dutch EdTech")</f>
        <v/>
      </c>
      <c r="H423" s="1">
        <f>IFERROR(__xludf.DUMMYFUNCTION("""COMPUTED_VALUE"""),"English, Dutch")</f>
        <v/>
      </c>
      <c r="I423" s="1" t="n"/>
      <c r="J423" s="1">
        <f>IFERROR(__xludf.DUMMYFUNCTION("""COMPUTED_VALUE"""),"+31 64 55 88 694")</f>
        <v/>
      </c>
      <c r="K423" s="1">
        <f>IFERROR(__xludf.DUMMYFUNCTION("""COMPUTED_VALUE"""),"Veen")</f>
        <v/>
      </c>
      <c r="L423" s="1">
        <f>IFERROR(__xludf.DUMMYFUNCTION("""COMPUTED_VALUE"""),"The Netherlands")</f>
        <v/>
      </c>
      <c r="M423" s="1">
        <f>IFERROR(__xludf.DUMMYFUNCTION("""COMPUTED_VALUE"""),"Belgium, Malta, United Kingdom")</f>
        <v/>
      </c>
      <c r="N423" s="1">
        <f>IFERROR(__xludf.DUMMYFUNCTION("""COMPUTED_VALUE"""),"11 to 50")</f>
        <v/>
      </c>
      <c r="O423" s="1">
        <f>IFERROR(__xludf.DUMMYFUNCTION("""COMPUTED_VALUE"""),"Business to Business, Business to Schools, Business to Consumer, Business to Government")</f>
        <v/>
      </c>
      <c r="P423" s="1">
        <f>IFERROR(__xludf.DUMMYFUNCTION("""COMPUTED_VALUE"""),"Primary Education, Secondary Education")</f>
        <v/>
      </c>
      <c r="Q423" s="1">
        <f>IFERROR(__xludf.DUMMYFUNCTION("""COMPUTED_VALUE"""),"System/Administrative, Student interfacing, Teacher interfacing")</f>
        <v/>
      </c>
      <c r="R423" s="15">
        <f>IFERROR(__xludf.DUMMYFUNCTION("""COMPUTED_VALUE"""),"https://www.instagram.com/brainbiteai/")</f>
        <v/>
      </c>
      <c r="S423" s="1" t="n"/>
      <c r="T423" s="15">
        <f>IFERROR(__xludf.DUMMYFUNCTION("""COMPUTED_VALUE"""),"https://www.linkedin.com/company/brainbite/about/")</f>
        <v/>
      </c>
      <c r="U423" s="15">
        <f>IFERROR(__xludf.DUMMYFUNCTION("""COMPUTED_VALUE"""),"BrainBite.ai")</f>
        <v/>
      </c>
      <c r="V423" s="1">
        <f>IFERROR(__xludf.DUMMYFUNCTION("""COMPUTED_VALUE"""),"BrainBite is an advanced educational technology platform that enhances the learning experience by providing personalized, AI-driven educational content for children aged 8 and above. It aims to transform traditional education methods by making learning mo"&amp;"re engaging, inclusive, and effective through a variety of innovative features. These include personalized learning paths, AI-driven adaptability, inclusive learning solutions, engagement through storytelling, and a global tutor network. BrainBite also of"&amp;"fers extensive insights for parents and tutors to help them support the learners effectively​​.")</f>
        <v/>
      </c>
      <c r="W423" s="1" t="n"/>
      <c r="X423" s="1" t="n"/>
      <c r="Y423" s="15">
        <f>IFERROR(__xludf.DUMMYFUNCTION("""COMPUTED_VALUE"""),"https://drive.google.com/uc?export=view&amp;id=18mp-kr9smhowzLVPVFN12YfYsfzs5ux6")</f>
        <v/>
      </c>
      <c r="Z423" s="1">
        <f>IFERROR(__xludf.DUMMYFUNCTION("""COMPUTED_VALUE"""),"Unverified")</f>
        <v/>
      </c>
      <c r="AA423" s="1" t="n"/>
      <c r="AB423" s="1" t="n"/>
      <c r="AC423" s="1" t="n"/>
      <c r="AD423" s="1" t="n"/>
      <c r="AE423" s="1" t="n"/>
    </row>
    <row r="424" ht="42" customHeight="1">
      <c r="A424" s="14">
        <f>IFERROR(__xludf.DUMMYFUNCTION("""COMPUTED_VALUE"""),45412)</f>
        <v/>
      </c>
      <c r="B424" s="1">
        <f>IFERROR(__xludf.DUMMYFUNCTION("""COMPUTED_VALUE"""),"ORG_2291")</f>
        <v/>
      </c>
      <c r="C424" s="1">
        <f>IFERROR(__xludf.DUMMYFUNCTION("""COMPUTED_VALUE"""),TRUE)</f>
        <v/>
      </c>
      <c r="D424" s="1">
        <f>IFERROR(__xludf.DUMMYFUNCTION("""COMPUTED_VALUE"""),"Solion")</f>
        <v/>
      </c>
      <c r="E424" s="15">
        <f>IFERROR(__xludf.DUMMYFUNCTION("""COMPUTED_VALUE"""),"www.solion.it")</f>
        <v/>
      </c>
      <c r="F424" s="1">
        <f>IFERROR(__xludf.DUMMYFUNCTION("""COMPUTED_VALUE"""),"Solion is the first portal in Italy that is modernizing the way students and families choose the best schools and universities and the way institutions build their future classrooms. We believe that it shouldn't be difficult to find the best institution a"&amp;"nd course of study, so our mission is to make it easy, transparent and free. Solion is the trusted partner of colleges and universities, helping them streamline operations, increase brand awareness and achieve their enrollment goals. Solion fosters inform"&amp;"ed decision-making and continues to be dedicated to improving and simplifying the educational pathway for all through new technologies.")</f>
        <v/>
      </c>
      <c r="G424" s="1">
        <f>IFERROR(__xludf.DUMMYFUNCTION("""COMPUTED_VALUE"""),"EdTech Italia")</f>
        <v/>
      </c>
      <c r="H424" s="1">
        <f>IFERROR(__xludf.DUMMYFUNCTION("""COMPUTED_VALUE"""),"Italian")</f>
        <v/>
      </c>
      <c r="I424" s="1">
        <f>IFERROR(__xludf.DUMMYFUNCTION("""COMPUTED_VALUE"""),"info@solion.it")</f>
        <v/>
      </c>
      <c r="J424" s="1">
        <f>IFERROR(__xludf.DUMMYFUNCTION("""COMPUTED_VALUE"""),"+39 3312185059")</f>
        <v/>
      </c>
      <c r="K424" s="1">
        <f>IFERROR(__xludf.DUMMYFUNCTION("""COMPUTED_VALUE"""),"NAPOLI")</f>
        <v/>
      </c>
      <c r="L424" s="1">
        <f>IFERROR(__xludf.DUMMYFUNCTION("""COMPUTED_VALUE"""),"Italy")</f>
        <v/>
      </c>
      <c r="M424" s="1">
        <f>IFERROR(__xludf.DUMMYFUNCTION("""COMPUTED_VALUE"""),"Italy")</f>
        <v/>
      </c>
      <c r="N424" s="1">
        <f>IFERROR(__xludf.DUMMYFUNCTION("""COMPUTED_VALUE"""),"3 to 5")</f>
        <v/>
      </c>
      <c r="O424" s="1">
        <f>IFERROR(__xludf.DUMMYFUNCTION("""COMPUTED_VALUE"""),"Business to Business, Business to Consumer, Business to Government")</f>
        <v/>
      </c>
      <c r="P424" s="1">
        <f>IFERROR(__xludf.DUMMYFUNCTION("""COMPUTED_VALUE"""),"Early childhood development (0-5 years), Primary Education, Secondary Education, Lifelong learning/Adult education, Vocational Education and Training (VET), Higher Education")</f>
        <v/>
      </c>
      <c r="Q424" s="1">
        <f>IFERROR(__xludf.DUMMYFUNCTION("""COMPUTED_VALUE"""),"System/Administrative, Student interfacing, Teacher interfacing")</f>
        <v/>
      </c>
      <c r="R424" s="15">
        <f>IFERROR(__xludf.DUMMYFUNCTION("""COMPUTED_VALUE"""),"https://www.instagram.com/solion.it/")</f>
        <v/>
      </c>
      <c r="S424" s="1" t="n"/>
      <c r="T424" s="15">
        <f>IFERROR(__xludf.DUMMYFUNCTION("""COMPUTED_VALUE"""),"https://www.linkedin.com/company/solion/?viewAsMember=true")</f>
        <v/>
      </c>
      <c r="U424" s="1" t="n"/>
      <c r="V424" s="1" t="n"/>
      <c r="W424" s="1" t="n"/>
      <c r="X424" s="1" t="n"/>
      <c r="Y424" s="15">
        <f>IFERROR(__xludf.DUMMYFUNCTION("""COMPUTED_VALUE"""),"https://drive.google.com/uc?export=view&amp;id=1tAWEyGEvnqjBEa0joButTPJgr3EYYg6d")</f>
        <v/>
      </c>
      <c r="Z424" s="1">
        <f>IFERROR(__xludf.DUMMYFUNCTION("""COMPUTED_VALUE"""),"Unverified")</f>
        <v/>
      </c>
      <c r="AA424" s="1" t="n"/>
      <c r="AB424" s="1" t="n"/>
      <c r="AC424" s="1" t="n"/>
      <c r="AD424" s="1" t="n"/>
      <c r="AE424" s="1" t="n"/>
    </row>
    <row r="425" ht="42" customHeight="1">
      <c r="A425" s="14">
        <f>IFERROR(__xludf.DUMMYFUNCTION("""COMPUTED_VALUE"""),45411)</f>
        <v/>
      </c>
      <c r="B425" s="1">
        <f>IFERROR(__xludf.DUMMYFUNCTION("""COMPUTED_VALUE"""),"ORG_1245")</f>
        <v/>
      </c>
      <c r="C425" s="1">
        <f>IFERROR(__xludf.DUMMYFUNCTION("""COMPUTED_VALUE"""),TRUE)</f>
        <v/>
      </c>
      <c r="D425" s="1">
        <f>IFERROR(__xludf.DUMMYFUNCTION("""COMPUTED_VALUE"""),"Class of Wonders")</f>
        <v/>
      </c>
      <c r="E425" s="15">
        <f>IFERROR(__xludf.DUMMYFUNCTION("""COMPUTED_VALUE"""),"classofwonders.com")</f>
        <v/>
      </c>
      <c r="F425" s="1">
        <f>IFERROR(__xludf.DUMMYFUNCTION("""COMPUTED_VALUE"""),"We are an EdTech for Impact, on a mission to transform k-12 classrooms worldwide into spaces where no child leaves without learning.")</f>
        <v/>
      </c>
      <c r="G425" s="1">
        <f>IFERROR(__xludf.DUMMYFUNCTION("""COMPUTED_VALUE"""),"I'm not part of any EdTech association")</f>
        <v/>
      </c>
      <c r="H425" s="1" t="n"/>
      <c r="I425" s="1">
        <f>IFERROR(__xludf.DUMMYFUNCTION("""COMPUTED_VALUE"""),"info@classofwonders.com")</f>
        <v/>
      </c>
      <c r="J425" s="1" t="n"/>
      <c r="K425" s="1">
        <f>IFERROR(__xludf.DUMMYFUNCTION("""COMPUTED_VALUE"""),"Lisboa")</f>
        <v/>
      </c>
      <c r="L425" s="1">
        <f>IFERROR(__xludf.DUMMYFUNCTION("""COMPUTED_VALUE"""),"Portugal")</f>
        <v/>
      </c>
      <c r="M425" s="1">
        <f>IFERROR(__xludf.DUMMYFUNCTION("""COMPUTED_VALUE"""),"Portugal, Spain")</f>
        <v/>
      </c>
      <c r="N425" s="1">
        <f>IFERROR(__xludf.DUMMYFUNCTION("""COMPUTED_VALUE"""),"3 to 5")</f>
        <v/>
      </c>
      <c r="O425" s="1">
        <f>IFERROR(__xludf.DUMMYFUNCTION("""COMPUTED_VALUE"""),"Business to Business, Business to Schools, Business to Consumer, Business to Government")</f>
        <v/>
      </c>
      <c r="P425" s="1">
        <f>IFERROR(__xludf.DUMMYFUNCTION("""COMPUTED_VALUE"""),"Primary Education")</f>
        <v/>
      </c>
      <c r="Q425" s="1">
        <f>IFERROR(__xludf.DUMMYFUNCTION("""COMPUTED_VALUE"""),"Student interfacing, Teacher interfacing")</f>
        <v/>
      </c>
      <c r="R425" s="1" t="n"/>
      <c r="S425" s="1" t="n"/>
      <c r="T425" s="15">
        <f>IFERROR(__xludf.DUMMYFUNCTION("""COMPUTED_VALUE"""),"https://www.linkedin.com/company/class-of-wonders/")</f>
        <v/>
      </c>
      <c r="U425" s="1" t="n"/>
      <c r="V425" s="1" t="n"/>
      <c r="W425" s="1" t="n"/>
      <c r="X425" s="1" t="n"/>
      <c r="Y425" s="15">
        <f>IFERROR(__xludf.DUMMYFUNCTION("""COMPUTED_VALUE"""),"https://drive.google.com/uc?export=view&amp;id=1VeNfrgrFYc7vecE8BTymFzLiDZH3nAal")</f>
        <v/>
      </c>
      <c r="Z425" s="1">
        <f>IFERROR(__xludf.DUMMYFUNCTION("""COMPUTED_VALUE"""),"Unverified")</f>
        <v/>
      </c>
      <c r="AA425" s="1" t="n"/>
      <c r="AB425" s="1" t="n"/>
      <c r="AC425" s="1" t="n"/>
      <c r="AD425" s="1" t="n"/>
      <c r="AE425" s="1" t="n"/>
    </row>
    <row r="426" ht="42" customHeight="1">
      <c r="A426" s="14">
        <f>IFERROR(__xludf.DUMMYFUNCTION("""COMPUTED_VALUE"""),45401)</f>
        <v/>
      </c>
      <c r="B426" s="1">
        <f>IFERROR(__xludf.DUMMYFUNCTION("""COMPUTED_VALUE"""),"ORG_1840")</f>
        <v/>
      </c>
      <c r="C426" s="1">
        <f>IFERROR(__xludf.DUMMYFUNCTION("""COMPUTED_VALUE"""),TRUE)</f>
        <v/>
      </c>
      <c r="D426" s="1">
        <f>IFERROR(__xludf.DUMMYFUNCTION("""COMPUTED_VALUE"""),"Learnosity")</f>
        <v/>
      </c>
      <c r="E426" s="15">
        <f>IFERROR(__xludf.DUMMYFUNCTION("""COMPUTED_VALUE"""),"https://learnosity.com/")</f>
        <v/>
      </c>
      <c r="F426" s="1">
        <f>IFERROR(__xludf.DUMMYFUNCTION("""COMPUTED_VALUE"""),"Learnosity is the global leader in AI-powered assessment solutions. Serving over 750 customers and more than 40 million learners, our mission is to advance education and learning worldwide with best-in-class technology. 
Our API-backed, AI-enriched asses"&amp;"sment engine makes it easy for modern learning platforms to quickly launch fully featured products, scale on demand, and always meet fast-evolving market needs.
Questionmark, our end-to-end enterprise-grade assessment platform, works with corporations an"&amp;"d governments to unlock their potential by delivering assessments which are valid, reliable, fair and defensible.")</f>
        <v/>
      </c>
      <c r="G426" s="1">
        <f>IFERROR(__xludf.DUMMYFUNCTION("""COMPUTED_VALUE"""),"I'm not part of any EdTech association")</f>
        <v/>
      </c>
      <c r="H426" s="1" t="n"/>
      <c r="I426" s="1">
        <f>IFERROR(__xludf.DUMMYFUNCTION("""COMPUTED_VALUE"""),"team@learnosity.com")</f>
        <v/>
      </c>
      <c r="J426" s="1">
        <f>IFERROR(__xludf.DUMMYFUNCTION("""COMPUTED_VALUE"""),"+353 1 878 3693")</f>
        <v/>
      </c>
      <c r="K426" s="1">
        <f>IFERROR(__xludf.DUMMYFUNCTION("""COMPUTED_VALUE"""),"Dublin")</f>
        <v/>
      </c>
      <c r="L426" s="1">
        <f>IFERROR(__xludf.DUMMYFUNCTION("""COMPUTED_VALUE"""),"Ireland")</f>
        <v/>
      </c>
      <c r="M426" s="1">
        <f>IFERROR(__xludf.DUMMYFUNCTION("""COMPUTED_VALUE"""),"Belgium, Bosnia and Herzegovina, Croatia, Cyprus, Czechia, Denmark, Estonia, Finland, France, Georgia, Germany, Greece, Hungary, Ireland, Italy, Kazakhstan, Kosovo, Latvia, Lithuania, Luxembourg, Moldova, Netherlands, North Macedonia, Russia, Slovakia, Sp"&amp;"ain, Sweden, Ukraine, United Kingdom")</f>
        <v/>
      </c>
      <c r="N426" s="1">
        <f>IFERROR(__xludf.DUMMYFUNCTION("""COMPUTED_VALUE"""),"101 to 500")</f>
        <v/>
      </c>
      <c r="O426" s="1">
        <f>IFERROR(__xludf.DUMMYFUNCTION("""COMPUTED_VALUE"""),"Business to Business, Business to Consumer, Business to Schools")</f>
        <v/>
      </c>
      <c r="P426" s="1">
        <f>IFERROR(__xludf.DUMMYFUNCTION("""COMPUTED_VALUE"""),"Early childhood development (0-5 years), Primary Education, Secondary Education, Corporate Training, Lifelong learning/Adult education, Vocational Education and Training (VET), Higher Education")</f>
        <v/>
      </c>
      <c r="Q426" s="1">
        <f>IFERROR(__xludf.DUMMYFUNCTION("""COMPUTED_VALUE"""),"System/Administrative")</f>
        <v/>
      </c>
      <c r="R426" s="1" t="n"/>
      <c r="S426" s="15">
        <f>IFERROR(__xludf.DUMMYFUNCTION("""COMPUTED_VALUE"""),"https://twitter.com/learnosity?ref_src=twsrc%5Egoogle%7Ctwcamp%5Eserp%7Ctwgr%5Eauthor")</f>
        <v/>
      </c>
      <c r="T426" s="15">
        <f>IFERROR(__xludf.DUMMYFUNCTION("""COMPUTED_VALUE"""),"https://ie.linkedin.com/company/learnosity")</f>
        <v/>
      </c>
      <c r="U426" s="1">
        <f>IFERROR(__xludf.DUMMYFUNCTION("""COMPUTED_VALUE"""),"Learnosity APIs")</f>
        <v/>
      </c>
      <c r="V426" s="1">
        <f>IFERROR(__xludf.DUMMYFUNCTION("""COMPUTED_VALUE"""),"Our API-backed, AI-enriched assessment engine makes it easy for modern learning platforms to quickly launch fully featured products, scale on demand, and always meet fast-evolving market needs.")</f>
        <v/>
      </c>
      <c r="W426" s="1">
        <f>IFERROR(__xludf.DUMMYFUNCTION("""COMPUTED_VALUE"""),"Questionmark")</f>
        <v/>
      </c>
      <c r="X426" s="1">
        <f>IFERROR(__xludf.DUMMYFUNCTION("""COMPUTED_VALUE"""),"Questionmark provides a secure enterprise-grade assessment platform and professional services to leading organizations around the world, delivered with care and unequalled expertise. Its full-service online assessment tool and professional services help c"&amp;"ustomers to improve their performance and meet their compliance requirements. Questionmark enables organizations to unlock their potential by delivering assessments which are valid, reliable, fair and defensible.")</f>
        <v/>
      </c>
      <c r="Y426" s="15">
        <f>IFERROR(__xludf.DUMMYFUNCTION("""COMPUTED_VALUE"""),"https://drive.google.com/uc?export=view&amp;id=1mYockqmBTtzVjrtxlrfRnwHCO7QEV1P1")</f>
        <v/>
      </c>
      <c r="Z426" s="1">
        <f>IFERROR(__xludf.DUMMYFUNCTION("""COMPUTED_VALUE"""),"Unverified")</f>
        <v/>
      </c>
      <c r="AA426" s="1" t="n"/>
      <c r="AB426" s="1" t="n"/>
      <c r="AC426" s="1" t="n"/>
      <c r="AD426" s="1" t="n"/>
      <c r="AE426" s="1" t="n"/>
    </row>
    <row r="427" ht="42" customHeight="1">
      <c r="A427" s="14">
        <f>IFERROR(__xludf.DUMMYFUNCTION("""COMPUTED_VALUE"""),45391)</f>
        <v/>
      </c>
      <c r="B427" s="1">
        <f>IFERROR(__xludf.DUMMYFUNCTION("""COMPUTED_VALUE"""),"ORG_2253")</f>
        <v/>
      </c>
      <c r="C427" s="1">
        <f>IFERROR(__xludf.DUMMYFUNCTION("""COMPUTED_VALUE"""),TRUE)</f>
        <v/>
      </c>
      <c r="D427" s="1">
        <f>IFERROR(__xludf.DUMMYFUNCTION("""COMPUTED_VALUE"""),"SkillFull B.V.")</f>
        <v/>
      </c>
      <c r="E427" s="15">
        <f>IFERROR(__xludf.DUMMYFUNCTION("""COMPUTED_VALUE"""),"www.skill-full.com")</f>
        <v/>
      </c>
      <c r="F427" s="1">
        <f>IFERROR(__xludf.DUMMYFUNCTION("""COMPUTED_VALUE"""),"At SkillFull our fundamental believe is that every person is full of unique skills! With our digital innovations, employees playfully gain insight into their behaviour and improve their performance. We use a flexible and creative approach to bring out the"&amp;" best in every employee. As an entrepreneurial company, we are proud to build the bridge between science and practice. With our game-based tools, we provide holistic solutions to diverse customer segments.")</f>
        <v/>
      </c>
      <c r="G427" s="1">
        <f>IFERROR(__xludf.DUMMYFUNCTION("""COMPUTED_VALUE"""),"Dutch EdTech")</f>
        <v/>
      </c>
      <c r="H427" s="1">
        <f>IFERROR(__xludf.DUMMYFUNCTION("""COMPUTED_VALUE"""),"German, French, Dutch, English")</f>
        <v/>
      </c>
      <c r="I427" s="1">
        <f>IFERROR(__xludf.DUMMYFUNCTION("""COMPUTED_VALUE"""),"j.modderman@skill-full.com")</f>
        <v/>
      </c>
      <c r="J427" s="1" t="n"/>
      <c r="K427" s="1">
        <f>IFERROR(__xludf.DUMMYFUNCTION("""COMPUTED_VALUE"""),"ROTTERDAM")</f>
        <v/>
      </c>
      <c r="L427" s="1">
        <f>IFERROR(__xludf.DUMMYFUNCTION("""COMPUTED_VALUE"""),"The Netherlands")</f>
        <v/>
      </c>
      <c r="M427" s="1">
        <f>IFERROR(__xludf.DUMMYFUNCTION("""COMPUTED_VALUE"""),"Austria, Belgium, Denmark, Finland, France, Germany, Ireland, Luxembourg, Netherlands, Norway, Sweden, United Kingdom")</f>
        <v/>
      </c>
      <c r="N427" s="1">
        <f>IFERROR(__xludf.DUMMYFUNCTION("""COMPUTED_VALUE"""),"3 to 5")</f>
        <v/>
      </c>
      <c r="O427" s="1">
        <f>IFERROR(__xludf.DUMMYFUNCTION("""COMPUTED_VALUE"""),"Business to Business, Business to Schools, Business to Consumer, Business to Government")</f>
        <v/>
      </c>
      <c r="P427" s="1">
        <f>IFERROR(__xludf.DUMMYFUNCTION("""COMPUTED_VALUE"""),"Secondary Education, Corporate Training, Lifelong learning/Adult education, Vocational Education and Training (VET), Higher Education")</f>
        <v/>
      </c>
      <c r="Q427" s="1">
        <f>IFERROR(__xludf.DUMMYFUNCTION("""COMPUTED_VALUE"""),"Student interfacing, Teacher interfacing, System/Administrative")</f>
        <v/>
      </c>
      <c r="R427" s="1" t="n"/>
      <c r="S427" s="1" t="n"/>
      <c r="T427" s="15">
        <f>IFERROR(__xludf.DUMMYFUNCTION("""COMPUTED_VALUE"""),"https://www.linkedin.com/company/skillfull-serious-games")</f>
        <v/>
      </c>
      <c r="U427" s="1">
        <f>IFERROR(__xludf.DUMMYFUNCTION("""COMPUTED_VALUE"""),"Leadership Challenge")</f>
        <v/>
      </c>
      <c r="V427" s="1">
        <f>IFERROR(__xludf.DUMMYFUNCTION("""COMPUTED_VALUE"""),"An attractive, award winning, off-the-shelf combination of insight and development. In this online program, leaders gain insight into their personal leadership style and effectively increase their versatility. 100% online, scalable, language independent a"&amp;"nd fully responsive. The program focuses on learning, recognising and applying four different leadership styles. Together with an experienced coach, the participant discusses how these insights can effectively be applied, with short-term and long-term goa"&amp;"ls.")</f>
        <v/>
      </c>
      <c r="W427" s="1">
        <f>IFERROR(__xludf.DUMMYFUNCTION("""COMPUTED_VALUE"""),"Conversational AI")</f>
        <v/>
      </c>
      <c r="X427" s="1">
        <f>IFERROR(__xludf.DUMMYFUNCTION("""COMPUTED_VALUE"""),"Chatting successfully: the transformative power of conversational AI. How do you practice new behaviour? TalkTonic is a unique tool that harnesses the power of Artificial Intelligence to create natural conversations. It understands not only words, but als"&amp;"o context, intentions and nuances, allowing you to create engaging and personalised situations. This offers a completely new opportunity for training conversational skills focused on leadership or customer communication. Participants can practice endlessl"&amp;"y with their personal training actor, expanding their behavioural repertoire and increasing their agility.
Translated with DeepL.com (free version)")</f>
        <v/>
      </c>
      <c r="Y427" s="15">
        <f>IFERROR(__xludf.DUMMYFUNCTION("""COMPUTED_VALUE"""),"https://drive.google.com/uc?export=view&amp;id=1El6Sa0FxfPnluinRA8dH8A56fpEL6rPE")</f>
        <v/>
      </c>
      <c r="Z427" s="1">
        <f>IFERROR(__xludf.DUMMYFUNCTION("""COMPUTED_VALUE"""),"Unverified")</f>
        <v/>
      </c>
      <c r="AA427" s="1" t="n"/>
      <c r="AB427" s="1" t="n"/>
      <c r="AC427" s="1" t="n"/>
      <c r="AD427" s="1" t="n"/>
      <c r="AE427" s="1" t="n"/>
    </row>
    <row r="428" ht="42" customHeight="1">
      <c r="A428" s="14">
        <f>IFERROR(__xludf.DUMMYFUNCTION("""COMPUTED_VALUE"""),45387)</f>
        <v/>
      </c>
      <c r="B428" s="1">
        <f>IFERROR(__xludf.DUMMYFUNCTION("""COMPUTED_VALUE"""),"ORG_1221")</f>
        <v/>
      </c>
      <c r="C428" s="1">
        <f>IFERROR(__xludf.DUMMYFUNCTION("""COMPUTED_VALUE"""),TRUE)</f>
        <v/>
      </c>
      <c r="D428" s="1">
        <f>IFERROR(__xludf.DUMMYFUNCTION("""COMPUTED_VALUE"""),"CareerFit")</f>
        <v/>
      </c>
      <c r="E428" s="15">
        <f>IFERROR(__xludf.DUMMYFUNCTION("""COMPUTED_VALUE"""),"https://careerfit.com")</f>
        <v/>
      </c>
      <c r="F428" s="1">
        <f>IFERROR(__xludf.DUMMYFUNCTION("""COMPUTED_VALUE"""),"Feeling lost and unsure about your career path? Unsure what path to choose? CareerFit is here to take the guesswork out of career exploration!
CareerFit is a scientifically-validated career assessment that gives you a personalised report with 16 careers "&amp;"to help you find the right career for you and spend your days doing what you love.")</f>
        <v/>
      </c>
      <c r="G428" s="1">
        <f>IFERROR(__xludf.DUMMYFUNCTION("""COMPUTED_VALUE"""),"EdTech Ireland")</f>
        <v/>
      </c>
      <c r="H428" s="1">
        <f>IFERROR(__xludf.DUMMYFUNCTION("""COMPUTED_VALUE"""),"All")</f>
        <v/>
      </c>
      <c r="I428" s="1">
        <f>IFERROR(__xludf.DUMMYFUNCTION("""COMPUTED_VALUE"""),"info@careerfit.com")</f>
        <v/>
      </c>
      <c r="J428" s="1">
        <f>IFERROR(__xludf.DUMMYFUNCTION("""COMPUTED_VALUE"""),"+353 1 497 2067")</f>
        <v/>
      </c>
      <c r="K428" s="1">
        <f>IFERROR(__xludf.DUMMYFUNCTION("""COMPUTED_VALUE"""),"Dublin")</f>
        <v/>
      </c>
      <c r="L428" s="1">
        <f>IFERROR(__xludf.DUMMYFUNCTION("""COMPUTED_VALUE"""),"Ireland")</f>
        <v/>
      </c>
      <c r="M428" s="1">
        <f>IFERROR(__xludf.DUMMYFUNCTION("""COMPUTED_VALUE"""),"Ireland, United Kingdom")</f>
        <v/>
      </c>
      <c r="N428" s="1">
        <f>IFERROR(__xludf.DUMMYFUNCTION("""COMPUTED_VALUE"""),"6 to 10")</f>
        <v/>
      </c>
      <c r="O428" s="1">
        <f>IFERROR(__xludf.DUMMYFUNCTION("""COMPUTED_VALUE"""),"Business to Business, Business to Schools, Business to Consumer, Business to Government")</f>
        <v/>
      </c>
      <c r="P428" s="1">
        <f>IFERROR(__xludf.DUMMYFUNCTION("""COMPUTED_VALUE"""),"Secondary Education, Corporate Training, Lifelong learning/Adult education, Vocational Education and Training (VET), Higher Education")</f>
        <v/>
      </c>
      <c r="Q428" s="1">
        <f>IFERROR(__xludf.DUMMYFUNCTION("""COMPUTED_VALUE"""),"System/Administrative, Student interfacing, Teacher interfacing")</f>
        <v/>
      </c>
      <c r="R428" s="15">
        <f>IFERROR(__xludf.DUMMYFUNCTION("""COMPUTED_VALUE"""),"https://instagram.com/careerfitcom")</f>
        <v/>
      </c>
      <c r="S428" s="1" t="n"/>
      <c r="T428" s="15">
        <f>IFERROR(__xludf.DUMMYFUNCTION("""COMPUTED_VALUE"""),"https://www.linkedin.com/company/careerfitcom")</f>
        <v/>
      </c>
      <c r="U428" s="1">
        <f>IFERROR(__xludf.DUMMYFUNCTION("""COMPUTED_VALUE"""),"CareerFit")</f>
        <v/>
      </c>
      <c r="V428" s="1">
        <f>IFERROR(__xludf.DUMMYFUNCTION("""COMPUTED_VALUE"""),"Feeling lost and unsure about your career path? Unsure what path to choose? CareerFit is here to take the guesswork out of career exploration!
CareerFit is a scientifically-validated career assessment that gives you a personalised report with 16 careers "&amp;"to help you find the right career for you and spend your days doing what you love.")</f>
        <v/>
      </c>
      <c r="W428" s="1" t="n"/>
      <c r="X428" s="1" t="n"/>
      <c r="Y428" s="15">
        <f>IFERROR(__xludf.DUMMYFUNCTION("""COMPUTED_VALUE"""),"https://drive.google.com/uc?export=view&amp;id=1Um1Wg56X6JSN2xa0swgBcQolyG9SpW6K")</f>
        <v/>
      </c>
      <c r="Z428" s="1">
        <f>IFERROR(__xludf.DUMMYFUNCTION("""COMPUTED_VALUE"""),"Unverified")</f>
        <v/>
      </c>
      <c r="AA428" s="1" t="n"/>
      <c r="AB428" s="1" t="n"/>
      <c r="AC428" s="1" t="n"/>
      <c r="AD428" s="1" t="n"/>
      <c r="AE428" s="1" t="n"/>
    </row>
    <row r="429" ht="42" customHeight="1">
      <c r="A429" s="14">
        <f>IFERROR(__xludf.DUMMYFUNCTION("""COMPUTED_VALUE"""),45387)</f>
        <v/>
      </c>
      <c r="B429" s="1">
        <f>IFERROR(__xludf.DUMMYFUNCTION("""COMPUTED_VALUE"""),"ORG_1602")</f>
        <v/>
      </c>
      <c r="C429" s="1">
        <f>IFERROR(__xludf.DUMMYFUNCTION("""COMPUTED_VALUE"""),TRUE)</f>
        <v/>
      </c>
      <c r="D429" s="1">
        <f>IFERROR(__xludf.DUMMYFUNCTION("""COMPUTED_VALUE"""),"Galvia AI")</f>
        <v/>
      </c>
      <c r="E429" s="15">
        <f>IFERROR(__xludf.DUMMYFUNCTION("""COMPUTED_VALUE"""),"www.galvia.ai")</f>
        <v/>
      </c>
      <c r="F429" s="1">
        <f>IFERROR(__xludf.DUMMYFUNCTION("""COMPUTED_VALUE"""),"Galvia is an AI-powered platform for higher-level institutions, enabling faster, more meaningful student engagement at scale. Featuring an AI-driven virtual assistant, an intuitive analytics dashboard, and a state-of-the-art CMS, Galvia automates routine "&amp;"tasks, providing personalised support 24/7. Seamlessly integrating with existing university apps and websites, it empowers teams to focus on what matters most - student success. With our digital transformation service, Galvia ensures universities can navi"&amp;"gate the complexities of modernisation effortlessly, optimising data provisioning, providing strategic advisory services, and generating actionable insights. For more information, visit www.galvia.ai.")</f>
        <v/>
      </c>
      <c r="G429" s="1">
        <f>IFERROR(__xludf.DUMMYFUNCTION("""COMPUTED_VALUE"""),"EdTech Ireland")</f>
        <v/>
      </c>
      <c r="H429" s="1">
        <f>IFERROR(__xludf.DUMMYFUNCTION("""COMPUTED_VALUE"""),"All")</f>
        <v/>
      </c>
      <c r="I429" s="1">
        <f>IFERROR(__xludf.DUMMYFUNCTION("""COMPUTED_VALUE"""),"sales@galvia.ai")</f>
        <v/>
      </c>
      <c r="J429" s="1">
        <f>IFERROR(__xludf.DUMMYFUNCTION("""COMPUTED_VALUE"""),"353 91 730 700")</f>
        <v/>
      </c>
      <c r="K429" s="1">
        <f>IFERROR(__xludf.DUMMYFUNCTION("""COMPUTED_VALUE"""),"PLATFORM94, MERVUE BUSINESS PARK, H91 D932, GALWAY, IRELAND")</f>
        <v/>
      </c>
      <c r="L429" s="1">
        <f>IFERROR(__xludf.DUMMYFUNCTION("""COMPUTED_VALUE"""),"Ireland")</f>
        <v/>
      </c>
      <c r="M429" s="1">
        <f>IFERROR(__xludf.DUMMYFUNCTION("""COMPUTED_VALUE"""),"Ireland, Netherlands, United Kingdom")</f>
        <v/>
      </c>
      <c r="N429" s="1">
        <f>IFERROR(__xludf.DUMMYFUNCTION("""COMPUTED_VALUE"""),"6 to 10")</f>
        <v/>
      </c>
      <c r="O429" s="1">
        <f>IFERROR(__xludf.DUMMYFUNCTION("""COMPUTED_VALUE"""),"Business to Business, Business to Schools, Business to Consumer")</f>
        <v/>
      </c>
      <c r="P429" s="1">
        <f>IFERROR(__xludf.DUMMYFUNCTION("""COMPUTED_VALUE"""),"Higher Education")</f>
        <v/>
      </c>
      <c r="Q429" s="1">
        <f>IFERROR(__xludf.DUMMYFUNCTION("""COMPUTED_VALUE"""),"Student interfacing, System/Administrative")</f>
        <v/>
      </c>
      <c r="R429" s="1" t="n"/>
      <c r="S429" s="15">
        <f>IFERROR(__xludf.DUMMYFUNCTION("""COMPUTED_VALUE"""),"https://twitter.com/GalviaAI")</f>
        <v/>
      </c>
      <c r="T429" s="15">
        <f>IFERROR(__xludf.DUMMYFUNCTION("""COMPUTED_VALUE"""),"https://www.linkedin.com/company/galviaai/?viewAsMember=true")</f>
        <v/>
      </c>
      <c r="U429" s="1">
        <f>IFERROR(__xludf.DUMMYFUNCTION("""COMPUTED_VALUE"""),"AI-Powered Student Engagement Platform")</f>
        <v/>
      </c>
      <c r="V429" s="1">
        <f>IFERROR(__xludf.DUMMYFUNCTION("""COMPUTED_VALUE"""),"In navigating the complex terrain of digital transformation, Galvia stands as a beacon, offering tailored solutions to universities seeking seamless journeys toward digitalisation. With a steadfast focus on data provisioning, advisory services, and insigh"&amp;"ts generation, Galvia emerges as the partner of choice for institutions embarking on this transformative voyage.")</f>
        <v/>
      </c>
      <c r="W429" s="1">
        <f>IFERROR(__xludf.DUMMYFUNCTION("""COMPUTED_VALUE"""),"Digital Transformation Partner")</f>
        <v/>
      </c>
      <c r="X429" s="1">
        <f>IFERROR(__xludf.DUMMYFUNCTION("""COMPUTED_VALUE"""),"In navigating the complex terrain of digital transformation, Galvia stands as a beacon, offering tailored solutions to universities seeking seamless journeys toward digitalization. With a steadfast focus on data provisioning, advisory services, and insigh"&amp;"ts generation, Galvia emerges as the partner of choice for institutions embarking on this transformative voyage.")</f>
        <v/>
      </c>
      <c r="Y429" s="15">
        <f>IFERROR(__xludf.DUMMYFUNCTION("""COMPUTED_VALUE"""),"https://drive.google.com/uc?export=view&amp;id=1CU6lOzb65kBDTxNZkpgJsa_ES6MqPFhi")</f>
        <v/>
      </c>
      <c r="Z429" s="1">
        <f>IFERROR(__xludf.DUMMYFUNCTION("""COMPUTED_VALUE"""),"Unverified")</f>
        <v/>
      </c>
      <c r="AA429" s="1" t="n"/>
      <c r="AB429" s="1" t="n"/>
      <c r="AC429" s="1" t="n"/>
      <c r="AD429" s="1" t="n"/>
      <c r="AE429" s="1" t="n"/>
    </row>
    <row r="430" ht="42" customHeight="1">
      <c r="A430" s="14">
        <f>IFERROR(__xludf.DUMMYFUNCTION("""COMPUTED_VALUE"""),45379)</f>
        <v/>
      </c>
      <c r="B430" s="1">
        <f>IFERROR(__xludf.DUMMYFUNCTION("""COMPUTED_VALUE"""),"ORG_1637")</f>
        <v/>
      </c>
      <c r="C430" s="1">
        <f>IFERROR(__xludf.DUMMYFUNCTION("""COMPUTED_VALUE"""),TRUE)</f>
        <v/>
      </c>
      <c r="D430" s="1">
        <f>IFERROR(__xludf.DUMMYFUNCTION("""COMPUTED_VALUE"""),"Graasp")</f>
        <v/>
      </c>
      <c r="E430" s="15">
        <f>IFERROR(__xludf.DUMMYFUNCTION("""COMPUTED_VALUE"""),"https://graasp.org/")</f>
        <v/>
      </c>
      <c r="F430" s="1">
        <f>IFERROR(__xludf.DUMMYFUNCTION("""COMPUTED_VALUE"""),"Graasp is a non-profit organization promoting innovation in digital education. We develop software, train educators, support research, and work closely with government agencies to improve access to technology-enhanced learning solutions.")</f>
        <v/>
      </c>
      <c r="G430" s="1">
        <f>IFERROR(__xludf.DUMMYFUNCTION("""COMPUTED_VALUE"""),"Swiss EdTech Collider")</f>
        <v/>
      </c>
      <c r="H430" s="1">
        <f>IFERROR(__xludf.DUMMYFUNCTION("""COMPUTED_VALUE"""),"English, French, German, Italian, Spanish, Arabic")</f>
        <v/>
      </c>
      <c r="I430" s="1">
        <f>IFERROR(__xludf.DUMMYFUNCTION("""COMPUTED_VALUE"""),"contact@graasp.org")</f>
        <v/>
      </c>
      <c r="J430" s="1" t="n"/>
      <c r="K430" s="1">
        <f>IFERROR(__xludf.DUMMYFUNCTION("""COMPUTED_VALUE"""),"SALVAN")</f>
        <v/>
      </c>
      <c r="L430" s="1">
        <f>IFERROR(__xludf.DUMMYFUNCTION("""COMPUTED_VALUE"""),"Switzerland")</f>
        <v/>
      </c>
      <c r="M430" s="1">
        <f>IFERROR(__xludf.DUMMYFUNCTION("""COMPUTED_VALUE"""),"Estonia, France, Netherlands, Portugal, Romania, Spain, Switzerland")</f>
        <v/>
      </c>
      <c r="N430" s="1">
        <f>IFERROR(__xludf.DUMMYFUNCTION("""COMPUTED_VALUE"""),"0 to 2")</f>
        <v/>
      </c>
      <c r="O430" s="1">
        <f>IFERROR(__xludf.DUMMYFUNCTION("""COMPUTED_VALUE"""),"Business to Business, Business to Schools, Business to Consumer, Business to Government")</f>
        <v/>
      </c>
      <c r="P430" s="1">
        <f>IFERROR(__xludf.DUMMYFUNCTION("""COMPUTED_VALUE"""),"Early childhood development (0-5 years), Primary Education, Secondary Education, Lifelong learning/Adult education, Vocational Education and Training (VET), Higher Education")</f>
        <v/>
      </c>
      <c r="Q430" s="1">
        <f>IFERROR(__xludf.DUMMYFUNCTION("""COMPUTED_VALUE"""),"Student interfacing, Teacher interfacing, System/Administrative")</f>
        <v/>
      </c>
      <c r="R430" s="1" t="n"/>
      <c r="S430" s="15">
        <f>IFERROR(__xludf.DUMMYFUNCTION("""COMPUTED_VALUE"""),"https://twitter.com/graasp")</f>
        <v/>
      </c>
      <c r="T430" s="15">
        <f>IFERROR(__xludf.DUMMYFUNCTION("""COMPUTED_VALUE"""),"https://www.linkedin.com/company/graasp/")</f>
        <v/>
      </c>
      <c r="U430" s="1">
        <f>IFERROR(__xludf.DUMMYFUNCTION("""COMPUTED_VALUE"""),"Graasp")</f>
        <v/>
      </c>
      <c r="V430" s="1">
        <f>IFERROR(__xludf.DUMMYFUNCTION("""COMPUTED_VALUE"""),"The Graasp platform helps institutions and educators create interactive and open resources for online and blended learning. Graasp can be used in any discipline and pedagogical scenario for building learning experiences that have a real impact on learners"&amp;".")</f>
        <v/>
      </c>
      <c r="W430" s="1" t="n"/>
      <c r="X430" s="1" t="n"/>
      <c r="Y430" s="15">
        <f>IFERROR(__xludf.DUMMYFUNCTION("""COMPUTED_VALUE"""),"https://drive.google.com/uc?export=view&amp;id=1LI1SxQPy-ypu3ewip_D7N0MozzZGR-DB")</f>
        <v/>
      </c>
      <c r="Z430" s="1">
        <f>IFERROR(__xludf.DUMMYFUNCTION("""COMPUTED_VALUE"""),"Unverified")</f>
        <v/>
      </c>
      <c r="AA430" s="1" t="n"/>
      <c r="AB430" s="1" t="n"/>
      <c r="AC430" s="1" t="n"/>
      <c r="AD430" s="1" t="n"/>
      <c r="AE430" s="1" t="n"/>
    </row>
    <row r="431" ht="42" customHeight="1">
      <c r="A431" s="14">
        <f>IFERROR(__xludf.DUMMYFUNCTION("""COMPUTED_VALUE"""),45372)</f>
        <v/>
      </c>
      <c r="B431" s="1">
        <f>IFERROR(__xludf.DUMMYFUNCTION("""COMPUTED_VALUE"""),"ORG_1154")</f>
        <v/>
      </c>
      <c r="C431" s="1">
        <f>IFERROR(__xludf.DUMMYFUNCTION("""COMPUTED_VALUE"""),TRUE)</f>
        <v/>
      </c>
      <c r="D431" s="1">
        <f>IFERROR(__xludf.DUMMYFUNCTION("""COMPUTED_VALUE"""),"BetterExaminations")</f>
        <v/>
      </c>
      <c r="E431" s="15">
        <f>IFERROR(__xludf.DUMMYFUNCTION("""COMPUTED_VALUE"""),"https://www.betterexaminations.com/")</f>
        <v/>
      </c>
      <c r="F431" s="1">
        <f>IFERROR(__xludf.DUMMYFUNCTION("""COMPUTED_VALUE"""),"BetterExaminations is a modern end-to-end exam management and eAssessment platform built for Universities and Colleges. Through an extremely easy to use cloud-based platform, candidates can sit exams from anywhere in the world, with optional online procto"&amp;"ring/invigilation.
With over 50 question types, a comprehensive range of subjects can be examined using a wide range of devices. For the institution, the platform provides comprehensive exam management and reporting features including support for exam wor"&amp;"kflow, external examiner support, feedback / marking and features to help you manage traditional paper based exams.
The BetterExaminations team comprises over 70 people based in Ireland, the UK, Poland, Australia and the US. As part of the Terminalfour Gr"&amp;"oup we work with over 250 Universities, Colleges, School Boards and Awarding Bodies worldwide.")</f>
        <v/>
      </c>
      <c r="G431" s="1">
        <f>IFERROR(__xludf.DUMMYFUNCTION("""COMPUTED_VALUE"""),"EdTech Ireland")</f>
        <v/>
      </c>
      <c r="H431" s="1">
        <f>IFERROR(__xludf.DUMMYFUNCTION("""COMPUTED_VALUE"""),"All")</f>
        <v/>
      </c>
      <c r="I431" s="1">
        <f>IFERROR(__xludf.DUMMYFUNCTION("""COMPUTED_VALUE"""),"info@betterexaminations.com")</f>
        <v/>
      </c>
      <c r="J431" s="1">
        <f>IFERROR(__xludf.DUMMYFUNCTION("""COMPUTED_VALUE"""),"+35318509700")</f>
        <v/>
      </c>
      <c r="K431" s="1">
        <f>IFERROR(__xludf.DUMMYFUNCTION("""COMPUTED_VALUE"""),"DUBLIN")</f>
        <v/>
      </c>
      <c r="L431" s="1">
        <f>IFERROR(__xludf.DUMMYFUNCTION("""COMPUTED_VALUE"""),"Ireland")</f>
        <v/>
      </c>
      <c r="M431" s="1">
        <f>IFERROR(__xludf.DUMMYFUNCTION("""COMPUTED_VALUE"""),"Denmark, France, Germany, Greece, Ireland, Italy, Portugal, Spain, Sweden, United Kingdom")</f>
        <v/>
      </c>
      <c r="N431" s="1">
        <f>IFERROR(__xludf.DUMMYFUNCTION("""COMPUTED_VALUE"""),"101 to 500")</f>
        <v/>
      </c>
      <c r="O431" s="1">
        <f>IFERROR(__xludf.DUMMYFUNCTION("""COMPUTED_VALUE"""),"Business to Business, Business to Schools, Business to Government")</f>
        <v/>
      </c>
      <c r="P431" s="1">
        <f>IFERROR(__xludf.DUMMYFUNCTION("""COMPUTED_VALUE"""),"Corporate Training, Lifelong learning/Adult education, Vocational Education and Training (VET), Higher Education")</f>
        <v/>
      </c>
      <c r="Q431" s="1">
        <f>IFERROR(__xludf.DUMMYFUNCTION("""COMPUTED_VALUE"""),"System/Administrative, Student interfacing")</f>
        <v/>
      </c>
      <c r="R431" s="1" t="n"/>
      <c r="S431" s="1" t="n"/>
      <c r="T431" s="15">
        <f>IFERROR(__xludf.DUMMYFUNCTION("""COMPUTED_VALUE"""),"https://www.linkedin.com/company/betterexaminations/")</f>
        <v/>
      </c>
      <c r="U431" s="1">
        <f>IFERROR(__xludf.DUMMYFUNCTION("""COMPUTED_VALUE"""),"BetterExaminations Exam Management &amp; eAssessment Platform")</f>
        <v/>
      </c>
      <c r="V431" s="1">
        <f>IFERROR(__xludf.DUMMYFUNCTION("""COMPUTED_VALUE"""),"BetterExaminations is a modern end-to-end exam management and eAssessment platform that supports educators and learners. Through an extremely easy to use cloud-based platform, candidates can sit exams from anywhere in the world, with optional online proct"&amp;"oring/invigilation.
With over 50 question types, a comprehensive range of subjects can be examined using a wide range of devices. For the institution, the platform provides comprehensive exam management and reporting features including support for exam w"&amp;"orkflow, external examiner support, feedback / marking and features to help you manage traditional paper based exams.
The BetterExaminations team comprises over 70 people based in Ireland, the UK, Poland, Australia and the US. As part of the Terminalfour"&amp;" Group we work with over 250 Universities, Colleges, School Boards and Awarding Bodies worldwide.")</f>
        <v/>
      </c>
      <c r="W431" s="1" t="n"/>
      <c r="X431" s="1" t="n"/>
      <c r="Y431" s="15">
        <f>IFERROR(__xludf.DUMMYFUNCTION("""COMPUTED_VALUE"""),"https://drive.google.com/uc?export=view&amp;id=1bI7kDflBEy6QOZrE7cyHsVTRc9jTFU1r")</f>
        <v/>
      </c>
      <c r="Z431" s="1">
        <f>IFERROR(__xludf.DUMMYFUNCTION("""COMPUTED_VALUE"""),"Unverified")</f>
        <v/>
      </c>
      <c r="AA431" s="1" t="n"/>
      <c r="AB431" s="1" t="n"/>
      <c r="AC431" s="1" t="n"/>
      <c r="AD431" s="1" t="n"/>
      <c r="AE431" s="1" t="n"/>
    </row>
    <row r="432" ht="42" customHeight="1">
      <c r="A432" s="14">
        <f>IFERROR(__xludf.DUMMYFUNCTION("""COMPUTED_VALUE"""),45371)</f>
        <v/>
      </c>
      <c r="B432" s="1">
        <f>IFERROR(__xludf.DUMMYFUNCTION("""COMPUTED_VALUE"""),"ORG_1179")</f>
        <v/>
      </c>
      <c r="C432" s="1">
        <f>IFERROR(__xludf.DUMMYFUNCTION("""COMPUTED_VALUE"""),TRUE)</f>
        <v/>
      </c>
      <c r="D432" s="1">
        <f>IFERROR(__xludf.DUMMYFUNCTION("""COMPUTED_VALUE"""),"BlueTea")</f>
        <v/>
      </c>
      <c r="E432" s="15">
        <f>IFERROR(__xludf.DUMMYFUNCTION("""COMPUTED_VALUE"""),"https://www.bluetea.eu/")</f>
        <v/>
      </c>
      <c r="F432" s="1">
        <f>IFERROR(__xludf.DUMMYFUNCTION("""COMPUTED_VALUE"""),"BlueTea BV specializes in creating game-based training solutions designed to offer engaging and immersive learning experiences. Leveraging the principles of gamification and interactive storytelling, BlueTea crafts educational scenarios that not only enha"&amp;"nce knowledge retention but also improve skill acquisition in various professional fields. Their approach integrates realistic simulations and challenges into a virtual environment, allowing learners to practice and apply concepts in safe, controlled sett"&amp;"ings. This innovative method of training bridges the gap between theoretical knowledge and practical application, making learning more accessible, effective, and enjoyable for participants. By focusing on game-based training, BlueTea BV aims to revolution"&amp;"ize traditional education and training methodologies, catering to a wide range of industries and educational institutions.")</f>
        <v/>
      </c>
      <c r="G432" s="1">
        <f>IFERROR(__xludf.DUMMYFUNCTION("""COMPUTED_VALUE"""),"Dutch EdTech")</f>
        <v/>
      </c>
      <c r="H432" s="1">
        <f>IFERROR(__xludf.DUMMYFUNCTION("""COMPUTED_VALUE"""),"All")</f>
        <v/>
      </c>
      <c r="I432" s="1" t="n"/>
      <c r="J432" s="1" t="n"/>
      <c r="K432" s="1">
        <f>IFERROR(__xludf.DUMMYFUNCTION("""COMPUTED_VALUE"""),"ROERMOND")</f>
        <v/>
      </c>
      <c r="L432" s="1">
        <f>IFERROR(__xludf.DUMMYFUNCTION("""COMPUTED_VALUE"""),"The Netherlands")</f>
        <v/>
      </c>
      <c r="M43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432" s="1">
        <f>IFERROR(__xludf.DUMMYFUNCTION("""COMPUTED_VALUE"""),"11 to 50")</f>
        <v/>
      </c>
      <c r="O432" s="1">
        <f>IFERROR(__xludf.DUMMYFUNCTION("""COMPUTED_VALUE"""),"Business to Business")</f>
        <v/>
      </c>
      <c r="P432" s="1">
        <f>IFERROR(__xludf.DUMMYFUNCTION("""COMPUTED_VALUE"""),"Primary Education, Secondary Education, Corporate Training, Lifelong learning/Adult education, Vocational Education and Training (VET), Higher Education")</f>
        <v/>
      </c>
      <c r="Q432" s="1">
        <f>IFERROR(__xludf.DUMMYFUNCTION("""COMPUTED_VALUE"""),"Student interfacing, Teacher interfacing, System/Administrative")</f>
        <v/>
      </c>
      <c r="R432" s="1" t="n"/>
      <c r="S432" s="1" t="n"/>
      <c r="T432" s="15">
        <f>IFERROR(__xludf.DUMMYFUNCTION("""COMPUTED_VALUE"""),"https://www.linkedin.com/company/bluetea")</f>
        <v/>
      </c>
      <c r="U432" s="1" t="n"/>
      <c r="V432" s="1" t="n"/>
      <c r="W432" s="1" t="n"/>
      <c r="X432" s="1" t="n"/>
      <c r="Y432" s="15">
        <f>IFERROR(__xludf.DUMMYFUNCTION("""COMPUTED_VALUE"""),"https://drive.google.com/uc?export=view&amp;id=1rdp8qIMwEmiSJPy8eYMerHQbtg6nXs2u")</f>
        <v/>
      </c>
      <c r="Z432" s="1">
        <f>IFERROR(__xludf.DUMMYFUNCTION("""COMPUTED_VALUE"""),"Unverified")</f>
        <v/>
      </c>
      <c r="AA432" s="1" t="n"/>
      <c r="AB432" s="1" t="n"/>
      <c r="AC432" s="1" t="n"/>
      <c r="AD432" s="1" t="n"/>
      <c r="AE432" s="1" t="n"/>
    </row>
    <row r="433" ht="42" customHeight="1">
      <c r="A433" s="14">
        <f>IFERROR(__xludf.DUMMYFUNCTION("""COMPUTED_VALUE"""),45370)</f>
        <v/>
      </c>
      <c r="B433" s="1">
        <f>IFERROR(__xludf.DUMMYFUNCTION("""COMPUTED_VALUE"""),"ORG_1079")</f>
        <v/>
      </c>
      <c r="C433" s="1">
        <f>IFERROR(__xludf.DUMMYFUNCTION("""COMPUTED_VALUE"""),TRUE)</f>
        <v/>
      </c>
      <c r="D433" s="1">
        <f>IFERROR(__xludf.DUMMYFUNCTION("""COMPUTED_VALUE"""),"Anywyse")</f>
        <v/>
      </c>
      <c r="E433" s="15">
        <f>IFERROR(__xludf.DUMMYFUNCTION("""COMPUTED_VALUE"""),"https://www.anywyse.nl")</f>
        <v/>
      </c>
      <c r="F433" s="1" t="n"/>
      <c r="G433" s="1" t="n"/>
      <c r="H433" s="1" t="n"/>
      <c r="I433" s="1" t="n"/>
      <c r="J433" s="1" t="n"/>
      <c r="K433" s="1" t="n"/>
      <c r="L433" s="1">
        <f>IFERROR(__xludf.DUMMYFUNCTION("""COMPUTED_VALUE"""),"The Netherlands")</f>
        <v/>
      </c>
      <c r="M433" s="1" t="n"/>
      <c r="N433" s="1" t="n"/>
      <c r="O433" s="1">
        <f>IFERROR(__xludf.DUMMYFUNCTION("""COMPUTED_VALUE"""),"Business to Business")</f>
        <v/>
      </c>
      <c r="P433" s="1" t="n"/>
      <c r="Q433" s="1" t="n"/>
      <c r="R433" s="1" t="n"/>
      <c r="S433" s="1" t="n"/>
      <c r="T433" s="1" t="n"/>
      <c r="U433" s="1" t="n"/>
      <c r="V433" s="1" t="n"/>
      <c r="W433" s="1" t="n"/>
      <c r="X433" s="1" t="n"/>
      <c r="Y433" s="1" t="n"/>
      <c r="Z433" s="1">
        <f>IFERROR(__xludf.DUMMYFUNCTION("""COMPUTED_VALUE"""),"Unverified")</f>
        <v/>
      </c>
      <c r="AA433" s="1" t="n"/>
      <c r="AB433" s="1" t="n"/>
      <c r="AC433" s="1" t="n"/>
      <c r="AD433" s="1" t="n"/>
      <c r="AE433" s="1" t="n"/>
    </row>
    <row r="434" ht="42" customHeight="1">
      <c r="A434" s="14">
        <f>IFERROR(__xludf.DUMMYFUNCTION("""COMPUTED_VALUE"""),45370)</f>
        <v/>
      </c>
      <c r="B434" s="1">
        <f>IFERROR(__xludf.DUMMYFUNCTION("""COMPUTED_VALUE"""),"ORG_1180")</f>
        <v/>
      </c>
      <c r="C434" s="1">
        <f>IFERROR(__xludf.DUMMYFUNCTION("""COMPUTED_VALUE"""),TRUE)</f>
        <v/>
      </c>
      <c r="D434" s="1">
        <f>IFERROR(__xludf.DUMMYFUNCTION("""COMPUTED_VALUE"""),"Body Scratch")</f>
        <v/>
      </c>
      <c r="E434" s="15">
        <f>IFERROR(__xludf.DUMMYFUNCTION("""COMPUTED_VALUE"""),"https://www.bodyscratch.academy/index.html")</f>
        <v/>
      </c>
      <c r="F434" s="1" t="n"/>
      <c r="G434" s="1" t="n"/>
      <c r="H434" s="1" t="n"/>
      <c r="I434" s="1" t="n"/>
      <c r="J434" s="1" t="n"/>
      <c r="K434" s="1" t="n"/>
      <c r="L434" s="1">
        <f>IFERROR(__xludf.DUMMYFUNCTION("""COMPUTED_VALUE"""),"The Netherlands")</f>
        <v/>
      </c>
      <c r="M434" s="1" t="n"/>
      <c r="N434" s="1" t="n"/>
      <c r="O434" s="1">
        <f>IFERROR(__xludf.DUMMYFUNCTION("""COMPUTED_VALUE"""),"Business to Business")</f>
        <v/>
      </c>
      <c r="P434" s="1" t="n"/>
      <c r="Q434" s="1" t="n"/>
      <c r="R434" s="1" t="n"/>
      <c r="S434" s="1" t="n"/>
      <c r="T434" s="1" t="n"/>
      <c r="U434" s="1" t="n"/>
      <c r="V434" s="1" t="n"/>
      <c r="W434" s="1" t="n"/>
      <c r="X434" s="1" t="n"/>
      <c r="Y434" s="1" t="n"/>
      <c r="Z434" s="1">
        <f>IFERROR(__xludf.DUMMYFUNCTION("""COMPUTED_VALUE"""),"Unverified")</f>
        <v/>
      </c>
      <c r="AA434" s="1" t="n"/>
      <c r="AB434" s="1" t="n"/>
      <c r="AC434" s="1" t="n"/>
      <c r="AD434" s="1" t="n"/>
      <c r="AE434" s="1" t="n"/>
    </row>
    <row r="435" ht="42" customHeight="1">
      <c r="A435" s="14">
        <f>IFERROR(__xludf.DUMMYFUNCTION("""COMPUTED_VALUE"""),45370)</f>
        <v/>
      </c>
      <c r="B435" s="1">
        <f>IFERROR(__xludf.DUMMYFUNCTION("""COMPUTED_VALUE"""),"ORG_1189")</f>
        <v/>
      </c>
      <c r="C435" s="1">
        <f>IFERROR(__xludf.DUMMYFUNCTION("""COMPUTED_VALUE"""),TRUE)</f>
        <v/>
      </c>
      <c r="D435" s="1">
        <f>IFERROR(__xludf.DUMMYFUNCTION("""COMPUTED_VALUE"""),"Booqio")</f>
        <v/>
      </c>
      <c r="E435" s="15">
        <f>IFERROR(__xludf.DUMMYFUNCTION("""COMPUTED_VALUE"""),"https://www.booqio.com/")</f>
        <v/>
      </c>
      <c r="F435" s="1" t="n"/>
      <c r="G435" s="1" t="n"/>
      <c r="H435" s="1" t="n"/>
      <c r="I435" s="1" t="n"/>
      <c r="J435" s="1" t="n"/>
      <c r="K435" s="1" t="n"/>
      <c r="L435" s="1">
        <f>IFERROR(__xludf.DUMMYFUNCTION("""COMPUTED_VALUE"""),"The Netherlands")</f>
        <v/>
      </c>
      <c r="M435" s="1" t="n"/>
      <c r="N435" s="1" t="n"/>
      <c r="O435" s="1">
        <f>IFERROR(__xludf.DUMMYFUNCTION("""COMPUTED_VALUE"""),"Business to Business")</f>
        <v/>
      </c>
      <c r="P435" s="1" t="n"/>
      <c r="Q435" s="1" t="n"/>
      <c r="R435" s="1" t="n"/>
      <c r="S435" s="1" t="n"/>
      <c r="T435" s="1" t="n"/>
      <c r="U435" s="1" t="n"/>
      <c r="V435" s="1" t="n"/>
      <c r="W435" s="1" t="n"/>
      <c r="X435" s="1" t="n"/>
      <c r="Y435" s="1" t="n"/>
      <c r="Z435" s="1">
        <f>IFERROR(__xludf.DUMMYFUNCTION("""COMPUTED_VALUE"""),"Unverified")</f>
        <v/>
      </c>
      <c r="AA435" s="1" t="n"/>
      <c r="AB435" s="1" t="n"/>
      <c r="AC435" s="1" t="n"/>
      <c r="AD435" s="1" t="n"/>
      <c r="AE435" s="1" t="n"/>
    </row>
    <row r="436" ht="42" customHeight="1">
      <c r="A436" s="14">
        <f>IFERROR(__xludf.DUMMYFUNCTION("""COMPUTED_VALUE"""),45370)</f>
        <v/>
      </c>
      <c r="B436" s="1">
        <f>IFERROR(__xludf.DUMMYFUNCTION("""COMPUTED_VALUE"""),"ORG_1264")</f>
        <v/>
      </c>
      <c r="C436" s="1">
        <f>IFERROR(__xludf.DUMMYFUNCTION("""COMPUTED_VALUE"""),TRUE)</f>
        <v/>
      </c>
      <c r="D436" s="1">
        <f>IFERROR(__xludf.DUMMYFUNCTION("""COMPUTED_VALUE"""),"CMA Science")</f>
        <v/>
      </c>
      <c r="E436" s="15">
        <f>IFERROR(__xludf.DUMMYFUNCTION("""COMPUTED_VALUE"""),"https://cma-science.nl/home-2")</f>
        <v/>
      </c>
      <c r="F436" s="1" t="n"/>
      <c r="G436" s="1" t="n"/>
      <c r="H436" s="1" t="n"/>
      <c r="I436" s="1" t="n"/>
      <c r="J436" s="1" t="n"/>
      <c r="K436" s="1">
        <f>IFERROR(__xludf.DUMMYFUNCTION("""COMPUTED_VALUE"""),"Amsterdam")</f>
        <v/>
      </c>
      <c r="L436" s="1">
        <f>IFERROR(__xludf.DUMMYFUNCTION("""COMPUTED_VALUE"""),"The Netherlands")</f>
        <v/>
      </c>
      <c r="M436" s="1" t="n"/>
      <c r="N436" s="1" t="n"/>
      <c r="O436" s="1">
        <f>IFERROR(__xludf.DUMMYFUNCTION("""COMPUTED_VALUE"""),"Business to Business")</f>
        <v/>
      </c>
      <c r="P436" s="1" t="n"/>
      <c r="Q436" s="1" t="n"/>
      <c r="R436" s="1" t="n"/>
      <c r="S436" s="1" t="n"/>
      <c r="T436" s="1" t="n"/>
      <c r="U436" s="1" t="n"/>
      <c r="V436" s="1" t="n"/>
      <c r="W436" s="1" t="n"/>
      <c r="X436" s="1" t="n"/>
      <c r="Y436" s="1" t="n"/>
      <c r="Z436" s="1">
        <f>IFERROR(__xludf.DUMMYFUNCTION("""COMPUTED_VALUE"""),"Unverified")</f>
        <v/>
      </c>
      <c r="AA436" s="1" t="n"/>
      <c r="AB436" s="1" t="n"/>
      <c r="AC436" s="1" t="n"/>
      <c r="AD436" s="1" t="n"/>
      <c r="AE436" s="1" t="n"/>
    </row>
    <row r="437" ht="42" customHeight="1">
      <c r="A437" s="14">
        <f>IFERROR(__xludf.DUMMYFUNCTION("""COMPUTED_VALUE"""),45370)</f>
        <v/>
      </c>
      <c r="B437" s="1">
        <f>IFERROR(__xludf.DUMMYFUNCTION("""COMPUTED_VALUE"""),"ORG_1464")</f>
        <v/>
      </c>
      <c r="C437" s="1">
        <f>IFERROR(__xludf.DUMMYFUNCTION("""COMPUTED_VALUE"""),TRUE)</f>
        <v/>
      </c>
      <c r="D437" s="1">
        <f>IFERROR(__xludf.DUMMYFUNCTION("""COMPUTED_VALUE"""),"Edutrainers")</f>
        <v/>
      </c>
      <c r="E437" s="15">
        <f>IFERROR(__xludf.DUMMYFUNCTION("""COMPUTED_VALUE"""),"https://edutrainers.com")</f>
        <v/>
      </c>
      <c r="F437" s="1">
        <f>IFERROR(__xludf.DUMMYFUNCTION("""COMPUTED_VALUE"""),"Every child deserves good digital education, that's what Edutrainers stands for. Edutrainers offers advice and guidance on the digitalization of education, ICT policy and ICT competences. We link this to a unique professionalization offer with E-learning "&amp;"and workshops for everyone within an educational organization (teachers and non-teaching staff). From educational goals and competencies to teaching methods and learning activities with technological applications. From strategic policy to sustainable prof"&amp;"essionalization on digital literacy. Out of passion for education, from educational goals to sustainable professionalization, we support schools in all sectors with the integration of technology as a means, not as a goal. The aim is to ensure that we prep"&amp;"are children well with the right digital skills. Equal opportunities for every child through good digital education! It is expected that 1.2 billion employees worldwide will be impacted by the adaptation of automation technologies and AI in the next 10 ye"&amp;"ars. It is urgent we facilitate adults involved in educating our children in educational institutions with the needed digital skills.")</f>
        <v/>
      </c>
      <c r="G437" s="1">
        <f>IFERROR(__xludf.DUMMYFUNCTION("""COMPUTED_VALUE"""),"Dutch EdTech")</f>
        <v/>
      </c>
      <c r="H437" s="1">
        <f>IFERROR(__xludf.DUMMYFUNCTION("""COMPUTED_VALUE"""),"Dutch, English, Spanish, French")</f>
        <v/>
      </c>
      <c r="I437" s="1">
        <f>IFERROR(__xludf.DUMMYFUNCTION("""COMPUTED_VALUE"""),"Laurawalter-goudsmit@edutrainers.com")</f>
        <v/>
      </c>
      <c r="J437" s="1">
        <f>IFERROR(__xludf.DUMMYFUNCTION("""COMPUTED_VALUE"""),"+31207163807")</f>
        <v/>
      </c>
      <c r="K437" s="1">
        <f>IFERROR(__xludf.DUMMYFUNCTION("""COMPUTED_VALUE"""),"Hoofddorp")</f>
        <v/>
      </c>
      <c r="L437" s="1">
        <f>IFERROR(__xludf.DUMMYFUNCTION("""COMPUTED_VALUE"""),"The Netherlands")</f>
        <v/>
      </c>
      <c r="M437" s="1">
        <f>IFERROR(__xludf.DUMMYFUNCTION("""COMPUTED_VALUE"""),"Belgium, Netherlands")</f>
        <v/>
      </c>
      <c r="N437" s="1">
        <f>IFERROR(__xludf.DUMMYFUNCTION("""COMPUTED_VALUE"""),"6 to 10")</f>
        <v/>
      </c>
      <c r="O437" s="1">
        <f>IFERROR(__xludf.DUMMYFUNCTION("""COMPUTED_VALUE"""),"Business to Business, Business to Consumer, Business to Schools")</f>
        <v/>
      </c>
      <c r="P437" s="1">
        <f>IFERROR(__xludf.DUMMYFUNCTION("""COMPUTED_VALUE"""),"Primary Education, Secondary Education, Lifelong learning/Adult education")</f>
        <v/>
      </c>
      <c r="Q437" s="1">
        <f>IFERROR(__xludf.DUMMYFUNCTION("""COMPUTED_VALUE"""),"Teacher interfacing, System/Administrative, Student interfacing")</f>
        <v/>
      </c>
      <c r="R437" s="15">
        <f>IFERROR(__xludf.DUMMYFUNCTION("""COMPUTED_VALUE"""),"http://instagram.com/edutrainersbv/")</f>
        <v/>
      </c>
      <c r="S437" s="15">
        <f>IFERROR(__xludf.DUMMYFUNCTION("""COMPUTED_VALUE"""),"https://twitter.com/EdutrainersNL")</f>
        <v/>
      </c>
      <c r="T437" s="15">
        <f>IFERROR(__xludf.DUMMYFUNCTION("""COMPUTED_VALUE"""),"https://www.linkedin.com/company/edutrainers/")</f>
        <v/>
      </c>
      <c r="U437" s="1">
        <f>IFERROR(__xludf.DUMMYFUNCTION("""COMPUTED_VALUE"""),"E-Leaning based on DigComp and DigcompEdu")</f>
        <v/>
      </c>
      <c r="V437" s="1">
        <f>IFERROR(__xludf.DUMMYFUNCTION("""COMPUTED_VALUE"""),"Upskilling has proven to be one of the most effective interventions when it comes to improving the quality of education. This is no exception when talking about the rapid developments of digitization of education. The link between good HR policy and the d"&amp;"evelopment of an administrative vision on life long learning and ICT competence is of great importance. What do you want as an organization to upskill your people? What competencies do employees need to prepare their students to learn, live and work in an"&amp;" increasingly digital society? In recent years, a lot of attention has been paid to the professionalization of employees. Schools, school groups and boards organize professionalization activities for their own employees with internal academies, expertise,"&amp;" knowledge or training centres, among other things for further professionalisation of ICT competence. Setting up an in-house academy is one of the ways to integrate the professionalisation of ICT competence into the HR policy and to give it a permanent sh"&amp;"ape and continuity. Determining competencies that fit the organization and the wishes for future-oriented education are an essential part of this. 
Digital (Didactic) Proficient program – Digi-skilled - sustainable and future-oriented professionalization"&amp;".
Edutrainers has developed a program for education that is aimed at the target groups and key figures within the organization. In this digital age, education professionals need different skills to facilitate and ensure continuity of teaching and learning"&amp;". Our program offers practical tools to develop these digital and digital didactical skills.
Digital Skills Scans:
 What about your digital literacy? Are your digital skills still up-to-date? Do you know what's possible with Microsoft 365, Google Workspa"&amp;"ce and other digital tools? To measure is to know! The scans provide insight into the level of digital skills of the participants and determine the objectives and personal learning paths. The scans are derived from the self-assessment tools of the Europea"&amp;"n reference frameworks DigComp and DigCompEdu. These reference frameworks have been drawn up by a team of scientists from the European Commission and are seen by many educational institutions and companies as leading when it comes to identifying and measu"&amp;"ring digital skills.
E-learning Edutrainers Academy:
The learning blocks in the Edutrainers Academy are built from the digital competences of the European reference frameworks (DigComp, Edu and DigComp) to the technology (Microsoft or Google and other ap"&amp;"ss) used at school. Short, practical and directly applicable. Work on increasing and improving digital literacy within 30 minutes. As a participant, you get access to a wide range of learning blocks in the Edutrainers Academy. Start with the scan and then"&amp;" get started with your personal learning path or are you looking for an answer to a concrete learning question? This is all possible. Discover your learning path!")</f>
        <v/>
      </c>
      <c r="W437" s="1">
        <f>IFERROR(__xludf.DUMMYFUNCTION("""COMPUTED_VALUE"""),"Consultancy on digitalization of Education")</f>
        <v/>
      </c>
      <c r="X437" s="1">
        <f>IFERROR(__xludf.DUMMYFUNCTION("""COMPUTED_VALUE"""),"Edutrainers believes that changing the ICT landscape from isolated to integrated requires a different view of the ICT vision and policy, in other words a full integration into the strategic policy plan, with references that matter. The focus is on pedagog"&amp;"ical-didactic action (with the help of ICT), seamless integration with vision and goals and adequate professionalization. Within every educational institution, there are different views on education and organization. This often makes digitization of educa"&amp;"tion and development of ICT skills of education professionals complex. Nevertheless, it is possible to create a plan of action based on vision in which cooperation remains of great importance for support and involvement around the joint results. Working t"&amp;"ogether on strategic policy:
The experts at Edutrainers are happy to think along with you. Based on the mission, vision and existing policy documents, we are happy to enrich strategic policy plans with inspiration, guidelines and examples to integrate wel"&amp;"l-thought-out digitization issues. Working together on integrated ICT policy
Edutrainers offers the opportunity to think along, advise and co-write the ICT policy plan. Together, based on vision, we endorse choices and priorities. With a view to the Four "&amp;"in Balance and good digital education, we support the people within the organization who are responsible for drawing up the ICT policy.")</f>
        <v/>
      </c>
      <c r="Y437" s="15">
        <f>IFERROR(__xludf.DUMMYFUNCTION("""COMPUTED_VALUE"""),"https://drive.google.com/uc?export=view&amp;id=1e8jVCYWfoIxgUMSb6NsmNqwTpnMvWc32")</f>
        <v/>
      </c>
      <c r="Z437" s="1">
        <f>IFERROR(__xludf.DUMMYFUNCTION("""COMPUTED_VALUE"""),"Unverified")</f>
        <v/>
      </c>
      <c r="AA437" s="1" t="n"/>
      <c r="AB437" s="1" t="n"/>
      <c r="AC437" s="1" t="n"/>
      <c r="AD437" s="1" t="n"/>
      <c r="AE437" s="1" t="n"/>
    </row>
    <row r="438" ht="42" customHeight="1">
      <c r="A438" s="14">
        <f>IFERROR(__xludf.DUMMYFUNCTION("""COMPUTED_VALUE"""),45370)</f>
        <v/>
      </c>
      <c r="B438" s="1">
        <f>IFERROR(__xludf.DUMMYFUNCTION("""COMPUTED_VALUE"""),"ORG_1678")</f>
        <v/>
      </c>
      <c r="C438" s="1">
        <f>IFERROR(__xludf.DUMMYFUNCTION("""COMPUTED_VALUE"""),TRUE)</f>
        <v/>
      </c>
      <c r="D438" s="1">
        <f>IFERROR(__xludf.DUMMYFUNCTION("""COMPUTED_VALUE"""),"Holofil")</f>
        <v/>
      </c>
      <c r="E438" s="15">
        <f>IFERROR(__xludf.DUMMYFUNCTION("""COMPUTED_VALUE"""),"https://www.holofil.com/")</f>
        <v/>
      </c>
      <c r="F438" s="1">
        <f>IFERROR(__xludf.DUMMYFUNCTION("""COMPUTED_VALUE"""),"HOLOFIL offers a 3D ecosystem platform that includes hardware tabletop displays and software content ecosystem for inspiring young students to enter 3D design ecosystem learning using available tools for content creation such as 3d models, animations, gam"&amp;"es. It also offers existing ecosystem of apps, games that can be used with the hardware displays.")</f>
        <v/>
      </c>
      <c r="G438" s="1">
        <f>IFERROR(__xludf.DUMMYFUNCTION("""COMPUTED_VALUE"""),"Dutch EdTech")</f>
        <v/>
      </c>
      <c r="H438" s="1">
        <f>IFERROR(__xludf.DUMMYFUNCTION("""COMPUTED_VALUE"""),"English")</f>
        <v/>
      </c>
      <c r="I438" s="1">
        <f>IFERROR(__xludf.DUMMYFUNCTION("""COMPUTED_VALUE"""),"contact@holofil.com")</f>
        <v/>
      </c>
      <c r="J438" s="1">
        <f>IFERROR(__xludf.DUMMYFUNCTION("""COMPUTED_VALUE"""),"31684076940")</f>
        <v/>
      </c>
      <c r="K438" s="1">
        <f>IFERROR(__xludf.DUMMYFUNCTION("""COMPUTED_VALUE"""),"Maarssen")</f>
        <v/>
      </c>
      <c r="L438" s="1">
        <f>IFERROR(__xludf.DUMMYFUNCTION("""COMPUTED_VALUE"""),"The Netherlands")</f>
        <v/>
      </c>
      <c r="M438" s="1">
        <f>IFERROR(__xludf.DUMMYFUNCTION("""COMPUTED_VALUE"""),"Netherlands")</f>
        <v/>
      </c>
      <c r="N438" s="1">
        <f>IFERROR(__xludf.DUMMYFUNCTION("""COMPUTED_VALUE"""),"0 to 2")</f>
        <v/>
      </c>
      <c r="O438" s="1">
        <f>IFERROR(__xludf.DUMMYFUNCTION("""COMPUTED_VALUE"""),"Business to Business, Business to Government, Business to Schools")</f>
        <v/>
      </c>
      <c r="P438" s="1">
        <f>IFERROR(__xludf.DUMMYFUNCTION("""COMPUTED_VALUE"""),"Early childhood development (0-5 years), Primary Education, Secondary Education")</f>
        <v/>
      </c>
      <c r="Q438" s="1">
        <f>IFERROR(__xludf.DUMMYFUNCTION("""COMPUTED_VALUE"""),"System/Administrative, Student interfacing, Teacher interfacing")</f>
        <v/>
      </c>
      <c r="R438" s="15">
        <f>IFERROR(__xludf.DUMMYFUNCTION("""COMPUTED_VALUE"""),"http://www.instagram.com/holofil3d")</f>
        <v/>
      </c>
      <c r="S438" s="15">
        <f>IFERROR(__xludf.DUMMYFUNCTION("""COMPUTED_VALUE"""),"http://www.twitter.com/holofil3D")</f>
        <v/>
      </c>
      <c r="T438" s="15">
        <f>IFERROR(__xludf.DUMMYFUNCTION("""COMPUTED_VALUE"""),"https://www.linkedin.com/company/holofil/about/")</f>
        <v/>
      </c>
      <c r="U438" s="1">
        <f>IFERROR(__xludf.DUMMYFUNCTION("""COMPUTED_VALUE"""),"HOLOFIL displays")</f>
        <v/>
      </c>
      <c r="V438" s="1">
        <f>IFERROR(__xludf.DUMMYFUNCTION("""COMPUTED_VALUE"""),"Displays that offer visualization framework to visualize 3D assets created by students for a uniform learning experience in the 3D design ecosystem.")</f>
        <v/>
      </c>
      <c r="W438" s="1">
        <f>IFERROR(__xludf.DUMMYFUNCTION("""COMPUTED_VALUE"""),"Apps / games")</f>
        <v/>
      </c>
      <c r="X438" s="1">
        <f>IFERROR(__xludf.DUMMYFUNCTION("""COMPUTED_VALUE"""),"3D apps / games that can be used as a content with the hardware displays.")</f>
        <v/>
      </c>
      <c r="Y438" s="15">
        <f>IFERROR(__xludf.DUMMYFUNCTION("""COMPUTED_VALUE"""),"https://drive.google.com/uc?export=view&amp;id=15sjM993yT_E9xKLYxRUi-1GWoqj-Ovx1")</f>
        <v/>
      </c>
      <c r="Z438" s="1">
        <f>IFERROR(__xludf.DUMMYFUNCTION("""COMPUTED_VALUE"""),"Unverified")</f>
        <v/>
      </c>
      <c r="AA438" s="1" t="n"/>
      <c r="AB438" s="1" t="n"/>
      <c r="AC438" s="1" t="n"/>
      <c r="AD438" s="1" t="n"/>
      <c r="AE438" s="1" t="n"/>
    </row>
    <row r="439" ht="42" customHeight="1">
      <c r="A439" s="14">
        <f>IFERROR(__xludf.DUMMYFUNCTION("""COMPUTED_VALUE"""),45370)</f>
        <v/>
      </c>
      <c r="B439" s="1">
        <f>IFERROR(__xludf.DUMMYFUNCTION("""COMPUTED_VALUE"""),"ORG_1788")</f>
        <v/>
      </c>
      <c r="C439" s="1">
        <f>IFERROR(__xludf.DUMMYFUNCTION("""COMPUTED_VALUE"""),TRUE)</f>
        <v/>
      </c>
      <c r="D439" s="1">
        <f>IFERROR(__xludf.DUMMYFUNCTION("""COMPUTED_VALUE"""),"Komensky")</f>
        <v/>
      </c>
      <c r="E439" s="15">
        <f>IFERROR(__xludf.DUMMYFUNCTION("""COMPUTED_VALUE"""),"https://www.komensky.nl")</f>
        <v/>
      </c>
      <c r="F439" s="1">
        <f>IFERROR(__xludf.DUMMYFUNCTION("""COMPUTED_VALUE"""),"Komensky delivers personalised skill based learning, skill validation and skill mobility through a smooth learning experience wrapped in a smart platform. 
Skill based learning? Skills are at the core of what we do. We aim to effectively close skill gaps"&amp;" to empower your people and transform your business. 
Smooth learning experience? We know the needs of your learners. Our intuitive hybrid LXP guides learners to their goals effectively and recommends the next step in their skill development. 
Smart pla"&amp;"tform? We integrate existing learning technology systems through a unified frontend experience, while seamlessly integrating backend components. Our complete SaaS-setup is flexible, scalable, and integrates with all of your (legacy) systems.")</f>
        <v/>
      </c>
      <c r="G439" s="1">
        <f>IFERROR(__xludf.DUMMYFUNCTION("""COMPUTED_VALUE"""),"Dutch EdTech")</f>
        <v/>
      </c>
      <c r="H439" s="1">
        <f>IFERROR(__xludf.DUMMYFUNCTION("""COMPUTED_VALUE"""),"Dutch, French, English, German, Portuguese")</f>
        <v/>
      </c>
      <c r="I439" s="1">
        <f>IFERROR(__xludf.DUMMYFUNCTION("""COMPUTED_VALUE"""),"hello@komensky.nl")</f>
        <v/>
      </c>
      <c r="J439" s="1" t="n"/>
      <c r="K439" s="1">
        <f>IFERROR(__xludf.DUMMYFUNCTION("""COMPUTED_VALUE"""),"UTRECHT")</f>
        <v/>
      </c>
      <c r="L439" s="1">
        <f>IFERROR(__xludf.DUMMYFUNCTION("""COMPUTED_VALUE"""),"The Netherlands")</f>
        <v/>
      </c>
      <c r="M439" s="1">
        <f>IFERROR(__xludf.DUMMYFUNCTION("""COMPUTED_VALUE"""),"Belgium, Netherlands, United Kingdom")</f>
        <v/>
      </c>
      <c r="N439" s="1">
        <f>IFERROR(__xludf.DUMMYFUNCTION("""COMPUTED_VALUE"""),"11 to 50")</f>
        <v/>
      </c>
      <c r="O439" s="1">
        <f>IFERROR(__xludf.DUMMYFUNCTION("""COMPUTED_VALUE"""),"Business to Business, Business to Schools")</f>
        <v/>
      </c>
      <c r="P439" s="1">
        <f>IFERROR(__xludf.DUMMYFUNCTION("""COMPUTED_VALUE"""),"Corporate Training, Lifelong learning/Adult education")</f>
        <v/>
      </c>
      <c r="Q439" s="1">
        <f>IFERROR(__xludf.DUMMYFUNCTION("""COMPUTED_VALUE"""),"Student interfacing, System/Administrative")</f>
        <v/>
      </c>
      <c r="R439" s="1" t="n"/>
      <c r="S439" s="1" t="n"/>
      <c r="T439" s="15">
        <f>IFERROR(__xludf.DUMMYFUNCTION("""COMPUTED_VALUE"""),"https://www.linkedin.com/company/komensky/")</f>
        <v/>
      </c>
      <c r="U439" s="1">
        <f>IFERROR(__xludf.DUMMYFUNCTION("""COMPUTED_VALUE"""),"Skill platform")</f>
        <v/>
      </c>
      <c r="V439" s="1">
        <f>IFERROR(__xludf.DUMMYFUNCTION("""COMPUTED_VALUE"""),"Komensky delivers personalised skill based learning, skill validation and skill mobility through a smooth learning experience wrapped in a smart platform. 
Skill based learning? Skills are at the core of what we do. We aim to effectively close skill gaps"&amp;" to empower your people and transform your business. 
Smooth learning experience? We know the needs of your learners. Our intuitive hybrid LXP guides learners to their goals effectively and recommends the next step in their skill development. 
Smart pla"&amp;"tform? We integrate existing learning technology systems through a unified frontend experience, while seamlessly integrating backend components. Our complete SaaS-setup is flexible, scalable, and integrates with all of your (legacy) systems.")</f>
        <v/>
      </c>
      <c r="W439" s="1" t="n"/>
      <c r="X439" s="1" t="n"/>
      <c r="Y439" s="15">
        <f>IFERROR(__xludf.DUMMYFUNCTION("""COMPUTED_VALUE"""),"https://drive.google.com/uc?export=view&amp;id=1AhM_ClYPoOOB0uvkGFUfvE9k6xMxyS1M")</f>
        <v/>
      </c>
      <c r="Z439" s="1">
        <f>IFERROR(__xludf.DUMMYFUNCTION("""COMPUTED_VALUE"""),"Unverified")</f>
        <v/>
      </c>
      <c r="AA439" s="1" t="n"/>
      <c r="AB439" s="1" t="n"/>
      <c r="AC439" s="1" t="n"/>
      <c r="AD439" s="1" t="n"/>
      <c r="AE439" s="1" t="n"/>
    </row>
    <row r="440" ht="42" customHeight="1">
      <c r="A440" s="14">
        <f>IFERROR(__xludf.DUMMYFUNCTION("""COMPUTED_VALUE"""),45370)</f>
        <v/>
      </c>
      <c r="B440" s="1">
        <f>IFERROR(__xludf.DUMMYFUNCTION("""COMPUTED_VALUE"""),"ORG_1889")</f>
        <v/>
      </c>
      <c r="C440" s="1">
        <f>IFERROR(__xludf.DUMMYFUNCTION("""COMPUTED_VALUE"""),TRUE)</f>
        <v/>
      </c>
      <c r="D440" s="1">
        <f>IFERROR(__xludf.DUMMYFUNCTION("""COMPUTED_VALUE"""),"Livery Video")</f>
        <v/>
      </c>
      <c r="E440" s="15">
        <f>IFERROR(__xludf.DUMMYFUNCTION("""COMPUTED_VALUE"""),"https://www.liveryvideo.com/")</f>
        <v/>
      </c>
      <c r="F440" s="1" t="n"/>
      <c r="G440" s="1" t="n"/>
      <c r="H440" s="1" t="n"/>
      <c r="I440" s="1" t="n"/>
      <c r="J440" s="1" t="n"/>
      <c r="K440" s="1" t="n"/>
      <c r="L440" s="1">
        <f>IFERROR(__xludf.DUMMYFUNCTION("""COMPUTED_VALUE"""),"The Netherlands")</f>
        <v/>
      </c>
      <c r="M440" s="1" t="n"/>
      <c r="N440" s="1" t="n"/>
      <c r="O440" s="1">
        <f>IFERROR(__xludf.DUMMYFUNCTION("""COMPUTED_VALUE"""),"Business to Government, Business to Schools")</f>
        <v/>
      </c>
      <c r="P440" s="1" t="n"/>
      <c r="Q440" s="1" t="n"/>
      <c r="R440" s="1" t="n"/>
      <c r="S440" s="1" t="n"/>
      <c r="T440" s="1" t="n"/>
      <c r="U440" s="1" t="n"/>
      <c r="V440" s="1" t="n"/>
      <c r="W440" s="1" t="n"/>
      <c r="X440" s="1" t="n"/>
      <c r="Y440" s="1" t="n"/>
      <c r="Z440" s="1">
        <f>IFERROR(__xludf.DUMMYFUNCTION("""COMPUTED_VALUE"""),"Unverified")</f>
        <v/>
      </c>
      <c r="AA440" s="1" t="n"/>
      <c r="AB440" s="1" t="n"/>
      <c r="AC440" s="1" t="n"/>
      <c r="AD440" s="1" t="n"/>
      <c r="AE440" s="1" t="n"/>
    </row>
    <row r="441" ht="42" customHeight="1">
      <c r="A441" s="14">
        <f>IFERROR(__xludf.DUMMYFUNCTION("""COMPUTED_VALUE"""),45370)</f>
        <v/>
      </c>
      <c r="B441" s="1">
        <f>IFERROR(__xludf.DUMMYFUNCTION("""COMPUTED_VALUE"""),"ORG_2007")</f>
        <v/>
      </c>
      <c r="C441" s="1">
        <f>IFERROR(__xludf.DUMMYFUNCTION("""COMPUTED_VALUE"""),TRUE)</f>
        <v/>
      </c>
      <c r="D441" s="1">
        <f>IFERROR(__xludf.DUMMYFUNCTION("""COMPUTED_VALUE"""),"Myndr")</f>
        <v/>
      </c>
      <c r="E441" s="15">
        <f>IFERROR(__xludf.DUMMYFUNCTION("""COMPUTED_VALUE"""),"https://www.myndr.nl")</f>
        <v/>
      </c>
      <c r="F441" s="1" t="n"/>
      <c r="G441" s="1" t="n"/>
      <c r="H441" s="1" t="n"/>
      <c r="I441" s="1" t="n"/>
      <c r="J441" s="1" t="n"/>
      <c r="K441" s="1">
        <f>IFERROR(__xludf.DUMMYFUNCTION("""COMPUTED_VALUE"""),"ZUTPHEN")</f>
        <v/>
      </c>
      <c r="L441" s="1">
        <f>IFERROR(__xludf.DUMMYFUNCTION("""COMPUTED_VALUE"""),"The Netherlands")</f>
        <v/>
      </c>
      <c r="M441" s="1" t="n"/>
      <c r="N441" s="1" t="n"/>
      <c r="O441" s="1" t="n"/>
      <c r="P441" s="1" t="n"/>
      <c r="Q441" s="1" t="n"/>
      <c r="R441" s="1" t="n"/>
      <c r="S441" s="1" t="n"/>
      <c r="T441" s="1" t="n"/>
      <c r="U441" s="1" t="n"/>
      <c r="V441" s="1" t="n"/>
      <c r="W441" s="1" t="n"/>
      <c r="X441" s="1" t="n"/>
      <c r="Y441" s="1" t="n"/>
      <c r="Z441" s="1">
        <f>IFERROR(__xludf.DUMMYFUNCTION("""COMPUTED_VALUE"""),"Unverified")</f>
        <v/>
      </c>
      <c r="AA441" s="1" t="n"/>
      <c r="AB441" s="1" t="n"/>
      <c r="AC441" s="1" t="n"/>
      <c r="AD441" s="1" t="n"/>
      <c r="AE441" s="1" t="n"/>
    </row>
    <row r="442" ht="42" customHeight="1">
      <c r="A442" s="14">
        <f>IFERROR(__xludf.DUMMYFUNCTION("""COMPUTED_VALUE"""),45370)</f>
        <v/>
      </c>
      <c r="B442" s="1">
        <f>IFERROR(__xludf.DUMMYFUNCTION("""COMPUTED_VALUE"""),"ORG_2112")</f>
        <v/>
      </c>
      <c r="C442" s="1">
        <f>IFERROR(__xludf.DUMMYFUNCTION("""COMPUTED_VALUE"""),TRUE)</f>
        <v/>
      </c>
      <c r="D442" s="1">
        <f>IFERROR(__xludf.DUMMYFUNCTION("""COMPUTED_VALUE"""),"Pluvo")</f>
        <v/>
      </c>
      <c r="E442" s="15">
        <f>IFERROR(__xludf.DUMMYFUNCTION("""COMPUTED_VALUE"""),"https://pluvo.co")</f>
        <v/>
      </c>
      <c r="F442" s="1">
        <f>IFERROR(__xludf.DUMMYFUNCTION("""COMPUTED_VALUE"""),"Unlock the potential of knowledge with Pluvo! Bid farewell to scattered learning and welcome a centralized hub where expertise seamlessly flows. Trusted by over 100,000 users across 600 organizations, Pluvo transforms learning into impactful e-learning ef"&amp;"fortlessly, saving time and eradicating repetition. Consolidate all learning activities into one space, from e-learning modules to live training sessions, ensuring unparalleled efficiency. Coordinate meetings, events, and webinars effortlessly with our us"&amp;"er-friendly interface. Engage in discussions, ask questions, and embark on collective learning journeys to foster continuous growth. Monitor progress and performance in real-time, empowering managers and trainers to optimize learning. Seamlessly integrate"&amp;" Pluvo with existing systems for a unified learning experience. Enjoy top-notch customer service, rated 5 stars, with an average response time of just 3.8 minutes. Ready to revolutionize your organization's learning journey? Get started with Pluvo today!")</f>
        <v/>
      </c>
      <c r="G442" s="1">
        <f>IFERROR(__xludf.DUMMYFUNCTION("""COMPUTED_VALUE"""),"Dutch EdTech")</f>
        <v/>
      </c>
      <c r="H442" s="1" t="n"/>
      <c r="I442" s="1">
        <f>IFERROR(__xludf.DUMMYFUNCTION("""COMPUTED_VALUE"""),"info@pluvo.co")</f>
        <v/>
      </c>
      <c r="J442" s="1">
        <f>IFERROR(__xludf.DUMMYFUNCTION("""COMPUTED_VALUE"""),"+31 (20) 560 5001")</f>
        <v/>
      </c>
      <c r="K442" s="1">
        <f>IFERROR(__xludf.DUMMYFUNCTION("""COMPUTED_VALUE"""),"AMSTERDAM")</f>
        <v/>
      </c>
      <c r="L442" s="1">
        <f>IFERROR(__xludf.DUMMYFUNCTION("""COMPUTED_VALUE"""),"The Netherlands")</f>
        <v/>
      </c>
      <c r="M442" s="1">
        <f>IFERROR(__xludf.DUMMYFUNCTION("""COMPUTED_VALUE"""),"Belgium, Cyprus, Denmark, France, Germany, Ireland, Italy, Luxembourg, Netherlands, Poland, Spain, Sweden, Switzerland")</f>
        <v/>
      </c>
      <c r="N442" s="1">
        <f>IFERROR(__xludf.DUMMYFUNCTION("""COMPUTED_VALUE"""),"11 to 50")</f>
        <v/>
      </c>
      <c r="O442" s="1">
        <f>IFERROR(__xludf.DUMMYFUNCTION("""COMPUTED_VALUE"""),"Business to Government, Business to Business")</f>
        <v/>
      </c>
      <c r="P442" s="1">
        <f>IFERROR(__xludf.DUMMYFUNCTION("""COMPUTED_VALUE"""),"Lifelong learning/Adult education, Vocational Education and Training (VET)")</f>
        <v/>
      </c>
      <c r="Q442" s="1">
        <f>IFERROR(__xludf.DUMMYFUNCTION("""COMPUTED_VALUE"""),"System/Administrative, Student interfacing")</f>
        <v/>
      </c>
      <c r="R442" s="15">
        <f>IFERROR(__xludf.DUMMYFUNCTION("""COMPUTED_VALUE"""),"https://www.instagram.com/pluvo.nl/")</f>
        <v/>
      </c>
      <c r="S442" s="1" t="n"/>
      <c r="T442" s="15">
        <f>IFERROR(__xludf.DUMMYFUNCTION("""COMPUTED_VALUE"""),"https://www.linkedin.com/company/pluvo")</f>
        <v/>
      </c>
      <c r="U442" s="1">
        <f>IFERROR(__xludf.DUMMYFUNCTION("""COMPUTED_VALUE"""),"Pluvo")</f>
        <v/>
      </c>
      <c r="V442" s="1">
        <f>IFERROR(__xludf.DUMMYFUNCTION("""COMPUTED_VALUE"""),"Unlock the potential of knowledge with Pluvo! Bid farewell to scattered learning and welcome a centralized hub where expertise seamlessly flows. Trusted by over 100,000 users across 600 organizations, Pluvo transforms learning into impactful e-learning ef"&amp;"fortlessly, saving time and eradicating repetition. Consolidate all learning activities into one space, from e-learning modules to live training sessions, ensuring unparalleled efficiency. Coordinate meetings, events, and webinars effortlessly with our us"&amp;"er-friendly interface. Engage in discussions, ask questions, and embark on collective learning journeys to foster continuous growth. Monitor progress and performance in real-time, empowering managers and trainers to optimize learning. Seamlessly integrate"&amp;" Pluvo with existing systems for a unified learning experience. Enjoy top-notch customer service, rated 5 stars, with an average response time of just 3.8 minutes. Ready to revolutionize your organization's learning journey? Get started with Pluvo today!")</f>
        <v/>
      </c>
      <c r="W442" s="1" t="n"/>
      <c r="X442" s="1" t="n"/>
      <c r="Y442" s="15">
        <f>IFERROR(__xludf.DUMMYFUNCTION("""COMPUTED_VALUE"""),"https://drive.google.com/uc?export=view&amp;id=1UwTw09s7ZTNN09abWtWDyeiUx6KR_sOl")</f>
        <v/>
      </c>
      <c r="Z442" s="1">
        <f>IFERROR(__xludf.DUMMYFUNCTION("""COMPUTED_VALUE"""),"Unverified")</f>
        <v/>
      </c>
      <c r="AA442" s="1" t="n"/>
      <c r="AB442" s="1" t="n"/>
      <c r="AC442" s="1" t="n"/>
      <c r="AD442" s="1" t="n"/>
      <c r="AE442" s="1" t="n"/>
    </row>
    <row r="443" ht="42" customHeight="1">
      <c r="A443" s="14">
        <f>IFERROR(__xludf.DUMMYFUNCTION("""COMPUTED_VALUE"""),45370)</f>
        <v/>
      </c>
      <c r="B443" s="1">
        <f>IFERROR(__xludf.DUMMYFUNCTION("""COMPUTED_VALUE"""),"ORG_2156")</f>
        <v/>
      </c>
      <c r="C443" s="1">
        <f>IFERROR(__xludf.DUMMYFUNCTION("""COMPUTED_VALUE"""),TRUE)</f>
        <v/>
      </c>
      <c r="D443" s="1">
        <f>IFERROR(__xludf.DUMMYFUNCTION("""COMPUTED_VALUE"""),"Rakoo")</f>
        <v/>
      </c>
      <c r="E443" s="15">
        <f>IFERROR(__xludf.DUMMYFUNCTION("""COMPUTED_VALUE"""),"https://rakoo.com/")</f>
        <v/>
      </c>
      <c r="F443" s="1">
        <f>IFERROR(__xludf.DUMMYFUNCTION("""COMPUTED_VALUE"""),"We are Rakoo. Your online academy for learning and performance. Driven by AI.
Every organization wants to achieve goals, every team wants to grow, and every employee wants to improve in some way. That's why we focus on growth, both personally and profess"&amp;"ionally. Together, we set goals and work towards achieving them. We provide insights into the return on investment of online learning, leveraging intelligent technology. We are your partner in growth.
We believe that organizations grow when people grow."&amp;" We make learning and knowledge sharing accessible, interactive, and effective. In doing so, we help organizations achieve their goals. We create a smart online academy that connects people and makes learning accessible. We achieve this through a wide ran"&amp;"ge of learning formats, a user-friendly tool for developing learning activities, on-the-go learning, smart algorithms, and real-time insights into team growth. All of this is accomplished through our smart online academy for growth.")</f>
        <v/>
      </c>
      <c r="G443" s="1">
        <f>IFERROR(__xludf.DUMMYFUNCTION("""COMPUTED_VALUE"""),"Dutch EdTech")</f>
        <v/>
      </c>
      <c r="H443" s="1">
        <f>IFERROR(__xludf.DUMMYFUNCTION("""COMPUTED_VALUE"""),"Dutch, English, Spanish, German, French")</f>
        <v/>
      </c>
      <c r="I443" s="1">
        <f>IFERROR(__xludf.DUMMYFUNCTION("""COMPUTED_VALUE"""),"Ivo@rakoo.com")</f>
        <v/>
      </c>
      <c r="J443" s="1">
        <f>IFERROR(__xludf.DUMMYFUNCTION("""COMPUTED_VALUE"""),"+31 85 130 2698")</f>
        <v/>
      </c>
      <c r="K443" s="1">
        <f>IFERROR(__xludf.DUMMYFUNCTION("""COMPUTED_VALUE"""),"Nijmegen")</f>
        <v/>
      </c>
      <c r="L443" s="1">
        <f>IFERROR(__xludf.DUMMYFUNCTION("""COMPUTED_VALUE"""),"The Netherlands")</f>
        <v/>
      </c>
      <c r="M443" s="1">
        <f>IFERROR(__xludf.DUMMYFUNCTION("""COMPUTED_VALUE"""),"Netherlands")</f>
        <v/>
      </c>
      <c r="N443" s="1">
        <f>IFERROR(__xludf.DUMMYFUNCTION("""COMPUTED_VALUE"""),"11 to 50")</f>
        <v/>
      </c>
      <c r="O443" s="1">
        <f>IFERROR(__xludf.DUMMYFUNCTION("""COMPUTED_VALUE"""),"Business to Government, Business to Business")</f>
        <v/>
      </c>
      <c r="P443" s="1">
        <f>IFERROR(__xludf.DUMMYFUNCTION("""COMPUTED_VALUE"""),"Corporate Training")</f>
        <v/>
      </c>
      <c r="Q443" s="1">
        <f>IFERROR(__xludf.DUMMYFUNCTION("""COMPUTED_VALUE"""),"System/Administrative")</f>
        <v/>
      </c>
      <c r="R443" s="15">
        <f>IFERROR(__xludf.DUMMYFUNCTION("""COMPUTED_VALUE"""),"https://www.instagram.com/workingatrakoo/")</f>
        <v/>
      </c>
      <c r="S443" s="15">
        <f>IFERROR(__xludf.DUMMYFUNCTION("""COMPUTED_VALUE"""),"https://twitter.com/rakoocom")</f>
        <v/>
      </c>
      <c r="T443" s="15">
        <f>IFERROR(__xludf.DUMMYFUNCTION("""COMPUTED_VALUE"""),"https://www.linkedin.com/company/rakoo")</f>
        <v/>
      </c>
      <c r="U443" s="1">
        <f>IFERROR(__xludf.DUMMYFUNCTION("""COMPUTED_VALUE"""),"Learning")</f>
        <v/>
      </c>
      <c r="V443" s="1">
        <f>IFERROR(__xludf.DUMMYFUNCTION("""COMPUTED_VALUE"""),"Develop trainings, gain insights into growth, store all knowledge of your organization and organize learning in one central place: all in Rakoo. We are the leading online academy for learning and performance, driven by AI. We help you grow, both personall"&amp;"y and professionally.
With an LMS (Learning Management System), you can organize and manage everything related to learning within your organization. From óne smart and central platform in Rakoo, you enable employees to learn and develop. This not only he"&amp;"lps your employees grow but also drives the overall growth of your organization.
With an LXP, the focus is on the learning experience: a smart and personalized learning journey. This ensures that everyone learns in a way that suits them best. We make lea"&amp;"rning enjoyable and interactive with AI and gamification.
Knowledge retention in your organization is important, we understand that. That's why in Rakoo, you can easily create learning activities yourself using our authoring tool or Smart Assistant. In t"&amp;"his way, you can transform organizational knowledge into professional learning activities or you can create learning activities with the help of AI. User-friendliness is a priority, and that's why we keep the authoring tool simple. This allows everyone to"&amp;" easily create professional learning activities on their own.")</f>
        <v/>
      </c>
      <c r="W443" s="1">
        <f>IFERROR(__xludf.DUMMYFUNCTION("""COMPUTED_VALUE"""),"Performance")</f>
        <v/>
      </c>
      <c r="X443" s="1">
        <f>IFERROR(__xludf.DUMMYFUNCTION("""COMPUTED_VALUE"""),"With Rakoo, we empower you to grow and to become great. We achieve this through an online academy for learning and performance management, driven by AI. Rakoo provides you with insights into the return on learning. Together, we will accomplish professiona"&amp;"l and personal goals.
With Rakoo, you enable your teams to grow. In the online academy they engage in learning activities, and you are able to track their progress directly. We provide you with real-time insights and show you the value that learning brin"&amp;"gs to your organization.
Do you want to empower your teams to grow? Then you need insights into skills, the (desired) abilities of your employees. In Rakoo, we measure the baseline level of these skills and set goals to enhance their proficiency. We enab"&amp;"le you to make learning activities smarter, align them with your goals and ensure a smart approach to growth.")</f>
        <v/>
      </c>
      <c r="Y443" s="15">
        <f>IFERROR(__xludf.DUMMYFUNCTION("""COMPUTED_VALUE"""),"https://drive.google.com/uc?export=view&amp;id=1_swJ2f7Of4znvxpsxNXnAK5eTaCGtt7j")</f>
        <v/>
      </c>
      <c r="Z443" s="1">
        <f>IFERROR(__xludf.DUMMYFUNCTION("""COMPUTED_VALUE"""),"Unverified")</f>
        <v/>
      </c>
      <c r="AA443" s="1" t="n"/>
      <c r="AB443" s="1" t="n"/>
      <c r="AC443" s="1" t="n"/>
      <c r="AD443" s="1" t="n"/>
      <c r="AE443" s="1" t="n"/>
    </row>
    <row r="444" ht="42" customHeight="1">
      <c r="A444" s="14">
        <f>IFERROR(__xludf.DUMMYFUNCTION("""COMPUTED_VALUE"""),45370)</f>
        <v/>
      </c>
      <c r="B444" s="1">
        <f>IFERROR(__xludf.DUMMYFUNCTION("""COMPUTED_VALUE"""),"ORG_2181")</f>
        <v/>
      </c>
      <c r="C444" s="1">
        <f>IFERROR(__xludf.DUMMYFUNCTION("""COMPUTED_VALUE"""),TRUE)</f>
        <v/>
      </c>
      <c r="D444" s="1">
        <f>IFERROR(__xludf.DUMMYFUNCTION("""COMPUTED_VALUE"""),"Revisely")</f>
        <v/>
      </c>
      <c r="E444" s="15">
        <f>IFERROR(__xludf.DUMMYFUNCTION("""COMPUTED_VALUE"""),"http://revise.ly")</f>
        <v/>
      </c>
      <c r="F444" s="1">
        <f>IFERROR(__xludf.DUMMYFUNCTION("""COMPUTED_VALUE"""),"Revisely has been around since 2014 and was founded by Cambridge alum Jeroen Fransen and former Minister of Education of the Netherlands, Jo Ritzen. We have over 200,000 users in schools, colleges and universities. 
At Revisely we believe happy teachers m"&amp;"ake happier students. Many teachers are not so happy due to the workload around grading, marking and giving feedback on students’ work, so we came up with some solutions. 
Member of Dutch Edtech, alumnus of UtrechtInc and xEdu, fellow of Hatch Colab")</f>
        <v/>
      </c>
      <c r="G444" s="1">
        <f>IFERROR(__xludf.DUMMYFUNCTION("""COMPUTED_VALUE"""),"Dutch EdTech, xEdu")</f>
        <v/>
      </c>
      <c r="H444" s="1">
        <f>IFERROR(__xludf.DUMMYFUNCTION("""COMPUTED_VALUE"""),"Dutch, English, Spanish, German, French, Italian")</f>
        <v/>
      </c>
      <c r="I444" s="1">
        <f>IFERROR(__xludf.DUMMYFUNCTION("""COMPUTED_VALUE"""),"info@revise.ly")</f>
        <v/>
      </c>
      <c r="J444" s="1">
        <f>IFERROR(__xludf.DUMMYFUNCTION("""COMPUTED_VALUE"""),"+31 (0)30 2270431")</f>
        <v/>
      </c>
      <c r="K444" s="1">
        <f>IFERROR(__xludf.DUMMYFUNCTION("""COMPUTED_VALUE"""),"BREDA")</f>
        <v/>
      </c>
      <c r="L444" s="1">
        <f>IFERROR(__xludf.DUMMYFUNCTION("""COMPUTED_VALUE"""),"The Netherlands")</f>
        <v/>
      </c>
      <c r="M444" s="1">
        <f>IFERROR(__xludf.DUMMYFUNCTION("""COMPUTED_VALUE"""),"Belgium, Denmark, Finland, France, Germany, Netherlands, Norway, Spain, Sweden, Ukraine, United Kingdom")</f>
        <v/>
      </c>
      <c r="N444" s="1">
        <f>IFERROR(__xludf.DUMMYFUNCTION("""COMPUTED_VALUE"""),"6 to 10")</f>
        <v/>
      </c>
      <c r="O444" s="1">
        <f>IFERROR(__xludf.DUMMYFUNCTION("""COMPUTED_VALUE"""),"Business to Government, Business to School, Business to Business")</f>
        <v/>
      </c>
      <c r="P444" s="1">
        <f>IFERROR(__xludf.DUMMYFUNCTION("""COMPUTED_VALUE"""),"Secondary Education, Vocational Education and Training (VET), Higher Education")</f>
        <v/>
      </c>
      <c r="Q444" s="1">
        <f>IFERROR(__xludf.DUMMYFUNCTION("""COMPUTED_VALUE"""),"Student interfacing, Teacher interfacing, System/Administrative")</f>
        <v/>
      </c>
      <c r="R444" s="1" t="n"/>
      <c r="S444" s="1" t="n"/>
      <c r="T444" s="15">
        <f>IFERROR(__xludf.DUMMYFUNCTION("""COMPUTED_VALUE"""),"https://www.linkedin.com/company/revisely")</f>
        <v/>
      </c>
      <c r="U444" s="1">
        <f>IFERROR(__xludf.DUMMYFUNCTION("""COMPUTED_VALUE"""),"Revisely Grading Tool")</f>
        <v/>
      </c>
      <c r="V444" s="1">
        <f>IFERROR(__xludf.DUMMYFUNCTION("""COMPUTED_VALUE"""),"Revisely offers a grading tool that teachers use to correct students’ work, saving teachers time with standardised feedback and optimised workflows. It also gives more actionable feedback to students so they can improve learning outcomes. The unique exten"&amp;"dible comment banks, integrated in Revisely’s web application, include tips on how to improve writing skills but can also include teachers’ own feedback, increasing students’ engagement and learning effects. In addition, Revisely offers various other feat"&amp;"ures such as plagiarism checking to promote original writing, Team Hand-ins to stimulate collaborating in groups and Peer Grading &amp; Feedback to help students learn from each other. Revisely’s tool can be integrated through LTI 1.1 and 1.3 as well as throu"&amp;"gh its own API, so we welcome partnerships with publishers and LMS providers!")</f>
        <v/>
      </c>
      <c r="W444" s="1">
        <f>IFERROR(__xludf.DUMMYFUNCTION("""COMPUTED_VALUE"""),"TheyCorrect")</f>
        <v/>
      </c>
      <c r="X444" s="1">
        <f>IFERROR(__xludf.DUMMYFUNCTION("""COMPUTED_VALUE"""),"TheyCorrect works with schools to reduce teachers' workload and decrease teacher shortages. 
To make this happen, we allow teachers to delegate the grading and marking of and giving feedback on papers, essays, letters, essays, etc. to external professiona"&amp;"ls. By delegating the grading task (15% of teachers' time), teachers then have more time to concentrate on actual teaching, schools achieve better results and students learn more.
We are an #edtech and #hrtech company with headquarters in the Netherlands.")</f>
        <v/>
      </c>
      <c r="Y444" s="15">
        <f>IFERROR(__xludf.DUMMYFUNCTION("""COMPUTED_VALUE"""),"https://drive.google.com/uc?export=view&amp;id=1qVeM1C7spVg_DT4zpEGi5L8FlVsageFu")</f>
        <v/>
      </c>
      <c r="Z444" s="1">
        <f>IFERROR(__xludf.DUMMYFUNCTION("""COMPUTED_VALUE"""),"Unverified")</f>
        <v/>
      </c>
      <c r="AA444" s="1" t="n"/>
      <c r="AB444" s="1" t="n"/>
      <c r="AC444" s="1" t="n"/>
      <c r="AD444" s="1" t="n"/>
      <c r="AE444" s="1" t="n"/>
    </row>
    <row r="445" ht="42" customHeight="1">
      <c r="A445" s="14">
        <f>IFERROR(__xludf.DUMMYFUNCTION("""COMPUTED_VALUE"""),45370)</f>
        <v/>
      </c>
      <c r="B445" s="1">
        <f>IFERROR(__xludf.DUMMYFUNCTION("""COMPUTED_VALUE"""),"ORG_2342")</f>
        <v/>
      </c>
      <c r="C445" s="1">
        <f>IFERROR(__xludf.DUMMYFUNCTION("""COMPUTED_VALUE"""),TRUE)</f>
        <v/>
      </c>
      <c r="D445" s="1">
        <f>IFERROR(__xludf.DUMMYFUNCTION("""COMPUTED_VALUE"""),"StudyGo")</f>
        <v/>
      </c>
      <c r="E445" s="15">
        <f>IFERROR(__xludf.DUMMYFUNCTION("""COMPUTED_VALUE"""),"https://wrts.nl/homepage")</f>
        <v/>
      </c>
      <c r="F445" s="1" t="n"/>
      <c r="G445" s="1" t="n"/>
      <c r="H445" s="1" t="n"/>
      <c r="I445" s="1" t="n"/>
      <c r="J445" s="1" t="n"/>
      <c r="K445" s="1" t="n"/>
      <c r="L445" s="1">
        <f>IFERROR(__xludf.DUMMYFUNCTION("""COMPUTED_VALUE"""),"The Netherlands")</f>
        <v/>
      </c>
      <c r="M445" s="1" t="n"/>
      <c r="N445" s="1" t="n"/>
      <c r="O445" s="1" t="n"/>
      <c r="P445" s="1" t="n"/>
      <c r="Q445" s="1" t="n"/>
      <c r="R445" s="1" t="n"/>
      <c r="S445" s="1" t="n"/>
      <c r="T445" s="1" t="n"/>
      <c r="U445" s="1" t="n"/>
      <c r="V445" s="1" t="n"/>
      <c r="W445" s="1" t="n"/>
      <c r="X445" s="1" t="n"/>
      <c r="Y445" s="1" t="n"/>
      <c r="Z445" s="1">
        <f>IFERROR(__xludf.DUMMYFUNCTION("""COMPUTED_VALUE"""),"Unverified")</f>
        <v/>
      </c>
      <c r="AA445" s="1" t="n"/>
      <c r="AB445" s="1" t="n"/>
      <c r="AC445" s="1" t="n"/>
      <c r="AD445" s="1" t="n"/>
      <c r="AE445" s="1" t="n"/>
    </row>
    <row r="446" ht="42" customHeight="1">
      <c r="A446" s="14">
        <f>IFERROR(__xludf.DUMMYFUNCTION("""COMPUTED_VALUE"""),45370)</f>
        <v/>
      </c>
      <c r="B446" s="1">
        <f>IFERROR(__xludf.DUMMYFUNCTION("""COMPUTED_VALUE"""),"ORG_2507")</f>
        <v/>
      </c>
      <c r="C446" s="1">
        <f>IFERROR(__xludf.DUMMYFUNCTION("""COMPUTED_VALUE"""),TRUE)</f>
        <v/>
      </c>
      <c r="D446" s="1">
        <f>IFERROR(__xludf.DUMMYFUNCTION("""COMPUTED_VALUE"""),"Voor de klas")</f>
        <v/>
      </c>
      <c r="E446" s="15">
        <f>IFERROR(__xludf.DUMMYFUNCTION("""COMPUTED_VALUE"""),"http://voordeklas.com")</f>
        <v/>
      </c>
      <c r="F446" s="1">
        <f>IFERROR(__xludf.DUMMYFUNCTION("""COMPUTED_VALUE"""),"Bring society into the classroom and the classroom into society.
Voor de klas (translation for/in front of the classroom) is a platform for teachers to find the best guest lectures, field trips and lesson materials from third party providers linked to:
• "&amp;"Learning outcomes
• Duration
• Ages
• Price
• Available subsidies")</f>
        <v/>
      </c>
      <c r="G446" s="1">
        <f>IFERROR(__xludf.DUMMYFUNCTION("""COMPUTED_VALUE"""),"Dutch EdTech")</f>
        <v/>
      </c>
      <c r="H446" s="1">
        <f>IFERROR(__xludf.DUMMYFUNCTION("""COMPUTED_VALUE"""),"Dutch")</f>
        <v/>
      </c>
      <c r="I446" s="1">
        <f>IFERROR(__xludf.DUMMYFUNCTION("""COMPUTED_VALUE"""),"suzanne@voordeklas.com")</f>
        <v/>
      </c>
      <c r="J446" s="1" t="n"/>
      <c r="K446" s="1">
        <f>IFERROR(__xludf.DUMMYFUNCTION("""COMPUTED_VALUE"""),"Amsterdam")</f>
        <v/>
      </c>
      <c r="L446" s="1">
        <f>IFERROR(__xludf.DUMMYFUNCTION("""COMPUTED_VALUE"""),"The Netherlands")</f>
        <v/>
      </c>
      <c r="M446" s="1">
        <f>IFERROR(__xludf.DUMMYFUNCTION("""COMPUTED_VALUE"""),"Netherlands")</f>
        <v/>
      </c>
      <c r="N446" s="1">
        <f>IFERROR(__xludf.DUMMYFUNCTION("""COMPUTED_VALUE"""),"0 to 2")</f>
        <v/>
      </c>
      <c r="O446" s="1">
        <f>IFERROR(__xludf.DUMMYFUNCTION("""COMPUTED_VALUE"""),"Business to School, Business to Business, Business to Business")</f>
        <v/>
      </c>
      <c r="P446" s="1">
        <f>IFERROR(__xludf.DUMMYFUNCTION("""COMPUTED_VALUE"""),"Primary Education, Secondary Education, Corporate Training, Lifelong learning/Adult education, Vocational Education and Training (VET), Higher Education")</f>
        <v/>
      </c>
      <c r="Q446" s="1">
        <f>IFERROR(__xludf.DUMMYFUNCTION("""COMPUTED_VALUE"""),"Teacher interfacing, System/Administrative, Student interfacing")</f>
        <v/>
      </c>
      <c r="R446" s="15">
        <f>IFERROR(__xludf.DUMMYFUNCTION("""COMPUTED_VALUE"""),"https://instagram.com/voordeklas")</f>
        <v/>
      </c>
      <c r="S446" s="1" t="n"/>
      <c r="T446" s="1" t="n"/>
      <c r="U446" s="1">
        <f>IFERROR(__xludf.DUMMYFUNCTION("""COMPUTED_VALUE"""),"Voor de klas")</f>
        <v/>
      </c>
      <c r="V446" s="1">
        <f>IFERROR(__xludf.DUMMYFUNCTION("""COMPUTED_VALUE"""),"Voor de Klas (translation for/in front of the classroom) is a platform for teachers to find the best guest lectures, field trips, and lesson materials from third-party providers linked to:
• Learning outcomes
• Duration
• Ages
• Price
• Available subsidie"&amp;"s")</f>
        <v/>
      </c>
      <c r="W446" s="1">
        <f>IFERROR(__xludf.DUMMYFUNCTION("""COMPUTED_VALUE"""),"Suzanne Lustenhouwer")</f>
        <v/>
      </c>
      <c r="X446" s="1" t="n"/>
      <c r="Y446" s="15">
        <f>IFERROR(__xludf.DUMMYFUNCTION("""COMPUTED_VALUE"""),"https://drive.google.com/uc?export=view&amp;id=1AaEX-1idixIzvDbxGQPjUqQjkwM0IykB")</f>
        <v/>
      </c>
      <c r="Z446" s="1">
        <f>IFERROR(__xludf.DUMMYFUNCTION("""COMPUTED_VALUE"""),"Unverified")</f>
        <v/>
      </c>
      <c r="AA446" s="1" t="n"/>
      <c r="AB446" s="1" t="n"/>
      <c r="AC446" s="1" t="n"/>
      <c r="AD446" s="1" t="n"/>
      <c r="AE446" s="1" t="n"/>
    </row>
    <row r="447" ht="42" customHeight="1">
      <c r="A447" s="14">
        <f>IFERROR(__xludf.DUMMYFUNCTION("""COMPUTED_VALUE"""),45370)</f>
        <v/>
      </c>
      <c r="B447" s="1">
        <f>IFERROR(__xludf.DUMMYFUNCTION("""COMPUTED_VALUE"""),"ORG_2510")</f>
        <v/>
      </c>
      <c r="C447" s="1">
        <f>IFERROR(__xludf.DUMMYFUNCTION("""COMPUTED_VALUE"""),TRUE)</f>
        <v/>
      </c>
      <c r="D447" s="1">
        <f>IFERROR(__xludf.DUMMYFUNCTION("""COMPUTED_VALUE"""),"VR Nederland")</f>
        <v/>
      </c>
      <c r="E447" s="15">
        <f>IFERROR(__xludf.DUMMYFUNCTION("""COMPUTED_VALUE"""),"https://vrnederland.nl/")</f>
        <v/>
      </c>
      <c r="F447" s="1" t="n"/>
      <c r="G447" s="1" t="n"/>
      <c r="H447" s="1" t="n"/>
      <c r="I447" s="1" t="n"/>
      <c r="J447" s="1" t="n"/>
      <c r="K447" s="1" t="n"/>
      <c r="L447" s="1">
        <f>IFERROR(__xludf.DUMMYFUNCTION("""COMPUTED_VALUE"""),"The Netherlands")</f>
        <v/>
      </c>
      <c r="M447" s="1" t="n"/>
      <c r="N447" s="1" t="n"/>
      <c r="O447" s="1" t="n"/>
      <c r="P447" s="1" t="n"/>
      <c r="Q447" s="1" t="n"/>
      <c r="R447" s="1" t="n"/>
      <c r="S447" s="1" t="n"/>
      <c r="T447" s="1" t="n"/>
      <c r="U447" s="1" t="n"/>
      <c r="V447" s="1" t="n"/>
      <c r="W447" s="1" t="n"/>
      <c r="X447" s="1" t="n"/>
      <c r="Y447" s="1" t="n"/>
      <c r="Z447" s="1">
        <f>IFERROR(__xludf.DUMMYFUNCTION("""COMPUTED_VALUE"""),"Unverified")</f>
        <v/>
      </c>
      <c r="AA447" s="1" t="n"/>
      <c r="AB447" s="1" t="n"/>
      <c r="AC447" s="1" t="n"/>
      <c r="AD447" s="1" t="n"/>
      <c r="AE447" s="1" t="n"/>
    </row>
    <row r="448" ht="42" customHeight="1">
      <c r="A448" s="14">
        <f>IFERROR(__xludf.DUMMYFUNCTION("""COMPUTED_VALUE"""),45370)</f>
        <v/>
      </c>
      <c r="B448" s="1">
        <f>IFERROR(__xludf.DUMMYFUNCTION("""COMPUTED_VALUE"""),"ORG_2563")</f>
        <v/>
      </c>
      <c r="C448" s="1">
        <f>IFERROR(__xludf.DUMMYFUNCTION("""COMPUTED_VALUE"""),TRUE)</f>
        <v/>
      </c>
      <c r="D448" s="1">
        <f>IFERROR(__xludf.DUMMYFUNCTION("""COMPUTED_VALUE"""),"Young Coders")</f>
        <v/>
      </c>
      <c r="E448" s="15">
        <f>IFERROR(__xludf.DUMMYFUNCTION("""COMPUTED_VALUE"""),"https://youngcoders.nl/")</f>
        <v/>
      </c>
      <c r="F448" s="1">
        <f>IFERROR(__xludf.DUMMYFUNCTION("""COMPUTED_VALUE"""),"We find exceptional IT talent and provide them with the right environment to flourish. We work with a “character fit” between talent and client. Sustainable relationships arise in a work environment where you are at your best. We teach them the right skil"&amp;"lset.
With our unique perspective on talent, we challenge the status quo. We are the knowledge partner for finding, training and guiding exceptional IT talent.Young_Coders Upskill is the IT training partner for upskilling and retraining your workforce. We"&amp;" train your employees to the next skills level. With our core capabilities assessments, customized training and our personalized e-learning platform, we ensure that every employee brings out the best in themselves.")</f>
        <v/>
      </c>
      <c r="G448" s="1">
        <f>IFERROR(__xludf.DUMMYFUNCTION("""COMPUTED_VALUE"""),"Dutch EdTech")</f>
        <v/>
      </c>
      <c r="H448" s="1">
        <f>IFERROR(__xludf.DUMMYFUNCTION("""COMPUTED_VALUE"""),"Dutch, English")</f>
        <v/>
      </c>
      <c r="I448" s="1">
        <f>IFERROR(__xludf.DUMMYFUNCTION("""COMPUTED_VALUE"""),"hello@youngcoders.nl")</f>
        <v/>
      </c>
      <c r="J448" s="1">
        <f>IFERROR(__xludf.DUMMYFUNCTION("""COMPUTED_VALUE"""),"+3188043668")</f>
        <v/>
      </c>
      <c r="K448" s="1">
        <f>IFERROR(__xludf.DUMMYFUNCTION("""COMPUTED_VALUE"""),"Amersfoort")</f>
        <v/>
      </c>
      <c r="L448" s="1">
        <f>IFERROR(__xludf.DUMMYFUNCTION("""COMPUTED_VALUE"""),"The Netherlands")</f>
        <v/>
      </c>
      <c r="M448" s="1">
        <f>IFERROR(__xludf.DUMMYFUNCTION("""COMPUTED_VALUE"""),"Netherlands")</f>
        <v/>
      </c>
      <c r="N448" s="1">
        <f>IFERROR(__xludf.DUMMYFUNCTION("""COMPUTED_VALUE"""),"11 to 50")</f>
        <v/>
      </c>
      <c r="O448" s="1">
        <f>IFERROR(__xludf.DUMMYFUNCTION("""COMPUTED_VALUE"""),"Business to Business")</f>
        <v/>
      </c>
      <c r="P448" s="1">
        <f>IFERROR(__xludf.DUMMYFUNCTION("""COMPUTED_VALUE"""),"Corporate Training, Lifelong learning/Adult education")</f>
        <v/>
      </c>
      <c r="Q448" s="1">
        <f>IFERROR(__xludf.DUMMYFUNCTION("""COMPUTED_VALUE"""),"System/Administrative")</f>
        <v/>
      </c>
      <c r="R448" s="1">
        <f>IFERROR(__xludf.DUMMYFUNCTION("""COMPUTED_VALUE"""),"youngcodersnl")</f>
        <v/>
      </c>
      <c r="S448" s="1" t="n"/>
      <c r="T448" s="15">
        <f>IFERROR(__xludf.DUMMYFUNCTION("""COMPUTED_VALUE"""),"https://www.linkedin.com/company/youngcoders")</f>
        <v/>
      </c>
      <c r="U448" s="1">
        <f>IFERROR(__xludf.DUMMYFUNCTION("""COMPUTED_VALUE"""),"Young Coders UpSkill Academy")</f>
        <v/>
      </c>
      <c r="V448" s="1">
        <f>IFERROR(__xludf.DUMMYFUNCTION("""COMPUTED_VALUE"""),"Young_Coders Upskill is the IT training partner for upskilling and retraining your workforce.
We train your employees to the next skills level. With our core capabilities assessments, customized training and our personalized e-learning platform, we ensur"&amp;"e that every employee brings out the best in themselves.")</f>
        <v/>
      </c>
      <c r="W448" s="1">
        <f>IFERROR(__xludf.DUMMYFUNCTION("""COMPUTED_VALUE"""),"Collow")</f>
        <v/>
      </c>
      <c r="X448" s="1">
        <f>IFERROR(__xludf.DUMMYFUNCTION("""COMPUTED_VALUE"""),"Collow is a modern and flexible IT e-learning platform, with which you can translate all your training, onboarding and PowerPoints into interactive e-learning. With coding challenges, quizzes and exams, you test knowledge, make your learning progress tran"&amp;"sparent and, above all, make learning more fun. Collow offers you a platform with unique options for technical training. Our code editor supports more than 100 programming languages ​​and coding assignments are automatically checked by the system. Collow "&amp;"supports as many workouts as you want and works on any device. No time to develop your own training courses? Our extensive network of freelance tech specialists is ready to develop your training courses. Our specialists have been selected based on technic"&amp;"al competence and didactic skills.")</f>
        <v/>
      </c>
      <c r="Y448" s="15">
        <f>IFERROR(__xludf.DUMMYFUNCTION("""COMPUTED_VALUE"""),"https://drive.google.com/uc?export=view&amp;id=19Te_Ug2MjPmWAFGQfKj9uADqhSxc0zp4")</f>
        <v/>
      </c>
      <c r="Z448" s="1">
        <f>IFERROR(__xludf.DUMMYFUNCTION("""COMPUTED_VALUE"""),"Unverified")</f>
        <v/>
      </c>
      <c r="AA448" s="1" t="n"/>
      <c r="AB448" s="1" t="n"/>
      <c r="AC448" s="1" t="n"/>
      <c r="AD448" s="1" t="n"/>
      <c r="AE448" s="1" t="n"/>
    </row>
    <row r="449" ht="42" customHeight="1">
      <c r="A449" s="14">
        <f>IFERROR(__xludf.DUMMYFUNCTION("""COMPUTED_VALUE"""),45370)</f>
        <v/>
      </c>
      <c r="B449" s="1">
        <f>IFERROR(__xludf.DUMMYFUNCTION("""COMPUTED_VALUE"""),"ORG_1510")</f>
        <v/>
      </c>
      <c r="C449" s="1">
        <f>IFERROR(__xludf.DUMMYFUNCTION("""COMPUTED_VALUE"""),TRUE)</f>
        <v/>
      </c>
      <c r="D449" s="1">
        <f>IFERROR(__xludf.DUMMYFUNCTION("""COMPUTED_VALUE"""),"Escritorio de Einstein")</f>
        <v/>
      </c>
      <c r="E449" s="15">
        <f>IFERROR(__xludf.DUMMYFUNCTION("""COMPUTED_VALUE"""),"https://escritoriodeeinstein.com/")</f>
        <v/>
      </c>
      <c r="F449" s="1">
        <f>IFERROR(__xludf.DUMMYFUNCTION("""COMPUTED_VALUE"""),"Escritorio de Einstein is an EdTech company that applies personalized methodologies to guide career decisions. Our services are aimed at young people and families in 18 Spanish-speaking countries across Hispanoamerica. Our platform incorporates scientific"&amp;" solutions in psychometrics, artificial intelligence, and Big Data, providing independent support to the global career guidance ecosystem.")</f>
        <v/>
      </c>
      <c r="G449" s="1">
        <f>IFERROR(__xludf.DUMMYFUNCTION("""COMPUTED_VALUE"""),"I'm not part of any EdTech association")</f>
        <v/>
      </c>
      <c r="H449" s="1">
        <f>IFERROR(__xludf.DUMMYFUNCTION("""COMPUTED_VALUE"""),"Spanish")</f>
        <v/>
      </c>
      <c r="I449" s="1">
        <f>IFERROR(__xludf.DUMMYFUNCTION("""COMPUTED_VALUE"""),"jcpenafiel@escritoriodeeinstein.com")</f>
        <v/>
      </c>
      <c r="J449" s="1">
        <f>IFERROR(__xludf.DUMMYFUNCTION("""COMPUTED_VALUE"""),"+34 639457182")</f>
        <v/>
      </c>
      <c r="K449" s="1">
        <f>IFERROR(__xludf.DUMMYFUNCTION("""COMPUTED_VALUE"""),"EIVISSA")</f>
        <v/>
      </c>
      <c r="L449" s="1">
        <f>IFERROR(__xludf.DUMMYFUNCTION("""COMPUTED_VALUE"""),"Spain")</f>
        <v/>
      </c>
      <c r="M449" s="1">
        <f>IFERROR(__xludf.DUMMYFUNCTION("""COMPUTED_VALUE"""),"Spain")</f>
        <v/>
      </c>
      <c r="N449" s="1">
        <f>IFERROR(__xludf.DUMMYFUNCTION("""COMPUTED_VALUE"""),"3 to 5")</f>
        <v/>
      </c>
      <c r="O449" s="1">
        <f>IFERROR(__xludf.DUMMYFUNCTION("""COMPUTED_VALUE"""),"Business to Business, Business to Schools, Business to Consumer, Business to Government")</f>
        <v/>
      </c>
      <c r="P449" s="1">
        <f>IFERROR(__xludf.DUMMYFUNCTION("""COMPUTED_VALUE"""),"Secondary Education, Vocational Education and Training (VET)")</f>
        <v/>
      </c>
      <c r="Q449" s="1">
        <f>IFERROR(__xludf.DUMMYFUNCTION("""COMPUTED_VALUE"""),"System/Administrative, Student interfacing")</f>
        <v/>
      </c>
      <c r="R449" s="15">
        <f>IFERROR(__xludf.DUMMYFUNCTION("""COMPUTED_VALUE"""),"https://www.instagram.com/escritoriodeeinstein/")</f>
        <v/>
      </c>
      <c r="S449" s="1" t="n"/>
      <c r="T449" s="15">
        <f>IFERROR(__xludf.DUMMYFUNCTION("""COMPUTED_VALUE"""),"https://www.linkedin.com/company/elescritoriodeeinstein")</f>
        <v/>
      </c>
      <c r="U449" s="1">
        <f>IFERROR(__xludf.DUMMYFUNCTION("""COMPUTED_VALUE"""),"Plan Career")</f>
        <v/>
      </c>
      <c r="V449" s="1">
        <f>IFERROR(__xludf.DUMMYFUNCTION("""COMPUTED_VALUE"""),"Personalized guidance for identifying career options includes assessments, study options, and an individualized plan.")</f>
        <v/>
      </c>
      <c r="W449" s="1">
        <f>IFERROR(__xludf.DUMMYFUNCTION("""COMPUTED_VALUE"""),"Plan University")</f>
        <v/>
      </c>
      <c r="X449" s="1">
        <f>IFERROR(__xludf.DUMMYFUNCTION("""COMPUTED_VALUE"""),"Personalized guidance for university admission at a global level, including the process, document preparation, and connection with the institution to secure admission.")</f>
        <v/>
      </c>
      <c r="Y449" s="15">
        <f>IFERROR(__xludf.DUMMYFUNCTION("""COMPUTED_VALUE"""),"https://drive.google.com/uc?export=view&amp;id=1JZPvT7sKx3iJanbBRUE4Bgan0SqcaWsp")</f>
        <v/>
      </c>
      <c r="Z449" s="1">
        <f>IFERROR(__xludf.DUMMYFUNCTION("""COMPUTED_VALUE"""),"Unverified")</f>
        <v/>
      </c>
      <c r="AA449" s="1" t="n"/>
      <c r="AB449" s="1" t="n"/>
      <c r="AC449" s="1" t="n"/>
      <c r="AD449" s="1" t="n"/>
      <c r="AE449" s="1" t="n"/>
    </row>
    <row r="450" ht="42" customHeight="1">
      <c r="A450" s="14">
        <f>IFERROR(__xludf.DUMMYFUNCTION("""COMPUTED_VALUE"""),45370)</f>
        <v/>
      </c>
      <c r="B450" s="1">
        <f>IFERROR(__xludf.DUMMYFUNCTION("""COMPUTED_VALUE"""),"ORG_1512")</f>
        <v/>
      </c>
      <c r="C450" s="1">
        <f>IFERROR(__xludf.DUMMYFUNCTION("""COMPUTED_VALUE"""),TRUE)</f>
        <v/>
      </c>
      <c r="D450" s="1">
        <f>IFERROR(__xludf.DUMMYFUNCTION("""COMPUTED_VALUE"""),"Escuelas Visuales")</f>
        <v/>
      </c>
      <c r="E450" s="15">
        <f>IFERROR(__xludf.DUMMYFUNCTION("""COMPUTED_VALUE"""),"www.escuelasvisuales.com")</f>
        <v/>
      </c>
      <c r="F450" s="1">
        <f>IFERROR(__xludf.DUMMYFUNCTION("""COMPUTED_VALUE"""),"Escuelas Visuales is a program for K12 schools aiming to advance in catering to the diversity of their students and achieve inclusive education within their institution. This is done by integrating visual tools into everyday classroom activities for all c"&amp;"hildren. Already, over 3,200 teachers have successfully implemented it!
The program advocates for the incorporation of 7 tools in all classrooms of the school, along with training a coordinator. Personalized guidance is provided throughout the process. T"&amp;"he goal is to have visual schedules, sequences, social stories, stories with pictograms, visual thinking, visual maps, and signage fully integrated by the end of the program.
The program encompasses training in the aforementioned tools, access to a platf"&amp;"orm with materials and resources, as well as personalized guidance. For more information, you can visit the website www.escuelasvisuales.com.")</f>
        <v/>
      </c>
      <c r="G450" s="1">
        <f>IFERROR(__xludf.DUMMYFUNCTION("""COMPUTED_VALUE"""),"I'm not part of any EdTech association")</f>
        <v/>
      </c>
      <c r="H450" s="1">
        <f>IFERROR(__xludf.DUMMYFUNCTION("""COMPUTED_VALUE"""),"Spanish")</f>
        <v/>
      </c>
      <c r="I450" s="1">
        <f>IFERROR(__xludf.DUMMYFUNCTION("""COMPUTED_VALUE"""),"hola@escuelasvisuales.com")</f>
        <v/>
      </c>
      <c r="J450" s="1" t="n"/>
      <c r="K450" s="1">
        <f>IFERROR(__xludf.DUMMYFUNCTION("""COMPUTED_VALUE"""),"Barcelona")</f>
        <v/>
      </c>
      <c r="L450" s="1">
        <f>IFERROR(__xludf.DUMMYFUNCTION("""COMPUTED_VALUE"""),"Spain")</f>
        <v/>
      </c>
      <c r="M450" s="1">
        <f>IFERROR(__xludf.DUMMYFUNCTION("""COMPUTED_VALUE"""),"Spain")</f>
        <v/>
      </c>
      <c r="N450" s="1">
        <f>IFERROR(__xludf.DUMMYFUNCTION("""COMPUTED_VALUE"""),"0 to 2")</f>
        <v/>
      </c>
      <c r="O450" s="1">
        <f>IFERROR(__xludf.DUMMYFUNCTION("""COMPUTED_VALUE"""),"Business to Business, Business to Schools, Business to Consumer, Business to Government")</f>
        <v/>
      </c>
      <c r="P450" s="1">
        <f>IFERROR(__xludf.DUMMYFUNCTION("""COMPUTED_VALUE"""),"Early childhood development (0-5 years), Primary Education")</f>
        <v/>
      </c>
      <c r="Q450" s="1">
        <f>IFERROR(__xludf.DUMMYFUNCTION("""COMPUTED_VALUE"""),"Teacher interfacing")</f>
        <v/>
      </c>
      <c r="R450" s="1" t="n"/>
      <c r="S450" s="1" t="n"/>
      <c r="T450" s="1" t="n"/>
      <c r="U450" s="1">
        <f>IFERROR(__xludf.DUMMYFUNCTION("""COMPUTED_VALUE"""),"Escuelas Visuales")</f>
        <v/>
      </c>
      <c r="V450" s="1">
        <f>IFERROR(__xludf.DUMMYFUNCTION("""COMPUTED_VALUE"""),"The program Escuelas Visuales advocates for the incorporation of 7 tools in all classrooms of the school. Personalized guidance is provided throughout the process, as each school may have a different starting point. The goal is to have visual schedules, s"&amp;"equences, social stories, stories with pictograms, visual thinking, visual maps, and signage fully integrated by the end of the program, and included in the Center's Plan.")</f>
        <v/>
      </c>
      <c r="W450" s="1" t="n"/>
      <c r="X450" s="1" t="n"/>
      <c r="Y450" s="15">
        <f>IFERROR(__xludf.DUMMYFUNCTION("""COMPUTED_VALUE"""),"https://drive.google.com/uc?export=view&amp;id=1HDwuXEvEurOey4O4ddUewnLkluViiI8V")</f>
        <v/>
      </c>
      <c r="Z450" s="1">
        <f>IFERROR(__xludf.DUMMYFUNCTION("""COMPUTED_VALUE"""),"Unverified")</f>
        <v/>
      </c>
      <c r="AA450" s="1" t="n"/>
      <c r="AB450" s="1" t="n"/>
      <c r="AC450" s="1" t="n"/>
      <c r="AD450" s="1" t="n"/>
      <c r="AE450" s="1" t="n"/>
    </row>
    <row r="451" ht="42" customHeight="1">
      <c r="A451" s="14">
        <f>IFERROR(__xludf.DUMMYFUNCTION("""COMPUTED_VALUE"""),45370)</f>
        <v/>
      </c>
      <c r="B451" s="1">
        <f>IFERROR(__xludf.DUMMYFUNCTION("""COMPUTED_VALUE"""),"ORG_1582")</f>
        <v/>
      </c>
      <c r="C451" s="1">
        <f>IFERROR(__xludf.DUMMYFUNCTION("""COMPUTED_VALUE"""),TRUE)</f>
        <v/>
      </c>
      <c r="D451" s="1">
        <f>IFERROR(__xludf.DUMMYFUNCTION("""COMPUTED_VALUE"""),"Foxize")</f>
        <v/>
      </c>
      <c r="E451" s="15">
        <f>IFERROR(__xludf.DUMMYFUNCTION("""COMPUTED_VALUE"""),"https://www.foxize.com/en/")</f>
        <v/>
      </c>
      <c r="F451" s="1">
        <f>IFERROR(__xludf.DUMMYFUNCTION("""COMPUTED_VALUE"""),"Foxize is an EdTech with its own framework that helps to create and develop customized training projects:
- Our own SaaS LMS, Foxize Cloud.
- Data with the largest benchmark for organizational diagnostics.
- Our own catalog of online courses (mainly soft "&amp;"skills).
- Learning Analytics to measure and improve corporate training.
- And working methodology to design, develop and implement training projects.")</f>
        <v/>
      </c>
      <c r="G451" s="1">
        <f>IFERROR(__xludf.DUMMYFUNCTION("""COMPUTED_VALUE"""),"I'm not part of any EdTech association")</f>
        <v/>
      </c>
      <c r="H451" s="1">
        <f>IFERROR(__xludf.DUMMYFUNCTION("""COMPUTED_VALUE"""),"Spanish, English")</f>
        <v/>
      </c>
      <c r="I451" s="1">
        <f>IFERROR(__xludf.DUMMYFUNCTION("""COMPUTED_VALUE"""),"info@foxize.com")</f>
        <v/>
      </c>
      <c r="J451" s="1">
        <f>IFERROR(__xludf.DUMMYFUNCTION("""COMPUTED_VALUE"""),"+34 933 09 97 41")</f>
        <v/>
      </c>
      <c r="K451" s="1">
        <f>IFERROR(__xludf.DUMMYFUNCTION("""COMPUTED_VALUE"""),"BARCELONA")</f>
        <v/>
      </c>
      <c r="L451" s="1">
        <f>IFERROR(__xludf.DUMMYFUNCTION("""COMPUTED_VALUE"""),"Spain")</f>
        <v/>
      </c>
      <c r="M451"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51" s="1">
        <f>IFERROR(__xludf.DUMMYFUNCTION("""COMPUTED_VALUE"""),"11 to 50")</f>
        <v/>
      </c>
      <c r="O451" s="1">
        <f>IFERROR(__xludf.DUMMYFUNCTION("""COMPUTED_VALUE"""),"Business to Business, Business to Schools, Business to Government")</f>
        <v/>
      </c>
      <c r="P451" s="1">
        <f>IFERROR(__xludf.DUMMYFUNCTION("""COMPUTED_VALUE"""),"Corporate Training")</f>
        <v/>
      </c>
      <c r="Q451" s="1">
        <f>IFERROR(__xludf.DUMMYFUNCTION("""COMPUTED_VALUE"""),"System/Administrative, Student interfacing")</f>
        <v/>
      </c>
      <c r="R451" s="1" t="n"/>
      <c r="S451" s="15">
        <f>IFERROR(__xludf.DUMMYFUNCTION("""COMPUTED_VALUE"""),"https://twitter.com/foxize")</f>
        <v/>
      </c>
      <c r="T451" s="15">
        <f>IFERROR(__xludf.DUMMYFUNCTION("""COMPUTED_VALUE"""),"https://www.linkedin.com/company/foxize-school")</f>
        <v/>
      </c>
      <c r="U451" s="1">
        <f>IFERROR(__xludf.DUMMYFUNCTION("""COMPUTED_VALUE"""),"Foxize Cloud LMS")</f>
        <v/>
      </c>
      <c r="V451" s="1">
        <f>IFERROR(__xludf.DUMMYFUNCTION("""COMPUTED_VALUE"""),"Learning Tech for corporate training. 
An LMS A platform that allows you to create and manage training quickly and without the need for technical knowledge.
- For companies that have their own management team and are looking for a tool to get started inst"&amp;"antly.
- For companies that want to carry out large customized projects and require our help for development and management.")</f>
        <v/>
      </c>
      <c r="W451" s="1">
        <f>IFERROR(__xludf.DUMMYFUNCTION("""COMPUTED_VALUE"""),"Foxize Learning Analytics")</f>
        <v/>
      </c>
      <c r="X451" s="1">
        <f>IFERROR(__xludf.DUMMYFUNCTION("""COMPUTED_VALUE"""),"Data is the best ally for your training projects.
With learning analytics, you can analyze the behavior of your participants, measure the learning evolution and optimize the training offer at the level of the learner and the group.")</f>
        <v/>
      </c>
      <c r="Y451" s="15">
        <f>IFERROR(__xludf.DUMMYFUNCTION("""COMPUTED_VALUE"""),"https://drive.google.com/uc?export=view&amp;id=1xBbeclGTrARFLeDzyPo2Cxmjn9THMK68")</f>
        <v/>
      </c>
      <c r="Z451" s="1">
        <f>IFERROR(__xludf.DUMMYFUNCTION("""COMPUTED_VALUE"""),"Unverified")</f>
        <v/>
      </c>
      <c r="AA451" s="1" t="n"/>
      <c r="AB451" s="1" t="n"/>
      <c r="AC451" s="1" t="n"/>
      <c r="AD451" s="1" t="n"/>
      <c r="AE451" s="1" t="n"/>
    </row>
    <row r="452" ht="42" customHeight="1">
      <c r="A452" s="14">
        <f>IFERROR(__xludf.DUMMYFUNCTION("""COMPUTED_VALUE"""),45370)</f>
        <v/>
      </c>
      <c r="B452" s="1">
        <f>IFERROR(__xludf.DUMMYFUNCTION("""COMPUTED_VALUE"""),"ORG_1644")</f>
        <v/>
      </c>
      <c r="C452" s="1">
        <f>IFERROR(__xludf.DUMMYFUNCTION("""COMPUTED_VALUE"""),TRUE)</f>
        <v/>
      </c>
      <c r="D452" s="1">
        <f>IFERROR(__xludf.DUMMYFUNCTION("""COMPUTED_VALUE"""),"Great Little People")</f>
        <v/>
      </c>
      <c r="E452" s="15">
        <f>IFERROR(__xludf.DUMMYFUNCTION("""COMPUTED_VALUE"""),"https://greatlittlepeople.com/")</f>
        <v/>
      </c>
      <c r="F452" s="1">
        <f>IFERROR(__xludf.DUMMYFUNCTION("""COMPUTED_VALUE"""),"Great Little People is an English methodology specialised in early years from 1 to 8 years old. We are committed to innovation in early childhood education, the most important age for learning a language. We have a blended model that combines real classro"&amp;"om experiences with digital and interactive ones, also connected at home. We are present in Spain and Latin America.")</f>
        <v/>
      </c>
      <c r="G452" s="1">
        <f>IFERROR(__xludf.DUMMYFUNCTION("""COMPUTED_VALUE"""),"SEK Lab")</f>
        <v/>
      </c>
      <c r="H452" s="1">
        <f>IFERROR(__xludf.DUMMYFUNCTION("""COMPUTED_VALUE"""),"Spanish, English")</f>
        <v/>
      </c>
      <c r="I452" s="1">
        <f>IFERROR(__xludf.DUMMYFUNCTION("""COMPUTED_VALUE"""),"info@greatlittlepeople.com")</f>
        <v/>
      </c>
      <c r="J452" s="1">
        <f>IFERROR(__xludf.DUMMYFUNCTION("""COMPUTED_VALUE"""),"+34 688970211")</f>
        <v/>
      </c>
      <c r="K452" s="1">
        <f>IFERROR(__xludf.DUMMYFUNCTION("""COMPUTED_VALUE"""),"MADRID")</f>
        <v/>
      </c>
      <c r="L452" s="1">
        <f>IFERROR(__xludf.DUMMYFUNCTION("""COMPUTED_VALUE"""),"Spain")</f>
        <v/>
      </c>
      <c r="M452" s="1">
        <f>IFERROR(__xludf.DUMMYFUNCTION("""COMPUTED_VALUE"""),"Spain")</f>
        <v/>
      </c>
      <c r="N452" s="1">
        <f>IFERROR(__xludf.DUMMYFUNCTION("""COMPUTED_VALUE"""),"6 to 10")</f>
        <v/>
      </c>
      <c r="O452" s="1">
        <f>IFERROR(__xludf.DUMMYFUNCTION("""COMPUTED_VALUE"""),"Business to Business, Business to Consumer, Business to Government")</f>
        <v/>
      </c>
      <c r="P452" s="1">
        <f>IFERROR(__xludf.DUMMYFUNCTION("""COMPUTED_VALUE"""),"Early childhood development (0-5 years)")</f>
        <v/>
      </c>
      <c r="Q452" s="1">
        <f>IFERROR(__xludf.DUMMYFUNCTION("""COMPUTED_VALUE"""),"Student interfacing, Teacher interfacing")</f>
        <v/>
      </c>
      <c r="R452" s="15">
        <f>IFERROR(__xludf.DUMMYFUNCTION("""COMPUTED_VALUE"""),"https://www.instagram.com/great_little_people/?hl=es")</f>
        <v/>
      </c>
      <c r="S452" s="1" t="n"/>
      <c r="T452" s="15">
        <f>IFERROR(__xludf.DUMMYFUNCTION("""COMPUTED_VALUE"""),"https://www.linkedin.com/company/14058095/admin/feed/posts/")</f>
        <v/>
      </c>
      <c r="U452" s="1">
        <f>IFERROR(__xludf.DUMMYFUNCTION("""COMPUTED_VALUE"""),"Great Little People")</f>
        <v/>
      </c>
      <c r="V452" s="1">
        <f>IFERROR(__xludf.DUMMYFUNCTION("""COMPUTED_VALUE"""),"English method with:
- Educational Resources KIT: Attractive materials for children and teachers to develop an active and manipulative methodology. 
- Digital Books: +1,000 interactive resources adapted by age and unit for use on digital boards and tabl"&amp;"ets.
- APP Great Little World: Educational APP for children's autonomous learning at home connected in objectives and contents.
- Teachers platform: Training campus, lesson plan, educational guides, practical videos, support &amp; new materials.")</f>
        <v/>
      </c>
      <c r="W452" s="1" t="n"/>
      <c r="X452" s="1" t="n"/>
      <c r="Y452" s="15">
        <f>IFERROR(__xludf.DUMMYFUNCTION("""COMPUTED_VALUE"""),"https://drive.google.com/uc?export=view&amp;id=1oD5JNu59mqjNTbM4Sz7KQpnao1m9UQzI")</f>
        <v/>
      </c>
      <c r="Z452" s="1">
        <f>IFERROR(__xludf.DUMMYFUNCTION("""COMPUTED_VALUE"""),"Unverified")</f>
        <v/>
      </c>
      <c r="AA452" s="1" t="n"/>
      <c r="AB452" s="1" t="n"/>
      <c r="AC452" s="1" t="n"/>
      <c r="AD452" s="1" t="n"/>
      <c r="AE452" s="1" t="n"/>
    </row>
    <row r="453" ht="42" customHeight="1">
      <c r="A453" s="14">
        <f>IFERROR(__xludf.DUMMYFUNCTION("""COMPUTED_VALUE"""),45370)</f>
        <v/>
      </c>
      <c r="B453" s="1">
        <f>IFERROR(__xludf.DUMMYFUNCTION("""COMPUTED_VALUE"""),"ORG_1710")</f>
        <v/>
      </c>
      <c r="C453" s="1">
        <f>IFERROR(__xludf.DUMMYFUNCTION("""COMPUTED_VALUE"""),TRUE)</f>
        <v/>
      </c>
      <c r="D453" s="1">
        <f>IFERROR(__xludf.DUMMYFUNCTION("""COMPUTED_VALUE"""),"ILIKE.EDUCATION")</f>
        <v/>
      </c>
      <c r="E453" s="15">
        <f>IFERROR(__xludf.DUMMYFUNCTION("""COMPUTED_VALUE"""),"http://ilike.education")</f>
        <v/>
      </c>
      <c r="F453" s="1">
        <f>IFERROR(__xludf.DUMMYFUNCTION("""COMPUTED_VALUE"""),"We serve EdTech companies to improve the customer experience by creating new products, optimizing services, getting new customers and increasing loyalty.")</f>
        <v/>
      </c>
      <c r="G453" s="1">
        <f>IFERROR(__xludf.DUMMYFUNCTION("""COMPUTED_VALUE"""),"EduTech Cluster Spain")</f>
        <v/>
      </c>
      <c r="H453" s="1">
        <f>IFERROR(__xludf.DUMMYFUNCTION("""COMPUTED_VALUE"""),"Spanish, English")</f>
        <v/>
      </c>
      <c r="I453" s="1">
        <f>IFERROR(__xludf.DUMMYFUNCTION("""COMPUTED_VALUE"""),"info@ilike.education")</f>
        <v/>
      </c>
      <c r="J453" s="1">
        <f>IFERROR(__xludf.DUMMYFUNCTION("""COMPUTED_VALUE"""),"+34 639322689")</f>
        <v/>
      </c>
      <c r="K453" s="1">
        <f>IFERROR(__xludf.DUMMYFUNCTION("""COMPUTED_VALUE"""),"MADRID")</f>
        <v/>
      </c>
      <c r="L453" s="1">
        <f>IFERROR(__xludf.DUMMYFUNCTION("""COMPUTED_VALUE"""),"Spain")</f>
        <v/>
      </c>
      <c r="M453" s="1">
        <f>IFERROR(__xludf.DUMMYFUNCTION("""COMPUTED_VALUE"""),"Andorra, Spain")</f>
        <v/>
      </c>
      <c r="N453" s="1">
        <f>IFERROR(__xludf.DUMMYFUNCTION("""COMPUTED_VALUE"""),"3 to 5")</f>
        <v/>
      </c>
      <c r="O453" s="1">
        <f>IFERROR(__xludf.DUMMYFUNCTION("""COMPUTED_VALUE"""),"Business to Business, Business to Schools, Business to Government")</f>
        <v/>
      </c>
      <c r="P453" s="1">
        <f>IFERROR(__xludf.DUMMYFUNCTION("""COMPUTED_VALUE"""),"Corporate Training, Lifelong learning/Adult education, Vocational Education and Training (VET), Higher Education")</f>
        <v/>
      </c>
      <c r="Q453" s="1">
        <f>IFERROR(__xludf.DUMMYFUNCTION("""COMPUTED_VALUE"""),"System/Administrative, Student interfacing")</f>
        <v/>
      </c>
      <c r="R453" s="1" t="n"/>
      <c r="S453" s="1" t="n"/>
      <c r="T453" s="15">
        <f>IFERROR(__xludf.DUMMYFUNCTION("""COMPUTED_VALUE"""),"https://www.linkedin.com/company/67935195")</f>
        <v/>
      </c>
      <c r="U453" s="1">
        <f>IFERROR(__xludf.DUMMYFUNCTION("""COMPUTED_VALUE"""),"EdTech innovation service")</f>
        <v/>
      </c>
      <c r="V453" s="1">
        <f>IFERROR(__xludf.DUMMYFUNCTION("""COMPUTED_VALUE"""),"We are the innovation team of our clients. We work with your teachers to improve the quality of your learning content and proceses.")</f>
        <v/>
      </c>
      <c r="W453" s="1">
        <f>IFERROR(__xludf.DUMMYFUNCTION("""COMPUTED_VALUE"""),"Marketing and sales team")</f>
        <v/>
      </c>
      <c r="X453" s="1">
        <f>IFERROR(__xludf.DUMMYFUNCTION("""COMPUTED_VALUE"""),"We are our client's marketing and sales team. We know the Spanish and Latam market. We distribute your product in our countries.")</f>
        <v/>
      </c>
      <c r="Y453" s="15">
        <f>IFERROR(__xludf.DUMMYFUNCTION("""COMPUTED_VALUE"""),"https://drive.google.com/uc?export=view&amp;id=1mjgpr3RTHqf6DFg96VqeXUO9XXJrdE3F")</f>
        <v/>
      </c>
      <c r="Z453" s="1">
        <f>IFERROR(__xludf.DUMMYFUNCTION("""COMPUTED_VALUE"""),"Unverified")</f>
        <v/>
      </c>
      <c r="AA453" s="1" t="n"/>
      <c r="AB453" s="1" t="n"/>
      <c r="AC453" s="1" t="n"/>
      <c r="AD453" s="1" t="n"/>
      <c r="AE453" s="1" t="n"/>
    </row>
    <row r="454" ht="42" customHeight="1">
      <c r="A454" s="14">
        <f>IFERROR(__xludf.DUMMYFUNCTION("""COMPUTED_VALUE"""),45370)</f>
        <v/>
      </c>
      <c r="B454" s="1">
        <f>IFERROR(__xludf.DUMMYFUNCTION("""COMPUTED_VALUE"""),"ORG_2136")</f>
        <v/>
      </c>
      <c r="C454" s="1">
        <f>IFERROR(__xludf.DUMMYFUNCTION("""COMPUTED_VALUE"""),TRUE)</f>
        <v/>
      </c>
      <c r="D454" s="1">
        <f>IFERROR(__xludf.DUMMYFUNCTION("""COMPUTED_VALUE"""),"PUPIL")</f>
        <v/>
      </c>
      <c r="E454" s="15">
        <f>IFERROR(__xludf.DUMMYFUNCTION("""COMPUTED_VALUE"""),"www.pupil.ch")</f>
        <v/>
      </c>
      <c r="F454" s="1">
        <f>IFERROR(__xludf.DUMMYFUNCTION("""COMPUTED_VALUE"""),"Pupil AG is a leading provider of school management software with the claim to use the opportunities of digitalisation to simplify everyday life at schools.
With PUPIL, all the requirements of everyday school life can be solved from a single source. PUPI"&amp;"L is THE all-in-one solution for school administration, assessment and communication.
PUPIL emerged from the needs of teachers in 2013. As a result of rapid growth, the business activities were transferred to the current public limited company in 2019. P"&amp;"UPIL is headquartered in St. Gallen/Switzerland and currently employs around 45 people, many of them with an educational backpack. PUPIL has been part of the Sdui Group since 2022.")</f>
        <v/>
      </c>
      <c r="G454" s="1">
        <f>IFERROR(__xludf.DUMMYFUNCTION("""COMPUTED_VALUE"""),"I'm not part of any EdTech association")</f>
        <v/>
      </c>
      <c r="H454" s="1">
        <f>IFERROR(__xludf.DUMMYFUNCTION("""COMPUTED_VALUE"""),"German")</f>
        <v/>
      </c>
      <c r="I454" s="1">
        <f>IFERROR(__xludf.DUMMYFUNCTION("""COMPUTED_VALUE"""),"info@pupil.ch")</f>
        <v/>
      </c>
      <c r="J454" s="1">
        <f>IFERROR(__xludf.DUMMYFUNCTION("""COMPUTED_VALUE"""),"+41 71 511 96 60")</f>
        <v/>
      </c>
      <c r="K454" s="1">
        <f>IFERROR(__xludf.DUMMYFUNCTION("""COMPUTED_VALUE"""),"LERCHENFELDSTRASSE 3")</f>
        <v/>
      </c>
      <c r="L454" s="1">
        <f>IFERROR(__xludf.DUMMYFUNCTION("""COMPUTED_VALUE"""),"Switzerland")</f>
        <v/>
      </c>
      <c r="M454" s="1">
        <f>IFERROR(__xludf.DUMMYFUNCTION("""COMPUTED_VALUE"""),"Germany, Switzerland")</f>
        <v/>
      </c>
      <c r="N454" s="1">
        <f>IFERROR(__xludf.DUMMYFUNCTION("""COMPUTED_VALUE"""),"11 to 50")</f>
        <v/>
      </c>
      <c r="O454" s="1">
        <f>IFERROR(__xludf.DUMMYFUNCTION("""COMPUTED_VALUE"""),"Business to Business, Business to Government")</f>
        <v/>
      </c>
      <c r="P454" s="1">
        <f>IFERROR(__xludf.DUMMYFUNCTION("""COMPUTED_VALUE"""),"Primary Education, Secondary Education")</f>
        <v/>
      </c>
      <c r="Q454" s="1">
        <f>IFERROR(__xludf.DUMMYFUNCTION("""COMPUTED_VALUE"""),"System/Administrative, Student interfacing, Teacher interfacing")</f>
        <v/>
      </c>
      <c r="R454" s="1" t="n"/>
      <c r="S454" s="1" t="n"/>
      <c r="T454" s="15">
        <f>IFERROR(__xludf.DUMMYFUNCTION("""COMPUTED_VALUE"""),"https://www.linkedin.com/company/pupil-ag")</f>
        <v/>
      </c>
      <c r="U454" s="1" t="n"/>
      <c r="V454" s="1" t="n"/>
      <c r="W454" s="1" t="n"/>
      <c r="X454" s="1" t="n"/>
      <c r="Y454" s="15">
        <f>IFERROR(__xludf.DUMMYFUNCTION("""COMPUTED_VALUE"""),"https://drive.google.com/uc?export=view&amp;id=1IFrfUvM7vAdtoZSg7mL-aqelyVeVyDd4")</f>
        <v/>
      </c>
      <c r="Z454" s="1">
        <f>IFERROR(__xludf.DUMMYFUNCTION("""COMPUTED_VALUE"""),"Unverified")</f>
        <v/>
      </c>
      <c r="AA454" s="1" t="n"/>
      <c r="AB454" s="1" t="n"/>
      <c r="AC454" s="1" t="n"/>
      <c r="AD454" s="1" t="n"/>
      <c r="AE454" s="1" t="n"/>
    </row>
    <row r="455" ht="42" customHeight="1">
      <c r="A455" s="14">
        <f>IFERROR(__xludf.DUMMYFUNCTION("""COMPUTED_VALUE"""),45370)</f>
        <v/>
      </c>
      <c r="B455" s="1">
        <f>IFERROR(__xludf.DUMMYFUNCTION("""COMPUTED_VALUE"""),"ORG_2435")</f>
        <v/>
      </c>
      <c r="C455" s="1">
        <f>IFERROR(__xludf.DUMMYFUNCTION("""COMPUTED_VALUE"""),TRUE)</f>
        <v/>
      </c>
      <c r="D455" s="1">
        <f>IFERROR(__xludf.DUMMYFUNCTION("""COMPUTED_VALUE"""),"Turisteach")</f>
        <v/>
      </c>
      <c r="E455" s="15">
        <f>IFERROR(__xludf.DUMMYFUNCTION("""COMPUTED_VALUE"""),"https://escuelaturisteach.com/")</f>
        <v/>
      </c>
      <c r="F455" s="1">
        <f>IFERROR(__xludf.DUMMYFUNCTION("""COMPUTED_VALUE"""),"The Online School of the Tourism Sector
The community, where teachers and students grow together.
Learn everything about the tourism sector, at your pace, with the best professionals.")</f>
        <v/>
      </c>
      <c r="G455" s="1">
        <f>IFERROR(__xludf.DUMMYFUNCTION("""COMPUTED_VALUE"""),"I'm not part of any EdTech association")</f>
        <v/>
      </c>
      <c r="H455" s="1">
        <f>IFERROR(__xludf.DUMMYFUNCTION("""COMPUTED_VALUE"""),"Spanish")</f>
        <v/>
      </c>
      <c r="I455" s="1">
        <f>IFERROR(__xludf.DUMMYFUNCTION("""COMPUTED_VALUE"""),"raquel.lora@turisteach.com")</f>
        <v/>
      </c>
      <c r="J455" s="1">
        <f>IFERROR(__xludf.DUMMYFUNCTION("""COMPUTED_VALUE"""),"+34 644 095 437")</f>
        <v/>
      </c>
      <c r="K455" s="1">
        <f>IFERROR(__xludf.DUMMYFUNCTION("""COMPUTED_VALUE"""),"Santa Cruz de Tenerife")</f>
        <v/>
      </c>
      <c r="L455" s="1">
        <f>IFERROR(__xludf.DUMMYFUNCTION("""COMPUTED_VALUE"""),"Spain")</f>
        <v/>
      </c>
      <c r="M455"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55" s="1">
        <f>IFERROR(__xludf.DUMMYFUNCTION("""COMPUTED_VALUE"""),"0 to 2")</f>
        <v/>
      </c>
      <c r="O455" s="1">
        <f>IFERROR(__xludf.DUMMYFUNCTION("""COMPUTED_VALUE"""),"Business to Business, Business to Schools, Business to Consumer, Business to Government")</f>
        <v/>
      </c>
      <c r="P455" s="1">
        <f>IFERROR(__xludf.DUMMYFUNCTION("""COMPUTED_VALUE"""),"Corporate Training")</f>
        <v/>
      </c>
      <c r="Q455" s="1">
        <f>IFERROR(__xludf.DUMMYFUNCTION("""COMPUTED_VALUE"""),"Student interfacing, System/Administrative")</f>
        <v/>
      </c>
      <c r="R455" s="15">
        <f>IFERROR(__xludf.DUMMYFUNCTION("""COMPUTED_VALUE"""),"https://www.instagram.com/turisteach/?hl=es")</f>
        <v/>
      </c>
      <c r="S455" s="1" t="n"/>
      <c r="T455" s="15">
        <f>IFERROR(__xludf.DUMMYFUNCTION("""COMPUTED_VALUE"""),"https://www.linkedin.com/company/89635760")</f>
        <v/>
      </c>
      <c r="U455" s="1">
        <f>IFERROR(__xludf.DUMMYFUNCTION("""COMPUTED_VALUE"""),"Subscription")</f>
        <v/>
      </c>
      <c r="V455" s="1">
        <f>IFERROR(__xludf.DUMMYFUNCTION("""COMPUTED_VALUE"""),"Choose the plan that best suits your pace")</f>
        <v/>
      </c>
      <c r="W455" s="1">
        <f>IFERROR(__xludf.DUMMYFUNCTION("""COMPUTED_VALUE"""),"Turisteach Courses - One Shot")</f>
        <v/>
      </c>
      <c r="X455" s="1">
        <f>IFERROR(__xludf.DUMMYFUNCTION("""COMPUTED_VALUE"""),"Independent courses. Choose your favorite.")</f>
        <v/>
      </c>
      <c r="Y455" s="15">
        <f>IFERROR(__xludf.DUMMYFUNCTION("""COMPUTED_VALUE"""),"https://drive.google.com/uc?export=view&amp;id=1xa19r25apnM60W3YqUo7D5lppSAJr52K")</f>
        <v/>
      </c>
      <c r="Z455" s="1">
        <f>IFERROR(__xludf.DUMMYFUNCTION("""COMPUTED_VALUE"""),"Unverified")</f>
        <v/>
      </c>
      <c r="AA455" s="1" t="n"/>
      <c r="AB455" s="1" t="n"/>
      <c r="AC455" s="1" t="n"/>
      <c r="AD455" s="1" t="n"/>
      <c r="AE455" s="1" t="n"/>
    </row>
    <row r="456" ht="42" customHeight="1">
      <c r="A456" s="14">
        <f>IFERROR(__xludf.DUMMYFUNCTION("""COMPUTED_VALUE"""),45370)</f>
        <v/>
      </c>
      <c r="B456" s="1">
        <f>IFERROR(__xludf.DUMMYFUNCTION("""COMPUTED_VALUE"""),"ORG_1013")</f>
        <v/>
      </c>
      <c r="C456" s="1">
        <f>IFERROR(__xludf.DUMMYFUNCTION("""COMPUTED_VALUE"""),TRUE)</f>
        <v/>
      </c>
      <c r="D456" s="1">
        <f>IFERROR(__xludf.DUMMYFUNCTION("""COMPUTED_VALUE"""),"4Geeks Academy Europe")</f>
        <v/>
      </c>
      <c r="E456" s="15">
        <f>IFERROR(__xludf.DUMMYFUNCTION("""COMPUTED_VALUE"""),"https://4geeksacademy.com/")</f>
        <v/>
      </c>
      <c r="F456" s="1">
        <f>IFERROR(__xludf.DUMMYFUNCTION("""COMPUTED_VALUE"""),"4Geeks Academy Europa is an intensive coding bootcamp that originated in the United States in 2015 and expanded to Latin America. In 2020, Marco and Victor Gomez founded and expanded the school in Europe, changing the entire business model to a 100% remot"&amp;"e school. The school was launched in Spain on March 11, 2020, just three days before the lockdown, and had to quickly restructure its training to a remote format. To support the #stayathome initiative in Spain, 4Geeks Academy Europa offered free training "&amp;"to 100 people. The school has since offered scholarships worth over €1,000,000 in Europe, Africa, and America. In 2023, 4Geeks Academy Europa became a subsidiary of 4Geeks LLC (Headquarters) after experiencing a 600% growth between 2020 and 2022, with a p"&amp;"ositive EBITDA and contributing 30% of the revenue of all 4Geeks establishments in America.
The value proposition of 4Geeks Academy: 
- Lifetime and unlimited mentorship
- Lifetime and unlimited careersupport
- Lifetime and unlimited continuous education"&amp;"
- Social impact scholarships.")</f>
        <v/>
      </c>
      <c r="G456" s="1">
        <f>IFERROR(__xludf.DUMMYFUNCTION("""COMPUTED_VALUE"""),"I'm not part of any EdTech association")</f>
        <v/>
      </c>
      <c r="H456" s="1">
        <f>IFERROR(__xludf.DUMMYFUNCTION("""COMPUTED_VALUE"""),"English, Spanish")</f>
        <v/>
      </c>
      <c r="I456" s="1">
        <f>IFERROR(__xludf.DUMMYFUNCTION("""COMPUTED_VALUE"""),"vgomez@4geeksacademy.com")</f>
        <v/>
      </c>
      <c r="J456" s="1">
        <f>IFERROR(__xludf.DUMMYFUNCTION("""COMPUTED_VALUE"""),"+34 910 86 69 83")</f>
        <v/>
      </c>
      <c r="K456" s="1">
        <f>IFERROR(__xludf.DUMMYFUNCTION("""COMPUTED_VALUE"""),"MADRID")</f>
        <v/>
      </c>
      <c r="L456" s="1">
        <f>IFERROR(__xludf.DUMMYFUNCTION("""COMPUTED_VALUE"""),"Spain")</f>
        <v/>
      </c>
      <c r="M456" s="1">
        <f>IFERROR(__xludf.DUMMYFUNCTION("""COMPUTED_VALUE"""),"Germany, Portugal, Spain")</f>
        <v/>
      </c>
      <c r="N456" s="1">
        <f>IFERROR(__xludf.DUMMYFUNCTION("""COMPUTED_VALUE"""),"6 to 10")</f>
        <v/>
      </c>
      <c r="O456" s="1">
        <f>IFERROR(__xludf.DUMMYFUNCTION("""COMPUTED_VALUE"""),"Business to Business")</f>
        <v/>
      </c>
      <c r="P456" s="1">
        <f>IFERROR(__xludf.DUMMYFUNCTION("""COMPUTED_VALUE"""),"Lifelong learning/Adult education, Vocational Education and Training (VET), Higher Education")</f>
        <v/>
      </c>
      <c r="Q456" s="1">
        <f>IFERROR(__xludf.DUMMYFUNCTION("""COMPUTED_VALUE"""),"Student interfacing")</f>
        <v/>
      </c>
      <c r="R456" s="15">
        <f>IFERROR(__xludf.DUMMYFUNCTION("""COMPUTED_VALUE"""),"https://instagram.com/4geeksacademyes")</f>
        <v/>
      </c>
      <c r="S456" s="15">
        <f>IFERROR(__xludf.DUMMYFUNCTION("""COMPUTED_VALUE"""),"https://twitter.com/4geeksacademyes")</f>
        <v/>
      </c>
      <c r="T456" s="15">
        <f>IFERROR(__xludf.DUMMYFUNCTION("""COMPUTED_VALUE"""),"https://www.linkedin.com/school/4geeksacademyes/")</f>
        <v/>
      </c>
      <c r="U456" s="1">
        <f>IFERROR(__xludf.DUMMYFUNCTION("""COMPUTED_VALUE"""),"Full-Stack Software Development Program")</f>
        <v/>
      </c>
      <c r="V456" s="1">
        <f>IFERROR(__xludf.DUMMYFUNCTION("""COMPUTED_VALUE"""),"Learn the most sought-after and highest-paid technologies and become a pro at building websites. Python and JavaScript developers are consistently in demand, making them the top programming languages to master in 2023.
Code in a web development language,"&amp;" learn algorithm scripting and build awesome apps using front-end libraries. Utilize APIs to consume data and enhance your app's functionality.
Finalize the program by developing and presenting your own project, gaining game-changing hands-on experience."&amp;"
Reshape your mindset and embrace the programming, logic, and research skills to succeed in the tech industry.")</f>
        <v/>
      </c>
      <c r="W456" s="1">
        <f>IFERROR(__xludf.DUMMYFUNCTION("""COMPUTED_VALUE"""),"Data Science and Machine Learning Program")</f>
        <v/>
      </c>
      <c r="X456" s="1">
        <f>IFERROR(__xludf.DUMMYFUNCTION("""COMPUTED_VALUE"""),"Learn Python, SQL, Looker (Google Data Studio), Streamlit, and Statistics and become a professional Data Analyst, ready to contribute to any data-driven team at any company.
Create predictive models using Python, Pandas, Numpy, and other powerful librari"&amp;"es. Explore algorithms like Close Neighbors, Decision Trees, and more. Work with supervised and unsupervised learning models.
Practice solving real-life cases, and learn to tackle the type of challenges you’ll encounter in your career. Master the use of "&amp;"industry-standard tools.
Strategize and develop your own A.I. projects, following the complete lifecycle from development to deployment and maintenance, ensuring privacy and security.")</f>
        <v/>
      </c>
      <c r="Y456" s="15">
        <f>IFERROR(__xludf.DUMMYFUNCTION("""COMPUTED_VALUE"""),"https://drive.google.com/uc?export=view&amp;id=1hGryxjgZt9uqi7LuGcqPN-pZ1p2HryvD")</f>
        <v/>
      </c>
      <c r="Z456" s="1">
        <f>IFERROR(__xludf.DUMMYFUNCTION("""COMPUTED_VALUE"""),"Unverified")</f>
        <v/>
      </c>
      <c r="AA456" s="1" t="n"/>
      <c r="AB456" s="1" t="n"/>
      <c r="AC456" s="1" t="n"/>
      <c r="AD456" s="1" t="n"/>
      <c r="AE456" s="1" t="n"/>
    </row>
    <row r="457" ht="42" customHeight="1">
      <c r="A457" s="14">
        <f>IFERROR(__xludf.DUMMYFUNCTION("""COMPUTED_VALUE"""),45370)</f>
        <v/>
      </c>
      <c r="B457" s="1">
        <f>IFERROR(__xludf.DUMMYFUNCTION("""COMPUTED_VALUE"""),"ORG_1133")</f>
        <v/>
      </c>
      <c r="C457" s="1">
        <f>IFERROR(__xludf.DUMMYFUNCTION("""COMPUTED_VALUE"""),TRUE)</f>
        <v/>
      </c>
      <c r="D457" s="1">
        <f>IFERROR(__xludf.DUMMYFUNCTION("""COMPUTED_VALUE"""),"b-resol")</f>
        <v/>
      </c>
      <c r="E457" s="15">
        <f>IFERROR(__xludf.DUMMYFUNCTION("""COMPUTED_VALUE"""),"https://b-resol.com")</f>
        <v/>
      </c>
      <c r="F457" s="1">
        <f>IFERROR(__xludf.DUMMYFUNCTION("""COMPUTED_VALUE"""),"b-resol is a whistleblowing management system just designed for Schools.
b-resol allows Schools' Compliance.
b-resol allows children to speak-up.
Using mobile technology as an innovative element, so that they can alert the situation, both victims and o"&amp;"bservers, immediately, safely and from any place and time. b-resol is a project that unites social conscience with technological innovation. 
b-resol is a solution to combat bullying, cyberbullying, harassment, eating disorders and any type of conflict a"&amp;"mong adolescents.
#stopbullying #childsafeguarding #compliance")</f>
        <v/>
      </c>
      <c r="G457" s="1">
        <f>IFERROR(__xludf.DUMMYFUNCTION("""COMPUTED_VALUE"""),"EduTech Cluster Spain, SEK Lab")</f>
        <v/>
      </c>
      <c r="H457" s="1">
        <f>IFERROR(__xludf.DUMMYFUNCTION("""COMPUTED_VALUE"""),"English, French, Spanish, Catalan, Basque")</f>
        <v/>
      </c>
      <c r="I457" s="1">
        <f>IFERROR(__xludf.DUMMYFUNCTION("""COMPUTED_VALUE"""),"contact@bcnresol.com")</f>
        <v/>
      </c>
      <c r="J457" s="1">
        <f>IFERROR(__xludf.DUMMYFUNCTION("""COMPUTED_VALUE"""),"+34633327960")</f>
        <v/>
      </c>
      <c r="K457" s="1">
        <f>IFERROR(__xludf.DUMMYFUNCTION("""COMPUTED_VALUE"""),"Barcelona")</f>
        <v/>
      </c>
      <c r="L457" s="1">
        <f>IFERROR(__xludf.DUMMYFUNCTION("""COMPUTED_VALUE"""),"Spain")</f>
        <v/>
      </c>
      <c r="M457" s="1">
        <f>IFERROR(__xludf.DUMMYFUNCTION("""COMPUTED_VALUE"""),"Andorra, France, Italy, Portugal, Spain")</f>
        <v/>
      </c>
      <c r="N457" s="1">
        <f>IFERROR(__xludf.DUMMYFUNCTION("""COMPUTED_VALUE"""),"3 to 5")</f>
        <v/>
      </c>
      <c r="O457" s="1">
        <f>IFERROR(__xludf.DUMMYFUNCTION("""COMPUTED_VALUE"""),"Business to Business")</f>
        <v/>
      </c>
      <c r="P457" s="1">
        <f>IFERROR(__xludf.DUMMYFUNCTION("""COMPUTED_VALUE"""),"Secondary Education, Higher Education")</f>
        <v/>
      </c>
      <c r="Q457" s="1">
        <f>IFERROR(__xludf.DUMMYFUNCTION("""COMPUTED_VALUE"""),"System/Administrative")</f>
        <v/>
      </c>
      <c r="R457" s="15">
        <f>IFERROR(__xludf.DUMMYFUNCTION("""COMPUTED_VALUE"""),"https://www.instagram.com/bresolapp/")</f>
        <v/>
      </c>
      <c r="S457" s="15">
        <f>IFERROR(__xludf.DUMMYFUNCTION("""COMPUTED_VALUE"""),"https://twitter.com/b_resol")</f>
        <v/>
      </c>
      <c r="T457" s="15">
        <f>IFERROR(__xludf.DUMMYFUNCTION("""COMPUTED_VALUE"""),"https://es.linkedin.com/company/bcnresol")</f>
        <v/>
      </c>
      <c r="U457" s="1">
        <f>IFERROR(__xludf.DUMMYFUNCTION("""COMPUTED_VALUE"""),"b-resol")</f>
        <v/>
      </c>
      <c r="V457" s="1">
        <f>IFERROR(__xludf.DUMMYFUNCTION("""COMPUTED_VALUE"""),"b-resol is a whistleblowing management system just designed for Schools.
b-resol allows Schools' Compliance.
b-resol allows children to speak-up.
Using mobile technology as an innovative element, so that they can alert the situation, both victims and o"&amp;"bservers, immediately, safely and from any place and time. b-resol is a project that unites social conscience with technological innovation. 
b-resol is a solution to combat bullying, cyberbullying, harassment, eating disorders and any type of conflict a"&amp;"mong adolescents.")</f>
        <v/>
      </c>
      <c r="W457" s="1">
        <f>IFERROR(__xludf.DUMMYFUNCTION("""COMPUTED_VALUE"""),"co-resol")</f>
        <v/>
      </c>
      <c r="X457" s="1">
        <f>IFERROR(__xludf.DUMMYFUNCTION("""COMPUTED_VALUE"""),"co-resol is a whistleblowing management system for any kind of organizations, including Schools and Universities
co-resol allows Organizations' Compliance.
co-resol allows employees, students, customers, … to speak-up.
Using mobile technology as an inn"&amp;"ovative element, so that they can alert the situation, immediately, safely and from any place and time.")</f>
        <v/>
      </c>
      <c r="Y457" s="15">
        <f>IFERROR(__xludf.DUMMYFUNCTION("""COMPUTED_VALUE"""),"https://drive.google.com/uc?export=view&amp;id=1Y61TtKbIPV4GDR23GBqRwFWTJX0GyqvT")</f>
        <v/>
      </c>
      <c r="Z457" s="1">
        <f>IFERROR(__xludf.DUMMYFUNCTION("""COMPUTED_VALUE"""),"Unverified")</f>
        <v/>
      </c>
      <c r="AA457" s="1" t="n"/>
      <c r="AB457" s="1" t="n"/>
      <c r="AC457" s="1" t="n"/>
      <c r="AD457" s="1" t="n"/>
      <c r="AE457" s="1" t="n"/>
    </row>
    <row r="458" ht="42" customHeight="1">
      <c r="A458" s="14">
        <f>IFERROR(__xludf.DUMMYFUNCTION("""COMPUTED_VALUE"""),45370)</f>
        <v/>
      </c>
      <c r="B458" s="1">
        <f>IFERROR(__xludf.DUMMYFUNCTION("""COMPUTED_VALUE"""),"ORG_1384")</f>
        <v/>
      </c>
      <c r="C458" s="1">
        <f>IFERROR(__xludf.DUMMYFUNCTION("""COMPUTED_VALUE"""),TRUE)</f>
        <v/>
      </c>
      <c r="D458" s="1">
        <f>IFERROR(__xludf.DUMMYFUNCTION("""COMPUTED_VALUE"""),"Drumap")</f>
        <v/>
      </c>
      <c r="E458" s="15">
        <f>IFERROR(__xludf.DUMMYFUNCTION("""COMPUTED_VALUE"""),"drumap.com")</f>
        <v/>
      </c>
      <c r="F458" s="1">
        <f>IFERROR(__xludf.DUMMYFUNCTION("""COMPUTED_VALUE"""),"DRUMAP is a music education platform designed for drummers and percussionists. Our mission is to empower percussionists worldwide, providing intuitive digital tools customized to fit individual cultures and goals. We envision a world where everyone can en"&amp;"joy playing an instrument and be inspired by it.
The problem we address includes boring practice routines, overwhelming online learning experiences, and slow innovation in teaching methods. About 50% of new music students abandon their journey in less th"&amp;"an a year.
Our solution offers a fun learning process with interactive features, personalized experiences, and community-teacher interaction, following the 2 Sigma Problem research and Vygotsky's ZPD theory. Drumap's value proposition is to facilitate jo"&amp;"yful music learning, and our competitive advantages lie in a niched strategy, community focus, unique technology, and valuable data insights")</f>
        <v/>
      </c>
      <c r="G458" s="1">
        <f>IFERROR(__xludf.DUMMYFUNCTION("""COMPUTED_VALUE"""),"I'm not part of any EdTech association")</f>
        <v/>
      </c>
      <c r="H458" s="1">
        <f>IFERROR(__xludf.DUMMYFUNCTION("""COMPUTED_VALUE"""),"English, Portuguese, Spanish")</f>
        <v/>
      </c>
      <c r="I458" s="1">
        <f>IFERROR(__xludf.DUMMYFUNCTION("""COMPUTED_VALUE"""),"hi@drumap.com")</f>
        <v/>
      </c>
      <c r="J458" s="1">
        <f>IFERROR(__xludf.DUMMYFUNCTION("""COMPUTED_VALUE"""),"+34 625012197")</f>
        <v/>
      </c>
      <c r="K458" s="1">
        <f>IFERROR(__xludf.DUMMYFUNCTION("""COMPUTED_VALUE"""),"VALENCIA")</f>
        <v/>
      </c>
      <c r="L458" s="1">
        <f>IFERROR(__xludf.DUMMYFUNCTION("""COMPUTED_VALUE"""),"Spain")</f>
        <v/>
      </c>
      <c r="M458"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58" s="1">
        <f>IFERROR(__xludf.DUMMYFUNCTION("""COMPUTED_VALUE"""),"3 to 5")</f>
        <v/>
      </c>
      <c r="O458" s="1">
        <f>IFERROR(__xludf.DUMMYFUNCTION("""COMPUTED_VALUE"""),"Business to Business")</f>
        <v/>
      </c>
      <c r="P458" s="1">
        <f>IFERROR(__xludf.DUMMYFUNCTION("""COMPUTED_VALUE"""),"Lifelong learning/Adult education")</f>
        <v/>
      </c>
      <c r="Q458" s="1">
        <f>IFERROR(__xludf.DUMMYFUNCTION("""COMPUTED_VALUE"""),"Student interfacing, System/Administrative")</f>
        <v/>
      </c>
      <c r="R458" s="15">
        <f>IFERROR(__xludf.DUMMYFUNCTION("""COMPUTED_VALUE"""),"https://www.instagram.com/drumap.studio/")</f>
        <v/>
      </c>
      <c r="S458" s="1" t="n"/>
      <c r="T458" s="15">
        <f>IFERROR(__xludf.DUMMYFUNCTION("""COMPUTED_VALUE"""),"https://www.linkedin.com/company/drumap")</f>
        <v/>
      </c>
      <c r="U458" s="1">
        <f>IFERROR(__xludf.DUMMYFUNCTION("""COMPUTED_VALUE"""),"Drumap App")</f>
        <v/>
      </c>
      <c r="V458" s="1">
        <f>IFERROR(__xludf.DUMMYFUNCTION("""COMPUTED_VALUE"""),"Learn and create drum beats.
⭐Grammy Academy awarded app to support music preservation.
⭐More than 150 thousand drum samples and percussive rhythms
Drumap is a simple intuitive app where drummers create, share, and learn drum beats and rhythms. It’s a g"&amp;"reat music tool for both beginners and experienced musicians. Drumap’s intuitive music score creator composes music, mainly percussive music like Samba groups, Marching Bands Drumlines, Drums grooves, and many others.")</f>
        <v/>
      </c>
      <c r="W458" s="1">
        <f>IFERROR(__xludf.DUMMYFUNCTION("""COMPUTED_VALUE"""),"Drum Coach App")</f>
        <v/>
      </c>
      <c r="X458" s="1">
        <f>IFERROR(__xludf.DUMMYFUNCTION("""COMPUTED_VALUE"""),"⭐ Partnership with Prof. Steimberg, a drum professor at Berklee College of Music
⭐ Disruptive audio recognition technology
Drum Coach is a modern drum practice app that offers daily interactive exercises with video, score, and audio guidance. The app is"&amp;" designed to make practicing fun and easy to follow, and to help users improve their drumming skills.")</f>
        <v/>
      </c>
      <c r="Y458" s="15">
        <f>IFERROR(__xludf.DUMMYFUNCTION("""COMPUTED_VALUE"""),"https://drive.google.com/uc?export=view&amp;id=1PjXf55T1qC6TOgPwumYrMwTYH7I35YlX")</f>
        <v/>
      </c>
      <c r="Z458" s="1">
        <f>IFERROR(__xludf.DUMMYFUNCTION("""COMPUTED_VALUE"""),"Unverified")</f>
        <v/>
      </c>
      <c r="AA458" s="1" t="n"/>
      <c r="AB458" s="1" t="n"/>
      <c r="AC458" s="1" t="n"/>
      <c r="AD458" s="1" t="n"/>
      <c r="AE458" s="1" t="n"/>
    </row>
    <row r="459" ht="42" customHeight="1">
      <c r="A459" s="14">
        <f>IFERROR(__xludf.DUMMYFUNCTION("""COMPUTED_VALUE"""),45370)</f>
        <v/>
      </c>
      <c r="B459" s="1">
        <f>IFERROR(__xludf.DUMMYFUNCTION("""COMPUTED_VALUE"""),"ORG_1486")</f>
        <v/>
      </c>
      <c r="C459" s="1">
        <f>IFERROR(__xludf.DUMMYFUNCTION("""COMPUTED_VALUE"""),TRUE)</f>
        <v/>
      </c>
      <c r="D459" s="1">
        <f>IFERROR(__xludf.DUMMYFUNCTION("""COMPUTED_VALUE"""),"ELINGUA")</f>
        <v/>
      </c>
      <c r="E459" s="15">
        <f>IFERROR(__xludf.DUMMYFUNCTION("""COMPUTED_VALUE"""),"www.elingua.es")</f>
        <v/>
      </c>
      <c r="F459" s="1">
        <f>IFERROR(__xludf.DUMMYFUNCTION("""COMPUTED_VALUE"""),"Elingua is the first company that has educational content in SCORM format and that includes artificial intelligence and access to its own platform in the METAVERSO.
More than 20 years of experience of the founders guarantee the most promising future for t"&amp;"his company with innovative DNA.")</f>
        <v/>
      </c>
      <c r="G459" s="1">
        <f>IFERROR(__xludf.DUMMYFUNCTION("""COMPUTED_VALUE"""),"I'm not part of any EdTech association")</f>
        <v/>
      </c>
      <c r="H459" s="1">
        <f>IFERROR(__xludf.DUMMYFUNCTION("""COMPUTED_VALUE"""),"English, Spanish")</f>
        <v/>
      </c>
      <c r="I459" s="1">
        <f>IFERROR(__xludf.DUMMYFUNCTION("""COMPUTED_VALUE"""),"jcano@elingua.es")</f>
        <v/>
      </c>
      <c r="J459" s="1">
        <f>IFERROR(__xludf.DUMMYFUNCTION("""COMPUTED_VALUE"""),"+34 6 29 50 30 27")</f>
        <v/>
      </c>
      <c r="K459" s="1">
        <f>IFERROR(__xludf.DUMMYFUNCTION("""COMPUTED_VALUE"""),"JULIAN CAMARILLO Nº 47 3ª PLANTA")</f>
        <v/>
      </c>
      <c r="L459" s="1">
        <f>IFERROR(__xludf.DUMMYFUNCTION("""COMPUTED_VALUE"""),"Germany")</f>
        <v/>
      </c>
      <c r="M459" s="1">
        <f>IFERROR(__xludf.DUMMYFUNCTION("""COMPUTED_VALUE"""),"Spain")</f>
        <v/>
      </c>
      <c r="N459" s="1">
        <f>IFERROR(__xludf.DUMMYFUNCTION("""COMPUTED_VALUE"""),"6 to 10")</f>
        <v/>
      </c>
      <c r="O459" s="1">
        <f>IFERROR(__xludf.DUMMYFUNCTION("""COMPUTED_VALUE"""),"Business to Business, Business to Government")</f>
        <v/>
      </c>
      <c r="P459" s="1">
        <f>IFERROR(__xludf.DUMMYFUNCTION("""COMPUTED_VALUE"""),"Corporate Training, Lifelong learning/Adult education")</f>
        <v/>
      </c>
      <c r="Q459" s="1">
        <f>IFERROR(__xludf.DUMMYFUNCTION("""COMPUTED_VALUE"""),"System/Administrative, Student interfacing")</f>
        <v/>
      </c>
      <c r="R459" s="15">
        <f>IFERROR(__xludf.DUMMYFUNCTION("""COMPUTED_VALUE"""),"https://www.instagram.com/elingua.es/")</f>
        <v/>
      </c>
      <c r="S459" s="15">
        <f>IFERROR(__xludf.DUMMYFUNCTION("""COMPUTED_VALUE"""),"https://twitter.com/Elingua_app")</f>
        <v/>
      </c>
      <c r="T459" s="15">
        <f>IFERROR(__xludf.DUMMYFUNCTION("""COMPUTED_VALUE"""),"https://www.linkedin.com/company/elingua-s.l./")</f>
        <v/>
      </c>
      <c r="U459" s="1">
        <f>IFERROR(__xludf.DUMMYFUNCTION("""COMPUTED_VALUE"""),"English Course")</f>
        <v/>
      </c>
      <c r="V459" s="1">
        <f>IFERROR(__xludf.DUMMYFUNCTION("""COMPUTED_VALUE"""),"Our English course is the only one that has an Intelligent Virtual Assistant. 24/7/365 so that students can ask you their questions. You can self-train your Speaking with an immediate evaluation of your knowledge.")</f>
        <v/>
      </c>
      <c r="W459" s="1">
        <f>IFERROR(__xludf.DUMMYFUNCTION("""COMPUTED_VALUE"""),"Self-training on our own metaverse platform and corporate University in the Metaverse.")</f>
        <v/>
      </c>
      <c r="X459" s="1">
        <f>IFERROR(__xludf.DUMMYFUNCTION("""COMPUTED_VALUE"""),"We have our own technological development to reproduce a customized corporate university for each client. Group and individual classes, team work rooms and an auditorium for interventions by gurus or the CEO of the organization.")</f>
        <v/>
      </c>
      <c r="Y459" s="15">
        <f>IFERROR(__xludf.DUMMYFUNCTION("""COMPUTED_VALUE"""),"https://drive.google.com/uc?export=view&amp;id=1TG56jM5jxE3P0HfbcQD5i80U1wHukWkU")</f>
        <v/>
      </c>
      <c r="Z459" s="1">
        <f>IFERROR(__xludf.DUMMYFUNCTION("""COMPUTED_VALUE"""),"Unverified")</f>
        <v/>
      </c>
      <c r="AA459" s="1" t="n"/>
      <c r="AB459" s="1" t="n"/>
      <c r="AC459" s="1" t="n"/>
      <c r="AD459" s="1" t="n"/>
      <c r="AE459" s="1" t="n"/>
    </row>
    <row r="460" ht="42" customHeight="1">
      <c r="A460" s="14">
        <f>IFERROR(__xludf.DUMMYFUNCTION("""COMPUTED_VALUE"""),45370)</f>
        <v/>
      </c>
      <c r="B460" s="1">
        <f>IFERROR(__xludf.DUMMYFUNCTION("""COMPUTED_VALUE"""),"ORG_1613")</f>
        <v/>
      </c>
      <c r="C460" s="1">
        <f>IFERROR(__xludf.DUMMYFUNCTION("""COMPUTED_VALUE"""),TRUE)</f>
        <v/>
      </c>
      <c r="D460" s="1">
        <f>IFERROR(__xludf.DUMMYFUNCTION("""COMPUTED_VALUE"""),"GeeksHubs Academy")</f>
        <v/>
      </c>
      <c r="E460" s="15">
        <f>IFERROR(__xludf.DUMMYFUNCTION("""COMPUTED_VALUE"""),"https://geekshubsacademy.com/")</f>
        <v/>
      </c>
      <c r="F460" s="1">
        <f>IFERROR(__xludf.DUMMYFUNCTION("""COMPUTED_VALUE"""),"GeeksHubs is transforming education and recruitment tech. We manage the entire IT talent lifecycle and believe in the power of technology to make a positive impact on society. We help companies manage tech talent globally through recruitment, training and"&amp;" retention. And we train tech professionals to create or evolve their careers (Full Stack Developer, DevOps, Cibersecurity...).")</f>
        <v/>
      </c>
      <c r="G460" s="1">
        <f>IFERROR(__xludf.DUMMYFUNCTION("""COMPUTED_VALUE"""),"I'm not part of any EdTech association")</f>
        <v/>
      </c>
      <c r="H460" s="1">
        <f>IFERROR(__xludf.DUMMYFUNCTION("""COMPUTED_VALUE"""),"Spanish")</f>
        <v/>
      </c>
      <c r="I460" s="1">
        <f>IFERROR(__xludf.DUMMYFUNCTION("""COMPUTED_VALUE"""),"admisiones@geekshubs.com")</f>
        <v/>
      </c>
      <c r="J460" s="1">
        <f>IFERROR(__xludf.DUMMYFUNCTION("""COMPUTED_VALUE"""),"+34 960 13 58 78")</f>
        <v/>
      </c>
      <c r="K460" s="1">
        <f>IFERROR(__xludf.DUMMYFUNCTION("""COMPUTED_VALUE"""),"Calle de Juan de Mariana 15")</f>
        <v/>
      </c>
      <c r="L460" s="1">
        <f>IFERROR(__xludf.DUMMYFUNCTION("""COMPUTED_VALUE"""),"Spain")</f>
        <v/>
      </c>
      <c r="M460" s="1">
        <f>IFERROR(__xludf.DUMMYFUNCTION("""COMPUTED_VALUE"""),"Spain")</f>
        <v/>
      </c>
      <c r="N460" s="1">
        <f>IFERROR(__xludf.DUMMYFUNCTION("""COMPUTED_VALUE"""),"11 to 50")</f>
        <v/>
      </c>
      <c r="O460" s="1">
        <f>IFERROR(__xludf.DUMMYFUNCTION("""COMPUTED_VALUE"""),"Business to Consumer, Business to Schools")</f>
        <v/>
      </c>
      <c r="P460" s="1">
        <f>IFERROR(__xludf.DUMMYFUNCTION("""COMPUTED_VALUE"""),"Secondary Education, Corporate Training, Lifelong learning/Adult education, Vocational Education and Training (VET), Higher Education")</f>
        <v/>
      </c>
      <c r="Q460" s="1">
        <f>IFERROR(__xludf.DUMMYFUNCTION("""COMPUTED_VALUE"""),"Student interfacing, System/Administrative")</f>
        <v/>
      </c>
      <c r="R460" s="15">
        <f>IFERROR(__xludf.DUMMYFUNCTION("""COMPUTED_VALUE"""),"https://www.instagram.com/geekshubs/")</f>
        <v/>
      </c>
      <c r="S460" s="15">
        <f>IFERROR(__xludf.DUMMYFUNCTION("""COMPUTED_VALUE"""),"https://twitter.com/geeks_academy")</f>
        <v/>
      </c>
      <c r="T460" s="15">
        <f>IFERROR(__xludf.DUMMYFUNCTION("""COMPUTED_VALUE"""),"https://www.linkedin.com/school/35548299/admin/feed/posts/")</f>
        <v/>
      </c>
      <c r="U460" s="1">
        <f>IFERROR(__xludf.DUMMYFUNCTION("""COMPUTED_VALUE"""),"Bootcamp Full Stack Developer")</f>
        <v/>
      </c>
      <c r="V460" s="1">
        <f>IFERROR(__xludf.DUMMYFUNCTION("""COMPUTED_VALUE"""),"We train people who do not know how to program (JavaScript, ReactJS, Redux, NodeJs and Express, PHP, Laravel...) to be Full Stack Developers in 12 weeks (intensive).
We offer scholarships for study and employment opportunities.")</f>
        <v/>
      </c>
      <c r="W460" s="1">
        <f>IFERROR(__xludf.DUMMYFUNCTION("""COMPUTED_VALUE"""),"Bootcamps tech")</f>
        <v/>
      </c>
      <c r="X460" s="1">
        <f>IFERROR(__xludf.DUMMYFUNCTION("""COMPUTED_VALUE"""),"We train developers to be better tech professionals and specialize (DevOps, Cybersecurity, Tech Management, Artificial Intelligence...).
We offer employment opportunities.")</f>
        <v/>
      </c>
      <c r="Y460" s="15">
        <f>IFERROR(__xludf.DUMMYFUNCTION("""COMPUTED_VALUE"""),"https://drive.google.com/uc?export=view&amp;id=18OdKsEPLZ2VYqP8-Vz9TD0gVWv0QbZoH")</f>
        <v/>
      </c>
      <c r="Z460" s="1">
        <f>IFERROR(__xludf.DUMMYFUNCTION("""COMPUTED_VALUE"""),"Unverified")</f>
        <v/>
      </c>
      <c r="AA460" s="1" t="n"/>
      <c r="AB460" s="1" t="n"/>
      <c r="AC460" s="1" t="n"/>
      <c r="AD460" s="1" t="n"/>
      <c r="AE460" s="1" t="n"/>
    </row>
    <row r="461" ht="42" customHeight="1">
      <c r="A461" s="14">
        <f>IFERROR(__xludf.DUMMYFUNCTION("""COMPUTED_VALUE"""),45370)</f>
        <v/>
      </c>
      <c r="B461" s="1">
        <f>IFERROR(__xludf.DUMMYFUNCTION("""COMPUTED_VALUE"""),"ORG_1705")</f>
        <v/>
      </c>
      <c r="C461" s="1">
        <f>IFERROR(__xludf.DUMMYFUNCTION("""COMPUTED_VALUE"""),TRUE)</f>
        <v/>
      </c>
      <c r="D461" s="1">
        <f>IFERROR(__xludf.DUMMYFUNCTION("""COMPUTED_VALUE"""),"iDIENA")</f>
        <v/>
      </c>
      <c r="E461" s="15">
        <f>IFERROR(__xludf.DUMMYFUNCTION("""COMPUTED_VALUE"""),"www.idiena.com")</f>
        <v/>
      </c>
      <c r="F461" s="1">
        <f>IFERROR(__xludf.DUMMYFUNCTION("""COMPUTED_VALUE"""),"We have developed a training system to implement and develop emotional skills in organizations (businesses, schools) and individuals, based on microlearning, micro habits, and interactive simulations. We have 12 emotional skills (empathy, resilience, self"&amp;"-control, communication, persuasion, self-esteem, etc.) and we personalize the skills depending on the problem.
We have implemented our solutions to more than 400 clients in the last 5 years, in all areas (sales, management, coaches, professors, leaders, "&amp;"etc.)")</f>
        <v/>
      </c>
      <c r="G461" s="1">
        <f>IFERROR(__xludf.DUMMYFUNCTION("""COMPUTED_VALUE"""),"I'm not part of any EdTech association")</f>
        <v/>
      </c>
      <c r="H461" s="1">
        <f>IFERROR(__xludf.DUMMYFUNCTION("""COMPUTED_VALUE"""),"Spanish, English")</f>
        <v/>
      </c>
      <c r="I461" s="1">
        <f>IFERROR(__xludf.DUMMYFUNCTION("""COMPUTED_VALUE"""),"michael.jose@idiena.com")</f>
        <v/>
      </c>
      <c r="J461" s="1">
        <f>IFERROR(__xludf.DUMMYFUNCTION("""COMPUTED_VALUE"""),"+34 675776317")</f>
        <v/>
      </c>
      <c r="K461" s="1">
        <f>IFERROR(__xludf.DUMMYFUNCTION("""COMPUTED_VALUE"""),"MADRID")</f>
        <v/>
      </c>
      <c r="L461" s="1">
        <f>IFERROR(__xludf.DUMMYFUNCTION("""COMPUTED_VALUE"""),"Spain")</f>
        <v/>
      </c>
      <c r="M461" s="1">
        <f>IFERROR(__xludf.DUMMYFUNCTION("""COMPUTED_VALUE"""),"Spain")</f>
        <v/>
      </c>
      <c r="N461" s="1">
        <f>IFERROR(__xludf.DUMMYFUNCTION("""COMPUTED_VALUE"""),"3 to 5")</f>
        <v/>
      </c>
      <c r="O461" s="1">
        <f>IFERROR(__xludf.DUMMYFUNCTION("""COMPUTED_VALUE"""),"Business to Business, Business to Consumer")</f>
        <v/>
      </c>
      <c r="P461" s="1">
        <f>IFERROR(__xludf.DUMMYFUNCTION("""COMPUTED_VALUE"""),"Secondary Education, Corporate Training, Lifelong learning/Adult education, Vocational Education and Training (VET), Higher Education")</f>
        <v/>
      </c>
      <c r="Q461" s="1">
        <f>IFERROR(__xludf.DUMMYFUNCTION("""COMPUTED_VALUE"""),"System/Administrative, Student interfacing, Teacher interfacing")</f>
        <v/>
      </c>
      <c r="R461" s="1" t="n"/>
      <c r="S461" s="1" t="n"/>
      <c r="T461" s="15">
        <f>IFERROR(__xludf.DUMMYFUNCTION("""COMPUTED_VALUE"""),"https://www.linkedin.com/company/56442841/admin/feed/posts/")</f>
        <v/>
      </c>
      <c r="U461" s="1">
        <f>IFERROR(__xludf.DUMMYFUNCTION("""COMPUTED_VALUE"""),"Master in applied amotional intelligence")</f>
        <v/>
      </c>
      <c r="V461" s="1">
        <f>IFERROR(__xludf.DUMMYFUNCTION("""COMPUTED_VALUE"""),"A master's degree from La Salle University, it can be done completely online with monthly sessions with a coach. It is practical for business people and school and university teachers.")</f>
        <v/>
      </c>
      <c r="W461" s="1">
        <f>IFERROR(__xludf.DUMMYFUNCTION("""COMPUTED_VALUE"""),"Emotional skills for sales executives")</f>
        <v/>
      </c>
      <c r="X461" s="1">
        <f>IFERROR(__xludf.DUMMYFUNCTION("""COMPUTED_VALUE"""),"Develops for salespeople during 3 months the emotional skills of empathy, persuasion and communication.")</f>
        <v/>
      </c>
      <c r="Y461" s="15">
        <f>IFERROR(__xludf.DUMMYFUNCTION("""COMPUTED_VALUE"""),"https://drive.google.com/uc?export=view&amp;id=1BXffqO8j52qEsqy_o80C1hvqex1Y7Q2q")</f>
        <v/>
      </c>
      <c r="Z461" s="1">
        <f>IFERROR(__xludf.DUMMYFUNCTION("""COMPUTED_VALUE"""),"Unverified")</f>
        <v/>
      </c>
      <c r="AA461" s="1" t="n"/>
      <c r="AB461" s="1" t="n"/>
      <c r="AC461" s="1" t="n"/>
      <c r="AD461" s="1" t="n"/>
      <c r="AE461" s="1" t="n"/>
    </row>
    <row r="462" ht="42" customHeight="1">
      <c r="A462" s="14">
        <f>IFERROR(__xludf.DUMMYFUNCTION("""COMPUTED_VALUE"""),45370)</f>
        <v/>
      </c>
      <c r="B462" s="1">
        <f>IFERROR(__xludf.DUMMYFUNCTION("""COMPUTED_VALUE"""),"ORG_1810")</f>
        <v/>
      </c>
      <c r="C462" s="1">
        <f>IFERROR(__xludf.DUMMYFUNCTION("""COMPUTED_VALUE"""),TRUE)</f>
        <v/>
      </c>
      <c r="D462" s="1">
        <f>IFERROR(__xludf.DUMMYFUNCTION("""COMPUTED_VALUE"""),"Langoo")</f>
        <v/>
      </c>
      <c r="E462" s="15">
        <f>IFERROR(__xludf.DUMMYFUNCTION("""COMPUTED_VALUE"""),"https://www.langoo.io/")</f>
        <v/>
      </c>
      <c r="F462" s="1">
        <f>IFERROR(__xludf.DUMMYFUNCTION("""COMPUTED_VALUE"""),"Langoo is a dynamic B2B SaaS powerhouse that wields an ingenious blend of our exclusive methodology and cutting-edge technology. Our secret weapon? The boundless capabilities of Artificial Intelligence and Natural Language Processing, harmoniously orchest"&amp;"rated to orchestrate a revolution in exam grading.
Langoo isn't just a platform; it's a symphony of innovation, rewriting the rules of traditional assessment. Seamlessly automated, our technology sweeps through the daunting task of correcting both writte"&amp;"n and oral language exams. The result? Swift, accurate, and transformative assessment that empowers educational institutions and corporations like never before.")</f>
        <v/>
      </c>
      <c r="G462" s="1">
        <f>IFERROR(__xludf.DUMMYFUNCTION("""COMPUTED_VALUE"""),"SEK Lab")</f>
        <v/>
      </c>
      <c r="H462" s="1">
        <f>IFERROR(__xludf.DUMMYFUNCTION("""COMPUTED_VALUE"""),"English, Spanish")</f>
        <v/>
      </c>
      <c r="I462" s="1">
        <f>IFERROR(__xludf.DUMMYFUNCTION("""COMPUTED_VALUE"""),"info@langoo.io")</f>
        <v/>
      </c>
      <c r="J462" s="1" t="n"/>
      <c r="K462" s="1">
        <f>IFERROR(__xludf.DUMMYFUNCTION("""COMPUTED_VALUE"""),"MADRID")</f>
        <v/>
      </c>
      <c r="L462" s="1">
        <f>IFERROR(__xludf.DUMMYFUNCTION("""COMPUTED_VALUE"""),"Spain")</f>
        <v/>
      </c>
      <c r="M462" s="1">
        <f>IFERROR(__xludf.DUMMYFUNCTION("""COMPUTED_VALUE"""),"Spain")</f>
        <v/>
      </c>
      <c r="N462" s="1">
        <f>IFERROR(__xludf.DUMMYFUNCTION("""COMPUTED_VALUE"""),"3 to 5")</f>
        <v/>
      </c>
      <c r="O462" s="1">
        <f>IFERROR(__xludf.DUMMYFUNCTION("""COMPUTED_VALUE"""),"Business to Business, Business to Schools, Business to Consumer")</f>
        <v/>
      </c>
      <c r="P462" s="1">
        <f>IFERROR(__xludf.DUMMYFUNCTION("""COMPUTED_VALUE"""),"Corporate Training, Lifelong learning/Adult education, Vocational Education and Training (VET), Higher Education")</f>
        <v/>
      </c>
      <c r="Q462" s="1">
        <f>IFERROR(__xludf.DUMMYFUNCTION("""COMPUTED_VALUE"""),"Student interfacing, System/Administrative")</f>
        <v/>
      </c>
      <c r="R462" s="15">
        <f>IFERROR(__xludf.DUMMYFUNCTION("""COMPUTED_VALUE"""),"https://www.instagram.com/langoo.io/")</f>
        <v/>
      </c>
      <c r="S462" s="15">
        <f>IFERROR(__xludf.DUMMYFUNCTION("""COMPUTED_VALUE"""),"https://twitter.com/LANGOO_IO")</f>
        <v/>
      </c>
      <c r="T462" s="15">
        <f>IFERROR(__xludf.DUMMYFUNCTION("""COMPUTED_VALUE"""),"https://www.linkedin.com/company/langoo-io/")</f>
        <v/>
      </c>
      <c r="U462" s="1">
        <f>IFERROR(__xludf.DUMMYFUNCTION("""COMPUTED_VALUE"""),"E-Learning platform")</f>
        <v/>
      </c>
      <c r="V462" s="1">
        <f>IFERROR(__xludf.DUMMYFUNCTION("""COMPUTED_VALUE"""),"Our official language exam preparation platform is a cutting-edge tool designed to help students achieve their language proficiency goals efficiently and effectively. Leveraging advanced technology, we offer a personalized learning experience that caters "&amp;"to the unique needs of each individual learner for all language skills, including speaking, listening, reading, and writing.
One of the standout features of our platform is its automatic correction capability for both text and audio-based open-ended ques"&amp;"tions. This means that students can practice with real exam-style questions, and our system provides instant, accurate feedback on their responses. By focusing exclusively on the mistakes made by each student, we ensure that their progress is accelerated "&amp;"and their learning is targeted and efficient.")</f>
        <v/>
      </c>
      <c r="W462" s="1">
        <f>IFERROR(__xludf.DUMMYFUNCTION("""COMPUTED_VALUE"""),"Digital Admissions Assessment and Grading Tool")</f>
        <v/>
      </c>
      <c r="X462" s="1">
        <f>IFERROR(__xludf.DUMMYFUNCTION("""COMPUTED_VALUE"""),"Our cutting-edge tool streamlines the admission process for both businesses and educational institutions. By assessing candidates across the four key language competencies (speaking, listening, reading, and writing), we significantly reduce the time requi"&amp;"red to finalize student enrollments. 
We digitize all applicant data, enabling data-driven decision-making, standardizing the process, and making it scalable, even for international candidates.")</f>
        <v/>
      </c>
      <c r="Y462" s="15">
        <f>IFERROR(__xludf.DUMMYFUNCTION("""COMPUTED_VALUE"""),"https://drive.google.com/uc?export=view&amp;id=10q8XPSHmU3p6i7Ku7aiY60Y7YfbULt7N")</f>
        <v/>
      </c>
      <c r="Z462" s="1">
        <f>IFERROR(__xludf.DUMMYFUNCTION("""COMPUTED_VALUE"""),"Unverified")</f>
        <v/>
      </c>
      <c r="AA462" s="1" t="n"/>
      <c r="AB462" s="1" t="n"/>
      <c r="AC462" s="1" t="n"/>
      <c r="AD462" s="1" t="n"/>
      <c r="AE462" s="1" t="n"/>
    </row>
    <row r="463" ht="42" customHeight="1">
      <c r="A463" s="14">
        <f>IFERROR(__xludf.DUMMYFUNCTION("""COMPUTED_VALUE"""),45370)</f>
        <v/>
      </c>
      <c r="B463" s="1">
        <f>IFERROR(__xludf.DUMMYFUNCTION("""COMPUTED_VALUE"""),"ORG_1908")</f>
        <v/>
      </c>
      <c r="C463" s="1">
        <f>IFERROR(__xludf.DUMMYFUNCTION("""COMPUTED_VALUE"""),TRUE)</f>
        <v/>
      </c>
      <c r="D463" s="1">
        <f>IFERROR(__xludf.DUMMYFUNCTION("""COMPUTED_VALUE"""),"Make&amp;Learn")</f>
        <v/>
      </c>
      <c r="E463" s="15">
        <f>IFERROR(__xludf.DUMMYFUNCTION("""COMPUTED_VALUE"""),"https://makeandlearn.cat/")</f>
        <v/>
      </c>
      <c r="F463" s="1">
        <f>IFERROR(__xludf.DUMMYFUNCTION("""COMPUTED_VALUE"""),"Make&amp;Learn offers to educational centers and their teachers all the equipment, training, resources and teaching materials necessary to enjoy STEAM disciplines in their classroom and provide students with meaningful and competency-based learning. With M&amp;L'"&amp;"s SHERPA educational program, classes become authentic experiences that promote active, cooperative and inclusive learning. The modular curriculum allows teachers to combine theory and practice through hands-on activities and real-world challenges that de"&amp;"velop students' digital competencies, creativity, teamwork and problem-solving skills. SHERPA is adaptable to each school's specific curriculum and educational needs.")</f>
        <v/>
      </c>
      <c r="G463" s="1">
        <f>IFERROR(__xludf.DUMMYFUNCTION("""COMPUTED_VALUE"""),"EduTech Cluster Spain")</f>
        <v/>
      </c>
      <c r="H463" s="1">
        <f>IFERROR(__xludf.DUMMYFUNCTION("""COMPUTED_VALUE"""),"Catalan, Spanish, English")</f>
        <v/>
      </c>
      <c r="I463" s="1">
        <f>IFERROR(__xludf.DUMMYFUNCTION("""COMPUTED_VALUE"""),"info@makeandlearn.cat")</f>
        <v/>
      </c>
      <c r="J463" s="1">
        <f>IFERROR(__xludf.DUMMYFUNCTION("""COMPUTED_VALUE"""),"+34 623 18 66 06")</f>
        <v/>
      </c>
      <c r="K463" s="1">
        <f>IFERROR(__xludf.DUMMYFUNCTION("""COMPUTED_VALUE"""),"RUBÍ")</f>
        <v/>
      </c>
      <c r="L463" s="1">
        <f>IFERROR(__xludf.DUMMYFUNCTION("""COMPUTED_VALUE"""),"Spain")</f>
        <v/>
      </c>
      <c r="M463" s="1">
        <f>IFERROR(__xludf.DUMMYFUNCTION("""COMPUTED_VALUE"""),"Spain")</f>
        <v/>
      </c>
      <c r="N463" s="1">
        <f>IFERROR(__xludf.DUMMYFUNCTION("""COMPUTED_VALUE"""),"6 to 10")</f>
        <v/>
      </c>
      <c r="O463" s="1">
        <f>IFERROR(__xludf.DUMMYFUNCTION("""COMPUTED_VALUE"""),"Business to Business, Business to Schools")</f>
        <v/>
      </c>
      <c r="P463" s="1">
        <f>IFERROR(__xludf.DUMMYFUNCTION("""COMPUTED_VALUE"""),"Primary Education, Secondary Education")</f>
        <v/>
      </c>
      <c r="Q463" s="1">
        <f>IFERROR(__xludf.DUMMYFUNCTION("""COMPUTED_VALUE"""),"Teacher interfacing, System/Administrative")</f>
        <v/>
      </c>
      <c r="R463" s="15">
        <f>IFERROR(__xludf.DUMMYFUNCTION("""COMPUTED_VALUE"""),"instagram.com/make_and_learn/")</f>
        <v/>
      </c>
      <c r="S463" s="15">
        <f>IFERROR(__xludf.DUMMYFUNCTION("""COMPUTED_VALUE"""),"twitter.com/Make_and_Learn")</f>
        <v/>
      </c>
      <c r="T463" s="15">
        <f>IFERROR(__xludf.DUMMYFUNCTION("""COMPUTED_VALUE"""),"linkedin.com/company/make-and-learn")</f>
        <v/>
      </c>
      <c r="U463" s="1">
        <f>IFERROR(__xludf.DUMMYFUNCTION("""COMPUTED_VALUE"""),"Programa educativo SHERPA")</f>
        <v/>
      </c>
      <c r="V463" s="1">
        <f>IFERROR(__xludf.DUMMYFUNCTION("""COMPUTED_VALUE"""),"SHERPA is an educational program by Make&amp;Learn that provides pedagogical resources and modular pathways to integrate STEAM in the classroom. Through lesson plans, digital experiences, and projects, it promotes active, meaningful, competency-based learning"&amp;" of technology, coding, and robotics. SHERPA adapts to each school's curriculum by combining theory and hands-on activities, challenges that build creativity, teamwork, and problem-solving.")</f>
        <v/>
      </c>
      <c r="W463" s="1" t="n"/>
      <c r="X463" s="1" t="n"/>
      <c r="Y463" s="15">
        <f>IFERROR(__xludf.DUMMYFUNCTION("""COMPUTED_VALUE"""),"https://drive.google.com/uc?export=view&amp;id=1U2HDTqjuHfAaGm5ID2OpIxYPoaZZwH69")</f>
        <v/>
      </c>
      <c r="Z463" s="1">
        <f>IFERROR(__xludf.DUMMYFUNCTION("""COMPUTED_VALUE"""),"Unverified")</f>
        <v/>
      </c>
      <c r="AA463" s="1" t="n"/>
      <c r="AB463" s="1" t="n"/>
      <c r="AC463" s="1" t="n"/>
      <c r="AD463" s="1" t="n"/>
      <c r="AE463" s="1" t="n"/>
    </row>
    <row r="464" ht="42" customHeight="1">
      <c r="A464" s="14">
        <f>IFERROR(__xludf.DUMMYFUNCTION("""COMPUTED_VALUE"""),45370)</f>
        <v/>
      </c>
      <c r="B464" s="1">
        <f>IFERROR(__xludf.DUMMYFUNCTION("""COMPUTED_VALUE"""),"ORG_1995")</f>
        <v/>
      </c>
      <c r="C464" s="1">
        <f>IFERROR(__xludf.DUMMYFUNCTION("""COMPUTED_VALUE"""),TRUE)</f>
        <v/>
      </c>
      <c r="D464" s="1">
        <f>IFERROR(__xludf.DUMMYFUNCTION("""COMPUTED_VALUE"""),"Muse Scene Lab")</f>
        <v/>
      </c>
      <c r="E464" s="15">
        <f>IFERROR(__xludf.DUMMYFUNCTION("""COMPUTED_VALUE"""),"www.musescenelab.com")</f>
        <v/>
      </c>
      <c r="F464" s="1">
        <f>IFERROR(__xludf.DUMMYFUNCTION("""COMPUTED_VALUE"""),"Muse Scene Lab is immersive learning platform that allows musicians and music
students to practice and interact with virtual orchestras or bands. Music student
lack enough time practicing with orchestras. This prevents them from having the necessary prepa"&amp;"ration they need to be able to enter the labor market or make a proper presentation. Muse Scene Lab seeks to solve this problem by creating an immersive reality application that allows interaction with the audio emitted by the digital representation of ot"&amp;"her musicians (avatars) and, in turn, give performers and students the opportunity to live an experience without the need to depend on other people. This tool helps to practice in real-life situations and study in environments that were not possible befor"&amp;"e.")</f>
        <v/>
      </c>
      <c r="G464" s="1">
        <f>IFERROR(__xludf.DUMMYFUNCTION("""COMPUTED_VALUE"""),"SEK Lab")</f>
        <v/>
      </c>
      <c r="H464" s="1">
        <f>IFERROR(__xludf.DUMMYFUNCTION("""COMPUTED_VALUE"""),"English, Spanish")</f>
        <v/>
      </c>
      <c r="I464" s="1">
        <f>IFERROR(__xludf.DUMMYFUNCTION("""COMPUTED_VALUE"""),"pedro@musescenelab.com")</f>
        <v/>
      </c>
      <c r="J464" s="1" t="n"/>
      <c r="K464" s="1">
        <f>IFERROR(__xludf.DUMMYFUNCTION("""COMPUTED_VALUE"""),"Barcelona")</f>
        <v/>
      </c>
      <c r="L464" s="1">
        <f>IFERROR(__xludf.DUMMYFUNCTION("""COMPUTED_VALUE"""),"Spain")</f>
        <v/>
      </c>
      <c r="M464" s="1">
        <f>IFERROR(__xludf.DUMMYFUNCTION("""COMPUTED_VALUE"""),"Spain")</f>
        <v/>
      </c>
      <c r="N464" s="1">
        <f>IFERROR(__xludf.DUMMYFUNCTION("""COMPUTED_VALUE"""),"3 to 5")</f>
        <v/>
      </c>
      <c r="O464" s="1">
        <f>IFERROR(__xludf.DUMMYFUNCTION("""COMPUTED_VALUE"""),"Business to Business, Business to Consumer, Business to Government")</f>
        <v/>
      </c>
      <c r="P464" s="1">
        <f>IFERROR(__xludf.DUMMYFUNCTION("""COMPUTED_VALUE"""),"Vocational Education and Training (VET), Higher Education")</f>
        <v/>
      </c>
      <c r="Q464" s="1">
        <f>IFERROR(__xludf.DUMMYFUNCTION("""COMPUTED_VALUE"""),"Student interfacing, Teacher interfacing")</f>
        <v/>
      </c>
      <c r="R464" s="15">
        <f>IFERROR(__xludf.DUMMYFUNCTION("""COMPUTED_VALUE"""),"https://www.instagram.com/musescenelab/")</f>
        <v/>
      </c>
      <c r="S464" s="15">
        <f>IFERROR(__xludf.DUMMYFUNCTION("""COMPUTED_VALUE"""),"https://twitter.com/musescenelab")</f>
        <v/>
      </c>
      <c r="T464" s="15">
        <f>IFERROR(__xludf.DUMMYFUNCTION("""COMPUTED_VALUE"""),"https://www.linkedin.com/company/81293308/admin/feed/posts/")</f>
        <v/>
      </c>
      <c r="U464" s="1">
        <f>IFERROR(__xludf.DUMMYFUNCTION("""COMPUTED_VALUE"""),"MuseLab_conducting")</f>
        <v/>
      </c>
      <c r="V464" s="1">
        <f>IFERROR(__xludf.DUMMYFUNCTION("""COMPUTED_VALUE"""),"MuseLab_Conductor allows conductors to interact with a virtual orchestra using
gesture recognition.")</f>
        <v/>
      </c>
      <c r="W464" s="1">
        <f>IFERROR(__xludf.DUMMYFUNCTION("""COMPUTED_VALUE"""),"MuseLab_Singers")</f>
        <v/>
      </c>
      <c r="X464" s="1">
        <f>IFERROR(__xludf.DUMMYFUNCTION("""COMPUTED_VALUE"""),"MuseLab_Singers detects voice intonation, pitch, rhythm, and expressions to practice with an avatar orchestra or band")</f>
        <v/>
      </c>
      <c r="Y464" s="15">
        <f>IFERROR(__xludf.DUMMYFUNCTION("""COMPUTED_VALUE"""),"https://drive.google.com/uc?export=view&amp;id=1qRgejgwovd5_q2cG3YEAZtDv45usPU7n")</f>
        <v/>
      </c>
      <c r="Z464" s="1">
        <f>IFERROR(__xludf.DUMMYFUNCTION("""COMPUTED_VALUE"""),"Unverified")</f>
        <v/>
      </c>
      <c r="AA464" s="1" t="n"/>
      <c r="AB464" s="1" t="n"/>
      <c r="AC464" s="1" t="n"/>
      <c r="AD464" s="1" t="n"/>
      <c r="AE464" s="1" t="n"/>
    </row>
    <row r="465" ht="42" customHeight="1">
      <c r="A465" s="14">
        <f>IFERROR(__xludf.DUMMYFUNCTION("""COMPUTED_VALUE"""),45370)</f>
        <v/>
      </c>
      <c r="B465" s="1">
        <f>IFERROR(__xludf.DUMMYFUNCTION("""COMPUTED_VALUE"""),"ORG_2336")</f>
        <v/>
      </c>
      <c r="C465" s="1">
        <f>IFERROR(__xludf.DUMMYFUNCTION("""COMPUTED_VALUE"""),TRUE)</f>
        <v/>
      </c>
      <c r="D465" s="1">
        <f>IFERROR(__xludf.DUMMYFUNCTION("""COMPUTED_VALUE"""),"Studi")</f>
        <v/>
      </c>
      <c r="E465" s="15">
        <f>IFERROR(__xludf.DUMMYFUNCTION("""COMPUTED_VALUE"""),"https://www.studi.com/fr")</f>
        <v/>
      </c>
      <c r="F465" s="1">
        <f>IFERROR(__xludf.DUMMYFUNCTION("""COMPUTED_VALUE"""),"Studi, French EdTech subsidiary of Galileo Global Education, stands as the sole go-to platform for online digital education with 70,000 students and over 20 years of expertise. Home to more than 1,200 advisors, trainers, and coaches facilitating 250 progr"&amp;"ams across 15 fields from CAP to Bac+5, Studi offers accredited courses available for long life learning and apprenticeship. The mission is clear: empower individuals aspiring to enhance their skills, boost employability, or reinvent their career paths, t"&amp;"o succeed in any endeavor they undertake. Experiencing strong growth and a work community of 1,000 members, Studi actively seeks new talents to nurture and elevate its continued expansion.")</f>
        <v/>
      </c>
      <c r="G465" s="1">
        <f>IFERROR(__xludf.DUMMYFUNCTION("""COMPUTED_VALUE"""),"EdTech France")</f>
        <v/>
      </c>
      <c r="H465" s="1">
        <f>IFERROR(__xludf.DUMMYFUNCTION("""COMPUTED_VALUE"""),"French")</f>
        <v/>
      </c>
      <c r="I465" s="1">
        <f>IFERROR(__xludf.DUMMYFUNCTION("""COMPUTED_VALUE"""),"contact@studi.fr")</f>
        <v/>
      </c>
      <c r="J465" s="1">
        <f>IFERROR(__xludf.DUMMYFUNCTION("""COMPUTED_VALUE"""),"+33 1 74 888 555")</f>
        <v/>
      </c>
      <c r="K465" s="1">
        <f>IFERROR(__xludf.DUMMYFUNCTION("""COMPUTED_VALUE"""),"Pérols")</f>
        <v/>
      </c>
      <c r="L465" s="1">
        <f>IFERROR(__xludf.DUMMYFUNCTION("""COMPUTED_VALUE"""),"France")</f>
        <v/>
      </c>
      <c r="M465" s="1">
        <f>IFERROR(__xludf.DUMMYFUNCTION("""COMPUTED_VALUE"""),"France")</f>
        <v/>
      </c>
      <c r="N465" s="1">
        <f>IFERROR(__xludf.DUMMYFUNCTION("""COMPUTED_VALUE"""),"500+")</f>
        <v/>
      </c>
      <c r="O465" s="1">
        <f>IFERROR(__xludf.DUMMYFUNCTION("""COMPUTED_VALUE"""),"Business to Consumer")</f>
        <v/>
      </c>
      <c r="P465" s="1">
        <f>IFERROR(__xludf.DUMMYFUNCTION("""COMPUTED_VALUE"""),"Lifelong learning/Adult education")</f>
        <v/>
      </c>
      <c r="Q465" s="1">
        <f>IFERROR(__xludf.DUMMYFUNCTION("""COMPUTED_VALUE"""),"System/Administrative, Student interfacing")</f>
        <v/>
      </c>
      <c r="R465" s="15">
        <f>IFERROR(__xludf.DUMMYFUNCTION("""COMPUTED_VALUE"""),"https://www.instagram.com/ecole_studi")</f>
        <v/>
      </c>
      <c r="S465" s="15">
        <f>IFERROR(__xludf.DUMMYFUNCTION("""COMPUTED_VALUE"""),"https://twitter.com/ecolestudi")</f>
        <v/>
      </c>
      <c r="T465" s="15">
        <f>IFERROR(__xludf.DUMMYFUNCTION("""COMPUTED_VALUE"""),"https://www.linkedin.com/school/studi-digital-education/")</f>
        <v/>
      </c>
      <c r="U465" s="1" t="n"/>
      <c r="V465" s="1" t="n"/>
      <c r="W465" s="1" t="n"/>
      <c r="X465" s="1" t="n"/>
      <c r="Y465" s="15">
        <f>IFERROR(__xludf.DUMMYFUNCTION("""COMPUTED_VALUE"""),"https://drive.google.com/uc?export=view&amp;id=1NCla_8DERnRsgd7_FAaJLTZhPFEH9Eu1")</f>
        <v/>
      </c>
      <c r="Z465" s="1">
        <f>IFERROR(__xludf.DUMMYFUNCTION("""COMPUTED_VALUE"""),"Unverified")</f>
        <v/>
      </c>
      <c r="AA465" s="1" t="n"/>
      <c r="AB465" s="1" t="n"/>
      <c r="AC465" s="1" t="n"/>
      <c r="AD465" s="1" t="n"/>
      <c r="AE465" s="1" t="n"/>
    </row>
    <row r="466" ht="42" customHeight="1">
      <c r="A466" s="14">
        <f>IFERROR(__xludf.DUMMYFUNCTION("""COMPUTED_VALUE"""),45370)</f>
        <v/>
      </c>
      <c r="B466" s="1">
        <f>IFERROR(__xludf.DUMMYFUNCTION("""COMPUTED_VALUE"""),"ORG_1747")</f>
        <v/>
      </c>
      <c r="C466" s="1">
        <f>IFERROR(__xludf.DUMMYFUNCTION("""COMPUTED_VALUE"""),TRUE)</f>
        <v/>
      </c>
      <c r="D466" s="1">
        <f>IFERROR(__xludf.DUMMYFUNCTION("""COMPUTED_VALUE"""),"ITN Education")</f>
        <v/>
      </c>
      <c r="E466" s="15">
        <f>IFERROR(__xludf.DUMMYFUNCTION("""COMPUTED_VALUE"""),"www.itn.co.uk/education")</f>
        <v/>
      </c>
      <c r="F466" s="1">
        <f>IFERROR(__xludf.DUMMYFUNCTION("""COMPUTED_VALUE"""),"We specialize in crafting engaging and inspiring short videos for learners of all ages, offering a wide range of authentic and relevant educational resources. Our mission is to transform seemingly ""dry"" subjects into enjoyable and relatable experiences,"&amp;" bridging the gap between classroom and real-world learning.
Our dedicated team of in-house researchers, scriptwriters, and producers combine compelling archive footage with fresh content, incorporating presenters, voiceovers, graphics, and customized an"&amp;"imations. This blend allows us to create tailor-made resources that align with specific learning levels and outcomes. We complement each video with comprehensive activities, teacher notes, and transcripts, providing a comprehensive educational solution.
"&amp;"Our production capacity is impressive, with multiple crews and over 60 editing suites churning out hundreds of videos annually. This scalability ensures we can adapt to your needs, producing the ideal learning assets for your educational programs.")</f>
        <v/>
      </c>
      <c r="G466" s="1">
        <f>IFERROR(__xludf.DUMMYFUNCTION("""COMPUTED_VALUE"""),"I'm not part of any EdTech association")</f>
        <v/>
      </c>
      <c r="H466" s="1">
        <f>IFERROR(__xludf.DUMMYFUNCTION("""COMPUTED_VALUE"""),"English")</f>
        <v/>
      </c>
      <c r="I466" s="1">
        <f>IFERROR(__xludf.DUMMYFUNCTION("""COMPUTED_VALUE"""),"dan.mills@itn.co.uk")</f>
        <v/>
      </c>
      <c r="J466" s="1">
        <f>IFERROR(__xludf.DUMMYFUNCTION("""COMPUTED_VALUE"""),"+44 20 7833 3000")</f>
        <v/>
      </c>
      <c r="K466" s="1">
        <f>IFERROR(__xludf.DUMMYFUNCTION("""COMPUTED_VALUE"""),"London")</f>
        <v/>
      </c>
      <c r="L466" s="1">
        <f>IFERROR(__xludf.DUMMYFUNCTION("""COMPUTED_VALUE"""),"United Kingdom")</f>
        <v/>
      </c>
      <c r="M466" s="1">
        <f>IFERROR(__xludf.DUMMYFUNCTION("""COMPUTED_VALUE"""),"Belgium, Denmark, Finland, France, Germany, Greece, Ireland, Italy, Norway, Poland, Spain, Sweden, Turkey, United Kingdom")</f>
        <v/>
      </c>
      <c r="N466" s="1">
        <f>IFERROR(__xludf.DUMMYFUNCTION("""COMPUTED_VALUE"""),"500+")</f>
        <v/>
      </c>
      <c r="O466" s="1">
        <f>IFERROR(__xludf.DUMMYFUNCTION("""COMPUTED_VALUE"""),"Business to Business")</f>
        <v/>
      </c>
      <c r="P466" s="1">
        <f>IFERROR(__xludf.DUMMYFUNCTION("""COMPUTED_VALUE"""),"Early childhood development (0-5 years), Primary Education, Secondary Education, Corporate Training, Lifelong learning/Adult education, Vocational Education and Training (VET), Higher Education")</f>
        <v/>
      </c>
      <c r="Q466" s="1">
        <f>IFERROR(__xludf.DUMMYFUNCTION("""COMPUTED_VALUE"""),"Student interfacing, Teacher interfacing, System/Administrative")</f>
        <v/>
      </c>
      <c r="R466" s="1" t="n"/>
      <c r="S466" s="1" t="n"/>
      <c r="T466" s="15">
        <f>IFERROR(__xludf.DUMMYFUNCTION("""COMPUTED_VALUE"""),"https://www.linkedin.com/showcase/itnedu/?viewAsMember=true")</f>
        <v/>
      </c>
      <c r="U466" s="1">
        <f>IFERROR(__xludf.DUMMYFUNCTION("""COMPUTED_VALUE"""),"Video Production")</f>
        <v/>
      </c>
      <c r="V466" s="1">
        <f>IFERROR(__xludf.DUMMYFUNCTION("""COMPUTED_VALUE"""),"We specialise in creating transformative learning content, collaborating with educators, publishers, and experts to produce impactful short videos. Our videos use authentic, high-quality footage relevant to students, and are tailored to curriculum levels."&amp;" Each resource includes guidelines, activities, and worksheets, enhancing educational outcomes for both publishers and teachers. We have established successful partnerships with renowned publishers such as Discovery Education, Pearson, Cambridge Universit"&amp;"y Press, BBC, National Geographic Learning, and Oxford University Press, producing hundreds of videos annually to support effective learning.")</f>
        <v/>
      </c>
      <c r="W466" s="1" t="n"/>
      <c r="X466" s="1" t="n"/>
      <c r="Y466" s="15">
        <f>IFERROR(__xludf.DUMMYFUNCTION("""COMPUTED_VALUE"""),"https://drive.google.com/uc?export=view&amp;id=1bhzZ7kBM3jdzageqvjK9r2b3hl23E8S8")</f>
        <v/>
      </c>
      <c r="Z466" s="1">
        <f>IFERROR(__xludf.DUMMYFUNCTION("""COMPUTED_VALUE"""),"Unverified")</f>
        <v/>
      </c>
      <c r="AA466" s="1" t="n"/>
      <c r="AB466" s="1" t="n"/>
      <c r="AC466" s="1" t="n"/>
      <c r="AD466" s="1" t="n"/>
      <c r="AE466" s="1" t="n"/>
    </row>
    <row r="467" ht="42" customHeight="1">
      <c r="A467" s="14">
        <f>IFERROR(__xludf.DUMMYFUNCTION("""COMPUTED_VALUE"""),45370)</f>
        <v/>
      </c>
      <c r="B467" s="1">
        <f>IFERROR(__xludf.DUMMYFUNCTION("""COMPUTED_VALUE"""),"ORG_1800")</f>
        <v/>
      </c>
      <c r="C467" s="1">
        <f>IFERROR(__xludf.DUMMYFUNCTION("""COMPUTED_VALUE"""),TRUE)</f>
        <v/>
      </c>
      <c r="D467" s="1">
        <f>IFERROR(__xludf.DUMMYFUNCTION("""COMPUTED_VALUE"""),"La Casita de Inglés")</f>
        <v/>
      </c>
      <c r="E467" s="15">
        <f>IFERROR(__xludf.DUMMYFUNCTION("""COMPUTED_VALUE"""),"www.lacasitadeingles.com")</f>
        <v/>
      </c>
      <c r="F467" s="1">
        <f>IFERROR(__xludf.DUMMYFUNCTION("""COMPUTED_VALUE"""),"Welcome to La Casita de Inglés, the innovative English learning center designed to provide children with a unique and enriching educational experience through play-based learning. Our pedagogical approach combines playful methods with cutting-edge technol"&amp;"ogy, allowing youngsters to explore the language in a fun and effective way. With a wide range of educational resources, interactive activities, and highly qualified professionals, we transform the learning process into an exciting linguistic adventure. F"&amp;"urthermore, La Casita de Inglés goes beyond physical classrooms, offering a truly innovative online teaching. 
Discover our groundbreaking online platform in the field of English distance education. At La Casita de Inglés, we not only strive to provide v"&amp;"irtual lessons, but to create an interactive and engaging experience that captures children's attention and stimulates their learning. Our online classes offers a wide variety of digital resources, interactive games, and activities designed to encourage a"&amp;"utonomous language practice. Additionally, we have a team of highly qualified teachers who guide students throughout their online learning journey, providing individualized support and constant feedback. With La Casita de Inglés, learning becomes a dynami"&amp;"c and accessible experience from anywhere, giving children the opportunity to master English in a fun and effective manner.")</f>
        <v/>
      </c>
      <c r="G467" s="1">
        <f>IFERROR(__xludf.DUMMYFUNCTION("""COMPUTED_VALUE"""),"I'm not part of any EdTech association")</f>
        <v/>
      </c>
      <c r="H467" s="1">
        <f>IFERROR(__xludf.DUMMYFUNCTION("""COMPUTED_VALUE"""),"Spanish")</f>
        <v/>
      </c>
      <c r="I467" s="1">
        <f>IFERROR(__xludf.DUMMYFUNCTION("""COMPUTED_VALUE"""),"alex@lacasitadeingles.com")</f>
        <v/>
      </c>
      <c r="J467" s="1">
        <f>IFERROR(__xludf.DUMMYFUNCTION("""COMPUTED_VALUE"""),"+34647495371")</f>
        <v/>
      </c>
      <c r="K467" s="1">
        <f>IFERROR(__xludf.DUMMYFUNCTION("""COMPUTED_VALUE"""),"MADRID")</f>
        <v/>
      </c>
      <c r="L467" s="1">
        <f>IFERROR(__xludf.DUMMYFUNCTION("""COMPUTED_VALUE"""),"Spain")</f>
        <v/>
      </c>
      <c r="M467" s="1">
        <f>IFERROR(__xludf.DUMMYFUNCTION("""COMPUTED_VALUE"""),"Spain")</f>
        <v/>
      </c>
      <c r="N467" s="1">
        <f>IFERROR(__xludf.DUMMYFUNCTION("""COMPUTED_VALUE"""),"101 to 500")</f>
        <v/>
      </c>
      <c r="O467" s="1">
        <f>IFERROR(__xludf.DUMMYFUNCTION("""COMPUTED_VALUE"""),"Business to Business, Business to Schools, Business to Consumer, Business to Government")</f>
        <v/>
      </c>
      <c r="P467" s="1">
        <f>IFERROR(__xludf.DUMMYFUNCTION("""COMPUTED_VALUE"""),"Early childhood development (0-5 years), Primary Education, Secondary Education")</f>
        <v/>
      </c>
      <c r="Q467" s="1">
        <f>IFERROR(__xludf.DUMMYFUNCTION("""COMPUTED_VALUE"""),"System/Administrative, Student interfacing")</f>
        <v/>
      </c>
      <c r="R467" s="15">
        <f>IFERROR(__xludf.DUMMYFUNCTION("""COMPUTED_VALUE"""),"https://instagram.com/casitadeingles")</f>
        <v/>
      </c>
      <c r="S467" s="1" t="n"/>
      <c r="T467" s="15">
        <f>IFERROR(__xludf.DUMMYFUNCTION("""COMPUTED_VALUE"""),"https://www.linkedin.com/company/casitadeingles/")</f>
        <v/>
      </c>
      <c r="U467" s="1">
        <f>IFERROR(__xludf.DUMMYFUNCTION("""COMPUTED_VALUE"""),"Online Casita de Inglés")</f>
        <v/>
      </c>
      <c r="V467" s="1">
        <f>IFERROR(__xludf.DUMMYFUNCTION("""COMPUTED_VALUE"""),"Online live one to one english as a second language classes")</f>
        <v/>
      </c>
      <c r="W467" s="1" t="n"/>
      <c r="X467" s="1" t="n"/>
      <c r="Y467" s="15">
        <f>IFERROR(__xludf.DUMMYFUNCTION("""COMPUTED_VALUE"""),"https://drive.google.com/uc?export=view&amp;id=1uM67PzqGbql6IebwWRpSPblYmTJT0P0i")</f>
        <v/>
      </c>
      <c r="Z467" s="1">
        <f>IFERROR(__xludf.DUMMYFUNCTION("""COMPUTED_VALUE"""),"Unverified")</f>
        <v/>
      </c>
      <c r="AA467" s="1" t="n"/>
      <c r="AB467" s="1" t="n"/>
      <c r="AC467" s="1" t="n"/>
      <c r="AD467" s="1" t="n"/>
      <c r="AE467" s="1" t="n"/>
    </row>
    <row r="468" ht="42" customHeight="1">
      <c r="A468" s="14">
        <f>IFERROR(__xludf.DUMMYFUNCTION("""COMPUTED_VALUE"""),45370)</f>
        <v/>
      </c>
      <c r="B468" s="1">
        <f>IFERROR(__xludf.DUMMYFUNCTION("""COMPUTED_VALUE"""),"ORG_1913")</f>
        <v/>
      </c>
      <c r="C468" s="1">
        <f>IFERROR(__xludf.DUMMYFUNCTION("""COMPUTED_VALUE"""),TRUE)</f>
        <v/>
      </c>
      <c r="D468" s="1">
        <f>IFERROR(__xludf.DUMMYFUNCTION("""COMPUTED_VALUE"""),"Mandatory Trainings")</f>
        <v/>
      </c>
      <c r="E468" s="15">
        <f>IFERROR(__xludf.DUMMYFUNCTION("""COMPUTED_VALUE"""),"www.mandatorytrainings.com")</f>
        <v/>
      </c>
      <c r="F468" s="1">
        <f>IFERROR(__xludf.DUMMYFUNCTION("""COMPUTED_VALUE"""),"Digital learning platform for Aviation and Maritime Compliance Training..")</f>
        <v/>
      </c>
      <c r="G468" s="1">
        <f>IFERROR(__xludf.DUMMYFUNCTION("""COMPUTED_VALUE"""),"EdTech Finland")</f>
        <v/>
      </c>
      <c r="H468" s="1">
        <f>IFERROR(__xludf.DUMMYFUNCTION("""COMPUTED_VALUE"""),"All")</f>
        <v/>
      </c>
      <c r="I468" s="1">
        <f>IFERROR(__xludf.DUMMYFUNCTION("""COMPUTED_VALUE"""),"info@mandatorytrainings.com")</f>
        <v/>
      </c>
      <c r="J468" s="1">
        <f>IFERROR(__xludf.DUMMYFUNCTION("""COMPUTED_VALUE"""),"458045665")</f>
        <v/>
      </c>
      <c r="K468" s="1">
        <f>IFERROR(__xludf.DUMMYFUNCTION("""COMPUTED_VALUE"""),"Helsinki")</f>
        <v/>
      </c>
      <c r="L468" s="1">
        <f>IFERROR(__xludf.DUMMYFUNCTION("""COMPUTED_VALUE"""),"Finland")</f>
        <v/>
      </c>
      <c r="M468" s="1">
        <f>IFERROR(__xludf.DUMMYFUNCTION("""COMPUTED_VALUE"""),"Finland")</f>
        <v/>
      </c>
      <c r="N468" s="1">
        <f>IFERROR(__xludf.DUMMYFUNCTION("""COMPUTED_VALUE"""),"3 to 5")</f>
        <v/>
      </c>
      <c r="O468" s="1">
        <f>IFERROR(__xludf.DUMMYFUNCTION("""COMPUTED_VALUE"""),"Business to Business, Business to Schools, Business to Consumer, Business to Government")</f>
        <v/>
      </c>
      <c r="P468" s="1">
        <f>IFERROR(__xludf.DUMMYFUNCTION("""COMPUTED_VALUE"""),"Corporate Training, Vocational Education and Training (VET)")</f>
        <v/>
      </c>
      <c r="Q468" s="1">
        <f>IFERROR(__xludf.DUMMYFUNCTION("""COMPUTED_VALUE"""),"System/Administrative, Student interfacing")</f>
        <v/>
      </c>
      <c r="R468" s="1" t="n"/>
      <c r="S468" s="1">
        <f>IFERROR(__xludf.DUMMYFUNCTION("""COMPUTED_VALUE"""),"Mandatorytrain")</f>
        <v/>
      </c>
      <c r="T468" s="15">
        <f>IFERROR(__xludf.DUMMYFUNCTION("""COMPUTED_VALUE"""),"https://www.linkedin.com/in/parneetsb")</f>
        <v/>
      </c>
      <c r="U468" s="1">
        <f>IFERROR(__xludf.DUMMYFUNCTION("""COMPUTED_VALUE"""),"Compliance Training Certification for Aviation Industry")</f>
        <v/>
      </c>
      <c r="V468" s="1">
        <f>IFERROR(__xludf.DUMMYFUNCTION("""COMPUTED_VALUE"""),"Compliance Training Certification for Aviation Industry")</f>
        <v/>
      </c>
      <c r="W468" s="1">
        <f>IFERROR(__xludf.DUMMYFUNCTION("""COMPUTED_VALUE"""),"Compliance Training Certification for Maritime Industry")</f>
        <v/>
      </c>
      <c r="X468" s="1">
        <f>IFERROR(__xludf.DUMMYFUNCTION("""COMPUTED_VALUE"""),"Compliance Training Certification for Maritime Industry")</f>
        <v/>
      </c>
      <c r="Y468" s="15">
        <f>IFERROR(__xludf.DUMMYFUNCTION("""COMPUTED_VALUE"""),"https://drive.google.com/uc?export=view&amp;id=1kfn4Hd9j12lC1iLcsjAhGeVkf_ZVcGf5")</f>
        <v/>
      </c>
      <c r="Z468" s="1">
        <f>IFERROR(__xludf.DUMMYFUNCTION("""COMPUTED_VALUE"""),"Unverified")</f>
        <v/>
      </c>
      <c r="AA468" s="1" t="n"/>
      <c r="AB468" s="1" t="n"/>
      <c r="AC468" s="1" t="n"/>
      <c r="AD468" s="1" t="n"/>
      <c r="AE468" s="1" t="n"/>
    </row>
    <row r="469" ht="42" customHeight="1">
      <c r="A469" s="14">
        <f>IFERROR(__xludf.DUMMYFUNCTION("""COMPUTED_VALUE"""),45370)</f>
        <v/>
      </c>
      <c r="B469" s="1">
        <f>IFERROR(__xludf.DUMMYFUNCTION("""COMPUTED_VALUE"""),"ORG_1115")</f>
        <v/>
      </c>
      <c r="C469" s="1">
        <f>IFERROR(__xludf.DUMMYFUNCTION("""COMPUTED_VALUE"""),TRUE)</f>
        <v/>
      </c>
      <c r="D469" s="1">
        <f>IFERROR(__xludf.DUMMYFUNCTION("""COMPUTED_VALUE"""),"ATERMON")</f>
        <v/>
      </c>
      <c r="E469" s="15">
        <f>IFERROR(__xludf.DUMMYFUNCTION("""COMPUTED_VALUE"""),"https://www.atermon.nl")</f>
        <v/>
      </c>
      <c r="F469" s="1">
        <f>IFERROR(__xludf.DUMMYFUNCTION("""COMPUTED_VALUE"""),"We are an educational gaming company. We use gaming to enhance learning and create awareness. From gamified learning to “learnified” gaming.
In today's digital landscape, businesses and education providers are seeking innovative ways to engage their audi"&amp;"ence and leave a lasting impact. Knowledge games can serve this well.
We use the power of games with creative thinking and digital innovation to help our customers communicate better with their audiences.
Our mission is to provide the most engaging mean"&amp;"s of capturing the attention of target audiences through interactive experiences combining entertainment and learning. We use games to fulfil our mission as they proven to be highly effective in:
- Enhancing knowledge retention
- Nurturing critical think"&amp;"ing
- Producing learning from joy")</f>
        <v/>
      </c>
      <c r="G469" s="1">
        <f>IFERROR(__xludf.DUMMYFUNCTION("""COMPUTED_VALUE"""),"Dutch EdTech")</f>
        <v/>
      </c>
      <c r="H469" s="1">
        <f>IFERROR(__xludf.DUMMYFUNCTION("""COMPUTED_VALUE"""),"English")</f>
        <v/>
      </c>
      <c r="I469" s="1">
        <f>IFERROR(__xludf.DUMMYFUNCTION("""COMPUTED_VALUE"""),"info@atermon.nl")</f>
        <v/>
      </c>
      <c r="J469" s="1">
        <f>IFERROR(__xludf.DUMMYFUNCTION("""COMPUTED_VALUE"""),"+31108009510")</f>
        <v/>
      </c>
      <c r="K469" s="1">
        <f>IFERROR(__xludf.DUMMYFUNCTION("""COMPUTED_VALUE"""),"ROTTERDAM")</f>
        <v/>
      </c>
      <c r="L469" s="1">
        <f>IFERROR(__xludf.DUMMYFUNCTION("""COMPUTED_VALUE"""),"The Netherlands")</f>
        <v/>
      </c>
      <c r="M469" s="1">
        <f>IFERROR(__xludf.DUMMYFUNCTION("""COMPUTED_VALUE"""),"Cyprus, France, Germany, Greece, Netherlands, Poland, Spain, United Kingdom")</f>
        <v/>
      </c>
      <c r="N469" s="1">
        <f>IFERROR(__xludf.DUMMYFUNCTION("""COMPUTED_VALUE"""),"11 to 50")</f>
        <v/>
      </c>
      <c r="O469" s="1">
        <f>IFERROR(__xludf.DUMMYFUNCTION("""COMPUTED_VALUE"""),"Business to Business, Business to Consumer, Business to Government, Business to Schools")</f>
        <v/>
      </c>
      <c r="P469" s="1">
        <f>IFERROR(__xludf.DUMMYFUNCTION("""COMPUTED_VALUE"""),"Primary Education, Secondary Education, Vocational Education and Training (VET), Higher Education")</f>
        <v/>
      </c>
      <c r="Q469" s="1">
        <f>IFERROR(__xludf.DUMMYFUNCTION("""COMPUTED_VALUE"""),"System/Administrative, Student interfacing, Teacher interfacing")</f>
        <v/>
      </c>
      <c r="R469" s="1">
        <f>IFERROR(__xludf.DUMMYFUNCTION("""COMPUTED_VALUE"""),"@atermonnl")</f>
        <v/>
      </c>
      <c r="S469" s="1" t="n"/>
      <c r="T469" s="15">
        <f>IFERROR(__xludf.DUMMYFUNCTION("""COMPUTED_VALUE"""),"https://www.linkedin.com/company/atermon-rotterdam")</f>
        <v/>
      </c>
      <c r="U469" s="1">
        <f>IFERROR(__xludf.DUMMYFUNCTION("""COMPUTED_VALUE"""),"Minecraft Escape Rooms")</f>
        <v/>
      </c>
      <c r="V469" s="1">
        <f>IFERROR(__xludf.DUMMYFUNCTION("""COMPUTED_VALUE"""),"Our Escape Rooms offering covers:
- Creation of custom Escape Rooms for any knowledge subject.
- Customisation of existing Escape Room templates based on customer needs.
- Provision of Escape Room templates and resources for creating your own Escape Room"&amp;" series.")</f>
        <v/>
      </c>
      <c r="W469" s="1" t="n"/>
      <c r="X469" s="1" t="n"/>
      <c r="Y469" s="15">
        <f>IFERROR(__xludf.DUMMYFUNCTION("""COMPUTED_VALUE"""),"https://drive.google.com/uc?export=view&amp;id=19Vb79HH-Z5obvWMmo3neHJhmjZikg9ME")</f>
        <v/>
      </c>
      <c r="Z469" s="1">
        <f>IFERROR(__xludf.DUMMYFUNCTION("""COMPUTED_VALUE"""),"Unverified")</f>
        <v/>
      </c>
      <c r="AA469" s="1" t="n"/>
      <c r="AB469" s="1" t="n"/>
      <c r="AC469" s="1" t="n"/>
      <c r="AD469" s="1" t="n"/>
      <c r="AE469" s="1" t="n"/>
    </row>
    <row r="470" ht="42" customHeight="1">
      <c r="A470" s="14">
        <f>IFERROR(__xludf.DUMMYFUNCTION("""COMPUTED_VALUE"""),45370)</f>
        <v/>
      </c>
      <c r="B470" s="1">
        <f>IFERROR(__xludf.DUMMYFUNCTION("""COMPUTED_VALUE"""),"ORG_1926")</f>
        <v/>
      </c>
      <c r="C470" s="1">
        <f>IFERROR(__xludf.DUMMYFUNCTION("""COMPUTED_VALUE"""),TRUE)</f>
        <v/>
      </c>
      <c r="D470" s="1">
        <f>IFERROR(__xludf.DUMMYFUNCTION("""COMPUTED_VALUE"""),"Math-Center")</f>
        <v/>
      </c>
      <c r="E470" s="15">
        <f>IFERROR(__xludf.DUMMYFUNCTION("""COMPUTED_VALUE"""),"https://math-center.org/")</f>
        <v/>
      </c>
      <c r="F470" s="1">
        <f>IFERROR(__xludf.DUMMYFUNCTION("""COMPUTED_VALUE"""),"Math-Center set its mission to provide attainable education for everyone. 
Math-Center's robust educational platform is focused on enabling students learn and improve math skills through interactive and printable exercises over any device.")</f>
        <v/>
      </c>
      <c r="G470" s="1">
        <f>IFERROR(__xludf.DUMMYFUNCTION("""COMPUTED_VALUE"""),"I'm not part of any EdTech association")</f>
        <v/>
      </c>
      <c r="H470" s="1">
        <f>IFERROR(__xludf.DUMMYFUNCTION("""COMPUTED_VALUE"""),"German, French, Spanish, Portuguese, Russian, Arabic, Hebrew, English")</f>
        <v/>
      </c>
      <c r="I470" s="1">
        <f>IFERROR(__xludf.DUMMYFUNCTION("""COMPUTED_VALUE"""),"Lucia@math-center.org")</f>
        <v/>
      </c>
      <c r="J470" s="1" t="n"/>
      <c r="K470" s="1">
        <f>IFERROR(__xludf.DUMMYFUNCTION("""COMPUTED_VALUE"""),"Bney Brak")</f>
        <v/>
      </c>
      <c r="L470" s="1">
        <f>IFERROR(__xludf.DUMMYFUNCTION("""COMPUTED_VALUE"""),"Israel")</f>
        <v/>
      </c>
      <c r="M470" s="1">
        <f>IFERROR(__xludf.DUMMYFUNCTION("""COMPUTED_VALUE"""),"Austria, Azerbaijan, Belarus, Belgium, France, Germany, Ireland, Kazakhstan, Latvia, Luxembourg, Monaco, Portugal, Spain, Switzerland, Ukraine, United Kingdom")</f>
        <v/>
      </c>
      <c r="N470" s="1">
        <f>IFERROR(__xludf.DUMMYFUNCTION("""COMPUTED_VALUE"""),"6 to 10")</f>
        <v/>
      </c>
      <c r="O470" s="1">
        <f>IFERROR(__xludf.DUMMYFUNCTION("""COMPUTED_VALUE"""),"Business to Business, Business to Schools, Business to Consumer")</f>
        <v/>
      </c>
      <c r="P470" s="1">
        <f>IFERROR(__xludf.DUMMYFUNCTION("""COMPUTED_VALUE"""),"Primary Education")</f>
        <v/>
      </c>
      <c r="Q470" s="1">
        <f>IFERROR(__xludf.DUMMYFUNCTION("""COMPUTED_VALUE"""),"System/Administrative, Teacher interfacing")</f>
        <v/>
      </c>
      <c r="R470" s="1" t="n"/>
      <c r="S470" s="1" t="n"/>
      <c r="T470" s="15">
        <f>IFERROR(__xludf.DUMMYFUNCTION("""COMPUTED_VALUE"""),"https://www.linkedin.com/company/mathcenter/")</f>
        <v/>
      </c>
      <c r="U470" s="1">
        <f>IFERROR(__xludf.DUMMYFUNCTION("""COMPUTED_VALUE"""),"Math-Center")</f>
        <v/>
      </c>
      <c r="V470" s="1">
        <f>IFERROR(__xludf.DUMMYFUNCTION("""COMPUTED_VALUE"""),"Math-Center's robust educational platform is focused on enabling students learn and improve math skills through interactive and printable exercises over any device. Math Center platform is localized for over 50 countries curriculums with content in 8 lang"&amp;"uages, serving families and teachers everywhere. The platform has both a family subscription and a teacher subscription. Math-Center is simple, effective and inexpensive. So far we reached millions of users around the world spread over 50+ countries, and "&amp;"we continue to grow fast.")</f>
        <v/>
      </c>
      <c r="W470" s="1" t="n"/>
      <c r="X470" s="1" t="n"/>
      <c r="Y470" s="15">
        <f>IFERROR(__xludf.DUMMYFUNCTION("""COMPUTED_VALUE"""),"https://drive.google.com/uc?export=view&amp;id=19n47qN8_HvnR6RUzscpDoLtAmlWMP-_a")</f>
        <v/>
      </c>
      <c r="Z470" s="1">
        <f>IFERROR(__xludf.DUMMYFUNCTION("""COMPUTED_VALUE"""),"Unverified")</f>
        <v/>
      </c>
      <c r="AA470" s="1" t="n"/>
      <c r="AB470" s="1" t="n"/>
      <c r="AC470" s="1" t="n"/>
      <c r="AD470" s="1" t="n"/>
      <c r="AE470" s="1" t="n"/>
    </row>
    <row r="471" ht="42" customHeight="1">
      <c r="A471" s="14">
        <f>IFERROR(__xludf.DUMMYFUNCTION("""COMPUTED_VALUE"""),45370)</f>
        <v/>
      </c>
      <c r="B471" s="1">
        <f>IFERROR(__xludf.DUMMYFUNCTION("""COMPUTED_VALUE"""),"ORG_2018")</f>
        <v/>
      </c>
      <c r="C471" s="1">
        <f>IFERROR(__xludf.DUMMYFUNCTION("""COMPUTED_VALUE"""),TRUE)</f>
        <v/>
      </c>
      <c r="D471" s="1">
        <f>IFERROR(__xludf.DUMMYFUNCTION("""COMPUTED_VALUE"""),"NANOGA")</f>
        <v/>
      </c>
      <c r="E471" s="15">
        <f>IFERROR(__xludf.DUMMYFUNCTION("""COMPUTED_VALUE"""),"www.nanoga.com")</f>
        <v/>
      </c>
      <c r="F471" s="1">
        <f>IFERROR(__xludf.DUMMYFUNCTION("""COMPUTED_VALUE"""),"It is in our common interest that every school and SME get access to the collaborative and digital learning regardless to their size and budget. To enable the collaborative learning, we need performant large interactive displays (55~85 in size). However, "&amp;"existing offers are often prohibitively expensive, resulting in a low penetration (especially in south hemisphere countries).
For this reason, we developed a Smart Glass solution, respectful to the environment and able to convert ANY commercial TV screen "&amp;"into a Digital Whiteboard at very affordable cost. 
This represents a unique opportunity for schools &amp; SMEs to access the collaborative and digital learning within the limit of their budgets (very often small). As well, it will create new market segments "&amp;"and open it to new players willing to invest it.")</f>
        <v/>
      </c>
      <c r="G471" s="1">
        <f>IFERROR(__xludf.DUMMYFUNCTION("""COMPUTED_VALUE"""),"I'm not part of any EdTech association")</f>
        <v/>
      </c>
      <c r="H471" s="1" t="n"/>
      <c r="I471" s="1">
        <f>IFERROR(__xludf.DUMMYFUNCTION("""COMPUTED_VALUE"""),"nasser.hefiana@nanoga.ch")</f>
        <v/>
      </c>
      <c r="J471" s="1" t="n"/>
      <c r="K471" s="1">
        <f>IFERROR(__xludf.DUMMYFUNCTION("""COMPUTED_VALUE"""),"Lausanne")</f>
        <v/>
      </c>
      <c r="L471" s="1">
        <f>IFERROR(__xludf.DUMMYFUNCTION("""COMPUTED_VALUE"""),"Switzerland")</f>
        <v/>
      </c>
      <c r="M471" s="1">
        <f>IFERROR(__xludf.DUMMYFUNCTION("""COMPUTED_VALUE"""),"Switzerland")</f>
        <v/>
      </c>
      <c r="N471" s="1">
        <f>IFERROR(__xludf.DUMMYFUNCTION("""COMPUTED_VALUE"""),"0 to 2")</f>
        <v/>
      </c>
      <c r="O471" s="1">
        <f>IFERROR(__xludf.DUMMYFUNCTION("""COMPUTED_VALUE"""),"Business to Business, Business to Schools, Business to Government")</f>
        <v/>
      </c>
      <c r="P471" s="1">
        <f>IFERROR(__xludf.DUMMYFUNCTION("""COMPUTED_VALUE"""),"Primary Education, Secondary Education, Corporate Training, Vocational Education and Training (VET), Higher Education")</f>
        <v/>
      </c>
      <c r="Q471" s="1">
        <f>IFERROR(__xludf.DUMMYFUNCTION("""COMPUTED_VALUE"""),"Teacher interfacing, System/Administrative")</f>
        <v/>
      </c>
      <c r="R471" s="1" t="n"/>
      <c r="S471" s="1" t="n"/>
      <c r="T471" s="15">
        <f>IFERROR(__xludf.DUMMYFUNCTION("""COMPUTED_VALUE"""),"https://www.linkedin.com/company/nanoga/?viewAsMember=true")</f>
        <v/>
      </c>
      <c r="U471" s="1">
        <f>IFERROR(__xludf.DUMMYFUNCTION("""COMPUTED_VALUE"""),"NANODINK")</f>
        <v/>
      </c>
      <c r="V471" s="1">
        <f>IFERROR(__xludf.DUMMYFUNCTION("""COMPUTED_VALUE"""),"We offer to TV display screen manufacturers a new Pen Interactive technology and which can be integrated within the display front cover glass. With the use of a dedicated optical pen, it is possible to write and draw on the screen at natural hand-speed an"&amp;"d interact with any educational digital content. 
The technology is cost-effective and easy to integrate in any display panel manufacture.")</f>
        <v/>
      </c>
      <c r="W471" s="1" t="n"/>
      <c r="X471" s="1" t="n"/>
      <c r="Y471" s="1" t="n"/>
      <c r="Z471" s="1">
        <f>IFERROR(__xludf.DUMMYFUNCTION("""COMPUTED_VALUE"""),"Unverified")</f>
        <v/>
      </c>
      <c r="AA471" s="1" t="n"/>
      <c r="AB471" s="1" t="n"/>
      <c r="AC471" s="1" t="n"/>
      <c r="AD471" s="1" t="n"/>
      <c r="AE471" s="1" t="n"/>
    </row>
    <row r="472" ht="42" customHeight="1">
      <c r="A472" s="14">
        <f>IFERROR(__xludf.DUMMYFUNCTION("""COMPUTED_VALUE"""),45370)</f>
        <v/>
      </c>
      <c r="B472" s="1">
        <f>IFERROR(__xludf.DUMMYFUNCTION("""COMPUTED_VALUE"""),"ORG_2573")</f>
        <v/>
      </c>
      <c r="C472" s="1">
        <f>IFERROR(__xludf.DUMMYFUNCTION("""COMPUTED_VALUE"""),TRUE)</f>
        <v/>
      </c>
      <c r="D472" s="1">
        <f>IFERROR(__xludf.DUMMYFUNCTION("""COMPUTED_VALUE"""),"Zoe Immersive")</f>
        <v/>
      </c>
      <c r="E472" s="15">
        <f>IFERROR(__xludf.DUMMYFUNCTION("""COMPUTED_VALUE"""),"https://zoeimmersive.com")</f>
        <v/>
      </c>
      <c r="F472" s="1">
        <f>IFERROR(__xludf.DUMMYFUNCTION("""COMPUTED_VALUE"""),"Zoe Immersive is a Los Angeles and Geneva based software company democratising content creation &amp; education technology using 3D/AR/VR. We develop Zoe, a platform that empowers individuals, educational institutions and businesses to create, share and monet"&amp;"ise their knowledge and work through interactive 3D content, accessible on various devices, from mobile to VR headsets.")</f>
        <v/>
      </c>
      <c r="G472" s="1">
        <f>IFERROR(__xludf.DUMMYFUNCTION("""COMPUTED_VALUE"""),"Swiss EdTech Collider")</f>
        <v/>
      </c>
      <c r="H472" s="1">
        <f>IFERROR(__xludf.DUMMYFUNCTION("""COMPUTED_VALUE"""),"English")</f>
        <v/>
      </c>
      <c r="I472" s="1">
        <f>IFERROR(__xludf.DUMMYFUNCTION("""COMPUTED_VALUE"""),"emi@zoeimmersive.com")</f>
        <v/>
      </c>
      <c r="J472" s="1" t="n"/>
      <c r="K472" s="1">
        <f>IFERROR(__xludf.DUMMYFUNCTION("""COMPUTED_VALUE"""),"GENEVA")</f>
        <v/>
      </c>
      <c r="L472" s="1">
        <f>IFERROR(__xludf.DUMMYFUNCTION("""COMPUTED_VALUE"""),"Switzerland")</f>
        <v/>
      </c>
      <c r="M472" s="1">
        <f>IFERROR(__xludf.DUMMYFUNCTION("""COMPUTED_VALUE"""),"Switzerland")</f>
        <v/>
      </c>
      <c r="N472" s="1">
        <f>IFERROR(__xludf.DUMMYFUNCTION("""COMPUTED_VALUE"""),"3 to 5")</f>
        <v/>
      </c>
      <c r="O472" s="1">
        <f>IFERROR(__xludf.DUMMYFUNCTION("""COMPUTED_VALUE"""),"Business to Business")</f>
        <v/>
      </c>
      <c r="P472" s="1">
        <f>IFERROR(__xludf.DUMMYFUNCTION("""COMPUTED_VALUE"""),"Secondary Education, Corporate Training, Lifelong learning/Adult education, Higher Education")</f>
        <v/>
      </c>
      <c r="Q472" s="1">
        <f>IFERROR(__xludf.DUMMYFUNCTION("""COMPUTED_VALUE"""),"Student interfacing, Teacher interfacing, System/Administrative")</f>
        <v/>
      </c>
      <c r="R472" s="15">
        <f>IFERROR(__xludf.DUMMYFUNCTION("""COMPUTED_VALUE"""),"https://www.instagram.com/zoeimmersive/?hl=en")</f>
        <v/>
      </c>
      <c r="S472" s="1" t="n"/>
      <c r="T472" s="15">
        <f>IFERROR(__xludf.DUMMYFUNCTION("""COMPUTED_VALUE"""),"https://ch.linkedin.com/company/zoe-immersive")</f>
        <v/>
      </c>
      <c r="U472" s="1">
        <f>IFERROR(__xludf.DUMMYFUNCTION("""COMPUTED_VALUE"""),"Zoe Immersive App")</f>
        <v/>
      </c>
      <c r="V472" s="1">
        <f>IFERROR(__xludf.DUMMYFUNCTION("""COMPUTED_VALUE"""),"Standalone application available on mobile and VR headsets allowing anyone to create fully interactive experiences in a fun and easy way, as well as host activities with other users in real-time!")</f>
        <v/>
      </c>
      <c r="W472" s="1">
        <f>IFERROR(__xludf.DUMMYFUNCTION("""COMPUTED_VALUE"""),"Zoe for Unity")</f>
        <v/>
      </c>
      <c r="X472" s="1">
        <f>IFERROR(__xludf.DUMMYFUNCTION("""COMPUTED_VALUE"""),"Zoe for Unity transforms your favorite game engine (Unity 3D) into a no-code creation tool, giving you the power to customize everything and create interactive content faster than ever without having to re-invent the wheel every time!")</f>
        <v/>
      </c>
      <c r="Y472" s="15">
        <f>IFERROR(__xludf.DUMMYFUNCTION("""COMPUTED_VALUE"""),"https://drive.google.com/uc?export=view&amp;id=1QqnTeGTA-or17kmLEMPNMskgH65uj9Vm")</f>
        <v/>
      </c>
      <c r="Z472" s="1">
        <f>IFERROR(__xludf.DUMMYFUNCTION("""COMPUTED_VALUE"""),"Unverified")</f>
        <v/>
      </c>
      <c r="AA472" s="1" t="n"/>
      <c r="AB472" s="1" t="n"/>
      <c r="AC472" s="1" t="n"/>
      <c r="AD472" s="1" t="n"/>
      <c r="AE472" s="1" t="n"/>
    </row>
    <row r="473" ht="42" customHeight="1">
      <c r="A473" s="14">
        <f>IFERROR(__xludf.DUMMYFUNCTION("""COMPUTED_VALUE"""),45370)</f>
        <v/>
      </c>
      <c r="B473" s="1">
        <f>IFERROR(__xludf.DUMMYFUNCTION("""COMPUTED_VALUE"""),"ORG_1141")</f>
        <v/>
      </c>
      <c r="C473" s="1">
        <f>IFERROR(__xludf.DUMMYFUNCTION("""COMPUTED_VALUE"""),TRUE)</f>
        <v/>
      </c>
      <c r="D473" s="1">
        <f>IFERROR(__xludf.DUMMYFUNCTION("""COMPUTED_VALUE"""),"Bealink")</f>
        <v/>
      </c>
      <c r="E473" s="15">
        <f>IFERROR(__xludf.DUMMYFUNCTION("""COMPUTED_VALUE"""),"https://bealink.io/en/")</f>
        <v/>
      </c>
      <c r="F473" s="1">
        <f>IFERROR(__xludf.DUMMYFUNCTION("""COMPUTED_VALUE"""),"Bealink is a corporate learning platform editor. 
With it's second to none integration capabilities, Bealink helps organisations build a true learning ecosystem around their content, tools and people. Streamline Upskilling™ provides an end-to-end workflo"&amp;"w for skills development by cleverly linking jobs, skills, development goals, evaluation and certification, performance interviews, training requests and development plans... together to make it as easy as possible for your people to grow and significantl"&amp;"y reduce ""time to skill"" on both the learner and the administrative side. The experience within the platform is completely personalized according to the learners context, interest, skills and goals and it's easy for them to plan and track their learning"&amp;" from the platform's dahsboard. The platform also supports the widest variety of ""learning moments"" and makes it easy to build amazing learning experiences. Finally, people and the interactions between them also play a important part in your learning ec"&amp;"osystem and Bealink provides the tools your people need to share knowledge at scale directly in the platform's front-office.")</f>
        <v/>
      </c>
      <c r="G473" s="1">
        <f>IFERROR(__xludf.DUMMYFUNCTION("""COMPUTED_VALUE"""),"EdTech France")</f>
        <v/>
      </c>
      <c r="H473" s="1">
        <f>IFERROR(__xludf.DUMMYFUNCTION("""COMPUTED_VALUE"""),"French, English, Spanish")</f>
        <v/>
      </c>
      <c r="I473" s="1">
        <f>IFERROR(__xludf.DUMMYFUNCTION("""COMPUTED_VALUE"""),"benjamin.aime@bealink.io")</f>
        <v/>
      </c>
      <c r="J473" s="1">
        <f>IFERROR(__xludf.DUMMYFUNCTION("""COMPUTED_VALUE"""),"695113179")</f>
        <v/>
      </c>
      <c r="K473" s="1">
        <f>IFERROR(__xludf.DUMMYFUNCTION("""COMPUTED_VALUE"""),"SURESNES")</f>
        <v/>
      </c>
      <c r="L473" s="1">
        <f>IFERROR(__xludf.DUMMYFUNCTION("""COMPUTED_VALUE"""),"France")</f>
        <v/>
      </c>
      <c r="M473"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73" s="1">
        <f>IFERROR(__xludf.DUMMYFUNCTION("""COMPUTED_VALUE"""),"11 to 50")</f>
        <v/>
      </c>
      <c r="O473" s="1">
        <f>IFERROR(__xludf.DUMMYFUNCTION("""COMPUTED_VALUE"""),"Business to Business, Business to Schools, Business to Government")</f>
        <v/>
      </c>
      <c r="P473" s="1">
        <f>IFERROR(__xludf.DUMMYFUNCTION("""COMPUTED_VALUE"""),"Corporate Training, Lifelong learning/Adult education")</f>
        <v/>
      </c>
      <c r="Q473" s="1">
        <f>IFERROR(__xludf.DUMMYFUNCTION("""COMPUTED_VALUE"""),"System/Administrative")</f>
        <v/>
      </c>
      <c r="R473" s="1" t="n"/>
      <c r="S473" s="1" t="n"/>
      <c r="T473" s="15">
        <f>IFERROR(__xludf.DUMMYFUNCTION("""COMPUTED_VALUE"""),"https://www.linkedin.com/company/bealink/")</f>
        <v/>
      </c>
      <c r="U473" s="1">
        <f>IFERROR(__xludf.DUMMYFUNCTION("""COMPUTED_VALUE"""),"Bealink LXP")</f>
        <v/>
      </c>
      <c r="V473" s="1">
        <f>IFERROR(__xludf.DUMMYFUNCTION("""COMPUTED_VALUE"""),"With it's second to none integration capabilities, Bealink LXP helps organisations build a true learning ecosystem around their content, tools and people. Streamline Upskilling™ provides an end-to-end workflow for skills development by cleverly linking jo"&amp;"bs, skills, development goals, evaluation and certification, performance interviews, training requests and development plans...")</f>
        <v/>
      </c>
      <c r="W473" s="1">
        <f>IFERROR(__xludf.DUMMYFUNCTION("""COMPUTED_VALUE"""),"Bealink LRS")</f>
        <v/>
      </c>
      <c r="X473" s="1">
        <f>IFERROR(__xludf.DUMMYFUNCTION("""COMPUTED_VALUE"""),"Bealink LRS is a fully scalable Learning Data solution for companies wanting to put in place a standardisez data architecture for their learning ecosystem.")</f>
        <v/>
      </c>
      <c r="Y473" s="1" t="n"/>
      <c r="Z473" s="1">
        <f>IFERROR(__xludf.DUMMYFUNCTION("""COMPUTED_VALUE"""),"Unverified")</f>
        <v/>
      </c>
      <c r="AA473" s="1" t="n"/>
      <c r="AB473" s="1" t="n"/>
      <c r="AC473" s="1" t="n"/>
      <c r="AD473" s="1" t="n"/>
      <c r="AE473" s="1" t="n"/>
    </row>
    <row r="474" ht="42" customHeight="1">
      <c r="A474" s="14">
        <f>IFERROR(__xludf.DUMMYFUNCTION("""COMPUTED_VALUE"""),45370)</f>
        <v/>
      </c>
      <c r="B474" s="1">
        <f>IFERROR(__xludf.DUMMYFUNCTION("""COMPUTED_VALUE"""),"ORG_2274")</f>
        <v/>
      </c>
      <c r="C474" s="1">
        <f>IFERROR(__xludf.DUMMYFUNCTION("""COMPUTED_VALUE"""),TRUE)</f>
        <v/>
      </c>
      <c r="D474" s="1">
        <f>IFERROR(__xludf.DUMMYFUNCTION("""COMPUTED_VALUE"""),"SmaLeTax")</f>
        <v/>
      </c>
      <c r="E474" s="15">
        <f>IFERROR(__xludf.DUMMYFUNCTION("""COMPUTED_VALUE"""),"https://stbv-bremen.de/services/smaletax/")</f>
        <v/>
      </c>
      <c r="F474" s="1">
        <f>IFERROR(__xludf.DUMMYFUNCTION("""COMPUTED_VALUE"""),"The SmaLeTax project – short for “Smart Learning Taxes” – wants to actively shape the future of learning and knowledge transfer in the tax industry. For this purpose, the Tax Consultants Association in the State of Bremen e.V. is launching an experimental"&amp;" project for the development and use of artificial intelligence (AI) in continuing professional development with this research project.
The aim of the project is to set up and test a digital learning environment for trainees and employees of tax consulti"&amp;"ng firms and auditing firms, which enables individual knowledge transfer tailored to the needs of the participants.
The project is funded by the Federal Ministry of Labor and Social Affairs (BMAS) through the New Quality of Work Initiative (INQA) and is "&amp;"part of the federal government's “Artificial Intelligence (AI) Strategy”.")</f>
        <v/>
      </c>
      <c r="G474" s="1">
        <f>IFERROR(__xludf.DUMMYFUNCTION("""COMPUTED_VALUE"""),"I'm not part of any EdTech association")</f>
        <v/>
      </c>
      <c r="H474" s="1">
        <f>IFERROR(__xludf.DUMMYFUNCTION("""COMPUTED_VALUE"""),"German")</f>
        <v/>
      </c>
      <c r="I474" s="1">
        <f>IFERROR(__xludf.DUMMYFUNCTION("""COMPUTED_VALUE"""),"licht@stbv-bremen.de")</f>
        <v/>
      </c>
      <c r="J474" s="1">
        <f>IFERROR(__xludf.DUMMYFUNCTION("""COMPUTED_VALUE"""),"+4915172703871")</f>
        <v/>
      </c>
      <c r="K474" s="1">
        <f>IFERROR(__xludf.DUMMYFUNCTION("""COMPUTED_VALUE"""),"Bremen")</f>
        <v/>
      </c>
      <c r="L474" s="1">
        <f>IFERROR(__xludf.DUMMYFUNCTION("""COMPUTED_VALUE"""),"Germany")</f>
        <v/>
      </c>
      <c r="M474" s="1">
        <f>IFERROR(__xludf.DUMMYFUNCTION("""COMPUTED_VALUE"""),"Germany")</f>
        <v/>
      </c>
      <c r="N474" s="1">
        <f>IFERROR(__xludf.DUMMYFUNCTION("""COMPUTED_VALUE"""),"6 to 10")</f>
        <v/>
      </c>
      <c r="O474" s="1">
        <f>IFERROR(__xludf.DUMMYFUNCTION("""COMPUTED_VALUE"""),"Business to Business, Business to Schools, Business to Consumer, Business to Government")</f>
        <v/>
      </c>
      <c r="P474" s="1">
        <f>IFERROR(__xludf.DUMMYFUNCTION("""COMPUTED_VALUE"""),"Secondary Education, Corporate Training, Lifelong learning/Adult education, Vocational Education and Training (VET), Higher Education")</f>
        <v/>
      </c>
      <c r="Q474" s="1">
        <f>IFERROR(__xludf.DUMMYFUNCTION("""COMPUTED_VALUE"""),"Teacher interfacing, System/Administrative, Student interfacing")</f>
        <v/>
      </c>
      <c r="R474" s="1" t="n"/>
      <c r="S474" s="1" t="n"/>
      <c r="T474" s="15">
        <f>IFERROR(__xludf.DUMMYFUNCTION("""COMPUTED_VALUE"""),"https://www.linkedin.com/company/smaletax/")</f>
        <v/>
      </c>
      <c r="U474" s="1">
        <f>IFERROR(__xludf.DUMMYFUNCTION("""COMPUTED_VALUE"""),"SmaLeTax - Adaptive Learning")</f>
        <v/>
      </c>
      <c r="V474" s="1">
        <f>IFERROR(__xludf.DUMMYFUNCTION("""COMPUTED_VALUE"""),"The SmaLeTax project – short for “Smart Learning Taxes” – wants to actively shape the future of learning and knowledge transfer in the tax industry. For this purpose, the Tax Consultants Association in the State of Bremen e.V. is launching an experimental"&amp;" project for the development and use of artificial intelligence (AI) in continuing professional development with this research project.
The aim of the project is to set up and test a digital learning environment for trainees and employees of tax consulti"&amp;"ng firms and auditing firms, which enables individual knowledge transfer tailored to the needs of the participants.
The project is funded by the Federal Ministry of Labor and Social Affairs (BMAS) through the New Quality of Work Initiative (INQA) and is "&amp;"part of the federal government's “Artificial Intelligence (AI) Strategy”.")</f>
        <v/>
      </c>
      <c r="W474" s="1" t="n"/>
      <c r="X474" s="1" t="n"/>
      <c r="Y474" s="15">
        <f>IFERROR(__xludf.DUMMYFUNCTION("""COMPUTED_VALUE"""),"https://drive.google.com/uc?export=view&amp;id=1kIXOrzx5eUvGDB0Mhe0pl1dt9xpAWEzs")</f>
        <v/>
      </c>
      <c r="Z474" s="1">
        <f>IFERROR(__xludf.DUMMYFUNCTION("""COMPUTED_VALUE"""),"Unverified")</f>
        <v/>
      </c>
      <c r="AA474" s="1" t="n"/>
      <c r="AB474" s="1" t="n"/>
      <c r="AC474" s="1" t="n"/>
      <c r="AD474" s="1" t="n"/>
      <c r="AE474" s="1" t="n"/>
    </row>
    <row r="475" ht="42" customHeight="1">
      <c r="A475" s="14">
        <f>IFERROR(__xludf.DUMMYFUNCTION("""COMPUTED_VALUE"""),45370)</f>
        <v/>
      </c>
      <c r="B475" s="1">
        <f>IFERROR(__xludf.DUMMYFUNCTION("""COMPUTED_VALUE"""),"ORG_2565")</f>
        <v/>
      </c>
      <c r="C475" s="1">
        <f>IFERROR(__xludf.DUMMYFUNCTION("""COMPUTED_VALUE"""),TRUE)</f>
        <v/>
      </c>
      <c r="D475" s="1">
        <f>IFERROR(__xludf.DUMMYFUNCTION("""COMPUTED_VALUE"""),"youniversapp")</f>
        <v/>
      </c>
      <c r="E475" s="15">
        <f>IFERROR(__xludf.DUMMYFUNCTION("""COMPUTED_VALUE"""),"www.youniversapp.com")</f>
        <v/>
      </c>
      <c r="F475" s="1">
        <f>IFERROR(__xludf.DUMMYFUNCTION("""COMPUTED_VALUE"""),"younivers App: an interactive and evidence-based digital mental wellbeing companion
Designed by experts to empower both teens and parents.")</f>
        <v/>
      </c>
      <c r="G475" s="1">
        <f>IFERROR(__xludf.DUMMYFUNCTION("""COMPUTED_VALUE"""),"I'm not part of any EdTech association")</f>
        <v/>
      </c>
      <c r="H475" s="1" t="n"/>
      <c r="I475" s="1" t="n"/>
      <c r="J475" s="1" t="n"/>
      <c r="K475" s="1">
        <f>IFERROR(__xludf.DUMMYFUNCTION("""COMPUTED_VALUE"""),"c/o Factory Berlin Görlitzer Park Lohmühlenstraße 65")</f>
        <v/>
      </c>
      <c r="L475" s="1">
        <f>IFERROR(__xludf.DUMMYFUNCTION("""COMPUTED_VALUE"""),"Germany")</f>
        <v/>
      </c>
      <c r="M475" s="1">
        <f>IFERROR(__xludf.DUMMYFUNCTION("""COMPUTED_VALUE"""),"Germany")</f>
        <v/>
      </c>
      <c r="N475" s="1">
        <f>IFERROR(__xludf.DUMMYFUNCTION("""COMPUTED_VALUE"""),"0 to 2")</f>
        <v/>
      </c>
      <c r="O475" s="1">
        <f>IFERROR(__xludf.DUMMYFUNCTION("""COMPUTED_VALUE"""),"Business to Business, Business to Government")</f>
        <v/>
      </c>
      <c r="P475" s="1">
        <f>IFERROR(__xludf.DUMMYFUNCTION("""COMPUTED_VALUE"""),"Secondary Education")</f>
        <v/>
      </c>
      <c r="Q475" s="1">
        <f>IFERROR(__xludf.DUMMYFUNCTION("""COMPUTED_VALUE"""),"System/Administrative, Student interfacing, Teacher interfacing")</f>
        <v/>
      </c>
      <c r="R475" s="1" t="n"/>
      <c r="S475" s="1" t="n"/>
      <c r="T475" s="15">
        <f>IFERROR(__xludf.DUMMYFUNCTION("""COMPUTED_VALUE"""),"https://www.linkedin.com/company/youniversapp/")</f>
        <v/>
      </c>
      <c r="U475" s="1" t="n"/>
      <c r="V475" s="1" t="n"/>
      <c r="W475" s="1" t="n"/>
      <c r="X475" s="1" t="n"/>
      <c r="Y475" s="15">
        <f>IFERROR(__xludf.DUMMYFUNCTION("""COMPUTED_VALUE"""),"https://drive.google.com/uc?export=view&amp;id=1sMSwCJn0D06nj710y3LSPJIrNKbL8Uc-")</f>
        <v/>
      </c>
      <c r="Z475" s="1">
        <f>IFERROR(__xludf.DUMMYFUNCTION("""COMPUTED_VALUE"""),"Unverified")</f>
        <v/>
      </c>
      <c r="AA475" s="1" t="n"/>
      <c r="AB475" s="1" t="n"/>
      <c r="AC475" s="1" t="n"/>
      <c r="AD475" s="1" t="n"/>
      <c r="AE475" s="1" t="n"/>
    </row>
    <row r="476" ht="42" customHeight="1">
      <c r="A476" s="14">
        <f>IFERROR(__xludf.DUMMYFUNCTION("""COMPUTED_VALUE"""),45370)</f>
        <v/>
      </c>
      <c r="B476" s="1">
        <f>IFERROR(__xludf.DUMMYFUNCTION("""COMPUTED_VALUE"""),"ORG_1936")</f>
        <v/>
      </c>
      <c r="C476" s="1">
        <f>IFERROR(__xludf.DUMMYFUNCTION("""COMPUTED_VALUE"""),TRUE)</f>
        <v/>
      </c>
      <c r="D476" s="1">
        <f>IFERROR(__xludf.DUMMYFUNCTION("""COMPUTED_VALUE"""),"MBA Kids")</f>
        <v/>
      </c>
      <c r="E476" s="15">
        <f>IFERROR(__xludf.DUMMYFUNCTION("""COMPUTED_VALUE"""),"www.thembakids.com")</f>
        <v/>
      </c>
      <c r="F476" s="1">
        <f>IFERROR(__xludf.DUMMYFUNCTION("""COMPUTED_VALUE"""),"MBA Kids is the first business school for children. Through highly disruptive workshops based on values ​​and skills from the business world, we aim to change the professional future of our sons and daughters.")</f>
        <v/>
      </c>
      <c r="G476" s="1">
        <f>IFERROR(__xludf.DUMMYFUNCTION("""COMPUTED_VALUE"""),"I'm not part of any EdTech association")</f>
        <v/>
      </c>
      <c r="H476" s="1">
        <f>IFERROR(__xludf.DUMMYFUNCTION("""COMPUTED_VALUE"""),"Spanish, English")</f>
        <v/>
      </c>
      <c r="I476" s="1">
        <f>IFERROR(__xludf.DUMMYFUNCTION("""COMPUTED_VALUE"""),"info@thembakids.com")</f>
        <v/>
      </c>
      <c r="J476" s="1">
        <f>IFERROR(__xludf.DUMMYFUNCTION("""COMPUTED_VALUE"""),"680410192")</f>
        <v/>
      </c>
      <c r="K476" s="1">
        <f>IFERROR(__xludf.DUMMYFUNCTION("""COMPUTED_VALUE"""),"GRANADA")</f>
        <v/>
      </c>
      <c r="L476" s="1">
        <f>IFERROR(__xludf.DUMMYFUNCTION("""COMPUTED_VALUE"""),"Spain")</f>
        <v/>
      </c>
      <c r="M476" s="1">
        <f>IFERROR(__xludf.DUMMYFUNCTION("""COMPUTED_VALUE"""),"Spain")</f>
        <v/>
      </c>
      <c r="N476" s="1">
        <f>IFERROR(__xludf.DUMMYFUNCTION("""COMPUTED_VALUE"""),"3 to 5")</f>
        <v/>
      </c>
      <c r="O476" s="1">
        <f>IFERROR(__xludf.DUMMYFUNCTION("""COMPUTED_VALUE"""),"Business to School, Business to Business")</f>
        <v/>
      </c>
      <c r="P476" s="1">
        <f>IFERROR(__xludf.DUMMYFUNCTION("""COMPUTED_VALUE"""),"Primary Education, Secondary Education")</f>
        <v/>
      </c>
      <c r="Q476" s="1">
        <f>IFERROR(__xludf.DUMMYFUNCTION("""COMPUTED_VALUE"""),"System/Administrative, Student interfacing")</f>
        <v/>
      </c>
      <c r="R476" s="15">
        <f>IFERROR(__xludf.DUMMYFUNCTION("""COMPUTED_VALUE"""),"https://instagram.com/mba_kids")</f>
        <v/>
      </c>
      <c r="S476" s="1" t="n"/>
      <c r="T476" s="15">
        <f>IFERROR(__xludf.DUMMYFUNCTION("""COMPUTED_VALUE"""),"https://www.linkedin.com/company/mba-kids/")</f>
        <v/>
      </c>
      <c r="U476" s="1" t="n"/>
      <c r="V476" s="1" t="n"/>
      <c r="W476" s="1" t="n"/>
      <c r="X476" s="1" t="n"/>
      <c r="Y476" s="15">
        <f>IFERROR(__xludf.DUMMYFUNCTION("""COMPUTED_VALUE"""),"https://drive.google.com/uc?export=view&amp;id=1-LDu6bFvUKENDicvH7oKbW7jer1MhYSf")</f>
        <v/>
      </c>
      <c r="Z476" s="1">
        <f>IFERROR(__xludf.DUMMYFUNCTION("""COMPUTED_VALUE"""),"Unverified")</f>
        <v/>
      </c>
      <c r="AA476" s="1" t="n"/>
      <c r="AB476" s="1" t="n"/>
      <c r="AC476" s="1" t="n"/>
      <c r="AD476" s="1" t="n"/>
      <c r="AE476" s="1" t="n"/>
    </row>
    <row r="477" ht="42" customHeight="1">
      <c r="A477" s="14">
        <f>IFERROR(__xludf.DUMMYFUNCTION("""COMPUTED_VALUE"""),45370)</f>
        <v/>
      </c>
      <c r="B477" s="1">
        <f>IFERROR(__xludf.DUMMYFUNCTION("""COMPUTED_VALUE"""),"ORG_2332")</f>
        <v/>
      </c>
      <c r="C477" s="1">
        <f>IFERROR(__xludf.DUMMYFUNCTION("""COMPUTED_VALUE"""),TRUE)</f>
        <v/>
      </c>
      <c r="D477" s="1">
        <f>IFERROR(__xludf.DUMMYFUNCTION("""COMPUTED_VALUE"""),"StudentGator")</f>
        <v/>
      </c>
      <c r="E477" s="15">
        <f>IFERROR(__xludf.DUMMYFUNCTION("""COMPUTED_VALUE"""),"https://www.studentgator.com/#/landing/home")</f>
        <v/>
      </c>
      <c r="F477" s="1">
        <f>IFERROR(__xludf.DUMMYFUNCTION("""COMPUTED_VALUE"""),"Launched in 2019, StudentGator is an EdTech startup based in Paris, that uses technology to facilitate university applications for international students.
Since its creation, StudentGator has:
=&gt; Successfully aided over 1500 students in their academic j"&amp;"ourney.
=&gt; Fostered more than 100 collaborations with educational institutions in France.
=&gt; Achieved a striking 95% success rate in securing students' admission to their preferred university.")</f>
        <v/>
      </c>
      <c r="G477" s="1">
        <f>IFERROR(__xludf.DUMMYFUNCTION("""COMPUTED_VALUE"""),"I'm not part of any EdTech association")</f>
        <v/>
      </c>
      <c r="H477" s="1">
        <f>IFERROR(__xludf.DUMMYFUNCTION("""COMPUTED_VALUE"""),"English, French")</f>
        <v/>
      </c>
      <c r="I477" s="1">
        <f>IFERROR(__xludf.DUMMYFUNCTION("""COMPUTED_VALUE"""),"admin@studentgator.com")</f>
        <v/>
      </c>
      <c r="J477" s="1" t="n"/>
      <c r="K477" s="1">
        <f>IFERROR(__xludf.DUMMYFUNCTION("""COMPUTED_VALUE"""),"Paris")</f>
        <v/>
      </c>
      <c r="L477" s="1">
        <f>IFERROR(__xludf.DUMMYFUNCTION("""COMPUTED_VALUE"""),"France")</f>
        <v/>
      </c>
      <c r="M477" s="1">
        <f>IFERROR(__xludf.DUMMYFUNCTION("""COMPUTED_VALUE"""),"France")</f>
        <v/>
      </c>
      <c r="N477" s="1">
        <f>IFERROR(__xludf.DUMMYFUNCTION("""COMPUTED_VALUE"""),"6 to 10")</f>
        <v/>
      </c>
      <c r="O477" s="1">
        <f>IFERROR(__xludf.DUMMYFUNCTION("""COMPUTED_VALUE"""),"Business to School, Business to Business")</f>
        <v/>
      </c>
      <c r="P477" s="1">
        <f>IFERROR(__xludf.DUMMYFUNCTION("""COMPUTED_VALUE"""),"Higher Education")</f>
        <v/>
      </c>
      <c r="Q477" s="1">
        <f>IFERROR(__xludf.DUMMYFUNCTION("""COMPUTED_VALUE"""),"Student interfacing")</f>
        <v/>
      </c>
      <c r="R477" s="15">
        <f>IFERROR(__xludf.DUMMYFUNCTION("""COMPUTED_VALUE"""),"https://www.instagram.com/studentgator/")</f>
        <v/>
      </c>
      <c r="S477" s="1" t="n"/>
      <c r="T477" s="15">
        <f>IFERROR(__xludf.DUMMYFUNCTION("""COMPUTED_VALUE"""),"https://fr.linkedin.com/company/studentgator")</f>
        <v/>
      </c>
      <c r="U477" s="1">
        <f>IFERROR(__xludf.DUMMYFUNCTION("""COMPUTED_VALUE"""),"Student Admissions")</f>
        <v/>
      </c>
      <c r="V477" s="1">
        <f>IFERROR(__xludf.DUMMYFUNCTION("""COMPUTED_VALUE"""),"""Student Admissions"" service helps students identify suitable universities in France. We assist from the start, covering application processes, visa procedures, and preparations for arrival in France. We aim to provide students with consistent and quali"&amp;"ty support throughout their journey by sharing our experience of studying in France.")</f>
        <v/>
      </c>
      <c r="W477" s="1" t="n"/>
      <c r="X477" s="1" t="n"/>
      <c r="Y477" s="15">
        <f>IFERROR(__xludf.DUMMYFUNCTION("""COMPUTED_VALUE"""),"https://drive.google.com/uc?export=view&amp;id=1C8XbdzilFmzpteNDid7gINeTIzk0sgBv")</f>
        <v/>
      </c>
      <c r="Z477" s="1">
        <f>IFERROR(__xludf.DUMMYFUNCTION("""COMPUTED_VALUE"""),"Unverified")</f>
        <v/>
      </c>
      <c r="AA477" s="1" t="n"/>
      <c r="AB477" s="1" t="n"/>
      <c r="AC477" s="1" t="n"/>
      <c r="AD477" s="1" t="n"/>
      <c r="AE477" s="1" t="n"/>
    </row>
    <row r="478" ht="42" customHeight="1">
      <c r="A478" s="14">
        <f>IFERROR(__xludf.DUMMYFUNCTION("""COMPUTED_VALUE"""),45370)</f>
        <v/>
      </c>
      <c r="B478" s="1">
        <f>IFERROR(__xludf.DUMMYFUNCTION("""COMPUTED_VALUE"""),"ORG_1075")</f>
        <v/>
      </c>
      <c r="C478" s="1">
        <f>IFERROR(__xludf.DUMMYFUNCTION("""COMPUTED_VALUE"""),TRUE)</f>
        <v/>
      </c>
      <c r="D478" s="1">
        <f>IFERROR(__xludf.DUMMYFUNCTION("""COMPUTED_VALUE"""),"Ans")</f>
        <v/>
      </c>
      <c r="E478" s="15">
        <f>IFERROR(__xludf.DUMMYFUNCTION("""COMPUTED_VALUE"""),"https://ans.app/landing")</f>
        <v/>
      </c>
      <c r="F478" s="1">
        <f>IFERROR(__xludf.DUMMYFUNCTION("""COMPUTED_VALUE"""),"Ans is a modern web-based assessment tool for students and educators. It saves you time grading, so you can get back to teaching as soon as possible. Whether you assess students on paper or digitally, you can design, grade and publish results online. Coll"&amp;"aborate with colleagues and gain valuable insights that help improve your education. 
Assignments can be taken on-campus and remotely, for formative or summative purposes. Choose between assignment types such as handwritten assignments, digital tests, ha"&amp;"nd-in assignments, and more. Use question banks to collaborate on exercises with colleagues. Easily divide grading work per student or per question. Use analytics to improve the quality of your questions and assignments. Try out Ans to lower your workload"&amp;" and upgrade your assessments now.")</f>
        <v/>
      </c>
      <c r="G478" s="1">
        <f>IFERROR(__xludf.DUMMYFUNCTION("""COMPUTED_VALUE"""),"I'm not part of any EdTech association")</f>
        <v/>
      </c>
      <c r="H478" s="1">
        <f>IFERROR(__xludf.DUMMYFUNCTION("""COMPUTED_VALUE"""),"English, Dutch, French, German")</f>
        <v/>
      </c>
      <c r="I478" s="1">
        <f>IFERROR(__xludf.DUMMYFUNCTION("""COMPUTED_VALUE"""),"hello@ans.app")</f>
        <v/>
      </c>
      <c r="J478" s="1" t="n"/>
      <c r="K478" s="1">
        <f>IFERROR(__xludf.DUMMYFUNCTION("""COMPUTED_VALUE"""),"Delft")</f>
        <v/>
      </c>
      <c r="L478" s="1">
        <f>IFERROR(__xludf.DUMMYFUNCTION("""COMPUTED_VALUE"""),"The Netherlands")</f>
        <v/>
      </c>
      <c r="M478" s="1">
        <f>IFERROR(__xludf.DUMMYFUNCTION("""COMPUTED_VALUE"""),"Belgium, Germany, Italy, Luxembourg, Netherlands, Spain, Switzerland, United Kingdom")</f>
        <v/>
      </c>
      <c r="N478" s="1">
        <f>IFERROR(__xludf.DUMMYFUNCTION("""COMPUTED_VALUE"""),"11 to 50")</f>
        <v/>
      </c>
      <c r="O478" s="1">
        <f>IFERROR(__xludf.DUMMYFUNCTION("""COMPUTED_VALUE"""),"Business to Business")</f>
        <v/>
      </c>
      <c r="P478" s="1">
        <f>IFERROR(__xludf.DUMMYFUNCTION("""COMPUTED_VALUE"""),"Vocational Education and Training (VET), Higher Education")</f>
        <v/>
      </c>
      <c r="Q478" s="1">
        <f>IFERROR(__xludf.DUMMYFUNCTION("""COMPUTED_VALUE"""),"Student interfacing, Teacher interfacing, System/Administrative")</f>
        <v/>
      </c>
      <c r="R478" s="1" t="n"/>
      <c r="S478" s="1" t="n"/>
      <c r="T478" s="15">
        <f>IFERROR(__xludf.DUMMYFUNCTION("""COMPUTED_VALUE"""),"https://www.linkedin.com/company/ans-exam")</f>
        <v/>
      </c>
      <c r="U478" s="1">
        <f>IFERROR(__xludf.DUMMYFUNCTION("""COMPUTED_VALUE"""),"Ans")</f>
        <v/>
      </c>
      <c r="V478" s="1">
        <f>IFERROR(__xludf.DUMMYFUNCTION("""COMPUTED_VALUE"""),"Ans is a modern web-based assessment tool for students and educators. It saves you time grading, so you can get back to teaching as soon as possible. Whether you assess students on paper or digitally, you can design, grade and publish results online. Coll"&amp;"aborate with colleagues and gain valuable insights that help improve your education.")</f>
        <v/>
      </c>
      <c r="W478" s="1" t="n"/>
      <c r="X478" s="1" t="n"/>
      <c r="Y478" s="15">
        <f>IFERROR(__xludf.DUMMYFUNCTION("""COMPUTED_VALUE"""),"https://drive.google.com/uc?export=view&amp;id=1jYxeDcgQ59nUKCu4OWNzvlOmUo_XpIKN")</f>
        <v/>
      </c>
      <c r="Z478" s="1">
        <f>IFERROR(__xludf.DUMMYFUNCTION("""COMPUTED_VALUE"""),"Unverified")</f>
        <v/>
      </c>
      <c r="AA478" s="1" t="n"/>
      <c r="AB478" s="1" t="n"/>
      <c r="AC478" s="1" t="n"/>
      <c r="AD478" s="1" t="n"/>
      <c r="AE478" s="1" t="n"/>
    </row>
    <row r="479" ht="42" customHeight="1">
      <c r="A479" s="14">
        <f>IFERROR(__xludf.DUMMYFUNCTION("""COMPUTED_VALUE"""),45370)</f>
        <v/>
      </c>
      <c r="B479" s="1">
        <f>IFERROR(__xludf.DUMMYFUNCTION("""COMPUTED_VALUE"""),"ORG_1243")</f>
        <v/>
      </c>
      <c r="C479" s="1">
        <f>IFERROR(__xludf.DUMMYFUNCTION("""COMPUTED_VALUE"""),TRUE)</f>
        <v/>
      </c>
      <c r="D479" s="1">
        <f>IFERROR(__xludf.DUMMYFUNCTION("""COMPUTED_VALUE"""),"Claned")</f>
        <v/>
      </c>
      <c r="E479" s="15">
        <f>IFERROR(__xludf.DUMMYFUNCTION("""COMPUTED_VALUE"""),"https://claned.com")</f>
        <v/>
      </c>
      <c r="F479" s="1">
        <f>IFERROR(__xludf.DUMMYFUNCTION("""COMPUTED_VALUE"""),"The most comprehensive digital learning solution in the market consisting of three pillars: automated learning design, highly engaging learning experience platform and unique learning analytics measuring the impact of learning on individual and organizati"&amp;"onal level this linking learning to business operations and their KPI's.")</f>
        <v/>
      </c>
      <c r="G479" s="1">
        <f>IFERROR(__xludf.DUMMYFUNCTION("""COMPUTED_VALUE"""),"EdTech Finland, SEK Lab, xEdu")</f>
        <v/>
      </c>
      <c r="H479" s="1" t="n"/>
      <c r="I479" s="1">
        <f>IFERROR(__xludf.DUMMYFUNCTION("""COMPUTED_VALUE"""),"info@claned.com")</f>
        <v/>
      </c>
      <c r="J479" s="1">
        <f>IFERROR(__xludf.DUMMYFUNCTION("""COMPUTED_VALUE"""),"+358405860863")</f>
        <v/>
      </c>
      <c r="K479" s="1">
        <f>IFERROR(__xludf.DUMMYFUNCTION("""COMPUTED_VALUE"""),"HELSINKI")</f>
        <v/>
      </c>
      <c r="L479" s="1">
        <f>IFERROR(__xludf.DUMMYFUNCTION("""COMPUTED_VALUE"""),"Finland")</f>
        <v/>
      </c>
      <c r="M479" s="1">
        <f>IFERROR(__xludf.DUMMYFUNCTION("""COMPUTED_VALUE"""),"Austria, Belgium, Bosnia and Herzegovina, Bulgaria, Croatia, Czechia, Denmark, Estonia, Finland, France, Georgia, Germany, Greece, Hungary, Iceland, Ireland, Italy, Kazakhstan, Latvia, Liechtenstein, Lithuania, Luxembourg, Malta, Netherlands, Norway, Pola"&amp;"nd, Portugal, Romania, Slovakia, Slovenia, Spain, Sweden, Switzerland, Turkey, Ukraine, United Kingdom")</f>
        <v/>
      </c>
      <c r="N479" s="1">
        <f>IFERROR(__xludf.DUMMYFUNCTION("""COMPUTED_VALUE"""),"11 to 50")</f>
        <v/>
      </c>
      <c r="O479" s="1">
        <f>IFERROR(__xludf.DUMMYFUNCTION("""COMPUTED_VALUE"""),"Business to Business")</f>
        <v/>
      </c>
      <c r="P479" s="1">
        <f>IFERROR(__xludf.DUMMYFUNCTION("""COMPUTED_VALUE"""),"Primary Education, Secondary Education, Corporate Training, Lifelong learning/Adult education, Vocational Education and Training (VET), Higher Education")</f>
        <v/>
      </c>
      <c r="Q479" s="1">
        <f>IFERROR(__xludf.DUMMYFUNCTION("""COMPUTED_VALUE"""),"Student interfacing, Teacher interfacing, System/Administrative")</f>
        <v/>
      </c>
      <c r="R479" s="1">
        <f>IFERROR(__xludf.DUMMYFUNCTION("""COMPUTED_VALUE"""),"@clanedworld")</f>
        <v/>
      </c>
      <c r="S479" s="1">
        <f>IFERROR(__xludf.DUMMYFUNCTION("""COMPUTED_VALUE"""),"@Claned_")</f>
        <v/>
      </c>
      <c r="T479" s="15">
        <f>IFERROR(__xludf.DUMMYFUNCTION("""COMPUTED_VALUE"""),"https://www.linkedin.com/company/claned-group")</f>
        <v/>
      </c>
      <c r="U479" s="1">
        <f>IFERROR(__xludf.DUMMYFUNCTION("""COMPUTED_VALUE"""),"Claned Learning Design")</f>
        <v/>
      </c>
      <c r="V479" s="1">
        <f>IFERROR(__xludf.DUMMYFUNCTION("""COMPUTED_VALUE"""),"Automated learning design to ensure your online learning experience is engaging and effective. Also available as professional service")</f>
        <v/>
      </c>
      <c r="W479" s="1">
        <f>IFERROR(__xludf.DUMMYFUNCTION("""COMPUTED_VALUE"""),"Claned Learning Platform")</f>
        <v/>
      </c>
      <c r="X479" s="1">
        <f>IFERROR(__xludf.DUMMYFUNCTION("""COMPUTED_VALUE"""),"Modern LXP offering unmatched user engagement, versatile use of any content formats, apps and tools, compatibility with any other software stack and vast social learning and collaboration functionalities. Everything ready to rock in minutes.")</f>
        <v/>
      </c>
      <c r="Y479" s="15">
        <f>IFERROR(__xludf.DUMMYFUNCTION("""COMPUTED_VALUE"""),"https://drive.google.com/uc?export=view&amp;id=1pnlI5WeAgXQF1rw00C-bYZQalLXG5VsK")</f>
        <v/>
      </c>
      <c r="Z479" s="1">
        <f>IFERROR(__xludf.DUMMYFUNCTION("""COMPUTED_VALUE"""),"Unverified")</f>
        <v/>
      </c>
      <c r="AA479" s="1" t="n"/>
      <c r="AB479" s="1" t="n"/>
      <c r="AC479" s="1" t="n"/>
      <c r="AD479" s="1" t="n"/>
      <c r="AE479" s="1" t="n"/>
    </row>
    <row r="480" ht="42" customHeight="1">
      <c r="A480" s="14">
        <f>IFERROR(__xludf.DUMMYFUNCTION("""COMPUTED_VALUE"""),45366)</f>
        <v/>
      </c>
      <c r="B480" s="1">
        <f>IFERROR(__xludf.DUMMYFUNCTION("""COMPUTED_VALUE"""),"ORG_1303")</f>
        <v/>
      </c>
      <c r="C480" s="1">
        <f>IFERROR(__xludf.DUMMYFUNCTION("""COMPUTED_VALUE"""),TRUE)</f>
        <v/>
      </c>
      <c r="D480" s="1">
        <f>IFERROR(__xludf.DUMMYFUNCTION("""COMPUTED_VALUE"""),"Coursensu")</f>
        <v/>
      </c>
      <c r="E480" s="15">
        <f>IFERROR(__xludf.DUMMYFUNCTION("""COMPUTED_VALUE"""),"https://coursensu.com")</f>
        <v/>
      </c>
      <c r="F480" s="1">
        <f>IFERROR(__xludf.DUMMYFUNCTION("""COMPUTED_VALUE"""),"Your learning design platform - let's design the future of learning togther!")</f>
        <v/>
      </c>
      <c r="G480" s="1">
        <f>IFERROR(__xludf.DUMMYFUNCTION("""COMPUTED_VALUE"""),"I'm not part of any EdTech association")</f>
        <v/>
      </c>
      <c r="H480" s="1">
        <f>IFERROR(__xludf.DUMMYFUNCTION("""COMPUTED_VALUE"""),"English")</f>
        <v/>
      </c>
      <c r="I480" s="1">
        <f>IFERROR(__xludf.DUMMYFUNCTION("""COMPUTED_VALUE"""),"hello@coursensu.com")</f>
        <v/>
      </c>
      <c r="J480" s="1" t="n"/>
      <c r="K480" s="1">
        <f>IFERROR(__xludf.DUMMYFUNCTION("""COMPUTED_VALUE"""),"Edinburgh")</f>
        <v/>
      </c>
      <c r="L480" s="1">
        <f>IFERROR(__xludf.DUMMYFUNCTION("""COMPUTED_VALUE"""),"United Kingdom")</f>
        <v/>
      </c>
      <c r="M480"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80" s="1">
        <f>IFERROR(__xludf.DUMMYFUNCTION("""COMPUTED_VALUE"""),"0 to 2")</f>
        <v/>
      </c>
      <c r="O480" s="1">
        <f>IFERROR(__xludf.DUMMYFUNCTION("""COMPUTED_VALUE"""),"Business to Business")</f>
        <v/>
      </c>
      <c r="P480" s="1">
        <f>IFERROR(__xludf.DUMMYFUNCTION("""COMPUTED_VALUE"""),"Corporate Training, Lifelong learning/Adult education, Vocational Education and Training (VET), Higher Education")</f>
        <v/>
      </c>
      <c r="Q480" s="1">
        <f>IFERROR(__xludf.DUMMYFUNCTION("""COMPUTED_VALUE"""),"Teacher interfacing, System/Administrative, Student interfacing")</f>
        <v/>
      </c>
      <c r="R480" s="1" t="n"/>
      <c r="S480" s="15">
        <f>IFERROR(__xludf.DUMMYFUNCTION("""COMPUTED_VALUE"""),"https://twitter.com/coursensu")</f>
        <v/>
      </c>
      <c r="T480" s="15">
        <f>IFERROR(__xludf.DUMMYFUNCTION("""COMPUTED_VALUE"""),"https://linkedin.com/company/coursensu")</f>
        <v/>
      </c>
      <c r="U480" s="1">
        <f>IFERROR(__xludf.DUMMYFUNCTION("""COMPUTED_VALUE"""),"Coursensu - the learning design platform")</f>
        <v/>
      </c>
      <c r="V480" s="1">
        <f>IFERROR(__xludf.DUMMYFUNCTION("""COMPUTED_VALUE"""),"A collaborative learning design platform packed with pedagogy, AI and productive workflows to help you design active learning experiences. Includes a unique 'learning dictionary' of over 1,200 active learning terms directly integrated into the design tool"&amp;"s.")</f>
        <v/>
      </c>
      <c r="W480" s="1" t="n"/>
      <c r="X480" s="1" t="n"/>
      <c r="Y480" s="15">
        <f>IFERROR(__xludf.DUMMYFUNCTION("""COMPUTED_VALUE"""),"https://drive.google.com/uc?export=view&amp;id=1_tZy5H578Ie0VRin5L_dFLPUqjzqYP7S")</f>
        <v/>
      </c>
      <c r="Z480" s="1">
        <f>IFERROR(__xludf.DUMMYFUNCTION("""COMPUTED_VALUE"""),"Unverified")</f>
        <v/>
      </c>
      <c r="AA480" s="1" t="n"/>
      <c r="AB480" s="1" t="n"/>
      <c r="AC480" s="1" t="n"/>
      <c r="AD480" s="1" t="n"/>
      <c r="AE480" s="1" t="n"/>
    </row>
    <row r="481" ht="42" customHeight="1">
      <c r="A481" s="14">
        <f>IFERROR(__xludf.DUMMYFUNCTION("""COMPUTED_VALUE"""),45362)</f>
        <v/>
      </c>
      <c r="B481" s="1">
        <f>IFERROR(__xludf.DUMMYFUNCTION("""COMPUTED_VALUE"""),"ORG_1887")</f>
        <v/>
      </c>
      <c r="C481" s="1">
        <f>IFERROR(__xludf.DUMMYFUNCTION("""COMPUTED_VALUE"""),TRUE)</f>
        <v/>
      </c>
      <c r="D481" s="1">
        <f>IFERROR(__xludf.DUMMYFUNCTION("""COMPUTED_VALUE"""),"Linguverse")</f>
        <v/>
      </c>
      <c r="E481" s="15">
        <f>IFERROR(__xludf.DUMMYFUNCTION("""COMPUTED_VALUE"""),"https://linguverse.com")</f>
        <v/>
      </c>
      <c r="F481" s="1">
        <f>IFERROR(__xludf.DUMMYFUNCTION("""COMPUTED_VALUE"""),"LinguVerse is a dynamic digital language learning platform tailored for K-12 students. It offers a rich array of interactive resources, including activities and projects that align with international standards and foster 21st-century skills like creativit"&amp;"y and social responsibility. The platform provides both a comprehensive, ready-made version and customizable options to fit specific educational needs, integrating seamlessly into schools' existing digital environments. With its Learning Management System"&amp;", educators can easily track students' progress, focusing on essential learning outcomes.
For more detailed information, visit https://linguverse.com")</f>
        <v/>
      </c>
      <c r="G481" s="1">
        <f>IFERROR(__xludf.DUMMYFUNCTION("""COMPUTED_VALUE"""),"Dutch EdTech")</f>
        <v/>
      </c>
      <c r="H481" s="1">
        <f>IFERROR(__xludf.DUMMYFUNCTION("""COMPUTED_VALUE"""),"English, German")</f>
        <v/>
      </c>
      <c r="I481" s="1">
        <f>IFERROR(__xludf.DUMMYFUNCTION("""COMPUTED_VALUE"""),"zerrin@mangodo.com")</f>
        <v/>
      </c>
      <c r="J481" s="1" t="n"/>
      <c r="K481" s="1">
        <f>IFERROR(__xludf.DUMMYFUNCTION("""COMPUTED_VALUE"""),"HAARLEM")</f>
        <v/>
      </c>
      <c r="L481" s="1">
        <f>IFERROR(__xludf.DUMMYFUNCTION("""COMPUTED_VALUE"""),"The Netherlands")</f>
        <v/>
      </c>
      <c r="M481" s="1">
        <f>IFERROR(__xludf.DUMMYFUNCTION("""COMPUTED_VALUE"""),"Austria, Georgia, Netherlands, Slovenia, Turkey")</f>
        <v/>
      </c>
      <c r="N481" s="1">
        <f>IFERROR(__xludf.DUMMYFUNCTION("""COMPUTED_VALUE"""),"6 to 10")</f>
        <v/>
      </c>
      <c r="O481" s="1">
        <f>IFERROR(__xludf.DUMMYFUNCTION("""COMPUTED_VALUE"""),"Business to Business, Business to Schools, Business to Government")</f>
        <v/>
      </c>
      <c r="P481" s="1">
        <f>IFERROR(__xludf.DUMMYFUNCTION("""COMPUTED_VALUE"""),"Early childhood development (0-5 years), Primary Education, Secondary Education, Higher Education")</f>
        <v/>
      </c>
      <c r="Q481" s="1">
        <f>IFERROR(__xludf.DUMMYFUNCTION("""COMPUTED_VALUE"""),"Student interfacing")</f>
        <v/>
      </c>
      <c r="R481" s="15">
        <f>IFERROR(__xludf.DUMMYFUNCTION("""COMPUTED_VALUE"""),"https://www.instagram.com/mangododigital/")</f>
        <v/>
      </c>
      <c r="S481" s="1" t="n"/>
      <c r="T481" s="15">
        <f>IFERROR(__xludf.DUMMYFUNCTION("""COMPUTED_VALUE"""),"https://www.linkedin.com/company/mangodo-digital/")</f>
        <v/>
      </c>
      <c r="U481" s="1">
        <f>IFERROR(__xludf.DUMMYFUNCTION("""COMPUTED_VALUE"""),"Linguverse")</f>
        <v/>
      </c>
      <c r="V481" s="1">
        <f>IFERROR(__xludf.DUMMYFUNCTION("""COMPUTED_VALUE"""),"LinguVerse, is an innovative, customizable digital language learning system for K-12 and university students, designed to meet diverse educational needs. With a focus on 21st-century skills, it offers a rich mix of interactive resources, aligned with nati"&amp;"onal and international curriculums, across various devices. The platform enables easy progress tracking with an LMS and supports social responsibility projects, offering a comprehensive solution for academic improvement and beyond.")</f>
        <v/>
      </c>
      <c r="W481" s="1" t="n"/>
      <c r="X481" s="1" t="n"/>
      <c r="Y481" s="15">
        <f>IFERROR(__xludf.DUMMYFUNCTION("""COMPUTED_VALUE"""),"https://drive.google.com/uc?export=view&amp;id=1nSoDNznA0GLdKwtsnEgt2NEwFe3x2zkI")</f>
        <v/>
      </c>
      <c r="Z481" s="1">
        <f>IFERROR(__xludf.DUMMYFUNCTION("""COMPUTED_VALUE"""),"Unverified")</f>
        <v/>
      </c>
      <c r="AA481" s="1" t="n"/>
      <c r="AB481" s="1" t="n"/>
      <c r="AC481" s="1" t="n"/>
      <c r="AD481" s="1" t="n"/>
      <c r="AE481" s="1" t="n"/>
    </row>
    <row r="482" ht="42" customHeight="1">
      <c r="A482" s="14">
        <f>IFERROR(__xludf.DUMMYFUNCTION("""COMPUTED_VALUE"""),45362)</f>
        <v/>
      </c>
      <c r="B482" s="1">
        <f>IFERROR(__xludf.DUMMYFUNCTION("""COMPUTED_VALUE"""),"ORG_2094")</f>
        <v/>
      </c>
      <c r="C482" s="1">
        <f>IFERROR(__xludf.DUMMYFUNCTION("""COMPUTED_VALUE"""),TRUE)</f>
        <v/>
      </c>
      <c r="D482" s="1">
        <f>IFERROR(__xludf.DUMMYFUNCTION("""COMPUTED_VALUE"""),"Pelephant GmbH")</f>
        <v/>
      </c>
      <c r="E482" s="15">
        <f>IFERROR(__xludf.DUMMYFUNCTION("""COMPUTED_VALUE"""),"pelephant.com/mo")</f>
        <v/>
      </c>
      <c r="F482" s="1">
        <f>IFERROR(__xludf.DUMMYFUNCTION("""COMPUTED_VALUE"""),"At Pelephant, we want to sustainably improve the future of learning.
Our first project is ModusOperandi, an app which verifies your individual handwritten math solutions through the simple click on a button.
ModusOperandi works with three simple steps: So"&amp;"lve I Scan I Learn
Solve: Solve your exercises and tasks as you did before, e.g with pen &amp; paper or on a tablet. Scan: Scan your solution paths with M.O. or upload a picture from your gallery.
​ Learn: Get instant feedback on whether your solution is righ"&amp;"t or wrong.
Find out what exactly you calculated wrong and get hints on how to solve it correctly. If you need a quick revision, you even have the possibility to watch short explanatory videos.
We are your #teacherinpocket - we can help you 24/7.")</f>
        <v/>
      </c>
      <c r="G482" s="1">
        <f>IFERROR(__xludf.DUMMYFUNCTION("""COMPUTED_VALUE"""),"I'm not part of any EdTech association")</f>
        <v/>
      </c>
      <c r="H482" s="1">
        <f>IFERROR(__xludf.DUMMYFUNCTION("""COMPUTED_VALUE"""),"English, German, French, Croatian, Ukrainian, Russian")</f>
        <v/>
      </c>
      <c r="I482" s="1">
        <f>IFERROR(__xludf.DUMMYFUNCTION("""COMPUTED_VALUE"""),"ramona@pelephant.com")</f>
        <v/>
      </c>
      <c r="J482" s="1" t="n"/>
      <c r="K482" s="1">
        <f>IFERROR(__xludf.DUMMYFUNCTION("""COMPUTED_VALUE"""),"ZURICH")</f>
        <v/>
      </c>
      <c r="L482" s="1">
        <f>IFERROR(__xludf.DUMMYFUNCTION("""COMPUTED_VALUE"""),"Switzerland")</f>
        <v/>
      </c>
      <c r="M48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82" s="1">
        <f>IFERROR(__xludf.DUMMYFUNCTION("""COMPUTED_VALUE"""),"0 to 2")</f>
        <v/>
      </c>
      <c r="O482" s="1">
        <f>IFERROR(__xludf.DUMMYFUNCTION("""COMPUTED_VALUE"""),"Business to Business, Business to Consumer, Business to Schools")</f>
        <v/>
      </c>
      <c r="P482" s="1">
        <f>IFERROR(__xludf.DUMMYFUNCTION("""COMPUTED_VALUE"""),"Secondary Education, Lifelong learning/Adult education")</f>
        <v/>
      </c>
      <c r="Q482" s="1">
        <f>IFERROR(__xludf.DUMMYFUNCTION("""COMPUTED_VALUE"""),"System/Administrative, Student interfacing, Teacher interfacing")</f>
        <v/>
      </c>
      <c r="R482" s="1" t="n"/>
      <c r="S482" s="1" t="n"/>
      <c r="T482" s="15">
        <f>IFERROR(__xludf.DUMMYFUNCTION("""COMPUTED_VALUE"""),"https://www.linkedin.com/company/pelephant/")</f>
        <v/>
      </c>
      <c r="U482" s="1">
        <f>IFERROR(__xludf.DUMMYFUNCTION("""COMPUTED_VALUE"""),"ModusOperandi App")</f>
        <v/>
      </c>
      <c r="V482" s="1">
        <f>IFERROR(__xludf.DUMMYFUNCTION("""COMPUTED_VALUE"""),"ModusOperandi verifies handwritten math solution paths via the simple click on a button. Besides the line-by-line analysis of the pupil's solution, ModusOperandi shows where the error happened, how to get to the correct solution and also videos which shor"&amp;"tly repeat the topic. Additionally, similar tasks are provided which can be used for further practice on the topic.
Unlike other math apps, we will never just show the correct solutions, because we want pupils to improve their math skills.")</f>
        <v/>
      </c>
      <c r="W482" s="1" t="n"/>
      <c r="X482" s="1" t="n"/>
      <c r="Y482" s="15">
        <f>IFERROR(__xludf.DUMMYFUNCTION("""COMPUTED_VALUE"""),"https://drive.google.com/uc?export=view&amp;id=1OCQDKvmEYzOXeSV8t_0B8LlFA_B9pz0b")</f>
        <v/>
      </c>
      <c r="Z482" s="1">
        <f>IFERROR(__xludf.DUMMYFUNCTION("""COMPUTED_VALUE"""),"Unverified")</f>
        <v/>
      </c>
      <c r="AA482" s="1" t="n"/>
      <c r="AB482" s="1" t="n"/>
      <c r="AC482" s="1" t="n"/>
      <c r="AD482" s="1" t="n"/>
      <c r="AE482" s="1" t="n"/>
    </row>
    <row r="483" ht="42" customHeight="1">
      <c r="A483" s="14">
        <f>IFERROR(__xludf.DUMMYFUNCTION("""COMPUTED_VALUE"""),45358)</f>
        <v/>
      </c>
      <c r="B483" s="1">
        <f>IFERROR(__xludf.DUMMYFUNCTION("""COMPUTED_VALUE"""),"ORG_1231")</f>
        <v/>
      </c>
      <c r="C483" s="1">
        <f>IFERROR(__xludf.DUMMYFUNCTION("""COMPUTED_VALUE"""),TRUE)</f>
        <v/>
      </c>
      <c r="D483" s="1">
        <f>IFERROR(__xludf.DUMMYFUNCTION("""COMPUTED_VALUE"""),"ChatLicense")</f>
        <v/>
      </c>
      <c r="E483" s="15">
        <f>IFERROR(__xludf.DUMMYFUNCTION("""COMPUTED_VALUE"""),"www.chatlicense.com")</f>
        <v/>
      </c>
      <c r="F483" s="1">
        <f>IFERROR(__xludf.DUMMYFUNCTION("""COMPUTED_VALUE"""),"ChatLicense is your guide in online life. We help navigate kids and their parents in one family app. Together you will discover the online world that comes along with the first smartphone of your child. Are you ready to outsmart your phone? 
We are setti"&amp;"ng the new standard for productive and educational conversations from the moment children start using their first smartphone, we aim to make a lasting impact on the lives of families worldwide.")</f>
        <v/>
      </c>
      <c r="G483" s="1">
        <f>IFERROR(__xludf.DUMMYFUNCTION("""COMPUTED_VALUE"""),"Dutch EdTech")</f>
        <v/>
      </c>
      <c r="H483" s="1">
        <f>IFERROR(__xludf.DUMMYFUNCTION("""COMPUTED_VALUE"""),"Dutch, English")</f>
        <v/>
      </c>
      <c r="I483" s="1">
        <f>IFERROR(__xludf.DUMMYFUNCTION("""COMPUTED_VALUE"""),"info@chatlicense.com")</f>
        <v/>
      </c>
      <c r="J483" s="1" t="n"/>
      <c r="K483" s="1">
        <f>IFERROR(__xludf.DUMMYFUNCTION("""COMPUTED_VALUE"""),"ROTTERDAM")</f>
        <v/>
      </c>
      <c r="L483" s="1">
        <f>IFERROR(__xludf.DUMMYFUNCTION("""COMPUTED_VALUE"""),"The Netherlands")</f>
        <v/>
      </c>
      <c r="M483" s="1">
        <f>IFERROR(__xludf.DUMMYFUNCTION("""COMPUTED_VALUE"""),"Austria, Belgium, Croatia, Cyprus, Denmark, Finland, France, Germany, Greece, Ireland, Italy, Luxembourg, Netherlands, Portugal, Slovakia, Slovenia, Spain, Sweden, Switzerland, United Kingdom")</f>
        <v/>
      </c>
      <c r="N483" s="1">
        <f>IFERROR(__xludf.DUMMYFUNCTION("""COMPUTED_VALUE"""),"3 to 5")</f>
        <v/>
      </c>
      <c r="O483" s="1">
        <f>IFERROR(__xludf.DUMMYFUNCTION("""COMPUTED_VALUE"""),"Business to Business, Business to Schools, Business to Consumer, Business to Government")</f>
        <v/>
      </c>
      <c r="P483" s="1">
        <f>IFERROR(__xludf.DUMMYFUNCTION("""COMPUTED_VALUE"""),"Primary Education, Secondary Education")</f>
        <v/>
      </c>
      <c r="Q483" s="1">
        <f>IFERROR(__xludf.DUMMYFUNCTION("""COMPUTED_VALUE"""),"System/Administrative, Student interfacing")</f>
        <v/>
      </c>
      <c r="R483" s="15">
        <f>IFERROR(__xludf.DUMMYFUNCTION("""COMPUTED_VALUE"""),"https://www.instagram.com/chatlicense")</f>
        <v/>
      </c>
      <c r="S483" s="1" t="n"/>
      <c r="T483" s="15">
        <f>IFERROR(__xludf.DUMMYFUNCTION("""COMPUTED_VALUE"""),"https://www.linkedin.com/company/chatlicense/")</f>
        <v/>
      </c>
      <c r="U483" s="1">
        <f>IFERROR(__xludf.DUMMYFUNCTION("""COMPUTED_VALUE"""),"ChatLicense")</f>
        <v/>
      </c>
      <c r="V483" s="1">
        <f>IFERROR(__xludf.DUMMYFUNCTION("""COMPUTED_VALUE"""),"ChatLicense is an online guide for kids &amp; parents. It's the new standarrd start whenever a child gets their first phone. It acts as an exam app for kids where they learn how to behave online with the experience game through education, training &amp; modeling."&amp;" For parents it includes in one platform all the information they need to know about the online world of their kids. An extensive App Guide, the latest news and conversation starters to connect.")</f>
        <v/>
      </c>
      <c r="W483" s="1" t="n"/>
      <c r="X483" s="1" t="n"/>
      <c r="Y483" s="15">
        <f>IFERROR(__xludf.DUMMYFUNCTION("""COMPUTED_VALUE"""),"https://drive.google.com/uc?export=view&amp;id=19HMKy6oLFZxKEdC7uEXkiS3-7CQp7vmm")</f>
        <v/>
      </c>
      <c r="Z483" s="1">
        <f>IFERROR(__xludf.DUMMYFUNCTION("""COMPUTED_VALUE"""),"Unverified")</f>
        <v/>
      </c>
      <c r="AA483" s="1" t="n"/>
      <c r="AB483" s="1" t="n"/>
      <c r="AC483" s="1" t="n"/>
      <c r="AD483" s="1" t="n"/>
      <c r="AE483" s="1" t="n"/>
    </row>
    <row r="484" ht="42" customHeight="1">
      <c r="A484" s="14">
        <f>IFERROR(__xludf.DUMMYFUNCTION("""COMPUTED_VALUE"""),45355)</f>
        <v/>
      </c>
      <c r="B484" s="1">
        <f>IFERROR(__xludf.DUMMYFUNCTION("""COMPUTED_VALUE"""),"ORG_2303")</f>
        <v/>
      </c>
      <c r="C484" s="1">
        <f>IFERROR(__xludf.DUMMYFUNCTION("""COMPUTED_VALUE"""),TRUE)</f>
        <v/>
      </c>
      <c r="D484" s="1">
        <f>IFERROR(__xludf.DUMMYFUNCTION("""COMPUTED_VALUE"""),"SparkOn")</f>
        <v/>
      </c>
      <c r="E484" s="15">
        <f>IFERROR(__xludf.DUMMYFUNCTION("""COMPUTED_VALUE"""),"https://sparkon.org")</f>
        <v/>
      </c>
      <c r="F484" s="1">
        <f>IFERROR(__xludf.DUMMYFUNCTION("""COMPUTED_VALUE"""),"SparkOn is an intergenerational community for sharing knowledge, practical experiences and life skills, LIVE, online or in-person. 
Our platform is an inclusive space that empowers people to share their knowledge, engages them through meaningful connecti"&amp;"ons and enriches them through live, interactive learning.
Everyone – no matter how old they are, where they come from or what their experiences – can contribute something meaningful and have a positive impact on others. SparkOn plays an active role in he"&amp;"lping people find their purpose and empowering them through workshops to (re)discover their talents.")</f>
        <v/>
      </c>
      <c r="G484" s="1">
        <f>IFERROR(__xludf.DUMMYFUNCTION("""COMPUTED_VALUE"""),"Dutch EdTech")</f>
        <v/>
      </c>
      <c r="H484" s="1">
        <f>IFERROR(__xludf.DUMMYFUNCTION("""COMPUTED_VALUE"""),"English, Dutch")</f>
        <v/>
      </c>
      <c r="I484" s="1">
        <f>IFERROR(__xludf.DUMMYFUNCTION("""COMPUTED_VALUE"""),"info@sparkon.org")</f>
        <v/>
      </c>
      <c r="J484" s="1" t="n"/>
      <c r="K484" s="1">
        <f>IFERROR(__xludf.DUMMYFUNCTION("""COMPUTED_VALUE"""),"Amsterdam")</f>
        <v/>
      </c>
      <c r="L484" s="1">
        <f>IFERROR(__xludf.DUMMYFUNCTION("""COMPUTED_VALUE"""),"The Netherlands")</f>
        <v/>
      </c>
      <c r="M484" s="1">
        <f>IFERROR(__xludf.DUMMYFUNCTION("""COMPUTED_VALUE"""),"Netherlands")</f>
        <v/>
      </c>
      <c r="N484" s="1">
        <f>IFERROR(__xludf.DUMMYFUNCTION("""COMPUTED_VALUE"""),"0 to 2")</f>
        <v/>
      </c>
      <c r="O484" s="1">
        <f>IFERROR(__xludf.DUMMYFUNCTION("""COMPUTED_VALUE"""),"Business to Business, Business to Schools, Business to Consumer, Business to Government")</f>
        <v/>
      </c>
      <c r="P484" s="1">
        <f>IFERROR(__xludf.DUMMYFUNCTION("""COMPUTED_VALUE"""),"Lifelong learning/Adult education")</f>
        <v/>
      </c>
      <c r="Q484" s="1">
        <f>IFERROR(__xludf.DUMMYFUNCTION("""COMPUTED_VALUE"""),"Student interfacing")</f>
        <v/>
      </c>
      <c r="R484" s="15">
        <f>IFERROR(__xludf.DUMMYFUNCTION("""COMPUTED_VALUE"""),"https://www.instagram.com/sparkon_org/")</f>
        <v/>
      </c>
      <c r="S484" s="15">
        <f>IFERROR(__xludf.DUMMYFUNCTION("""COMPUTED_VALUE"""),"https://twitter.com/SparkOn_org")</f>
        <v/>
      </c>
      <c r="T484" s="15">
        <f>IFERROR(__xludf.DUMMYFUNCTION("""COMPUTED_VALUE"""),"https://www.linkedin.com/company/spark-on")</f>
        <v/>
      </c>
      <c r="U484" s="1" t="n"/>
      <c r="V484" s="1" t="n"/>
      <c r="W484" s="1" t="n"/>
      <c r="X484" s="1" t="n"/>
      <c r="Y484" s="15">
        <f>IFERROR(__xludf.DUMMYFUNCTION("""COMPUTED_VALUE"""),"https://drive.google.com/uc?export=view&amp;id=1fanAQlpkGrvrX-axIxK4WUj9hkYG47ST")</f>
        <v/>
      </c>
      <c r="Z484" s="1">
        <f>IFERROR(__xludf.DUMMYFUNCTION("""COMPUTED_VALUE"""),"Unverified")</f>
        <v/>
      </c>
      <c r="AA484" s="1" t="n"/>
      <c r="AB484" s="1" t="n"/>
      <c r="AC484" s="1" t="n"/>
      <c r="AD484" s="1" t="n"/>
      <c r="AE484" s="1" t="n"/>
    </row>
    <row r="485" ht="42" customHeight="1">
      <c r="A485" s="14">
        <f>IFERROR(__xludf.DUMMYFUNCTION("""COMPUTED_VALUE"""),45351)</f>
        <v/>
      </c>
      <c r="B485" s="1">
        <f>IFERROR(__xludf.DUMMYFUNCTION("""COMPUTED_VALUE"""),"ORG_2374")</f>
        <v/>
      </c>
      <c r="C485" s="1">
        <f>IFERROR(__xludf.DUMMYFUNCTION("""COMPUTED_VALUE"""),TRUE)</f>
        <v/>
      </c>
      <c r="D485" s="1">
        <f>IFERROR(__xludf.DUMMYFUNCTION("""COMPUTED_VALUE"""),"TeachersPRO")</f>
        <v/>
      </c>
      <c r="E485" s="15">
        <f>IFERROR(__xludf.DUMMYFUNCTION("""COMPUTED_VALUE"""),"https://teacherspro.com/contacto/")</f>
        <v/>
      </c>
      <c r="F485" s="1">
        <f>IFERROR(__xludf.DUMMYFUNCTION("""COMPUTED_VALUE"""),"Best teachers are made, not born! TeachersPRO is a community-driven platform based on a unique post-course instructional design in 3 circles of support (peer-to-peer, learning analytics for institutional support, and AI Mentoring) that ensures transfer to"&amp;" professional practice through Learning Challenges within a framework of 16 critical competencies and more than 100 skills based on the best of Finnish pedagogy for teacher professional development in a lifelong learning approach.")</f>
        <v/>
      </c>
      <c r="G485" s="1">
        <f>IFERROR(__xludf.DUMMYFUNCTION("""COMPUTED_VALUE"""),"EdTech Finland")</f>
        <v/>
      </c>
      <c r="H485" s="1">
        <f>IFERROR(__xludf.DUMMYFUNCTION("""COMPUTED_VALUE"""),"Spanish, English, Finnish, Swedish, Portuguese")</f>
        <v/>
      </c>
      <c r="I485" s="1">
        <f>IFERROR(__xludf.DUMMYFUNCTION("""COMPUTED_VALUE"""),"contact@teacherspro.com")</f>
        <v/>
      </c>
      <c r="J485" s="1">
        <f>IFERROR(__xludf.DUMMYFUNCTION("""COMPUTED_VALUE"""),"+358 451446090")</f>
        <v/>
      </c>
      <c r="K485" s="1">
        <f>IFERROR(__xludf.DUMMYFUNCTION("""COMPUTED_VALUE"""),"Turku")</f>
        <v/>
      </c>
      <c r="L485" s="1">
        <f>IFERROR(__xludf.DUMMYFUNCTION("""COMPUTED_VALUE"""),"Finland")</f>
        <v/>
      </c>
      <c r="M485" s="1">
        <f>IFERROR(__xludf.DUMMYFUNCTION("""COMPUTED_VALUE"""),"Finland, Spain")</f>
        <v/>
      </c>
      <c r="N485" s="1">
        <f>IFERROR(__xludf.DUMMYFUNCTION("""COMPUTED_VALUE"""),"3 to 5")</f>
        <v/>
      </c>
      <c r="O485" s="1">
        <f>IFERROR(__xludf.DUMMYFUNCTION("""COMPUTED_VALUE"""),"Business to Business, Business to Schools, Business to Consumer, Business to Government")</f>
        <v/>
      </c>
      <c r="P485" s="1">
        <f>IFERROR(__xludf.DUMMYFUNCTION("""COMPUTED_VALUE"""),"Early childhood development (0-5 years), Primary Education, Secondary Education, Corporate Training, Lifelong learning/Adult education, Vocational Education and Training (VET), Higher Education")</f>
        <v/>
      </c>
      <c r="Q485" s="1">
        <f>IFERROR(__xludf.DUMMYFUNCTION("""COMPUTED_VALUE"""),"Teacher interfacing, System/Administrative")</f>
        <v/>
      </c>
      <c r="R485" s="1" t="n"/>
      <c r="S485" s="15">
        <f>IFERROR(__xludf.DUMMYFUNCTION("""COMPUTED_VALUE"""),"https://twitter.com/TeachersPro_Es")</f>
        <v/>
      </c>
      <c r="T485" s="15">
        <f>IFERROR(__xludf.DUMMYFUNCTION("""COMPUTED_VALUE"""),"https://www.linkedin.com/company/teacherspro/")</f>
        <v/>
      </c>
      <c r="U485" s="1" t="n"/>
      <c r="V485" s="1" t="n"/>
      <c r="W485" s="1" t="n"/>
      <c r="X485" s="1" t="n"/>
      <c r="Y485" s="15">
        <f>IFERROR(__xludf.DUMMYFUNCTION("""COMPUTED_VALUE"""),"https://drive.google.com/uc?export=view&amp;id=1zwCK6yKmNUsOgujDgjy_gqmMsAwz8sCt")</f>
        <v/>
      </c>
      <c r="Z485" s="1">
        <f>IFERROR(__xludf.DUMMYFUNCTION("""COMPUTED_VALUE"""),"Unverified")</f>
        <v/>
      </c>
      <c r="AA485" s="1" t="n"/>
      <c r="AB485" s="1" t="n"/>
      <c r="AC485" s="1" t="n"/>
      <c r="AD485" s="1" t="n"/>
      <c r="AE485" s="1" t="n"/>
    </row>
    <row r="486" ht="42" customHeight="1">
      <c r="A486" s="14">
        <f>IFERROR(__xludf.DUMMYFUNCTION("""COMPUTED_VALUE"""),45343)</f>
        <v/>
      </c>
      <c r="B486" s="1">
        <f>IFERROR(__xludf.DUMMYFUNCTION("""COMPUTED_VALUE"""),"ORG_2321")</f>
        <v/>
      </c>
      <c r="C486" s="1">
        <f>IFERROR(__xludf.DUMMYFUNCTION("""COMPUTED_VALUE"""),TRUE)</f>
        <v/>
      </c>
      <c r="D486" s="15">
        <f>IFERROR(__xludf.DUMMYFUNCTION("""COMPUTED_VALUE"""),"steamprogramedu.com")</f>
        <v/>
      </c>
      <c r="E486" s="15">
        <f>IFERROR(__xludf.DUMMYFUNCTION("""COMPUTED_VALUE"""),"https://steamprogramedu.com")</f>
        <v/>
      </c>
      <c r="F486" s="1">
        <f>IFERROR(__xludf.DUMMYFUNCTION("""COMPUTED_VALUE"""),"Artificial intelligence theory and simple programming practice from 10 years old. Using and programming drones in the classroom.")</f>
        <v/>
      </c>
      <c r="G486" s="1">
        <f>IFERROR(__xludf.DUMMYFUNCTION("""COMPUTED_VALUE"""),"EduTech Hungary")</f>
        <v/>
      </c>
      <c r="H486" s="1">
        <f>IFERROR(__xludf.DUMMYFUNCTION("""COMPUTED_VALUE"""),"Hungarian")</f>
        <v/>
      </c>
      <c r="I486" s="1">
        <f>IFERROR(__xludf.DUMMYFUNCTION("""COMPUTED_VALUE"""),"zsigmond.kiss@gmail.com")</f>
        <v/>
      </c>
      <c r="J486" s="1">
        <f>IFERROR(__xludf.DUMMYFUNCTION("""COMPUTED_VALUE"""),"+36203628838")</f>
        <v/>
      </c>
      <c r="K486" s="1">
        <f>IFERROR(__xludf.DUMMYFUNCTION("""COMPUTED_VALUE"""),"BUDAPEST")</f>
        <v/>
      </c>
      <c r="L486" s="1">
        <f>IFERROR(__xludf.DUMMYFUNCTION("""COMPUTED_VALUE"""),"Hungary")</f>
        <v/>
      </c>
      <c r="M486" s="1">
        <f>IFERROR(__xludf.DUMMYFUNCTION("""COMPUTED_VALUE"""),"Hungary")</f>
        <v/>
      </c>
      <c r="N486" s="1">
        <f>IFERROR(__xludf.DUMMYFUNCTION("""COMPUTED_VALUE"""),"0 to 2")</f>
        <v/>
      </c>
      <c r="O486" s="1">
        <f>IFERROR(__xludf.DUMMYFUNCTION("""COMPUTED_VALUE"""),"Business to Schools")</f>
        <v/>
      </c>
      <c r="P486" s="1">
        <f>IFERROR(__xludf.DUMMYFUNCTION("""COMPUTED_VALUE"""),"Primary Education, Secondary Education, Corporate Training, Lifelong learning/Adult education, Vocational Education and Training (VET), Higher Education")</f>
        <v/>
      </c>
      <c r="Q486" s="1">
        <f>IFERROR(__xludf.DUMMYFUNCTION("""COMPUTED_VALUE"""),"Student interfacing, Teacher interfacing")</f>
        <v/>
      </c>
      <c r="R486" s="1" t="n"/>
      <c r="S486" s="1" t="n"/>
      <c r="T486" s="1" t="n"/>
      <c r="U486" s="1">
        <f>IFERROR(__xludf.DUMMYFUNCTION("""COMPUTED_VALUE"""),"AI and robotics education")</f>
        <v/>
      </c>
      <c r="V486" s="1">
        <f>IFERROR(__xludf.DUMMYFUNCTION("""COMPUTED_VALUE"""),"Artificial intelligence theory and simple programming practice from 10 years old. Using and programming drones in the classroom")</f>
        <v/>
      </c>
      <c r="W486" s="1" t="n"/>
      <c r="X486" s="1" t="n"/>
      <c r="Y486" s="15">
        <f>IFERROR(__xludf.DUMMYFUNCTION("""COMPUTED_VALUE"""),"https://drive.google.com/uc?export=view&amp;id=1DXDkljr6ULI_DAQMXq4E39Bmu4zCw-Gi")</f>
        <v/>
      </c>
      <c r="Z486" s="1">
        <f>IFERROR(__xludf.DUMMYFUNCTION("""COMPUTED_VALUE"""),"Unverified")</f>
        <v/>
      </c>
      <c r="AA486" s="1" t="n"/>
      <c r="AB486" s="1" t="n"/>
      <c r="AC486" s="1" t="n"/>
      <c r="AD486" s="1" t="n"/>
      <c r="AE486" s="1" t="n"/>
    </row>
    <row r="487" ht="42" customHeight="1">
      <c r="A487" s="14">
        <f>IFERROR(__xludf.DUMMYFUNCTION("""COMPUTED_VALUE"""),45336)</f>
        <v/>
      </c>
      <c r="B487" s="1">
        <f>IFERROR(__xludf.DUMMYFUNCTION("""COMPUTED_VALUE"""),"ORG_1411")</f>
        <v/>
      </c>
      <c r="C487" s="1">
        <f>IFERROR(__xludf.DUMMYFUNCTION("""COMPUTED_VALUE"""),TRUE)</f>
        <v/>
      </c>
      <c r="D487" s="1">
        <f>IFERROR(__xludf.DUMMYFUNCTION("""COMPUTED_VALUE"""),"EditAI")</f>
        <v/>
      </c>
      <c r="E487" s="15">
        <f>IFERROR(__xludf.DUMMYFUNCTION("""COMPUTED_VALUE"""),"https://editai.co")</f>
        <v/>
      </c>
      <c r="F487" s="1">
        <f>IFERROR(__xludf.DUMMYFUNCTION("""COMPUTED_VALUE"""),"EditAI assists teachers in organizing multidisciplinary education for students in grades 1-12, combining different topics and everyday life with the help of AI. The tool saves teachers' time, helps them find new ideas to improve the educational process, a"&amp;"nd actualizes the learning content for today's students.")</f>
        <v/>
      </c>
      <c r="G487" s="1">
        <f>IFERROR(__xludf.DUMMYFUNCTION("""COMPUTED_VALUE"""),"I'm not part of any EdTech association")</f>
        <v/>
      </c>
      <c r="H487" s="1" t="n"/>
      <c r="I487" s="1">
        <f>IFERROR(__xludf.DUMMYFUNCTION("""COMPUTED_VALUE"""),"hello@editAI.co")</f>
        <v/>
      </c>
      <c r="J487" s="1" t="n"/>
      <c r="K487" s="1">
        <f>IFERROR(__xludf.DUMMYFUNCTION("""COMPUTED_VALUE"""),"VILNIUS")</f>
        <v/>
      </c>
      <c r="L487" s="1">
        <f>IFERROR(__xludf.DUMMYFUNCTION("""COMPUTED_VALUE"""),"Lithuania")</f>
        <v/>
      </c>
      <c r="M487" s="1">
        <f>IFERROR(__xludf.DUMMYFUNCTION("""COMPUTED_VALUE"""),"Lithuania")</f>
        <v/>
      </c>
      <c r="N487" s="1">
        <f>IFERROR(__xludf.DUMMYFUNCTION("""COMPUTED_VALUE"""),"6 to 10")</f>
        <v/>
      </c>
      <c r="O487" s="1">
        <f>IFERROR(__xludf.DUMMYFUNCTION("""COMPUTED_VALUE"""),"Business to Business, Business to Schools, Business to Government")</f>
        <v/>
      </c>
      <c r="P487" s="1">
        <f>IFERROR(__xludf.DUMMYFUNCTION("""COMPUTED_VALUE"""),"Primary Education, Secondary Education, Higher Education")</f>
        <v/>
      </c>
      <c r="Q487" s="1">
        <f>IFERROR(__xludf.DUMMYFUNCTION("""COMPUTED_VALUE"""),"Teacher interfacing")</f>
        <v/>
      </c>
      <c r="R487" s="1" t="n"/>
      <c r="S487" s="1" t="n"/>
      <c r="T487" s="15">
        <f>IFERROR(__xludf.DUMMYFUNCTION("""COMPUTED_VALUE"""),"https://www.linkedin.com/company/editai/")</f>
        <v/>
      </c>
      <c r="U487" s="1">
        <f>IFERROR(__xludf.DUMMYFUNCTION("""COMPUTED_VALUE"""),"EditAI - multidisciplinary content generation platform")</f>
        <v/>
      </c>
      <c r="V487" s="1">
        <f>IFERROR(__xludf.DUMMYFUNCTION("""COMPUTED_VALUE"""),"EditAI is built using AI technology to personalize the learning experience and tailor content to students' needs and interests. Teachers select grade, subjects, topics and input contextual information and EditAI instantly generates inter-disciplinary proj"&amp;"ect brief which teachers can later edit themselves. Projects are created according to the formal education programs. 
EditAI improves the quality of lessons with a low time investment and provides all the materials for project implementation.
EditAI doe"&amp;"s not interrupt traditional lessons, but helps to facilitate collaboration among the teachers by providing a school-wide calendar view. It encourages the development of individual talents and abilities, increases the involvement of students in the teachin"&amp;"g process.")</f>
        <v/>
      </c>
      <c r="W487" s="1" t="n"/>
      <c r="X487" s="1" t="n"/>
      <c r="Y487" s="15">
        <f>IFERROR(__xludf.DUMMYFUNCTION("""COMPUTED_VALUE"""),"https://drive.google.com/uc?export=view&amp;id=16R8qaQOaegMszn2Nr1smiXRj1kNf9mas")</f>
        <v/>
      </c>
      <c r="Z487" s="1">
        <f>IFERROR(__xludf.DUMMYFUNCTION("""COMPUTED_VALUE"""),"Unverified")</f>
        <v/>
      </c>
      <c r="AA487" s="1" t="n"/>
      <c r="AB487" s="1" t="n"/>
      <c r="AC487" s="1" t="n"/>
      <c r="AD487" s="1" t="n"/>
      <c r="AE487" s="1" t="n"/>
    </row>
    <row r="488" ht="42" customHeight="1">
      <c r="A488" s="14">
        <f>IFERROR(__xludf.DUMMYFUNCTION("""COMPUTED_VALUE"""),45328)</f>
        <v/>
      </c>
      <c r="B488" s="1">
        <f>IFERROR(__xludf.DUMMYFUNCTION("""COMPUTED_VALUE"""),"ORG_1239")</f>
        <v/>
      </c>
      <c r="C488" s="1">
        <f>IFERROR(__xludf.DUMMYFUNCTION("""COMPUTED_VALUE"""),TRUE)</f>
        <v/>
      </c>
      <c r="D488" s="1">
        <f>IFERROR(__xludf.DUMMYFUNCTION("""COMPUTED_VALUE"""),"CIRKEL")</f>
        <v/>
      </c>
      <c r="E488" s="15">
        <f>IFERROR(__xludf.DUMMYFUNCTION("""COMPUTED_VALUE"""),"www.joinacirkel.com")</f>
        <v/>
      </c>
      <c r="F488" s="1">
        <f>IFERROR(__xludf.DUMMYFUNCTION("""COMPUTED_VALUE"""),"The Solution: AI-Driven True Peer Group Formation and Management
CIRKEL is redefining the landscape of Learning &amp; Development by creating a world where every individual has access to a supportive and trusted peer group. Through our AI-enabled platform, w"&amp;"e are pioneering a Socio-Technical innovation for building meaningful and trusted peer connections within organizations and universities, thereby enhancing learning outcomes and fostering innovation.")</f>
        <v/>
      </c>
      <c r="G488" s="1">
        <f>IFERROR(__xludf.DUMMYFUNCTION("""COMPUTED_VALUE"""),"I'm not part of any EdTech association")</f>
        <v/>
      </c>
      <c r="H488" s="1">
        <f>IFERROR(__xludf.DUMMYFUNCTION("""COMPUTED_VALUE"""),"English")</f>
        <v/>
      </c>
      <c r="I488" s="1">
        <f>IFERROR(__xludf.DUMMYFUNCTION("""COMPUTED_VALUE"""),"nina@joinacirkel.com")</f>
        <v/>
      </c>
      <c r="J488" s="1" t="n"/>
      <c r="K488" s="1">
        <f>IFERROR(__xludf.DUMMYFUNCTION("""COMPUTED_VALUE"""),"BERLIN")</f>
        <v/>
      </c>
      <c r="L488" s="1">
        <f>IFERROR(__xludf.DUMMYFUNCTION("""COMPUTED_VALUE"""),"Germany")</f>
        <v/>
      </c>
      <c r="M488" s="1">
        <f>IFERROR(__xludf.DUMMYFUNCTION("""COMPUTED_VALUE"""),"Germany")</f>
        <v/>
      </c>
      <c r="N488" s="1">
        <f>IFERROR(__xludf.DUMMYFUNCTION("""COMPUTED_VALUE"""),"3 to 5")</f>
        <v/>
      </c>
      <c r="O488" s="1">
        <f>IFERROR(__xludf.DUMMYFUNCTION("""COMPUTED_VALUE"""),"Business to Business, Business to Schools, Business to Government")</f>
        <v/>
      </c>
      <c r="P488" s="1">
        <f>IFERROR(__xludf.DUMMYFUNCTION("""COMPUTED_VALUE"""),"Corporate Training, Lifelong learning/Adult education, Vocational Education and Training (VET), Higher Education")</f>
        <v/>
      </c>
      <c r="Q488" s="1">
        <f>IFERROR(__xludf.DUMMYFUNCTION("""COMPUTED_VALUE"""),"Student interfacing, Teacher interfacing, System/Administrative")</f>
        <v/>
      </c>
      <c r="R488" s="1" t="n"/>
      <c r="S488" s="1" t="n"/>
      <c r="T488" s="1" t="n"/>
      <c r="U488" s="1">
        <f>IFERROR(__xludf.DUMMYFUNCTION("""COMPUTED_VALUE"""),"CIRKEL Web App")</f>
        <v/>
      </c>
      <c r="V488" s="1">
        <f>IFERROR(__xludf.DUMMYFUNCTION("""COMPUTED_VALUE"""),"CIRKEL's innovative SaaS platform:
1. **Intelligent Peer Matching:** Utilizing AI to form peer groups based on shared goals and values
2. **Dynamic Group Facilitation:** AI-driven facilitation and Individualized, private feedback based on social and neur"&amp;"oscience ensures optimal group dynamics and learning outcomes. 
3. **Adaptable Support Tools:** Offering resources to address interpersonal dynamics and enhance group cohesion
4. **Progress Tracking:** Advanced assessments to monitor and foster individual"&amp;" and collective development
5. **Long-Term Engagement:** Enabling continued engagement in peer groups post-program to have CIRKELs for life")</f>
        <v/>
      </c>
      <c r="W488" s="1" t="n"/>
      <c r="X488" s="1" t="n"/>
      <c r="Y488" s="15">
        <f>IFERROR(__xludf.DUMMYFUNCTION("""COMPUTED_VALUE"""),"https://drive.google.com/uc?export=view&amp;id=1-hxqjNVZznLRMfLGvxjDwpVr661TWlK6")</f>
        <v/>
      </c>
      <c r="Z488" s="1">
        <f>IFERROR(__xludf.DUMMYFUNCTION("""COMPUTED_VALUE"""),"Unverified")</f>
        <v/>
      </c>
      <c r="AA488" s="1" t="n"/>
      <c r="AB488" s="1" t="n"/>
      <c r="AC488" s="1" t="n"/>
      <c r="AD488" s="1" t="n"/>
      <c r="AE488" s="1" t="n"/>
    </row>
    <row r="489" ht="42" customHeight="1">
      <c r="A489" s="14">
        <f>IFERROR(__xludf.DUMMYFUNCTION("""COMPUTED_VALUE"""),45323)</f>
        <v/>
      </c>
      <c r="B489" s="1">
        <f>IFERROR(__xludf.DUMMYFUNCTION("""COMPUTED_VALUE"""),"ORG_1489")</f>
        <v/>
      </c>
      <c r="C489" s="1">
        <f>IFERROR(__xludf.DUMMYFUNCTION("""COMPUTED_VALUE"""),TRUE)</f>
        <v/>
      </c>
      <c r="D489" s="1">
        <f>IFERROR(__xludf.DUMMYFUNCTION("""COMPUTED_VALUE"""),"Emeraude Escape")</f>
        <v/>
      </c>
      <c r="E489" s="15">
        <f>IFERROR(__xludf.DUMMYFUNCTION("""COMPUTED_VALUE"""),"www.emeraude-escape.com/en")</f>
        <v/>
      </c>
      <c r="F489" s="1">
        <f>IFERROR(__xludf.DUMMYFUNCTION("""COMPUTED_VALUE"""),"Emeraude is a Paris-based creative agency operating worldwide, specialised in creating interactive and immersive digital experiences enriched with game mechanics, for serious game, internal corporate communications, organisational digital transformation, "&amp;"retail education and training for CAC40 and Fortune 500 companies.
Our savoir-faire of 3D/2D and interactive experiments using Three.js/WebGL allows us to create the experiences that can be seamlessly adaptable to various formats: web-based metaverse, esc"&amp;"ape room, simulation game, hybrid/classroom, microlearning, mobile learning, and Artificial Intelligence/AI-based game.")</f>
        <v/>
      </c>
      <c r="G489" s="1">
        <f>IFERROR(__xludf.DUMMYFUNCTION("""COMPUTED_VALUE"""),"EdTech France")</f>
        <v/>
      </c>
      <c r="H489" s="1">
        <f>IFERROR(__xludf.DUMMYFUNCTION("""COMPUTED_VALUE"""),"English")</f>
        <v/>
      </c>
      <c r="I489" s="1">
        <f>IFERROR(__xludf.DUMMYFUNCTION("""COMPUTED_VALUE"""),"contact@emeraude-escape.com")</f>
        <v/>
      </c>
      <c r="J489" s="1">
        <f>IFERROR(__xludf.DUMMYFUNCTION("""COMPUTED_VALUE"""),"+33 1 43 35 29 71")</f>
        <v/>
      </c>
      <c r="K489" s="1">
        <f>IFERROR(__xludf.DUMMYFUNCTION("""COMPUTED_VALUE"""),"Paris")</f>
        <v/>
      </c>
      <c r="L489" s="1">
        <f>IFERROR(__xludf.DUMMYFUNCTION("""COMPUTED_VALUE"""),"France")</f>
        <v/>
      </c>
      <c r="M489" s="1">
        <f>IFERROR(__xludf.DUMMYFUNCTION("""COMPUTED_VALUE"""),"Belgium, France, Germany, Italy, Spain, Switzerland, Turkey, United Kingdom")</f>
        <v/>
      </c>
      <c r="N489" s="1">
        <f>IFERROR(__xludf.DUMMYFUNCTION("""COMPUTED_VALUE"""),"11 to 50")</f>
        <v/>
      </c>
      <c r="O489" s="1">
        <f>IFERROR(__xludf.DUMMYFUNCTION("""COMPUTED_VALUE"""),"Business to Business")</f>
        <v/>
      </c>
      <c r="P489" s="1">
        <f>IFERROR(__xludf.DUMMYFUNCTION("""COMPUTED_VALUE"""),"Corporate Training")</f>
        <v/>
      </c>
      <c r="Q489" s="1">
        <f>IFERROR(__xludf.DUMMYFUNCTION("""COMPUTED_VALUE"""),"System/Administrative")</f>
        <v/>
      </c>
      <c r="R489" s="1" t="n"/>
      <c r="S489" s="15">
        <f>IFERROR(__xludf.DUMMYFUNCTION("""COMPUTED_VALUE"""),"https://twitter.com/EmeraudeEscape")</f>
        <v/>
      </c>
      <c r="T489" s="15">
        <f>IFERROR(__xludf.DUMMYFUNCTION("""COMPUTED_VALUE"""),"https://www.linkedin.com/company/emeraude-escape-game")</f>
        <v/>
      </c>
      <c r="U489" s="1">
        <f>IFERROR(__xludf.DUMMYFUNCTION("""COMPUTED_VALUE"""),"Bespoke serious game for companies")</f>
        <v/>
      </c>
      <c r="V489" s="1">
        <f>IFERROR(__xludf.DUMMYFUNCTION("""COMPUTED_VALUE"""),"- 100% tailor-made / premium
- web-based
- playable on any devices and any browsers
- easily accessible and lightweight - developed on Three.js and Pixi
- available in multiple languages
- can be updated and enriched regularly
- developed in less than 2 m"&amp;"onths")</f>
        <v/>
      </c>
      <c r="W489" s="1">
        <f>IFERROR(__xludf.DUMMYFUNCTION("""COMPUTED_VALUE"""),"Immersive digital experience")</f>
        <v/>
      </c>
      <c r="X489" s="1">
        <f>IFERROR(__xludf.DUMMYFUNCTION("""COMPUTED_VALUE"""),"- brand activation
- interactive web
- product launch
- marketing campaign
- advertising campaign")</f>
        <v/>
      </c>
      <c r="Y489" s="15">
        <f>IFERROR(__xludf.DUMMYFUNCTION("""COMPUTED_VALUE"""),"https://drive.google.com/uc?export=view&amp;id=1GIfCjZj49Kfbby7Cj7lbjfyVbC52HUPI")</f>
        <v/>
      </c>
      <c r="Z489" s="1">
        <f>IFERROR(__xludf.DUMMYFUNCTION("""COMPUTED_VALUE"""),"Unverified")</f>
        <v/>
      </c>
      <c r="AA489" s="1" t="n"/>
      <c r="AB489" s="1" t="n"/>
      <c r="AC489" s="1" t="n"/>
      <c r="AD489" s="1" t="n"/>
      <c r="AE489" s="1" t="n"/>
    </row>
    <row r="490" ht="42" customHeight="1">
      <c r="A490" s="14">
        <f>IFERROR(__xludf.DUMMYFUNCTION("""COMPUTED_VALUE"""),45322)</f>
        <v/>
      </c>
      <c r="B490" s="1">
        <f>IFERROR(__xludf.DUMMYFUNCTION("""COMPUTED_VALUE"""),"ORG_2526")</f>
        <v/>
      </c>
      <c r="C490" s="1">
        <f>IFERROR(__xludf.DUMMYFUNCTION("""COMPUTED_VALUE"""),TRUE)</f>
        <v/>
      </c>
      <c r="D490" s="1">
        <f>IFERROR(__xludf.DUMMYFUNCTION("""COMPUTED_VALUE"""),"Whippy")</f>
        <v/>
      </c>
      <c r="E490" s="15">
        <f>IFERROR(__xludf.DUMMYFUNCTION("""COMPUTED_VALUE"""),"www.whippy.se")</f>
        <v/>
      </c>
      <c r="F490" s="1">
        <f>IFERROR(__xludf.DUMMYFUNCTION("""COMPUTED_VALUE"""),"Whippy is specialized in digital on- and offboarding. Our unique tech and content strengthens leadership, learning and development - from signing employment contract up until one year in the role.
We continuously measure and evaluate on- and offboarding "&amp;"journeys based on metrics linked to first impression of workplace, expectation management, leadership support, professional development, loyalty and productivity.")</f>
        <v/>
      </c>
      <c r="G490" s="1">
        <f>IFERROR(__xludf.DUMMYFUNCTION("""COMPUTED_VALUE"""),"Swedish EdTech Industry")</f>
        <v/>
      </c>
      <c r="H490" s="1">
        <f>IFERROR(__xludf.DUMMYFUNCTION("""COMPUTED_VALUE"""),"Swedish, English, Spanish, German, Dutch")</f>
        <v/>
      </c>
      <c r="I490" s="1">
        <f>IFERROR(__xludf.DUMMYFUNCTION("""COMPUTED_VALUE"""),"paulin@whippy.se")</f>
        <v/>
      </c>
      <c r="J490" s="1">
        <f>IFERROR(__xludf.DUMMYFUNCTION("""COMPUTED_VALUE"""),"‭+46 72-233 53 13‬")</f>
        <v/>
      </c>
      <c r="K490" s="1">
        <f>IFERROR(__xludf.DUMMYFUNCTION("""COMPUTED_VALUE"""),"Torsgatan 11")</f>
        <v/>
      </c>
      <c r="L490" s="1">
        <f>IFERROR(__xludf.DUMMYFUNCTION("""COMPUTED_VALUE"""),"Sweden")</f>
        <v/>
      </c>
      <c r="M490" s="1">
        <f>IFERROR(__xludf.DUMMYFUNCTION("""COMPUTED_VALUE"""),"Finland, Germany, Netherlands, Norway, Poland, Spain, Sweden, United Kingdom")</f>
        <v/>
      </c>
      <c r="N490" s="1">
        <f>IFERROR(__xludf.DUMMYFUNCTION("""COMPUTED_VALUE"""),"0 to 2")</f>
        <v/>
      </c>
      <c r="O490" s="1">
        <f>IFERROR(__xludf.DUMMYFUNCTION("""COMPUTED_VALUE"""),"Business to Business, Business to Schools, Business to Government")</f>
        <v/>
      </c>
      <c r="P490" s="1">
        <f>IFERROR(__xludf.DUMMYFUNCTION("""COMPUTED_VALUE"""),"Corporate Training")</f>
        <v/>
      </c>
      <c r="Q490" s="1">
        <f>IFERROR(__xludf.DUMMYFUNCTION("""COMPUTED_VALUE"""),"System/Administrative")</f>
        <v/>
      </c>
      <c r="R490" s="1" t="n"/>
      <c r="S490" s="1" t="n"/>
      <c r="T490" s="15">
        <f>IFERROR(__xludf.DUMMYFUNCTION("""COMPUTED_VALUE"""),"www.whippy.se/company/whippyonboarding")</f>
        <v/>
      </c>
      <c r="U490" s="1">
        <f>IFERROR(__xludf.DUMMYFUNCTION("""COMPUTED_VALUE"""),"On- and offboarding")</f>
        <v/>
      </c>
      <c r="V490" s="1">
        <f>IFERROR(__xludf.DUMMYFUNCTION("""COMPUTED_VALUE"""),"Digital on- and offboarding services for new employees and hiring Managers.")</f>
        <v/>
      </c>
      <c r="W490" s="1" t="n"/>
      <c r="X490" s="1" t="n"/>
      <c r="Y490" s="15">
        <f>IFERROR(__xludf.DUMMYFUNCTION("""COMPUTED_VALUE"""),"https://drive.google.com/uc?export=view&amp;id=1VVvCKLhxQEjbwgeQT3rjCkKwV_1clZGX")</f>
        <v/>
      </c>
      <c r="Z490" s="1">
        <f>IFERROR(__xludf.DUMMYFUNCTION("""COMPUTED_VALUE"""),"Unverified")</f>
        <v/>
      </c>
      <c r="AA490" s="1" t="n"/>
      <c r="AB490" s="1" t="n"/>
      <c r="AC490" s="1" t="n"/>
      <c r="AD490" s="1" t="n"/>
      <c r="AE490" s="1" t="n"/>
    </row>
    <row r="491" ht="42" customHeight="1">
      <c r="A491" s="14">
        <f>IFERROR(__xludf.DUMMYFUNCTION("""COMPUTED_VALUE"""),45314)</f>
        <v/>
      </c>
      <c r="B491" s="1">
        <f>IFERROR(__xludf.DUMMYFUNCTION("""COMPUTED_VALUE"""),"ORG_1795")</f>
        <v/>
      </c>
      <c r="C491" s="1">
        <f>IFERROR(__xludf.DUMMYFUNCTION("""COMPUTED_VALUE"""),TRUE)</f>
        <v/>
      </c>
      <c r="D491" s="1">
        <f>IFERROR(__xludf.DUMMYFUNCTION("""COMPUTED_VALUE"""),"Kurve")</f>
        <v/>
      </c>
      <c r="E491" s="15">
        <f>IFERROR(__xludf.DUMMYFUNCTION("""COMPUTED_VALUE"""),"www.kurve.nl")</f>
        <v/>
      </c>
      <c r="F491" s="1">
        <f>IFERROR(__xludf.DUMMYFUNCTION("""COMPUTED_VALUE"""),"We are Kurve, innovative creators of online learning platforms. With our intelligent programs, every student grows at their own level and pace in math and languages. Everyone follows their own learning curve!")</f>
        <v/>
      </c>
      <c r="G491" s="1">
        <f>IFERROR(__xludf.DUMMYFUNCTION("""COMPUTED_VALUE"""),"Dutch EdTech")</f>
        <v/>
      </c>
      <c r="H491" s="1">
        <f>IFERROR(__xludf.DUMMYFUNCTION("""COMPUTED_VALUE"""),"Dutch")</f>
        <v/>
      </c>
      <c r="I491" s="1">
        <f>IFERROR(__xludf.DUMMYFUNCTION("""COMPUTED_VALUE"""),"info@kurve.nl")</f>
        <v/>
      </c>
      <c r="J491" s="1">
        <f>IFERROR(__xludf.DUMMYFUNCTION("""COMPUTED_VALUE"""),"+31(0)297-361664")</f>
        <v/>
      </c>
      <c r="K491" s="1">
        <f>IFERROR(__xludf.DUMMYFUNCTION("""COMPUTED_VALUE"""),"Uithoorn")</f>
        <v/>
      </c>
      <c r="L491" s="1">
        <f>IFERROR(__xludf.DUMMYFUNCTION("""COMPUTED_VALUE"""),"The Netherlands")</f>
        <v/>
      </c>
      <c r="M491" s="1">
        <f>IFERROR(__xludf.DUMMYFUNCTION("""COMPUTED_VALUE"""),"Belgium, Netherlands")</f>
        <v/>
      </c>
      <c r="N491" s="1">
        <f>IFERROR(__xludf.DUMMYFUNCTION("""COMPUTED_VALUE"""),"11 to 50")</f>
        <v/>
      </c>
      <c r="O491" s="1">
        <f>IFERROR(__xludf.DUMMYFUNCTION("""COMPUTED_VALUE"""),"Business to Business, Business to Government")</f>
        <v/>
      </c>
      <c r="P491" s="1">
        <f>IFERROR(__xludf.DUMMYFUNCTION("""COMPUTED_VALUE"""),"Primary Education, Secondary Education")</f>
        <v/>
      </c>
      <c r="Q491" s="1">
        <f>IFERROR(__xludf.DUMMYFUNCTION("""COMPUTED_VALUE"""),"Teacher interfacing, System/Administrative")</f>
        <v/>
      </c>
      <c r="R491" s="15">
        <f>IFERROR(__xludf.DUMMYFUNCTION("""COMPUTED_VALUE"""),"https://www.instagram.com/kurve.nl/")</f>
        <v/>
      </c>
      <c r="S491" s="1" t="n"/>
      <c r="T491" s="15">
        <f>IFERROR(__xludf.DUMMYFUNCTION("""COMPUTED_VALUE"""),"https://www.linkedin.com/search/results/all/?fetchDeterministicClustersOnly=true&amp;heroEntityKey=urn%3Ali%3Aorganization%3A3090886&amp;keywords=kurve&amp;origin=RICH_QUERY_TYPEAHEAD_HISTORY&amp;position=0&amp;searchId=4f2d41e7-f5e2-453c-bcb3-c6e12091e03a&amp;sid=iZd&amp;spellCorre"&amp;"ctionEnabled=true")</f>
        <v/>
      </c>
      <c r="U491" s="1">
        <f>IFERROR(__xludf.DUMMYFUNCTION("""COMPUTED_VALUE"""),"Numo")</f>
        <v/>
      </c>
      <c r="V491" s="1">
        <f>IFERROR(__xludf.DUMMYFUNCTION("""COMPUTED_VALUE"""),"Numo is an online learning tool that allows students to practice the basic skills of Dutch, mathematics, English, and German adaptively until they have reached the intended level.
Adaptive means that the program automatically adjusts to the practice beha"&amp;"vior of students. If a student is proficient in a skill, they progress rapidly. For parts they find challenging, the program slows down, providing the student with extra exercises and more feedback. Numo can draw on practice material up to the 4th grade o"&amp;"f primary school. A student excelling in a skill can continue practicing up to level 3F or even 4F (high school level). That is the great strength of adaptive software!
By mastering the basic skills with Numo, you as a teacher have more time for other en"&amp;"joyable activities, such as individual guidance, theme assignments, interactive forms of work, practicing writing skills, projects related to mathematics, debating, and literature.")</f>
        <v/>
      </c>
      <c r="W491" s="1" t="n"/>
      <c r="X491" s="1" t="n"/>
      <c r="Y491" s="15">
        <f>IFERROR(__xludf.DUMMYFUNCTION("""COMPUTED_VALUE"""),"https://drive.google.com/uc?export=view&amp;id=1-rkRNoTzCFTRmkSCR2zqG84E1Sos-fYy")</f>
        <v/>
      </c>
      <c r="Z491" s="1">
        <f>IFERROR(__xludf.DUMMYFUNCTION("""COMPUTED_VALUE"""),"Unverified")</f>
        <v/>
      </c>
      <c r="AA491" s="1" t="n"/>
      <c r="AB491" s="1" t="n"/>
      <c r="AC491" s="1" t="n"/>
      <c r="AD491" s="1" t="n"/>
      <c r="AE491" s="1" t="n"/>
    </row>
    <row r="492" ht="42" customHeight="1">
      <c r="A492" s="14">
        <f>IFERROR(__xludf.DUMMYFUNCTION("""COMPUTED_VALUE"""),45313)</f>
        <v/>
      </c>
      <c r="B492" s="1">
        <f>IFERROR(__xludf.DUMMYFUNCTION("""COMPUTED_VALUE"""),"ORG_2134")</f>
        <v/>
      </c>
      <c r="C492" s="1">
        <f>IFERROR(__xludf.DUMMYFUNCTION("""COMPUTED_VALUE"""),TRUE)</f>
        <v/>
      </c>
      <c r="D492" s="1">
        <f>IFERROR(__xludf.DUMMYFUNCTION("""COMPUTED_VALUE"""),"PSITIC Research Group")</f>
        <v/>
      </c>
      <c r="E492" s="15">
        <f>IFERROR(__xludf.DUMMYFUNCTION("""COMPUTED_VALUE"""),"http://grpsitic-blanquerna.cat/?page_id=2293")</f>
        <v/>
      </c>
      <c r="F492" s="1">
        <f>IFERROR(__xludf.DUMMYFUNCTION("""COMPUTED_VALUE"""),"The research group in Pedagogy, Society and Innovation with the support of the Information and Communication Technologies – PSITIC, consolidated, recognized and funded (SGR) by the Generalitat of Catalonia; it is part of the Institute for Research in Educ"&amp;"ational Innovation and Leadership of the Faculty of Psychology, Sciences of Education and Sport Blanquerna of the Ramon Llull University (URL).
PSITIC develop their activity in the field of the new socio-educational community, inclusive and networked para"&amp;"digms, and particularly in the area of quality and sustainability of educational transformation and innovation processes, with support of ICT. It does so through a perspective of cross-disciplinary analysis and to a narrative-socio-constructionist and sys"&amp;"temic understanding of educational change.")</f>
        <v/>
      </c>
      <c r="G492" s="1">
        <f>IFERROR(__xludf.DUMMYFUNCTION("""COMPUTED_VALUE"""),"EduTech Cluster Spain")</f>
        <v/>
      </c>
      <c r="H492" s="1" t="n"/>
      <c r="I492" s="1">
        <f>IFERROR(__xludf.DUMMYFUNCTION("""COMPUTED_VALUE"""),"psitic@blanquerna.url.edu")</f>
        <v/>
      </c>
      <c r="J492" s="1">
        <f>IFERROR(__xludf.DUMMYFUNCTION("""COMPUTED_VALUE"""),"+342533000")</f>
        <v/>
      </c>
      <c r="K492" s="1">
        <f>IFERROR(__xludf.DUMMYFUNCTION("""COMPUTED_VALUE"""),"BARCELONA")</f>
        <v/>
      </c>
      <c r="L492" s="1">
        <f>IFERROR(__xludf.DUMMYFUNCTION("""COMPUTED_VALUE"""),"Spain")</f>
        <v/>
      </c>
      <c r="M492" s="1">
        <f>IFERROR(__xludf.DUMMYFUNCTION("""COMPUTED_VALUE"""),"Spain")</f>
        <v/>
      </c>
      <c r="N492" s="1">
        <f>IFERROR(__xludf.DUMMYFUNCTION("""COMPUTED_VALUE"""),"51 to 100")</f>
        <v/>
      </c>
      <c r="O492" s="1">
        <f>IFERROR(__xludf.DUMMYFUNCTION("""COMPUTED_VALUE"""),"Business to Consumer, Business to Government, Business to Schools")</f>
        <v/>
      </c>
      <c r="P492" s="1">
        <f>IFERROR(__xludf.DUMMYFUNCTION("""COMPUTED_VALUE"""),"Early childhood development (0-5 years), Primary Education, Secondary Education, Corporate Training, Lifelong learning/Adult education, Vocational Education and Training (VET), Higher Education")</f>
        <v/>
      </c>
      <c r="Q492" s="1">
        <f>IFERROR(__xludf.DUMMYFUNCTION("""COMPUTED_VALUE"""),"System/Administrative, Student interfacing, Teacher interfacing")</f>
        <v/>
      </c>
      <c r="R492" s="1" t="n"/>
      <c r="S492" s="1" t="n"/>
      <c r="T492" s="1" t="n"/>
      <c r="U492" s="1" t="n"/>
      <c r="V492" s="1" t="n"/>
      <c r="W492" s="1" t="n"/>
      <c r="X492" s="1" t="n"/>
      <c r="Y492" s="15">
        <f>IFERROR(__xludf.DUMMYFUNCTION("""COMPUTED_VALUE"""),"https://drive.google.com/uc?export=view&amp;id=1Q0AajItqjoqjXcbqPx6Ncsp_hphjR1ch")</f>
        <v/>
      </c>
      <c r="Z492" s="1">
        <f>IFERROR(__xludf.DUMMYFUNCTION("""COMPUTED_VALUE"""),"Unverified")</f>
        <v/>
      </c>
      <c r="AA492" s="1" t="n"/>
      <c r="AB492" s="1" t="n"/>
      <c r="AC492" s="1" t="n"/>
      <c r="AD492" s="1" t="n"/>
      <c r="AE492" s="1" t="n"/>
    </row>
    <row r="493" ht="42" customHeight="1">
      <c r="A493" s="14">
        <f>IFERROR(__xludf.DUMMYFUNCTION("""COMPUTED_VALUE"""),45312)</f>
        <v/>
      </c>
      <c r="B493" s="1">
        <f>IFERROR(__xludf.DUMMYFUNCTION("""COMPUTED_VALUE"""),"ORG_1815")</f>
        <v/>
      </c>
      <c r="C493" s="1">
        <f>IFERROR(__xludf.DUMMYFUNCTION("""COMPUTED_VALUE"""),TRUE)</f>
        <v/>
      </c>
      <c r="D493" s="1">
        <f>IFERROR(__xludf.DUMMYFUNCTION("""COMPUTED_VALUE"""),"Lascò")</f>
        <v/>
      </c>
      <c r="E493" s="15">
        <f>IFERROR(__xludf.DUMMYFUNCTION("""COMPUTED_VALUE"""),"www.lasco.io")</f>
        <v/>
      </c>
      <c r="F493" s="1">
        <f>IFERROR(__xludf.DUMMYFUNCTION("""COMPUTED_VALUE"""),"Lascò is a knowledge innovation studio, founded in 2013. 
We are an innovative pmi. We accompany companies, people and organizations on paths of innovation and digital transformation. We firmly believe in the power of the knowledge triangle: in every proj"&amp;"ect we integrate Research, Innovation and Capacity building to generate new knowledge and solutions.")</f>
        <v/>
      </c>
      <c r="G493" s="1">
        <f>IFERROR(__xludf.DUMMYFUNCTION("""COMPUTED_VALUE"""),"I'm not part of any EdTech association")</f>
        <v/>
      </c>
      <c r="H493" s="1">
        <f>IFERROR(__xludf.DUMMYFUNCTION("""COMPUTED_VALUE"""),"English")</f>
        <v/>
      </c>
      <c r="I493" s="1">
        <f>IFERROR(__xludf.DUMMYFUNCTION("""COMPUTED_VALUE"""),"info@lasco.io")</f>
        <v/>
      </c>
      <c r="J493" s="1">
        <f>IFERROR(__xludf.DUMMYFUNCTION("""COMPUTED_VALUE"""),"+39 08231821117")</f>
        <v/>
      </c>
      <c r="K493" s="1">
        <f>IFERROR(__xludf.DUMMYFUNCTION("""COMPUTED_VALUE"""),"CASERTA")</f>
        <v/>
      </c>
      <c r="L493" s="1">
        <f>IFERROR(__xludf.DUMMYFUNCTION("""COMPUTED_VALUE"""),"Italy")</f>
        <v/>
      </c>
      <c r="M493" s="1">
        <f>IFERROR(__xludf.DUMMYFUNCTION("""COMPUTED_VALUE"""),"Italy")</f>
        <v/>
      </c>
      <c r="N493" s="1">
        <f>IFERROR(__xludf.DUMMYFUNCTION("""COMPUTED_VALUE"""),"6 to 10")</f>
        <v/>
      </c>
      <c r="O493" s="1">
        <f>IFERROR(__xludf.DUMMYFUNCTION("""COMPUTED_VALUE"""),"Business to Business, Business to Schools")</f>
        <v/>
      </c>
      <c r="P493" s="1">
        <f>IFERROR(__xludf.DUMMYFUNCTION("""COMPUTED_VALUE"""),"Corporate Training, Lifelong learning/Adult education, Vocational Education and Training (VET)")</f>
        <v/>
      </c>
      <c r="Q493" s="1">
        <f>IFERROR(__xludf.DUMMYFUNCTION("""COMPUTED_VALUE"""),"Student interfacing, Teacher interfacing, System/Administrative")</f>
        <v/>
      </c>
      <c r="R493" s="1" t="n"/>
      <c r="S493" s="1" t="n"/>
      <c r="T493" s="15">
        <f>IFERROR(__xludf.DUMMYFUNCTION("""COMPUTED_VALUE"""),"https://www.linkedin.com/company/lascosrl/")</f>
        <v/>
      </c>
      <c r="U493" s="1">
        <f>IFERROR(__xludf.DUMMYFUNCTION("""COMPUTED_VALUE"""),"GOT IT")</f>
        <v/>
      </c>
      <c r="V493" s="1">
        <f>IFERROR(__xludf.DUMMYFUNCTION("""COMPUTED_VALUE"""),"An Ai based platform to enhance your skills in project and innovation management, soft skills, life skills, entrepreneurship, green skills and digital skills in an engaging and effective way.")</f>
        <v/>
      </c>
      <c r="W493" s="1" t="n"/>
      <c r="X493" s="1" t="n"/>
      <c r="Y493" s="15">
        <f>IFERROR(__xludf.DUMMYFUNCTION("""COMPUTED_VALUE"""),"https://drive.google.com/uc?export=view&amp;id=1G2gqzAuU_dScdYSSFvsyDeCBtDu7n2L7")</f>
        <v/>
      </c>
      <c r="Z493" s="1">
        <f>IFERROR(__xludf.DUMMYFUNCTION("""COMPUTED_VALUE"""),"Unverified")</f>
        <v/>
      </c>
      <c r="AA493" s="1" t="n"/>
      <c r="AB493" s="1" t="n"/>
      <c r="AC493" s="1" t="n"/>
      <c r="AD493" s="1" t="n"/>
      <c r="AE493" s="1" t="n"/>
    </row>
    <row r="494" ht="42" customHeight="1">
      <c r="A494" s="14">
        <f>IFERROR(__xludf.DUMMYFUNCTION("""COMPUTED_VALUE"""),45309)</f>
        <v/>
      </c>
      <c r="B494" s="1">
        <f>IFERROR(__xludf.DUMMYFUNCTION("""COMPUTED_VALUE"""),"ORG_1898")</f>
        <v/>
      </c>
      <c r="C494" s="1">
        <f>IFERROR(__xludf.DUMMYFUNCTION("""COMPUTED_VALUE"""),TRUE)</f>
        <v/>
      </c>
      <c r="D494" s="1">
        <f>IFERROR(__xludf.DUMMYFUNCTION("""COMPUTED_VALUE"""),"Macademia")</f>
        <v/>
      </c>
      <c r="E494" s="15">
        <f>IFERROR(__xludf.DUMMYFUNCTION("""COMPUTED_VALUE"""),"https://www.macademia.com/")</f>
        <v/>
      </c>
      <c r="F494" s="1">
        <f>IFERROR(__xludf.DUMMYFUNCTION("""COMPUTED_VALUE"""),"Macademia is a streaming platform and Edtech group providing educational programming and interactive learning experiences to 250m families globally. Brands include Da Vinci - on streaming apps and TV channels; and Azoomee - learning apps for under 6s.")</f>
        <v/>
      </c>
      <c r="G494" s="1">
        <f>IFERROR(__xludf.DUMMYFUNCTION("""COMPUTED_VALUE"""),"SuperCharger Ventures")</f>
        <v/>
      </c>
      <c r="H494" s="1">
        <f>IFERROR(__xludf.DUMMYFUNCTION("""COMPUTED_VALUE"""),"English, Polish, Hungarian, Romanian, Greek, Turkish")</f>
        <v/>
      </c>
      <c r="I494" s="1">
        <f>IFERROR(__xludf.DUMMYFUNCTION("""COMPUTED_VALUE"""),"estelle.lloyd@macademia.com")</f>
        <v/>
      </c>
      <c r="J494" s="1" t="n"/>
      <c r="K494" s="1">
        <f>IFERROR(__xludf.DUMMYFUNCTION("""COMPUTED_VALUE"""),"London")</f>
        <v/>
      </c>
      <c r="L494" s="1">
        <f>IFERROR(__xludf.DUMMYFUNCTION("""COMPUTED_VALUE"""),"United Kingdom")</f>
        <v/>
      </c>
      <c r="M494" s="1">
        <f>IFERROR(__xludf.DUMMYFUNCTION("""COMPUTED_VALUE"""),"Albania, Austria, Bosnia and Herzegovina, Bulgaria, Croatia, Czechia, Germany, Greece, Hungary, Ireland, Malta, Moldova, Montenegro, Poland, Romania, Russia, Serbia, Slovakia, Slovenia, Turkey, Ukraine, United Kingdom")</f>
        <v/>
      </c>
      <c r="N494" s="1">
        <f>IFERROR(__xludf.DUMMYFUNCTION("""COMPUTED_VALUE"""),"51 to 100")</f>
        <v/>
      </c>
      <c r="O494" s="1">
        <f>IFERROR(__xludf.DUMMYFUNCTION("""COMPUTED_VALUE"""),"Business to Business, Business to Government, Business to Schools")</f>
        <v/>
      </c>
      <c r="P494" s="1">
        <f>IFERROR(__xludf.DUMMYFUNCTION("""COMPUTED_VALUE"""),"Early childhood development (0-5 years), Primary Education")</f>
        <v/>
      </c>
      <c r="Q494" s="1">
        <f>IFERROR(__xludf.DUMMYFUNCTION("""COMPUTED_VALUE"""),"System/Administrative, Student interfacing, Teacher interfacing")</f>
        <v/>
      </c>
      <c r="R494" s="15">
        <f>IFERROR(__xludf.DUMMYFUNCTION("""COMPUTED_VALUE"""),"https://www.instagram.com/davincikids_/")</f>
        <v/>
      </c>
      <c r="S494" s="1" t="n"/>
      <c r="T494" s="15">
        <f>IFERROR(__xludf.DUMMYFUNCTION("""COMPUTED_VALUE"""),"https://www.linkedin.com/company/da-vinci-kids/global/mycompany/")</f>
        <v/>
      </c>
      <c r="U494" s="1">
        <f>IFERROR(__xludf.DUMMYFUNCTION("""COMPUTED_VALUE"""),"Da Vinci")</f>
        <v/>
      </c>
      <c r="V494" s="1">
        <f>IFERROR(__xludf.DUMMYFUNCTION("""COMPUTED_VALUE"""),"Da Vinci is a global streaming platform and educational app servicing 250 million kids &amp; families with video content, learning resources and interactive learning experiences, localised in 22 languages.")</f>
        <v/>
      </c>
      <c r="W494" s="1">
        <f>IFERROR(__xludf.DUMMYFUNCTION("""COMPUTED_VALUE"""),"Azoomee")</f>
        <v/>
      </c>
      <c r="X494" s="1">
        <f>IFERROR(__xludf.DUMMYFUNCTION("""COMPUTED_VALUE"""),"Azoomee is a streaming and educational app for kids under 6.")</f>
        <v/>
      </c>
      <c r="Y494" s="15">
        <f>IFERROR(__xludf.DUMMYFUNCTION("""COMPUTED_VALUE"""),"https://drive.google.com/uc?export=view&amp;id=1xRhz6QsQpmva_P0hTp6sEvfMMK2PhF2m")</f>
        <v/>
      </c>
      <c r="Z494" s="1">
        <f>IFERROR(__xludf.DUMMYFUNCTION("""COMPUTED_VALUE"""),"Unverified")</f>
        <v/>
      </c>
      <c r="AA494" s="1" t="n"/>
      <c r="AB494" s="1" t="n"/>
      <c r="AC494" s="1" t="n"/>
      <c r="AD494" s="1" t="n"/>
      <c r="AE494" s="1" t="n"/>
    </row>
    <row r="495" ht="42" customHeight="1">
      <c r="A495" s="14">
        <f>IFERROR(__xludf.DUMMYFUNCTION("""COMPUTED_VALUE"""),45307)</f>
        <v/>
      </c>
      <c r="B495" s="1">
        <f>IFERROR(__xludf.DUMMYFUNCTION("""COMPUTED_VALUE"""),"ORG_1614")</f>
        <v/>
      </c>
      <c r="C495" s="1">
        <f>IFERROR(__xludf.DUMMYFUNCTION("""COMPUTED_VALUE"""),TRUE)</f>
        <v/>
      </c>
      <c r="D495" s="1">
        <f>IFERROR(__xludf.DUMMYFUNCTION("""COMPUTED_VALUE"""),"Geevoo")</f>
        <v/>
      </c>
      <c r="E495" s="15">
        <f>IFERROR(__xludf.DUMMYFUNCTION("""COMPUTED_VALUE"""),"https://geevoo.de")</f>
        <v/>
      </c>
      <c r="F495" s="1">
        <f>IFERROR(__xludf.DUMMYFUNCTION("""COMPUTED_VALUE"""),"Geevoo ist ein in Bochum ansässiges Unternehmen, das sich auf digitale Schülerausweis-Lösungen spezialisiert hat. Unser Ziel ist es, Schulen und Bildungseinrichtungen dabei zu unterstützen, Verwaltungsaufwand zu minimieren und Schülern moderne, praktische"&amp;" Lösungen für den Schulalltag zu bieten.
Mit ausgewählten Schulen als Referenzkunden erschließen wir den Markt für digitale Schülerausweise in Deutschland. Unser Ziel ist es, den digitalen Schülerausweis als praktisches Lifestyle-Produkt zu etablieren un"&amp;"d die Verwaltung weiter zu optimieren. Geevoo ist Ihr vertrauenswürdiger Partner für digitale Schülerausweise mit Fokus auf Innovation, Datenschutz und Sicherheit – für einen verbesserten Schulalltag.")</f>
        <v/>
      </c>
      <c r="G495" s="1">
        <f>IFERROR(__xludf.DUMMYFUNCTION("""COMPUTED_VALUE"""),"I'm not part of any EdTech association")</f>
        <v/>
      </c>
      <c r="H495" s="1">
        <f>IFERROR(__xludf.DUMMYFUNCTION("""COMPUTED_VALUE"""),"German")</f>
        <v/>
      </c>
      <c r="I495" s="1">
        <f>IFERROR(__xludf.DUMMYFUNCTION("""COMPUTED_VALUE"""),"info@geevoo.de")</f>
        <v/>
      </c>
      <c r="J495" s="1">
        <f>IFERROR(__xludf.DUMMYFUNCTION("""COMPUTED_VALUE"""),"+49 176 51180734")</f>
        <v/>
      </c>
      <c r="K495" s="1">
        <f>IFERROR(__xludf.DUMMYFUNCTION("""COMPUTED_VALUE"""),"Bochum")</f>
        <v/>
      </c>
      <c r="L495" s="1">
        <f>IFERROR(__xludf.DUMMYFUNCTION("""COMPUTED_VALUE"""),"Germany")</f>
        <v/>
      </c>
      <c r="M495" s="1">
        <f>IFERROR(__xludf.DUMMYFUNCTION("""COMPUTED_VALUE"""),"Austria, Germany")</f>
        <v/>
      </c>
      <c r="N495" s="1">
        <f>IFERROR(__xludf.DUMMYFUNCTION("""COMPUTED_VALUE"""),"3 to 5")</f>
        <v/>
      </c>
      <c r="O495" s="1">
        <f>IFERROR(__xludf.DUMMYFUNCTION("""COMPUTED_VALUE"""),"Business to Schools, Business to Consumer, Business to Government")</f>
        <v/>
      </c>
      <c r="P495" s="1">
        <f>IFERROR(__xludf.DUMMYFUNCTION("""COMPUTED_VALUE"""),"Primary Education, Secondary Education, Vocational Education and Training (VET), Higher Education")</f>
        <v/>
      </c>
      <c r="Q495" s="1">
        <f>IFERROR(__xludf.DUMMYFUNCTION("""COMPUTED_VALUE"""),"Teacher interfacing, System/Administrative, Student interfacing")</f>
        <v/>
      </c>
      <c r="R495" s="15">
        <f>IFERROR(__xludf.DUMMYFUNCTION("""COMPUTED_VALUE"""),"https://www.instagram.com/geevoo.de/")</f>
        <v/>
      </c>
      <c r="S495" s="15">
        <f>IFERROR(__xludf.DUMMYFUNCTION("""COMPUTED_VALUE"""),"https://twitter.com/Geevoo_de")</f>
        <v/>
      </c>
      <c r="T495" s="15">
        <f>IFERROR(__xludf.DUMMYFUNCTION("""COMPUTED_VALUE"""),"https://www.linkedin.com/company/geevoo/")</f>
        <v/>
      </c>
      <c r="U495" s="1">
        <f>IFERROR(__xludf.DUMMYFUNCTION("""COMPUTED_VALUE"""),"Digitale Schülerausweis als Smartphone-App")</f>
        <v/>
      </c>
      <c r="V495" s="1">
        <f>IFERROR(__xludf.DUMMYFUNCTION("""COMPUTED_VALUE"""),"Die Geevoo-App ermöglicht es Schülern, ihren Ausweis sicher auf dem Smartphone zu speichern, dank innovativer Technologien wie QR-Codes und kryptografischer Sicherheitsmerkmale. Kein lästiges Mitführen von physischen Ausweisen mehr – Schüler können ihren "&amp;"digitalen Ausweis bequem und sicher jederzeit vorzeigen.
Unsere App bietet nicht nur persönliche Schülerdaten, sondern erlaubt auch das Hinterlegen von individuellen Karten wie Mensa-Karten oder Bibliotheksausweisen. So haben Schüler Zugang zu verschiede"&amp;"nen schulischen Ressourcen und profitieren von Schülerrabatten.")</f>
        <v/>
      </c>
      <c r="W495" s="1">
        <f>IFERROR(__xludf.DUMMYFUNCTION("""COMPUTED_VALUE"""),"Webbasiertes Ausweisverwaltungssystem")</f>
        <v/>
      </c>
      <c r="X495" s="1">
        <f>IFERROR(__xludf.DUMMYFUNCTION("""COMPUTED_VALUE"""),"Die webbasierte Verwaltungsoberfläche ermöglicht Schulen die effiziente Verwaltung digitaler Schülerausweise. Hier können Schülerdaten einfach verwaltet und Ausweise generiert sowie an die Bedürfnisse der Schule angepasst werden. Datenschutz und Sicherhei"&amp;"t stehen dabei im Fokus – die erfassten Daten werden gemäß den Datenschutzbestimmungen geschützt und verschlüsselt.
Um die Einführung unserer Lösungen zu unterstützen, bietet Geevoo umfangreichen Support und Kundendienst. Wir bieten Schulungen für das Pe"&amp;"rsonal an und stellen technischen Support bei Fragen und Problemen zur Verfügung.")</f>
        <v/>
      </c>
      <c r="Y495" s="15">
        <f>IFERROR(__xludf.DUMMYFUNCTION("""COMPUTED_VALUE"""),"https://drive.google.com/uc?export=view&amp;id=1YTOOiazMLn-8rnXIqFWyyKwzUdKTaer0")</f>
        <v/>
      </c>
      <c r="Z495" s="1">
        <f>IFERROR(__xludf.DUMMYFUNCTION("""COMPUTED_VALUE"""),"Unverified")</f>
        <v/>
      </c>
      <c r="AA495" s="1" t="n"/>
      <c r="AB495" s="1" t="n"/>
      <c r="AC495" s="1" t="n"/>
      <c r="AD495" s="1" t="n"/>
      <c r="AE495" s="1" t="n"/>
    </row>
    <row r="496" ht="42" customHeight="1">
      <c r="A496" s="14">
        <f>IFERROR(__xludf.DUMMYFUNCTION("""COMPUTED_VALUE"""),45306)</f>
        <v/>
      </c>
      <c r="B496" s="1">
        <f>IFERROR(__xludf.DUMMYFUNCTION("""COMPUTED_VALUE"""),"ORG_2562")</f>
        <v/>
      </c>
      <c r="C496" s="1">
        <f>IFERROR(__xludf.DUMMYFUNCTION("""COMPUTED_VALUE"""),TRUE)</f>
        <v/>
      </c>
      <c r="D496" s="1">
        <f>IFERROR(__xludf.DUMMYFUNCTION("""COMPUTED_VALUE"""),"Yellow Toad Agency")</f>
        <v/>
      </c>
      <c r="E496" s="15">
        <f>IFERROR(__xludf.DUMMYFUNCTION("""COMPUTED_VALUE"""),"https://www.yellowtoad.agency/")</f>
        <v/>
      </c>
      <c r="F496" s="1">
        <f>IFERROR(__xludf.DUMMYFUNCTION("""COMPUTED_VALUE"""),"Yellow Toad - Your Software Engineering Agency dedicated to transforming educational institutions and enhancing their services for a better future. 
Empowering Education for a Brighter Future.")</f>
        <v/>
      </c>
      <c r="G496" s="1">
        <f>IFERROR(__xludf.DUMMYFUNCTION("""COMPUTED_VALUE"""),"I'm not part of any EdTech association")</f>
        <v/>
      </c>
      <c r="H496" s="1">
        <f>IFERROR(__xludf.DUMMYFUNCTION("""COMPUTED_VALUE"""),"English, Ukrainian")</f>
        <v/>
      </c>
      <c r="I496" s="1">
        <f>IFERROR(__xludf.DUMMYFUNCTION("""COMPUTED_VALUE"""),"directories@yellowtoad.agency")</f>
        <v/>
      </c>
      <c r="J496" s="1" t="n"/>
      <c r="K496" s="1">
        <f>IFERROR(__xludf.DUMMYFUNCTION("""COMPUTED_VALUE"""),"Dnipro")</f>
        <v/>
      </c>
      <c r="L496" s="1">
        <f>IFERROR(__xludf.DUMMYFUNCTION("""COMPUTED_VALUE"""),"Ukraine")</f>
        <v/>
      </c>
      <c r="M496" s="1">
        <f>IFERROR(__xludf.DUMMYFUNCTION("""COMPUTED_VALUE"""),"Austria, Germany, Iceland, Ireland, Lithuania, Netherlands, Switzerland, Ukraine, United Kingdom")</f>
        <v/>
      </c>
      <c r="N496" s="1">
        <f>IFERROR(__xludf.DUMMYFUNCTION("""COMPUTED_VALUE"""),"6 to 10")</f>
        <v/>
      </c>
      <c r="O496" s="1">
        <f>IFERROR(__xludf.DUMMYFUNCTION("""COMPUTED_VALUE"""),"Business to Business, Business to Schools")</f>
        <v/>
      </c>
      <c r="P496" s="1">
        <f>IFERROR(__xludf.DUMMYFUNCTION("""COMPUTED_VALUE"""),"Early childhood development (0-5 years)")</f>
        <v/>
      </c>
      <c r="Q496" s="1">
        <f>IFERROR(__xludf.DUMMYFUNCTION("""COMPUTED_VALUE"""),"System/Administrative")</f>
        <v/>
      </c>
      <c r="R496" s="1" t="n"/>
      <c r="S496" s="1" t="n"/>
      <c r="T496" s="15">
        <f>IFERROR(__xludf.DUMMYFUNCTION("""COMPUTED_VALUE"""),"https://www.linkedin.com/company/98131770/admin/feed/posts/")</f>
        <v/>
      </c>
      <c r="U496" s="1">
        <f>IFERROR(__xludf.DUMMYFUNCTION("""COMPUTED_VALUE"""),"Custom Software Development")</f>
        <v/>
      </c>
      <c r="V496" s="1">
        <f>IFERROR(__xludf.DUMMYFUNCTION("""COMPUTED_VALUE"""),"The service of Custom Software Development helps educational institutions create school management systems and improve daily operations.")</f>
        <v/>
      </c>
      <c r="W496" s="1">
        <f>IFERROR(__xludf.DUMMYFUNCTION("""COMPUTED_VALUE"""),"Software Delivery Consulting")</f>
        <v/>
      </c>
      <c r="X496" s="1">
        <f>IFERROR(__xludf.DUMMYFUNCTION("""COMPUTED_VALUE"""),"The service helps companies with internal teams establish all the processes related to software development, including improvements in technical excellence, project management, and employee growth management, etc.")</f>
        <v/>
      </c>
      <c r="Y496" s="15">
        <f>IFERROR(__xludf.DUMMYFUNCTION("""COMPUTED_VALUE"""),"https://drive.google.com/uc?export=view&amp;id=1oZKLrzOj_ejMf89SxKtUcqJt0TThRdNf")</f>
        <v/>
      </c>
      <c r="Z496" s="1">
        <f>IFERROR(__xludf.DUMMYFUNCTION("""COMPUTED_VALUE"""),"Unverified")</f>
        <v/>
      </c>
      <c r="AA496" s="1" t="n"/>
      <c r="AB496" s="1" t="n"/>
      <c r="AC496" s="1" t="n"/>
      <c r="AD496" s="1" t="n"/>
      <c r="AE496" s="1" t="n"/>
    </row>
    <row r="497" ht="42" customHeight="1">
      <c r="A497" s="14">
        <f>IFERROR(__xludf.DUMMYFUNCTION("""COMPUTED_VALUE"""),45301)</f>
        <v/>
      </c>
      <c r="B497" s="1">
        <f>IFERROR(__xludf.DUMMYFUNCTION("""COMPUTED_VALUE"""),"ORG_2475")</f>
        <v/>
      </c>
      <c r="C497" s="1">
        <f>IFERROR(__xludf.DUMMYFUNCTION("""COMPUTED_VALUE"""),TRUE)</f>
        <v/>
      </c>
      <c r="D497" s="1">
        <f>IFERROR(__xludf.DUMMYFUNCTION("""COMPUTED_VALUE"""),"Upstrive GmbH")</f>
        <v/>
      </c>
      <c r="E497" s="15">
        <f>IFERROR(__xludf.DUMMYFUNCTION("""COMPUTED_VALUE"""),"https://upstrivesystem.com/")</f>
        <v/>
      </c>
      <c r="F497" s="1">
        <f>IFERROR(__xludf.DUMMYFUNCTION("""COMPUTED_VALUE"""),"Upstrive is the ultimate solution for measuring and enhancing student and staff wellbeing and engagement. Our comprehensive platform is thoughtfully designed to cater to all your needs, ensuring that you can effectively manage interventions precisely when"&amp;" and where they are required. With Upstrive, you can expect impactful outcomes for students, staff, and the entire educational institution. Say goodbye to the complexity of wellbeing management and embrace the power of our transformative results.")</f>
        <v/>
      </c>
      <c r="G497" s="1">
        <f>IFERROR(__xludf.DUMMYFUNCTION("""COMPUTED_VALUE"""),"EdTech Austria")</f>
        <v/>
      </c>
      <c r="H497" s="1">
        <f>IFERROR(__xludf.DUMMYFUNCTION("""COMPUTED_VALUE"""),"German, English")</f>
        <v/>
      </c>
      <c r="I497" s="1">
        <f>IFERROR(__xludf.DUMMYFUNCTION("""COMPUTED_VALUE"""),"info@Upstrivesystem.com")</f>
        <v/>
      </c>
      <c r="J497" s="1">
        <f>IFERROR(__xludf.DUMMYFUNCTION("""COMPUTED_VALUE"""),"+43 664 9186685")</f>
        <v/>
      </c>
      <c r="K497" s="1">
        <f>IFERROR(__xludf.DUMMYFUNCTION("""COMPUTED_VALUE"""),"Salzburg")</f>
        <v/>
      </c>
      <c r="L497" s="1">
        <f>IFERROR(__xludf.DUMMYFUNCTION("""COMPUTED_VALUE"""),"Austria")</f>
        <v/>
      </c>
      <c r="M497" s="1">
        <f>IFERROR(__xludf.DUMMYFUNCTION("""COMPUTED_VALUE"""),"Austria, Germany, Ireland, United Kingdom")</f>
        <v/>
      </c>
      <c r="N497" s="1">
        <f>IFERROR(__xludf.DUMMYFUNCTION("""COMPUTED_VALUE"""),"6 to 10")</f>
        <v/>
      </c>
      <c r="O497" s="1">
        <f>IFERROR(__xludf.DUMMYFUNCTION("""COMPUTED_VALUE"""),"Business to Business, Business to Consumer, Business to Government, Business to Schools")</f>
        <v/>
      </c>
      <c r="P497" s="1">
        <f>IFERROR(__xludf.DUMMYFUNCTION("""COMPUTED_VALUE"""),"Primary Education, Secondary Education")</f>
        <v/>
      </c>
      <c r="Q497" s="1">
        <f>IFERROR(__xludf.DUMMYFUNCTION("""COMPUTED_VALUE"""),"System/Administrative, Student interfacing, Teacher interfacing")</f>
        <v/>
      </c>
      <c r="R497" s="1" t="n"/>
      <c r="S497" s="1" t="n"/>
      <c r="T497" s="15">
        <f>IFERROR(__xludf.DUMMYFUNCTION("""COMPUTED_VALUE"""),"https://www.linkedin.com/company/upstrive-well-being")</f>
        <v/>
      </c>
      <c r="U497" s="1">
        <f>IFERROR(__xludf.DUMMYFUNCTION("""COMPUTED_VALUE"""),"Upstrive Education")</f>
        <v/>
      </c>
      <c r="V497" s="1">
        <f>IFERROR(__xludf.DUMMYFUNCTION("""COMPUTED_VALUE"""),"Upstrive a web and mobile application that allows Schools to support, monitor and measure the wellbeing of their staff and students, quickly and effectively. Our application allows for fast, effective, and targeted wellbeing interventions and provides con"&amp;"tent so it can be applied with minimal resources.")</f>
        <v/>
      </c>
      <c r="W497" s="1" t="n"/>
      <c r="X497" s="1" t="n"/>
      <c r="Y497" s="15">
        <f>IFERROR(__xludf.DUMMYFUNCTION("""COMPUTED_VALUE"""),"https://drive.google.com/uc?export=view&amp;id=1W6T8lVwr8EwmuWUZIqR9zmoFMDEpocza")</f>
        <v/>
      </c>
      <c r="Z497" s="1">
        <f>IFERROR(__xludf.DUMMYFUNCTION("""COMPUTED_VALUE"""),"Unverified")</f>
        <v/>
      </c>
      <c r="AA497" s="1" t="n"/>
      <c r="AB497" s="1" t="n"/>
      <c r="AC497" s="1" t="n"/>
      <c r="AD497" s="1" t="n"/>
      <c r="AE497" s="1" t="n"/>
    </row>
    <row r="498" ht="42" customHeight="1">
      <c r="A498" s="14">
        <f>IFERROR(__xludf.DUMMYFUNCTION("""COMPUTED_VALUE"""),45300)</f>
        <v/>
      </c>
      <c r="B498" s="1">
        <f>IFERROR(__xludf.DUMMYFUNCTION("""COMPUTED_VALUE"""),"ORG_1326")</f>
        <v/>
      </c>
      <c r="C498" s="1">
        <f>IFERROR(__xludf.DUMMYFUNCTION("""COMPUTED_VALUE"""),TRUE)</f>
        <v/>
      </c>
      <c r="D498" s="1">
        <f>IFERROR(__xludf.DUMMYFUNCTION("""COMPUTED_VALUE"""),"Da Vinci")</f>
        <v/>
      </c>
      <c r="E498" s="15">
        <f>IFERROR(__xludf.DUMMYFUNCTION("""COMPUTED_VALUE"""),"https://www.davinci.tv/")</f>
        <v/>
      </c>
      <c r="F498" s="1">
        <f>IFERROR(__xludf.DUMMYFUNCTION("""COMPUTED_VALUE"""),"Da Vinci is a global EdTech brand with one purpose: to offer award-winning video content, original programming, and interactive activities on 21st-century learning. Modern families want screen time that actively engages with important matters in a stimula"&amp;"ting way. That’s what we do; we curate premium content to create a smarter and kinder world.
Accessible worldwide through mobile and tablet apps, connected TVs, dedicated TV channels, and an exclusive web app designed for educators, Da Vinci boasts an ex"&amp;"tensive library of over 66,000 episodes of video content in 22 languages, complemented by courses, interactive lessons, and quizzes crafted by educators to enhance learning.
Da Vinci seamlessly aligns with global curricula, ensuring relevance and depth i"&amp;"n educational material. Loved by 250M households and learners worldwide, the brand prides itself on providing highly engaging formats, encompassing both long-form and short-form content, as well as an immersive ""learning journey"" to captivate and inspir"&amp;"e young minds.
Learn to change the world. Challenge accepted!")</f>
        <v/>
      </c>
      <c r="G498" s="1">
        <f>IFERROR(__xludf.DUMMYFUNCTION("""COMPUTED_VALUE"""),"I'm not part of any EdTech association")</f>
        <v/>
      </c>
      <c r="H498" s="1" t="n"/>
      <c r="I498" s="1">
        <f>IFERROR(__xludf.DUMMYFUNCTION("""COMPUTED_VALUE"""),"hello@davinci.tv")</f>
        <v/>
      </c>
      <c r="J498" s="1" t="n"/>
      <c r="K498" s="1">
        <f>IFERROR(__xludf.DUMMYFUNCTION("""COMPUTED_VALUE"""),"London")</f>
        <v/>
      </c>
      <c r="L498" s="1">
        <f>IFERROR(__xludf.DUMMYFUNCTION("""COMPUTED_VALUE"""),"United Kingdom")</f>
        <v/>
      </c>
      <c r="M498" s="1">
        <f>IFERROR(__xludf.DUMMYFUNCTION("""COMPUTED_VALUE"""),"Austria, Bosnia and Herzegovina, Bulgaria, Croatia, Czechia, Denmark, Estonia, Finland, Germany, Greece, Hungary, Ireland, Italy, Kosovo, Latvia, Lithuania, Malta, Moldova, Netherlands, North Macedonia, Norway, Poland, Romania, Serbia, Slovakia, Slovenia,"&amp;" Spain, Sweden, Turkey, Ukraine, United Kingdom")</f>
        <v/>
      </c>
      <c r="N498" s="1">
        <f>IFERROR(__xludf.DUMMYFUNCTION("""COMPUTED_VALUE"""),"11 to 50")</f>
        <v/>
      </c>
      <c r="O498" s="1">
        <f>IFERROR(__xludf.DUMMYFUNCTION("""COMPUTED_VALUE"""),"Business to Business")</f>
        <v/>
      </c>
      <c r="P498" s="1">
        <f>IFERROR(__xludf.DUMMYFUNCTION("""COMPUTED_VALUE"""),"Primary Education, Secondary Education")</f>
        <v/>
      </c>
      <c r="Q498" s="1">
        <f>IFERROR(__xludf.DUMMYFUNCTION("""COMPUTED_VALUE"""),"System/Administrative, Student interfacing, Teacher interfacing")</f>
        <v/>
      </c>
      <c r="R498" s="1" t="n"/>
      <c r="S498" s="1" t="n"/>
      <c r="T498" s="1" t="n"/>
      <c r="U498" s="1" t="n"/>
      <c r="V498" s="1" t="n"/>
      <c r="W498" s="1" t="n"/>
      <c r="X498" s="1" t="n"/>
      <c r="Y498" s="1" t="n"/>
      <c r="Z498" s="1">
        <f>IFERROR(__xludf.DUMMYFUNCTION("""COMPUTED_VALUE"""),"Unverified")</f>
        <v/>
      </c>
      <c r="AA498" s="1" t="n"/>
      <c r="AB498" s="1" t="n"/>
      <c r="AC498" s="1" t="n"/>
      <c r="AD498" s="1" t="n"/>
      <c r="AE498" s="1" t="n"/>
    </row>
    <row r="499" ht="42" customHeight="1">
      <c r="A499" s="14">
        <f>IFERROR(__xludf.DUMMYFUNCTION("""COMPUTED_VALUE"""),45300)</f>
        <v/>
      </c>
      <c r="B499" s="1">
        <f>IFERROR(__xludf.DUMMYFUNCTION("""COMPUTED_VALUE"""),"ORG_1845")</f>
        <v/>
      </c>
      <c r="C499" s="1">
        <f>IFERROR(__xludf.DUMMYFUNCTION("""COMPUTED_VALUE"""),TRUE)</f>
        <v/>
      </c>
      <c r="D499" s="1">
        <f>IFERROR(__xludf.DUMMYFUNCTION("""COMPUTED_VALUE"""),"Leato")</f>
        <v/>
      </c>
      <c r="E499" s="15">
        <f>IFERROR(__xludf.DUMMYFUNCTION("""COMPUTED_VALUE"""),"https://leato.io/")</f>
        <v/>
      </c>
      <c r="F499" s="1">
        <f>IFERROR(__xludf.DUMMYFUNCTION("""COMPUTED_VALUE"""),"Enabling modern companies to create personalized, measurable and scalable L&amp;D for the entire workforce.")</f>
        <v/>
      </c>
      <c r="G499" s="1">
        <f>IFERROR(__xludf.DUMMYFUNCTION("""COMPUTED_VALUE"""),"I'm not part of any EdTech association")</f>
        <v/>
      </c>
      <c r="H499" s="1" t="n"/>
      <c r="I499" s="1">
        <f>IFERROR(__xludf.DUMMYFUNCTION("""COMPUTED_VALUE"""),"info@leato.io")</f>
        <v/>
      </c>
      <c r="J499" s="1">
        <f>IFERROR(__xludf.DUMMYFUNCTION("""COMPUTED_VALUE"""),"-")</f>
        <v/>
      </c>
      <c r="K499" s="1">
        <f>IFERROR(__xludf.DUMMYFUNCTION("""COMPUTED_VALUE"""),"BERLIN")</f>
        <v/>
      </c>
      <c r="L499" s="1">
        <f>IFERROR(__xludf.DUMMYFUNCTION("""COMPUTED_VALUE"""),"Germany")</f>
        <v/>
      </c>
      <c r="M499" s="1">
        <f>IFERROR(__xludf.DUMMYFUNCTION("""COMPUTED_VALUE"""),"Germany, United Kingdom")</f>
        <v/>
      </c>
      <c r="N499" s="1">
        <f>IFERROR(__xludf.DUMMYFUNCTION("""COMPUTED_VALUE"""),"0 to 10")</f>
        <v/>
      </c>
      <c r="O499" s="1">
        <f>IFERROR(__xludf.DUMMYFUNCTION("""COMPUTED_VALUE"""),"Business to Business, Business to Consumer, Business to Schools")</f>
        <v/>
      </c>
      <c r="P499" s="1">
        <f>IFERROR(__xludf.DUMMYFUNCTION("""COMPUTED_VALUE"""),"Corporate Training")</f>
        <v/>
      </c>
      <c r="Q499" s="1">
        <f>IFERROR(__xludf.DUMMYFUNCTION("""COMPUTED_VALUE"""),"System/Administrative")</f>
        <v/>
      </c>
      <c r="R499" s="1" t="n"/>
      <c r="S499" s="1" t="n"/>
      <c r="T499" s="1" t="n"/>
      <c r="U499" s="1" t="n"/>
      <c r="V499" s="1" t="n"/>
      <c r="W499" s="1" t="n"/>
      <c r="X499" s="1" t="n"/>
      <c r="Y499" s="15">
        <f>IFERROR(__xludf.DUMMYFUNCTION("""COMPUTED_VALUE"""),"https://drive.google.com/uc?export=view&amp;id=1TnzliLUQtG4QgpgshTHilbw-h_hNK_4L")</f>
        <v/>
      </c>
      <c r="Z499" s="1">
        <f>IFERROR(__xludf.DUMMYFUNCTION("""COMPUTED_VALUE"""),"Unverified")</f>
        <v/>
      </c>
      <c r="AA499" s="1" t="n"/>
      <c r="AB499" s="1" t="n"/>
      <c r="AC499" s="1" t="n"/>
      <c r="AD499" s="1" t="n"/>
      <c r="AE499" s="1" t="n"/>
    </row>
    <row r="500" ht="42" customHeight="1">
      <c r="A500" s="14">
        <f>IFERROR(__xludf.DUMMYFUNCTION("""COMPUTED_VALUE"""),45300)</f>
        <v/>
      </c>
      <c r="B500" s="1">
        <f>IFERROR(__xludf.DUMMYFUNCTION("""COMPUTED_VALUE"""),"ORG_2348")</f>
        <v/>
      </c>
      <c r="C500" s="1">
        <f>IFERROR(__xludf.DUMMYFUNCTION("""COMPUTED_VALUE"""),TRUE)</f>
        <v/>
      </c>
      <c r="D500" s="1">
        <f>IFERROR(__xludf.DUMMYFUNCTION("""COMPUTED_VALUE"""),"SubSchool")</f>
        <v/>
      </c>
      <c r="E500" s="15">
        <f>IFERROR(__xludf.DUMMYFUNCTION("""COMPUTED_VALUE"""),"https://subschool.us")</f>
        <v/>
      </c>
      <c r="F500" s="1">
        <f>IFERROR(__xludf.DUMMYFUNCTION("""COMPUTED_VALUE"""),"SubSchool, is platform aiming to revolutionize education by enabling teachers to create automated courses and offering students personalized learning experiences. Leveraging AI and automation, SubSchool not only reduces the cost of quality education but a"&amp;"lso customizes assignments to enhance student performance. With a transparent rating system and unique course creation features, it cultivates an environment of trust and superior learning.
We have now released a beta version of the most basic features - "&amp;"creating a school (automatically upon registration), courses, lessons and homework.")</f>
        <v/>
      </c>
      <c r="G500" s="1">
        <f>IFERROR(__xludf.DUMMYFUNCTION("""COMPUTED_VALUE"""),"I'm not part of any EdTech association")</f>
        <v/>
      </c>
      <c r="H500" s="1" t="n"/>
      <c r="I500" s="1">
        <f>IFERROR(__xludf.DUMMYFUNCTION("""COMPUTED_VALUE"""),"maksim@subschool.us")</f>
        <v/>
      </c>
      <c r="J500" s="1" t="n"/>
      <c r="K500" s="1">
        <f>IFERROR(__xludf.DUMMYFUNCTION("""COMPUTED_VALUE"""),"London")</f>
        <v/>
      </c>
      <c r="L500" s="1">
        <f>IFERROR(__xludf.DUMMYFUNCTION("""COMPUTED_VALUE"""),"United Kingdom")</f>
        <v/>
      </c>
      <c r="M500" s="1">
        <f>IFERROR(__xludf.DUMMYFUNCTION("""COMPUTED_VALUE"""),"United Kingdom")</f>
        <v/>
      </c>
      <c r="N500" s="1">
        <f>IFERROR(__xludf.DUMMYFUNCTION("""COMPUTED_VALUE"""),"0 to 10")</f>
        <v/>
      </c>
      <c r="O500" s="1">
        <f>IFERROR(__xludf.DUMMYFUNCTION("""COMPUTED_VALUE"""),"Business to Consumer, Business to Schools")</f>
        <v/>
      </c>
      <c r="P500" s="1">
        <f>IFERROR(__xludf.DUMMYFUNCTION("""COMPUTED_VALUE"""),"Primary Education, Secondary Education")</f>
        <v/>
      </c>
      <c r="Q500" s="1">
        <f>IFERROR(__xludf.DUMMYFUNCTION("""COMPUTED_VALUE"""),"Student interfacing, Teacher interfacing")</f>
        <v/>
      </c>
      <c r="R500" s="1" t="n"/>
      <c r="S500" s="1" t="n"/>
      <c r="T500" s="1" t="n"/>
      <c r="U500" s="1" t="n"/>
      <c r="V500" s="1" t="n"/>
      <c r="W500" s="1" t="n"/>
      <c r="X500" s="1" t="n"/>
      <c r="Y500" s="15">
        <f>IFERROR(__xludf.DUMMYFUNCTION("""COMPUTED_VALUE"""),"https://drive.google.com/uc?export=view&amp;id=11YVu7SYOCDeNKgFkXjxiTyd_xLBPofiC")</f>
        <v/>
      </c>
      <c r="Z500" s="1">
        <f>IFERROR(__xludf.DUMMYFUNCTION("""COMPUTED_VALUE"""),"Unverified")</f>
        <v/>
      </c>
      <c r="AA500" s="1" t="n"/>
      <c r="AB500" s="1" t="n"/>
      <c r="AC500" s="1" t="n"/>
      <c r="AD500" s="1" t="n"/>
      <c r="AE500" s="1" t="n"/>
    </row>
    <row r="501" ht="42" customHeight="1">
      <c r="A501" s="14">
        <f>IFERROR(__xludf.DUMMYFUNCTION("""COMPUTED_VALUE"""),45300)</f>
        <v/>
      </c>
      <c r="B501" s="1">
        <f>IFERROR(__xludf.DUMMYFUNCTION("""COMPUTED_VALUE"""),"ORG_2339")</f>
        <v/>
      </c>
      <c r="C501" s="1">
        <f>IFERROR(__xludf.DUMMYFUNCTION("""COMPUTED_VALUE"""),TRUE)</f>
        <v/>
      </c>
      <c r="D501" s="1">
        <f>IFERROR(__xludf.DUMMYFUNCTION("""COMPUTED_VALUE"""),"Study Hall AI")</f>
        <v/>
      </c>
      <c r="E501" s="15">
        <f>IFERROR(__xludf.DUMMYFUNCTION("""COMPUTED_VALUE"""),"Www.Studyhall.ai")</f>
        <v/>
      </c>
      <c r="F501" s="1">
        <f>IFERROR(__xludf.DUMMYFUNCTION("""COMPUTED_VALUE"""),"Study Hall is an advanced AI personalised learning and assessment platform K-12. 
It is the first company to provide a truly personalised learning experience by personalising both the learning path and the content. 
Study Hall leverages cutting-edge gener"&amp;"ative AI, ML, and NLP technologies to prioritise engagement and deep learning. By continuously analysing students' performance, knowledge gaps and interests, the platform adapts the learning path in real-time. 
Whether you're into football, fashion, techn"&amp;"ology or wildlife, Study Hall’s proprietary AI models serve questions precisely aligned to student interests and their target curriculum. 
Demo videos:
Teacher Video
https://youtu.be/DOsuxVMhoqY
Student Test Prep
https://youtu.be/HSNLcvjB024
Deep Re"&amp;"ader
https://studyhall.ai/deepReader")</f>
        <v/>
      </c>
      <c r="G501" s="1">
        <f>IFERROR(__xludf.DUMMYFUNCTION("""COMPUTED_VALUE"""),"I'm not part of any EdTech association")</f>
        <v/>
      </c>
      <c r="H501" s="1" t="n"/>
      <c r="I501" s="1">
        <f>IFERROR(__xludf.DUMMYFUNCTION("""COMPUTED_VALUE"""),"sofia@studyhall.ai")</f>
        <v/>
      </c>
      <c r="J501" s="1" t="n"/>
      <c r="K501" s="1">
        <f>IFERROR(__xludf.DUMMYFUNCTION("""COMPUTED_VALUE"""),"London")</f>
        <v/>
      </c>
      <c r="L501" s="1">
        <f>IFERROR(__xludf.DUMMYFUNCTION("""COMPUTED_VALUE"""),"United Kingdom")</f>
        <v/>
      </c>
      <c r="M501" s="1">
        <f>IFERROR(__xludf.DUMMYFUNCTION("""COMPUTED_VALUE"""),"United Kingdom")</f>
        <v/>
      </c>
      <c r="N501" s="1">
        <f>IFERROR(__xludf.DUMMYFUNCTION("""COMPUTED_VALUE"""),"11 to 50")</f>
        <v/>
      </c>
      <c r="O501" s="1">
        <f>IFERROR(__xludf.DUMMYFUNCTION("""COMPUTED_VALUE"""),"Business to Consumer, Business to Schools")</f>
        <v/>
      </c>
      <c r="P501" s="1">
        <f>IFERROR(__xludf.DUMMYFUNCTION("""COMPUTED_VALUE"""),"Primary Education, Secondary Education")</f>
        <v/>
      </c>
      <c r="Q501" s="1">
        <f>IFERROR(__xludf.DUMMYFUNCTION("""COMPUTED_VALUE"""),"System/Administrative, Student interfacing, Teacher interfacing")</f>
        <v/>
      </c>
      <c r="R501" s="1" t="n"/>
      <c r="S501" s="1" t="n"/>
      <c r="T501" s="1" t="n"/>
      <c r="U501" s="1" t="n"/>
      <c r="V501" s="1" t="n"/>
      <c r="W501" s="1" t="n"/>
      <c r="X501" s="1" t="n"/>
      <c r="Y501" s="15">
        <f>IFERROR(__xludf.DUMMYFUNCTION("""COMPUTED_VALUE"""),"https://drive.google.com/uc?export=view&amp;id=1WYrsrSVqPQOKD4P6im9zYwaNrirwHUml")</f>
        <v/>
      </c>
      <c r="Z501" s="1">
        <f>IFERROR(__xludf.DUMMYFUNCTION("""COMPUTED_VALUE"""),"Unverified")</f>
        <v/>
      </c>
      <c r="AA501" s="1" t="n"/>
      <c r="AB501" s="1" t="n"/>
      <c r="AC501" s="1" t="n"/>
      <c r="AD501" s="1" t="n"/>
      <c r="AE501" s="1" t="n"/>
    </row>
    <row r="502" ht="42" customHeight="1">
      <c r="A502" s="14">
        <f>IFERROR(__xludf.DUMMYFUNCTION("""COMPUTED_VALUE"""),45300)</f>
        <v/>
      </c>
      <c r="B502" s="1">
        <f>IFERROR(__xludf.DUMMYFUNCTION("""COMPUTED_VALUE"""),"ORG_1448")</f>
        <v/>
      </c>
      <c r="C502" s="1">
        <f>IFERROR(__xludf.DUMMYFUNCTION("""COMPUTED_VALUE"""),TRUE)</f>
        <v/>
      </c>
      <c r="D502" s="1">
        <f>IFERROR(__xludf.DUMMYFUNCTION("""COMPUTED_VALUE"""),"Edulyzer")</f>
        <v/>
      </c>
      <c r="E502" s="15">
        <f>IFERROR(__xludf.DUMMYFUNCTION("""COMPUTED_VALUE"""),"www.edulyzer.com/en")</f>
        <v/>
      </c>
      <c r="F502" s="1">
        <f>IFERROR(__xludf.DUMMYFUNCTION("""COMPUTED_VALUE"""),"Edulyzer collects and analyses data about school activities that can be used to develop learning, school satisfaction, well-being and collective activities. We want to be involved in building school communities where everyone’s potential is seen and value"&amp;"d.
Data is gathered with Edulyzer-application from students, teachers, principals and guardians. Data reports and analyses are shown via Dashboard. Questions for data gathering are made by scientists and they are based on known theories.")</f>
        <v/>
      </c>
      <c r="G502" s="1">
        <f>IFERROR(__xludf.DUMMYFUNCTION("""COMPUTED_VALUE"""),"I'm not part of any EdTech association")</f>
        <v/>
      </c>
      <c r="H502" s="1" t="n"/>
      <c r="I502" s="1">
        <f>IFERROR(__xludf.DUMMYFUNCTION("""COMPUTED_VALUE"""),"info@edulyzer.com")</f>
        <v/>
      </c>
      <c r="J502" s="1">
        <f>IFERROR(__xludf.DUMMYFUNCTION("""COMPUTED_VALUE"""),"+358503737474")</f>
        <v/>
      </c>
      <c r="K502" s="1">
        <f>IFERROR(__xludf.DUMMYFUNCTION("""COMPUTED_VALUE"""),"HELSINKI")</f>
        <v/>
      </c>
      <c r="L502" s="1">
        <f>IFERROR(__xludf.DUMMYFUNCTION("""COMPUTED_VALUE"""),"Finland")</f>
        <v/>
      </c>
      <c r="M502" s="1">
        <f>IFERROR(__xludf.DUMMYFUNCTION("""COMPUTED_VALUE"""),"Estonia, Finland, Germany, Spain, Sweden")</f>
        <v/>
      </c>
      <c r="N502" s="1">
        <f>IFERROR(__xludf.DUMMYFUNCTION("""COMPUTED_VALUE"""),"0 to 10")</f>
        <v/>
      </c>
      <c r="O502" s="1">
        <f>IFERROR(__xludf.DUMMYFUNCTION("""COMPUTED_VALUE"""),"Business to Business, Business to Consumer, Business to Government, Business to Schools")</f>
        <v/>
      </c>
      <c r="P502" s="1">
        <f>IFERROR(__xludf.DUMMYFUNCTION("""COMPUTED_VALUE"""),"Primary Education, Secondary Education, Lifelong learning/Adult education")</f>
        <v/>
      </c>
      <c r="Q502" s="1">
        <f>IFERROR(__xludf.DUMMYFUNCTION("""COMPUTED_VALUE"""),"System/Administrative, Student interfacing, Teacher interfacing")</f>
        <v/>
      </c>
      <c r="R502" s="1" t="n"/>
      <c r="S502" s="1" t="n"/>
      <c r="T502" s="1" t="n"/>
      <c r="U502" s="1" t="n"/>
      <c r="V502" s="1" t="n"/>
      <c r="W502" s="1" t="n"/>
      <c r="X502" s="1" t="n"/>
      <c r="Y502" s="15">
        <f>IFERROR(__xludf.DUMMYFUNCTION("""COMPUTED_VALUE"""),"https://drive.google.com/uc?export=view&amp;id=1TODQbxVXmpxGxsC0AhlXsXYyn8pSBB8E")</f>
        <v/>
      </c>
      <c r="Z502" s="1">
        <f>IFERROR(__xludf.DUMMYFUNCTION("""COMPUTED_VALUE"""),"Unverified")</f>
        <v/>
      </c>
      <c r="AA502" s="1" t="n"/>
      <c r="AB502" s="1" t="n"/>
      <c r="AC502" s="1" t="n"/>
      <c r="AD502" s="1" t="n"/>
      <c r="AE502" s="1" t="n"/>
    </row>
    <row r="503" ht="42" customHeight="1">
      <c r="A503" s="14">
        <f>IFERROR(__xludf.DUMMYFUNCTION("""COMPUTED_VALUE"""),45300)</f>
        <v/>
      </c>
      <c r="B503" s="1">
        <f>IFERROR(__xludf.DUMMYFUNCTION("""COMPUTED_VALUE"""),"ORG_1979")</f>
        <v/>
      </c>
      <c r="C503" s="1">
        <f>IFERROR(__xludf.DUMMYFUNCTION("""COMPUTED_VALUE"""),TRUE)</f>
        <v/>
      </c>
      <c r="D503" s="1">
        <f>IFERROR(__xludf.DUMMYFUNCTION("""COMPUTED_VALUE"""),"modulu. Unlocking the magic of Learning with AI.")</f>
        <v/>
      </c>
      <c r="E503" s="15">
        <f>IFERROR(__xludf.DUMMYFUNCTION("""COMPUTED_VALUE"""),"http://www.modulu.io")</f>
        <v/>
      </c>
      <c r="F503" s="1">
        <f>IFERROR(__xludf.DUMMYFUNCTION("""COMPUTED_VALUE"""),"At modulu, we understand the challenges of education, such as the scarcity of qualified teachers, the pressure that lies on the shoulders of the remaining teachers, the struggles faced by working parents to support their children in their academic journey"&amp;"s, and the unique needs of neurodiverse students within the classroom. We firmly believe that every learner deserves an exceptional education, regardless of their circumstances.
Therefore, we are seeking to unlock the magic of learning for each learner t"&amp;"hrough the vast possibilities of artificial intelligence. modulu combines cutting edge AI Technology with worldclass engaging learning content within brain-friendly learning environments to enable students to learn easier, to develop future skills and to "&amp;"enjoy their learning success in international and interactive modulu challenges. Our innovative solutions are designed to make education accessible, engaging, and transformative. Unlocking the magic of learning, we will set free students' brainpower and c"&amp;"reativity to succeed in school and life.
Are you ready to join us at modulu as we revolutionize education and pave the way for a brighter future? Visit our website at www.modulu.io to learn more about how modulu is making a difference in education or rea"&amp;"ch out to us directly, if you want to collaborate with us on this journey. Together, we can create a brighter future for education, one learner at a time. Let’s join together to combat the obstacles that hinder learning, open doors of opportunity for stud"&amp;"ents, and empower educators and parents alike.")</f>
        <v/>
      </c>
      <c r="G503" s="1">
        <f>IFERROR(__xludf.DUMMYFUNCTION("""COMPUTED_VALUE"""),"I'm not part of any EdTech association")</f>
        <v/>
      </c>
      <c r="H503" s="1" t="n"/>
      <c r="I503" s="1">
        <f>IFERROR(__xludf.DUMMYFUNCTION("""COMPUTED_VALUE"""),"hello@modulu.io")</f>
        <v/>
      </c>
      <c r="J503" s="1" t="n"/>
      <c r="K503" s="1">
        <f>IFERROR(__xludf.DUMMYFUNCTION("""COMPUTED_VALUE"""),"Münster")</f>
        <v/>
      </c>
      <c r="L503" s="1">
        <f>IFERROR(__xludf.DUMMYFUNCTION("""COMPUTED_VALUE"""),"Germany")</f>
        <v/>
      </c>
      <c r="M503" s="1">
        <f>IFERROR(__xludf.DUMMYFUNCTION("""COMPUTED_VALUE"""),"Germany")</f>
        <v/>
      </c>
      <c r="N503" s="1">
        <f>IFERROR(__xludf.DUMMYFUNCTION("""COMPUTED_VALUE"""),"0 to 10")</f>
        <v/>
      </c>
      <c r="O503" s="1">
        <f>IFERROR(__xludf.DUMMYFUNCTION("""COMPUTED_VALUE"""),"Business to Business")</f>
        <v/>
      </c>
      <c r="P503" s="1">
        <f>IFERROR(__xludf.DUMMYFUNCTION("""COMPUTED_VALUE"""),"Secondary Education, Higher Education")</f>
        <v/>
      </c>
      <c r="Q503" s="1">
        <f>IFERROR(__xludf.DUMMYFUNCTION("""COMPUTED_VALUE"""),"System/Administrative, Student interfacing, Teacher interfacing")</f>
        <v/>
      </c>
      <c r="R503" s="1" t="n"/>
      <c r="S503" s="1" t="n"/>
      <c r="T503" s="1" t="n"/>
      <c r="U503" s="1" t="n"/>
      <c r="V503" s="1" t="n"/>
      <c r="W503" s="1" t="n"/>
      <c r="X503" s="1" t="n"/>
      <c r="Y503" s="15">
        <f>IFERROR(__xludf.DUMMYFUNCTION("""COMPUTED_VALUE"""),"https://drive.google.com/uc?export=view&amp;id=1bl0xvooRC2MeJc_6d5bEhLEsopEVrhEN")</f>
        <v/>
      </c>
      <c r="Z503" s="1">
        <f>IFERROR(__xludf.DUMMYFUNCTION("""COMPUTED_VALUE"""),"Unverified")</f>
        <v/>
      </c>
      <c r="AA503" s="1" t="n"/>
      <c r="AB503" s="1" t="n"/>
      <c r="AC503" s="1" t="n"/>
      <c r="AD503" s="1" t="n"/>
      <c r="AE503" s="1" t="n"/>
    </row>
    <row r="504" ht="42" customHeight="1">
      <c r="A504" s="14">
        <f>IFERROR(__xludf.DUMMYFUNCTION("""COMPUTED_VALUE"""),45300)</f>
        <v/>
      </c>
      <c r="B504" s="1">
        <f>IFERROR(__xludf.DUMMYFUNCTION("""COMPUTED_VALUE"""),"ORG_1020")</f>
        <v/>
      </c>
      <c r="C504" s="1">
        <f>IFERROR(__xludf.DUMMYFUNCTION("""COMPUTED_VALUE"""),TRUE)</f>
        <v/>
      </c>
      <c r="D504" s="1">
        <f>IFERROR(__xludf.DUMMYFUNCTION("""COMPUTED_VALUE"""),"abodoo")</f>
        <v/>
      </c>
      <c r="E504" s="15">
        <f>IFERROR(__xludf.DUMMYFUNCTION("""COMPUTED_VALUE"""),"https://abodoo.com/")</f>
        <v/>
      </c>
      <c r="F504" s="1">
        <f>IFERROR(__xludf.DUMMYFUNCTION("""COMPUTED_VALUE"""),"abodoo is an AI Skills Platform that powers our educational partners to provide greater inclusive access to learning pathways, opportunities and new revenue streams. The cornerstone of our platform is the Skills Passport with built in recommended learning"&amp;", inclusive skills first matching and for stakeholders geo skills mapping understanding skills gaps for future learning needs and skills planning. 
Our mission is to bridge the skills gap between industry and education through our partners and ensure no o"&amp;"ne is left behind. 
abodoo's customers include the European Commission, universities, national and local government, organisations and NGOs
We work with our clients in two ways and power their educational vision as an innovative skills technology partner."&amp;" 
If you would like to see a demonstration of our Skills Platform and how it can deliver for you, simply get in touch.")</f>
        <v/>
      </c>
      <c r="G504" s="1">
        <f>IFERROR(__xludf.DUMMYFUNCTION("""COMPUTED_VALUE"""),"I'm not part of any EdTech association")</f>
        <v/>
      </c>
      <c r="H504" s="1">
        <f>IFERROR(__xludf.DUMMYFUNCTION("""COMPUTED_VALUE"""),"English")</f>
        <v/>
      </c>
      <c r="I504" s="1">
        <f>IFERROR(__xludf.DUMMYFUNCTION("""COMPUTED_VALUE"""),"vanessa@abodoo.com")</f>
        <v/>
      </c>
      <c r="J504" s="1">
        <f>IFERROR(__xludf.DUMMYFUNCTION("""COMPUTED_VALUE"""),"353858509999")</f>
        <v/>
      </c>
      <c r="K504" s="1">
        <f>IFERROR(__xludf.DUMMYFUNCTION("""COMPUTED_VALUE"""),"Dublin")</f>
        <v/>
      </c>
      <c r="L504" s="1">
        <f>IFERROR(__xludf.DUMMYFUNCTION("""COMPUTED_VALUE"""),"Ireland")</f>
        <v/>
      </c>
      <c r="M50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504" s="1">
        <f>IFERROR(__xludf.DUMMYFUNCTION("""COMPUTED_VALUE"""),"6 to 10")</f>
        <v/>
      </c>
      <c r="O504" s="1">
        <f>IFERROR(__xludf.DUMMYFUNCTION("""COMPUTED_VALUE"""),"Business to Business, Business to Government, Business to Schools")</f>
        <v/>
      </c>
      <c r="P504" s="1">
        <f>IFERROR(__xludf.DUMMYFUNCTION("""COMPUTED_VALUE"""),"Corporate Training, Lifelong learning/Adult education, Vocational Education and Training (VET), Higher Education")</f>
        <v/>
      </c>
      <c r="Q504" s="1">
        <f>IFERROR(__xludf.DUMMYFUNCTION("""COMPUTED_VALUE"""),"Teacher interfacing, System/Administrative, Student interfacing")</f>
        <v/>
      </c>
      <c r="R504" s="1" t="n"/>
      <c r="S504" s="15">
        <f>IFERROR(__xludf.DUMMYFUNCTION("""COMPUTED_VALUE"""),"https://twitter.com/AbodooLtd")</f>
        <v/>
      </c>
      <c r="T504" s="15">
        <f>IFERROR(__xludf.DUMMYFUNCTION("""COMPUTED_VALUE"""),"https://www.linkedin.com/company/abodoo")</f>
        <v/>
      </c>
      <c r="U504" s="1">
        <f>IFERROR(__xludf.DUMMYFUNCTION("""COMPUTED_VALUE"""),"Skills Passport with recommended learning")</f>
        <v/>
      </c>
      <c r="V504" s="1">
        <f>IFERROR(__xludf.DUMMYFUNCTION("""COMPUTED_VALUE"""),"The Skills Passport providers a personalised L&amp;D journey for every learner that supports their career destination and current skills gaps. Further the Skills 1st Matching element can be activated to support skills discovery, support transferrable skills a"&amp;"s well as create new revenue opportunities for our educational partners.")</f>
        <v/>
      </c>
      <c r="W504" s="1">
        <f>IFERROR(__xludf.DUMMYFUNCTION("""COMPUTED_VALUE"""),"Skills Mapping for gap analysis and forecasting")</f>
        <v/>
      </c>
      <c r="X504" s="1">
        <f>IFERROR(__xludf.DUMMYFUNCTION("""COMPUTED_VALUE"""),"The Skills Mapping marries and visualised three sets of skills data to enable anyone to see the skills gap and impact of learning to decide on future educational investment and curriculum needs. It includes merging Macro ""Public"" Skills Data with Micro "&amp;"""Captured"" Skills Data along with Real Time Skills Data ""Passport"" to give a wholistic view of skills.")</f>
        <v/>
      </c>
      <c r="Y504" s="15">
        <f>IFERROR(__xludf.DUMMYFUNCTION("""COMPUTED_VALUE"""),"https://drive.google.com/uc?export=view&amp;id=19cU-xdFsCsZ6-hY3nr4J_QyaAfsMkYwA")</f>
        <v/>
      </c>
      <c r="Z504" s="1">
        <f>IFERROR(__xludf.DUMMYFUNCTION("""COMPUTED_VALUE"""),"Unverified")</f>
        <v/>
      </c>
      <c r="AA504" s="1" t="n"/>
      <c r="AB504" s="1" t="n"/>
      <c r="AC504" s="1" t="n"/>
      <c r="AD504" s="1" t="n"/>
      <c r="AE504" s="1" t="n"/>
    </row>
    <row r="505" ht="42" customHeight="1">
      <c r="A505" s="14">
        <f>IFERROR(__xludf.DUMMYFUNCTION("""COMPUTED_VALUE"""),45300)</f>
        <v/>
      </c>
      <c r="B505" s="1">
        <f>IFERROR(__xludf.DUMMYFUNCTION("""COMPUTED_VALUE"""),"ORG_1200")</f>
        <v/>
      </c>
      <c r="C505" s="1">
        <f>IFERROR(__xludf.DUMMYFUNCTION("""COMPUTED_VALUE"""),TRUE)</f>
        <v/>
      </c>
      <c r="D505" s="1">
        <f>IFERROR(__xludf.DUMMYFUNCTION("""COMPUTED_VALUE"""),"Bravori")</f>
        <v/>
      </c>
      <c r="E505" s="15">
        <f>IFERROR(__xludf.DUMMYFUNCTION("""COMPUTED_VALUE"""),"https://bravorimusic.com/")</f>
        <v/>
      </c>
      <c r="F505" s="1">
        <f>IFERROR(__xludf.DUMMYFUNCTION("""COMPUTED_VALUE"""),"Bravori is a groundbreaking and innovative educational solution that revolutionizes the way music instruments are practiced and how teachers and students communicate in music lessons. Our research based solution is designed to optimize interactive feedbac"&amp;"k, visualise learning progress, improve student engagement and empower personalised learning with AI enhanced feedback solutions.")</f>
        <v/>
      </c>
      <c r="G505" s="1">
        <f>IFERROR(__xludf.DUMMYFUNCTION("""COMPUTED_VALUE"""),"I'm not part of any EdTech association")</f>
        <v/>
      </c>
      <c r="H505" s="1" t="n"/>
      <c r="I505" s="1">
        <f>IFERROR(__xludf.DUMMYFUNCTION("""COMPUTED_VALUE"""),"jeremy.wong@bravorimusic.com")</f>
        <v/>
      </c>
      <c r="J505" s="1" t="n"/>
      <c r="K505" s="1">
        <f>IFERROR(__xludf.DUMMYFUNCTION("""COMPUTED_VALUE"""),"HELSINKI")</f>
        <v/>
      </c>
      <c r="L505" s="1">
        <f>IFERROR(__xludf.DUMMYFUNCTION("""COMPUTED_VALUE"""),"Finland")</f>
        <v/>
      </c>
      <c r="M505" s="1">
        <f>IFERROR(__xludf.DUMMYFUNCTION("""COMPUTED_VALUE"""),"Finland")</f>
        <v/>
      </c>
      <c r="N505" s="1">
        <f>IFERROR(__xludf.DUMMYFUNCTION("""COMPUTED_VALUE"""),"0 to 10")</f>
        <v/>
      </c>
      <c r="O505" s="1">
        <f>IFERROR(__xludf.DUMMYFUNCTION("""COMPUTED_VALUE"""),"Business to Business, Business to Consumer, Business to Schools")</f>
        <v/>
      </c>
      <c r="P505" s="1">
        <f>IFERROR(__xludf.DUMMYFUNCTION("""COMPUTED_VALUE"""),"Primary Education, Secondary Education")</f>
        <v/>
      </c>
      <c r="Q505" s="1">
        <f>IFERROR(__xludf.DUMMYFUNCTION("""COMPUTED_VALUE"""),"System/Administrative, Student interfacing, Teacher interfacing")</f>
        <v/>
      </c>
      <c r="R505" s="1" t="n"/>
      <c r="S505" s="1" t="n"/>
      <c r="T505" s="1" t="n"/>
      <c r="U505" s="1" t="n"/>
      <c r="V505" s="1" t="n"/>
      <c r="W505" s="1" t="n"/>
      <c r="X505" s="1" t="n"/>
      <c r="Y505" s="15">
        <f>IFERROR(__xludf.DUMMYFUNCTION("""COMPUTED_VALUE"""),"https://drive.google.com/uc?export=view&amp;id=1VMpThMhzwnxeTJHeqVjuRi-d7I6v-WHA")</f>
        <v/>
      </c>
      <c r="Z505" s="1">
        <f>IFERROR(__xludf.DUMMYFUNCTION("""COMPUTED_VALUE"""),"Unverified")</f>
        <v/>
      </c>
      <c r="AA505" s="1" t="n"/>
      <c r="AB505" s="1" t="n"/>
      <c r="AC505" s="1" t="n"/>
      <c r="AD505" s="1" t="n"/>
      <c r="AE505" s="1" t="n"/>
    </row>
    <row r="506" ht="42" customHeight="1">
      <c r="A506" s="14">
        <f>IFERROR(__xludf.DUMMYFUNCTION("""COMPUTED_VALUE"""),45300)</f>
        <v/>
      </c>
      <c r="B506" s="1">
        <f>IFERROR(__xludf.DUMMYFUNCTION("""COMPUTED_VALUE"""),"ORG_1220")</f>
        <v/>
      </c>
      <c r="C506" s="1">
        <f>IFERROR(__xludf.DUMMYFUNCTION("""COMPUTED_VALUE"""),TRUE)</f>
        <v/>
      </c>
      <c r="D506" s="1">
        <f>IFERROR(__xludf.DUMMYFUNCTION("""COMPUTED_VALUE"""),"Career Smarter")</f>
        <v/>
      </c>
      <c r="E506" s="15">
        <f>IFERROR(__xludf.DUMMYFUNCTION("""COMPUTED_VALUE"""),"https://www.careersmarter.com/")</f>
        <v/>
      </c>
      <c r="F506" s="1">
        <f>IFERROR(__xludf.DUMMYFUNCTION("""COMPUTED_VALUE"""),"We are a leading online training provider, we partner with learners to achieve career success through our certified online learning courses and career smarter advice.")</f>
        <v/>
      </c>
      <c r="G506" s="1">
        <f>IFERROR(__xludf.DUMMYFUNCTION("""COMPUTED_VALUE"""),"I'm not part of any EdTech association")</f>
        <v/>
      </c>
      <c r="H506" s="1" t="n"/>
      <c r="I506" s="1">
        <f>IFERROR(__xludf.DUMMYFUNCTION("""COMPUTED_VALUE"""),"email@careersmarter.com")</f>
        <v/>
      </c>
      <c r="J506" s="1">
        <f>IFERROR(__xludf.DUMMYFUNCTION("""COMPUTED_VALUE"""),"+44 20 3130 4909")</f>
        <v/>
      </c>
      <c r="K506" s="1">
        <f>IFERROR(__xludf.DUMMYFUNCTION("""COMPUTED_VALUE"""),"London")</f>
        <v/>
      </c>
      <c r="L506" s="1">
        <f>IFERROR(__xludf.DUMMYFUNCTION("""COMPUTED_VALUE"""),"United Kingdom")</f>
        <v/>
      </c>
      <c r="M506" s="1">
        <f>IFERROR(__xludf.DUMMYFUNCTION("""COMPUTED_VALUE"""),"United Kingdom")</f>
        <v/>
      </c>
      <c r="N506" s="1">
        <f>IFERROR(__xludf.DUMMYFUNCTION("""COMPUTED_VALUE"""),"0 to 10")</f>
        <v/>
      </c>
      <c r="O506" s="1">
        <f>IFERROR(__xludf.DUMMYFUNCTION("""COMPUTED_VALUE"""),"Business to Business")</f>
        <v/>
      </c>
      <c r="P506" s="1">
        <f>IFERROR(__xludf.DUMMYFUNCTION("""COMPUTED_VALUE"""),"Higher Education, Corporate Training")</f>
        <v/>
      </c>
      <c r="Q506" s="1">
        <f>IFERROR(__xludf.DUMMYFUNCTION("""COMPUTED_VALUE"""),"System/Administrative, Student interfacing")</f>
        <v/>
      </c>
      <c r="R506" s="1" t="n"/>
      <c r="S506" s="1" t="n"/>
      <c r="T506" s="1" t="n"/>
      <c r="U506" s="1" t="n"/>
      <c r="V506" s="1" t="n"/>
      <c r="W506" s="1" t="n"/>
      <c r="X506" s="1" t="n"/>
      <c r="Y506" s="15">
        <f>IFERROR(__xludf.DUMMYFUNCTION("""COMPUTED_VALUE"""),"https://drive.google.com/uc?export=view&amp;id=1AySUL-CPKuo8zTAXo-tX-n7QO43r-anA")</f>
        <v/>
      </c>
      <c r="Z506" s="1">
        <f>IFERROR(__xludf.DUMMYFUNCTION("""COMPUTED_VALUE"""),"Unverified")</f>
        <v/>
      </c>
      <c r="AA506" s="1" t="n"/>
      <c r="AB506" s="1" t="n"/>
      <c r="AC506" s="1" t="n"/>
      <c r="AD506" s="1" t="n"/>
      <c r="AE506" s="1" t="n"/>
    </row>
    <row r="507" ht="42" customHeight="1">
      <c r="A507" s="14">
        <f>IFERROR(__xludf.DUMMYFUNCTION("""COMPUTED_VALUE"""),45300)</f>
        <v/>
      </c>
      <c r="B507" s="1">
        <f>IFERROR(__xludf.DUMMYFUNCTION("""COMPUTED_VALUE"""),"ORG_1246")</f>
        <v/>
      </c>
      <c r="C507" s="1">
        <f>IFERROR(__xludf.DUMMYFUNCTION("""COMPUTED_VALUE"""),TRUE)</f>
        <v/>
      </c>
      <c r="D507" s="1">
        <f>IFERROR(__xludf.DUMMYFUNCTION("""COMPUTED_VALUE"""),"Classid")</f>
        <v/>
      </c>
      <c r="E507" s="15">
        <f>IFERROR(__xludf.DUMMYFUNCTION("""COMPUTED_VALUE"""),"classid.be")</f>
        <v/>
      </c>
      <c r="F507" s="1">
        <f>IFERROR(__xludf.DUMMYFUNCTION("""COMPUTED_VALUE"""),"At Classid, we are passionate about using technology to improve education. Our learning management system is designed to be user-friendly, powerful, and flexible, offering a range of modules that can be customized to fit the needs of any school or teacher"&amp;". With over 50,000 users already benefiting from our software, we are committed to helping teachers and students alike succeed in the classroom.")</f>
        <v/>
      </c>
      <c r="G507" s="1">
        <f>IFERROR(__xludf.DUMMYFUNCTION("""COMPUTED_VALUE"""),"edtechstation")</f>
        <v/>
      </c>
      <c r="H507" s="1" t="n"/>
      <c r="I507" s="1">
        <f>IFERROR(__xludf.DUMMYFUNCTION("""COMPUTED_VALUE"""),"info@classid.be")</f>
        <v/>
      </c>
      <c r="J507" s="1" t="n"/>
      <c r="K507" s="1">
        <f>IFERROR(__xludf.DUMMYFUNCTION("""COMPUTED_VALUE"""),"LOMMEL")</f>
        <v/>
      </c>
      <c r="L507" s="1">
        <f>IFERROR(__xludf.DUMMYFUNCTION("""COMPUTED_VALUE"""),"Belgium")</f>
        <v/>
      </c>
      <c r="M507" s="1">
        <f>IFERROR(__xludf.DUMMYFUNCTION("""COMPUTED_VALUE"""),"Belgium, Netherlands")</f>
        <v/>
      </c>
      <c r="N507" s="1">
        <f>IFERROR(__xludf.DUMMYFUNCTION("""COMPUTED_VALUE"""),"0 to 10")</f>
        <v/>
      </c>
      <c r="O507" s="1">
        <f>IFERROR(__xludf.DUMMYFUNCTION("""COMPUTED_VALUE"""),"Business to Business, Business to Consumer")</f>
        <v/>
      </c>
      <c r="P507" s="1">
        <f>IFERROR(__xludf.DUMMYFUNCTION("""COMPUTED_VALUE"""),"Primary Education, Secondary Education, Higher Education, Corporate Training")</f>
        <v/>
      </c>
      <c r="Q507" s="1">
        <f>IFERROR(__xludf.DUMMYFUNCTION("""COMPUTED_VALUE"""),"System/Administrative, Student interfacing, Teacher interfacing")</f>
        <v/>
      </c>
      <c r="R507" s="15">
        <f>IFERROR(__xludf.DUMMYFUNCTION("""COMPUTED_VALUE"""),"https://www.instagram.com/classid_io/")</f>
        <v/>
      </c>
      <c r="S507" s="15">
        <f>IFERROR(__xludf.DUMMYFUNCTION("""COMPUTED_VALUE"""),"https://twitter.com/classid_io")</f>
        <v/>
      </c>
      <c r="T507" s="15">
        <f>IFERROR(__xludf.DUMMYFUNCTION("""COMPUTED_VALUE"""),"https://www.linkedin.com/company/classid/")</f>
        <v/>
      </c>
      <c r="U507" s="1">
        <f>IFERROR(__xludf.DUMMYFUNCTION("""COMPUTED_VALUE"""),"Classid")</f>
        <v/>
      </c>
      <c r="V507" s="1">
        <f>IFERROR(__xludf.DUMMYFUNCTION("""COMPUTED_VALUE"""),"The Classid learning management system is designed to be user-friendly, powerful, and flexible, offering a range of modules that can be customized to fit the needs of any school or teacher. With over 30,000 users already benefiting from our software, we a"&amp;"re committed to helping teachers and students alike succeed in the classroom.")</f>
        <v/>
      </c>
      <c r="W507" s="1" t="n"/>
      <c r="X507" s="1" t="n"/>
      <c r="Y507" s="15">
        <f>IFERROR(__xludf.DUMMYFUNCTION("""COMPUTED_VALUE"""),"https://drive.google.com/uc?export=view&amp;id=1tLnjp0RlXOypc_KyUNP7Eq_AOGD2GAUB")</f>
        <v/>
      </c>
      <c r="Z507" s="1">
        <f>IFERROR(__xludf.DUMMYFUNCTION("""COMPUTED_VALUE"""),"Unverified")</f>
        <v/>
      </c>
      <c r="AA507" s="1" t="n"/>
      <c r="AB507" s="1" t="n"/>
      <c r="AC507" s="1" t="n"/>
      <c r="AD507" s="1" t="n"/>
      <c r="AE507" s="1" t="n"/>
    </row>
    <row r="508" ht="42" customHeight="1">
      <c r="A508" s="14">
        <f>IFERROR(__xludf.DUMMYFUNCTION("""COMPUTED_VALUE"""),45300)</f>
        <v/>
      </c>
      <c r="B508" s="1">
        <f>IFERROR(__xludf.DUMMYFUNCTION("""COMPUTED_VALUE"""),"ORG_2528")</f>
        <v/>
      </c>
      <c r="C508" s="1">
        <f>IFERROR(__xludf.DUMMYFUNCTION("""COMPUTED_VALUE"""),TRUE)</f>
        <v/>
      </c>
      <c r="D508" s="1">
        <f>IFERROR(__xludf.DUMMYFUNCTION("""COMPUTED_VALUE"""),"Whizzkids")</f>
        <v/>
      </c>
      <c r="E508" s="15">
        <f>IFERROR(__xludf.DUMMYFUNCTION("""COMPUTED_VALUE"""),"www.whizzkids.online")</f>
        <v/>
      </c>
      <c r="F508" s="1">
        <f>IFERROR(__xludf.DUMMYFUNCTION("""COMPUTED_VALUE"""),"Whizzkids takes digital skills to your classroom/school and creates a powerful learning environment to integrate ICT for each pupil. Whizzkids organizes ICT-challenges, within the different learning areas and compliant with the ICT targets, for primary sc"&amp;"hool and for teacher education. Made by teachers for students and (future) teachers.")</f>
        <v/>
      </c>
      <c r="G508" s="1">
        <f>IFERROR(__xludf.DUMMYFUNCTION("""COMPUTED_VALUE"""),"edtechstation")</f>
        <v/>
      </c>
      <c r="H508" s="1" t="n"/>
      <c r="I508" s="1">
        <f>IFERROR(__xludf.DUMMYFUNCTION("""COMPUTED_VALUE"""),"wedstrijd@whizzkids.online")</f>
        <v/>
      </c>
      <c r="J508" s="1">
        <f>IFERROR(__xludf.DUMMYFUNCTION("""COMPUTED_VALUE"""),"+32478596228")</f>
        <v/>
      </c>
      <c r="K508" s="1">
        <f>IFERROR(__xludf.DUMMYFUNCTION("""COMPUTED_VALUE"""),"Olsene")</f>
        <v/>
      </c>
      <c r="L508" s="1">
        <f>IFERROR(__xludf.DUMMYFUNCTION("""COMPUTED_VALUE"""),"Belgium")</f>
        <v/>
      </c>
      <c r="M508" s="1">
        <f>IFERROR(__xludf.DUMMYFUNCTION("""COMPUTED_VALUE"""),"Belgium")</f>
        <v/>
      </c>
      <c r="N508" s="1">
        <f>IFERROR(__xludf.DUMMYFUNCTION("""COMPUTED_VALUE"""),"0 to 10")</f>
        <v/>
      </c>
      <c r="O508" s="1">
        <f>IFERROR(__xludf.DUMMYFUNCTION("""COMPUTED_VALUE"""),"Business to Schools")</f>
        <v/>
      </c>
      <c r="P508" s="1">
        <f>IFERROR(__xludf.DUMMYFUNCTION("""COMPUTED_VALUE"""),"Primary Education, Higher Education, Lifelong learning/Adult education")</f>
        <v/>
      </c>
      <c r="Q508" s="1">
        <f>IFERROR(__xludf.DUMMYFUNCTION("""COMPUTED_VALUE"""),"Student interfacing, Teacher interfacing")</f>
        <v/>
      </c>
      <c r="R508" s="15">
        <f>IFERROR(__xludf.DUMMYFUNCTION("""COMPUTED_VALUE"""),"https://www.instagram.com/whizzkidswedstrijd/")</f>
        <v/>
      </c>
      <c r="S508" s="1" t="n"/>
      <c r="T508" s="15">
        <f>IFERROR(__xludf.DUMMYFUNCTION("""COMPUTED_VALUE"""),"https://www.linkedin.com/company/vzw-whizzkids/")</f>
        <v/>
      </c>
      <c r="U508" s="1">
        <f>IFERROR(__xludf.DUMMYFUNCTION("""COMPUTED_VALUE"""),"Whizzkids contest")</f>
        <v/>
      </c>
      <c r="V508" s="1">
        <f>IFERROR(__xludf.DUMMYFUNCTION("""COMPUTED_VALUE"""),"Schools from Flanders and The Netherlands can participate in a class-contest. In this contest, children work on digital skills in a class context.")</f>
        <v/>
      </c>
      <c r="W508" s="1" t="n"/>
      <c r="X508" s="1" t="n"/>
      <c r="Y508" s="15">
        <f>IFERROR(__xludf.DUMMYFUNCTION("""COMPUTED_VALUE"""),"https://drive.google.com/uc?export=view&amp;id=1LxN6KZwVT6AxGlIwhbimJKE9sYGmpzuK")</f>
        <v/>
      </c>
      <c r="Z508" s="1">
        <f>IFERROR(__xludf.DUMMYFUNCTION("""COMPUTED_VALUE"""),"Unverified")</f>
        <v/>
      </c>
      <c r="AA508" s="1" t="n"/>
      <c r="AB508" s="1" t="n"/>
      <c r="AC508" s="1" t="n"/>
      <c r="AD508" s="1" t="n"/>
      <c r="AE508" s="1" t="n"/>
    </row>
    <row r="509" ht="42" customHeight="1">
      <c r="A509" s="14">
        <f>IFERROR(__xludf.DUMMYFUNCTION("""COMPUTED_VALUE"""),45300)</f>
        <v/>
      </c>
      <c r="B509" s="1">
        <f>IFERROR(__xludf.DUMMYFUNCTION("""COMPUTED_VALUE"""),"ORG_1306")</f>
        <v/>
      </c>
      <c r="C509" s="1">
        <f>IFERROR(__xludf.DUMMYFUNCTION("""COMPUTED_VALUE"""),TRUE)</f>
        <v/>
      </c>
      <c r="D509" s="1">
        <f>IFERROR(__xludf.DUMMYFUNCTION("""COMPUTED_VALUE"""),"Coyotiv")</f>
        <v/>
      </c>
      <c r="E509" s="15">
        <f>IFERROR(__xludf.DUMMYFUNCTION("""COMPUTED_VALUE"""),"coyotiv.com")</f>
        <v/>
      </c>
      <c r="F509" s="1">
        <f>IFERROR(__xludf.DUMMYFUNCTION("""COMPUTED_VALUE"""),"Coyotiv is a modern software engineering ecosystem of teaching, mentorship, and co-creation. Our Coyotiv School of Software Engineering is the next generation, remote software engineering education designed to raise first-class software engineers from scr"&amp;"atch. Numerous students changed their lives at the end of an intense 13-week program and graduated as confident software engineers regardless of their background or prior experience.
With mentorship from experienced professionals, our students gain invalu"&amp;"able insights and guidance throughout their learning journey.
Furthermore, Coyotiv is committed to fostering diversity and inclusivity in the tech industry. To that end, we provide Diversity Scholarships to representatives from marginalized groups, offeri"&amp;"ng them opportunities to break barriers and thrive in the field.")</f>
        <v/>
      </c>
      <c r="G509" s="1">
        <f>IFERROR(__xludf.DUMMYFUNCTION("""COMPUTED_VALUE"""),"I'm not part of any EdTech association")</f>
        <v/>
      </c>
      <c r="H509" s="1">
        <f>IFERROR(__xludf.DUMMYFUNCTION("""COMPUTED_VALUE"""),"English")</f>
        <v/>
      </c>
      <c r="I509" s="1">
        <f>IFERROR(__xludf.DUMMYFUNCTION("""COMPUTED_VALUE"""),"contact@coyotiv.com")</f>
        <v/>
      </c>
      <c r="J509" s="1">
        <f>IFERROR(__xludf.DUMMYFUNCTION("""COMPUTED_VALUE"""),"+49 30 863 20 90 83")</f>
        <v/>
      </c>
      <c r="K509" s="1">
        <f>IFERROR(__xludf.DUMMYFUNCTION("""COMPUTED_VALUE"""),"BERLIN")</f>
        <v/>
      </c>
      <c r="L509" s="1">
        <f>IFERROR(__xludf.DUMMYFUNCTION("""COMPUTED_VALUE"""),"Germany")</f>
        <v/>
      </c>
      <c r="M509" s="1">
        <f>IFERROR(__xludf.DUMMYFUNCTION("""COMPUTED_VALUE"""),"Albania, Andorra, Austria, Belgium, Bosnia and Herzegovina, Bulgaria, Croatia, Cyprus, Czechia, Denmark, Estonia, Finland, France, Germany, Greece, Hungary, Ireland, Italy, Kosovo, Latvia, Liechtenstein, Lithuania, Luxembourg, Malta, Moldova, Monaco, Mont"&amp;"enegro, Netherlands, North Macedonia, Norway, Poland, Portugal, Romania, San Marino, Serbia, Slovakia, Slovenia, Spain, Sweden, Switzerland, Turkey, Ukraine, United Kingdom")</f>
        <v/>
      </c>
      <c r="N509" s="1">
        <f>IFERROR(__xludf.DUMMYFUNCTION("""COMPUTED_VALUE"""),"3 to 5")</f>
        <v/>
      </c>
      <c r="O509" s="1">
        <f>IFERROR(__xludf.DUMMYFUNCTION("""COMPUTED_VALUE"""),"Business to Consumer")</f>
        <v/>
      </c>
      <c r="P509" s="1">
        <f>IFERROR(__xludf.DUMMYFUNCTION("""COMPUTED_VALUE"""),"Corporate Training, Lifelong learning/Adult education")</f>
        <v/>
      </c>
      <c r="Q509" s="1">
        <f>IFERROR(__xludf.DUMMYFUNCTION("""COMPUTED_VALUE"""),"System/Administrative, Student interfacing")</f>
        <v/>
      </c>
      <c r="R509" s="15">
        <f>IFERROR(__xludf.DUMMYFUNCTION("""COMPUTED_VALUE"""),"https://www.instagram.com/coyotiv/")</f>
        <v/>
      </c>
      <c r="S509" s="1" t="n"/>
      <c r="T509" s="15">
        <f>IFERROR(__xludf.DUMMYFUNCTION("""COMPUTED_VALUE"""),"https://www.linkedin.com/school/coyotiv/")</f>
        <v/>
      </c>
      <c r="U509" s="1" t="n"/>
      <c r="V509" s="1" t="n"/>
      <c r="W509" s="1" t="n"/>
      <c r="X509" s="1" t="n"/>
      <c r="Y509" s="15">
        <f>IFERROR(__xludf.DUMMYFUNCTION("""COMPUTED_VALUE"""),"https://drive.google.com/uc?export=view&amp;id=1N6TyLJrYNGy1Ih8OL12qvoXwYz2W-Yru")</f>
        <v/>
      </c>
      <c r="Z509" s="1">
        <f>IFERROR(__xludf.DUMMYFUNCTION("""COMPUTED_VALUE"""),"Unverified")</f>
        <v/>
      </c>
      <c r="AA509" s="1" t="n"/>
      <c r="AB509" s="1" t="n"/>
      <c r="AC509" s="1" t="n"/>
      <c r="AD509" s="1" t="n"/>
      <c r="AE509" s="1" t="n"/>
    </row>
    <row r="510" ht="42" customHeight="1">
      <c r="A510" s="14">
        <f>IFERROR(__xludf.DUMMYFUNCTION("""COMPUTED_VALUE"""),45300)</f>
        <v/>
      </c>
      <c r="B510" s="1">
        <f>IFERROR(__xludf.DUMMYFUNCTION("""COMPUTED_VALUE"""),"ORG_2052")</f>
        <v/>
      </c>
      <c r="C510" s="1">
        <f>IFERROR(__xludf.DUMMYFUNCTION("""COMPUTED_VALUE"""),TRUE)</f>
        <v/>
      </c>
      <c r="D510" s="1">
        <f>IFERROR(__xludf.DUMMYFUNCTION("""COMPUTED_VALUE"""),"NXT Learning")</f>
        <v/>
      </c>
      <c r="E510" s="15">
        <f>IFERROR(__xludf.DUMMYFUNCTION("""COMPUTED_VALUE"""),"www.nxtlearning.com")</f>
        <v/>
      </c>
      <c r="F510" s="1">
        <f>IFERROR(__xludf.DUMMYFUNCTION("""COMPUTED_VALUE"""),"You get a ready-made solution. We take care of everything from needs to completed training.
In the digital world, this means a range of activities, from structuring course content to production and distribution via your own LMS system. Or you get access "&amp;"to one of us as part of the delivery.
Your own education portal.")</f>
        <v/>
      </c>
      <c r="G510" s="1">
        <f>IFERROR(__xludf.DUMMYFUNCTION("""COMPUTED_VALUE"""),"I'm not part of any EdTech association")</f>
        <v/>
      </c>
      <c r="H510" s="1" t="n"/>
      <c r="I510" s="1">
        <f>IFERROR(__xludf.DUMMYFUNCTION("""COMPUTED_VALUE"""),"enkelt@nxtlearning.se")</f>
        <v/>
      </c>
      <c r="J510" s="1">
        <f>IFERROR(__xludf.DUMMYFUNCTION("""COMPUTED_VALUE"""),"+46 13-10 07 30")</f>
        <v/>
      </c>
      <c r="K510" s="1">
        <f>IFERROR(__xludf.DUMMYFUNCTION("""COMPUTED_VALUE"""),"LINKÖPING")</f>
        <v/>
      </c>
      <c r="L510" s="1">
        <f>IFERROR(__xludf.DUMMYFUNCTION("""COMPUTED_VALUE"""),"Sweden")</f>
        <v/>
      </c>
      <c r="M510" s="1">
        <f>IFERROR(__xludf.DUMMYFUNCTION("""COMPUTED_VALUE"""),"Austria, Azerbaijan, Belgium, Czechia, Denmark, Finland, France, Germany, Greece, Iceland, Ireland, Italy, Latvia, Lithuania, Luxembourg, Malta, Netherlands, Norway, Poland, Portugal, Romania, Serbia, Spain, Sweden, Switzerland, Turkey, Ukraine, United Ki"&amp;"ngdom")</f>
        <v/>
      </c>
      <c r="N510" s="1">
        <f>IFERROR(__xludf.DUMMYFUNCTION("""COMPUTED_VALUE"""),"0 to 10")</f>
        <v/>
      </c>
      <c r="O510" s="1">
        <f>IFERROR(__xludf.DUMMYFUNCTION("""COMPUTED_VALUE"""),"Business to Government, Business to Schools")</f>
        <v/>
      </c>
      <c r="P510" s="1">
        <f>IFERROR(__xludf.DUMMYFUNCTION("""COMPUTED_VALUE"""),"Higher Education, Corporate Training, Lifelong learning/Adult education")</f>
        <v/>
      </c>
      <c r="Q510" s="1">
        <f>IFERROR(__xludf.DUMMYFUNCTION("""COMPUTED_VALUE"""),"Teacher interfacing, System/Administrative")</f>
        <v/>
      </c>
      <c r="R510" s="1" t="n"/>
      <c r="S510" s="1" t="n"/>
      <c r="T510" s="1" t="n"/>
      <c r="U510" s="1" t="n"/>
      <c r="V510" s="1" t="n"/>
      <c r="W510" s="1" t="n"/>
      <c r="X510" s="1" t="n"/>
      <c r="Y510" s="15">
        <f>IFERROR(__xludf.DUMMYFUNCTION("""COMPUTED_VALUE"""),"https://drive.google.com/uc?export=view&amp;id=1tMttNEffoM4diplDozFJMAb0QSLuIDcN")</f>
        <v/>
      </c>
      <c r="Z510" s="1">
        <f>IFERROR(__xludf.DUMMYFUNCTION("""COMPUTED_VALUE"""),"Unverified")</f>
        <v/>
      </c>
      <c r="AA510" s="1" t="n"/>
      <c r="AB510" s="1" t="n"/>
      <c r="AC510" s="1" t="n"/>
      <c r="AD510" s="1" t="n"/>
      <c r="AE510" s="1" t="n"/>
    </row>
    <row r="511" ht="42" customHeight="1">
      <c r="A511" s="14">
        <f>IFERROR(__xludf.DUMMYFUNCTION("""COMPUTED_VALUE"""),45300)</f>
        <v/>
      </c>
      <c r="B511" s="1">
        <f>IFERROR(__xludf.DUMMYFUNCTION("""COMPUTED_VALUE"""),"ORG_2072")</f>
        <v/>
      </c>
      <c r="C511" s="1">
        <f>IFERROR(__xludf.DUMMYFUNCTION("""COMPUTED_VALUE"""),TRUE)</f>
        <v/>
      </c>
      <c r="D511" s="1">
        <f>IFERROR(__xludf.DUMMYFUNCTION("""COMPUTED_VALUE"""),"Open Study College")</f>
        <v/>
      </c>
      <c r="E511" s="15">
        <f>IFERROR(__xludf.DUMMYFUNCTION("""COMPUTED_VALUE"""),"https://www.openstudycollege.com/")</f>
        <v/>
      </c>
      <c r="F511" s="1">
        <f>IFERROR(__xludf.DUMMYFUNCTION("""COMPUTED_VALUE"""),"We are a family run provider of online learning courses for people who are looking to develop new skills and achieve their career goals.")</f>
        <v/>
      </c>
      <c r="G511" s="1">
        <f>IFERROR(__xludf.DUMMYFUNCTION("""COMPUTED_VALUE"""),"I'm not part of any EdTech association")</f>
        <v/>
      </c>
      <c r="H511" s="1" t="n"/>
      <c r="I511" s="1" t="n"/>
      <c r="J511" s="1">
        <f>IFERROR(__xludf.DUMMYFUNCTION("""COMPUTED_VALUE"""),"+44 330 822 2597")</f>
        <v/>
      </c>
      <c r="K511" s="1">
        <f>IFERROR(__xludf.DUMMYFUNCTION("""COMPUTED_VALUE"""),"Birmingham")</f>
        <v/>
      </c>
      <c r="L511" s="1">
        <f>IFERROR(__xludf.DUMMYFUNCTION("""COMPUTED_VALUE"""),"United Kingdom")</f>
        <v/>
      </c>
      <c r="M511" s="1">
        <f>IFERROR(__xludf.DUMMYFUNCTION("""COMPUTED_VALUE"""),"United Kingdom")</f>
        <v/>
      </c>
      <c r="N511" s="1">
        <f>IFERROR(__xludf.DUMMYFUNCTION("""COMPUTED_VALUE"""),"100+")</f>
        <v/>
      </c>
      <c r="O511" s="1">
        <f>IFERROR(__xludf.DUMMYFUNCTION("""COMPUTED_VALUE"""),"Business to Business, Business to Consumer")</f>
        <v/>
      </c>
      <c r="P511" s="1">
        <f>IFERROR(__xludf.DUMMYFUNCTION("""COMPUTED_VALUE"""),"Higher Education, Corporate Training, Lifelong learning/Adult education")</f>
        <v/>
      </c>
      <c r="Q511" s="1">
        <f>IFERROR(__xludf.DUMMYFUNCTION("""COMPUTED_VALUE"""),"Student interfacing, System/Administrative")</f>
        <v/>
      </c>
      <c r="R511" s="1" t="n"/>
      <c r="S511" s="1" t="n"/>
      <c r="T511" s="1" t="n"/>
      <c r="U511" s="1" t="n"/>
      <c r="V511" s="1" t="n"/>
      <c r="W511" s="1" t="n"/>
      <c r="X511" s="1" t="n"/>
      <c r="Y511" s="15">
        <f>IFERROR(__xludf.DUMMYFUNCTION("""COMPUTED_VALUE"""),"https://drive.google.com/uc?export=view&amp;id=1JoHhQme8Q5g-4CS6rzPDK-5yHFmBT_O5")</f>
        <v/>
      </c>
      <c r="Z511" s="1">
        <f>IFERROR(__xludf.DUMMYFUNCTION("""COMPUTED_VALUE"""),"Unverified")</f>
        <v/>
      </c>
      <c r="AA511" s="1" t="n"/>
      <c r="AB511" s="1" t="n"/>
      <c r="AC511" s="1" t="n"/>
      <c r="AD511" s="1" t="n"/>
      <c r="AE511" s="1" t="n"/>
    </row>
    <row r="512" ht="42" customHeight="1">
      <c r="A512" s="14">
        <f>IFERROR(__xludf.DUMMYFUNCTION("""COMPUTED_VALUE"""),45300)</f>
        <v/>
      </c>
      <c r="B512" s="1">
        <f>IFERROR(__xludf.DUMMYFUNCTION("""COMPUTED_VALUE"""),"ORG_1799")</f>
        <v/>
      </c>
      <c r="C512" s="1">
        <f>IFERROR(__xludf.DUMMYFUNCTION("""COMPUTED_VALUE"""),TRUE)</f>
        <v/>
      </c>
      <c r="D512" s="1">
        <f>IFERROR(__xludf.DUMMYFUNCTION("""COMPUTED_VALUE"""),"L'explorateur de métiers")</f>
        <v/>
      </c>
      <c r="E512" s="15">
        <f>IFERROR(__xludf.DUMMYFUNCTION("""COMPUTED_VALUE"""),"explorateurdemetiers.tv")</f>
        <v/>
      </c>
      <c r="F512" s="1">
        <f>IFERROR(__xludf.DUMMYFUNCTION("""COMPUTED_VALUE"""),"L'explorateur de métiers (explorer job) is an independent online news media, without advertising or subsidies and which lives only on subscriptions from its customers and which publishes video reports on careers (addition and regular update). Exploration "&amp;"modules (4), unique job quizzes, immersive experiences and information sheets available to help with the orientation and professional integration of young people aged 14-25.")</f>
        <v/>
      </c>
      <c r="G512" s="1">
        <f>IFERROR(__xludf.DUMMYFUNCTION("""COMPUTED_VALUE"""),"EdTech France")</f>
        <v/>
      </c>
      <c r="H512" s="1" t="n"/>
      <c r="I512" s="1">
        <f>IFERROR(__xludf.DUMMYFUNCTION("""COMPUTED_VALUE"""),"contact@explorateurdemetiers.tv")</f>
        <v/>
      </c>
      <c r="J512" s="1">
        <f>IFERROR(__xludf.DUMMYFUNCTION("""COMPUTED_VALUE"""),"+33148726637")</f>
        <v/>
      </c>
      <c r="K512" s="1">
        <f>IFERROR(__xludf.DUMMYFUNCTION("""COMPUTED_VALUE"""),"Nogent sur Marne")</f>
        <v/>
      </c>
      <c r="L512" s="1">
        <f>IFERROR(__xludf.DUMMYFUNCTION("""COMPUTED_VALUE"""),"France")</f>
        <v/>
      </c>
      <c r="M512" s="1">
        <f>IFERROR(__xludf.DUMMYFUNCTION("""COMPUTED_VALUE"""),"France")</f>
        <v/>
      </c>
      <c r="N512" s="1">
        <f>IFERROR(__xludf.DUMMYFUNCTION("""COMPUTED_VALUE"""),"0 to 10")</f>
        <v/>
      </c>
      <c r="O512" s="1">
        <f>IFERROR(__xludf.DUMMYFUNCTION("""COMPUTED_VALUE"""),"Business to Business, Business to Consumer, Business to Schools")</f>
        <v/>
      </c>
      <c r="P512" s="1">
        <f>IFERROR(__xludf.DUMMYFUNCTION("""COMPUTED_VALUE"""),"Secondary Education, Higher Education, Corporate Training")</f>
        <v/>
      </c>
      <c r="Q512" s="1">
        <f>IFERROR(__xludf.DUMMYFUNCTION("""COMPUTED_VALUE"""),"System/Administrative, Student interfacing, Teacher interfacing")</f>
        <v/>
      </c>
      <c r="R512" s="1" t="n"/>
      <c r="S512" s="1">
        <f>IFERROR(__xludf.DUMMYFUNCTION("""COMPUTED_VALUE"""),"explometierstv")</f>
        <v/>
      </c>
      <c r="T512" s="15">
        <f>IFERROR(__xludf.DUMMYFUNCTION("""COMPUTED_VALUE"""),"https://www.linkedin.com/company/explorateurdemetiers")</f>
        <v/>
      </c>
      <c r="U512" s="1">
        <f>IFERROR(__xludf.DUMMYFUNCTION("""COMPUTED_VALUE"""),"school subscription")</f>
        <v/>
      </c>
      <c r="V512" s="1">
        <f>IFERROR(__xludf.DUMMYFUNCTION("""COMPUTED_VALUE"""),"Subscription for 1 year without commitment in the form of a renewable annual license, unlimited use, unlimited user
250€ including tax")</f>
        <v/>
      </c>
      <c r="W512" s="1">
        <f>IFERROR(__xludf.DUMMYFUNCTION("""COMPUTED_VALUE"""),"student subscription")</f>
        <v/>
      </c>
      <c r="X512" s="1">
        <f>IFERROR(__xludf.DUMMYFUNCTION("""COMPUTED_VALUE"""),"Subscription for 1 year without commitment in the form of a renewable annual license, unlimited use, 
24€ including tax")</f>
        <v/>
      </c>
      <c r="Y512" s="15">
        <f>IFERROR(__xludf.DUMMYFUNCTION("""COMPUTED_VALUE"""),"https://drive.google.com/uc?export=view&amp;id=1OQtPL8KyG-bQldMHpJUZEnvcRDONKMWg")</f>
        <v/>
      </c>
      <c r="Z512" s="1">
        <f>IFERROR(__xludf.DUMMYFUNCTION("""COMPUTED_VALUE"""),"Unverified")</f>
        <v/>
      </c>
      <c r="AA512" s="1" t="n"/>
      <c r="AB512" s="1" t="n"/>
      <c r="AC512" s="1" t="n"/>
      <c r="AD512" s="1" t="n"/>
      <c r="AE512" s="1" t="n"/>
    </row>
    <row r="513" ht="42" customHeight="1">
      <c r="A513" s="14">
        <f>IFERROR(__xludf.DUMMYFUNCTION("""COMPUTED_VALUE"""),45300)</f>
        <v/>
      </c>
      <c r="B513" s="1">
        <f>IFERROR(__xludf.DUMMYFUNCTION("""COMPUTED_VALUE"""),"ORG_1474")</f>
        <v/>
      </c>
      <c r="C513" s="1">
        <f>IFERROR(__xludf.DUMMYFUNCTION("""COMPUTED_VALUE"""),TRUE)</f>
        <v/>
      </c>
      <c r="D513" s="1">
        <f>IFERROR(__xludf.DUMMYFUNCTION("""COMPUTED_VALUE"""),"EGOS! the education company")</f>
        <v/>
      </c>
      <c r="E513" s="15">
        <f>IFERROR(__xludf.DUMMYFUNCTION("""COMPUTED_VALUE"""),"https://www.egos.co.at/")</f>
        <v/>
      </c>
      <c r="F513" s="1">
        <f>IFERROR(__xludf.DUMMYFUNCTION("""COMPUTED_VALUE"""),"EGOS! unterstützt seit über 30 Jahren Unternehmen um ihre MitarbeiterInnen bei der persönlichen und fachlichen Weiterentwicklung in den Bereichen Digitalisierung, Informationstechnologie sowie Personal und Organisationsentwicklung zu unterstützen. Unsere "&amp;"Passion ist Technologien für Menschen optimal nutzbar zu machen und damit die Effizienz Ihrer Arbeit zu steigern. Wir bieten dafür Beratung, Dienstleistungen sowie analoge und digitale Bildungslösungen an. Das Angebot umfasst Seminare, Webinare, Workshops"&amp;", Lehrgänge, Coaching, Consulting, Zertifizierungen, E-Learning-Kurse, Lern-Management-Systeme und die Individualentwicklung von E-Learning Lösungen. Wir decken dabei ein Spektrum von der Ausbildung einzelner TeilnehmerInnen bis hin zu internationalen Qua"&amp;"lifizierungsprojekten in vielen Sprachen und Ländern der Welt ab.")</f>
        <v/>
      </c>
      <c r="G513" s="1">
        <f>IFERROR(__xludf.DUMMYFUNCTION("""COMPUTED_VALUE"""),"EdTech Austria")</f>
        <v/>
      </c>
      <c r="H513" s="1" t="n"/>
      <c r="I513" s="1">
        <f>IFERROR(__xludf.DUMMYFUNCTION("""COMPUTED_VALUE"""),"training@egos.co.at")</f>
        <v/>
      </c>
      <c r="J513" s="1">
        <f>IFERROR(__xludf.DUMMYFUNCTION("""COMPUTED_VALUE"""),"+43512364777")</f>
        <v/>
      </c>
      <c r="K513" s="1">
        <f>IFERROR(__xludf.DUMMYFUNCTION("""COMPUTED_VALUE"""),"Innsbruck")</f>
        <v/>
      </c>
      <c r="L513" s="1">
        <f>IFERROR(__xludf.DUMMYFUNCTION("""COMPUTED_VALUE"""),"Austria")</f>
        <v/>
      </c>
      <c r="M513" s="1">
        <f>IFERROR(__xludf.DUMMYFUNCTION("""COMPUTED_VALUE"""),"Austria, France, Germany, Italy, Liechtenstein, Switzerland, United Kingdom")</f>
        <v/>
      </c>
      <c r="N513" s="1">
        <f>IFERROR(__xludf.DUMMYFUNCTION("""COMPUTED_VALUE"""),"11 to 50")</f>
        <v/>
      </c>
      <c r="O513" s="1">
        <f>IFERROR(__xludf.DUMMYFUNCTION("""COMPUTED_VALUE"""),"Business to Business")</f>
        <v/>
      </c>
      <c r="P513" s="1">
        <f>IFERROR(__xludf.DUMMYFUNCTION("""COMPUTED_VALUE"""),"Corporate Training, Lifelong learning/Adult education")</f>
        <v/>
      </c>
      <c r="Q513" s="1">
        <f>IFERROR(__xludf.DUMMYFUNCTION("""COMPUTED_VALUE"""),"Teacher interfacing, Student interfacing, System/Administrative")</f>
        <v/>
      </c>
      <c r="R513" s="1">
        <f>IFERROR(__xludf.DUMMYFUNCTION("""COMPUTED_VALUE"""),"egos.education")</f>
        <v/>
      </c>
      <c r="S513" s="1">
        <f>IFERROR(__xludf.DUMMYFUNCTION("""COMPUTED_VALUE"""),"EGOS GmbH")</f>
        <v/>
      </c>
      <c r="T513" s="1">
        <f>IFERROR(__xludf.DUMMYFUNCTION("""COMPUTED_VALUE"""),"egos-the-education-company")</f>
        <v/>
      </c>
      <c r="U513" s="1">
        <f>IFERROR(__xludf.DUMMYFUNCTION("""COMPUTED_VALUE"""),"IT-Seminare")</f>
        <v/>
      </c>
      <c r="V513" s="15">
        <f>IFERROR(__xludf.DUMMYFUNCTION("""COMPUTED_VALUE"""),"https://www.egos.co.at/seminare/alle/alle")</f>
        <v/>
      </c>
      <c r="W513" s="1">
        <f>IFERROR(__xludf.DUMMYFUNCTION("""COMPUTED_VALUE"""),"Lernsoftware")</f>
        <v/>
      </c>
      <c r="X513" s="15">
        <f>IFERROR(__xludf.DUMMYFUNCTION("""COMPUTED_VALUE"""),"https://www.egos.co.at/elearning/lernsoftware")</f>
        <v/>
      </c>
      <c r="Y513" s="15">
        <f>IFERROR(__xludf.DUMMYFUNCTION("""COMPUTED_VALUE"""),"https://drive.google.com/uc?export=view&amp;id=1xblqNMVF63cD4JMua2QFSHZXLWMngBj3")</f>
        <v/>
      </c>
      <c r="Z513" s="1">
        <f>IFERROR(__xludf.DUMMYFUNCTION("""COMPUTED_VALUE"""),"Unverified")</f>
        <v/>
      </c>
      <c r="AA513" s="1" t="n"/>
      <c r="AB513" s="1" t="n"/>
      <c r="AC513" s="1" t="n"/>
      <c r="AD513" s="1" t="n"/>
      <c r="AE513" s="1" t="n"/>
    </row>
    <row r="514" ht="42" customHeight="1">
      <c r="A514" s="14">
        <f>IFERROR(__xludf.DUMMYFUNCTION("""COMPUTED_VALUE"""),45300)</f>
        <v/>
      </c>
      <c r="B514" s="1">
        <f>IFERROR(__xludf.DUMMYFUNCTION("""COMPUTED_VALUE"""),"ORG_1620")</f>
        <v/>
      </c>
      <c r="C514" s="1">
        <f>IFERROR(__xludf.DUMMYFUNCTION("""COMPUTED_VALUE"""),TRUE)</f>
        <v/>
      </c>
      <c r="D514" s="1">
        <f>IFERROR(__xludf.DUMMYFUNCTION("""COMPUTED_VALUE"""),"GetJobsDone")</f>
        <v/>
      </c>
      <c r="E514" s="15">
        <f>IFERROR(__xludf.DUMMYFUNCTION("""COMPUTED_VALUE"""),"https://getjobsdone.nl/")</f>
        <v/>
      </c>
      <c r="F514" s="1">
        <f>IFERROR(__xludf.DUMMYFUNCTION("""COMPUTED_VALUE"""),"We believe that the labor market needs to change in order to provide young talents the possibility to develop themselves during their studies. Therefore, we founded GetJobsDone, a marketplace where companies can post task for a price they think the task i"&amp;"s worth. Students can perform those tasks, without the need to have a contract and can develop themselves during their studies.")</f>
        <v/>
      </c>
      <c r="G514" s="1">
        <f>IFERROR(__xludf.DUMMYFUNCTION("""COMPUTED_VALUE"""),"Dutch EdTech")</f>
        <v/>
      </c>
      <c r="H514" s="1" t="n"/>
      <c r="I514" s="1">
        <f>IFERROR(__xludf.DUMMYFUNCTION("""COMPUTED_VALUE"""),"info@getjobsdone.nl")</f>
        <v/>
      </c>
      <c r="J514" s="1">
        <f>IFERROR(__xludf.DUMMYFUNCTION("""COMPUTED_VALUE"""),"+31 33 200 2477")</f>
        <v/>
      </c>
      <c r="K514" s="1">
        <f>IFERROR(__xludf.DUMMYFUNCTION("""COMPUTED_VALUE"""),"AMERSFOORT")</f>
        <v/>
      </c>
      <c r="L514" s="1">
        <f>IFERROR(__xludf.DUMMYFUNCTION("""COMPUTED_VALUE"""),"The Netherlands")</f>
        <v/>
      </c>
      <c r="M514" s="1">
        <f>IFERROR(__xludf.DUMMYFUNCTION("""COMPUTED_VALUE"""),"Netherlands")</f>
        <v/>
      </c>
      <c r="N514" s="1">
        <f>IFERROR(__xludf.DUMMYFUNCTION("""COMPUTED_VALUE"""),"0 to 10")</f>
        <v/>
      </c>
      <c r="O514" s="1">
        <f>IFERROR(__xludf.DUMMYFUNCTION("""COMPUTED_VALUE"""),"Business to Business")</f>
        <v/>
      </c>
      <c r="P514" s="1">
        <f>IFERROR(__xludf.DUMMYFUNCTION("""COMPUTED_VALUE"""),"Higher Education")</f>
        <v/>
      </c>
      <c r="Q514" s="1">
        <f>IFERROR(__xludf.DUMMYFUNCTION("""COMPUTED_VALUE"""),"Student interfacing, System/Administrative")</f>
        <v/>
      </c>
      <c r="R514" s="15">
        <f>IFERROR(__xludf.DUMMYFUNCTION("""COMPUTED_VALUE"""),"https://www.instagram.com/getjobsdone.nl/")</f>
        <v/>
      </c>
      <c r="S514" s="1" t="n"/>
      <c r="T514" s="15">
        <f>IFERROR(__xludf.DUMMYFUNCTION("""COMPUTED_VALUE"""),"https://www.linkedin.com/company/getjobsdone/")</f>
        <v/>
      </c>
      <c r="U514" s="1">
        <f>IFERROR(__xludf.DUMMYFUNCTION("""COMPUTED_VALUE"""),"Marketplace")</f>
        <v/>
      </c>
      <c r="V514" s="1">
        <f>IFERROR(__xludf.DUMMYFUNCTION("""COMPUTED_VALUE"""),"Marketplace were companies can post tasks which can be performed by students during their studies, so they can develop themselves during their studies.")</f>
        <v/>
      </c>
      <c r="W514" s="1" t="n"/>
      <c r="X514" s="1" t="n"/>
      <c r="Y514" s="15">
        <f>IFERROR(__xludf.DUMMYFUNCTION("""COMPUTED_VALUE"""),"https://drive.google.com/uc?export=view&amp;id=17-comaZu1VJH1PN6mwn9WlMkEPyaaQPX")</f>
        <v/>
      </c>
      <c r="Z514" s="1">
        <f>IFERROR(__xludf.DUMMYFUNCTION("""COMPUTED_VALUE"""),"Unverified")</f>
        <v/>
      </c>
      <c r="AA514" s="1" t="n"/>
      <c r="AB514" s="1" t="n"/>
      <c r="AC514" s="1" t="n"/>
      <c r="AD514" s="1" t="n"/>
      <c r="AE514" s="1" t="n"/>
    </row>
    <row r="515" ht="42" customHeight="1">
      <c r="A515" s="14">
        <f>IFERROR(__xludf.DUMMYFUNCTION("""COMPUTED_VALUE"""),45300)</f>
        <v/>
      </c>
      <c r="B515" s="1">
        <f>IFERROR(__xludf.DUMMYFUNCTION("""COMPUTED_VALUE"""),"ORG_1669")</f>
        <v/>
      </c>
      <c r="C515" s="1">
        <f>IFERROR(__xludf.DUMMYFUNCTION("""COMPUTED_VALUE"""),TRUE)</f>
        <v/>
      </c>
      <c r="D515" s="1">
        <f>IFERROR(__xludf.DUMMYFUNCTION("""COMPUTED_VALUE"""),"Hej SYV AB")</f>
        <v/>
      </c>
      <c r="E515" s="15">
        <f>IFERROR(__xludf.DUMMYFUNCTION("""COMPUTED_VALUE"""),"https://hejsyv.se/")</f>
        <v/>
      </c>
      <c r="F515" s="1">
        <f>IFERROR(__xludf.DUMMYFUNCTION("""COMPUTED_VALUE"""),"Our main goal is to help young people make a well-founded career choice of their own future. We provide pre-planned lessons in career education for teachers to implement in the classroom. We work in the field of career counselling and career mangemant ski"&amp;"lls.")</f>
        <v/>
      </c>
      <c r="G515" s="1">
        <f>IFERROR(__xludf.DUMMYFUNCTION("""COMPUTED_VALUE"""),"Swedish EdTech Industry")</f>
        <v/>
      </c>
      <c r="H515" s="1" t="n"/>
      <c r="I515" s="1">
        <f>IFERROR(__xludf.DUMMYFUNCTION("""COMPUTED_VALUE"""),"lotten@hejsyv.se")</f>
        <v/>
      </c>
      <c r="J515" s="1" t="n"/>
      <c r="K515" s="1">
        <f>IFERROR(__xludf.DUMMYFUNCTION("""COMPUTED_VALUE"""),"Stocksund")</f>
        <v/>
      </c>
      <c r="L515" s="1">
        <f>IFERROR(__xludf.DUMMYFUNCTION("""COMPUTED_VALUE"""),"Sweden")</f>
        <v/>
      </c>
      <c r="M515" s="1">
        <f>IFERROR(__xludf.DUMMYFUNCTION("""COMPUTED_VALUE"""),"Sweden")</f>
        <v/>
      </c>
      <c r="N515" s="1">
        <f>IFERROR(__xludf.DUMMYFUNCTION("""COMPUTED_VALUE"""),"0 to 10")</f>
        <v/>
      </c>
      <c r="O515" s="1">
        <f>IFERROR(__xludf.DUMMYFUNCTION("""COMPUTED_VALUE"""),"Business to Business")</f>
        <v/>
      </c>
      <c r="P515" s="1">
        <f>IFERROR(__xludf.DUMMYFUNCTION("""COMPUTED_VALUE"""),"Early childhood development (0-5 years), Primary Education, Secondary Education")</f>
        <v/>
      </c>
      <c r="Q515" s="1">
        <f>IFERROR(__xludf.DUMMYFUNCTION("""COMPUTED_VALUE"""),"Teacher interfacing")</f>
        <v/>
      </c>
      <c r="R515" s="1">
        <f>IFERROR(__xludf.DUMMYFUNCTION("""COMPUTED_VALUE"""),"hejsyv")</f>
        <v/>
      </c>
      <c r="S515" s="1" t="n"/>
      <c r="T515" s="1" t="n"/>
      <c r="U515" s="15">
        <f>IFERROR(__xludf.DUMMYFUNCTION("""COMPUTED_VALUE"""),"https://hejframtidsval.se/")</f>
        <v/>
      </c>
      <c r="V515" s="1">
        <f>IFERROR(__xludf.DUMMYFUNCTION("""COMPUTED_VALUE"""),"We offer pre-planned lessons and support for teachers to implement Career education in classrooms. The goal is to help students develope self-knowledge and strengthen their career managment skills.")</f>
        <v/>
      </c>
      <c r="W515" s="1" t="n"/>
      <c r="X515" s="1" t="n"/>
      <c r="Y515" s="15">
        <f>IFERROR(__xludf.DUMMYFUNCTION("""COMPUTED_VALUE"""),"https://drive.google.com/uc?export=view&amp;id=14RyJiS6wNocDJX4OzkpbHpuo9mJXU6Kf")</f>
        <v/>
      </c>
      <c r="Z515" s="1">
        <f>IFERROR(__xludf.DUMMYFUNCTION("""COMPUTED_VALUE"""),"Unverified")</f>
        <v/>
      </c>
      <c r="AA515" s="1" t="n"/>
      <c r="AB515" s="1" t="n"/>
      <c r="AC515" s="1" t="n"/>
      <c r="AD515" s="1" t="n"/>
      <c r="AE515" s="1" t="n"/>
    </row>
    <row r="516" ht="42" customHeight="1">
      <c r="A516" s="14">
        <f>IFERROR(__xludf.DUMMYFUNCTION("""COMPUTED_VALUE"""),45300)</f>
        <v/>
      </c>
      <c r="B516" s="1">
        <f>IFERROR(__xludf.DUMMYFUNCTION("""COMPUTED_VALUE"""),"ORG_2065")</f>
        <v/>
      </c>
      <c r="C516" s="1">
        <f>IFERROR(__xludf.DUMMYFUNCTION("""COMPUTED_VALUE"""),TRUE)</f>
        <v/>
      </c>
      <c r="D516" s="1">
        <f>IFERROR(__xludf.DUMMYFUNCTION("""COMPUTED_VALUE"""),"onEVO interactive floor")</f>
        <v/>
      </c>
      <c r="E516" s="15">
        <f>IFERROR(__xludf.DUMMYFUNCTION("""COMPUTED_VALUE"""),"https://onevofloor.com/en")</f>
        <v/>
      </c>
      <c r="F516" s="1">
        <f>IFERROR(__xludf.DUMMYFUNCTION("""COMPUTED_VALUE"""),"The first augmented reality projector that entertains, teaches and supports the rehabilitation process! onEVO interactive floor is changing the way of teaching around the world! How? Through movement and entertainment utilising augmented reality!")</f>
        <v/>
      </c>
      <c r="G516" s="1">
        <f>IFERROR(__xludf.DUMMYFUNCTION("""COMPUTED_VALUE"""),"EdTech Poland")</f>
        <v/>
      </c>
      <c r="H516" s="1" t="n"/>
      <c r="I516" s="1">
        <f>IFERROR(__xludf.DUMMYFUNCTION("""COMPUTED_VALUE"""),"office@onevofloor.com")</f>
        <v/>
      </c>
      <c r="J516" s="1">
        <f>IFERROR(__xludf.DUMMYFUNCTION("""COMPUTED_VALUE"""),"+ 48 22 610 02 30")</f>
        <v/>
      </c>
      <c r="K516" s="1">
        <f>IFERROR(__xludf.DUMMYFUNCTION("""COMPUTED_VALUE"""),"WARSAW")</f>
        <v/>
      </c>
      <c r="L516" s="1">
        <f>IFERROR(__xludf.DUMMYFUNCTION("""COMPUTED_VALUE"""),"Poland")</f>
        <v/>
      </c>
      <c r="M516" s="1">
        <f>IFERROR(__xludf.DUMMYFUNCTION("""COMPUTED_VALUE"""),"Belgium, Bulgaria, Czechia, Denmark, Estonia, Finland, France, Germany, Greece, Hungary, Ireland, Italy, Latvia, Lithuania, Luxembourg, Netherlands, Norway, Poland, Romania, Slovakia, Slovenia, Spain, Sweden, Ukraine, United Kingdom")</f>
        <v/>
      </c>
      <c r="N516" s="1">
        <f>IFERROR(__xludf.DUMMYFUNCTION("""COMPUTED_VALUE"""),"11 to 50")</f>
        <v/>
      </c>
      <c r="O516" s="1">
        <f>IFERROR(__xludf.DUMMYFUNCTION("""COMPUTED_VALUE"""),"Business to Business, Business to Government, Business to Schools")</f>
        <v/>
      </c>
      <c r="P516" s="1">
        <f>IFERROR(__xludf.DUMMYFUNCTION("""COMPUTED_VALUE"""),"Early childhood development (0-5 years), Primary Education, Secondary Education, Higher Education, Corporate Training, Lifelong learning/Adult education")</f>
        <v/>
      </c>
      <c r="Q516" s="1">
        <f>IFERROR(__xludf.DUMMYFUNCTION("""COMPUTED_VALUE"""),"System/Administrative, Student interfacing, Teacher interfacing")</f>
        <v/>
      </c>
      <c r="R516" s="15">
        <f>IFERROR(__xludf.DUMMYFUNCTION("""COMPUTED_VALUE"""),"https://www.instagram.com/onevo_floor")</f>
        <v/>
      </c>
      <c r="S516" s="1" t="n"/>
      <c r="T516" s="15">
        <f>IFERROR(__xludf.DUMMYFUNCTION("""COMPUTED_VALUE"""),"https://www.linkedin.com/company/onevo-floor")</f>
        <v/>
      </c>
      <c r="U516" s="1">
        <f>IFERROR(__xludf.DUMMYFUNCTION("""COMPUTED_VALUE"""),"onEVO interactive floor")</f>
        <v/>
      </c>
      <c r="V516" s="1">
        <f>IFERROR(__xludf.DUMMYFUNCTION("""COMPUTED_VALUE"""),"Meet the onEVO floor
Modern technology combined with augmented reality that supports children’s development and learning? Yes! The onEVO floor is an interactive multimedia device that can meet this challenge. It combines innovation, ease of use, and packa"&amp;"ges of several hundred unique games, which constitute the real breadth of the product. Thus, it allows preschoolers and primary school students to take an amazing journey into the world of adventure. The onEVO floor is not only brilliant fun and entertain"&amp;"ment for kids. The apps are designed in such a way that children simultaneously gain knowledge and have fun. The packages also include lesson plans, worksheets and teaching materials that were created with the help of eminent experts and meet the requirem"&amp;"ents of the core curriculum. They can be used both during classes with properly developing children and with those dealing with some difficulties. This tool is an invaluable support for teachers and therapists who can take their teaching to a whole new le"&amp;"vel by using technology to increase effectiveness and achieve goals faster. This is confirmed by thousands of satisfied users all over the world.")</f>
        <v/>
      </c>
      <c r="W516" s="1" t="n"/>
      <c r="X516" s="1" t="n"/>
      <c r="Y516" s="15">
        <f>IFERROR(__xludf.DUMMYFUNCTION("""COMPUTED_VALUE"""),"https://drive.google.com/uc?export=view&amp;id=1myDP9D7Ww-TsOgocU5vuYVBEBlOIm2Y_")</f>
        <v/>
      </c>
      <c r="Z516" s="1">
        <f>IFERROR(__xludf.DUMMYFUNCTION("""COMPUTED_VALUE"""),"Unverified")</f>
        <v/>
      </c>
      <c r="AA516" s="1" t="n"/>
      <c r="AB516" s="1" t="n"/>
      <c r="AC516" s="1" t="n"/>
      <c r="AD516" s="1" t="n"/>
      <c r="AE516" s="1" t="n"/>
    </row>
    <row r="517" ht="42" customHeight="1">
      <c r="A517" s="14">
        <f>IFERROR(__xludf.DUMMYFUNCTION("""COMPUTED_VALUE"""),45300)</f>
        <v/>
      </c>
      <c r="B517" s="1">
        <f>IFERROR(__xludf.DUMMYFUNCTION("""COMPUTED_VALUE"""),"ORG_2482")</f>
        <v/>
      </c>
      <c r="C517" s="1">
        <f>IFERROR(__xludf.DUMMYFUNCTION("""COMPUTED_VALUE"""),TRUE)</f>
        <v/>
      </c>
      <c r="D517" s="1">
        <f>IFERROR(__xludf.DUMMYFUNCTION("""COMPUTED_VALUE"""),"VARS")</f>
        <v/>
      </c>
      <c r="E517" s="15">
        <f>IFERROR(__xludf.DUMMYFUNCTION("""COMPUTED_VALUE"""),"https://www.vars.at/")</f>
        <v/>
      </c>
      <c r="F517" s="1">
        <f>IFERROR(__xludf.DUMMYFUNCTION("""COMPUTED_VALUE"""),"We are a Viennese startup pioneering in the development of virtual and augmented reality software. We help educational institutions and organisations in the cultural mediation area take advantage of immersive technologies. At VARS we offer the development"&amp;" of digital solutions that transcend our physical world so that everyone can benefit from them. As winners of the World Summit Awards 2020, among other awards, we create immersive and innovative digital solutions with high impact for users. All this, comb"&amp;"ined with the talent and professionalism of our team, creates an explosion of satisfying results for our clients.")</f>
        <v/>
      </c>
      <c r="G517" s="1">
        <f>IFERROR(__xludf.DUMMYFUNCTION("""COMPUTED_VALUE"""),"EdTech Austria")</f>
        <v/>
      </c>
      <c r="H517" s="1" t="n"/>
      <c r="I517" s="1">
        <f>IFERROR(__xludf.DUMMYFUNCTION("""COMPUTED_VALUE"""),"office@vars.at")</f>
        <v/>
      </c>
      <c r="J517" s="1">
        <f>IFERROR(__xludf.DUMMYFUNCTION("""COMPUTED_VALUE"""),"436503707906")</f>
        <v/>
      </c>
      <c r="K517" s="1">
        <f>IFERROR(__xludf.DUMMYFUNCTION("""COMPUTED_VALUE"""),"Vienna")</f>
        <v/>
      </c>
      <c r="L517" s="1">
        <f>IFERROR(__xludf.DUMMYFUNCTION("""COMPUTED_VALUE"""),"Austria")</f>
        <v/>
      </c>
      <c r="M517" s="1">
        <f>IFERROR(__xludf.DUMMYFUNCTION("""COMPUTED_VALUE"""),"Austria, Germany, Netherlands, Spain")</f>
        <v/>
      </c>
      <c r="N517" s="1">
        <f>IFERROR(__xludf.DUMMYFUNCTION("""COMPUTED_VALUE"""),"0 to 10")</f>
        <v/>
      </c>
      <c r="O517" s="1">
        <f>IFERROR(__xludf.DUMMYFUNCTION("""COMPUTED_VALUE"""),"Business to Schools")</f>
        <v/>
      </c>
      <c r="P517" s="1">
        <f>IFERROR(__xludf.DUMMYFUNCTION("""COMPUTED_VALUE"""),"Higher Education, Corporate Training, Lifelong learning/Adult education")</f>
        <v/>
      </c>
      <c r="Q517" s="1">
        <f>IFERROR(__xludf.DUMMYFUNCTION("""COMPUTED_VALUE"""),"System/Administrative")</f>
        <v/>
      </c>
      <c r="R517" s="15">
        <f>IFERROR(__xludf.DUMMYFUNCTION("""COMPUTED_VALUE"""),"https://www.instagram.com/vr_ar_vienna/?hl=en")</f>
        <v/>
      </c>
      <c r="S517" s="15">
        <f>IFERROR(__xludf.DUMMYFUNCTION("""COMPUTED_VALUE"""),"https://twitter.com/vars_at")</f>
        <v/>
      </c>
      <c r="T517" s="15">
        <f>IFERROR(__xludf.DUMMYFUNCTION("""COMPUTED_VALUE"""),"https://www.linkedin.com/company/vars-vienna/?viewAsMember=true")</f>
        <v/>
      </c>
      <c r="U517" s="1">
        <f>IFERROR(__xludf.DUMMYFUNCTION("""COMPUTED_VALUE"""),"AR &amp; VR Experiences")</f>
        <v/>
      </c>
      <c r="V517" s="1">
        <f>IFERROR(__xludf.DUMMYFUNCTION("""COMPUTED_VALUE"""),"VARS stands for Virtual and Augmented Reality Studio, we are specialized in XR App design and development. Being XR is a term that refers to both VR and AR. 
Developing high-quality XR content and experience for innovative projects is our passion. Thanks"&amp;" to our experience, networking, research, and development, we are always up-to-date with the latest immersive technology trends. This enables us to offer you innovative solutions to create amazing XR experiences. XR experiences that can be made of mobile "&amp;"applications, PC programs, or social media effects, among others. By leveraging our passion for creating digital content and experiences, we help businesses take advantage of these immersive technologies.")</f>
        <v/>
      </c>
      <c r="W517" s="1" t="n"/>
      <c r="X517" s="1" t="n"/>
      <c r="Y517" s="15">
        <f>IFERROR(__xludf.DUMMYFUNCTION("""COMPUTED_VALUE"""),"https://drive.google.com/uc?export=view&amp;id=14WuffxMAuUyZPf62hFz4Gk7rNUJYnu5p")</f>
        <v/>
      </c>
      <c r="Z517" s="1">
        <f>IFERROR(__xludf.DUMMYFUNCTION("""COMPUTED_VALUE"""),"Unverified")</f>
        <v/>
      </c>
      <c r="AA517" s="1" t="n"/>
      <c r="AB517" s="1" t="n"/>
      <c r="AC517" s="1" t="n"/>
      <c r="AD517" s="1" t="n"/>
      <c r="AE517" s="1" t="n"/>
    </row>
    <row r="518" ht="42" customHeight="1">
      <c r="A518" s="14">
        <f>IFERROR(__xludf.DUMMYFUNCTION("""COMPUTED_VALUE"""),45300)</f>
        <v/>
      </c>
      <c r="B518" s="1">
        <f>IFERROR(__xludf.DUMMYFUNCTION("""COMPUTED_VALUE"""),"ORG_2559")</f>
        <v/>
      </c>
      <c r="C518" s="1">
        <f>IFERROR(__xludf.DUMMYFUNCTION("""COMPUTED_VALUE"""),TRUE)</f>
        <v/>
      </c>
      <c r="D518" s="1">
        <f>IFERROR(__xludf.DUMMYFUNCTION("""COMPUTED_VALUE"""),"Xprtise")</f>
        <v/>
      </c>
      <c r="E518" s="15">
        <f>IFERROR(__xludf.DUMMYFUNCTION("""COMPUTED_VALUE"""),"https://xprtise.com")</f>
        <v/>
      </c>
      <c r="F518" s="1">
        <f>IFERROR(__xludf.DUMMYFUNCTION("""COMPUTED_VALUE"""),"We collaborate with companies in designing a learning strategy that focuses on providing the right information at the right time allowing your employees to self-support while they work.
With our experience as both consumers and providers of learning serv"&amp;"ices, we know that it all starts with the right strategy. We can help you build a blueprint for your organization’s learning and performance needs within your unique environment (internal vs. external, within a given budget, considering existing architect"&amp;"ure, etc.).")</f>
        <v/>
      </c>
      <c r="G518" s="1">
        <f>IFERROR(__xludf.DUMMYFUNCTION("""COMPUTED_VALUE"""),"Dutch EdTech")</f>
        <v/>
      </c>
      <c r="H518" s="1" t="n"/>
      <c r="I518" s="1">
        <f>IFERROR(__xludf.DUMMYFUNCTION("""COMPUTED_VALUE"""),"Info@xprtise.com")</f>
        <v/>
      </c>
      <c r="J518" s="1">
        <f>IFERROR(__xludf.DUMMYFUNCTION("""COMPUTED_VALUE"""),"+31 73 640 93 80")</f>
        <v/>
      </c>
      <c r="K518" s="1">
        <f>IFERROR(__xludf.DUMMYFUNCTION("""COMPUTED_VALUE"""),"S-'HERTOGENBOSCH")</f>
        <v/>
      </c>
      <c r="L518" s="1">
        <f>IFERROR(__xludf.DUMMYFUNCTION("""COMPUTED_VALUE"""),"The Netherlands")</f>
        <v/>
      </c>
      <c r="M518" s="1">
        <f>IFERROR(__xludf.DUMMYFUNCTION("""COMPUTED_VALUE"""),"Belgium, Denmark, Germany, Netherlands, Norway, Sweden, United Kingdom")</f>
        <v/>
      </c>
      <c r="N518" s="1">
        <f>IFERROR(__xludf.DUMMYFUNCTION("""COMPUTED_VALUE"""),"11 to 50")</f>
        <v/>
      </c>
      <c r="O518" s="1">
        <f>IFERROR(__xludf.DUMMYFUNCTION("""COMPUTED_VALUE"""),"Business to Schools")</f>
        <v/>
      </c>
      <c r="P518" s="1">
        <f>IFERROR(__xludf.DUMMYFUNCTION("""COMPUTED_VALUE"""),"Corporate Training")</f>
        <v/>
      </c>
      <c r="Q518" s="1">
        <f>IFERROR(__xludf.DUMMYFUNCTION("""COMPUTED_VALUE"""),"Teacher interfacing, Student interfacing, System/Administrative")</f>
        <v/>
      </c>
      <c r="R518" s="1" t="n"/>
      <c r="S518" s="15">
        <f>IFERROR(__xludf.DUMMYFUNCTION("""COMPUTED_VALUE"""),"https://twitter.com/xprtise")</f>
        <v/>
      </c>
      <c r="T518" s="15">
        <f>IFERROR(__xludf.DUMMYFUNCTION("""COMPUTED_VALUE"""),"https://www.linkedin.com/company/7801396/")</f>
        <v/>
      </c>
      <c r="U518" s="1">
        <f>IFERROR(__xludf.DUMMYFUNCTION("""COMPUTED_VALUE"""),"Workflow-based learning and performance solution")</f>
        <v/>
      </c>
      <c r="V518" s="1">
        <f>IFERROR(__xludf.DUMMYFUNCTION("""COMPUTED_VALUE"""),"We build and implement workplace learning solutions that meet the needs of diverse colleagues, where and when they are needed.")</f>
        <v/>
      </c>
      <c r="W518" s="1" t="n"/>
      <c r="X518" s="1" t="n"/>
      <c r="Y518" s="15">
        <f>IFERROR(__xludf.DUMMYFUNCTION("""COMPUTED_VALUE"""),"https://drive.google.com/uc?export=view&amp;id=1fO7egaLub0UPf2zDgyTX5lMuv3DwiFOh")</f>
        <v/>
      </c>
      <c r="Z518" s="1">
        <f>IFERROR(__xludf.DUMMYFUNCTION("""COMPUTED_VALUE"""),"Unverified")</f>
        <v/>
      </c>
      <c r="AA518" s="1" t="n"/>
      <c r="AB518" s="1" t="n"/>
      <c r="AC518" s="1" t="n"/>
      <c r="AD518" s="1" t="n"/>
      <c r="AE518" s="1" t="n"/>
    </row>
    <row r="519" ht="42" customHeight="1">
      <c r="A519" s="14">
        <f>IFERROR(__xludf.DUMMYFUNCTION("""COMPUTED_VALUE"""),45300)</f>
        <v/>
      </c>
      <c r="B519" s="1">
        <f>IFERROR(__xludf.DUMMYFUNCTION("""COMPUTED_VALUE"""),"ORG_2191")</f>
        <v/>
      </c>
      <c r="C519" s="1">
        <f>IFERROR(__xludf.DUMMYFUNCTION("""COMPUTED_VALUE"""),TRUE)</f>
        <v/>
      </c>
      <c r="D519" s="1">
        <f>IFERROR(__xludf.DUMMYFUNCTION("""COMPUTED_VALUE"""),"RoboManiac")</f>
        <v/>
      </c>
      <c r="E519" s="15">
        <f>IFERROR(__xludf.DUMMYFUNCTION("""COMPUTED_VALUE"""),"www.robomaniac.at")</f>
        <v/>
      </c>
      <c r="F519" s="1">
        <f>IFERROR(__xludf.DUMMYFUNCTION("""COMPUTED_VALUE"""),"We are company specialized on STEM education for children in the age of 5-17 years")</f>
        <v/>
      </c>
      <c r="G519" s="1">
        <f>IFERROR(__xludf.DUMMYFUNCTION("""COMPUTED_VALUE"""),"EdTech Austria")</f>
        <v/>
      </c>
      <c r="H519" s="1" t="n"/>
      <c r="I519" s="1">
        <f>IFERROR(__xludf.DUMMYFUNCTION("""COMPUTED_VALUE"""),"guenther@robomaniac.at")</f>
        <v/>
      </c>
      <c r="J519" s="1">
        <f>IFERROR(__xludf.DUMMYFUNCTION("""COMPUTED_VALUE"""),"+436648 112580")</f>
        <v/>
      </c>
      <c r="K519" s="1">
        <f>IFERROR(__xludf.DUMMYFUNCTION("""COMPUTED_VALUE"""),"Arztgasse")</f>
        <v/>
      </c>
      <c r="L519" s="1">
        <f>IFERROR(__xludf.DUMMYFUNCTION("""COMPUTED_VALUE"""),"Austria")</f>
        <v/>
      </c>
      <c r="M519" s="1">
        <f>IFERROR(__xludf.DUMMYFUNCTION("""COMPUTED_VALUE"""),"Austria")</f>
        <v/>
      </c>
      <c r="N519" s="1">
        <f>IFERROR(__xludf.DUMMYFUNCTION("""COMPUTED_VALUE"""),"0 to 10")</f>
        <v/>
      </c>
      <c r="O519" s="1">
        <f>IFERROR(__xludf.DUMMYFUNCTION("""COMPUTED_VALUE"""),"Business to Business, Business to Consumer")</f>
        <v/>
      </c>
      <c r="P519" s="1">
        <f>IFERROR(__xludf.DUMMYFUNCTION("""COMPUTED_VALUE"""),"Primary Education, Secondary Education")</f>
        <v/>
      </c>
      <c r="Q519" s="1">
        <f>IFERROR(__xludf.DUMMYFUNCTION("""COMPUTED_VALUE"""),"System/Administrative, Student interfacing, Teacher interfacing")</f>
        <v/>
      </c>
      <c r="R519" s="1">
        <f>IFERROR(__xludf.DUMMYFUNCTION("""COMPUTED_VALUE"""),"RoboManiac")</f>
        <v/>
      </c>
      <c r="S519" s="1">
        <f>IFERROR(__xludf.DUMMYFUNCTION("""COMPUTED_VALUE"""),"RoboManiac")</f>
        <v/>
      </c>
      <c r="T519" s="15">
        <f>IFERROR(__xludf.DUMMYFUNCTION("""COMPUTED_VALUE"""),"https://www.linkedin.com/company/robomaniac/")</f>
        <v/>
      </c>
      <c r="U519" s="1">
        <f>IFERROR(__xludf.DUMMYFUNCTION("""COMPUTED_VALUE"""),"STEM Workshops and Training")</f>
        <v/>
      </c>
      <c r="V519" s="1">
        <f>IFERROR(__xludf.DUMMYFUNCTION("""COMPUTED_VALUE"""),"We provide STEM workshops and training for kids in the age of 5-16 in following areas:
- Programming (Java, Python, C#)
- Game Development (Unity, Scratch)
- Robotics 
- Architecture
- Artificial Intelligence")</f>
        <v/>
      </c>
      <c r="W519" s="1" t="n"/>
      <c r="X519" s="1" t="n"/>
      <c r="Y519" s="15">
        <f>IFERROR(__xludf.DUMMYFUNCTION("""COMPUTED_VALUE"""),"https://drive.google.com/uc?export=view&amp;id=1lt_KIEIzlpHdpTh2LVLJe-Iytltj0Vwn")</f>
        <v/>
      </c>
      <c r="Z519" s="1">
        <f>IFERROR(__xludf.DUMMYFUNCTION("""COMPUTED_VALUE"""),"Unverified")</f>
        <v/>
      </c>
      <c r="AA519" s="1" t="n"/>
      <c r="AB519" s="1" t="n"/>
      <c r="AC519" s="1" t="n"/>
      <c r="AD519" s="1" t="n"/>
      <c r="AE519" s="1" t="n"/>
    </row>
    <row r="520" ht="42" customHeight="1">
      <c r="A520" s="14">
        <f>IFERROR(__xludf.DUMMYFUNCTION("""COMPUTED_VALUE"""),45300)</f>
        <v/>
      </c>
      <c r="B520" s="1">
        <f>IFERROR(__xludf.DUMMYFUNCTION("""COMPUTED_VALUE"""),"ORG_2420")</f>
        <v/>
      </c>
      <c r="C520" s="1">
        <f>IFERROR(__xludf.DUMMYFUNCTION("""COMPUTED_VALUE"""),TRUE)</f>
        <v/>
      </c>
      <c r="D520" s="1">
        <f>IFERROR(__xludf.DUMMYFUNCTION("""COMPUTED_VALUE"""),"Topicus Education")</f>
        <v/>
      </c>
      <c r="E520" s="15">
        <f>IFERROR(__xludf.DUMMYFUNCTION("""COMPUTED_VALUE"""),"https://topicus.nl/sectoren/onderwijs")</f>
        <v/>
      </c>
      <c r="F520" s="1">
        <f>IFERROR(__xludf.DUMMYFUNCTION("""COMPUTED_VALUE"""),"With ParnasSys and Somtoday Topicus Education is the leading provider of student information systems and learning management systems for primary and secondary education in the Netherlands.")</f>
        <v/>
      </c>
      <c r="G520" s="1">
        <f>IFERROR(__xludf.DUMMYFUNCTION("""COMPUTED_VALUE"""),"Dutch EdTech")</f>
        <v/>
      </c>
      <c r="H520" s="1" t="n"/>
      <c r="I520" s="1">
        <f>IFERROR(__xludf.DUMMYFUNCTION("""COMPUTED_VALUE"""),"kees.mastenbroek@topicus.nl")</f>
        <v/>
      </c>
      <c r="J520" s="1">
        <f>IFERROR(__xludf.DUMMYFUNCTION("""COMPUTED_VALUE"""),"+31 570 662 662")</f>
        <v/>
      </c>
      <c r="K520" s="1">
        <f>IFERROR(__xludf.DUMMYFUNCTION("""COMPUTED_VALUE"""),"DEVENTER")</f>
        <v/>
      </c>
      <c r="L520" s="1">
        <f>IFERROR(__xludf.DUMMYFUNCTION("""COMPUTED_VALUE"""),"The Netherlands")</f>
        <v/>
      </c>
      <c r="M520" s="1">
        <f>IFERROR(__xludf.DUMMYFUNCTION("""COMPUTED_VALUE"""),"Netherlands")</f>
        <v/>
      </c>
      <c r="N520" s="1">
        <f>IFERROR(__xludf.DUMMYFUNCTION("""COMPUTED_VALUE"""),"100+")</f>
        <v/>
      </c>
      <c r="O520" s="1">
        <f>IFERROR(__xludf.DUMMYFUNCTION("""COMPUTED_VALUE"""),"Business to Business, Business to Schools")</f>
        <v/>
      </c>
      <c r="P520" s="1">
        <f>IFERROR(__xludf.DUMMYFUNCTION("""COMPUTED_VALUE"""),"Primary Education, Secondary Education")</f>
        <v/>
      </c>
      <c r="Q520" s="1">
        <f>IFERROR(__xludf.DUMMYFUNCTION("""COMPUTED_VALUE"""),"System/Administrative, Student interfacing, Teacher interfacing")</f>
        <v/>
      </c>
      <c r="R520" s="1" t="n"/>
      <c r="S520" s="1">
        <f>IFERROR(__xludf.DUMMYFUNCTION("""COMPUTED_VALUE"""),"@topicusbv")</f>
        <v/>
      </c>
      <c r="T520" s="15">
        <f>IFERROR(__xludf.DUMMYFUNCTION("""COMPUTED_VALUE"""),"https://www.linkedin.com/company/topicus/")</f>
        <v/>
      </c>
      <c r="U520" s="1">
        <f>IFERROR(__xludf.DUMMYFUNCTION("""COMPUTED_VALUE"""),"ParnasSys")</f>
        <v/>
      </c>
      <c r="V520" s="1">
        <f>IFERROR(__xludf.DUMMYFUNCTION("""COMPUTED_VALUE"""),"ParnasSys is the leading student information system for primary education in the Netherlands. ParnasSys offers its 6000+ schools and 1.3m students a wide range of functionality such as student administration, gradebook, parent communication and management"&amp;" information. ParnasSys broke new ground as a fully web-based SaaS-application with its introduction in 2004 and has since become a reliable partner for 90% of the primary schools in the Netherlands.")</f>
        <v/>
      </c>
      <c r="W520" s="1">
        <f>IFERROR(__xludf.DUMMYFUNCTION("""COMPUTED_VALUE"""),"Somtoday")</f>
        <v/>
      </c>
      <c r="X520" s="1">
        <f>IFERROR(__xludf.DUMMYFUNCTION("""COMPUTED_VALUE"""),"Somtoday is a modern student information and learning management system for secondary education in the Netherlands. Somtoday is a fully web-based SaaS-application that serves 600 schools and 350K students. Somtoday is an integrated solution for student ad"&amp;"ministration, learning management and management information.")</f>
        <v/>
      </c>
      <c r="Y520" s="15">
        <f>IFERROR(__xludf.DUMMYFUNCTION("""COMPUTED_VALUE"""),"https://drive.google.com/uc?export=view&amp;id=1-N_AFzlGLpS3ViFkRQxnkOttsEudMaD1")</f>
        <v/>
      </c>
      <c r="Z520" s="1">
        <f>IFERROR(__xludf.DUMMYFUNCTION("""COMPUTED_VALUE"""),"Unverified")</f>
        <v/>
      </c>
      <c r="AA520" s="1" t="n"/>
      <c r="AB520" s="1" t="n"/>
      <c r="AC520" s="1" t="n"/>
      <c r="AD520" s="1" t="n"/>
      <c r="AE520" s="1" t="n"/>
    </row>
    <row r="521" ht="42" customHeight="1">
      <c r="A521" s="14">
        <f>IFERROR(__xludf.DUMMYFUNCTION("""COMPUTED_VALUE"""),45300)</f>
        <v/>
      </c>
      <c r="B521" s="1">
        <f>IFERROR(__xludf.DUMMYFUNCTION("""COMPUTED_VALUE"""),"ORG_2535")</f>
        <v/>
      </c>
      <c r="C521" s="1">
        <f>IFERROR(__xludf.DUMMYFUNCTION("""COMPUTED_VALUE"""),TRUE)</f>
        <v/>
      </c>
      <c r="D521" s="1">
        <f>IFERROR(__xludf.DUMMYFUNCTION("""COMPUTED_VALUE"""),"Winc Academy")</f>
        <v/>
      </c>
      <c r="E521" s="15">
        <f>IFERROR(__xludf.DUMMYFUNCTION("""COMPUTED_VALUE"""),"www.wincacademy.com")</f>
        <v/>
      </c>
      <c r="F521" s="1">
        <f>IFERROR(__xludf.DUMMYFUNCTION("""COMPUTED_VALUE"""),"Winc Academy is an international education platform offering online courses with scalable personal guidance, for anyone to learn in-demand digital skills.")</f>
        <v/>
      </c>
      <c r="G521" s="1">
        <f>IFERROR(__xludf.DUMMYFUNCTION("""COMPUTED_VALUE"""),"Dutch EdTech")</f>
        <v/>
      </c>
      <c r="H521" s="1" t="n"/>
      <c r="I521" s="1">
        <f>IFERROR(__xludf.DUMMYFUNCTION("""COMPUTED_VALUE"""),"welcome@wincacademy.com")</f>
        <v/>
      </c>
      <c r="J521" s="1">
        <f>IFERROR(__xludf.DUMMYFUNCTION("""COMPUTED_VALUE"""),"+31 88 16 60 316")</f>
        <v/>
      </c>
      <c r="K521" s="1">
        <f>IFERROR(__xludf.DUMMYFUNCTION("""COMPUTED_VALUE"""),"AMSTERDAM")</f>
        <v/>
      </c>
      <c r="L521" s="1">
        <f>IFERROR(__xludf.DUMMYFUNCTION("""COMPUTED_VALUE"""),"The Netherlands")</f>
        <v/>
      </c>
      <c r="M521" s="1">
        <f>IFERROR(__xludf.DUMMYFUNCTION("""COMPUTED_VALUE"""),"Austria, Belgium, Italy, Netherlands, Portugal, Spain, Switzerland, United Kingdom")</f>
        <v/>
      </c>
      <c r="N521" s="1">
        <f>IFERROR(__xludf.DUMMYFUNCTION("""COMPUTED_VALUE"""),"11 to 50")</f>
        <v/>
      </c>
      <c r="O521" s="1">
        <f>IFERROR(__xludf.DUMMYFUNCTION("""COMPUTED_VALUE"""),"Business to Consumer")</f>
        <v/>
      </c>
      <c r="P521" s="1">
        <f>IFERROR(__xludf.DUMMYFUNCTION("""COMPUTED_VALUE"""),"Higher Education, Corporate Training, Lifelong learning/Adult education")</f>
        <v/>
      </c>
      <c r="Q521" s="1">
        <f>IFERROR(__xludf.DUMMYFUNCTION("""COMPUTED_VALUE"""),"Student interfacing, System/Administrative")</f>
        <v/>
      </c>
      <c r="R521" s="15">
        <f>IFERROR(__xludf.DUMMYFUNCTION("""COMPUTED_VALUE"""),"https://www.instagram.com/wincacademy/")</f>
        <v/>
      </c>
      <c r="S521" s="1" t="n"/>
      <c r="T521" s="15">
        <f>IFERROR(__xludf.DUMMYFUNCTION("""COMPUTED_VALUE"""),"https://www.linkedin.com/school/wincacademy")</f>
        <v/>
      </c>
      <c r="U521" s="1">
        <f>IFERROR(__xludf.DUMMYFUNCTION("""COMPUTED_VALUE"""),"Course: Front End Development")</f>
        <v/>
      </c>
      <c r="V521" s="1">
        <f>IFERROR(__xludf.DUMMYFUNCTION("""COMPUTED_VALUE"""),"Create great websites and apps. Learn how to build attractive and user-friendly websites and apps with HTML, CSS and JavaScript. Land a job as a (junior) Front-End Developer.")</f>
        <v/>
      </c>
      <c r="W521" s="1">
        <f>IFERROR(__xludf.DUMMYFUNCTION("""COMPUTED_VALUE"""),"Course: Full Stack Development")</f>
        <v/>
      </c>
      <c r="X521" s="1">
        <f>IFERROR(__xludf.DUMMYFUNCTION("""COMPUTED_VALUE"""),"The best start of your career in tech. Develop the skills to work with both back-end and front-end technologies. By the time you are done, you will have all the skills needed to land a job as a (junior) full-stack developer.")</f>
        <v/>
      </c>
      <c r="Y521" s="15">
        <f>IFERROR(__xludf.DUMMYFUNCTION("""COMPUTED_VALUE"""),"https://drive.google.com/uc?export=view&amp;id=1uMe6DyDeKNkp26A4a6nRNUGH9e6o0Scq")</f>
        <v/>
      </c>
      <c r="Z521" s="1">
        <f>IFERROR(__xludf.DUMMYFUNCTION("""COMPUTED_VALUE"""),"Unverified")</f>
        <v/>
      </c>
      <c r="AA521" s="1" t="n"/>
      <c r="AB521" s="1" t="n"/>
      <c r="AC521" s="1" t="n"/>
      <c r="AD521" s="1" t="n"/>
      <c r="AE521" s="1" t="n"/>
    </row>
    <row r="522" ht="42" customHeight="1">
      <c r="A522" s="14">
        <f>IFERROR(__xludf.DUMMYFUNCTION("""COMPUTED_VALUE"""),45300)</f>
        <v/>
      </c>
      <c r="B522" s="1">
        <f>IFERROR(__xludf.DUMMYFUNCTION("""COMPUTED_VALUE"""),"ORG_1029")</f>
        <v/>
      </c>
      <c r="C522" s="1">
        <f>IFERROR(__xludf.DUMMYFUNCTION("""COMPUTED_VALUE"""),TRUE)</f>
        <v/>
      </c>
      <c r="D522" s="1">
        <f>IFERROR(__xludf.DUMMYFUNCTION("""COMPUTED_VALUE"""),"ACP eduWERK")</f>
        <v/>
      </c>
      <c r="E522" s="15">
        <f>IFERROR(__xludf.DUMMYFUNCTION("""COMPUTED_VALUE"""),"https://eduwerk.acp.at")</f>
        <v/>
      </c>
      <c r="F522" s="1">
        <f>IFERROR(__xludf.DUMMYFUNCTION("""COMPUTED_VALUE"""),"ACP eduWERK - digital education made easy! The Viennese IT company was founded in 2014 and has since been supporting schools and educational institutions in introducing digital media into the classroom. ACP eduWERK is considered the leading provider of ed"&amp;"ucation solutions and has already supported more than 350 schools throughout Austria on their way to digital educational institutions.
The product range extends from the edu-iPad to edu-Mac (Apple) to the edu-Book365 (Microsoft) and edu-Chromebook (Google"&amp;"). ACP eduWERK offers tailor-made solutions, an overall educational concept and support with financing issues. Our vision is to provide every student with up-to-date education and thus make our children fit for the challenges of the future!")</f>
        <v/>
      </c>
      <c r="G522" s="1">
        <f>IFERROR(__xludf.DUMMYFUNCTION("""COMPUTED_VALUE"""),"EdTech Austria")</f>
        <v/>
      </c>
      <c r="H522" s="1" t="n"/>
      <c r="I522" s="1">
        <f>IFERROR(__xludf.DUMMYFUNCTION("""COMPUTED_VALUE"""),"eduwerk-marketing@acp.at")</f>
        <v/>
      </c>
      <c r="J522" s="1">
        <f>IFERROR(__xludf.DUMMYFUNCTION("""COMPUTED_VALUE"""),"+43 1 93 46 065")</f>
        <v/>
      </c>
      <c r="K522" s="1">
        <f>IFERROR(__xludf.DUMMYFUNCTION("""COMPUTED_VALUE"""),"VIENNA")</f>
        <v/>
      </c>
      <c r="L522" s="1">
        <f>IFERROR(__xludf.DUMMYFUNCTION("""COMPUTED_VALUE"""),"Austria")</f>
        <v/>
      </c>
      <c r="M522" s="1">
        <f>IFERROR(__xludf.DUMMYFUNCTION("""COMPUTED_VALUE"""),"Austria, Germany")</f>
        <v/>
      </c>
      <c r="N522" s="1">
        <f>IFERROR(__xludf.DUMMYFUNCTION("""COMPUTED_VALUE"""),"11 to 50")</f>
        <v/>
      </c>
      <c r="O522" s="1">
        <f>IFERROR(__xludf.DUMMYFUNCTION("""COMPUTED_VALUE"""),"Business to Business")</f>
        <v/>
      </c>
      <c r="P522" s="1">
        <f>IFERROR(__xludf.DUMMYFUNCTION("""COMPUTED_VALUE"""),"Primary Education, Secondary Education, Higher Education")</f>
        <v/>
      </c>
      <c r="Q522" s="1">
        <f>IFERROR(__xludf.DUMMYFUNCTION("""COMPUTED_VALUE"""),"System/Administrative, Student interfacing, Teacher interfacing")</f>
        <v/>
      </c>
      <c r="R522" s="15">
        <f>IFERROR(__xludf.DUMMYFUNCTION("""COMPUTED_VALUE"""),"https://www.instagram.com/acp_eduwerk/")</f>
        <v/>
      </c>
      <c r="S522" s="1" t="n"/>
      <c r="T522" s="1" t="n"/>
      <c r="U522" s="1">
        <f>IFERROR(__xludf.DUMMYFUNCTION("""COMPUTED_VALUE"""),"Digital education")</f>
        <v/>
      </c>
      <c r="V522" s="1">
        <f>IFERROR(__xludf.DUMMYFUNCTION("""COMPUTED_VALUE"""),"With the digital learning devices from ACP eduWERK, educators always receive an overall concept for digital education that has been thought through to the end. At the beginning of every journey into the digital classroom, there is always the question of t"&amp;"he needs of each individual teacher.")</f>
        <v/>
      </c>
      <c r="W522" s="1" t="n"/>
      <c r="X522" s="1" t="n"/>
      <c r="Y522" s="15">
        <f>IFERROR(__xludf.DUMMYFUNCTION("""COMPUTED_VALUE"""),"https://drive.google.com/uc?export=view&amp;id=1q3ou6J9cU8RCPI97w0ecNrZMxwKxqzr4")</f>
        <v/>
      </c>
      <c r="Z522" s="1">
        <f>IFERROR(__xludf.DUMMYFUNCTION("""COMPUTED_VALUE"""),"Unverified")</f>
        <v/>
      </c>
      <c r="AA522" s="1" t="n"/>
      <c r="AB522" s="1" t="n"/>
      <c r="AC522" s="1" t="n"/>
      <c r="AD522" s="1" t="n"/>
      <c r="AE522" s="1" t="n"/>
    </row>
    <row r="523" ht="42" customHeight="1">
      <c r="A523" s="14">
        <f>IFERROR(__xludf.DUMMYFUNCTION("""COMPUTED_VALUE"""),45300)</f>
        <v/>
      </c>
      <c r="B523" s="1">
        <f>IFERROR(__xludf.DUMMYFUNCTION("""COMPUTED_VALUE"""),"ORG_1758")</f>
        <v/>
      </c>
      <c r="C523" s="1">
        <f>IFERROR(__xludf.DUMMYFUNCTION("""COMPUTED_VALUE"""),TRUE)</f>
        <v/>
      </c>
      <c r="D523" s="1">
        <f>IFERROR(__xludf.DUMMYFUNCTION("""COMPUTED_VALUE"""),"Junge Römer")</f>
        <v/>
      </c>
      <c r="E523" s="15">
        <f>IFERROR(__xludf.DUMMYFUNCTION("""COMPUTED_VALUE"""),"https://www.jungeroemer.net")</f>
        <v/>
      </c>
      <c r="F523" s="1">
        <f>IFERROR(__xludf.DUMMYFUNCTION("""COMPUTED_VALUE"""),"Junge Römer develops XR content for innovative brands.
We tell our customers' stories through virtual experiences that are 
meaningful and fun. The audience is always at the center of our work. 
Armed with the latest technology and a feel for the right c"&amp;"ontent at the 
right time, we help the industry and large companies to transfer their 
brands, products, and messages into the metaverse.
We produce content for the following categories:
Virtual Reality / Augmented Reality / Immersive Video / Web XR")</f>
        <v/>
      </c>
      <c r="G523" s="1">
        <f>IFERROR(__xludf.DUMMYFUNCTION("""COMPUTED_VALUE"""),"EdTech Austria")</f>
        <v/>
      </c>
      <c r="H523" s="1" t="n"/>
      <c r="I523" s="1">
        <f>IFERROR(__xludf.DUMMYFUNCTION("""COMPUTED_VALUE"""),"welcome@jungeroemer.net")</f>
        <v/>
      </c>
      <c r="J523" s="1">
        <f>IFERROR(__xludf.DUMMYFUNCTION("""COMPUTED_VALUE"""),"+43 1 9541129")</f>
        <v/>
      </c>
      <c r="K523" s="1">
        <f>IFERROR(__xludf.DUMMYFUNCTION("""COMPUTED_VALUE"""),"Vienna")</f>
        <v/>
      </c>
      <c r="L523" s="1">
        <f>IFERROR(__xludf.DUMMYFUNCTION("""COMPUTED_VALUE"""),"Austria")</f>
        <v/>
      </c>
      <c r="M523" s="1">
        <f>IFERROR(__xludf.DUMMYFUNCTION("""COMPUTED_VALUE"""),"Austria, Germany, Italy, Liechtenstein, Slovenia, Switzerland, United Kingdom")</f>
        <v/>
      </c>
      <c r="N523" s="1">
        <f>IFERROR(__xludf.DUMMYFUNCTION("""COMPUTED_VALUE"""),"0 to 10")</f>
        <v/>
      </c>
      <c r="O523" s="1">
        <f>IFERROR(__xludf.DUMMYFUNCTION("""COMPUTED_VALUE"""),"Business to Business, Business to Consumer, Business to Government, Business to Schools")</f>
        <v/>
      </c>
      <c r="P523" s="1">
        <f>IFERROR(__xludf.DUMMYFUNCTION("""COMPUTED_VALUE"""),"Corporate Training")</f>
        <v/>
      </c>
      <c r="Q523" s="1">
        <f>IFERROR(__xludf.DUMMYFUNCTION("""COMPUTED_VALUE"""),"Student interfacing, System/Administrative")</f>
        <v/>
      </c>
      <c r="R523" s="15">
        <f>IFERROR(__xludf.DUMMYFUNCTION("""COMPUTED_VALUE"""),"https://www.instagram.com/jungeroemerwien/")</f>
        <v/>
      </c>
      <c r="S523" s="15">
        <f>IFERROR(__xludf.DUMMYFUNCTION("""COMPUTED_VALUE"""),"https://twitter.com/jungeroemerwien")</f>
        <v/>
      </c>
      <c r="T523" s="15">
        <f>IFERROR(__xludf.DUMMYFUNCTION("""COMPUTED_VALUE"""),"https://www.linkedin.com/company/jungeroemer-gmbh/")</f>
        <v/>
      </c>
      <c r="U523" s="1">
        <f>IFERROR(__xludf.DUMMYFUNCTION("""COMPUTED_VALUE"""),"Virtual Reality Training")</f>
        <v/>
      </c>
      <c r="V523" s="1">
        <f>IFERROR(__xludf.DUMMYFUNCTION("""COMPUTED_VALUE"""),"Seeing means understanding. After all, we humans are very fixated on visual perception. VR makes learning and training situations more efficient, safer, and, above all, more memorable. We virtualize complex learning experiences by turning them into intera"&amp;"ctive stories that are memorable and help viewers gain important soft skills. 
This fusion of memorable narratives with modern technology creates promising opportunities, both for interactive seminars and training, as well as for content campaigns designe"&amp;"d to share know-how.")</f>
        <v/>
      </c>
      <c r="W523" s="1">
        <f>IFERROR(__xludf.DUMMYFUNCTION("""COMPUTED_VALUE"""),"Augmented Reality Training")</f>
        <v/>
      </c>
      <c r="X523" s="1">
        <f>IFERROR(__xludf.DUMMYFUNCTION("""COMPUTED_VALUE"""),"The ability to place virtual objects, characters, buildings, and items in a real-world setting allows an entirely new experience. AR fulfills the dreams of filmmakers, game designers, and marketing experts, who are now finally able to merge their content "&amp;"with the personal environments of their target audience. However, the same applies for AR: The full potential of the technology can only be exploited with the perfect story at the right time.
AR opens up several new ways to entertain and engage with the "&amp;"audience. Beyond that, however, there is a multitude of other applications: AR can be used, for instance, to transform the living area of the target group into a personalized showroom. The perfect place to present and subsequently sell products of all kin"&amp;"ds. The ultimate sales and educational tools can be developed on the foundation of AR.")</f>
        <v/>
      </c>
      <c r="Y523" s="15">
        <f>IFERROR(__xludf.DUMMYFUNCTION("""COMPUTED_VALUE"""),"https://drive.google.com/uc?export=view&amp;id=1LTOFtAyz5LfA0RCiLu2Ee0h_U2oa28Av")</f>
        <v/>
      </c>
      <c r="Z523" s="1">
        <f>IFERROR(__xludf.DUMMYFUNCTION("""COMPUTED_VALUE"""),"Unverified")</f>
        <v/>
      </c>
      <c r="AA523" s="1" t="n"/>
      <c r="AB523" s="1" t="n"/>
      <c r="AC523" s="1" t="n"/>
      <c r="AD523" s="1" t="n"/>
      <c r="AE523" s="1" t="n"/>
    </row>
    <row r="524" ht="42" customHeight="1">
      <c r="A524" s="14">
        <f>IFERROR(__xludf.DUMMYFUNCTION("""COMPUTED_VALUE"""),45300)</f>
        <v/>
      </c>
      <c r="B524" s="1">
        <f>IFERROR(__xludf.DUMMYFUNCTION("""COMPUTED_VALUE"""),"ORG_2249")</f>
        <v/>
      </c>
      <c r="C524" s="1">
        <f>IFERROR(__xludf.DUMMYFUNCTION("""COMPUTED_VALUE"""),TRUE)</f>
        <v/>
      </c>
      <c r="D524" s="1">
        <f>IFERROR(__xludf.DUMMYFUNCTION("""COMPUTED_VALUE"""),"SiriusGame")</f>
        <v/>
      </c>
      <c r="E524" s="15">
        <f>IFERROR(__xludf.DUMMYFUNCTION("""COMPUTED_VALUE"""),"www.siriusgame.it")</f>
        <v/>
      </c>
      <c r="F524" s="1">
        <f>IFERROR(__xludf.DUMMYFUNCTION("""COMPUTED_VALUE"""),"SiriusGame is a gamified app that supports the teaching and learning of humanities subjects in K-12, within the framework of Global Citizenship Education.
At the moment we offer Latin for the Italian education system.")</f>
        <v/>
      </c>
      <c r="G524" s="1">
        <f>IFERROR(__xludf.DUMMYFUNCTION("""COMPUTED_VALUE"""),"EdTech Italia")</f>
        <v/>
      </c>
      <c r="H524" s="1" t="n"/>
      <c r="I524" s="1">
        <f>IFERROR(__xludf.DUMMYFUNCTION("""COMPUTED_VALUE"""),"lauracesaro@siriusgame.it")</f>
        <v/>
      </c>
      <c r="J524" s="1" t="n"/>
      <c r="K524" s="1">
        <f>IFERROR(__xludf.DUMMYFUNCTION("""COMPUTED_VALUE"""),"Verona")</f>
        <v/>
      </c>
      <c r="L524" s="1">
        <f>IFERROR(__xludf.DUMMYFUNCTION("""COMPUTED_VALUE"""),"Italy")</f>
        <v/>
      </c>
      <c r="M524" s="1">
        <f>IFERROR(__xludf.DUMMYFUNCTION("""COMPUTED_VALUE"""),"Italy")</f>
        <v/>
      </c>
      <c r="N524" s="1">
        <f>IFERROR(__xludf.DUMMYFUNCTION("""COMPUTED_VALUE"""),"0 to 10")</f>
        <v/>
      </c>
      <c r="O524" s="1">
        <f>IFERROR(__xludf.DUMMYFUNCTION("""COMPUTED_VALUE"""),"Business to Business, Business to Government, Business to Schools")</f>
        <v/>
      </c>
      <c r="P524" s="1">
        <f>IFERROR(__xludf.DUMMYFUNCTION("""COMPUTED_VALUE"""),"Secondary Education")</f>
        <v/>
      </c>
      <c r="Q524" s="1">
        <f>IFERROR(__xludf.DUMMYFUNCTION("""COMPUTED_VALUE"""),"Student interfacing, Teacher interfacing")</f>
        <v/>
      </c>
      <c r="R524" s="15">
        <f>IFERROR(__xludf.DUMMYFUNCTION("""COMPUTED_VALUE"""),"https://www.instagram.com/siriusgame_/?hl=en")</f>
        <v/>
      </c>
      <c r="S524" s="1" t="n"/>
      <c r="T524" s="15">
        <f>IFERROR(__xludf.DUMMYFUNCTION("""COMPUTED_VALUE"""),"https://www.linkedin.com/company/siriusgame")</f>
        <v/>
      </c>
      <c r="U524" s="1">
        <f>IFERROR(__xludf.DUMMYFUNCTION("""COMPUTED_VALUE"""),"SiriusGame App")</f>
        <v/>
      </c>
      <c r="V524" s="1">
        <f>IFERROR(__xludf.DUMMYFUNCTION("""COMPUTED_VALUE"""),"Allows students to embark on a gamified adventure, face daily quests, challenge their peers and share content they created.")</f>
        <v/>
      </c>
      <c r="W524" s="1">
        <f>IFERROR(__xludf.DUMMYFUNCTION("""COMPUTED_VALUE"""),"SiriusGame Webapp")</f>
        <v/>
      </c>
      <c r="X524" s="1">
        <f>IFERROR(__xludf.DUMMYFUNCTION("""COMPUTED_VALUE"""),"Allows teachers to monitor the progress of their students, and create personalized exercises and flashcards in order to create a unique learning experience for their students.")</f>
        <v/>
      </c>
      <c r="Y524" s="15">
        <f>IFERROR(__xludf.DUMMYFUNCTION("""COMPUTED_VALUE"""),"https://drive.google.com/uc?export=view&amp;id=1j4FCMTkSCnYCcps7VWF8AXVyu7SQKcUB")</f>
        <v/>
      </c>
      <c r="Z524" s="1">
        <f>IFERROR(__xludf.DUMMYFUNCTION("""COMPUTED_VALUE"""),"Unverified")</f>
        <v/>
      </c>
      <c r="AA524" s="1" t="n"/>
      <c r="AB524" s="1" t="n"/>
      <c r="AC524" s="1" t="n"/>
      <c r="AD524" s="1" t="n"/>
      <c r="AE524" s="1" t="n"/>
    </row>
    <row r="525" ht="42" customHeight="1">
      <c r="A525" s="14">
        <f>IFERROR(__xludf.DUMMYFUNCTION("""COMPUTED_VALUE"""),45300)</f>
        <v/>
      </c>
      <c r="B525" s="1">
        <f>IFERROR(__xludf.DUMMYFUNCTION("""COMPUTED_VALUE"""),"ORG_2344")</f>
        <v/>
      </c>
      <c r="C525" s="1">
        <f>IFERROR(__xludf.DUMMYFUNCTION("""COMPUTED_VALUE"""),TRUE)</f>
        <v/>
      </c>
      <c r="D525" s="1">
        <f>IFERROR(__xludf.DUMMYFUNCTION("""COMPUTED_VALUE"""),"Studyly")</f>
        <v/>
      </c>
      <c r="E525" s="15">
        <f>IFERROR(__xludf.DUMMYFUNCTION("""COMPUTED_VALUE"""),"www.studyly.com")</f>
        <v/>
      </c>
      <c r="F525" s="1">
        <f>IFERROR(__xludf.DUMMYFUNCTION("""COMPUTED_VALUE"""),"Studyly is a startup that specializes in the development of intelligent and adaptive learning systems.")</f>
        <v/>
      </c>
      <c r="G525" s="1">
        <f>IFERROR(__xludf.DUMMYFUNCTION("""COMPUTED_VALUE"""),"EdTech Austria")</f>
        <v/>
      </c>
      <c r="H525" s="1" t="n"/>
      <c r="I525" s="1">
        <f>IFERROR(__xludf.DUMMYFUNCTION("""COMPUTED_VALUE"""),"office@studyly.com")</f>
        <v/>
      </c>
      <c r="J525" s="1" t="n"/>
      <c r="K525" s="1">
        <f>IFERROR(__xludf.DUMMYFUNCTION("""COMPUTED_VALUE"""),"VIENNA")</f>
        <v/>
      </c>
      <c r="L525" s="1">
        <f>IFERROR(__xludf.DUMMYFUNCTION("""COMPUTED_VALUE"""),"Austria")</f>
        <v/>
      </c>
      <c r="M525" s="1">
        <f>IFERROR(__xludf.DUMMYFUNCTION("""COMPUTED_VALUE"""),"Austria, Germany")</f>
        <v/>
      </c>
      <c r="N525" s="1">
        <f>IFERROR(__xludf.DUMMYFUNCTION("""COMPUTED_VALUE"""),"11 to 50")</f>
        <v/>
      </c>
      <c r="O525" s="1">
        <f>IFERROR(__xludf.DUMMYFUNCTION("""COMPUTED_VALUE"""),"Business to Consumer, Business to Government, Business to Schools")</f>
        <v/>
      </c>
      <c r="P525" s="1">
        <f>IFERROR(__xludf.DUMMYFUNCTION("""COMPUTED_VALUE"""),"Secondary Education")</f>
        <v/>
      </c>
      <c r="Q525" s="1">
        <f>IFERROR(__xludf.DUMMYFUNCTION("""COMPUTED_VALUE"""),"Student interfacing, Teacher interfacing")</f>
        <v/>
      </c>
      <c r="R525" s="1">
        <f>IFERROR(__xludf.DUMMYFUNCTION("""COMPUTED_VALUE"""),"@studyly_at")</f>
        <v/>
      </c>
      <c r="S525" s="1" t="n"/>
      <c r="T525" s="1" t="n"/>
      <c r="U525" s="1">
        <f>IFERROR(__xludf.DUMMYFUNCTION("""COMPUTED_VALUE"""),"Studyly")</f>
        <v/>
      </c>
      <c r="V525" s="1">
        <f>IFERROR(__xludf.DUMMYFUNCTION("""COMPUTED_VALUE"""),"Studyly is an e-learning platform on which secondary school students can learn and practice math online. The content and exercises provided are meticulously tailored to the individual needs of each students. Artificial intelligence recognizes their respec"&amp;"tive strengths and weaknesses and thus precisely adapts the learning input.")</f>
        <v/>
      </c>
      <c r="W525" s="1" t="n"/>
      <c r="X525" s="1" t="n"/>
      <c r="Y525" s="15">
        <f>IFERROR(__xludf.DUMMYFUNCTION("""COMPUTED_VALUE"""),"https://drive.google.com/uc?export=view&amp;id=1V8MVoREM-RxXOR7KbjtpIi5wo3HoL4JO")</f>
        <v/>
      </c>
      <c r="Z525" s="1">
        <f>IFERROR(__xludf.DUMMYFUNCTION("""COMPUTED_VALUE"""),"Unverified")</f>
        <v/>
      </c>
      <c r="AA525" s="1" t="n"/>
      <c r="AB525" s="1" t="n"/>
      <c r="AC525" s="1" t="n"/>
      <c r="AD525" s="1" t="n"/>
      <c r="AE525" s="1" t="n"/>
    </row>
    <row r="526" ht="42" customHeight="1">
      <c r="A526" s="14">
        <f>IFERROR(__xludf.DUMMYFUNCTION("""COMPUTED_VALUE"""),45300)</f>
        <v/>
      </c>
      <c r="B526" s="1">
        <f>IFERROR(__xludf.DUMMYFUNCTION("""COMPUTED_VALUE"""),"ORG_1048")</f>
        <v/>
      </c>
      <c r="C526" s="1">
        <f>IFERROR(__xludf.DUMMYFUNCTION("""COMPUTED_VALUE"""),TRUE)</f>
        <v/>
      </c>
      <c r="D526" s="1">
        <f>IFERROR(__xludf.DUMMYFUNCTION("""COMPUTED_VALUE"""),"Alfons Education")</f>
        <v/>
      </c>
      <c r="E526" s="15">
        <f>IFERROR(__xludf.DUMMYFUNCTION("""COMPUTED_VALUE"""),"https://alfons.education/en")</f>
        <v/>
      </c>
      <c r="F526" s="1">
        <f>IFERROR(__xludf.DUMMYFUNCTION("""COMPUTED_VALUE"""),"Alfons Education learning management system is a completely new type of tool for teachers and students. Alfons enables easy and effective teaching and learning. Designed in cooperation with dozens of Finnish teachers and pedagogy professionals. The worlds"&amp;" best teaching and education has been evolved to an easy-to-use digital learning environment.")</f>
        <v/>
      </c>
      <c r="G526" s="1">
        <f>IFERROR(__xludf.DUMMYFUNCTION("""COMPUTED_VALUE"""),"EdTech Finland, EduCloud Alliance")</f>
        <v/>
      </c>
      <c r="H526" s="1" t="n"/>
      <c r="I526" s="1">
        <f>IFERROR(__xludf.DUMMYFUNCTION("""COMPUTED_VALUE"""),"team@alfons.education")</f>
        <v/>
      </c>
      <c r="J526" s="1">
        <f>IFERROR(__xludf.DUMMYFUNCTION("""COMPUTED_VALUE"""),"+358405267023")</f>
        <v/>
      </c>
      <c r="K526" s="1">
        <f>IFERROR(__xludf.DUMMYFUNCTION("""COMPUTED_VALUE"""),"Helsinki")</f>
        <v/>
      </c>
      <c r="L526" s="1">
        <f>IFERROR(__xludf.DUMMYFUNCTION("""COMPUTED_VALUE"""),"Finland")</f>
        <v/>
      </c>
      <c r="M526" s="1">
        <f>IFERROR(__xludf.DUMMYFUNCTION("""COMPUTED_VALUE"""),"Finland")</f>
        <v/>
      </c>
      <c r="N526" s="1">
        <f>IFERROR(__xludf.DUMMYFUNCTION("""COMPUTED_VALUE"""),"0 to 10")</f>
        <v/>
      </c>
      <c r="O526" s="1">
        <f>IFERROR(__xludf.DUMMYFUNCTION("""COMPUTED_VALUE"""),"Business to Business")</f>
        <v/>
      </c>
      <c r="P526" s="1">
        <f>IFERROR(__xludf.DUMMYFUNCTION("""COMPUTED_VALUE"""),"Primary Education, Secondary Education, Higher Education")</f>
        <v/>
      </c>
      <c r="Q526" s="1">
        <f>IFERROR(__xludf.DUMMYFUNCTION("""COMPUTED_VALUE"""),"Student interfacing, Teacher interfacing, System/Administrative")</f>
        <v/>
      </c>
      <c r="R526" s="1" t="n"/>
      <c r="S526" s="1" t="n"/>
      <c r="T526" s="1" t="n"/>
      <c r="U526" s="1" t="n"/>
      <c r="V526" s="1" t="n"/>
      <c r="W526" s="1" t="n"/>
      <c r="X526" s="1" t="n"/>
      <c r="Y526" s="15">
        <f>IFERROR(__xludf.DUMMYFUNCTION("""COMPUTED_VALUE"""),"https://drive.google.com/uc?export=view&amp;id=1RnipJYMISa1cyLOilmx8csrKA2kMn_76")</f>
        <v/>
      </c>
      <c r="Z526" s="1">
        <f>IFERROR(__xludf.DUMMYFUNCTION("""COMPUTED_VALUE"""),"Unverified")</f>
        <v/>
      </c>
      <c r="AA526" s="1" t="n"/>
      <c r="AB526" s="1" t="n"/>
      <c r="AC526" s="1" t="n"/>
      <c r="AD526" s="1" t="n"/>
      <c r="AE526" s="1" t="n"/>
    </row>
    <row r="527" ht="42" customHeight="1">
      <c r="A527" s="14">
        <f>IFERROR(__xludf.DUMMYFUNCTION("""COMPUTED_VALUE"""),45300)</f>
        <v/>
      </c>
      <c r="B527" s="1">
        <f>IFERROR(__xludf.DUMMYFUNCTION("""COMPUTED_VALUE"""),"ORG_1150")</f>
        <v/>
      </c>
      <c r="C527" s="1">
        <f>IFERROR(__xludf.DUMMYFUNCTION("""COMPUTED_VALUE"""),TRUE)</f>
        <v/>
      </c>
      <c r="D527" s="1">
        <f>IFERROR(__xludf.DUMMYFUNCTION("""COMPUTED_VALUE"""),"Beetroot Academy")</f>
        <v/>
      </c>
      <c r="E527" s="15">
        <f>IFERROR(__xludf.DUMMYFUNCTION("""COMPUTED_VALUE"""),"https://beetrootacademy.com")</f>
        <v/>
      </c>
      <c r="F527" s="1">
        <f>IFERROR(__xludf.DUMMYFUNCTION("""COMPUTED_VALUE"""),"Beetroot Academy is a Swedish-Ukrainian social enterprise, on a mission to help people have great careers in the digital economy. We provide professional education and development within tech-related subjects through live online classes with industry expe"&amp;"rts in small groups.")</f>
        <v/>
      </c>
      <c r="G527" s="1" t="n"/>
      <c r="H527" s="1" t="n"/>
      <c r="I527" s="1">
        <f>IFERROR(__xludf.DUMMYFUNCTION("""COMPUTED_VALUE"""),"Anastasiia.klonova@beetroot.academy")</f>
        <v/>
      </c>
      <c r="J527" s="1">
        <f>IFERROR(__xludf.DUMMYFUNCTION("""COMPUTED_VALUE"""),"+46760225669")</f>
        <v/>
      </c>
      <c r="K527" s="1">
        <f>IFERROR(__xludf.DUMMYFUNCTION("""COMPUTED_VALUE"""),"Stockholm")</f>
        <v/>
      </c>
      <c r="L527" s="1">
        <f>IFERROR(__xludf.DUMMYFUNCTION("""COMPUTED_VALUE"""),"Sweden")</f>
        <v/>
      </c>
      <c r="M527" s="1">
        <f>IFERROR(__xludf.DUMMYFUNCTION("""COMPUTED_VALUE"""),"Estonia, Finland, Kosovo, Latvia, Lithuania, Moldova, Norway, Poland, Romania, Sweden, Ukraine, United Kingdom")</f>
        <v/>
      </c>
      <c r="N527" s="1">
        <f>IFERROR(__xludf.DUMMYFUNCTION("""COMPUTED_VALUE"""),"51 to 100")</f>
        <v/>
      </c>
      <c r="O527" s="1">
        <f>IFERROR(__xludf.DUMMYFUNCTION("""COMPUTED_VALUE"""),"Business to Business, Business to Consumer, Business to Government, Business to Schools")</f>
        <v/>
      </c>
      <c r="P527" s="1">
        <f>IFERROR(__xludf.DUMMYFUNCTION("""COMPUTED_VALUE"""),"Higher Education, Corporate Training, Lifelong learning/Adult education")</f>
        <v/>
      </c>
      <c r="Q527" s="1">
        <f>IFERROR(__xludf.DUMMYFUNCTION("""COMPUTED_VALUE"""),"Student interfacing, System/Administrative")</f>
        <v/>
      </c>
      <c r="R527" s="15">
        <f>IFERROR(__xludf.DUMMYFUNCTION("""COMPUTED_VALUE"""),"https://www.instagram.com/beetrootacademy.global/")</f>
        <v/>
      </c>
      <c r="S527" s="1" t="n"/>
      <c r="T527" s="15">
        <f>IFERROR(__xludf.DUMMYFUNCTION("""COMPUTED_VALUE"""),"https://www.linkedin.com/school/beetrootacademy/mycompany/")</f>
        <v/>
      </c>
      <c r="U527" s="1">
        <f>IFERROR(__xludf.DUMMYFUNCTION("""COMPUTED_VALUE"""),"Front-end course")</f>
        <v/>
      </c>
      <c r="V527" s="1">
        <f>IFERROR(__xludf.DUMMYFUNCTION("""COMPUTED_VALUE"""),"Frontenders bridge the business logic with user experience. To match the goal of end-users with the intention behind the site or app, Front-End pursues flawless interaction. Work your way up from layout with HTML &amp; CSS to incorporating JavaScript to Front"&amp;"-End frameworks and plugins for the best result possible.")</f>
        <v/>
      </c>
      <c r="W527" s="1">
        <f>IFERROR(__xludf.DUMMYFUNCTION("""COMPUTED_VALUE"""),"Python development from scratch")</f>
        <v/>
      </c>
      <c r="X527" s="1">
        <f>IFERROR(__xludf.DUMMYFUNCTION("""COMPUTED_VALUE"""),"Python is a programming language perfect for beginners and applicable in many fields. You will learn the basics of Python as well as essential programming principles and classical computer science. Mastering Python will allow you to choose from Machine Le"&amp;"arning, Data Science, and many more directions for further growth.")</f>
        <v/>
      </c>
      <c r="Y527" s="15">
        <f>IFERROR(__xludf.DUMMYFUNCTION("""COMPUTED_VALUE"""),"https://drive.google.com/uc?export=view&amp;id=1OW3vF64h_wKNMaQfQ7DZHH45KYTjhXoZ")</f>
        <v/>
      </c>
      <c r="Z527" s="1">
        <f>IFERROR(__xludf.DUMMYFUNCTION("""COMPUTED_VALUE"""),"Unverified")</f>
        <v/>
      </c>
      <c r="AA527" s="1" t="n"/>
      <c r="AB527" s="1" t="n"/>
      <c r="AC527" s="1" t="n"/>
      <c r="AD527" s="1" t="n"/>
      <c r="AE527" s="1" t="n"/>
    </row>
    <row r="528" ht="42" customHeight="1">
      <c r="A528" s="14">
        <f>IFERROR(__xludf.DUMMYFUNCTION("""COMPUTED_VALUE"""),45300)</f>
        <v/>
      </c>
      <c r="B528" s="1">
        <f>IFERROR(__xludf.DUMMYFUNCTION("""COMPUTED_VALUE"""),"ORG_1284")</f>
        <v/>
      </c>
      <c r="C528" s="1">
        <f>IFERROR(__xludf.DUMMYFUNCTION("""COMPUTED_VALUE"""),TRUE)</f>
        <v/>
      </c>
      <c r="D528" s="1">
        <f>IFERROR(__xludf.DUMMYFUNCTION("""COMPUTED_VALUE"""),"common sense - eLearning &amp; training consultants GmbH")</f>
        <v/>
      </c>
      <c r="E528" s="15">
        <f>IFERROR(__xludf.DUMMYFUNCTION("""COMPUTED_VALUE"""),"www.common-sense.at")</f>
        <v/>
      </c>
      <c r="F528" s="1">
        <f>IFERROR(__xludf.DUMMYFUNCTION("""COMPUTED_VALUE"""),"common sense offers eLearning services for corporates, non-profits and for international organizations. We bring training directly to the workplace, connecting experience, theory and practice. We recognize existing parameters and adapt our eLearning proje"&amp;"cts and products to provide sustainable solutions.")</f>
        <v/>
      </c>
      <c r="G528" s="1">
        <f>IFERROR(__xludf.DUMMYFUNCTION("""COMPUTED_VALUE"""),"EdTech Austria")</f>
        <v/>
      </c>
      <c r="H528" s="1" t="n"/>
      <c r="I528" s="1">
        <f>IFERROR(__xludf.DUMMYFUNCTION("""COMPUTED_VALUE"""),"office@common-sense.at")</f>
        <v/>
      </c>
      <c r="J528" s="1">
        <f>IFERROR(__xludf.DUMMYFUNCTION("""COMPUTED_VALUE"""),"+4319136676")</f>
        <v/>
      </c>
      <c r="K528" s="1">
        <f>IFERROR(__xludf.DUMMYFUNCTION("""COMPUTED_VALUE"""),"VIENNA")</f>
        <v/>
      </c>
      <c r="L528" s="1">
        <f>IFERROR(__xludf.DUMMYFUNCTION("""COMPUTED_VALUE"""),"Austria")</f>
        <v/>
      </c>
      <c r="M528" s="1">
        <f>IFERROR(__xludf.DUMMYFUNCTION("""COMPUTED_VALUE"""),"Andorra, Armenia, Austria, Azerbaijan, Belgium, France, Georgia, Germany, Italy, Kazakhstan, Luxembourg, Netherlands, Romania, Switzerland, United Kingdom")</f>
        <v/>
      </c>
      <c r="N528" s="1">
        <f>IFERROR(__xludf.DUMMYFUNCTION("""COMPUTED_VALUE"""),"11 to 50")</f>
        <v/>
      </c>
      <c r="O528" s="1">
        <f>IFERROR(__xludf.DUMMYFUNCTION("""COMPUTED_VALUE"""),"Business to Business, Business to Consumer, Business to Government, Business to Schools")</f>
        <v/>
      </c>
      <c r="P528" s="1">
        <f>IFERROR(__xludf.DUMMYFUNCTION("""COMPUTED_VALUE"""),"Secondary Education, Higher Education, Corporate Training, Lifelong learning/Adult education")</f>
        <v/>
      </c>
      <c r="Q528" s="1">
        <f>IFERROR(__xludf.DUMMYFUNCTION("""COMPUTED_VALUE"""),"System/Administrative, Student interfacing, Teacher interfacing")</f>
        <v/>
      </c>
      <c r="R528" s="1">
        <f>IFERROR(__xludf.DUMMYFUNCTION("""COMPUTED_VALUE"""),"common sense - eLearning &amp; training consultants GmbH")</f>
        <v/>
      </c>
      <c r="S528" s="1">
        <f>IFERROR(__xludf.DUMMYFUNCTION("""COMPUTED_VALUE"""),"common sense - eLearning &amp; training consultants GmbH")</f>
        <v/>
      </c>
      <c r="T528" s="15">
        <f>IFERROR(__xludf.DUMMYFUNCTION("""COMPUTED_VALUE"""),"https://www.linkedin.com/company/common-sense-elearning-&amp;-training-consultants")</f>
        <v/>
      </c>
      <c r="U528" s="1">
        <f>IFERROR(__xludf.DUMMYFUNCTION("""COMPUTED_VALUE"""),"Content Development")</f>
        <v/>
      </c>
      <c r="V528" s="1">
        <f>IFERROR(__xludf.DUMMYFUNCTION("""COMPUTED_VALUE"""),"We prepare online training content to be instructionally sound, diverse and media compatible, as web-based training, micro learning module or mobile application.")</f>
        <v/>
      </c>
      <c r="W528" s="1">
        <f>IFERROR(__xludf.DUMMYFUNCTION("""COMPUTED_VALUE"""),"Digital Learning Consulting")</f>
        <v/>
      </c>
      <c r="X528" s="1">
        <f>IFERROR(__xludf.DUMMYFUNCTION("""COMPUTED_VALUE"""),"In consultancy, we focus on strategy, instructional design and the learning individual.")</f>
        <v/>
      </c>
      <c r="Y528" s="15">
        <f>IFERROR(__xludf.DUMMYFUNCTION("""COMPUTED_VALUE"""),"https://drive.google.com/uc?export=view&amp;id=1Hq2j5oSVvUpfUO6aY5TLi-roBlGQTIyN")</f>
        <v/>
      </c>
      <c r="Z528" s="1">
        <f>IFERROR(__xludf.DUMMYFUNCTION("""COMPUTED_VALUE"""),"Unverified")</f>
        <v/>
      </c>
      <c r="AA528" s="1" t="n"/>
      <c r="AB528" s="1" t="n"/>
      <c r="AC528" s="1" t="n"/>
      <c r="AD528" s="1" t="n"/>
      <c r="AE528" s="1" t="n"/>
    </row>
    <row r="529" ht="42" customHeight="1">
      <c r="A529" s="14">
        <f>IFERROR(__xludf.DUMMYFUNCTION("""COMPUTED_VALUE"""),45300)</f>
        <v/>
      </c>
      <c r="B529" s="1">
        <f>IFERROR(__xludf.DUMMYFUNCTION("""COMPUTED_VALUE"""),"ORG_1301")</f>
        <v/>
      </c>
      <c r="C529" s="1">
        <f>IFERROR(__xludf.DUMMYFUNCTION("""COMPUTED_VALUE"""),TRUE)</f>
        <v/>
      </c>
      <c r="D529" s="1">
        <f>IFERROR(__xludf.DUMMYFUNCTION("""COMPUTED_VALUE"""),"Corsmed")</f>
        <v/>
      </c>
      <c r="E529" s="15">
        <f>IFERROR(__xludf.DUMMYFUNCTION("""COMPUTED_VALUE"""),"https://www.corsmed.com/")</f>
        <v/>
      </c>
      <c r="F529" s="1">
        <f>IFERROR(__xludf.DUMMYFUNCTION("""COMPUTED_VALUE"""),"Corsmed develops the ""flight simulator of MRI"" - a better, faster and more efficient way for radiographers and technologists to train and practice hands-on MRI, anywhere, anytime.")</f>
        <v/>
      </c>
      <c r="G529" s="1" t="n"/>
      <c r="H529" s="1" t="n"/>
      <c r="I529" s="1">
        <f>IFERROR(__xludf.DUMMYFUNCTION("""COMPUTED_VALUE"""),"erik.jacobsson@corsmed.com")</f>
        <v/>
      </c>
      <c r="J529" s="1">
        <f>IFERROR(__xludf.DUMMYFUNCTION("""COMPUTED_VALUE"""),"+46707179838")</f>
        <v/>
      </c>
      <c r="K529" s="1">
        <f>IFERROR(__xludf.DUMMYFUNCTION("""COMPUTED_VALUE"""),"STOCKHOLM")</f>
        <v/>
      </c>
      <c r="L529" s="1">
        <f>IFERROR(__xludf.DUMMYFUNCTION("""COMPUTED_VALUE"""),"Sweden")</f>
        <v/>
      </c>
      <c r="M529" s="1">
        <f>IFERROR(__xludf.DUMMYFUNCTION("""COMPUTED_VALUE"""),"Austria, Belgium, Bosnia and Herzegovina, Denmark, Finland, Germany, Greece, Ireland, Italy, Netherlands, Norway, Poland, Portugal, Romania, Spain, Sweden, Switzerland, Turkey, United Kingdom")</f>
        <v/>
      </c>
      <c r="N529" s="1">
        <f>IFERROR(__xludf.DUMMYFUNCTION("""COMPUTED_VALUE"""),"11 to 50")</f>
        <v/>
      </c>
      <c r="O529" s="1">
        <f>IFERROR(__xludf.DUMMYFUNCTION("""COMPUTED_VALUE"""),"Business to Business, Business to Consumer, Business to Government, Business to Schools")</f>
        <v/>
      </c>
      <c r="P529" s="1">
        <f>IFERROR(__xludf.DUMMYFUNCTION("""COMPUTED_VALUE"""),"Higher Education, Corporate Training, Lifelong learning/Adult education")</f>
        <v/>
      </c>
      <c r="Q529" s="1">
        <f>IFERROR(__xludf.DUMMYFUNCTION("""COMPUTED_VALUE"""),"Teacher interfacing, Student interfacing, System/Administrative")</f>
        <v/>
      </c>
      <c r="R529" s="1" t="n"/>
      <c r="S529" s="15">
        <f>IFERROR(__xludf.DUMMYFUNCTION("""COMPUTED_VALUE"""),"https://twitter.com/corsmed")</f>
        <v/>
      </c>
      <c r="T529" s="15">
        <f>IFERROR(__xludf.DUMMYFUNCTION("""COMPUTED_VALUE"""),"https://www.linkedin.com/company/corsmed/")</f>
        <v/>
      </c>
      <c r="U529" s="1">
        <f>IFERROR(__xludf.DUMMYFUNCTION("""COMPUTED_VALUE"""),"Corsmed MRI simulator")</f>
        <v/>
      </c>
      <c r="V529" s="1">
        <f>IFERROR(__xludf.DUMMYFUNCTION("""COMPUTED_VALUE"""),"The Corsmed MRI simulator allows anyone to practice hands-on MRI scanning, from any computer, anywhere, at any time.")</f>
        <v/>
      </c>
      <c r="W529" s="1" t="n"/>
      <c r="X529" s="1" t="n"/>
      <c r="Y529" s="15">
        <f>IFERROR(__xludf.DUMMYFUNCTION("""COMPUTED_VALUE"""),"https://drive.google.com/uc?export=view&amp;id=145eCQ4sqKpWM77IgMlnXGMRPevpuWzDa")</f>
        <v/>
      </c>
      <c r="Z529" s="1">
        <f>IFERROR(__xludf.DUMMYFUNCTION("""COMPUTED_VALUE"""),"Unverified")</f>
        <v/>
      </c>
      <c r="AA529" s="1" t="n"/>
      <c r="AB529" s="1" t="n"/>
      <c r="AC529" s="1" t="n"/>
      <c r="AD529" s="1" t="n"/>
      <c r="AE529" s="1" t="n"/>
    </row>
    <row r="530" ht="42" customHeight="1">
      <c r="A530" s="14">
        <f>IFERROR(__xludf.DUMMYFUNCTION("""COMPUTED_VALUE"""),45300)</f>
        <v/>
      </c>
      <c r="B530" s="1">
        <f>IFERROR(__xludf.DUMMYFUNCTION("""COMPUTED_VALUE"""),"ORG_1392")</f>
        <v/>
      </c>
      <c r="C530" s="1">
        <f>IFERROR(__xludf.DUMMYFUNCTION("""COMPUTED_VALUE"""),TRUE)</f>
        <v/>
      </c>
      <c r="D530" s="1">
        <f>IFERROR(__xludf.DUMMYFUNCTION("""COMPUTED_VALUE"""),"Easybusiness Wirtschaftstraining online")</f>
        <v/>
      </c>
      <c r="E530" s="15">
        <f>IFERROR(__xludf.DUMMYFUNCTION("""COMPUTED_VALUE"""),"https://www.easy-business.cc/e-learning")</f>
        <v/>
      </c>
      <c r="F530" s="1">
        <f>IFERROR(__xludf.DUMMYFUNCTION("""COMPUTED_VALUE"""),"Easybusiness Wirtschaftstraining online has revolutionized the world of business education. It has been on the market for 24 years and is therefore a pioneer of e-learning and blended learning. With over 300,000 learners from hundreds of companies, school"&amp;"s, universities and VET the award-winning e-learning program ""Easybusiness"" is Europe's most successful learning software on the subject of ""business administration"". Enthusiastic feedback from all target groups: from students to managers in companies"&amp;". It´s the official exam preparation program for obtaining the European Business Certificates from EBC*L. Available in 8 languages: German, English, Polish, Italian, Turkish, Hungarian, Slovenian, Czech)")</f>
        <v/>
      </c>
      <c r="G530" s="1">
        <f>IFERROR(__xludf.DUMMYFUNCTION("""COMPUTED_VALUE"""),"EdTech Austria")</f>
        <v/>
      </c>
      <c r="H530" s="1" t="n"/>
      <c r="I530" s="1">
        <f>IFERROR(__xludf.DUMMYFUNCTION("""COMPUTED_VALUE"""),"team@easybusiness.at")</f>
        <v/>
      </c>
      <c r="J530" s="1">
        <f>IFERROR(__xludf.DUMMYFUNCTION("""COMPUTED_VALUE"""),"0043 1 813 06 32")</f>
        <v/>
      </c>
      <c r="K530" s="1">
        <f>IFERROR(__xludf.DUMMYFUNCTION("""COMPUTED_VALUE"""),"VIENNA")</f>
        <v/>
      </c>
      <c r="L530" s="1">
        <f>IFERROR(__xludf.DUMMYFUNCTION("""COMPUTED_VALUE"""),"Austria")</f>
        <v/>
      </c>
      <c r="M530" s="1">
        <f>IFERROR(__xludf.DUMMYFUNCTION("""COMPUTED_VALUE"""),"Austria, Croatia, Czechia, Germany, Hungary, Italy, Netherlands, Poland, Spain, Switzerland")</f>
        <v/>
      </c>
      <c r="N530" s="1">
        <f>IFERROR(__xludf.DUMMYFUNCTION("""COMPUTED_VALUE"""),"0 to 10")</f>
        <v/>
      </c>
      <c r="O530" s="1">
        <f>IFERROR(__xludf.DUMMYFUNCTION("""COMPUTED_VALUE"""),"Business to Business, Business to Consumer, Business to Government, Business to Schools")</f>
        <v/>
      </c>
      <c r="P530" s="1">
        <f>IFERROR(__xludf.DUMMYFUNCTION("""COMPUTED_VALUE"""),"Secondary Education, Higher Education, Corporate Training, Lifelong learning/Adult education")</f>
        <v/>
      </c>
      <c r="Q530" s="1">
        <f>IFERROR(__xludf.DUMMYFUNCTION("""COMPUTED_VALUE"""),"Student interfacing, Teacher interfacing, System/Administrative")</f>
        <v/>
      </c>
      <c r="R530" s="1" t="n"/>
      <c r="S530" s="1" t="n"/>
      <c r="T530" s="1" t="n"/>
      <c r="U530" s="1">
        <f>IFERROR(__xludf.DUMMYFUNCTION("""COMPUTED_VALUE"""),"E-Learning ""Business Administration and Management""")</f>
        <v/>
      </c>
      <c r="V530" s="1">
        <f>IFERROR(__xludf.DUMMYFUNCTION("""COMPUTED_VALUE"""),"Easybusiness Wirtschaftstraining online has revolutionized the world of business education. It has been on the market for 24 years and is therefore a pioneer of e-learning and blended learning. With over 300,000 learners from hundreds of companies, school"&amp;"s, universities and VET the award-winning e-learning program ""Easybusiness"" is Europe's most successful learning software on the subject of ""business administration"". Enthusiastic feedback from all target groups: from students to managers in companies"&amp;". It´s the official exam preparation program for obtaining the European Business Certificates from EBC*L. Available in 8 languages: German, English, Polish, Italian, Turkish, Hungarian, Slovenian, Czech)")</f>
        <v/>
      </c>
      <c r="W530" s="1">
        <f>IFERROR(__xludf.DUMMYFUNCTION("""COMPUTED_VALUE"""),"E-Learning ""Commercial English""")</f>
        <v/>
      </c>
      <c r="X530" s="1">
        <f>IFERROR(__xludf.DUMMYFUNCTION("""COMPUTED_VALUE"""),"With this learning program, even people without any previous knowledge can acquire the essential business knowledge in English, which is required in international business life: 
Topics: accounting, cost accounting, ratios, business law")</f>
        <v/>
      </c>
      <c r="Y530" s="15">
        <f>IFERROR(__xludf.DUMMYFUNCTION("""COMPUTED_VALUE"""),"https://drive.google.com/uc?export=view&amp;id=1uVHtDu1BXSP-1dpNzSWAgVHVF5KwsNKc")</f>
        <v/>
      </c>
      <c r="Z530" s="1">
        <f>IFERROR(__xludf.DUMMYFUNCTION("""COMPUTED_VALUE"""),"Unverified")</f>
        <v/>
      </c>
      <c r="AA530" s="1" t="n"/>
      <c r="AB530" s="1" t="n"/>
      <c r="AC530" s="1" t="n"/>
      <c r="AD530" s="1" t="n"/>
      <c r="AE530" s="1" t="n"/>
    </row>
    <row r="531" ht="42" customHeight="1">
      <c r="A531" s="14">
        <f>IFERROR(__xludf.DUMMYFUNCTION("""COMPUTED_VALUE"""),45300)</f>
        <v/>
      </c>
      <c r="B531" s="1">
        <f>IFERROR(__xludf.DUMMYFUNCTION("""COMPUTED_VALUE"""),"ORG_1401")</f>
        <v/>
      </c>
      <c r="C531" s="1">
        <f>IFERROR(__xludf.DUMMYFUNCTION("""COMPUTED_VALUE"""),TRUE)</f>
        <v/>
      </c>
      <c r="D531" s="1">
        <f>IFERROR(__xludf.DUMMYFUNCTION("""COMPUTED_VALUE"""),"Eddler")</f>
        <v/>
      </c>
      <c r="E531" s="15">
        <f>IFERROR(__xludf.DUMMYFUNCTION("""COMPUTED_VALUE"""),"https://eddler.se/")</f>
        <v/>
      </c>
      <c r="F531" s="1">
        <f>IFERROR(__xludf.DUMMYFUNCTION("""COMPUTED_VALUE"""),"Eddler is a digital learning tool where students learn mathematics, physics and programming. We offer educational videos, in-depth texts and thousands of interactive exercises with complete explanations. The students also gets a personalized learning dash"&amp;"board that empower learners to study at their own pace and enables a smart way for the teachers to follow the students progress.")</f>
        <v/>
      </c>
      <c r="G531" s="1">
        <f>IFERROR(__xludf.DUMMYFUNCTION("""COMPUTED_VALUE"""),"Swedish EdTech Industry")</f>
        <v/>
      </c>
      <c r="H531" s="1" t="n"/>
      <c r="I531" s="1" t="n"/>
      <c r="J531" s="1" t="n"/>
      <c r="K531" s="1">
        <f>IFERROR(__xludf.DUMMYFUNCTION("""COMPUTED_VALUE"""),"Göteborg")</f>
        <v/>
      </c>
      <c r="L531" s="1">
        <f>IFERROR(__xludf.DUMMYFUNCTION("""COMPUTED_VALUE"""),"Sweden")</f>
        <v/>
      </c>
      <c r="M531" s="1">
        <f>IFERROR(__xludf.DUMMYFUNCTION("""COMPUTED_VALUE"""),"Sweden")</f>
        <v/>
      </c>
      <c r="N531" s="1">
        <f>IFERROR(__xludf.DUMMYFUNCTION("""COMPUTED_VALUE"""),"0 to 10")</f>
        <v/>
      </c>
      <c r="O531" s="1">
        <f>IFERROR(__xludf.DUMMYFUNCTION("""COMPUTED_VALUE"""),"Business to Business, Business to Consumer, Business to Schools")</f>
        <v/>
      </c>
      <c r="P531" s="1">
        <f>IFERROR(__xludf.DUMMYFUNCTION("""COMPUTED_VALUE"""),"Secondary Education")</f>
        <v/>
      </c>
      <c r="Q531" s="1">
        <f>IFERROR(__xludf.DUMMYFUNCTION("""COMPUTED_VALUE"""),"System/Administrative, Student interfacing, Teacher interfacing")</f>
        <v/>
      </c>
      <c r="R531" s="15">
        <f>IFERROR(__xludf.DUMMYFUNCTION("""COMPUTED_VALUE"""),"https://www.instagram.com/eddler.se/")</f>
        <v/>
      </c>
      <c r="S531" s="15">
        <f>IFERROR(__xludf.DUMMYFUNCTION("""COMPUTED_VALUE"""),"https://twitter.com/eddler_se")</f>
        <v/>
      </c>
      <c r="T531" s="15">
        <f>IFERROR(__xludf.DUMMYFUNCTION("""COMPUTED_VALUE"""),"https://www.linkedin.com/company/eddler")</f>
        <v/>
      </c>
      <c r="U531" s="1">
        <f>IFERROR(__xludf.DUMMYFUNCTION("""COMPUTED_VALUE"""),"Eddler")</f>
        <v/>
      </c>
      <c r="V531" s="1">
        <f>IFERROR(__xludf.DUMMYFUNCTION("""COMPUTED_VALUE"""),"Eddler is a digital learning tool where students learn mathematics, physics and programming. We offer educational videos, in-depth texts and thousands of interactive exercises with complete explanations. The students also gets a personalized learning dash"&amp;"board that empower learners to study at their own pace and enables a smart way for the teachers to follow the students progress.")</f>
        <v/>
      </c>
      <c r="W531" s="1" t="n"/>
      <c r="X531" s="1" t="n"/>
      <c r="Y531" s="15">
        <f>IFERROR(__xludf.DUMMYFUNCTION("""COMPUTED_VALUE"""),"https://drive.google.com/uc?export=view&amp;id=1XR5dUf6rMlfQfLf228Z71P3lVHcOU_HV")</f>
        <v/>
      </c>
      <c r="Z531" s="1">
        <f>IFERROR(__xludf.DUMMYFUNCTION("""COMPUTED_VALUE"""),"Unverified")</f>
        <v/>
      </c>
      <c r="AA531" s="1" t="n"/>
      <c r="AB531" s="1" t="n"/>
      <c r="AC531" s="1" t="n"/>
      <c r="AD531" s="1" t="n"/>
      <c r="AE531" s="1" t="n"/>
    </row>
    <row r="532" ht="42" customHeight="1">
      <c r="A532" s="14">
        <f>IFERROR(__xludf.DUMMYFUNCTION("""COMPUTED_VALUE"""),45300)</f>
        <v/>
      </c>
      <c r="B532" s="1">
        <f>IFERROR(__xludf.DUMMYFUNCTION("""COMPUTED_VALUE"""),"ORG_1437")</f>
        <v/>
      </c>
      <c r="C532" s="1">
        <f>IFERROR(__xludf.DUMMYFUNCTION("""COMPUTED_VALUE"""),TRUE)</f>
        <v/>
      </c>
      <c r="D532" s="1">
        <f>IFERROR(__xludf.DUMMYFUNCTION("""COMPUTED_VALUE"""),"EDUEXPERT")</f>
        <v/>
      </c>
      <c r="E532" s="15">
        <f>IFERROR(__xludf.DUMMYFUNCTION("""COMPUTED_VALUE"""),"https://www.eduexpert.eu/en/")</f>
        <v/>
      </c>
      <c r="F532" s="1">
        <f>IFERROR(__xludf.DUMMYFUNCTION("""COMPUTED_VALUE"""),"The Eduexpert Sp. z o.o was created by the team of experienced experts from the educational and technological industry. The long-term practice and the knowledge each one of us and the specialization in individual areas, permits us for publishing multimedi"&amp;"a educational products - on the educational market: Polish and foreign markets.
Besides we also complementary design advisory, training and technological services and we accomplish them efficiently. Our purpose is to support companies, schools and self-g"&amp;"overnment in all action associated with the education and technologies.
Eduexpert has been implementing educational and training projects since 2010. The company has specialized in the production of high-quality digital educational materials. In recent ye"&amp;"ars, the company has produced several hundred film materials, animations and digital content that meet the WCAG 2.0 standard, special content modules for people with mild and moderate intellectual disabilities. The company successfully implements projects"&amp;" financed from EU subsidies, Norwegian funds, and commissioned by the Ministry of National Education. The company’s team consists of content specialists, graphic designers, programmers, content editors and a wide group of people cooperating in the field o"&amp;"f creating modern e-materials used by young people and adults.")</f>
        <v/>
      </c>
      <c r="G532" s="1">
        <f>IFERROR(__xludf.DUMMYFUNCTION("""COMPUTED_VALUE"""),"EdTech Poland")</f>
        <v/>
      </c>
      <c r="H532" s="1" t="n"/>
      <c r="I532" s="1">
        <f>IFERROR(__xludf.DUMMYFUNCTION("""COMPUTED_VALUE"""),"kontakt@eduexpert.eu")</f>
        <v/>
      </c>
      <c r="J532" s="1">
        <f>IFERROR(__xludf.DUMMYFUNCTION("""COMPUTED_VALUE"""),"+48 511031913")</f>
        <v/>
      </c>
      <c r="K532" s="1">
        <f>IFERROR(__xludf.DUMMYFUNCTION("""COMPUTED_VALUE"""),"Toruń")</f>
        <v/>
      </c>
      <c r="L532" s="1">
        <f>IFERROR(__xludf.DUMMYFUNCTION("""COMPUTED_VALUE"""),"Poland")</f>
        <v/>
      </c>
      <c r="M532" s="1">
        <f>IFERROR(__xludf.DUMMYFUNCTION("""COMPUTED_VALUE"""),"Germany, Poland, United Kingdom")</f>
        <v/>
      </c>
      <c r="N532" s="1">
        <f>IFERROR(__xludf.DUMMYFUNCTION("""COMPUTED_VALUE"""),"51 to 100")</f>
        <v/>
      </c>
      <c r="O532" s="1">
        <f>IFERROR(__xludf.DUMMYFUNCTION("""COMPUTED_VALUE"""),"Business to Business, Business to Consumer, Business to Schools")</f>
        <v/>
      </c>
      <c r="P532" s="1">
        <f>IFERROR(__xludf.DUMMYFUNCTION("""COMPUTED_VALUE"""),"Early childhood development (0-5 years), Primary Education, Secondary Education, Higher Education, Lifelong learning/Adult education")</f>
        <v/>
      </c>
      <c r="Q532" s="1">
        <f>IFERROR(__xludf.DUMMYFUNCTION("""COMPUTED_VALUE"""),"System/Administrative, Student interfacing, Teacher interfacing")</f>
        <v/>
      </c>
      <c r="R532" s="15">
        <f>IFERROR(__xludf.DUMMYFUNCTION("""COMPUTED_VALUE"""),"https://www.instagram.cm/eduexpert.multimedia/")</f>
        <v/>
      </c>
      <c r="S532" s="1" t="n"/>
      <c r="T532" s="1" t="n"/>
      <c r="U532" s="1">
        <f>IFERROR(__xludf.DUMMYFUNCTION("""COMPUTED_VALUE"""),"Science-Lab series. Fascinating human anatomy")</f>
        <v/>
      </c>
      <c r="V532" s="1">
        <f>IFERROR(__xludf.DUMMYFUNCTION("""COMPUTED_VALUE"""),"Science-Lab. Fascinating Human Anatomy ""is a four-part, multimedia educational product, the purpose of which is to support science in grades 4-8 of primary school and at the higher educational stage. The program includes a package of educational boards, "&amp;"thanks to which the teacher will discuss in detail the structure and functioning of individual organs, as well as films and simulations for use at school or at home. All the prepared materials allow the implementation of the assumptions of the Core Curric"&amp;"ulum and the introduction of extended elements for willing, ambitious students or for higher classes.
A professional voice-over has been recorded for all materials in the multimedia program. In addition, the descriptive elements have the option of changi"&amp;"ng the font size, which allows the product to be used when working with students with Special Educational Needs (SEN).
Science-Lab has been prepared in two language versions - Polish and English, thanks to which the teacher will introduce elements of bio"&amp;"logy, chemistry and physics in a foreign language. The program can also be used abroad.")</f>
        <v/>
      </c>
      <c r="W532" s="1">
        <f>IFERROR(__xludf.DUMMYFUNCTION("""COMPUTED_VALUE"""),"The series ""Mathematics completely"" - Early school education and")</f>
        <v/>
      </c>
      <c r="X532" s="1">
        <f>IFERROR(__xludf.DUMMYFUNCTION("""COMPUTED_VALUE"""),"""Mathematics without the rest"" is a three-part multimedia educational product for primary schools, intended for learning mathematics and natural sciences in early school education. It includes a package of exercises, interactions, activities, games and "&amp;"videos for quick and effective use in school activities. The program consists of three parts, corresponding to the thematic scope of grades 1-3 - the whole is adapted to the core curriculum and enables work with students with special educational needs.
G"&amp;"raphics and interactions show real images - unrealistic animations are kept to a minimum. Task commands are text and sound. In addition, the teacher can freely change the language - so as to go through a given task in English and return to the Polish vers"&amp;"ion. The whole thing is designed in such a way that all active elements are within the reach of the child - which is especially important when working at the interactive whiteboard. The teacher has many opportunities to work with the program. Inspirations"&amp;" can be found in the guides and scenarios for games and activities that come with the products.
The main characters of ""Mathematics completely"" are real - they have their problems, passions, dreams. Technology does not have to mean unreal - we have cre"&amp;"ated a connection between technology and everyday life.")</f>
        <v/>
      </c>
      <c r="Y532" s="15">
        <f>IFERROR(__xludf.DUMMYFUNCTION("""COMPUTED_VALUE"""),"https://drive.google.com/uc?export=view&amp;id=13LGHuZgC71MGwptj3m8v0z1GNvsmAmPD")</f>
        <v/>
      </c>
      <c r="Z532" s="1">
        <f>IFERROR(__xludf.DUMMYFUNCTION("""COMPUTED_VALUE"""),"Unverified")</f>
        <v/>
      </c>
      <c r="AA532" s="1" t="n"/>
      <c r="AB532" s="1" t="n"/>
      <c r="AC532" s="1" t="n"/>
      <c r="AD532" s="1" t="n"/>
      <c r="AE532" s="1" t="n"/>
    </row>
    <row r="533" ht="42" customHeight="1">
      <c r="A533" s="14">
        <f>IFERROR(__xludf.DUMMYFUNCTION("""COMPUTED_VALUE"""),45300)</f>
        <v/>
      </c>
      <c r="B533" s="1">
        <f>IFERROR(__xludf.DUMMYFUNCTION("""COMPUTED_VALUE"""),"ORG_1517")</f>
        <v/>
      </c>
      <c r="C533" s="1">
        <f>IFERROR(__xludf.DUMMYFUNCTION("""COMPUTED_VALUE"""),TRUE)</f>
        <v/>
      </c>
      <c r="D533" s="1">
        <f>IFERROR(__xludf.DUMMYFUNCTION("""COMPUTED_VALUE"""),"Esybee AB")</f>
        <v/>
      </c>
      <c r="E533" s="15">
        <f>IFERROR(__xludf.DUMMYFUNCTION("""COMPUTED_VALUE"""),"https://esybee-com.webnode.se/")</f>
        <v/>
      </c>
      <c r="F533" s="1">
        <f>IFERROR(__xludf.DUMMYFUNCTION("""COMPUTED_VALUE"""),"The K-12 Special Education Learning Management System, Esybee, is an educational tool that manages curriculum and individualised instruction to maximise student learning. Esybee design is according to Instructional Design principles and combines with Lear"&amp;"ning Science, Machine Learning, Neuroscience as Artificial Intelligence technology to facilitate interactive learning environments that support learning. Esybee delivers and provides every child with an excellent education through concrete learning and te"&amp;"aching strategies as personalisation that improves student's ""Learning"". Esybee means to be ""THE"" platform where teachers, students and parents meets to discuss their child and student's knowledge, using teaching and learning strategies and Special ed"&amp;"ucation that facilitates learning toward inclusive and equitable quality education. Esybee planned to be cost-efficient, quantifiable and reliable. It's reduced administrative costs and instructional support costs.")</f>
        <v/>
      </c>
      <c r="G533" s="1">
        <f>IFERROR(__xludf.DUMMYFUNCTION("""COMPUTED_VALUE"""),"Swedish EdTech Industry")</f>
        <v/>
      </c>
      <c r="H533" s="1" t="n"/>
      <c r="I533" s="1">
        <f>IFERROR(__xludf.DUMMYFUNCTION("""COMPUTED_VALUE"""),"Info@esybee.com")</f>
        <v/>
      </c>
      <c r="J533" s="1">
        <f>IFERROR(__xludf.DUMMYFUNCTION("""COMPUTED_VALUE"""),"+46-76 946 02 84")</f>
        <v/>
      </c>
      <c r="K533" s="1">
        <f>IFERROR(__xludf.DUMMYFUNCTION("""COMPUTED_VALUE"""),"Lidingö")</f>
        <v/>
      </c>
      <c r="L533" s="1">
        <f>IFERROR(__xludf.DUMMYFUNCTION("""COMPUTED_VALUE"""),"Sweden")</f>
        <v/>
      </c>
      <c r="M533" s="1">
        <f>IFERROR(__xludf.DUMMYFUNCTION("""COMPUTED_VALUE"""),"Sweden")</f>
        <v/>
      </c>
      <c r="N533" s="1">
        <f>IFERROR(__xludf.DUMMYFUNCTION("""COMPUTED_VALUE"""),"0 to 10")</f>
        <v/>
      </c>
      <c r="O533" s="1">
        <f>IFERROR(__xludf.DUMMYFUNCTION("""COMPUTED_VALUE"""),"Business to Business, Business to Government")</f>
        <v/>
      </c>
      <c r="P533" s="1">
        <f>IFERROR(__xludf.DUMMYFUNCTION("""COMPUTED_VALUE"""),"Early childhood development (0-5 years), Primary Education, Secondary Education, Higher Education")</f>
        <v/>
      </c>
      <c r="Q533" s="1">
        <f>IFERROR(__xludf.DUMMYFUNCTION("""COMPUTED_VALUE"""),"System/Administrative, Student interfacing, Teacher interfacing")</f>
        <v/>
      </c>
      <c r="R533" s="1" t="n"/>
      <c r="S533" s="1" t="n"/>
      <c r="T533" s="15">
        <f>IFERROR(__xludf.DUMMYFUNCTION("""COMPUTED_VALUE"""),"https://esybee-com.webnode.se/tjanster/")</f>
        <v/>
      </c>
      <c r="U533" s="1">
        <f>IFERROR(__xludf.DUMMYFUNCTION("""COMPUTED_VALUE"""),"Esybee AB")</f>
        <v/>
      </c>
      <c r="V533" s="1">
        <f>IFERROR(__xludf.DUMMYFUNCTION("""COMPUTED_VALUE"""),"Esybee's instructional design is to facilitate learning, make the student engaged and self-direct with digital content. The instructional designer at Esybee understands emerging learning theories as Bloom's taxonomy and constructivism, how they relate to "&amp;"the way students learn in our digitally connected world. The LSM draws up to be easy to use. It addresses all aspects of the IEPs process, manages student's unique educational needs and learning. Esybee controls from the process of referral to evaluation "&amp;"through the eligibility process for the Special Education Program.")</f>
        <v/>
      </c>
      <c r="W533" s="1" t="n"/>
      <c r="X533" s="1" t="n"/>
      <c r="Y533" s="15">
        <f>IFERROR(__xludf.DUMMYFUNCTION("""COMPUTED_VALUE"""),"https://drive.google.com/uc?export=view&amp;id=17CCnykQCUeSjmPGxs1VUVHC541kykOY8")</f>
        <v/>
      </c>
      <c r="Z533" s="1">
        <f>IFERROR(__xludf.DUMMYFUNCTION("""COMPUTED_VALUE"""),"Unverified")</f>
        <v/>
      </c>
      <c r="AA533" s="1" t="n"/>
      <c r="AB533" s="1" t="n"/>
      <c r="AC533" s="1" t="n"/>
      <c r="AD533" s="1" t="n"/>
      <c r="AE533" s="1" t="n"/>
    </row>
    <row r="534" ht="42" customHeight="1">
      <c r="A534" s="14">
        <f>IFERROR(__xludf.DUMMYFUNCTION("""COMPUTED_VALUE"""),45300)</f>
        <v/>
      </c>
      <c r="B534" s="1">
        <f>IFERROR(__xludf.DUMMYFUNCTION("""COMPUTED_VALUE"""),"ORG_1546")</f>
        <v/>
      </c>
      <c r="C534" s="1">
        <f>IFERROR(__xludf.DUMMYFUNCTION("""COMPUTED_VALUE"""),TRUE)</f>
        <v/>
      </c>
      <c r="D534" s="1">
        <f>IFERROR(__xludf.DUMMYFUNCTION("""COMPUTED_VALUE"""),"eyeLearn")</f>
        <v/>
      </c>
      <c r="E534" s="15">
        <f>IFERROR(__xludf.DUMMYFUNCTION("""COMPUTED_VALUE"""),"https://www.eyeLearn.at")</f>
        <v/>
      </c>
      <c r="F534" s="1">
        <f>IFERROR(__xludf.DUMMYFUNCTION("""COMPUTED_VALUE"""),"eyeLearn ist eine digitale Lernplattform, welche sich in 2 Bereiche gliedert, den Schul- und den Kursbereich.
Mit unseren Kursen kannst Du dich zu Themen wie, Microsoft Office, ECDL/ICDL, digitalen Tools, beruflichen Themen, Online-Marketing oder sonstig"&amp;"en Themen weiterbilden! Zusätzlich kannst Du dein Wissen bei den jeweiligen Prüfungen unter Beweis stellen, und, bei Erfolg, Dein eyeLearn-Zertifikat für Deinen Lebenslauf abholen!
Für Schüler*innen bietet eyeLearn genau die Inhalte, die sie jetzt gerade"&amp;" in ihrer Schule, ihrem Jahrgang und ihrem Fach lernen oder lernen werden.")</f>
        <v/>
      </c>
      <c r="G534" s="1">
        <f>IFERROR(__xludf.DUMMYFUNCTION("""COMPUTED_VALUE"""),"EdTech Austria")</f>
        <v/>
      </c>
      <c r="H534" s="1">
        <f>IFERROR(__xludf.DUMMYFUNCTION("""COMPUTED_VALUE"""),"German")</f>
        <v/>
      </c>
      <c r="I534" s="1">
        <f>IFERROR(__xludf.DUMMYFUNCTION("""COMPUTED_VALUE"""),"kontakt@eyeLearn.at")</f>
        <v/>
      </c>
      <c r="J534" s="1">
        <f>IFERROR(__xludf.DUMMYFUNCTION("""COMPUTED_VALUE"""),"+ 43 660 158 39 79")</f>
        <v/>
      </c>
      <c r="K534" s="1">
        <f>IFERROR(__xludf.DUMMYFUNCTION("""COMPUTED_VALUE"""),"Gmunden")</f>
        <v/>
      </c>
      <c r="L534" s="1">
        <f>IFERROR(__xludf.DUMMYFUNCTION("""COMPUTED_VALUE"""),"Austria")</f>
        <v/>
      </c>
      <c r="M534" s="1">
        <f>IFERROR(__xludf.DUMMYFUNCTION("""COMPUTED_VALUE"""),"Austria, Germany, Liechtenstein, Switzerland")</f>
        <v/>
      </c>
      <c r="N534" s="1">
        <f>IFERROR(__xludf.DUMMYFUNCTION("""COMPUTED_VALUE"""),"0 to 2")</f>
        <v/>
      </c>
      <c r="O534" s="1">
        <f>IFERROR(__xludf.DUMMYFUNCTION("""COMPUTED_VALUE"""),"Business to Business, Business to Government, Business to Schools")</f>
        <v/>
      </c>
      <c r="P534" s="1">
        <f>IFERROR(__xludf.DUMMYFUNCTION("""COMPUTED_VALUE"""),"Primary Education, Secondary Education, Corporate Training, Lifelong learning/Adult education, Vocational Education and Training (VET), Higher Education")</f>
        <v/>
      </c>
      <c r="Q534" s="1">
        <f>IFERROR(__xludf.DUMMYFUNCTION("""COMPUTED_VALUE"""),"System/Administrative, Student interfacing, Teacher interfacing")</f>
        <v/>
      </c>
      <c r="R534" s="15">
        <f>IFERROR(__xludf.DUMMYFUNCTION("""COMPUTED_VALUE"""),"https://www.instagram.com/eyelearn_/")</f>
        <v/>
      </c>
      <c r="S534" s="1" t="n"/>
      <c r="T534" s="15">
        <f>IFERROR(__xludf.DUMMYFUNCTION("""COMPUTED_VALUE"""),"https://www.linkedin.com/company/eyelearn-gmbh/")</f>
        <v/>
      </c>
      <c r="U534" s="1">
        <f>IFERROR(__xludf.DUMMYFUNCTION("""COMPUTED_VALUE"""),"Kursbibliothek")</f>
        <v/>
      </c>
      <c r="V534" s="1">
        <f>IFERROR(__xludf.DUMMYFUNCTION("""COMPUTED_VALUE"""),"Mit unseren Kursen kannst Du dich zu Themen wie, Microsoft Office, ECDL/ICDL, digitalen Tools, beruflichen Themen, Online-Marketing oder sonstigen Themen weiterbilden! Zusätzlich kannst Du dein Wissen bei den jeweiligen Prüfungen unter Beweis stellen, und"&amp;", bei Erfolg, Dein eyeLearn-Zertifikat für Deinen Lebenslauf abholen!")</f>
        <v/>
      </c>
      <c r="W534" s="1">
        <f>IFERROR(__xludf.DUMMYFUNCTION("""COMPUTED_VALUE"""),"Schulbereich")</f>
        <v/>
      </c>
      <c r="X534" s="1">
        <f>IFERROR(__xludf.DUMMYFUNCTION("""COMPUTED_VALUE"""),"Für Schüler*innen bietet eyeLearn genau die Inhalte, die sie jetzt gerade in ihrer Schule, ihrem Jahrgang und ihrem Fach lernen oder lernen werden.")</f>
        <v/>
      </c>
      <c r="Y534" s="15">
        <f>IFERROR(__xludf.DUMMYFUNCTION("""COMPUTED_VALUE"""),"https://drive.google.com/uc?export=view&amp;id=1dbiTReU4JCwGtk6ShEyY4vDzcr8HXiYC")</f>
        <v/>
      </c>
      <c r="Z534" s="1">
        <f>IFERROR(__xludf.DUMMYFUNCTION("""COMPUTED_VALUE"""),"Unverified")</f>
        <v/>
      </c>
      <c r="AA534" s="1" t="n"/>
      <c r="AB534" s="1" t="n"/>
      <c r="AC534" s="1" t="n"/>
      <c r="AD534" s="1" t="n"/>
      <c r="AE534" s="1" t="n"/>
    </row>
    <row r="535" ht="42" customHeight="1">
      <c r="A535" s="14">
        <f>IFERROR(__xludf.DUMMYFUNCTION("""COMPUTED_VALUE"""),45300)</f>
        <v/>
      </c>
      <c r="B535" s="1">
        <f>IFERROR(__xludf.DUMMYFUNCTION("""COMPUTED_VALUE"""),"ORG_1711")</f>
        <v/>
      </c>
      <c r="C535" s="1">
        <f>IFERROR(__xludf.DUMMYFUNCTION("""COMPUTED_VALUE"""),TRUE)</f>
        <v/>
      </c>
      <c r="D535" s="1">
        <f>IFERROR(__xludf.DUMMYFUNCTION("""COMPUTED_VALUE"""),"ILT Education")</f>
        <v/>
      </c>
      <c r="E535" s="15">
        <f>IFERROR(__xludf.DUMMYFUNCTION("""COMPUTED_VALUE"""),"www.ilteducation.fi")</f>
        <v/>
      </c>
      <c r="F535" s="1">
        <f>IFERROR(__xludf.DUMMYFUNCTION("""COMPUTED_VALUE"""),"Every child has an equal opportunity to learn. ILT Education provides digital, multilingual pedagogical solutions for linguistic development from early childhood education.
Lukulumo supports emergent literacy development in classrooms and daycares. As ki"&amp;"ds learn to read and write, they need a diverse range of engaging and challenging books at their fingertips. In Lukulumo and Lukulumo school versions we have over 1000 digital books for different aged kids and in 59 languages. You can read, listen and wat"&amp;"ch the pictures. Choose from a large virtual library of picture, factual, fiction, and non-fiction books that can be read aloud in Finnish and a growing collection of books read aloud in dozens of different languages. 
Manabua - our digital multimediatoo"&amp;"l provides information in three different formats: short and clear videos that explain key concepts in the subjects, lists of topics that support learning, and a quiz to check if what you have learned has been memorized. Manabua’s audiovisual learning env"&amp;"ironment supports every learner at school. Manabua videos and playlists are available in several languages. The material according to the Finnish curriculum is aimed at grades 3-9 of basic education.")</f>
        <v/>
      </c>
      <c r="G535" s="1">
        <f>IFERROR(__xludf.DUMMYFUNCTION("""COMPUTED_VALUE"""),"EdTech Finland")</f>
        <v/>
      </c>
      <c r="H535" s="1" t="n"/>
      <c r="I535" s="1">
        <f>IFERROR(__xludf.DUMMYFUNCTION("""COMPUTED_VALUE"""),"nina.hiltunen@ilteducation.fi")</f>
        <v/>
      </c>
      <c r="J535" s="1">
        <f>IFERROR(__xludf.DUMMYFUNCTION("""COMPUTED_VALUE"""),"+358 400 448 488")</f>
        <v/>
      </c>
      <c r="K535" s="1">
        <f>IFERROR(__xludf.DUMMYFUNCTION("""COMPUTED_VALUE"""),"HELSINKI")</f>
        <v/>
      </c>
      <c r="L535" s="1">
        <f>IFERROR(__xludf.DUMMYFUNCTION("""COMPUTED_VALUE"""),"Finland")</f>
        <v/>
      </c>
      <c r="M535" s="1">
        <f>IFERROR(__xludf.DUMMYFUNCTION("""COMPUTED_VALUE"""),"Finland, France, Germany, Norway, Sweden, United Kingdom")</f>
        <v/>
      </c>
      <c r="N535" s="1">
        <f>IFERROR(__xludf.DUMMYFUNCTION("""COMPUTED_VALUE"""),"51 to 100")</f>
        <v/>
      </c>
      <c r="O535" s="1">
        <f>IFERROR(__xludf.DUMMYFUNCTION("""COMPUTED_VALUE"""),"Business to Business, Business to Government, Business to Schools")</f>
        <v/>
      </c>
      <c r="P535" s="1">
        <f>IFERROR(__xludf.DUMMYFUNCTION("""COMPUTED_VALUE"""),"Early childhood development (0-5 years), Primary Education, Secondary Education, Lifelong learning/Adult education")</f>
        <v/>
      </c>
      <c r="Q535" s="1">
        <f>IFERROR(__xludf.DUMMYFUNCTION("""COMPUTED_VALUE"""),"System/Administrative, Teacher interfacing, Student interfacing")</f>
        <v/>
      </c>
      <c r="R535" s="15">
        <f>IFERROR(__xludf.DUMMYFUNCTION("""COMPUTED_VALUE"""),"https://www.instagram.com/lukulumo")</f>
        <v/>
      </c>
      <c r="S535" s="1" t="n"/>
      <c r="T535" s="15">
        <f>IFERROR(__xludf.DUMMYFUNCTION("""COMPUTED_VALUE"""),"https://www.linkedin.com/company/ilt-education-finland")</f>
        <v/>
      </c>
      <c r="U535" s="1">
        <f>IFERROR(__xludf.DUMMYFUNCTION("""COMPUTED_VALUE"""),"Lukulumo")</f>
        <v/>
      </c>
      <c r="V535" s="1">
        <f>IFERROR(__xludf.DUMMYFUNCTION("""COMPUTED_VALUE"""),"Lukulumo supports emergent literacy development in classrooms and daycares. As kids learn to read and write, they need a diverse range of engaging and challenging books at their fingertips. In Lukulumo and Lukulumo school versions we have over 1000 digita"&amp;"l books for different aged kids and in 59 languages. You can read, listen and watch the pictures. Choose from a large virtual library of picture, factual, fiction, and non-fiction books that can be read aloud in Finnish and a growing collection of books r"&amp;"ead aloud in dozens of different languages.")</f>
        <v/>
      </c>
      <c r="W535" s="1">
        <f>IFERROR(__xludf.DUMMYFUNCTION("""COMPUTED_VALUE"""),"Lukulumo school")</f>
        <v/>
      </c>
      <c r="X535" s="1">
        <f>IFERROR(__xludf.DUMMYFUNCTION("""COMPUTED_VALUE"""),"Lukulumo supports emergent literacy development in classrooms and daycares. As kids learn to read and write, they need a diverse range of engaging and challenging books at their fingertips. In Lukulumo and Lukulumo school versions we have over 1000 digita"&amp;"l books for different aged kids and in 59 languages. You can read, listen and watch the pictures. Choose from a large virtual library of picture, factual, fiction, and non-fiction books that can be read aloud in Finnish and a growing collection of books r"&amp;"ead aloud in dozens of different languages.")</f>
        <v/>
      </c>
      <c r="Y535" s="15">
        <f>IFERROR(__xludf.DUMMYFUNCTION("""COMPUTED_VALUE"""),"https://drive.google.com/uc?export=view&amp;id=1xkGMVb2gJSombO-gnmK8YfqsvL9vFeAq")</f>
        <v/>
      </c>
      <c r="Z535" s="1">
        <f>IFERROR(__xludf.DUMMYFUNCTION("""COMPUTED_VALUE"""),"Unverified")</f>
        <v/>
      </c>
      <c r="AA535" s="1" t="n"/>
      <c r="AB535" s="1" t="n"/>
      <c r="AC535" s="1" t="n"/>
      <c r="AD535" s="1" t="n"/>
      <c r="AE535" s="1" t="n"/>
    </row>
    <row r="536" ht="42" customHeight="1">
      <c r="A536" s="14">
        <f>IFERROR(__xludf.DUMMYFUNCTION("""COMPUTED_VALUE"""),45300)</f>
        <v/>
      </c>
      <c r="B536" s="1">
        <f>IFERROR(__xludf.DUMMYFUNCTION("""COMPUTED_VALUE"""),"ORG_1892")</f>
        <v/>
      </c>
      <c r="C536" s="1">
        <f>IFERROR(__xludf.DUMMYFUNCTION("""COMPUTED_VALUE"""),TRUE)</f>
        <v/>
      </c>
      <c r="D536" s="1">
        <f>IFERROR(__xludf.DUMMYFUNCTION("""COMPUTED_VALUE"""),"Loru Games")</f>
        <v/>
      </c>
      <c r="E536" s="15">
        <f>IFERROR(__xludf.DUMMYFUNCTION("""COMPUTED_VALUE"""),"Lorugames.com")</f>
        <v/>
      </c>
      <c r="F536" s="1">
        <f>IFERROR(__xludf.DUMMYFUNCTION("""COMPUTED_VALUE"""),"We take Quiz games to next level. In our Quiz system teachers created questions are transferred into fun games that feel, look, sound and play like real mobile hit games!")</f>
        <v/>
      </c>
      <c r="G536" s="1">
        <f>IFERROR(__xludf.DUMMYFUNCTION("""COMPUTED_VALUE"""),"EdTech Finland")</f>
        <v/>
      </c>
      <c r="H536" s="1" t="n"/>
      <c r="I536" s="1">
        <f>IFERROR(__xludf.DUMMYFUNCTION("""COMPUTED_VALUE"""),"support@lorugames.com")</f>
        <v/>
      </c>
      <c r="J536" s="1">
        <f>IFERROR(__xludf.DUMMYFUNCTION("""COMPUTED_VALUE"""),"407759329")</f>
        <v/>
      </c>
      <c r="K536" s="1">
        <f>IFERROR(__xludf.DUMMYFUNCTION("""COMPUTED_VALUE"""),"Kerava")</f>
        <v/>
      </c>
      <c r="L536" s="1">
        <f>IFERROR(__xludf.DUMMYFUNCTION("""COMPUTED_VALUE"""),"Finland")</f>
        <v/>
      </c>
      <c r="M536" s="1">
        <f>IFERROR(__xludf.DUMMYFUNCTION("""COMPUTED_VALUE"""),"Finland")</f>
        <v/>
      </c>
      <c r="N536" s="1">
        <f>IFERROR(__xludf.DUMMYFUNCTION("""COMPUTED_VALUE"""),"0 to 10")</f>
        <v/>
      </c>
      <c r="O536" s="1">
        <f>IFERROR(__xludf.DUMMYFUNCTION("""COMPUTED_VALUE"""),"Business to Business, Business to Government, Business to Schools")</f>
        <v/>
      </c>
      <c r="P536" s="1">
        <f>IFERROR(__xludf.DUMMYFUNCTION("""COMPUTED_VALUE"""),"Primary Education, Secondary Education")</f>
        <v/>
      </c>
      <c r="Q536" s="1">
        <f>IFERROR(__xludf.DUMMYFUNCTION("""COMPUTED_VALUE"""),"Student interfacing, Teacher interfacing")</f>
        <v/>
      </c>
      <c r="R536" s="1">
        <f>IFERROR(__xludf.DUMMYFUNCTION("""COMPUTED_VALUE"""),"Loru Games")</f>
        <v/>
      </c>
      <c r="S536" s="15">
        <f>IFERROR(__xludf.DUMMYFUNCTION("""COMPUTED_VALUE"""),"https://twitter.com/LoruGames?t=w52r4VkuFOBgaRazzl0GvQ&amp;s=09")</f>
        <v/>
      </c>
      <c r="T536" s="15">
        <f>IFERROR(__xludf.DUMMYFUNCTION("""COMPUTED_VALUE"""),"https://www.linkedin.com/company/lorugames/")</f>
        <v/>
      </c>
      <c r="U536" s="15">
        <f>IFERROR(__xludf.DUMMYFUNCTION("""COMPUTED_VALUE"""),"Lorugames.com")</f>
        <v/>
      </c>
      <c r="V536" s="1">
        <f>IFERROR(__xludf.DUMMYFUNCTION("""COMPUTED_VALUE"""),"Quiz games on next level. In our Quiz system teachers created questions are transferred into fun games that feel, look, sound and play like real mobile hit games!")</f>
        <v/>
      </c>
      <c r="W536" s="1" t="n"/>
      <c r="X536" s="1" t="n"/>
      <c r="Y536" s="15">
        <f>IFERROR(__xludf.DUMMYFUNCTION("""COMPUTED_VALUE"""),"https://drive.google.com/uc?export=view&amp;id=1UsT7BsuNK_lkLbuD4cqVaYQJwHP_OvE2")</f>
        <v/>
      </c>
      <c r="Z536" s="1">
        <f>IFERROR(__xludf.DUMMYFUNCTION("""COMPUTED_VALUE"""),"Unverified")</f>
        <v/>
      </c>
      <c r="AA536" s="1" t="n"/>
      <c r="AB536" s="1" t="n"/>
      <c r="AC536" s="1" t="n"/>
      <c r="AD536" s="1" t="n"/>
      <c r="AE536" s="1" t="n"/>
    </row>
    <row r="537" ht="42" customHeight="1">
      <c r="A537" s="14">
        <f>IFERROR(__xludf.DUMMYFUNCTION("""COMPUTED_VALUE"""),45300)</f>
        <v/>
      </c>
      <c r="B537" s="1">
        <f>IFERROR(__xludf.DUMMYFUNCTION("""COMPUTED_VALUE"""),"ORG_2034")</f>
        <v/>
      </c>
      <c r="C537" s="1">
        <f>IFERROR(__xludf.DUMMYFUNCTION("""COMPUTED_VALUE"""),TRUE)</f>
        <v/>
      </c>
      <c r="D537" s="1">
        <f>IFERROR(__xludf.DUMMYFUNCTION("""COMPUTED_VALUE"""),"Next Learning Valley")</f>
        <v/>
      </c>
      <c r="E537" s="15">
        <f>IFERROR(__xludf.DUMMYFUNCTION("""COMPUTED_VALUE"""),"https://nextlearningvalley.com/")</f>
        <v/>
      </c>
      <c r="F537" s="1">
        <f>IFERROR(__xludf.DUMMYFUNCTION("""COMPUTED_VALUE"""),"We are an educational implementation partner in the Netherlands and Belgium of innovative learning technology. We support organisations in setting up a complete Learning Suite, which includes StreamLXP, LearningLocker and Waves.")</f>
        <v/>
      </c>
      <c r="G537" s="1">
        <f>IFERROR(__xludf.DUMMYFUNCTION("""COMPUTED_VALUE"""),"Dutch EdTech")</f>
        <v/>
      </c>
      <c r="H537" s="1" t="n"/>
      <c r="I537" s="1">
        <f>IFERROR(__xludf.DUMMYFUNCTION("""COMPUTED_VALUE"""),"jmaassen@nextlearningvalley.com")</f>
        <v/>
      </c>
      <c r="J537" s="1">
        <f>IFERROR(__xludf.DUMMYFUNCTION("""COMPUTED_VALUE"""),"653170737")</f>
        <v/>
      </c>
      <c r="K537" s="1">
        <f>IFERROR(__xludf.DUMMYFUNCTION("""COMPUTED_VALUE"""),"Uden")</f>
        <v/>
      </c>
      <c r="L537" s="1">
        <f>IFERROR(__xludf.DUMMYFUNCTION("""COMPUTED_VALUE"""),"The Netherlands")</f>
        <v/>
      </c>
      <c r="M537" s="1">
        <f>IFERROR(__xludf.DUMMYFUNCTION("""COMPUTED_VALUE"""),"Belgium, Netherlands")</f>
        <v/>
      </c>
      <c r="N537" s="1">
        <f>IFERROR(__xludf.DUMMYFUNCTION("""COMPUTED_VALUE"""),"0 to 10")</f>
        <v/>
      </c>
      <c r="O537" s="1">
        <f>IFERROR(__xludf.DUMMYFUNCTION("""COMPUTED_VALUE"""),"Business to Business, Business to Government, Business to Schools")</f>
        <v/>
      </c>
      <c r="P537" s="1">
        <f>IFERROR(__xludf.DUMMYFUNCTION("""COMPUTED_VALUE"""),"Corporate Training, Lifelong learning/Adult education")</f>
        <v/>
      </c>
      <c r="Q537" s="1">
        <f>IFERROR(__xludf.DUMMYFUNCTION("""COMPUTED_VALUE"""),"Student interfacing, System/Administrative")</f>
        <v/>
      </c>
      <c r="R537" s="15">
        <f>IFERROR(__xludf.DUMMYFUNCTION("""COMPUTED_VALUE"""),"https://www.instagram.com/nextlearningvalley/")</f>
        <v/>
      </c>
      <c r="S537" s="15">
        <f>IFERROR(__xludf.DUMMYFUNCTION("""COMPUTED_VALUE"""),"https://twitter.com/NLV_LXP")</f>
        <v/>
      </c>
      <c r="T537" s="15">
        <f>IFERROR(__xludf.DUMMYFUNCTION("""COMPUTED_VALUE"""),"https://www.linkedin.com/company/nextlearningvalley/?viewAsMember=true")</f>
        <v/>
      </c>
      <c r="U537" s="1">
        <f>IFERROR(__xludf.DUMMYFUNCTION("""COMPUTED_VALUE"""),"StreamLXP")</f>
        <v/>
      </c>
      <c r="V537" s="1">
        <f>IFERROR(__xludf.DUMMYFUNCTION("""COMPUTED_VALUE"""),"StreamLXP is our most comprehensive learning experience platform, used by global companies to develop exceptional employees with remarkable efficiency.")</f>
        <v/>
      </c>
      <c r="W537" s="1">
        <f>IFERROR(__xludf.DUMMYFUNCTION("""COMPUTED_VALUE"""),"Learning Locker LRS")</f>
        <v/>
      </c>
      <c r="X537" s="1">
        <f>IFERROR(__xludf.DUMMYFUNCTION("""COMPUTED_VALUE"""),"Rightsized for your needs and supported by expert services, our Learning Record Store offers the infrastructure for implementing enterprise data architecture at scale.")</f>
        <v/>
      </c>
      <c r="Y537" s="15">
        <f>IFERROR(__xludf.DUMMYFUNCTION("""COMPUTED_VALUE"""),"https://drive.google.com/uc?export=view&amp;id=1GJHQwc08-diCyzMa7B_7CMFNGc1_IOiE")</f>
        <v/>
      </c>
      <c r="Z537" s="1">
        <f>IFERROR(__xludf.DUMMYFUNCTION("""COMPUTED_VALUE"""),"Unverified")</f>
        <v/>
      </c>
      <c r="AA537" s="1" t="n"/>
      <c r="AB537" s="1" t="n"/>
      <c r="AC537" s="1" t="n"/>
      <c r="AD537" s="1" t="n"/>
      <c r="AE537" s="1" t="n"/>
    </row>
    <row r="538" ht="42" customHeight="1">
      <c r="A538" s="14">
        <f>IFERROR(__xludf.DUMMYFUNCTION("""COMPUTED_VALUE"""),45300)</f>
        <v/>
      </c>
      <c r="B538" s="1">
        <f>IFERROR(__xludf.DUMMYFUNCTION("""COMPUTED_VALUE"""),"ORG_2178")</f>
        <v/>
      </c>
      <c r="C538" s="1">
        <f>IFERROR(__xludf.DUMMYFUNCTION("""COMPUTED_VALUE"""),TRUE)</f>
        <v/>
      </c>
      <c r="D538" s="1">
        <f>IFERROR(__xludf.DUMMYFUNCTION("""COMPUTED_VALUE"""),"Researchista")</f>
        <v/>
      </c>
      <c r="E538" s="15">
        <f>IFERROR(__xludf.DUMMYFUNCTION("""COMPUTED_VALUE"""),"www.mobility-era.com")</f>
        <v/>
      </c>
      <c r="F538" s="1">
        <f>IFERROR(__xludf.DUMMYFUNCTION("""COMPUTED_VALUE"""),"Researchista is a web platform that supports the use of research powered tools to improve the quality of life in an era of fake news. We support researchers with integration on the labour market by inspiring them to pursue a parallel career in private sec"&amp;"tor.
Mobility Era Game is an educational game inspired from a PhD thesis that equips for adult life and is the 1st proof that a valuable content can be transformed from highly technical and complex research studies into something light and easy to use, su"&amp;"ch as a game.")</f>
        <v/>
      </c>
      <c r="G538" s="1">
        <f>IFERROR(__xludf.DUMMYFUNCTION("""COMPUTED_VALUE"""),"Dutch EdTech")</f>
        <v/>
      </c>
      <c r="H538" s="1" t="n"/>
      <c r="I538" s="1">
        <f>IFERROR(__xludf.DUMMYFUNCTION("""COMPUTED_VALUE"""),"hello@mobility-era.com")</f>
        <v/>
      </c>
      <c r="J538" s="1">
        <f>IFERROR(__xludf.DUMMYFUNCTION("""COMPUTED_VALUE"""),"+31648198246")</f>
        <v/>
      </c>
      <c r="K538" s="1">
        <f>IFERROR(__xludf.DUMMYFUNCTION("""COMPUTED_VALUE"""),"Amsterdam")</f>
        <v/>
      </c>
      <c r="L538" s="1">
        <f>IFERROR(__xludf.DUMMYFUNCTION("""COMPUTED_VALUE"""),"The Netherlands")</f>
        <v/>
      </c>
      <c r="M538" s="1">
        <f>IFERROR(__xludf.DUMMYFUNCTION("""COMPUTED_VALUE"""),"Albania, Andorra, Armenia, Austria, Belgium, Bulgaria, Croatia, Cyprus, Czechia, Denmark, Estonia, Finland, France, Germany, Greece, Hungary, Ireland, Italy, Kosovo, Latvia, Liechtenstein, Lithuania, Luxembourg, Malta, Moldova, Monaco, Netherlands, Norway"&amp;", Poland, Portugal, Romania, San Marino, Serbia, Slovakia, Slovenia, Spain, Sweden, Switzerland, Turkey, United Kingdom")</f>
        <v/>
      </c>
      <c r="N538" s="1">
        <f>IFERROR(__xludf.DUMMYFUNCTION("""COMPUTED_VALUE"""),"0 to 10")</f>
        <v/>
      </c>
      <c r="O538" s="1">
        <f>IFERROR(__xludf.DUMMYFUNCTION("""COMPUTED_VALUE"""),"Business to Consumer, Business to Government, Business to Schools")</f>
        <v/>
      </c>
      <c r="P538" s="1">
        <f>IFERROR(__xludf.DUMMYFUNCTION("""COMPUTED_VALUE"""),"Secondary Education, Higher Education, Corporate Training")</f>
        <v/>
      </c>
      <c r="Q538" s="1">
        <f>IFERROR(__xludf.DUMMYFUNCTION("""COMPUTED_VALUE"""),"System/Administrative, Student interfacing, Teacher interfacing")</f>
        <v/>
      </c>
      <c r="R538" s="1">
        <f>IFERROR(__xludf.DUMMYFUNCTION("""COMPUTED_VALUE"""),"_mobilityeragame_")</f>
        <v/>
      </c>
      <c r="S538" s="1">
        <f>IFERROR(__xludf.DUMMYFUNCTION("""COMPUTED_VALUE"""),"mobilityeragame")</f>
        <v/>
      </c>
      <c r="T538" s="15">
        <f>IFERROR(__xludf.DUMMYFUNCTION("""COMPUTED_VALUE"""),"https://www.linkedin.com/groups/13758292/")</f>
        <v/>
      </c>
      <c r="U538" s="1">
        <f>IFERROR(__xludf.DUMMYFUNCTION("""COMPUTED_VALUE"""),"Mobility Era Game BOARD GAME")</f>
        <v/>
      </c>
      <c r="V538" s="1">
        <f>IFERROR(__xludf.DUMMYFUNCTION("""COMPUTED_VALUE"""),"Financial literacy becoming increasingly important. Mobility Era Game is #1 board game on fiscal education in Europe, endorsed by the European Commission and Forbes Council.
The aim of the game is to accumulate Happy Points (HaPs). “Money can’t buy happi"&amp;"ness”, but you can certainly invest in your health (HePs)! 
The game is based on most recent statistics and is a fun type of trivia game about living conditions in 42 European countries, suitable for adults and children alike. 
The countries selected be"&amp;"low are selected below. By doing that we hope to incentivize countries that are involved in the game to get to know more about this unique educational game and the possibilities it can offer in schools and universities. Have fun!
www.mobility-era.com")</f>
        <v/>
      </c>
      <c r="W538" s="1">
        <f>IFERROR(__xludf.DUMMYFUNCTION("""COMPUTED_VALUE"""),"Mobility Era Game APP")</f>
        <v/>
      </c>
      <c r="X538" s="1">
        <f>IFERROR(__xludf.DUMMYFUNCTION("""COMPUTED_VALUE"""),"Mobility Era Game app consists of a journey on a board that starts 11 and ends at 99 years old. As the journey advances, the player advances in life and gets to work in different countries, receives income and pays taxes accordingly. 
The game is now ava"&amp;"ilable for download in Apple Store and Google Play. 
This institutional demo illustrates to schools and interested organizations in promoting fiscal awareness how this can be done effortless. 
Give it a try!
www.mobility-era.com")</f>
        <v/>
      </c>
      <c r="Y538" s="15">
        <f>IFERROR(__xludf.DUMMYFUNCTION("""COMPUTED_VALUE"""),"https://drive.google.com/uc?export=view&amp;id=1Niqqpgvch3XNceic8tK78qMpmbgFYfcb")</f>
        <v/>
      </c>
      <c r="Z538" s="1">
        <f>IFERROR(__xludf.DUMMYFUNCTION("""COMPUTED_VALUE"""),"Unverified")</f>
        <v/>
      </c>
      <c r="AA538" s="1" t="n"/>
      <c r="AB538" s="1" t="n"/>
      <c r="AC538" s="1" t="n"/>
      <c r="AD538" s="1" t="n"/>
      <c r="AE538" s="1" t="n"/>
    </row>
    <row r="539" ht="42" customHeight="1">
      <c r="A539" s="14">
        <f>IFERROR(__xludf.DUMMYFUNCTION("""COMPUTED_VALUE"""),45300)</f>
        <v/>
      </c>
      <c r="B539" s="1">
        <f>IFERROR(__xludf.DUMMYFUNCTION("""COMPUTED_VALUE"""),"ORG_2212")</f>
        <v/>
      </c>
      <c r="C539" s="1">
        <f>IFERROR(__xludf.DUMMYFUNCTION("""COMPUTED_VALUE"""),TRUE)</f>
        <v/>
      </c>
      <c r="D539" s="1">
        <f>IFERROR(__xludf.DUMMYFUNCTION("""COMPUTED_VALUE"""),"SchoolSoft")</f>
        <v/>
      </c>
      <c r="E539" s="15">
        <f>IFERROR(__xludf.DUMMYFUNCTION("""COMPUTED_VALUE"""),"www.schoolsoft.se")</f>
        <v/>
      </c>
      <c r="F539" s="1">
        <f>IFERROR(__xludf.DUMMYFUNCTION("""COMPUTED_VALUE"""),"We are an Edtech company that provides three products; LMS, SIS and a scheduling system")</f>
        <v/>
      </c>
      <c r="G539" s="1">
        <f>IFERROR(__xludf.DUMMYFUNCTION("""COMPUTED_VALUE"""),"Swedish EdTech Industry")</f>
        <v/>
      </c>
      <c r="H539" s="1" t="n"/>
      <c r="I539" s="1">
        <f>IFERROR(__xludf.DUMMYFUNCTION("""COMPUTED_VALUE"""),"heru@schoolsoft.se")</f>
        <v/>
      </c>
      <c r="J539" s="1">
        <f>IFERROR(__xludf.DUMMYFUNCTION("""COMPUTED_VALUE"""),"+46707507025")</f>
        <v/>
      </c>
      <c r="K539" s="1">
        <f>IFERROR(__xludf.DUMMYFUNCTION("""COMPUTED_VALUE"""),"Stockholm")</f>
        <v/>
      </c>
      <c r="L539" s="1">
        <f>IFERROR(__xludf.DUMMYFUNCTION("""COMPUTED_VALUE"""),"Sweden")</f>
        <v/>
      </c>
      <c r="M539" s="1">
        <f>IFERROR(__xludf.DUMMYFUNCTION("""COMPUTED_VALUE"""),"Sweden")</f>
        <v/>
      </c>
      <c r="N539" s="1">
        <f>IFERROR(__xludf.DUMMYFUNCTION("""COMPUTED_VALUE"""),"11 to 50")</f>
        <v/>
      </c>
      <c r="O539" s="1">
        <f>IFERROR(__xludf.DUMMYFUNCTION("""COMPUTED_VALUE"""),"Business to Consumer, Business to Schools")</f>
        <v/>
      </c>
      <c r="P539" s="1">
        <f>IFERROR(__xludf.DUMMYFUNCTION("""COMPUTED_VALUE"""),"Early childhood development (0-5 years), Primary Education, Secondary Education")</f>
        <v/>
      </c>
      <c r="Q539" s="1">
        <f>IFERROR(__xludf.DUMMYFUNCTION("""COMPUTED_VALUE"""),"System/Administrative, Student interfacing, Teacher interfacing")</f>
        <v/>
      </c>
      <c r="R539" s="1" t="n"/>
      <c r="S539" s="1" t="n"/>
      <c r="T539" s="1">
        <f>IFERROR(__xludf.DUMMYFUNCTION("""COMPUTED_VALUE"""),"schoolsoft")</f>
        <v/>
      </c>
      <c r="U539" s="1">
        <f>IFERROR(__xludf.DUMMYFUNCTION("""COMPUTED_VALUE"""),"SchoolSoft LMS")</f>
        <v/>
      </c>
      <c r="V539" s="1">
        <f>IFERROR(__xludf.DUMMYFUNCTION("""COMPUTED_VALUE"""),"SchoolSoft LMS is a sofware where teachers from pre-school to high school, can plan, evaluate and grade their students' work. It is also used to communicate with parents and pupils regarding all aspects of school life. The software can be integrated with "&amp;"several other platforms such as Google Classroom and Microsoft Teams in order to create a seamless user experience.")</f>
        <v/>
      </c>
      <c r="W539" s="1">
        <f>IFERROR(__xludf.DUMMYFUNCTION("""COMPUTED_VALUE"""),"SchoolSoft SIS")</f>
        <v/>
      </c>
      <c r="X539" s="1">
        <f>IFERROR(__xludf.DUMMYFUNCTION("""COMPUTED_VALUE"""),"SchoolSoft SIS is a software where a school or a municipality registers all their students. It is used for handling school placement, grading, communication with different authorities and data for billing.")</f>
        <v/>
      </c>
      <c r="Y539" s="15">
        <f>IFERROR(__xludf.DUMMYFUNCTION("""COMPUTED_VALUE"""),"https://drive.google.com/uc?export=view&amp;id=1rL1Ls6V_WKVsDoDs9Vcy2xIkeokNhDPU")</f>
        <v/>
      </c>
      <c r="Z539" s="1">
        <f>IFERROR(__xludf.DUMMYFUNCTION("""COMPUTED_VALUE"""),"Unverified")</f>
        <v/>
      </c>
      <c r="AA539" s="1" t="n"/>
      <c r="AB539" s="1" t="n"/>
      <c r="AC539" s="1" t="n"/>
      <c r="AD539" s="1" t="n"/>
      <c r="AE539" s="1" t="n"/>
    </row>
    <row r="540" ht="42" customHeight="1">
      <c r="A540" s="14">
        <f>IFERROR(__xludf.DUMMYFUNCTION("""COMPUTED_VALUE"""),45300)</f>
        <v/>
      </c>
      <c r="B540" s="1">
        <f>IFERROR(__xludf.DUMMYFUNCTION("""COMPUTED_VALUE"""),"ORG_2463")</f>
        <v/>
      </c>
      <c r="C540" s="1">
        <f>IFERROR(__xludf.DUMMYFUNCTION("""COMPUTED_VALUE"""),TRUE)</f>
        <v/>
      </c>
      <c r="D540" s="1">
        <f>IFERROR(__xludf.DUMMYFUNCTION("""COMPUTED_VALUE"""),"Unikum")</f>
        <v/>
      </c>
      <c r="E540" s="15">
        <f>IFERROR(__xludf.DUMMYFUNCTION("""COMPUTED_VALUE"""),"www.unikum.net")</f>
        <v/>
      </c>
      <c r="F540" s="1">
        <f>IFERROR(__xludf.DUMMYFUNCTION("""COMPUTED_VALUE"""),"Unikum is the largest school portal in Sweden, with over 1 million paid user accounts and over 5000 school and preschool customers, and growing.
- Used by students, parents and teachers in preschool and K-12
- For collaboration around learning objectives"&amp;", plans and quality. 
- Built on local curricula - and supporting locally legislated school processes.
- Built to complements Google Workspace and Microsoft Teams")</f>
        <v/>
      </c>
      <c r="G540" s="1">
        <f>IFERROR(__xludf.DUMMYFUNCTION("""COMPUTED_VALUE"""),"Swedish EdTech Industry")</f>
        <v/>
      </c>
      <c r="H540" s="1">
        <f>IFERROR(__xludf.DUMMYFUNCTION("""COMPUTED_VALUE"""),"Swedish, English, German")</f>
        <v/>
      </c>
      <c r="I540" s="1">
        <f>IFERROR(__xludf.DUMMYFUNCTION("""COMPUTED_VALUE"""),"jonas.ryberg@unikum.net")</f>
        <v/>
      </c>
      <c r="J540" s="1">
        <f>IFERROR(__xludf.DUMMYFUNCTION("""COMPUTED_VALUE"""),"+4687201600")</f>
        <v/>
      </c>
      <c r="K540" s="1">
        <f>IFERROR(__xludf.DUMMYFUNCTION("""COMPUTED_VALUE"""),"STOCKHOLM")</f>
        <v/>
      </c>
      <c r="L540" s="1">
        <f>IFERROR(__xludf.DUMMYFUNCTION("""COMPUTED_VALUE"""),"Sweden")</f>
        <v/>
      </c>
      <c r="M540" s="1">
        <f>IFERROR(__xludf.DUMMYFUNCTION("""COMPUTED_VALUE"""),"Germany, Sweden")</f>
        <v/>
      </c>
      <c r="N540" s="1">
        <f>IFERROR(__xludf.DUMMYFUNCTION("""COMPUTED_VALUE"""),"11 to 50")</f>
        <v/>
      </c>
      <c r="O540" s="1">
        <f>IFERROR(__xludf.DUMMYFUNCTION("""COMPUTED_VALUE"""),"Business to Government")</f>
        <v/>
      </c>
      <c r="P540" s="1">
        <f>IFERROR(__xludf.DUMMYFUNCTION("""COMPUTED_VALUE"""),"Early childhood development (0-5 years), Primary Education, Secondary Education")</f>
        <v/>
      </c>
      <c r="Q540" s="1">
        <f>IFERROR(__xludf.DUMMYFUNCTION("""COMPUTED_VALUE"""),"System/Administrative, Student interfacing, Teacher interfacing")</f>
        <v/>
      </c>
      <c r="R540" s="15">
        <f>IFERROR(__xludf.DUMMYFUNCTION("""COMPUTED_VALUE"""),"https://www.instagram.com/unikum_net/")</f>
        <v/>
      </c>
      <c r="S540" s="15">
        <f>IFERROR(__xludf.DUMMYFUNCTION("""COMPUTED_VALUE"""),"https://twitter.com/unikum_net")</f>
        <v/>
      </c>
      <c r="T540" s="15">
        <f>IFERROR(__xludf.DUMMYFUNCTION("""COMPUTED_VALUE"""),"https://www.linkedin.com/company/unikum-%E2%80%93-unikt-l%C3%A4rande-f%C3%B6r-unika-barn/")</f>
        <v/>
      </c>
      <c r="U540" s="1">
        <f>IFERROR(__xludf.DUMMYFUNCTION("""COMPUTED_VALUE"""),"Unikum Preschool")</f>
        <v/>
      </c>
      <c r="V540" s="1">
        <f>IFERROR(__xludf.DUMMYFUNCTION("""COMPUTED_VALUE"""),"Unikum Preschool is Swedens favourite preschool learning tool, with 4000 preschools already signed up. Unikum Preschools supports communication and collaboration for staff and parents. 
 - Dialogue between preschool and parents
 - Easy to use documentatio"&amp;"n of the learning process
 - Great tools for collaboration with follow-up, reflection and analysis")</f>
        <v/>
      </c>
      <c r="W540" s="1">
        <f>IFERROR(__xludf.DUMMYFUNCTION("""COMPUTED_VALUE"""),"Unikum Learn Portal")</f>
        <v/>
      </c>
      <c r="X540" s="1">
        <f>IFERROR(__xludf.DUMMYFUNCTION("""COMPUTED_VALUE"""),"Unikum Learn Portal is a leading Nordic learning portal, with over 1 million paid users and selected by over 90 cities.")</f>
        <v/>
      </c>
      <c r="Y540" s="15">
        <f>IFERROR(__xludf.DUMMYFUNCTION("""COMPUTED_VALUE"""),"https://drive.google.com/uc?export=view&amp;id=1ijaM9pYTlWQEKOkjFkGReJj_Ck09yKq1")</f>
        <v/>
      </c>
      <c r="Z540" s="1">
        <f>IFERROR(__xludf.DUMMYFUNCTION("""COMPUTED_VALUE"""),"Unverified")</f>
        <v/>
      </c>
      <c r="AA540" s="1" t="n"/>
      <c r="AB540" s="1" t="n"/>
      <c r="AC540" s="1" t="n"/>
      <c r="AD540" s="1" t="n"/>
      <c r="AE540" s="1" t="n"/>
    </row>
    <row r="541" ht="42" customHeight="1">
      <c r="A541" s="14">
        <f>IFERROR(__xludf.DUMMYFUNCTION("""COMPUTED_VALUE"""),45300)</f>
        <v/>
      </c>
      <c r="B541" s="1">
        <f>IFERROR(__xludf.DUMMYFUNCTION("""COMPUTED_VALUE"""),"ORG_2509")</f>
        <v/>
      </c>
      <c r="C541" s="1">
        <f>IFERROR(__xludf.DUMMYFUNCTION("""COMPUTED_VALUE"""),TRUE)</f>
        <v/>
      </c>
      <c r="D541" s="1">
        <f>IFERROR(__xludf.DUMMYFUNCTION("""COMPUTED_VALUE"""),"Vorsen - Smart Education")</f>
        <v/>
      </c>
      <c r="E541" s="15">
        <f>IFERROR(__xludf.DUMMYFUNCTION("""COMPUTED_VALUE"""),"www.vorsen.nl")</f>
        <v/>
      </c>
      <c r="F541" s="1">
        <f>IFERROR(__xludf.DUMMYFUNCTION("""COMPUTED_VALUE"""),"Vorsen believes that change is as unique to the education sector as the dedication of the people working in it. And you should embrace what’s part of you. When it comes to IT, this can be challenging.
An educational institution just simply isn’t a softwa"&amp;"re expert. We are, and that’s exactly where we can help. Working closely with the educational institution, we structure their IT in such a way that they’re equipped for the future, today. And that ultimately results in better education.")</f>
        <v/>
      </c>
      <c r="G541" s="1">
        <f>IFERROR(__xludf.DUMMYFUNCTION("""COMPUTED_VALUE"""),"Dutch EdTech")</f>
        <v/>
      </c>
      <c r="H541" s="1" t="n"/>
      <c r="I541" s="1">
        <f>IFERROR(__xludf.DUMMYFUNCTION("""COMPUTED_VALUE"""),"info@vorsen.nl")</f>
        <v/>
      </c>
      <c r="J541" s="1">
        <f>IFERROR(__xludf.DUMMYFUNCTION("""COMPUTED_VALUE"""),"+31 (0)88 4242 011")</f>
        <v/>
      </c>
      <c r="K541" s="1">
        <f>IFERROR(__xludf.DUMMYFUNCTION("""COMPUTED_VALUE"""),"ZOETERMEER")</f>
        <v/>
      </c>
      <c r="L541" s="1">
        <f>IFERROR(__xludf.DUMMYFUNCTION("""COMPUTED_VALUE"""),"The Netherlands")</f>
        <v/>
      </c>
      <c r="M541" s="1">
        <f>IFERROR(__xludf.DUMMYFUNCTION("""COMPUTED_VALUE"""),"Belgium, Denmark, France, Germany, Iceland, Luxembourg, Netherlands, Norway, Sweden, United Kingdom")</f>
        <v/>
      </c>
      <c r="N541" s="1">
        <f>IFERROR(__xludf.DUMMYFUNCTION("""COMPUTED_VALUE"""),"0 to 10")</f>
        <v/>
      </c>
      <c r="O541" s="1">
        <f>IFERROR(__xludf.DUMMYFUNCTION("""COMPUTED_VALUE"""),"Business to Government, Business to Schools")</f>
        <v/>
      </c>
      <c r="P541" s="1">
        <f>IFERROR(__xludf.DUMMYFUNCTION("""COMPUTED_VALUE"""),"Higher Education, Lifelong learning/Adult education")</f>
        <v/>
      </c>
      <c r="Q541" s="1">
        <f>IFERROR(__xludf.DUMMYFUNCTION("""COMPUTED_VALUE"""),"Student interfacing, Teacher interfacing, System/Administrative")</f>
        <v/>
      </c>
      <c r="R541" s="1" t="n"/>
      <c r="S541" s="1" t="n"/>
      <c r="T541" s="15">
        <f>IFERROR(__xludf.DUMMYFUNCTION("""COMPUTED_VALUE"""),"https://www.linkedin.com/company/vorsen")</f>
        <v/>
      </c>
      <c r="U541" s="1">
        <f>IFERROR(__xludf.DUMMYFUNCTION("""COMPUTED_VALUE"""),"AscMe - Curriculum Management")</f>
        <v/>
      </c>
      <c r="V541" s="1">
        <f>IFERROR(__xludf.DUMMYFUNCTION("""COMPUTED_VALUE"""),"Building educational programs can at times be complex. There are many stakeholders, the curriculum often changes and then there are the additional topics such as cost accounting and deployment. Our AscMe-application enables you to quickly and easily estab"&amp;"lish or adapt the curriculum. There is no need to start from scratch every year, but you can (where possible) simply carry over old modules, create new ones and this way easily set everything up.")</f>
        <v/>
      </c>
      <c r="W541" s="1">
        <f>IFERROR(__xludf.DUMMYFUNCTION("""COMPUTED_VALUE"""),"DiCE - Digital Evaluations")</f>
        <v/>
      </c>
      <c r="X541" s="1">
        <f>IFERROR(__xludf.DUMMYFUNCTION("""COMPUTED_VALUE"""),"The main requirement for improving any organization is collecting feedback in a good way. Also for you as an educational institution. It is essential to have insight into what works, what should be improved and what is going on in the minds of employees a"&amp;"nd students. Exactly what we support you in with DiCE: a smart digital tool that helps to retrieve course evaluations and provides insight into processes")</f>
        <v/>
      </c>
      <c r="Y541" s="15">
        <f>IFERROR(__xludf.DUMMYFUNCTION("""COMPUTED_VALUE"""),"https://drive.google.com/uc?export=view&amp;id=1edyYlGP2wRu5pDxNTi14g4za5UVWVS2y")</f>
        <v/>
      </c>
      <c r="Z541" s="1">
        <f>IFERROR(__xludf.DUMMYFUNCTION("""COMPUTED_VALUE"""),"Unverified")</f>
        <v/>
      </c>
      <c r="AA541" s="1" t="n"/>
      <c r="AB541" s="1" t="n"/>
      <c r="AC541" s="1" t="n"/>
      <c r="AD541" s="1" t="n"/>
      <c r="AE541" s="1" t="n"/>
    </row>
    <row r="542" ht="42" customHeight="1">
      <c r="A542" s="14">
        <f>IFERROR(__xludf.DUMMYFUNCTION("""COMPUTED_VALUE"""),45300)</f>
        <v/>
      </c>
      <c r="B542" s="1">
        <f>IFERROR(__xludf.DUMMYFUNCTION("""COMPUTED_VALUE"""),"ORG_2272")</f>
        <v/>
      </c>
      <c r="C542" s="1">
        <f>IFERROR(__xludf.DUMMYFUNCTION("""COMPUTED_VALUE"""),TRUE)</f>
        <v/>
      </c>
      <c r="D542" s="1">
        <f>IFERROR(__xludf.DUMMYFUNCTION("""COMPUTED_VALUE"""),"Skriware")</f>
        <v/>
      </c>
      <c r="E542" s="15">
        <f>IFERROR(__xludf.DUMMYFUNCTION("""COMPUTED_VALUE"""),"https://skriware.com/")</f>
        <v/>
      </c>
      <c r="F542" s="1">
        <f>IFERROR(__xludf.DUMMYFUNCTION("""COMPUTED_VALUE"""),"Skriware is a producer of SkriLab - complex, STEAM educational laboratory based on 3D print, robotics and programming. SkriLab is a perfect mix of software and hardware that helps children develop skills relevant on the future job market, taking care of t"&amp;"eachers' competences at the same time.")</f>
        <v/>
      </c>
      <c r="G542" s="1">
        <f>IFERROR(__xludf.DUMMYFUNCTION("""COMPUTED_VALUE"""),"EdTech Poland")</f>
        <v/>
      </c>
      <c r="H542" s="1" t="n"/>
      <c r="I542" s="1">
        <f>IFERROR(__xludf.DUMMYFUNCTION("""COMPUTED_VALUE"""),"edu@skriware.com")</f>
        <v/>
      </c>
      <c r="J542" s="1" t="n"/>
      <c r="K542" s="1">
        <f>IFERROR(__xludf.DUMMYFUNCTION("""COMPUTED_VALUE"""),"Warszawa")</f>
        <v/>
      </c>
      <c r="L542" s="1">
        <f>IFERROR(__xludf.DUMMYFUNCTION("""COMPUTED_VALUE"""),"Poland")</f>
        <v/>
      </c>
      <c r="M542" s="1">
        <f>IFERROR(__xludf.DUMMYFUNCTION("""COMPUTED_VALUE"""),"Belgium, Estonia, Latvia, Lithuania, Poland, Slovakia")</f>
        <v/>
      </c>
      <c r="N542" s="1">
        <f>IFERROR(__xludf.DUMMYFUNCTION("""COMPUTED_VALUE"""),"11 to 50")</f>
        <v/>
      </c>
      <c r="O542" s="1">
        <f>IFERROR(__xludf.DUMMYFUNCTION("""COMPUTED_VALUE"""),"Business to Government, Business to Schools")</f>
        <v/>
      </c>
      <c r="P542" s="1">
        <f>IFERROR(__xludf.DUMMYFUNCTION("""COMPUTED_VALUE"""),"Primary Education")</f>
        <v/>
      </c>
      <c r="Q542" s="1">
        <f>IFERROR(__xludf.DUMMYFUNCTION("""COMPUTED_VALUE"""),"Teacher interfacing")</f>
        <v/>
      </c>
      <c r="R542" s="15">
        <f>IFERROR(__xludf.DUMMYFUNCTION("""COMPUTED_VALUE"""),"https://www.instagram.com/skriware/")</f>
        <v/>
      </c>
      <c r="S542" s="15">
        <f>IFERROR(__xludf.DUMMYFUNCTION("""COMPUTED_VALUE"""),"https://twitter.com/Skriware")</f>
        <v/>
      </c>
      <c r="T542" s="15">
        <f>IFERROR(__xludf.DUMMYFUNCTION("""COMPUTED_VALUE"""),"https://www.linkedin.com/company/skriware/")</f>
        <v/>
      </c>
      <c r="U542" s="1">
        <f>IFERROR(__xludf.DUMMYFUNCTION("""COMPUTED_VALUE"""),"SkriLab")</f>
        <v/>
      </c>
      <c r="V542" s="1">
        <f>IFERROR(__xludf.DUMMYFUNCTION("""COMPUTED_VALUE"""),"SkriLab is a complex educational solution built of 3D printer, educational robots, educational construction sets, platform for teachers, 3D modelling software and 3D models library. Thanks to Skriware Academy - a platform with ready-made lesson scenarios,"&amp;" e-courses and additional materials dedicated to teachers, Skriware enables them to use modern technologies on various school subjects i.e. geography, mathematics, physics, computer science, biology, chemistry, early childhood education or science. All co"&amp;"mponents are integrated in a way which makes them perfectly user-friendly both for teachers and students.")</f>
        <v/>
      </c>
      <c r="W542" s="1" t="n"/>
      <c r="X542" s="1" t="n"/>
      <c r="Y542" s="1" t="n"/>
      <c r="Z542" s="1">
        <f>IFERROR(__xludf.DUMMYFUNCTION("""COMPUTED_VALUE"""),"Unverified")</f>
        <v/>
      </c>
      <c r="AA542" s="1" t="n"/>
      <c r="AB542" s="1" t="n"/>
      <c r="AC542" s="1" t="n"/>
      <c r="AD542" s="1" t="n"/>
      <c r="AE542" s="1" t="n"/>
    </row>
    <row r="543" ht="42" customHeight="1">
      <c r="A543" s="14">
        <f>IFERROR(__xludf.DUMMYFUNCTION("""COMPUTED_VALUE"""),45295)</f>
        <v/>
      </c>
      <c r="B543" s="1">
        <f>IFERROR(__xludf.DUMMYFUNCTION("""COMPUTED_VALUE"""),"ORG_2531")</f>
        <v/>
      </c>
      <c r="C543" s="1">
        <f>IFERROR(__xludf.DUMMYFUNCTION("""COMPUTED_VALUE"""),TRUE)</f>
        <v/>
      </c>
      <c r="D543" s="1">
        <f>IFERROR(__xludf.DUMMYFUNCTION("""COMPUTED_VALUE"""),"WIDE SERVICES")</f>
        <v/>
      </c>
      <c r="E543" s="15">
        <f>IFERROR(__xludf.DUMMYFUNCTION("""COMPUTED_VALUE"""),"https://wideservices.gr/en/")</f>
        <v/>
      </c>
      <c r="F543" s="1">
        <f>IFERROR(__xludf.DUMMYFUNCTION("""COMPUTED_VALUE"""),"WIDE Services is an Athens-based private company of 25+ employees, established in 2013, with a solid track record of integrated professional e-learning solutions worldwide and numerous participations in European projects. Our company is Premium Moodle Cer"&amp;"tified Services Regional Provider for Greece, Cyprus and Albania, twice awarded as Moodle Educator Partner of the Year, is 6 times ISO-Certified, with total coverage for GDPR and in-house DPO.
WIDE Services is a one-stop-shop edutech Partner, undertaking:"&amp;"
- the production of Moodle LMS (hosting, customisation, theme design, administration, support, consulting, integrations);
- the development of innovative training content (SCORM, animations, AR/VR/3D apps, comics, games) &amp; provision of licences for top a"&amp;"uthoring tools;
- the integration of gamification aspects and mobile learning solutions;
- STEM editors, Plagiarism &amp; proctoring tools for remote exams systems;
- the production of custom learning analytics and reports,
- custom web applications, websites"&amp;", graphics etc.")</f>
        <v/>
      </c>
      <c r="G543" s="1">
        <f>IFERROR(__xludf.DUMMYFUNCTION("""COMPUTED_VALUE"""),"I'm not part of any EdTech association")</f>
        <v/>
      </c>
      <c r="H543" s="1">
        <f>IFERROR(__xludf.DUMMYFUNCTION("""COMPUTED_VALUE"""),"English, Greek")</f>
        <v/>
      </c>
      <c r="I543" s="1">
        <f>IFERROR(__xludf.DUMMYFUNCTION("""COMPUTED_VALUE"""),"tenders@wideservices.gr")</f>
        <v/>
      </c>
      <c r="J543" s="1">
        <f>IFERROR(__xludf.DUMMYFUNCTION("""COMPUTED_VALUE"""),"+302104223330")</f>
        <v/>
      </c>
      <c r="K543" s="1">
        <f>IFERROR(__xludf.DUMMYFUNCTION("""COMPUTED_VALUE"""),"KALLITHEA")</f>
        <v/>
      </c>
      <c r="L543" s="1">
        <f>IFERROR(__xludf.DUMMYFUNCTION("""COMPUTED_VALUE"""),"Greece")</f>
        <v/>
      </c>
      <c r="M543" s="1">
        <f>IFERROR(__xludf.DUMMYFUNCTION("""COMPUTED_VALUE"""),"Albania, Cyprus, Greece")</f>
        <v/>
      </c>
      <c r="N543" s="1">
        <f>IFERROR(__xludf.DUMMYFUNCTION("""COMPUTED_VALUE"""),"11 to 50")</f>
        <v/>
      </c>
      <c r="O543" s="1">
        <f>IFERROR(__xludf.DUMMYFUNCTION("""COMPUTED_VALUE"""),"Business to Business, Business to Schools, Business to Consumer, Business to Government")</f>
        <v/>
      </c>
      <c r="P543" s="1">
        <f>IFERROR(__xludf.DUMMYFUNCTION("""COMPUTED_VALUE"""),"Corporate Training, Lifelong learning/Adult education, Vocational Education and Training (VET)")</f>
        <v/>
      </c>
      <c r="Q543" s="1">
        <f>IFERROR(__xludf.DUMMYFUNCTION("""COMPUTED_VALUE"""),"Teacher interfacing, System/Administrative, Student interfacing")</f>
        <v/>
      </c>
      <c r="R543" s="1" t="n"/>
      <c r="S543" s="1" t="n"/>
      <c r="T543" s="15">
        <f>IFERROR(__xludf.DUMMYFUNCTION("""COMPUTED_VALUE"""),"https://www.linkedin.com/company/wide-services-p-c/")</f>
        <v/>
      </c>
      <c r="U543" s="1">
        <f>IFERROR(__xludf.DUMMYFUNCTION("""COMPUTED_VALUE"""),"Production of Moodle LMS")</f>
        <v/>
      </c>
      <c r="V543" s="1">
        <f>IFERROR(__xludf.DUMMYFUNCTION("""COMPUTED_VALUE"""),"Hosting, customisation, theme design, administration, support, consulting, integrations.
Integration of gamification aspects and mobile learning solutions.
Provision of web conference tools for live webinars.
Production of custom learning analytics and re"&amp;"ports.")</f>
        <v/>
      </c>
      <c r="W543" s="1">
        <f>IFERROR(__xludf.DUMMYFUNCTION("""COMPUTED_VALUE"""),"The development of innovative training content")</f>
        <v/>
      </c>
      <c r="X543" s="1">
        <f>IFERROR(__xludf.DUMMYFUNCTION("""COMPUTED_VALUE"""),"Such as SCORM, animations, AR/VR/3D apps, comics, games &amp; provision of licences for top authoring tools.")</f>
        <v/>
      </c>
      <c r="Y543" s="15">
        <f>IFERROR(__xludf.DUMMYFUNCTION("""COMPUTED_VALUE"""),"https://drive.google.com/uc?export=view&amp;id=1Kq7nMzdCA9IOmsFZ5-whWkFjg87h9ERJ")</f>
        <v/>
      </c>
      <c r="Z543" s="1">
        <f>IFERROR(__xludf.DUMMYFUNCTION("""COMPUTED_VALUE"""),"Unverified")</f>
        <v/>
      </c>
      <c r="AA543" s="1" t="n"/>
      <c r="AB543" s="1" t="n"/>
      <c r="AC543" s="1" t="n"/>
      <c r="AD543" s="1" t="n"/>
      <c r="AE543" s="1" t="n"/>
    </row>
    <row r="544" ht="42" customHeight="1">
      <c r="A544" s="14">
        <f>IFERROR(__xludf.DUMMYFUNCTION("""COMPUTED_VALUE"""),45282)</f>
        <v/>
      </c>
      <c r="B544" s="1">
        <f>IFERROR(__xludf.DUMMYFUNCTION("""COMPUTED_VALUE"""),"ORG_1992")</f>
        <v/>
      </c>
      <c r="C544" s="1">
        <f>IFERROR(__xludf.DUMMYFUNCTION("""COMPUTED_VALUE"""),TRUE)</f>
        <v/>
      </c>
      <c r="D544" s="1">
        <f>IFERROR(__xludf.DUMMYFUNCTION("""COMPUTED_VALUE"""),"Moxliukas")</f>
        <v/>
      </c>
      <c r="E544" s="15">
        <f>IFERROR(__xludf.DUMMYFUNCTION("""COMPUTED_VALUE"""),"www.moxliukas.lt")</f>
        <v/>
      </c>
      <c r="F544" s="1">
        <f>IFERROR(__xludf.DUMMYFUNCTION("""COMPUTED_VALUE"""),"Moxliukas - a quick, fun and easy way to prepare for an upcoming exam. It's an app with a possibility to learn when challenged with real exam questions. You can compete with others, challenge your friend and learn together.")</f>
        <v/>
      </c>
      <c r="G544" s="1">
        <f>IFERROR(__xludf.DUMMYFUNCTION("""COMPUTED_VALUE"""),"I'm not part of any EdTech association")</f>
        <v/>
      </c>
      <c r="H544" s="1">
        <f>IFERROR(__xludf.DUMMYFUNCTION("""COMPUTED_VALUE"""),"Lithuanian")</f>
        <v/>
      </c>
      <c r="I544" s="1">
        <f>IFERROR(__xludf.DUMMYFUNCTION("""COMPUTED_VALUE"""),"sarunas@moxliukas.lt")</f>
        <v/>
      </c>
      <c r="J544" s="1">
        <f>IFERROR(__xludf.DUMMYFUNCTION("""COMPUTED_VALUE"""),"+37067305645")</f>
        <v/>
      </c>
      <c r="K544" s="1">
        <f>IFERROR(__xludf.DUMMYFUNCTION("""COMPUTED_VALUE"""),"Vilnius")</f>
        <v/>
      </c>
      <c r="L544" s="1">
        <f>IFERROR(__xludf.DUMMYFUNCTION("""COMPUTED_VALUE"""),"Lithuania")</f>
        <v/>
      </c>
      <c r="M544" s="1">
        <f>IFERROR(__xludf.DUMMYFUNCTION("""COMPUTED_VALUE"""),"Lithuania")</f>
        <v/>
      </c>
      <c r="N544" s="1">
        <f>IFERROR(__xludf.DUMMYFUNCTION("""COMPUTED_VALUE"""),"0 to 2")</f>
        <v/>
      </c>
      <c r="O544" s="1">
        <f>IFERROR(__xludf.DUMMYFUNCTION("""COMPUTED_VALUE"""),"Business to Schools, Business to Consumer, Business to Government")</f>
        <v/>
      </c>
      <c r="P544" s="1">
        <f>IFERROR(__xludf.DUMMYFUNCTION("""COMPUTED_VALUE"""),"Secondary Education")</f>
        <v/>
      </c>
      <c r="Q544" s="1">
        <f>IFERROR(__xludf.DUMMYFUNCTION("""COMPUTED_VALUE"""),"System/Administrative, Student interfacing, Teacher interfacing")</f>
        <v/>
      </c>
      <c r="R544" s="15">
        <f>IFERROR(__xludf.DUMMYFUNCTION("""COMPUTED_VALUE"""),"https://www.instagram.com/moxliukas/")</f>
        <v/>
      </c>
      <c r="S544" s="1" t="n"/>
      <c r="T544" s="15">
        <f>IFERROR(__xludf.DUMMYFUNCTION("""COMPUTED_VALUE"""),"https://www.linkedin.com/company/moxliukas")</f>
        <v/>
      </c>
      <c r="U544" s="1">
        <f>IFERROR(__xludf.DUMMYFUNCTION("""COMPUTED_VALUE"""),"Moxliukas")</f>
        <v/>
      </c>
      <c r="V544" s="1">
        <f>IFERROR(__xludf.DUMMYFUNCTION("""COMPUTED_VALUE"""),"Moxliukas - quick, fun and easy way to prepare for an upcoming exam. Real exam questions made fun and easy with an app. You can either compete and/or challenge each other to an exam duel and learn together!")</f>
        <v/>
      </c>
      <c r="W544" s="1" t="n"/>
      <c r="X544" s="1" t="n"/>
      <c r="Y544" s="15">
        <f>IFERROR(__xludf.DUMMYFUNCTION("""COMPUTED_VALUE"""),"https://drive.google.com/uc?export=view&amp;id=1jcfesTQdI25lTFtzHbuH81w-XVKX6QIp")</f>
        <v/>
      </c>
      <c r="Z544" s="1">
        <f>IFERROR(__xludf.DUMMYFUNCTION("""COMPUTED_VALUE"""),"Unverified")</f>
        <v/>
      </c>
      <c r="AA544" s="1" t="n"/>
      <c r="AB544" s="1" t="n"/>
      <c r="AC544" s="1" t="n"/>
      <c r="AD544" s="1" t="n"/>
      <c r="AE544" s="1" t="n"/>
    </row>
    <row r="545" ht="42" customHeight="1">
      <c r="A545" s="14">
        <f>IFERROR(__xludf.DUMMYFUNCTION("""COMPUTED_VALUE"""),45281)</f>
        <v/>
      </c>
      <c r="B545" s="1">
        <f>IFERROR(__xludf.DUMMYFUNCTION("""COMPUTED_VALUE"""),"ORG_2207")</f>
        <v/>
      </c>
      <c r="C545" s="1">
        <f>IFERROR(__xludf.DUMMYFUNCTION("""COMPUTED_VALUE"""),TRUE)</f>
        <v/>
      </c>
      <c r="D545" s="1">
        <f>IFERROR(__xludf.DUMMYFUNCTION("""COMPUTED_VALUE"""),"Scéalprod, Scéal studio")</f>
        <v/>
      </c>
      <c r="E545" s="15">
        <f>IFERROR(__xludf.DUMMYFUNCTION("""COMPUTED_VALUE"""),"https://scealprod.fr")</f>
        <v/>
      </c>
      <c r="F545" s="1">
        <f>IFERROR(__xludf.DUMMYFUNCTION("""COMPUTED_VALUE"""),"Scéalprod is a French company specializing in youth content for educational purposes that aims to develop skills and know-how from writing. With the Scéal studio platform, it proposes an original offer to develop the written expression of people through t"&amp;"he creation of story projects.
Scéal studio, an innovative digital platform to support progress in writing. 
Scéal studio aims to develop multiple learning related to the practice of narrative writing, favoring an edutainment approach. The platform is b"&amp;"ased on a writing methodology, and on integrated tools (scriptwriting, writing, layout) to facilitate the writing and editing of narrative or documentary projects.
Designed for students aged 10 to 17, their teachers and adults willing to write their stor"&amp;"ies, Scéal studio is an interface for creating stories, self-publishing books and training in narrative writing.
Already tested in several college and high school classes, Scéal studio relies on the structuring assets attached to the writing of stories t"&amp;"o promote the acquisition of multiple skills. 
The objective of Scéal studio is to allow young people to discover the pleasure of writing, and incidentally that of reading, to promote a better mastery of the language and develop soft skills: ability to a"&amp;"rgue, critical sense, creativity.
The advantages of Scéal studio 
Integrated training modules. 
The writing workshop is closely linked to writing training modules adapted to the college level, which take up the edutainment approach of the writing platf"&amp;"orm. 
A personal interface for teachers. 
It allows teachers to follow the progress of students, who can continue their work at home from their secure personal account. 
Appreciation of student work. 
Students can, if they wish, keep their creation in"&amp;" the form of a digital or paper book that they can share with their loved ones. 
A discovery of the publishing professions. 
This experience also allows teenagers to discover the techniques and trades of graphic design, scriptwriting and publishing thro"&amp;"ugh the design and production of the front and back covers. 
An education in ethics and critical thinking. 
Scéal studio makes students aware of the rules of ethics in the use of online digital resources (copyright for example). The tool also develops t"&amp;"heir critical thinking, which contributes to media education.")</f>
        <v/>
      </c>
      <c r="G545" s="1">
        <f>IFERROR(__xludf.DUMMYFUNCTION("""COMPUTED_VALUE"""),"I'm not part of any EdTech association")</f>
        <v/>
      </c>
      <c r="H545" s="1">
        <f>IFERROR(__xludf.DUMMYFUNCTION("""COMPUTED_VALUE"""),"French, English, Spanish")</f>
        <v/>
      </c>
      <c r="I545" s="1">
        <f>IFERROR(__xludf.DUMMYFUNCTION("""COMPUTED_VALUE"""),"contact@scealprod.com")</f>
        <v/>
      </c>
      <c r="J545" s="1">
        <f>IFERROR(__xludf.DUMMYFUNCTION("""COMPUTED_VALUE"""),"33611197109")</f>
        <v/>
      </c>
      <c r="K545" s="1">
        <f>IFERROR(__xludf.DUMMYFUNCTION("""COMPUTED_VALUE"""),"LIBOURNE")</f>
        <v/>
      </c>
      <c r="L545" s="1">
        <f>IFERROR(__xludf.DUMMYFUNCTION("""COMPUTED_VALUE"""),"France")</f>
        <v/>
      </c>
      <c r="M545" s="1">
        <f>IFERROR(__xludf.DUMMYFUNCTION("""COMPUTED_VALUE"""),"Belgium, France, Spain, Switzerland")</f>
        <v/>
      </c>
      <c r="N545" s="1">
        <f>IFERROR(__xludf.DUMMYFUNCTION("""COMPUTED_VALUE"""),"0 to 2")</f>
        <v/>
      </c>
      <c r="O545" s="1">
        <f>IFERROR(__xludf.DUMMYFUNCTION("""COMPUTED_VALUE"""),"Business to Business, Business to Government")</f>
        <v/>
      </c>
      <c r="P545" s="1">
        <f>IFERROR(__xludf.DUMMYFUNCTION("""COMPUTED_VALUE"""),"Secondary Education, Lifelong learning/Adult education, Vocational Education and Training (VET)")</f>
        <v/>
      </c>
      <c r="Q545" s="1">
        <f>IFERROR(__xludf.DUMMYFUNCTION("""COMPUTED_VALUE"""),"System/Administrative, Student interfacing, Teacher interfacing")</f>
        <v/>
      </c>
      <c r="R545" s="15">
        <f>IFERROR(__xludf.DUMMYFUNCTION("""COMPUTED_VALUE"""),"https://www.instagram.com/scealprod.fr/")</f>
        <v/>
      </c>
      <c r="S545" s="15">
        <f>IFERROR(__xludf.DUMMYFUNCTION("""COMPUTED_VALUE"""),"https://twitter.com/scealprod/")</f>
        <v/>
      </c>
      <c r="T545" s="15">
        <f>IFERROR(__xludf.DUMMYFUNCTION("""COMPUTED_VALUE"""),"https://www.linkedin.com/company/scealprod/")</f>
        <v/>
      </c>
      <c r="U545" s="1">
        <f>IFERROR(__xludf.DUMMYFUNCTION("""COMPUTED_VALUE"""),"Scéal studio")</f>
        <v/>
      </c>
      <c r="V545" s="1">
        <f>IFERROR(__xludf.DUMMYFUNCTION("""COMPUTED_VALUE"""),"Platform for developing skills related to the practice of creative writing individually or collaboratively. Writing training platform.")</f>
        <v/>
      </c>
      <c r="W545" s="1">
        <f>IFERROR(__xludf.DUMMYFUNCTION("""COMPUTED_VALUE"""),"Online or in-person writing workshops.")</f>
        <v/>
      </c>
      <c r="X545" s="1">
        <f>IFERROR(__xludf.DUMMYFUNCTION("""COMPUTED_VALUE"""),"Writting coatching. Online or in-person writing workshops with the support of the Scéal studio platform.")</f>
        <v/>
      </c>
      <c r="Y545" s="15">
        <f>IFERROR(__xludf.DUMMYFUNCTION("""COMPUTED_VALUE"""),"https://drive.google.com/uc?export=view&amp;id=1TLxrujCs0vos9yH_HCQdjFgqxSNz1dwp")</f>
        <v/>
      </c>
      <c r="Z545" s="1">
        <f>IFERROR(__xludf.DUMMYFUNCTION("""COMPUTED_VALUE"""),"Unverified")</f>
        <v/>
      </c>
      <c r="AA545" s="1" t="n"/>
      <c r="AB545" s="1" t="n"/>
      <c r="AC545" s="1" t="n"/>
      <c r="AD545" s="1" t="n"/>
      <c r="AE545" s="1" t="n"/>
    </row>
    <row r="546" ht="42" customHeight="1">
      <c r="A546" s="14">
        <f>IFERROR(__xludf.DUMMYFUNCTION("""COMPUTED_VALUE"""),45280)</f>
        <v/>
      </c>
      <c r="B546" s="1">
        <f>IFERROR(__xludf.DUMMYFUNCTION("""COMPUTED_VALUE"""),"ORG_1367")</f>
        <v/>
      </c>
      <c r="C546" s="1">
        <f>IFERROR(__xludf.DUMMYFUNCTION("""COMPUTED_VALUE"""),TRUE)</f>
        <v/>
      </c>
      <c r="D546" s="1">
        <f>IFERROR(__xludf.DUMMYFUNCTION("""COMPUTED_VALUE"""),"Ditto")</f>
        <v/>
      </c>
      <c r="E546" s="15">
        <f>IFERROR(__xludf.DUMMYFUNCTION("""COMPUTED_VALUE"""),"https://ditto.education/")</f>
        <v/>
      </c>
      <c r="F546" s="1">
        <f>IFERROR(__xludf.DUMMYFUNCTION("""COMPUTED_VALUE"""),"Ditto is an audio-only platform with a varied catalogue of original music, podcasts and audiobooks that entertain children from 0 to 9 years old in Spanish and English while enhancing their cognitive development. In collaboration with the Chair of Neuroed"&amp;"ucation of the University of Barcelona, Ditto improves children’s concentration, comprehension and linguistic skills, offering parents and teachers a solution to the global problem of the excessive use of screens in the entertainment of young children.
I"&amp;"n addition to our high-quality, dramatised audiobooks and podcasts, we provide exclusive educational resources to accompany our audios in class. Rather than simply entertaining children, Ditto fosters immersive, imaginative and wholesome learning through "&amp;"audio.")</f>
        <v/>
      </c>
      <c r="G546" s="1">
        <f>IFERROR(__xludf.DUMMYFUNCTION("""COMPUTED_VALUE"""),"SEK Lab")</f>
        <v/>
      </c>
      <c r="H546" s="1" t="n"/>
      <c r="I546" s="1">
        <f>IFERROR(__xludf.DUMMYFUNCTION("""COMPUTED_VALUE"""),"info@ditto.education")</f>
        <v/>
      </c>
      <c r="J546" s="1" t="n"/>
      <c r="K546" s="1">
        <f>IFERROR(__xludf.DUMMYFUNCTION("""COMPUTED_VALUE"""),"BILBAO")</f>
        <v/>
      </c>
      <c r="L546" s="1">
        <f>IFERROR(__xludf.DUMMYFUNCTION("""COMPUTED_VALUE"""),"Spain")</f>
        <v/>
      </c>
      <c r="M546" s="1">
        <f>IFERROR(__xludf.DUMMYFUNCTION("""COMPUTED_VALUE"""),"Spain")</f>
        <v/>
      </c>
      <c r="N546" s="1">
        <f>IFERROR(__xludf.DUMMYFUNCTION("""COMPUTED_VALUE"""),"0 to 2")</f>
        <v/>
      </c>
      <c r="O546" s="1">
        <f>IFERROR(__xludf.DUMMYFUNCTION("""COMPUTED_VALUE"""),"Business to Schools, Business to Consumer")</f>
        <v/>
      </c>
      <c r="P546" s="1">
        <f>IFERROR(__xludf.DUMMYFUNCTION("""COMPUTED_VALUE"""),"Early childhood development (0-5 years), Primary Education")</f>
        <v/>
      </c>
      <c r="Q546" s="1">
        <f>IFERROR(__xludf.DUMMYFUNCTION("""COMPUTED_VALUE"""),"System/Administrative, Student interfacing, Teacher interfacing")</f>
        <v/>
      </c>
      <c r="R546" s="15">
        <f>IFERROR(__xludf.DUMMYFUNCTION("""COMPUTED_VALUE"""),"https://www.instagram.com/ditto.educacion/")</f>
        <v/>
      </c>
      <c r="S546" s="1" t="n"/>
      <c r="T546" s="15">
        <f>IFERROR(__xludf.DUMMYFUNCTION("""COMPUTED_VALUE"""),"https://www.linkedin.com/company/ditto-education/")</f>
        <v/>
      </c>
      <c r="U546" s="1" t="n"/>
      <c r="V546" s="1" t="n"/>
      <c r="W546" s="1" t="n"/>
      <c r="X546" s="1" t="n"/>
      <c r="Y546" s="15">
        <f>IFERROR(__xludf.DUMMYFUNCTION("""COMPUTED_VALUE"""),"https://drive.google.com/uc?export=view&amp;id=1A5YCbaAAM6h9BZGNFHUDaDJxJd_ElVSo")</f>
        <v/>
      </c>
      <c r="Z546" s="1">
        <f>IFERROR(__xludf.DUMMYFUNCTION("""COMPUTED_VALUE"""),"Unverified")</f>
        <v/>
      </c>
      <c r="AA546" s="1" t="n"/>
      <c r="AB546" s="1" t="n"/>
      <c r="AC546" s="1" t="n"/>
      <c r="AD546" s="1" t="n"/>
      <c r="AE546" s="1" t="n"/>
    </row>
    <row r="547" ht="42" customHeight="1">
      <c r="A547" s="14">
        <f>IFERROR(__xludf.DUMMYFUNCTION("""COMPUTED_VALUE"""),45279)</f>
        <v/>
      </c>
      <c r="B547" s="1">
        <f>IFERROR(__xludf.DUMMYFUNCTION("""COMPUTED_VALUE"""),"ORG_2064")</f>
        <v/>
      </c>
      <c r="C547" s="1">
        <f>IFERROR(__xludf.DUMMYFUNCTION("""COMPUTED_VALUE"""),TRUE)</f>
        <v/>
      </c>
      <c r="D547" s="1">
        <f>IFERROR(__xludf.DUMMYFUNCTION("""COMPUTED_VALUE"""),"OneHive")</f>
        <v/>
      </c>
      <c r="E547" s="15">
        <f>IFERROR(__xludf.DUMMYFUNCTION("""COMPUTED_VALUE"""),"www.tutorhive.co.uk/onehive")</f>
        <v/>
      </c>
      <c r="F547" s="1">
        <f>IFERROR(__xludf.DUMMYFUNCTION("""COMPUTED_VALUE"""),"OneHive understands how you learn and helps you thrive in school, corporate and beyond. Learning is lifelong and is prescribed to you in different disjointed ways throughout your journey. By combining all of these learning achievements in one platform, we"&amp;" can use our AI powered Hive Matching Algorithm to give you the insights and recommendations you need at every step of the way.
We have already helped over 1,300 users unlock their educational potential by recommending the right tutor with a 93% success "&amp;"rate. We are planning pilots with Barclays Eagle Labs, St James’ Place and others to bring the learner into the centre of this next generation learning platform. We are building a future where no learner is left behind.")</f>
        <v/>
      </c>
      <c r="G547" s="1">
        <f>IFERROR(__xludf.DUMMYFUNCTION("""COMPUTED_VALUE"""),"I'm not part of any EdTech association")</f>
        <v/>
      </c>
      <c r="H547" s="1">
        <f>IFERROR(__xludf.DUMMYFUNCTION("""COMPUTED_VALUE"""),"English")</f>
        <v/>
      </c>
      <c r="I547" s="1">
        <f>IFERROR(__xludf.DUMMYFUNCTION("""COMPUTED_VALUE"""),"info@tutorhive.co.uk")</f>
        <v/>
      </c>
      <c r="J547" s="1">
        <f>IFERROR(__xludf.DUMMYFUNCTION("""COMPUTED_VALUE"""),"+447522238802")</f>
        <v/>
      </c>
      <c r="K547" s="1">
        <f>IFERROR(__xludf.DUMMYFUNCTION("""COMPUTED_VALUE"""),"WEMBLEY")</f>
        <v/>
      </c>
      <c r="L547" s="1">
        <f>IFERROR(__xludf.DUMMYFUNCTION("""COMPUTED_VALUE"""),"United Kingdom")</f>
        <v/>
      </c>
      <c r="M547" s="1">
        <f>IFERROR(__xludf.DUMMYFUNCTION("""COMPUTED_VALUE"""),"Italy")</f>
        <v/>
      </c>
      <c r="N547" s="1">
        <f>IFERROR(__xludf.DUMMYFUNCTION("""COMPUTED_VALUE"""),"3 to 5")</f>
        <v/>
      </c>
      <c r="O547" s="1">
        <f>IFERROR(__xludf.DUMMYFUNCTION("""COMPUTED_VALUE"""),"Business to Business, Business to Consumer")</f>
        <v/>
      </c>
      <c r="P547" s="1">
        <f>IFERROR(__xludf.DUMMYFUNCTION("""COMPUTED_VALUE"""),"Primary Education, Secondary Education, Corporate Training, Lifelong learning/Adult education")</f>
        <v/>
      </c>
      <c r="Q547" s="1">
        <f>IFERROR(__xludf.DUMMYFUNCTION("""COMPUTED_VALUE"""),"System/Administrative, Student interfacing, Teacher interfacing")</f>
        <v/>
      </c>
      <c r="R547" s="15">
        <f>IFERROR(__xludf.DUMMYFUNCTION("""COMPUTED_VALUE"""),"https://www.instagram.com/tutor.hive/?hl=en")</f>
        <v/>
      </c>
      <c r="S547" s="1" t="n"/>
      <c r="T547" s="15">
        <f>IFERROR(__xludf.DUMMYFUNCTION("""COMPUTED_VALUE"""),"https://www.linkedin.com/company/tutorhive/")</f>
        <v/>
      </c>
      <c r="U547" s="1">
        <f>IFERROR(__xludf.DUMMYFUNCTION("""COMPUTED_VALUE"""),"OneHive Account")</f>
        <v/>
      </c>
      <c r="V547" s="1">
        <f>IFERROR(__xludf.DUMMYFUNCTION("""COMPUTED_VALUE"""),"Helping learners log and safely store their learning and social achievements in one digital skills passport. Starting from K12 to career, the platform becomes the central repository for your personal development journey. 
Using generative AI, we can reco"&amp;"mmend the best educator for a learner based on their personality - using affinity to help school parents find the perfect tutor for their child or HR find the best trainers for their employees.")</f>
        <v/>
      </c>
      <c r="W547" s="1">
        <f>IFERROR(__xludf.DUMMYFUNCTION("""COMPUTED_VALUE"""),"Hive Learning Platform")</f>
        <v/>
      </c>
      <c r="X547" s="1">
        <f>IFERROR(__xludf.DUMMYFUNCTION("""COMPUTED_VALUE"""),"A learner centric ecosystem that has the infrastructure around it to facilitate training in a more effective way at scale. Giving educators the insights and digital framework to deliver training in a more engaging and effective way. 
The modules around t"&amp;"he OneHive Account enable a learner to book on to training sessions that are best matched to their personality, needs and requirements. Whilst giving oversight to the Learning &amp; Development functions within the company.")</f>
        <v/>
      </c>
      <c r="Y547" s="15">
        <f>IFERROR(__xludf.DUMMYFUNCTION("""COMPUTED_VALUE"""),"https://drive.google.com/uc?export=view&amp;id=1nE9-qUre7YTzpdJ_tY9ia4SsYaPTDXT8")</f>
        <v/>
      </c>
      <c r="Z547" s="1">
        <f>IFERROR(__xludf.DUMMYFUNCTION("""COMPUTED_VALUE"""),"Unverified")</f>
        <v/>
      </c>
      <c r="AA547" s="1" t="n"/>
      <c r="AB547" s="1" t="n"/>
      <c r="AC547" s="1" t="n"/>
      <c r="AD547" s="1" t="n"/>
      <c r="AE547" s="1" t="n"/>
    </row>
    <row r="548" ht="42" customHeight="1">
      <c r="A548" s="14">
        <f>IFERROR(__xludf.DUMMYFUNCTION("""COMPUTED_VALUE"""),45278)</f>
        <v/>
      </c>
      <c r="B548" s="1">
        <f>IFERROR(__xludf.DUMMYFUNCTION("""COMPUTED_VALUE"""),"ORG_2377")</f>
        <v/>
      </c>
      <c r="C548" s="1">
        <f>IFERROR(__xludf.DUMMYFUNCTION("""COMPUTED_VALUE"""),TRUE)</f>
        <v/>
      </c>
      <c r="D548" s="1">
        <f>IFERROR(__xludf.DUMMYFUNCTION("""COMPUTED_VALUE"""),"TeamGether")</f>
        <v/>
      </c>
      <c r="E548" s="15">
        <f>IFERROR(__xludf.DUMMYFUNCTION("""COMPUTED_VALUE"""),"https://www.effency.fr")</f>
        <v/>
      </c>
      <c r="F548" s="1">
        <f>IFERROR(__xludf.DUMMYFUNCTION("""COMPUTED_VALUE"""),"EFFENCY is a team of digital enthusiasts with complimentary expertise. Database architect, innovation network expert, educational engineer, copy writer, UI/UX and experienced project manager, we are both able to enhance our solution developed internally a"&amp;"nd to support our clients from start to finish, from just getting started with our solution TeamGether to functional adaptation over time.")</f>
        <v/>
      </c>
      <c r="G548" s="1">
        <f>IFERROR(__xludf.DUMMYFUNCTION("""COMPUTED_VALUE"""),"EdTech France")</f>
        <v/>
      </c>
      <c r="H548" s="1" t="n"/>
      <c r="I548" s="1">
        <f>IFERROR(__xludf.DUMMYFUNCTION("""COMPUTED_VALUE"""),"frederique.chabbert@effency.fr")</f>
        <v/>
      </c>
      <c r="J548" s="1" t="n"/>
      <c r="K548" s="1">
        <f>IFERROR(__xludf.DUMMYFUNCTION("""COMPUTED_VALUE"""),"Paris")</f>
        <v/>
      </c>
      <c r="L548" s="1">
        <f>IFERROR(__xludf.DUMMYFUNCTION("""COMPUTED_VALUE"""),"France")</f>
        <v/>
      </c>
      <c r="M548" s="1">
        <f>IFERROR(__xludf.DUMMYFUNCTION("""COMPUTED_VALUE"""),"France, Luxembourg")</f>
        <v/>
      </c>
      <c r="N548" s="1">
        <f>IFERROR(__xludf.DUMMYFUNCTION("""COMPUTED_VALUE"""),"3 to 5")</f>
        <v/>
      </c>
      <c r="O548" s="1">
        <f>IFERROR(__xludf.DUMMYFUNCTION("""COMPUTED_VALUE"""),"Business to Government, Business to Schools")</f>
        <v/>
      </c>
      <c r="P548" s="1">
        <f>IFERROR(__xludf.DUMMYFUNCTION("""COMPUTED_VALUE"""),"Corporate Training, Lifelong learning/Adult education")</f>
        <v/>
      </c>
      <c r="Q548" s="1">
        <f>IFERROR(__xludf.DUMMYFUNCTION("""COMPUTED_VALUE"""),"System/Administrative, Student interfacing")</f>
        <v/>
      </c>
      <c r="R548" s="1" t="n"/>
      <c r="S548" s="15">
        <f>IFERROR(__xludf.DUMMYFUNCTION("""COMPUTED_VALUE"""),"https://twitter.com/effency_")</f>
        <v/>
      </c>
      <c r="T548" s="15">
        <f>IFERROR(__xludf.DUMMYFUNCTION("""COMPUTED_VALUE"""),"https://www.linkedin.com/company/effency")</f>
        <v/>
      </c>
      <c r="U548" s="1">
        <f>IFERROR(__xludf.DUMMYFUNCTION("""COMPUTED_VALUE"""),"TeamGether")</f>
        <v/>
      </c>
      <c r="V548" s="1">
        <f>IFERROR(__xludf.DUMMYFUNCTION("""COMPUTED_VALUE"""),"After only 9 hours after the end of a training session, we have already forgotten 70% of what we just learned. Training sessions alone are not enough the well anchor knowledge in the employees' operational context.
TeamGether offers a new way of diffusin"&amp;"g and anchoring knowledge by creating efficient training routines and guide the user experience in a digital solution.
TeamGether facilitates the daily life at work of more than 3000 employees at our clients, in the language of their choice. They no long"&amp;"er need to read a long, and unintelligible 60, page document to know how to apply the GDPR in their day-to-day work. Or, search for the training materials from 6 months ago to find out how to handle the company’s RSE policy.
TeamGether is integrated int"&amp;"o Microsoft Teams and Slack and is therefore available on all platforms supported by these tools. It establishes a direct discussion with each employee without the need to be individually authenticated each time (this is already handled by the tools). Tea"&amp;"mGether:
- Captures their attention immediately,
- Guides them in a personalized manner towards useful knowledge, thanks to 100% personalized micro-sessions that last 5-10 minutes which invite the users to put the information to use,
- Captures indicators"&amp;" and measures to identify recurrent problems that prevent assimilation.
TeamGether's editor to create the micro-learning paths is commercialized as a SaaS in the form of editor or administrator licenses.")</f>
        <v/>
      </c>
      <c r="W548" s="1" t="n"/>
      <c r="X548" s="1" t="n"/>
      <c r="Y548" s="15">
        <f>IFERROR(__xludf.DUMMYFUNCTION("""COMPUTED_VALUE"""),"https://drive.google.com/uc?export=view&amp;id=1AVrnhOd2wnDz8wl5TQu5mEK1iY39Syuj")</f>
        <v/>
      </c>
      <c r="Z548" s="1">
        <f>IFERROR(__xludf.DUMMYFUNCTION("""COMPUTED_VALUE"""),"Unverified")</f>
        <v/>
      </c>
      <c r="AA548" s="1" t="n"/>
      <c r="AB548" s="1" t="n"/>
      <c r="AC548" s="1" t="n"/>
      <c r="AD548" s="1" t="n"/>
      <c r="AE548" s="1" t="n"/>
    </row>
    <row r="549" ht="42" customHeight="1">
      <c r="A549" s="14">
        <f>IFERROR(__xludf.DUMMYFUNCTION("""COMPUTED_VALUE"""),45275)</f>
        <v/>
      </c>
      <c r="B549" s="1">
        <f>IFERROR(__xludf.DUMMYFUNCTION("""COMPUTED_VALUE"""),"ORG_1868")</f>
        <v/>
      </c>
      <c r="C549" s="1">
        <f>IFERROR(__xludf.DUMMYFUNCTION("""COMPUTED_VALUE"""),TRUE)</f>
        <v/>
      </c>
      <c r="D549" s="1">
        <f>IFERROR(__xludf.DUMMYFUNCTION("""COMPUTED_VALUE"""),"Lexivist")</f>
        <v/>
      </c>
      <c r="E549" s="15">
        <f>IFERROR(__xludf.DUMMYFUNCTION("""COMPUTED_VALUE"""),"lexivist.com")</f>
        <v/>
      </c>
      <c r="F549" s="1">
        <f>IFERROR(__xludf.DUMMYFUNCTION("""COMPUTED_VALUE"""),"Lexivist is a gamified microlearning app with AI twist, It makes the dream of easier and sticky learning experience come true.")</f>
        <v/>
      </c>
      <c r="G549" s="1">
        <f>IFERROR(__xludf.DUMMYFUNCTION("""COMPUTED_VALUE"""),"I'm not part of any EdTech association")</f>
        <v/>
      </c>
      <c r="H549" s="1">
        <f>IFERROR(__xludf.DUMMYFUNCTION("""COMPUTED_VALUE"""),"English, Turkish")</f>
        <v/>
      </c>
      <c r="I549" s="1">
        <f>IFERROR(__xludf.DUMMYFUNCTION("""COMPUTED_VALUE"""),"ebubekir.kaplan@inooster.com")</f>
        <v/>
      </c>
      <c r="J549" s="1" t="n"/>
      <c r="K549" s="1">
        <f>IFERROR(__xludf.DUMMYFUNCTION("""COMPUTED_VALUE"""),"LONDON")</f>
        <v/>
      </c>
      <c r="L549" s="1">
        <f>IFERROR(__xludf.DUMMYFUNCTION("""COMPUTED_VALUE"""),"United Kingdom")</f>
        <v/>
      </c>
      <c r="M549" s="1">
        <f>IFERROR(__xludf.DUMMYFUNCTION("""COMPUTED_VALUE"""),"Netherlands, Turkey, United Kingdom")</f>
        <v/>
      </c>
      <c r="N549" s="1">
        <f>IFERROR(__xludf.DUMMYFUNCTION("""COMPUTED_VALUE"""),"11 to 50")</f>
        <v/>
      </c>
      <c r="O549" s="1">
        <f>IFERROR(__xludf.DUMMYFUNCTION("""COMPUTED_VALUE"""),"Business to Business, Business to Consumer, Business to Government")</f>
        <v/>
      </c>
      <c r="P549" s="1">
        <f>IFERROR(__xludf.DUMMYFUNCTION("""COMPUTED_VALUE"""),"Corporate Training")</f>
        <v/>
      </c>
      <c r="Q549" s="1">
        <f>IFERROR(__xludf.DUMMYFUNCTION("""COMPUTED_VALUE"""),"System/Administrative, Student interfacing")</f>
        <v/>
      </c>
      <c r="R549" s="1" t="n"/>
      <c r="S549" s="1" t="n"/>
      <c r="T549" s="1">
        <f>IFERROR(__xludf.DUMMYFUNCTION("""COMPUTED_VALUE"""),"inooster")</f>
        <v/>
      </c>
      <c r="U549" s="1">
        <f>IFERROR(__xludf.DUMMYFUNCTION("""COMPUTED_VALUE"""),"Lexivist")</f>
        <v/>
      </c>
      <c r="V549" s="1">
        <f>IFERROR(__xludf.DUMMYFUNCTION("""COMPUTED_VALUE"""),"Lexivist is a gamified microlearning app with AI twist, It makes the dream of easier and sticky learning experience come true.")</f>
        <v/>
      </c>
      <c r="W549" s="1" t="n"/>
      <c r="X549" s="1" t="n"/>
      <c r="Y549" s="15">
        <f>IFERROR(__xludf.DUMMYFUNCTION("""COMPUTED_VALUE"""),"https://drive.google.com/uc?export=view&amp;id=1XUxtkZtCV0CK-H2tHTogesPasZmw94pr")</f>
        <v/>
      </c>
      <c r="Z549" s="1">
        <f>IFERROR(__xludf.DUMMYFUNCTION("""COMPUTED_VALUE"""),"Unverified")</f>
        <v/>
      </c>
      <c r="AA549" s="1" t="n"/>
      <c r="AB549" s="1" t="n"/>
      <c r="AC549" s="1" t="n"/>
      <c r="AD549" s="1" t="n"/>
      <c r="AE549" s="1" t="n"/>
    </row>
    <row r="550" ht="42" customHeight="1">
      <c r="A550" s="14">
        <f>IFERROR(__xludf.DUMMYFUNCTION("""COMPUTED_VALUE"""),45260)</f>
        <v/>
      </c>
      <c r="B550" s="1">
        <f>IFERROR(__xludf.DUMMYFUNCTION("""COMPUTED_VALUE"""),"ORG_2529")</f>
        <v/>
      </c>
      <c r="C550" s="1">
        <f>IFERROR(__xludf.DUMMYFUNCTION("""COMPUTED_VALUE"""),TRUE)</f>
        <v/>
      </c>
      <c r="D550" s="1">
        <f>IFERROR(__xludf.DUMMYFUNCTION("""COMPUTED_VALUE"""),"WhoTeach")</f>
        <v/>
      </c>
      <c r="E550" s="15">
        <f>IFERROR(__xludf.DUMMYFUNCTION("""COMPUTED_VALUE"""),"https://www.whoteach.it/en/")</f>
        <v/>
      </c>
      <c r="F550" s="1">
        <f>IFERROR(__xludf.DUMMYFUNCTION("""COMPUTED_VALUE"""),"AITECH4T is an innovative startup aimed at developing AI-based Recommender Systems for heterogeneous business and industrial applications and Big Data analysis. The company is about 2 years old and has a professional team formed by experts and researchers"&amp;" coming from ICT academic background with specializations in artificial intelligence and big data analysis.
One of our main scopes is to develop and commercialize the AI-based recommendation engine of the digital platform WhoTeach: a B2B Intelligent Digit"&amp;"al Learning Platform that helps training and education institutions as well as HR managers to create high-quality online courses through an Artificial Intelligent engine.")</f>
        <v/>
      </c>
      <c r="G550" s="1">
        <f>IFERROR(__xludf.DUMMYFUNCTION("""COMPUTED_VALUE"""),"EdTech Italia")</f>
        <v/>
      </c>
      <c r="H550" s="1">
        <f>IFERROR(__xludf.DUMMYFUNCTION("""COMPUTED_VALUE"""),"Italian, English")</f>
        <v/>
      </c>
      <c r="I550" s="1">
        <f>IFERROR(__xludf.DUMMYFUNCTION("""COMPUTED_VALUE"""),"info@aitech4t.com")</f>
        <v/>
      </c>
      <c r="J550" s="1">
        <f>IFERROR(__xludf.DUMMYFUNCTION("""COMPUTED_VALUE"""),"+39 02 8353 8781")</f>
        <v/>
      </c>
      <c r="K550" s="1">
        <f>IFERROR(__xludf.DUMMYFUNCTION("""COMPUTED_VALUE"""),"MILAN")</f>
        <v/>
      </c>
      <c r="L550" s="1">
        <f>IFERROR(__xludf.DUMMYFUNCTION("""COMPUTED_VALUE"""),"Italy")</f>
        <v/>
      </c>
      <c r="M550" s="1">
        <f>IFERROR(__xludf.DUMMYFUNCTION("""COMPUTED_VALUE"""),"Italy")</f>
        <v/>
      </c>
      <c r="N550" s="1">
        <f>IFERROR(__xludf.DUMMYFUNCTION("""COMPUTED_VALUE"""),"6 to 10")</f>
        <v/>
      </c>
      <c r="O550" s="1">
        <f>IFERROR(__xludf.DUMMYFUNCTION("""COMPUTED_VALUE"""),"Business to Business, Business to Schools")</f>
        <v/>
      </c>
      <c r="P550" s="1">
        <f>IFERROR(__xludf.DUMMYFUNCTION("""COMPUTED_VALUE"""),"Corporate Training, Lifelong learning/Adult education, Higher Education")</f>
        <v/>
      </c>
      <c r="Q550" s="1">
        <f>IFERROR(__xludf.DUMMYFUNCTION("""COMPUTED_VALUE"""),"System/Administrative")</f>
        <v/>
      </c>
      <c r="R550" s="1" t="n"/>
      <c r="S550" s="1" t="n"/>
      <c r="T550" s="15">
        <f>IFERROR(__xludf.DUMMYFUNCTION("""COMPUTED_VALUE"""),"https://www.linkedin.com/company/whoteach-it/mycompany/")</f>
        <v/>
      </c>
      <c r="U550" s="1">
        <f>IFERROR(__xludf.DUMMYFUNCTION("""COMPUTED_VALUE"""),"WhoTeach")</f>
        <v/>
      </c>
      <c r="V550" s="1">
        <f>IFERROR(__xludf.DUMMYFUNCTION("""COMPUTED_VALUE"""),"WhoTeach is a B2B intelligent digital learning platform based on Artificial Intelligence to support training and education institutions as well as HR managers to create high-quality online courses thanks to an artificial intelligent engine. It is composed"&amp;" of four different modules: Learning management system, Live Rooms, WhoTeach AI, Social e-portfolio.")</f>
        <v/>
      </c>
      <c r="W550" s="1" t="n"/>
      <c r="X550" s="1" t="n"/>
      <c r="Y550" s="15">
        <f>IFERROR(__xludf.DUMMYFUNCTION("""COMPUTED_VALUE"""),"https://drive.google.com/uc?export=view&amp;id=1Z27e4wiFEJLxIT-3KG5wc3YVpLh2wP8X")</f>
        <v/>
      </c>
      <c r="Z550" s="1">
        <f>IFERROR(__xludf.DUMMYFUNCTION("""COMPUTED_VALUE"""),"Unverified")</f>
        <v/>
      </c>
      <c r="AA550" s="1" t="n"/>
      <c r="AB550" s="1" t="n"/>
      <c r="AC550" s="1" t="n"/>
      <c r="AD550" s="1" t="n"/>
      <c r="AE550" s="1" t="n"/>
    </row>
    <row r="551" ht="42" customHeight="1">
      <c r="A551" s="14">
        <f>IFERROR(__xludf.DUMMYFUNCTION("""COMPUTED_VALUE"""),45253)</f>
        <v/>
      </c>
      <c r="B551" s="1">
        <f>IFERROR(__xludf.DUMMYFUNCTION("""COMPUTED_VALUE"""),"ORG_2404")</f>
        <v/>
      </c>
      <c r="C551" s="1">
        <f>IFERROR(__xludf.DUMMYFUNCTION("""COMPUTED_VALUE"""),TRUE)</f>
        <v/>
      </c>
      <c r="D551" s="1">
        <f>IFERROR(__xludf.DUMMYFUNCTION("""COMPUTED_VALUE"""),"The Smartestway")</f>
        <v/>
      </c>
      <c r="E551" s="15">
        <f>IFERROR(__xludf.DUMMYFUNCTION("""COMPUTED_VALUE"""),"https://thesmartestway.com/")</f>
        <v/>
      </c>
      <c r="F551" s="1">
        <f>IFERROR(__xludf.DUMMYFUNCTION("""COMPUTED_VALUE"""),"App that unlocks brain for exponential learning.
The Smartestway is like a hyperloop for memorization. Using AI, our platform transforms students’ school notes, textbooks, and other learning materials into advanced learning tools, enabling exponential le"&amp;"arning. With the support of The Smartestway, students are able to learn 10 times faster than traditional learning methods.
We believe that everyone has a superbrain. Knowledge is free, and anyone can share it.")</f>
        <v/>
      </c>
      <c r="G551" s="1">
        <f>IFERROR(__xludf.DUMMYFUNCTION("""COMPUTED_VALUE"""),"EdTech Slovenia")</f>
        <v/>
      </c>
      <c r="H551" s="1">
        <f>IFERROR(__xludf.DUMMYFUNCTION("""COMPUTED_VALUE"""),"Slovenian, English")</f>
        <v/>
      </c>
      <c r="I551" s="1">
        <f>IFERROR(__xludf.DUMMYFUNCTION("""COMPUTED_VALUE"""),"hello@thesmartestway.com")</f>
        <v/>
      </c>
      <c r="J551" s="1">
        <f>IFERROR(__xludf.DUMMYFUNCTION("""COMPUTED_VALUE"""),"+38641244399")</f>
        <v/>
      </c>
      <c r="K551" s="1">
        <f>IFERROR(__xludf.DUMMYFUNCTION("""COMPUTED_VALUE"""),"TRŽIČ")</f>
        <v/>
      </c>
      <c r="L551" s="1">
        <f>IFERROR(__xludf.DUMMYFUNCTION("""COMPUTED_VALUE"""),"Slovenia")</f>
        <v/>
      </c>
      <c r="M551" s="1">
        <f>IFERROR(__xludf.DUMMYFUNCTION("""COMPUTED_VALUE"""),"Slovenia")</f>
        <v/>
      </c>
      <c r="N551" s="1">
        <f>IFERROR(__xludf.DUMMYFUNCTION("""COMPUTED_VALUE"""),"6 to 10")</f>
        <v/>
      </c>
      <c r="O551" s="1">
        <f>IFERROR(__xludf.DUMMYFUNCTION("""COMPUTED_VALUE"""),"Business to Schools, Business to Consumer")</f>
        <v/>
      </c>
      <c r="P551" s="1">
        <f>IFERROR(__xludf.DUMMYFUNCTION("""COMPUTED_VALUE"""),"Primary Education, Secondary Education, Lifelong learning/Adult education, Vocational Education and Training (VET), Higher Education")</f>
        <v/>
      </c>
      <c r="Q551" s="1">
        <f>IFERROR(__xludf.DUMMYFUNCTION("""COMPUTED_VALUE"""),"System/Administrative, Student interfacing")</f>
        <v/>
      </c>
      <c r="R551" s="15">
        <f>IFERROR(__xludf.DUMMYFUNCTION("""COMPUTED_VALUE"""),"https://www.instagram.com/thesmartestwaycom")</f>
        <v/>
      </c>
      <c r="S551" s="1" t="n"/>
      <c r="T551" s="15">
        <f>IFERROR(__xludf.DUMMYFUNCTION("""COMPUTED_VALUE"""),"https://www.linkedin.com/company/thesmartestway")</f>
        <v/>
      </c>
      <c r="U551" s="1">
        <f>IFERROR(__xludf.DUMMYFUNCTION("""COMPUTED_VALUE"""),"The Smartestway")</f>
        <v/>
      </c>
      <c r="V551" s="1">
        <f>IFERROR(__xludf.DUMMYFUNCTION("""COMPUTED_VALUE"""),"Our product is currently a responsive web app, which can also be downloaded in the form of a Progressive Web App (PWA).
At the moment, we target high school students but will also expand to primary schools and universities at a growth stage. Our platform"&amp;" has two main types of users: learners and creators. A user can be both, depending on which of the four current app features they use.
Creators have the ability to automatically convert their classroom notes, textbooks, and other learning materials into "&amp;"consumable content, ultimately making memorization easier.
Once a student’s material is automatically generated and stored within Smart Notes, we leverage the power of gamification and make learning fast and fun. 
A unique feature within The Smartestway"&amp;" is the ability for both learners and creators to earn Smart Points (our internal monetary system) while using the app. Smart Points serve as a mechanism for sharing value on the platform and can be earned, spent, or purchased.
Students can use the searc"&amp;"h bar (web app) or bottom menu (mobile app) to find Smart Notes by keywords, sorted by title or user, allowing them to easily check if a classmate has already shared what they need.")</f>
        <v/>
      </c>
      <c r="W551" s="1" t="n"/>
      <c r="X551" s="1" t="n"/>
      <c r="Y551" s="15">
        <f>IFERROR(__xludf.DUMMYFUNCTION("""COMPUTED_VALUE"""),"https://drive.google.com/uc?export=view&amp;id=16WNBf6KDRS84qD54vZ5SpXWuTKtz_TQe")</f>
        <v/>
      </c>
      <c r="Z551" s="1">
        <f>IFERROR(__xludf.DUMMYFUNCTION("""COMPUTED_VALUE"""),"Unverified")</f>
        <v/>
      </c>
      <c r="AA551" s="1" t="n"/>
      <c r="AB551" s="1" t="n"/>
      <c r="AC551" s="1" t="n"/>
      <c r="AD551" s="1" t="n"/>
      <c r="AE551" s="1" t="n"/>
    </row>
    <row r="552" ht="42" customHeight="1">
      <c r="A552" s="14">
        <f>IFERROR(__xludf.DUMMYFUNCTION("""COMPUTED_VALUE"""),45248)</f>
        <v/>
      </c>
      <c r="B552" s="1">
        <f>IFERROR(__xludf.DUMMYFUNCTION("""COMPUTED_VALUE"""),"ORG_1404")</f>
        <v/>
      </c>
      <c r="C552" s="1">
        <f>IFERROR(__xludf.DUMMYFUNCTION("""COMPUTED_VALUE"""),TRUE)</f>
        <v/>
      </c>
      <c r="D552" s="1">
        <f>IFERROR(__xludf.DUMMYFUNCTION("""COMPUTED_VALUE"""),"Edenauts")</f>
        <v/>
      </c>
      <c r="E552" s="15">
        <f>IFERROR(__xludf.DUMMYFUNCTION("""COMPUTED_VALUE"""),"https://game.edenauts.com")</f>
        <v/>
      </c>
      <c r="F552" s="1">
        <f>IFERROR(__xludf.DUMMYFUNCTION("""COMPUTED_VALUE"""),"""Edenauts - An Odyssey of Wisdom"" is an innovative educational game that blends space exploration with deep philosophical inquiry. Our game is designed to engage players in a narrative-driven adventure where they must survive a cataclysmic event on Eart"&amp;"h and venture into space to forge a new future for humanity. By integrating game mechanics with epistemological concepts, we aim to promote critical thinking, collaboration, and the development of shared values.")</f>
        <v/>
      </c>
      <c r="G552" s="1">
        <f>IFERROR(__xludf.DUMMYFUNCTION("""COMPUTED_VALUE"""),"I'm not part of any EdTech association")</f>
        <v/>
      </c>
      <c r="H552" s="1">
        <f>IFERROR(__xludf.DUMMYFUNCTION("""COMPUTED_VALUE"""),"English")</f>
        <v/>
      </c>
      <c r="I552" s="1">
        <f>IFERROR(__xludf.DUMMYFUNCTION("""COMPUTED_VALUE"""),"wiesorium@gmail.com")</f>
        <v/>
      </c>
      <c r="J552" s="1">
        <f>IFERROR(__xludf.DUMMYFUNCTION("""COMPUTED_VALUE"""),"+436644586980")</f>
        <v/>
      </c>
      <c r="K552" s="1">
        <f>IFERROR(__xludf.DUMMYFUNCTION("""COMPUTED_VALUE"""),"Salzburg")</f>
        <v/>
      </c>
      <c r="L552" s="1">
        <f>IFERROR(__xludf.DUMMYFUNCTION("""COMPUTED_VALUE"""),"Austria")</f>
        <v/>
      </c>
      <c r="M552" s="1">
        <f>IFERROR(__xludf.DUMMYFUNCTION("""COMPUTED_VALUE"""),"Austria")</f>
        <v/>
      </c>
      <c r="N552" s="1">
        <f>IFERROR(__xludf.DUMMYFUNCTION("""COMPUTED_VALUE"""),"0 to 2")</f>
        <v/>
      </c>
      <c r="O552" s="1">
        <f>IFERROR(__xludf.DUMMYFUNCTION("""COMPUTED_VALUE"""),"Business to Consumer")</f>
        <v/>
      </c>
      <c r="P552" s="1">
        <f>IFERROR(__xludf.DUMMYFUNCTION("""COMPUTED_VALUE"""),"Lifelong learning/Adult education")</f>
        <v/>
      </c>
      <c r="Q552" s="1">
        <f>IFERROR(__xludf.DUMMYFUNCTION("""COMPUTED_VALUE"""),"System/Administrative, Student interfacing")</f>
        <v/>
      </c>
      <c r="R552" s="1" t="n"/>
      <c r="S552" s="1" t="n"/>
      <c r="T552" s="1" t="n"/>
      <c r="U552" s="1">
        <f>IFERROR(__xludf.DUMMYFUNCTION("""COMPUTED_VALUE"""),"Edenauts")</f>
        <v/>
      </c>
      <c r="V552" s="1">
        <f>IFERROR(__xludf.DUMMYFUNCTION("""COMPUTED_VALUE"""),"""Edenauts - An Odyssey of Wisdom"" is an educational space exploration game that merges philosophical inquiry with interactive learning. Players embark on a space adventure, forming a crew to develop a collective philosophy and engage in strategic battle"&amp;"s, promoting critical thinking, collaboration, and shared values through a blend of real-world actions and game mechanics based on Jean Piaget's theories. This game aims to foster a community of learners, exploring AI ethics and human morality in a dynami"&amp;"c, game-based environment.")</f>
        <v/>
      </c>
      <c r="W552" s="1" t="n"/>
      <c r="X552" s="1" t="n"/>
      <c r="Y552" s="15">
        <f>IFERROR(__xludf.DUMMYFUNCTION("""COMPUTED_VALUE"""),"https://drive.google.com/uc?export=view&amp;id=17vtbrwasu-9HF31FD0Ppqx1RlOSiuqXy")</f>
        <v/>
      </c>
      <c r="Z552" s="1">
        <f>IFERROR(__xludf.DUMMYFUNCTION("""COMPUTED_VALUE"""),"Unverified")</f>
        <v/>
      </c>
      <c r="AA552" s="1" t="n"/>
      <c r="AB552" s="1" t="n"/>
      <c r="AC552" s="1" t="n"/>
      <c r="AD552" s="1" t="n"/>
      <c r="AE552" s="1" t="n"/>
    </row>
    <row r="553" ht="42" customHeight="1">
      <c r="A553" s="14">
        <f>IFERROR(__xludf.DUMMYFUNCTION("""COMPUTED_VALUE"""),45246)</f>
        <v/>
      </c>
      <c r="B553" s="1">
        <f>IFERROR(__xludf.DUMMYFUNCTION("""COMPUTED_VALUE"""),"ORG_1443")</f>
        <v/>
      </c>
      <c r="C553" s="1">
        <f>IFERROR(__xludf.DUMMYFUNCTION("""COMPUTED_VALUE"""),TRUE)</f>
        <v/>
      </c>
      <c r="D553" s="1">
        <f>IFERROR(__xludf.DUMMYFUNCTION("""COMPUTED_VALUE"""),"Edulab")</f>
        <v/>
      </c>
      <c r="E553" s="15">
        <f>IFERROR(__xludf.DUMMYFUNCTION("""COMPUTED_VALUE"""),"https://edulab.work")</f>
        <v/>
      </c>
      <c r="F553" s="1">
        <f>IFERROR(__xludf.DUMMYFUNCTION("""COMPUTED_VALUE"""),"Edulab è uno spazio per l'apprendimento situato a Scorzè(VE) con una forte inclinazione digitale. L'ambito è lo sviluppo di percorsi, LO e attività per lo sviluppo delle competenze attraverso il Human Capital Management. Siamo aperti al dialogo con aziend"&amp;"e, istituzioni, partner e communities in tutta Europa.")</f>
        <v/>
      </c>
      <c r="G553" s="1">
        <f>IFERROR(__xludf.DUMMYFUNCTION("""COMPUTED_VALUE"""),"I'm not part of any EdTech association")</f>
        <v/>
      </c>
      <c r="H553" s="1" t="n"/>
      <c r="I553" s="1" t="n"/>
      <c r="J553" s="1" t="n"/>
      <c r="K553" s="1">
        <f>IFERROR(__xludf.DUMMYFUNCTION("""COMPUTED_VALUE"""),"SCORZÈ")</f>
        <v/>
      </c>
      <c r="L553" s="1">
        <f>IFERROR(__xludf.DUMMYFUNCTION("""COMPUTED_VALUE"""),"Italy")</f>
        <v/>
      </c>
      <c r="M553" s="1">
        <f>IFERROR(__xludf.DUMMYFUNCTION("""COMPUTED_VALUE"""),"Italy")</f>
        <v/>
      </c>
      <c r="N553" s="1">
        <f>IFERROR(__xludf.DUMMYFUNCTION("""COMPUTED_VALUE"""),"0 to 2")</f>
        <v/>
      </c>
      <c r="O553" s="1">
        <f>IFERROR(__xludf.DUMMYFUNCTION("""COMPUTED_VALUE"""),"Business to Business, Business to Schools, Business to Consumer, Business to Government")</f>
        <v/>
      </c>
      <c r="P553" s="1">
        <f>IFERROR(__xludf.DUMMYFUNCTION("""COMPUTED_VALUE"""),"Secondary Education, Corporate Training, Lifelong learning/Adult education")</f>
        <v/>
      </c>
      <c r="Q553" s="1">
        <f>IFERROR(__xludf.DUMMYFUNCTION("""COMPUTED_VALUE"""),"Student interfacing, Teacher interfacing, System/Administrative")</f>
        <v/>
      </c>
      <c r="R553" s="1" t="n"/>
      <c r="S553" s="1" t="n"/>
      <c r="T553" s="1" t="n"/>
      <c r="U553" s="1" t="n"/>
      <c r="V553" s="1" t="n"/>
      <c r="W553" s="1" t="n"/>
      <c r="X553" s="1" t="n"/>
      <c r="Y553" s="15">
        <f>IFERROR(__xludf.DUMMYFUNCTION("""COMPUTED_VALUE"""),"https://drive.google.com/uc?export=view&amp;id=1IeLO4HBlM5UFJDTGISayJJaZmIITL5O-")</f>
        <v/>
      </c>
      <c r="Z553" s="1">
        <f>IFERROR(__xludf.DUMMYFUNCTION("""COMPUTED_VALUE"""),"Unverified")</f>
        <v/>
      </c>
      <c r="AA553" s="1" t="n"/>
      <c r="AB553" s="1" t="n"/>
      <c r="AC553" s="1" t="n"/>
      <c r="AD553" s="1" t="n"/>
      <c r="AE553" s="1" t="n"/>
    </row>
    <row r="554" ht="42" customHeight="1">
      <c r="A554" s="14">
        <f>IFERROR(__xludf.DUMMYFUNCTION("""COMPUTED_VALUE"""),45243)</f>
        <v/>
      </c>
      <c r="B554" s="1">
        <f>IFERROR(__xludf.DUMMYFUNCTION("""COMPUTED_VALUE"""),"ORG_1604")</f>
        <v/>
      </c>
      <c r="C554" s="1">
        <f>IFERROR(__xludf.DUMMYFUNCTION("""COMPUTED_VALUE"""),TRUE)</f>
        <v/>
      </c>
      <c r="D554" s="1">
        <f>IFERROR(__xludf.DUMMYFUNCTION("""COMPUTED_VALUE"""),"Gamelearn")</f>
        <v/>
      </c>
      <c r="E554" s="15">
        <f>IFERROR(__xludf.DUMMYFUNCTION("""COMPUTED_VALUE"""),"https://game-learn.com")</f>
        <v/>
      </c>
      <c r="F554" s="1">
        <f>IFERROR(__xludf.DUMMYFUNCTION("""COMPUTED_VALUE"""),"Gamelearn is a pioneer and global frontrunner in video games and simulators for companies and institutions. Counting on 20 years of experience, we’ve become the most awarded gamification company in the world. We’ve worked with more than 5,000 corporate cl"&amp;"ients across five continents.
We create video games and simulators to help your organization reach its goals: we offer solutions to improve your sales or your business indicators, to communicate with your customers, employees, suppliers, or distributors,"&amp;" and for training and development.")</f>
        <v/>
      </c>
      <c r="G554" s="1">
        <f>IFERROR(__xludf.DUMMYFUNCTION("""COMPUTED_VALUE"""),"I'm not part of any EdTech association")</f>
        <v/>
      </c>
      <c r="H554" s="1" t="n"/>
      <c r="I554" s="1">
        <f>IFERROR(__xludf.DUMMYFUNCTION("""COMPUTED_VALUE"""),"communication@game-learn.com")</f>
        <v/>
      </c>
      <c r="J554" s="1">
        <f>IFERROR(__xludf.DUMMYFUNCTION("""COMPUTED_VALUE"""),"+34913519089")</f>
        <v/>
      </c>
      <c r="K554" s="1">
        <f>IFERROR(__xludf.DUMMYFUNCTION("""COMPUTED_VALUE"""),"Pozuelo de Alarcón")</f>
        <v/>
      </c>
      <c r="L554" s="1">
        <f>IFERROR(__xludf.DUMMYFUNCTION("""COMPUTED_VALUE"""),"Spain")</f>
        <v/>
      </c>
      <c r="M554" s="1">
        <f>IFERROR(__xludf.DUMMYFUNCTION("""COMPUTED_VALUE"""),"Austria, Belgium, Bulgaria, France, Germany, Greece, Ireland, Italy, Luxembourg, Netherlands, Poland, Portugal, Romania, Russia, Serbia, Spain, Switzerland, Turkey, United Kingdom")</f>
        <v/>
      </c>
      <c r="N554" s="1">
        <f>IFERROR(__xludf.DUMMYFUNCTION("""COMPUTED_VALUE"""),"101 to 500")</f>
        <v/>
      </c>
      <c r="O554" s="1">
        <f>IFERROR(__xludf.DUMMYFUNCTION("""COMPUTED_VALUE"""),"Business to Business, Business to Schools, Business to Consumer, Business to Government")</f>
        <v/>
      </c>
      <c r="P554" s="1">
        <f>IFERROR(__xludf.DUMMYFUNCTION("""COMPUTED_VALUE"""),"Corporate Training, Lifelong learning/Adult education, Vocational Education and Training (VET), Higher Education")</f>
        <v/>
      </c>
      <c r="Q554" s="1">
        <f>IFERROR(__xludf.DUMMYFUNCTION("""COMPUTED_VALUE"""),"Student interfacing, Teacher interfacing, System/Administrative")</f>
        <v/>
      </c>
      <c r="R554" s="15">
        <f>IFERROR(__xludf.DUMMYFUNCTION("""COMPUTED_VALUE"""),"https://www.instagram.com/gamelearn/")</f>
        <v/>
      </c>
      <c r="S554" s="15">
        <f>IFERROR(__xludf.DUMMYFUNCTION("""COMPUTED_VALUE"""),"https://twitter.com/Gamelearn")</f>
        <v/>
      </c>
      <c r="T554" s="15">
        <f>IFERROR(__xludf.DUMMYFUNCTION("""COMPUTED_VALUE"""),"www.linkedin.com/company/gamelearn")</f>
        <v/>
      </c>
      <c r="U554" s="1" t="n"/>
      <c r="V554" s="1" t="n"/>
      <c r="W554" s="1" t="n"/>
      <c r="X554" s="1" t="n"/>
      <c r="Y554" s="15">
        <f>IFERROR(__xludf.DUMMYFUNCTION("""COMPUTED_VALUE"""),"https://drive.google.com/uc?export=view&amp;id=1cLCGvJeaX0PBIajRQyFkolPVPDfZZS5A")</f>
        <v/>
      </c>
      <c r="Z554" s="1">
        <f>IFERROR(__xludf.DUMMYFUNCTION("""COMPUTED_VALUE"""),"Unverified")</f>
        <v/>
      </c>
      <c r="AA554" s="1" t="n"/>
      <c r="AB554" s="1" t="n"/>
      <c r="AC554" s="1" t="n"/>
      <c r="AD554" s="1" t="n"/>
      <c r="AE554" s="1" t="n"/>
    </row>
    <row r="555" ht="42" customHeight="1">
      <c r="A555" s="14">
        <f>IFERROR(__xludf.DUMMYFUNCTION("""COMPUTED_VALUE"""),45239)</f>
        <v/>
      </c>
      <c r="B555" s="1">
        <f>IFERROR(__xludf.DUMMYFUNCTION("""COMPUTED_VALUE"""),"ORG_2012")</f>
        <v/>
      </c>
      <c r="C555" s="1">
        <f>IFERROR(__xludf.DUMMYFUNCTION("""COMPUTED_VALUE"""),TRUE)</f>
        <v/>
      </c>
      <c r="D555" s="1">
        <f>IFERROR(__xludf.DUMMYFUNCTION("""COMPUTED_VALUE"""),"Mysoly")</f>
        <v/>
      </c>
      <c r="E555" s="15">
        <f>IFERROR(__xludf.DUMMYFUNCTION("""COMPUTED_VALUE"""),"www.mysoly.nl")</f>
        <v/>
      </c>
      <c r="F555" s="1">
        <f>IFERROR(__xludf.DUMMYFUNCTION("""COMPUTED_VALUE"""),"Mysoly is developing AI-based E-learning solutions, especially in the field of integration and language learning. Between 2021 and 2023, the start-up received €150,000 in two investment rounds, including the idea phase. The start-up was also awarded the A"&amp;"WS ed-tech start-up award in 2023 ($ 15.000 funding).
Currently, they have two different e-learning solutions called build and test master. Building on these solutions, nt2oefening.nl is an AI-powered testing platform that simulates Dutch language tests."&amp;" BOOM Uitgevers, one of the largest publishing houses in the Dutch language field, is the platform's investing marketing partner. They have also started negotiations for a marketing partner for the German version of the platform.
In the short term, their"&amp;" goal is to continue building platforms for end-users and governmental bodies in the language and integration field based on their solutions.")</f>
        <v/>
      </c>
      <c r="G555" s="1">
        <f>IFERROR(__xludf.DUMMYFUNCTION("""COMPUTED_VALUE"""),"Dutch EdTech")</f>
        <v/>
      </c>
      <c r="H555" s="1">
        <f>IFERROR(__xludf.DUMMYFUNCTION("""COMPUTED_VALUE"""),"All")</f>
        <v/>
      </c>
      <c r="I555" s="1">
        <f>IFERROR(__xludf.DUMMYFUNCTION("""COMPUTED_VALUE"""),"support@mysoly.nl")</f>
        <v/>
      </c>
      <c r="J555" s="1">
        <f>IFERROR(__xludf.DUMMYFUNCTION("""COMPUTED_VALUE"""),"+31687213354")</f>
        <v/>
      </c>
      <c r="K555" s="1">
        <f>IFERROR(__xludf.DUMMYFUNCTION("""COMPUTED_VALUE"""),"NUENEN")</f>
        <v/>
      </c>
      <c r="L555" s="1">
        <f>IFERROR(__xludf.DUMMYFUNCTION("""COMPUTED_VALUE"""),"The Netherlands")</f>
        <v/>
      </c>
      <c r="M555" s="1">
        <f>IFERROR(__xludf.DUMMYFUNCTION("""COMPUTED_VALUE"""),"Germany, Netherlands")</f>
        <v/>
      </c>
      <c r="N555" s="1">
        <f>IFERROR(__xludf.DUMMYFUNCTION("""COMPUTED_VALUE"""),"11 to 50")</f>
        <v/>
      </c>
      <c r="O555" s="1">
        <f>IFERROR(__xludf.DUMMYFUNCTION("""COMPUTED_VALUE"""),"Business to Business, Business to Schools, Business to Consumer, Business to Government")</f>
        <v/>
      </c>
      <c r="P555" s="1">
        <f>IFERROR(__xludf.DUMMYFUNCTION("""COMPUTED_VALUE"""),"Corporate Training, Lifelong learning/Adult education")</f>
        <v/>
      </c>
      <c r="Q555" s="1">
        <f>IFERROR(__xludf.DUMMYFUNCTION("""COMPUTED_VALUE"""),"Teacher interfacing, System/Administrative, Student interfacing")</f>
        <v/>
      </c>
      <c r="R555" s="1" t="n"/>
      <c r="S555" s="1" t="n"/>
      <c r="T555" s="15">
        <f>IFERROR(__xludf.DUMMYFUNCTION("""COMPUTED_VALUE"""),"https://www.linkedin.com/company/82955558/admin/feed/posts/")</f>
        <v/>
      </c>
      <c r="U555" s="1">
        <f>IFERROR(__xludf.DUMMYFUNCTION("""COMPUTED_VALUE"""),"Mysoly Build Master")</f>
        <v/>
      </c>
      <c r="V555" s="1">
        <f>IFERROR(__xludf.DUMMYFUNCTION("""COMPUTED_VALUE"""),"Building E-Learning platforms online like Coursera or Udemy. Fully customizable and can be designed up to your unique needs.")</f>
        <v/>
      </c>
      <c r="W555" s="1">
        <f>IFERROR(__xludf.DUMMYFUNCTION("""COMPUTED_VALUE"""),"Mysoly Test Master")</f>
        <v/>
      </c>
      <c r="X555" s="1">
        <f>IFERROR(__xludf.DUMMYFUNCTION("""COMPUTED_VALUE"""),"AI-based building online testing platform especially in language learning and in-company use.")</f>
        <v/>
      </c>
      <c r="Y555" s="15">
        <f>IFERROR(__xludf.DUMMYFUNCTION("""COMPUTED_VALUE"""),"https://drive.google.com/uc?export=view&amp;id=1eHc5zzooktsrLRbpT-9KtldOoIjnun6g")</f>
        <v/>
      </c>
      <c r="Z555" s="1">
        <f>IFERROR(__xludf.DUMMYFUNCTION("""COMPUTED_VALUE"""),"Unverified")</f>
        <v/>
      </c>
      <c r="AA555" s="1" t="n"/>
      <c r="AB555" s="1" t="n"/>
      <c r="AC555" s="1" t="n"/>
      <c r="AD555" s="1" t="n"/>
      <c r="AE555" s="1" t="n"/>
    </row>
    <row r="556" ht="42" customHeight="1">
      <c r="A556" s="14">
        <f>IFERROR(__xludf.DUMMYFUNCTION("""COMPUTED_VALUE"""),45238)</f>
        <v/>
      </c>
      <c r="B556" s="1">
        <f>IFERROR(__xludf.DUMMYFUNCTION("""COMPUTED_VALUE"""),"ORG_1173")</f>
        <v/>
      </c>
      <c r="C556" s="1">
        <f>IFERROR(__xludf.DUMMYFUNCTION("""COMPUTED_VALUE"""),TRUE)</f>
        <v/>
      </c>
      <c r="D556" s="1">
        <f>IFERROR(__xludf.DUMMYFUNCTION("""COMPUTED_VALUE"""),"Blockbook")</f>
        <v/>
      </c>
      <c r="E556" s="15">
        <f>IFERROR(__xludf.DUMMYFUNCTION("""COMPUTED_VALUE"""),"blockbook.nl")</f>
        <v/>
      </c>
      <c r="F556" s="1">
        <f>IFERROR(__xludf.DUMMYFUNCTION("""COMPUTED_VALUE"""),"We believe in technology to change education for the better, we act on that by creating software that generates personalized and interactive eLearning modules, so teachers do not have to make them and can focus on teaching.")</f>
        <v/>
      </c>
      <c r="G556" s="1">
        <f>IFERROR(__xludf.DUMMYFUNCTION("""COMPUTED_VALUE"""),"Dutch EdTech")</f>
        <v/>
      </c>
      <c r="H556" s="1">
        <f>IFERROR(__xludf.DUMMYFUNCTION("""COMPUTED_VALUE"""),"Dutch, English, (for, now)")</f>
        <v/>
      </c>
      <c r="I556" s="1" t="n"/>
      <c r="J556" s="1" t="n"/>
      <c r="K556" s="1">
        <f>IFERROR(__xludf.DUMMYFUNCTION("""COMPUTED_VALUE"""),"Leiden")</f>
        <v/>
      </c>
      <c r="L556" s="1">
        <f>IFERROR(__xludf.DUMMYFUNCTION("""COMPUTED_VALUE"""),"The Netherlands")</f>
        <v/>
      </c>
      <c r="M556" s="1">
        <f>IFERROR(__xludf.DUMMYFUNCTION("""COMPUTED_VALUE"""),"Netherlands")</f>
        <v/>
      </c>
      <c r="N556" s="1">
        <f>IFERROR(__xludf.DUMMYFUNCTION("""COMPUTED_VALUE"""),"3 to 5")</f>
        <v/>
      </c>
      <c r="O556" s="1">
        <f>IFERROR(__xludf.DUMMYFUNCTION("""COMPUTED_VALUE"""),"Business to Business, Business to Schools")</f>
        <v/>
      </c>
      <c r="P556" s="1">
        <f>IFERROR(__xludf.DUMMYFUNCTION("""COMPUTED_VALUE"""),"Lifelong learning/Adult education, Vocational Education and Training (VET), Higher Education")</f>
        <v/>
      </c>
      <c r="Q556" s="1">
        <f>IFERROR(__xludf.DUMMYFUNCTION("""COMPUTED_VALUE"""),"Student interfacing, Teacher interfacing")</f>
        <v/>
      </c>
      <c r="R556" s="1" t="n"/>
      <c r="S556" s="1" t="n"/>
      <c r="T556" s="15">
        <f>IFERROR(__xludf.DUMMYFUNCTION("""COMPUTED_VALUE"""),"https://www.linkedin.com/company/98543805/")</f>
        <v/>
      </c>
      <c r="U556" s="1">
        <f>IFERROR(__xludf.DUMMYFUNCTION("""COMPUTED_VALUE"""),"Automated digital learning environment")</f>
        <v/>
      </c>
      <c r="V556" s="1">
        <f>IFERROR(__xludf.DUMMYFUNCTION("""COMPUTED_VALUE"""),"software that generates personalized and interactive eLearning modules, so teachers do not have to make them and can focus on teaching.")</f>
        <v/>
      </c>
      <c r="W556" s="1" t="n"/>
      <c r="X556" s="1" t="n"/>
      <c r="Y556" s="15">
        <f>IFERROR(__xludf.DUMMYFUNCTION("""COMPUTED_VALUE"""),"https://drive.google.com/uc?export=view&amp;id=1Yb95an2gddwNJA6A34PnCBIiQv2N2tQv")</f>
        <v/>
      </c>
      <c r="Z556" s="1">
        <f>IFERROR(__xludf.DUMMYFUNCTION("""COMPUTED_VALUE"""),"Unverified")</f>
        <v/>
      </c>
      <c r="AA556" s="1" t="n"/>
      <c r="AB556" s="1" t="n"/>
      <c r="AC556" s="1" t="n"/>
      <c r="AD556" s="1" t="n"/>
      <c r="AE556" s="1" t="n"/>
    </row>
    <row r="557" ht="42" customHeight="1">
      <c r="A557" s="14">
        <f>IFERROR(__xludf.DUMMYFUNCTION("""COMPUTED_VALUE"""),45238)</f>
        <v/>
      </c>
      <c r="B557" s="1">
        <f>IFERROR(__xludf.DUMMYFUNCTION("""COMPUTED_VALUE"""),"ORG_2338")</f>
        <v/>
      </c>
      <c r="C557" s="1">
        <f>IFERROR(__xludf.DUMMYFUNCTION("""COMPUTED_VALUE"""),TRUE)</f>
        <v/>
      </c>
      <c r="D557" s="1">
        <f>IFERROR(__xludf.DUMMYFUNCTION("""COMPUTED_VALUE"""),"Studo")</f>
        <v/>
      </c>
      <c r="E557" s="15">
        <f>IFERROR(__xludf.DUMMYFUNCTION("""COMPUTED_VALUE"""),"https://studo.com/en/")</f>
        <v/>
      </c>
      <c r="F557" s="1">
        <f>IFERROR(__xludf.DUMMYFUNCTION("""COMPUTED_VALUE"""),"As a supporter and partner, Studo develops digital solutions for universities. These solutions have an inclusive and holistic approach and help universities to push ahead with digitisation. We develop on request of the university and in cooperation with t"&amp;"he university's own IT department or in the course of research projects.")</f>
        <v/>
      </c>
      <c r="G557" s="1">
        <f>IFERROR(__xludf.DUMMYFUNCTION("""COMPUTED_VALUE"""),"EdTech Austria")</f>
        <v/>
      </c>
      <c r="H557" s="1">
        <f>IFERROR(__xludf.DUMMYFUNCTION("""COMPUTED_VALUE"""),"English, German, Slovenian")</f>
        <v/>
      </c>
      <c r="I557" s="1">
        <f>IFERROR(__xludf.DUMMYFUNCTION("""COMPUTED_VALUE"""),"office@studo.com")</f>
        <v/>
      </c>
      <c r="J557" s="1">
        <f>IFERROR(__xludf.DUMMYFUNCTION("""COMPUTED_VALUE"""),"+43 660 73 43 165")</f>
        <v/>
      </c>
      <c r="K557" s="1">
        <f>IFERROR(__xludf.DUMMYFUNCTION("""COMPUTED_VALUE"""),"Graz")</f>
        <v/>
      </c>
      <c r="L557" s="1">
        <f>IFERROR(__xludf.DUMMYFUNCTION("""COMPUTED_VALUE"""),"Austria")</f>
        <v/>
      </c>
      <c r="M557" s="1">
        <f>IFERROR(__xludf.DUMMYFUNCTION("""COMPUTED_VALUE"""),"Austria, Germany, Slovenia, Switzerland")</f>
        <v/>
      </c>
      <c r="N557" s="1">
        <f>IFERROR(__xludf.DUMMYFUNCTION("""COMPUTED_VALUE"""),"11 to 50")</f>
        <v/>
      </c>
      <c r="O557" s="1">
        <f>IFERROR(__xludf.DUMMYFUNCTION("""COMPUTED_VALUE"""),"Business to Business, Business to Government, Business to Schools")</f>
        <v/>
      </c>
      <c r="P557" s="1">
        <f>IFERROR(__xludf.DUMMYFUNCTION("""COMPUTED_VALUE"""),"Higher Education")</f>
        <v/>
      </c>
      <c r="Q557" s="1">
        <f>IFERROR(__xludf.DUMMYFUNCTION("""COMPUTED_VALUE"""),"Student interfacing, Teacher interfacing")</f>
        <v/>
      </c>
      <c r="R557" s="15">
        <f>IFERROR(__xludf.DUMMYFUNCTION("""COMPUTED_VALUE"""),"https://www.instagram.com/studoapp/")</f>
        <v/>
      </c>
      <c r="S557" s="15">
        <f>IFERROR(__xludf.DUMMYFUNCTION("""COMPUTED_VALUE"""),"https://twitter.com/studoapp")</f>
        <v/>
      </c>
      <c r="T557" s="15">
        <f>IFERROR(__xludf.DUMMYFUNCTION("""COMPUTED_VALUE"""),"https://www.linkedin.com/company/studo-app")</f>
        <v/>
      </c>
      <c r="U557" s="1">
        <f>IFERROR(__xludf.DUMMYFUNCTION("""COMPUTED_VALUE"""),"Studo App")</f>
        <v/>
      </c>
      <c r="V557" s="1">
        <f>IFERROR(__xludf.DUMMYFUNCTION("""COMPUTED_VALUE"""),"This mobile application, available for Android and iOS, was developed for students to make their daily study life easier. Numerous functions such as mail client, calendar, chat, wiki or newsfeed ensure tens of thousands of satisfied users* in Europe. The "&amp;"app is basically used by students, but can be individualised and optimised by universities or university-related institutions on request.")</f>
        <v/>
      </c>
      <c r="W557" s="1">
        <f>IFERROR(__xludf.DUMMYFUNCTION("""COMPUTED_VALUE"""),"Digital Attendance List")</f>
        <v/>
      </c>
      <c r="X557" s="1">
        <f>IFERROR(__xludf.DUMMYFUNCTION("""COMPUTED_VALUE"""),"With the digital attendance list, universities can reduce administrative work and offer their administrative staff, teachers and students a modern service for recording attendance in courses. The 100 % GDPR-compliant solution provides an overview of atten"&amp;"dance times in real time – both for employees of your university and individually for your students.")</f>
        <v/>
      </c>
      <c r="Y557" s="15">
        <f>IFERROR(__xludf.DUMMYFUNCTION("""COMPUTED_VALUE"""),"https://drive.google.com/uc?export=view&amp;id=1rLQ7gOj9Dc630z6hPEWNld0LmI2kdwB5")</f>
        <v/>
      </c>
      <c r="Z557" s="1">
        <f>IFERROR(__xludf.DUMMYFUNCTION("""COMPUTED_VALUE"""),"Unverified")</f>
        <v/>
      </c>
      <c r="AA557" s="1" t="n"/>
      <c r="AB557" s="1" t="n"/>
      <c r="AC557" s="1" t="n"/>
      <c r="AD557" s="1" t="n"/>
      <c r="AE557" s="1" t="n"/>
    </row>
    <row r="558" ht="42" customHeight="1">
      <c r="A558" s="14">
        <f>IFERROR(__xludf.DUMMYFUNCTION("""COMPUTED_VALUE"""),45238)</f>
        <v/>
      </c>
      <c r="B558" s="1">
        <f>IFERROR(__xludf.DUMMYFUNCTION("""COMPUTED_VALUE"""),"ORG_2556")</f>
        <v/>
      </c>
      <c r="C558" s="1">
        <f>IFERROR(__xludf.DUMMYFUNCTION("""COMPUTED_VALUE"""),TRUE)</f>
        <v/>
      </c>
      <c r="D558" s="1">
        <f>IFERROR(__xludf.DUMMYFUNCTION("""COMPUTED_VALUE"""),"Wyblo")</f>
        <v/>
      </c>
      <c r="E558" s="15">
        <f>IFERROR(__xludf.DUMMYFUNCTION("""COMPUTED_VALUE"""),"www.wyblo.com")</f>
        <v/>
      </c>
      <c r="F558" s="1">
        <f>IFERROR(__xludf.DUMMYFUNCTION("""COMPUTED_VALUE"""),"The all-in-one learning experience platform that education and training program managers can use to oversee the entire course journey. Wyblo platform transforms feedback into accessible data and provides real-time analytics about course performance into c"&amp;"entralized dashboards with different access levels for every stakeholder; we make it easier to improve and ensure the quality of your courses.
At Wyblo, our mission is to transform data and analytics into modes of social interaction that impact the educa"&amp;"tional and professional training world.")</f>
        <v/>
      </c>
      <c r="G558" s="1">
        <f>IFERROR(__xludf.DUMMYFUNCTION("""COMPUTED_VALUE"""),"EdTech Italia")</f>
        <v/>
      </c>
      <c r="H558" s="1">
        <f>IFERROR(__xludf.DUMMYFUNCTION("""COMPUTED_VALUE"""),"Italian, English")</f>
        <v/>
      </c>
      <c r="I558" s="1">
        <f>IFERROR(__xludf.DUMMYFUNCTION("""COMPUTED_VALUE"""),"kevin.giorgis@wyblo.com")</f>
        <v/>
      </c>
      <c r="J558" s="1">
        <f>IFERROR(__xludf.DUMMYFUNCTION("""COMPUTED_VALUE"""),"+39 340 88 55 648")</f>
        <v/>
      </c>
      <c r="K558" s="1">
        <f>IFERROR(__xludf.DUMMYFUNCTION("""COMPUTED_VALUE"""),"BORGO SAN DALMAZZO")</f>
        <v/>
      </c>
      <c r="L558" s="1">
        <f>IFERROR(__xludf.DUMMYFUNCTION("""COMPUTED_VALUE"""),"Italy")</f>
        <v/>
      </c>
      <c r="M558" s="1">
        <f>IFERROR(__xludf.DUMMYFUNCTION("""COMPUTED_VALUE"""),"Italy, United Kingdom")</f>
        <v/>
      </c>
      <c r="N558" s="1">
        <f>IFERROR(__xludf.DUMMYFUNCTION("""COMPUTED_VALUE"""),"3 to 5")</f>
        <v/>
      </c>
      <c r="O558" s="1">
        <f>IFERROR(__xludf.DUMMYFUNCTION("""COMPUTED_VALUE"""),"Business to Consumer, Business to Schools")</f>
        <v/>
      </c>
      <c r="P558" s="1">
        <f>IFERROR(__xludf.DUMMYFUNCTION("""COMPUTED_VALUE"""),"Corporate Training, Lifelong learning/Adult education, Vocational Education and Training (VET)")</f>
        <v/>
      </c>
      <c r="Q558" s="1">
        <f>IFERROR(__xludf.DUMMYFUNCTION("""COMPUTED_VALUE"""),"System/Administrative, Student interfacing")</f>
        <v/>
      </c>
      <c r="R558" s="15">
        <f>IFERROR(__xludf.DUMMYFUNCTION("""COMPUTED_VALUE"""),"https://www.instagram.com/lifeatwyblo/")</f>
        <v/>
      </c>
      <c r="S558" s="1" t="n"/>
      <c r="T558" s="15">
        <f>IFERROR(__xludf.DUMMYFUNCTION("""COMPUTED_VALUE"""),"https://www.linkedin.com/company/wyblo")</f>
        <v/>
      </c>
      <c r="U558" s="1">
        <f>IFERROR(__xludf.DUMMYFUNCTION("""COMPUTED_VALUE"""),"Wyblo for training companies")</f>
        <v/>
      </c>
      <c r="V558" s="1">
        <f>IFERROR(__xludf.DUMMYFUNCTION("""COMPUTED_VALUE"""),"Creating an impactful training experience can be difficult when there are registration emails to be sent, surveys to be managed, and files to share, together with analytics.
Wyblo solves this problem by automating and centralizing all organizational data "&amp;"onto one platform while creating the analytics trainers need to create successful training moments.
Video demo: https://youtu.be/Y6PUkEiXKBg")</f>
        <v/>
      </c>
      <c r="W558" s="1">
        <f>IFERROR(__xludf.DUMMYFUNCTION("""COMPUTED_VALUE"""),"Wyblo for webinars")</f>
        <v/>
      </c>
      <c r="X558" s="1">
        <f>IFERROR(__xludf.DUMMYFUNCTION("""COMPUTED_VALUE"""),"Managing a webinar requires putting together several parts: the creation of the event, the registration, the emailing, the hosting platform, the feedback.
With Wyblo you have an all-in-one platform to simply manage your webinars from registration to feedb"&amp;"ack.
Video demo: https://youtu.be/5n2Kgxzv3BY")</f>
        <v/>
      </c>
      <c r="Y558" s="15">
        <f>IFERROR(__xludf.DUMMYFUNCTION("""COMPUTED_VALUE"""),"https://drive.google.com/uc?export=view&amp;id=1haqq3swoWn7OZ4SZs1XrGW9u7LMgJQdF")</f>
        <v/>
      </c>
      <c r="Z558" s="1">
        <f>IFERROR(__xludf.DUMMYFUNCTION("""COMPUTED_VALUE"""),"Unverified")</f>
        <v/>
      </c>
      <c r="AA558" s="1" t="n"/>
      <c r="AB558" s="1" t="n"/>
      <c r="AC558" s="1" t="n"/>
      <c r="AD558" s="1" t="n"/>
      <c r="AE558" s="1" t="n"/>
    </row>
    <row r="559" ht="42" customHeight="1">
      <c r="A559" s="14">
        <f>IFERROR(__xludf.DUMMYFUNCTION("""COMPUTED_VALUE"""),45238)</f>
        <v/>
      </c>
      <c r="B559" s="1">
        <f>IFERROR(__xludf.DUMMYFUNCTION("""COMPUTED_VALUE"""),"ORG_1090")</f>
        <v/>
      </c>
      <c r="C559" s="1">
        <f>IFERROR(__xludf.DUMMYFUNCTION("""COMPUTED_VALUE"""),TRUE)</f>
        <v/>
      </c>
      <c r="D559" s="1">
        <f>IFERROR(__xludf.DUMMYFUNCTION("""COMPUTED_VALUE"""),"ArchäoNOW")</f>
        <v/>
      </c>
      <c r="E559" s="15">
        <f>IFERROR(__xludf.DUMMYFUNCTION("""COMPUTED_VALUE"""),"www.archaeo-now.com")</f>
        <v/>
      </c>
      <c r="F559" s="1">
        <f>IFERROR(__xludf.DUMMYFUNCTION("""COMPUTED_VALUE"""),"Cultural education &amp; learning. Quiz races. Augmented Reality. ArchäoNOW stands for interactive and innovative quizzes and treasure hunts, for knowledge transfer and new technologies to explore Vienna's inner city (and beyond). By doing so, history becomes"&amp;" tangible and can be experienced. ArchäoNOW awakens the spirit of discovery and revolutionises the way knowledge and cultural heritage are conveyed. The team relies on good storytelling, game-based learning methods and innovative technologies. ArchäoNOW o"&amp;"ffers customised concepts and individual solutions within the framework of the Experience Studio.
With its expertise, ArchäoNOW is one of the world's pioneers in the field of playful cultural education combined with augmented and virtual reality. The tea"&amp;"m wants to give participants access to specific content in the cognitive field. Augmented and virtual reality allow people to fully engage with the environment and the objects within it, while receiving relevant visual and audio content. On an emotional l"&amp;"evel, ArchäoNOW is about making knowledge and culture transfer a vivid, surprising, creative and entertaining experience.")</f>
        <v/>
      </c>
      <c r="G559" s="1">
        <f>IFERROR(__xludf.DUMMYFUNCTION("""COMPUTED_VALUE"""),"EdTech Austria")</f>
        <v/>
      </c>
      <c r="H559" s="1">
        <f>IFERROR(__xludf.DUMMYFUNCTION("""COMPUTED_VALUE"""),"German, English")</f>
        <v/>
      </c>
      <c r="I559" s="1">
        <f>IFERROR(__xludf.DUMMYFUNCTION("""COMPUTED_VALUE"""),"office@archaeo-now.com")</f>
        <v/>
      </c>
      <c r="J559" s="1">
        <f>IFERROR(__xludf.DUMMYFUNCTION("""COMPUTED_VALUE"""),"(+43) 1 5123805")</f>
        <v/>
      </c>
      <c r="K559" s="1">
        <f>IFERROR(__xludf.DUMMYFUNCTION("""COMPUTED_VALUE"""),"Wien")</f>
        <v/>
      </c>
      <c r="L559" s="1">
        <f>IFERROR(__xludf.DUMMYFUNCTION("""COMPUTED_VALUE"""),"Austria")</f>
        <v/>
      </c>
      <c r="M559" s="1">
        <f>IFERROR(__xludf.DUMMYFUNCTION("""COMPUTED_VALUE"""),"Austria")</f>
        <v/>
      </c>
      <c r="N559" s="1">
        <f>IFERROR(__xludf.DUMMYFUNCTION("""COMPUTED_VALUE"""),"0 to 2")</f>
        <v/>
      </c>
      <c r="O559" s="1">
        <f>IFERROR(__xludf.DUMMYFUNCTION("""COMPUTED_VALUE"""),"Business to Business")</f>
        <v/>
      </c>
      <c r="P559" s="1">
        <f>IFERROR(__xludf.DUMMYFUNCTION("""COMPUTED_VALUE"""),"Lifelong learning/Adult education")</f>
        <v/>
      </c>
      <c r="Q559" s="1">
        <f>IFERROR(__xludf.DUMMYFUNCTION("""COMPUTED_VALUE"""),"System/Administrative, Student interfacing, Teacher interfacing")</f>
        <v/>
      </c>
      <c r="R559" s="15">
        <f>IFERROR(__xludf.DUMMYFUNCTION("""COMPUTED_VALUE"""),"https://www.instagram.com/archaeonow/")</f>
        <v/>
      </c>
      <c r="S559" s="1" t="n"/>
      <c r="T559" s="15">
        <f>IFERROR(__xludf.DUMMYFUNCTION("""COMPUTED_VALUE"""),"https://www.linkedin.com/company/archaeonow")</f>
        <v/>
      </c>
      <c r="U559" s="1">
        <f>IFERROR(__xludf.DUMMYFUNCTION("""COMPUTED_VALUE"""),"Escape the Hofburg")</f>
        <v/>
      </c>
      <c r="V559" s="1">
        <f>IFERROR(__xludf.DUMMYFUNCTION("""COMPUTED_VALUE"""),"Immerse yourself in a world full of tricky puzzles that have to be solved with virtual and augmented reality. Face the encrypted tasks in the Hofburg Vienna, a maze and gloomy catacombs await you. 
You will receive special smartphones, a map, a puzzle sh"&amp;"eet and a bag with mysterious clues and equipment. Through the smartphones' display, ArchäoNOW opens a window into imperial Vienna.
As a team you go on a treasure hunt. Everything needed to master the game is provided on site.
Along the way, you will le"&amp;"arn a lot of interesting facts about the Hofburg, its inhabitants and its architectural history. Because: every detail of the game's history hides true historical backgrounds and facts.")</f>
        <v/>
      </c>
      <c r="W559" s="1">
        <f>IFERROR(__xludf.DUMMYFUNCTION("""COMPUTED_VALUE"""),"The Augmented Reality Tour")</f>
        <v/>
      </c>
      <c r="X559" s="1">
        <f>IFERROR(__xludf.DUMMYFUNCTION("""COMPUTED_VALUE"""),"Resurrect lost buildings, solve a historical murder case and follow in Mozart's footsteps on our interactive treasure hunt. On this tour, it is possible for the first time to experience Vienna's city center with the help of state-of-the-art augmented real"&amp;"ity technology.")</f>
        <v/>
      </c>
      <c r="Y559" s="1" t="n"/>
      <c r="Z559" s="1">
        <f>IFERROR(__xludf.DUMMYFUNCTION("""COMPUTED_VALUE"""),"Unverified")</f>
        <v/>
      </c>
      <c r="AA559" s="1" t="n"/>
      <c r="AB559" s="1" t="n"/>
      <c r="AC559" s="1" t="n"/>
      <c r="AD559" s="1" t="n"/>
      <c r="AE559" s="1" t="n"/>
    </row>
    <row r="560" ht="42" customHeight="1">
      <c r="A560" s="14">
        <f>IFERROR(__xludf.DUMMYFUNCTION("""COMPUTED_VALUE"""),45237)</f>
        <v/>
      </c>
      <c r="B560" s="1">
        <f>IFERROR(__xludf.DUMMYFUNCTION("""COMPUTED_VALUE"""),"ORG_1796")</f>
        <v/>
      </c>
      <c r="C560" s="1">
        <f>IFERROR(__xludf.DUMMYFUNCTION("""COMPUTED_VALUE"""),TRUE)</f>
        <v/>
      </c>
      <c r="D560" s="1">
        <f>IFERROR(__xludf.DUMMYFUNCTION("""COMPUTED_VALUE"""),"Kwark Education")</f>
        <v/>
      </c>
      <c r="E560" s="15">
        <f>IFERROR(__xludf.DUMMYFUNCTION("""COMPUTED_VALUE"""),"https://kwark.education/")</f>
        <v/>
      </c>
      <c r="F560" s="1">
        <f>IFERROR(__xludf.DUMMYFUNCTION("""COMPUTED_VALUE"""),"Kwark Education is the leading EdTech in the digital transformation of higher education in France. By bringing together technologies, education and entertainment, Kwark Education is positioned at the heart of the world of education: recruiting, guiding, d"&amp;"igitizing, training, certifying. Kwark Education has unique expertise in the digitization of training courses, an LMS used by 90,000 learners, the certification of distance trainers, an apprentice training center, two media (MCE and Demain TV), an orienta"&amp;"tion and registration service for learners, and an educational metaverse.")</f>
        <v/>
      </c>
      <c r="G560" s="1">
        <f>IFERROR(__xludf.DUMMYFUNCTION("""COMPUTED_VALUE"""),"EdTech France")</f>
        <v/>
      </c>
      <c r="H560" s="1" t="n"/>
      <c r="I560" s="1">
        <f>IFERROR(__xludf.DUMMYFUNCTION("""COMPUTED_VALUE"""),"contact@kwark.education")</f>
        <v/>
      </c>
      <c r="J560" s="1">
        <f>IFERROR(__xludf.DUMMYFUNCTION("""COMPUTED_VALUE"""),"+33 1 86 26 43 62")</f>
        <v/>
      </c>
      <c r="K560" s="1">
        <f>IFERROR(__xludf.DUMMYFUNCTION("""COMPUTED_VALUE"""),"Paris")</f>
        <v/>
      </c>
      <c r="L560" s="1">
        <f>IFERROR(__xludf.DUMMYFUNCTION("""COMPUTED_VALUE"""),"France")</f>
        <v/>
      </c>
      <c r="M560" s="1">
        <f>IFERROR(__xludf.DUMMYFUNCTION("""COMPUTED_VALUE"""),"Belgium, France, Luxembourg, Switzerland")</f>
        <v/>
      </c>
      <c r="N560" s="1">
        <f>IFERROR(__xludf.DUMMYFUNCTION("""COMPUTED_VALUE"""),"51 to 100")</f>
        <v/>
      </c>
      <c r="O560" s="1">
        <f>IFERROR(__xludf.DUMMYFUNCTION("""COMPUTED_VALUE"""),"Business to Business, Business to Consumer, Business to Government, Business to Schools")</f>
        <v/>
      </c>
      <c r="P560" s="1">
        <f>IFERROR(__xludf.DUMMYFUNCTION("""COMPUTED_VALUE"""),"Higher Education, Corporate Training, Lifelong learning/Adult education")</f>
        <v/>
      </c>
      <c r="Q560" s="1">
        <f>IFERROR(__xludf.DUMMYFUNCTION("""COMPUTED_VALUE"""),"Student interfacing, Teacher interfacing, System/Administrative")</f>
        <v/>
      </c>
      <c r="R560" s="1" t="n"/>
      <c r="S560" s="15">
        <f>IFERROR(__xludf.DUMMYFUNCTION("""COMPUTED_VALUE"""),"https://twitter.com/KwarkEducation")</f>
        <v/>
      </c>
      <c r="T560" s="15">
        <f>IFERROR(__xludf.DUMMYFUNCTION("""COMPUTED_VALUE"""),"https://www.linkedin.com/company/kwark-education/")</f>
        <v/>
      </c>
      <c r="U560" s="1">
        <f>IFERROR(__xludf.DUMMYFUNCTION("""COMPUTED_VALUE"""),"Digitalization")</f>
        <v/>
      </c>
      <c r="V560" s="1">
        <f>IFERROR(__xludf.DUMMYFUNCTION("""COMPUTED_VALUE"""),"Tailor-made digitization of training courses")</f>
        <v/>
      </c>
      <c r="W560" s="1">
        <f>IFERROR(__xludf.DUMMYFUNCTION("""COMPUTED_VALUE"""),"Learning Management System")</f>
        <v/>
      </c>
      <c r="X560" s="1">
        <f>IFERROR(__xludf.DUMMYFUNCTION("""COMPUTED_VALUE"""),"SAS learning management system (LMS), named T-Book")</f>
        <v/>
      </c>
      <c r="Y560" s="15">
        <f>IFERROR(__xludf.DUMMYFUNCTION("""COMPUTED_VALUE"""),"https://drive.google.com/uc?export=view&amp;id=1410zBmBoNSbyHch5JMwN0KEU_zobv4YT")</f>
        <v/>
      </c>
      <c r="Z560" s="1">
        <f>IFERROR(__xludf.DUMMYFUNCTION("""COMPUTED_VALUE"""),"Unverified")</f>
        <v/>
      </c>
      <c r="AA560" s="1" t="n"/>
      <c r="AB560" s="1" t="n"/>
      <c r="AC560" s="1" t="n"/>
      <c r="AD560" s="1" t="n"/>
      <c r="AE560" s="1" t="n"/>
    </row>
    <row r="561" ht="42" customHeight="1">
      <c r="A561" s="14">
        <f>IFERROR(__xludf.DUMMYFUNCTION("""COMPUTED_VALUE"""),45237)</f>
        <v/>
      </c>
      <c r="B561" s="1">
        <f>IFERROR(__xludf.DUMMYFUNCTION("""COMPUTED_VALUE"""),"ORG_2405")</f>
        <v/>
      </c>
      <c r="C561" s="1">
        <f>IFERROR(__xludf.DUMMYFUNCTION("""COMPUTED_VALUE"""),TRUE)</f>
        <v/>
      </c>
      <c r="D561" s="1">
        <f>IFERROR(__xludf.DUMMYFUNCTION("""COMPUTED_VALUE"""),"THEIA")</f>
        <v/>
      </c>
      <c r="E561" s="15">
        <f>IFERROR(__xludf.DUMMYFUNCTION("""COMPUTED_VALUE"""),"https://www.theia.fr/en/")</f>
        <v/>
      </c>
      <c r="F561" s="1">
        <f>IFERROR(__xludf.DUMMYFUNCTION("""COMPUTED_VALUE"""),"The THEIA platform is a SaaS solution specializing in digital education. With over 250,000 users and over 80 million exams completed over the past 15 years, THEIA is an innovative, reliable, and proven platform to meet the most complex online exam needs. "&amp;"E-learning and Data Analytics modules enrich THEIA's functionalities and make the platform a complete, easy-to-use, and customizable solution that helps you achieve your pedagogical objectives.
Today, THEIA is the European leader for large scale online e"&amp;"xams in person or remote.")</f>
        <v/>
      </c>
      <c r="G561" s="1">
        <f>IFERROR(__xludf.DUMMYFUNCTION("""COMPUTED_VALUE"""),"EdTech France")</f>
        <v/>
      </c>
      <c r="H561" s="1" t="n"/>
      <c r="I561" s="1">
        <f>IFERROR(__xludf.DUMMYFUNCTION("""COMPUTED_VALUE"""),"contact@theia.fr")</f>
        <v/>
      </c>
      <c r="J561" s="1">
        <f>IFERROR(__xludf.DUMMYFUNCTION("""COMPUTED_VALUE"""),"+33458479050")</f>
        <v/>
      </c>
      <c r="K561" s="1">
        <f>IFERROR(__xludf.DUMMYFUNCTION("""COMPUTED_VALUE"""),"GRENOBLE")</f>
        <v/>
      </c>
      <c r="L561" s="1">
        <f>IFERROR(__xludf.DUMMYFUNCTION("""COMPUTED_VALUE"""),"France")</f>
        <v/>
      </c>
      <c r="M561" s="1">
        <f>IFERROR(__xludf.DUMMYFUNCTION("""COMPUTED_VALUE"""),"Belgium, France, Germany, Italy, Portugal, Spain, Switzerland")</f>
        <v/>
      </c>
      <c r="N561" s="1">
        <f>IFERROR(__xludf.DUMMYFUNCTION("""COMPUTED_VALUE"""),"11 to 50")</f>
        <v/>
      </c>
      <c r="O561" s="1">
        <f>IFERROR(__xludf.DUMMYFUNCTION("""COMPUTED_VALUE"""),"Business to Consumer, Business to Schools")</f>
        <v/>
      </c>
      <c r="P561" s="1">
        <f>IFERROR(__xludf.DUMMYFUNCTION("""COMPUTED_VALUE"""),"Secondary Education, Higher Education, Corporate Training")</f>
        <v/>
      </c>
      <c r="Q561" s="1">
        <f>IFERROR(__xludf.DUMMYFUNCTION("""COMPUTED_VALUE"""),"Teacher interfacing, System/Administrative")</f>
        <v/>
      </c>
      <c r="R561" s="1" t="n"/>
      <c r="S561" s="15">
        <f>IFERROR(__xludf.DUMMYFUNCTION("""COMPUTED_VALUE"""),"https://twitter.com/edutheia?lang=en")</f>
        <v/>
      </c>
      <c r="T561" s="15">
        <f>IFERROR(__xludf.DUMMYFUNCTION("""COMPUTED_VALUE"""),"https://www.linkedin.com/company/sas-theia/mycompany/verification/?viewAsMember=true")</f>
        <v/>
      </c>
      <c r="U561" s="1">
        <f>IFERROR(__xludf.DUMMYFUNCTION("""COMPUTED_VALUE"""),"THEIA Exam")</f>
        <v/>
      </c>
      <c r="V561" s="1">
        <f>IFERROR(__xludf.DUMMYFUNCTION("""COMPUTED_VALUE"""),"THEIA replaces paper assessments with a secure digital solution, proven by hundreds of thousands of learners. This innovative solution is unique in Europe allows to deliver certifying exams on tablets and laptops. The platform is made of modules allowing "&amp;"the assessment of knowledge, competencies and performance.")</f>
        <v/>
      </c>
      <c r="W561" s="1" t="n"/>
      <c r="X561" s="1" t="n"/>
      <c r="Y561" s="15">
        <f>IFERROR(__xludf.DUMMYFUNCTION("""COMPUTED_VALUE"""),"https://drive.google.com/uc?export=view&amp;id=1r_9D2exC8AK3L6IrC3NPUe5C0PVGzqcJ")</f>
        <v/>
      </c>
      <c r="Z561" s="1">
        <f>IFERROR(__xludf.DUMMYFUNCTION("""COMPUTED_VALUE"""),"Unverified")</f>
        <v/>
      </c>
      <c r="AA561" s="1" t="n"/>
      <c r="AB561" s="1" t="n"/>
      <c r="AC561" s="1" t="n"/>
      <c r="AD561" s="1" t="n"/>
      <c r="AE561" s="1" t="n"/>
    </row>
    <row r="562" ht="42" customHeight="1">
      <c r="A562" s="14">
        <f>IFERROR(__xludf.DUMMYFUNCTION("""COMPUTED_VALUE"""),45237)</f>
        <v/>
      </c>
      <c r="B562" s="1">
        <f>IFERROR(__xludf.DUMMYFUNCTION("""COMPUTED_VALUE"""),"ORG_2457")</f>
        <v/>
      </c>
      <c r="C562" s="1">
        <f>IFERROR(__xludf.DUMMYFUNCTION("""COMPUTED_VALUE"""),TRUE)</f>
        <v/>
      </c>
      <c r="D562" s="1">
        <f>IFERROR(__xludf.DUMMYFUNCTION("""COMPUTED_VALUE"""),"ULYS")</f>
        <v/>
      </c>
      <c r="E562" s="15">
        <f>IFERROR(__xludf.DUMMYFUNCTION("""COMPUTED_VALUE"""),"https://www.ulys-europe.eu/")</f>
        <v/>
      </c>
      <c r="F562" s="1">
        <f>IFERROR(__xludf.DUMMYFUNCTION("""COMPUTED_VALUE"""),"FIRST SOCIAL NETWORK OF YOUNG PLURILINGUAL AND MOBILE EUROPEAN PEN PAL
ULYS is a social network of young European pen pals from 11 to 18 years old with a platform to quickly find pen pal and interest group and instant messenger to chat, audio and video.")</f>
        <v/>
      </c>
      <c r="G562" s="1">
        <f>IFERROR(__xludf.DUMMYFUNCTION("""COMPUTED_VALUE"""),"EdTech France")</f>
        <v/>
      </c>
      <c r="H562" s="1" t="n"/>
      <c r="I562" s="1">
        <f>IFERROR(__xludf.DUMMYFUNCTION("""COMPUTED_VALUE"""),"francois.amara@ulys-europe.eu")</f>
        <v/>
      </c>
      <c r="J562" s="1">
        <f>IFERROR(__xludf.DUMMYFUNCTION("""COMPUTED_VALUE"""),"+33 (0)6 79 91 07 38")</f>
        <v/>
      </c>
      <c r="K562" s="1">
        <f>IFERROR(__xludf.DUMMYFUNCTION("""COMPUTED_VALUE"""),"Paris")</f>
        <v/>
      </c>
      <c r="L562" s="1">
        <f>IFERROR(__xludf.DUMMYFUNCTION("""COMPUTED_VALUE"""),"France")</f>
        <v/>
      </c>
      <c r="M562" s="1">
        <f>IFERROR(__xludf.DUMMYFUNCTION("""COMPUTED_VALUE"""),"France, Germany, United Kingdom")</f>
        <v/>
      </c>
      <c r="N562" s="1">
        <f>IFERROR(__xludf.DUMMYFUNCTION("""COMPUTED_VALUE"""),"0 to 10")</f>
        <v/>
      </c>
      <c r="O562" s="1">
        <f>IFERROR(__xludf.DUMMYFUNCTION("""COMPUTED_VALUE"""),"Business to Consumer, Business to Schools")</f>
        <v/>
      </c>
      <c r="P562" s="1">
        <f>IFERROR(__xludf.DUMMYFUNCTION("""COMPUTED_VALUE"""),"Secondary Education")</f>
        <v/>
      </c>
      <c r="Q562" s="1">
        <f>IFERROR(__xludf.DUMMYFUNCTION("""COMPUTED_VALUE"""),"System/Administrative, Student interfacing, Teacher interfacing")</f>
        <v/>
      </c>
      <c r="R562" s="1" t="n"/>
      <c r="S562" s="15">
        <f>IFERROR(__xludf.DUMMYFUNCTION("""COMPUTED_VALUE"""),"https://twitter.com/EuropeUlys")</f>
        <v/>
      </c>
      <c r="T562" s="15">
        <f>IFERROR(__xludf.DUMMYFUNCTION("""COMPUTED_VALUE"""),"https://www.ulys-europe.eu/")</f>
        <v/>
      </c>
      <c r="U562" s="1">
        <f>IFERROR(__xludf.DUMMYFUNCTION("""COMPUTED_VALUE"""),"ULYS")</f>
        <v/>
      </c>
      <c r="V562" s="1">
        <f>IFERROR(__xludf.DUMMYFUNCTION("""COMPUTED_VALUE"""),"FIRST SOCIAL NETWORK OF YOUNG PLURILINGUAL AND MOBILE EUROPEAN PEN PAL
ULYS is a social network of young European pen pals from 11 to 18 years old with a platform to quickly find pen pal and interest group and instant messenger to chat, audio and video.")</f>
        <v/>
      </c>
      <c r="W562" s="1" t="n"/>
      <c r="X562" s="1" t="n"/>
      <c r="Y562" s="15">
        <f>IFERROR(__xludf.DUMMYFUNCTION("""COMPUTED_VALUE"""),"https://drive.google.com/uc?export=view&amp;id=1-TsMHv-6_PhQ_Cfi9mt2zztaSkAzKlCz")</f>
        <v/>
      </c>
      <c r="Z562" s="1">
        <f>IFERROR(__xludf.DUMMYFUNCTION("""COMPUTED_VALUE"""),"Unverified")</f>
        <v/>
      </c>
      <c r="AA562" s="1" t="n"/>
      <c r="AB562" s="1" t="n"/>
      <c r="AC562" s="1" t="n"/>
      <c r="AD562" s="1" t="n"/>
      <c r="AE562" s="1" t="n"/>
    </row>
    <row r="563" ht="42" customHeight="1">
      <c r="A563" s="14">
        <f>IFERROR(__xludf.DUMMYFUNCTION("""COMPUTED_VALUE"""),45234)</f>
        <v/>
      </c>
      <c r="B563" s="1">
        <f>IFERROR(__xludf.DUMMYFUNCTION("""COMPUTED_VALUE"""),"ORG_1878")</f>
        <v/>
      </c>
      <c r="C563" s="1">
        <f>IFERROR(__xludf.DUMMYFUNCTION("""COMPUTED_VALUE"""),TRUE)</f>
        <v/>
      </c>
      <c r="D563" s="1">
        <f>IFERROR(__xludf.DUMMYFUNCTION("""COMPUTED_VALUE"""),"Limitless Education")</f>
        <v/>
      </c>
      <c r="E563" s="15">
        <f>IFERROR(__xludf.DUMMYFUNCTION("""COMPUTED_VALUE"""),"https://www.limitlessedu.app/")</f>
        <v/>
      </c>
      <c r="F563" s="1">
        <f>IFERROR(__xludf.DUMMYFUNCTION("""COMPUTED_VALUE"""),"The mission of our company is to improve the educational system. We firmly believe that technology is a great ally to achieve this goal and that is why we have created an augmented reality application that allows us to regain motivation in the classrooms.")</f>
        <v/>
      </c>
      <c r="G563" s="1">
        <f>IFERROR(__xludf.DUMMYFUNCTION("""COMPUTED_VALUE"""),"SEK Lab")</f>
        <v/>
      </c>
      <c r="H563" s="1">
        <f>IFERROR(__xludf.DUMMYFUNCTION("""COMPUTED_VALUE"""),"Spanish, English")</f>
        <v/>
      </c>
      <c r="I563" s="1">
        <f>IFERROR(__xludf.DUMMYFUNCTION("""COMPUTED_VALUE"""),"contact@limitlessedu.app")</f>
        <v/>
      </c>
      <c r="J563" s="1">
        <f>IFERROR(__xludf.DUMMYFUNCTION("""COMPUTED_VALUE"""),"659252645")</f>
        <v/>
      </c>
      <c r="K563" s="1">
        <f>IFERROR(__xludf.DUMMYFUNCTION("""COMPUTED_VALUE"""),"MADRID")</f>
        <v/>
      </c>
      <c r="L563" s="1">
        <f>IFERROR(__xludf.DUMMYFUNCTION("""COMPUTED_VALUE"""),"Spain")</f>
        <v/>
      </c>
      <c r="M563" s="1">
        <f>IFERROR(__xludf.DUMMYFUNCTION("""COMPUTED_VALUE"""),"Spain")</f>
        <v/>
      </c>
      <c r="N563" s="1">
        <f>IFERROR(__xludf.DUMMYFUNCTION("""COMPUTED_VALUE"""),"0 to 2")</f>
        <v/>
      </c>
      <c r="O563" s="1">
        <f>IFERROR(__xludf.DUMMYFUNCTION("""COMPUTED_VALUE"""),"Business to Schools, Business to Government")</f>
        <v/>
      </c>
      <c r="P563" s="1">
        <f>IFERROR(__xludf.DUMMYFUNCTION("""COMPUTED_VALUE"""),"Primary Education")</f>
        <v/>
      </c>
      <c r="Q563" s="1">
        <f>IFERROR(__xludf.DUMMYFUNCTION("""COMPUTED_VALUE"""),"Teacher interfacing, System/Administrative")</f>
        <v/>
      </c>
      <c r="R563" s="1">
        <f>IFERROR(__xludf.DUMMYFUNCTION("""COMPUTED_VALUE"""),"@limitlesseduc")</f>
        <v/>
      </c>
      <c r="S563" s="1">
        <f>IFERROR(__xludf.DUMMYFUNCTION("""COMPUTED_VALUE"""),"@limitlesseduapp")</f>
        <v/>
      </c>
      <c r="T563" s="15">
        <f>IFERROR(__xludf.DUMMYFUNCTION("""COMPUTED_VALUE"""),"https://www.linkedin.com/company/limitlesseduc")</f>
        <v/>
      </c>
      <c r="U563" s="1">
        <f>IFERROR(__xludf.DUMMYFUNCTION("""COMPUTED_VALUE"""),"Limitless Education")</f>
        <v/>
      </c>
      <c r="V563" s="1">
        <f>IFERROR(__xludf.DUMMYFUNCTION("""COMPUTED_VALUE"""),"Our product is an augmented reality app for primary classes, focused on recovering motivation in the classrooms.
We are specialized in the subjects of natural sciences and social sciences. We offer not only all the content of the subjects in 3 dimensions"&amp;", but we have designed unique activities that allow us to reinforce the learning of the subject, as well as maintain constant motivation among the students.")</f>
        <v/>
      </c>
      <c r="W563" s="1" t="n"/>
      <c r="X563" s="1" t="n"/>
      <c r="Y563" s="15">
        <f>IFERROR(__xludf.DUMMYFUNCTION("""COMPUTED_VALUE"""),"https://drive.google.com/uc?export=view&amp;id=1yxfYpDFsuliVSw3C8zzXIDSCqu8xEtHC")</f>
        <v/>
      </c>
      <c r="Z563" s="1">
        <f>IFERROR(__xludf.DUMMYFUNCTION("""COMPUTED_VALUE"""),"Unverified")</f>
        <v/>
      </c>
      <c r="AA563" s="1" t="n"/>
      <c r="AB563" s="1" t="n"/>
      <c r="AC563" s="1" t="n"/>
      <c r="AD563" s="1" t="n"/>
      <c r="AE563" s="1" t="n"/>
    </row>
    <row r="564" ht="42" customHeight="1">
      <c r="A564" s="14">
        <f>IFERROR(__xludf.DUMMYFUNCTION("""COMPUTED_VALUE"""),45232)</f>
        <v/>
      </c>
      <c r="B564" s="1">
        <f>IFERROR(__xludf.DUMMYFUNCTION("""COMPUTED_VALUE"""),"ORG_2135")</f>
        <v/>
      </c>
      <c r="C564" s="1">
        <f>IFERROR(__xludf.DUMMYFUNCTION("""COMPUTED_VALUE"""),TRUE)</f>
        <v/>
      </c>
      <c r="D564" s="1">
        <f>IFERROR(__xludf.DUMMYFUNCTION("""COMPUTED_VALUE"""),"PsyPhy")</f>
        <v/>
      </c>
      <c r="E564" s="15">
        <f>IFERROR(__xludf.DUMMYFUNCTION("""COMPUTED_VALUE"""),"www.psyphy.io")</f>
        <v/>
      </c>
      <c r="F564" s="1">
        <f>IFERROR(__xludf.DUMMYFUNCTION("""COMPUTED_VALUE"""),"At PsyPhy, our mission is to revolutionize neurophysiological education and research by providing accessible and innovative solutions. We are dedicated to empowering students, educators, and researchers with cutting-edge psycho-physiological technologies,"&amp;" extensive educational platforms, and exceptional support. By bridging the gap between theory and practice, we strive to inspire curiosity, deepen understanding, and unlock the full potential of neuroscientific exploration. Our mission is driven by a comm"&amp;"itment to excellence, innovation, and the advancement of knowledge for the betterment of individuals and society as a whole.")</f>
        <v/>
      </c>
      <c r="G564" s="1">
        <f>IFERROR(__xludf.DUMMYFUNCTION("""COMPUTED_VALUE"""),"Dutch EdTech")</f>
        <v/>
      </c>
      <c r="H564" s="1">
        <f>IFERROR(__xludf.DUMMYFUNCTION("""COMPUTED_VALUE"""),"English, Dutch, German")</f>
        <v/>
      </c>
      <c r="I564" s="1">
        <f>IFERROR(__xludf.DUMMYFUNCTION("""COMPUTED_VALUE"""),"info@psyphy.io")</f>
        <v/>
      </c>
      <c r="J564" s="1">
        <f>IFERROR(__xludf.DUMMYFUNCTION("""COMPUTED_VALUE"""),"+49 172 59 44 763")</f>
        <v/>
      </c>
      <c r="K564" s="1">
        <f>IFERROR(__xludf.DUMMYFUNCTION("""COMPUTED_VALUE"""),"AMSTERDAM")</f>
        <v/>
      </c>
      <c r="L564" s="1">
        <f>IFERROR(__xludf.DUMMYFUNCTION("""COMPUTED_VALUE"""),"The Netherlands")</f>
        <v/>
      </c>
      <c r="M56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564" s="1">
        <f>IFERROR(__xludf.DUMMYFUNCTION("""COMPUTED_VALUE"""),"3 to 5")</f>
        <v/>
      </c>
      <c r="O564" s="1">
        <f>IFERROR(__xludf.DUMMYFUNCTION("""COMPUTED_VALUE"""),"Business to Business, Business to Schools, Business to Consumer, Business to Government")</f>
        <v/>
      </c>
      <c r="P564" s="1">
        <f>IFERROR(__xludf.DUMMYFUNCTION("""COMPUTED_VALUE"""),"Secondary Education, Vocational Education and Training (VET), Higher Education")</f>
        <v/>
      </c>
      <c r="Q564" s="1">
        <f>IFERROR(__xludf.DUMMYFUNCTION("""COMPUTED_VALUE"""),"Teacher interfacing, System/Administrative")</f>
        <v/>
      </c>
      <c r="R564" s="1" t="n"/>
      <c r="S564" s="1" t="n"/>
      <c r="T564" s="15">
        <f>IFERROR(__xludf.DUMMYFUNCTION("""COMPUTED_VALUE"""),"https://www.linkedin.com/company/psyphyamsterdam/")</f>
        <v/>
      </c>
      <c r="U564" s="1">
        <f>IFERROR(__xludf.DUMMYFUNCTION("""COMPUTED_VALUE"""),"Mobile Lab")</f>
        <v/>
      </c>
      <c r="V564" s="1">
        <f>IFERROR(__xludf.DUMMYFUNCTION("""COMPUTED_VALUE"""),"The Complete Solution to Empower Scientific Inquiry.
Say goodbye to the hassle of sourcing individual components and embrace the convenience of having a complete research solution at your fingertips. Take your neuroscientific research anywhere with PsyPh"&amp;"y’s portable Mobile Lab. Its compact design and easy layout make it perfect for transport, giving you the freedom to conduct research in diverse settings. Whether you’re in the lab, the classroom, or conducting field studies, our extensive suitcase provid"&amp;"es you with everything needed to conduct cutting-edge investigations in the field of EEG, EOG, EMG, ECG, and GSR research. Say goodbye to the hassle of sourcing individual components and embrace the convenience of having a complete research solution at yo"&amp;"ur fingertips.")</f>
        <v/>
      </c>
      <c r="W564" s="1">
        <f>IFERROR(__xludf.DUMMYFUNCTION("""COMPUTED_VALUE"""),"EEG Amplifier")</f>
        <v/>
      </c>
      <c r="X564" s="1">
        <f>IFERROR(__xludf.DUMMYFUNCTION("""COMPUTED_VALUE"""),"Unlock the Power of Neurotechnology Research.
Designed for educational environments, our state-of-the-art device offers unmatched precision and accessibility. With a user-friendly interface and comprehensive educational suite, our amplifier seamlessly in"&amp;"tegrates into curricula, enabling students to explore the complexities of the human mind effortlessly. 
Our amplifier goes beyond EEG. It also records vital physiological signals like ERPs, ECG for heart activity, EOG for eye movements, EMC for muscle mov"&amp;"ements, and GSR for skin conductivity. This encompassing functionality fuels exploration of the brain’s connections to physiological responses and cognitive functions.")</f>
        <v/>
      </c>
      <c r="Y564" s="15">
        <f>IFERROR(__xludf.DUMMYFUNCTION("""COMPUTED_VALUE"""),"https://drive.google.com/uc?export=view&amp;id=1VQjEWqy3hX5HdvlDLdcJaIjth0LTaKTS")</f>
        <v/>
      </c>
      <c r="Z564" s="1">
        <f>IFERROR(__xludf.DUMMYFUNCTION("""COMPUTED_VALUE"""),"Unverified")</f>
        <v/>
      </c>
      <c r="AA564" s="1" t="n"/>
      <c r="AB564" s="1" t="n"/>
      <c r="AC564" s="1" t="n"/>
      <c r="AD564" s="1" t="n"/>
      <c r="AE564" s="1" t="n"/>
    </row>
    <row r="565" ht="42" customHeight="1">
      <c r="A565" s="14">
        <f>IFERROR(__xludf.DUMMYFUNCTION("""COMPUTED_VALUE"""),45230)</f>
        <v/>
      </c>
      <c r="B565" s="1">
        <f>IFERROR(__xludf.DUMMYFUNCTION("""COMPUTED_VALUE"""),"ORG_1339")</f>
        <v/>
      </c>
      <c r="C565" s="1">
        <f>IFERROR(__xludf.DUMMYFUNCTION("""COMPUTED_VALUE"""),TRUE)</f>
        <v/>
      </c>
      <c r="D565" s="1">
        <f>IFERROR(__xludf.DUMMYFUNCTION("""COMPUTED_VALUE"""),"Desku")</f>
        <v/>
      </c>
      <c r="E565" s="15">
        <f>IFERROR(__xludf.DUMMYFUNCTION("""COMPUTED_VALUE"""),"www.desku.fi")</f>
        <v/>
      </c>
      <c r="F565" s="1">
        <f>IFERROR(__xludf.DUMMYFUNCTION("""COMPUTED_VALUE"""),"Our main product is Single Sign On Digital desktop for schools. Our services make student's and teacher's everyday digital work easier. Our SaaS solutions reduce IT department’s work. Our team includes education and IT-professionals, which make us really "&amp;"good at understanding clients problems. We are active member of Finnish digital edu-ecosystem. We help service providers to implement Finland’s national MPASSid school authentication service correctly. If your company want to enter Finnish education marke"&amp;"t, we can help you to sort out the technical issues.")</f>
        <v/>
      </c>
      <c r="G565" s="1">
        <f>IFERROR(__xludf.DUMMYFUNCTION("""COMPUTED_VALUE"""),"EdTech Finland")</f>
        <v/>
      </c>
      <c r="H565" s="1">
        <f>IFERROR(__xludf.DUMMYFUNCTION("""COMPUTED_VALUE"""),"Finnish, Swedish, English")</f>
        <v/>
      </c>
      <c r="I565" s="1" t="n"/>
      <c r="J565" s="1" t="n"/>
      <c r="K565" s="1">
        <f>IFERROR(__xludf.DUMMYFUNCTION("""COMPUTED_VALUE"""),"RUSKO")</f>
        <v/>
      </c>
      <c r="L565" s="1">
        <f>IFERROR(__xludf.DUMMYFUNCTION("""COMPUTED_VALUE"""),"Finland")</f>
        <v/>
      </c>
      <c r="M565" s="1">
        <f>IFERROR(__xludf.DUMMYFUNCTION("""COMPUTED_VALUE"""),"Finland")</f>
        <v/>
      </c>
      <c r="N565" s="1">
        <f>IFERROR(__xludf.DUMMYFUNCTION("""COMPUTED_VALUE"""),"0 to 2")</f>
        <v/>
      </c>
      <c r="O565" s="1">
        <f>IFERROR(__xludf.DUMMYFUNCTION("""COMPUTED_VALUE"""),"Business to Business, Business to Consumer, Business to Government, Business to Schools")</f>
        <v/>
      </c>
      <c r="P565" s="1">
        <f>IFERROR(__xludf.DUMMYFUNCTION("""COMPUTED_VALUE"""),"Early childhood development (0-5 years), Primary Education, Secondary Education, Vocational Education and Training (VET), Higher Education")</f>
        <v/>
      </c>
      <c r="Q565" s="1">
        <f>IFERROR(__xludf.DUMMYFUNCTION("""COMPUTED_VALUE"""),"Teacher interfacing, System/Administrative, Student interfacing")</f>
        <v/>
      </c>
      <c r="R565" s="1" t="n"/>
      <c r="S565" s="1" t="n"/>
      <c r="T565" s="1" t="n"/>
      <c r="U565" s="1">
        <f>IFERROR(__xludf.DUMMYFUNCTION("""COMPUTED_VALUE"""),"Desku")</f>
        <v/>
      </c>
      <c r="V565" s="1">
        <f>IFERROR(__xludf.DUMMYFUNCTION("""COMPUTED_VALUE"""),"SSO digital desktop service.")</f>
        <v/>
      </c>
      <c r="W565" s="1">
        <f>IFERROR(__xludf.DUMMYFUNCTION("""COMPUTED_VALUE"""),"MPASSid Consultation")</f>
        <v/>
      </c>
      <c r="X565" s="1">
        <f>IFERROR(__xludf.DUMMYFUNCTION("""COMPUTED_VALUE"""),"We help service providers to implement Finland’s national MPASSid authentication service correctly. https://www.oph.fi/en/finnish-national-agency-education-services/mpassid
If your company want to enter Finnish digital education markets, we can help you w"&amp;"ith MASSid.")</f>
        <v/>
      </c>
      <c r="Y565" s="15">
        <f>IFERROR(__xludf.DUMMYFUNCTION("""COMPUTED_VALUE"""),"https://drive.google.com/uc?export=view&amp;id=1u2cRghPZ4KB5LU4WPxrTr1Zckric6s_D")</f>
        <v/>
      </c>
      <c r="Z565" s="1">
        <f>IFERROR(__xludf.DUMMYFUNCTION("""COMPUTED_VALUE"""),"Unverified")</f>
        <v/>
      </c>
      <c r="AA565" s="1" t="n"/>
      <c r="AB565" s="1" t="n"/>
      <c r="AC565" s="1" t="n"/>
      <c r="AD565" s="1" t="n"/>
      <c r="AE565" s="1" t="n"/>
    </row>
    <row r="566" ht="42" customHeight="1">
      <c r="A566" s="14">
        <f>IFERROR(__xludf.DUMMYFUNCTION("""COMPUTED_VALUE"""),45229)</f>
        <v/>
      </c>
      <c r="B566" s="1">
        <f>IFERROR(__xludf.DUMMYFUNCTION("""COMPUTED_VALUE"""),"ORG_2293")</f>
        <v/>
      </c>
      <c r="C566" s="1">
        <f>IFERROR(__xludf.DUMMYFUNCTION("""COMPUTED_VALUE"""),TRUE)</f>
        <v/>
      </c>
      <c r="D566" s="1">
        <f>IFERROR(__xludf.DUMMYFUNCTION("""COMPUTED_VALUE"""),"SolveitNOW")</f>
        <v/>
      </c>
      <c r="E566" s="15">
        <f>IFERROR(__xludf.DUMMYFUNCTION("""COMPUTED_VALUE"""),"www.SolveitNOW.org")</f>
        <v/>
      </c>
      <c r="F566" s="1">
        <f>IFERROR(__xludf.DUMMYFUNCTION("""COMPUTED_VALUE"""),"SolveitNOW is a peer-learning app to help high-school and college students to get ""Better Understanding"" of Math / Science.
We are solving the problem of high school/college students struggling to understand STEM subjects by empowering them to learn th"&amp;"rough problem-based peer-collaboration.
With SolveitNOW.app, students can 
— Ask questions and get helpful HINTS and FEEDBACK on answers from peers. 
— Gain a deeper understanding of the concepts.
— Develop critical thinking skills and a growth mindset.")</f>
        <v/>
      </c>
      <c r="G566" s="1">
        <f>IFERROR(__xludf.DUMMYFUNCTION("""COMPUTED_VALUE"""),"I'm not part of any EdTech association")</f>
        <v/>
      </c>
      <c r="H566" s="1">
        <f>IFERROR(__xludf.DUMMYFUNCTION("""COMPUTED_VALUE"""),"English")</f>
        <v/>
      </c>
      <c r="I566" s="1">
        <f>IFERROR(__xludf.DUMMYFUNCTION("""COMPUTED_VALUE"""),"shekhar@solveitnow.org")</f>
        <v/>
      </c>
      <c r="J566" s="1">
        <f>IFERROR(__xludf.DUMMYFUNCTION("""COMPUTED_VALUE"""),"+16466269137")</f>
        <v/>
      </c>
      <c r="K566" s="1">
        <f>IFERROR(__xludf.DUMMYFUNCTION("""COMPUTED_VALUE"""),"Tallinn")</f>
        <v/>
      </c>
      <c r="L566" s="1">
        <f>IFERROR(__xludf.DUMMYFUNCTION("""COMPUTED_VALUE"""),"Estonia")</f>
        <v/>
      </c>
      <c r="M566" s="1">
        <f>IFERROR(__xludf.DUMMYFUNCTION("""COMPUTED_VALUE"""),"Estonia")</f>
        <v/>
      </c>
      <c r="N566" s="1">
        <f>IFERROR(__xludf.DUMMYFUNCTION("""COMPUTED_VALUE"""),"0 to 2")</f>
        <v/>
      </c>
      <c r="O566" s="1">
        <f>IFERROR(__xludf.DUMMYFUNCTION("""COMPUTED_VALUE"""),"Business to Schools, Business to Consumer")</f>
        <v/>
      </c>
      <c r="P566" s="1">
        <f>IFERROR(__xludf.DUMMYFUNCTION("""COMPUTED_VALUE"""),"Secondary Education, Higher Education")</f>
        <v/>
      </c>
      <c r="Q566" s="1">
        <f>IFERROR(__xludf.DUMMYFUNCTION("""COMPUTED_VALUE"""),"Student interfacing, Teacher interfacing")</f>
        <v/>
      </c>
      <c r="R566" s="1" t="n"/>
      <c r="S566" s="15">
        <f>IFERROR(__xludf.DUMMYFUNCTION("""COMPUTED_VALUE"""),"https://www.x.com/@hellosolveit")</f>
        <v/>
      </c>
      <c r="T566" s="15">
        <f>IFERROR(__xludf.DUMMYFUNCTION("""COMPUTED_VALUE"""),"https://www.linkedin.com/company/solveitnow-inc")</f>
        <v/>
      </c>
      <c r="U566" s="1">
        <f>IFERROR(__xludf.DUMMYFUNCTION("""COMPUTED_VALUE"""),"SolveitNOW")</f>
        <v/>
      </c>
      <c r="V566" s="1">
        <f>IFERROR(__xludf.DUMMYFUNCTION("""COMPUTED_VALUE"""),"We are solving the problem of high school/college students struggling to understand STEM subjects by empowering them to learn through problem-based peer-collaboration. Consider Monica, a high school senior — Who is generally comfortable in her classes but"&amp;" often struggles with complex concepts and questions. — She sometimes feels isolated and demotivated. With SolveitNOW.app, Monica can — ask questions and get helpful HINTS and FEEDBACK on her answers from her bright-peers. —This helps her to solve the que"&amp;"stions on her own and gain a deeper understanding of the concepts. — Moreover, engaging in this problem-based collaboration also helps Monica develop critical thinking skills and a growth mindset.")</f>
        <v/>
      </c>
      <c r="W566" s="1" t="n"/>
      <c r="X566" s="1" t="n"/>
      <c r="Y566" s="15">
        <f>IFERROR(__xludf.DUMMYFUNCTION("""COMPUTED_VALUE"""),"https://drive.google.com/uc?export=view&amp;id=1QdrhPwigUTvHxzGuo0VZIRZi-Hem9Pzg")</f>
        <v/>
      </c>
      <c r="Z566" s="1">
        <f>IFERROR(__xludf.DUMMYFUNCTION("""COMPUTED_VALUE"""),"Unverified")</f>
        <v/>
      </c>
      <c r="AA566" s="1" t="n"/>
      <c r="AB566" s="1" t="n"/>
      <c r="AC566" s="1" t="n"/>
      <c r="AD566" s="1" t="n"/>
      <c r="AE566" s="1" t="n"/>
    </row>
    <row r="567" ht="42" customHeight="1">
      <c r="A567" s="14">
        <f>IFERROR(__xludf.DUMMYFUNCTION("""COMPUTED_VALUE"""),45225)</f>
        <v/>
      </c>
      <c r="B567" s="1">
        <f>IFERROR(__xludf.DUMMYFUNCTION("""COMPUTED_VALUE"""),"ORG_1688")</f>
        <v/>
      </c>
      <c r="C567" s="1">
        <f>IFERROR(__xludf.DUMMYFUNCTION("""COMPUTED_VALUE"""),TRUE)</f>
        <v/>
      </c>
      <c r="D567" s="1">
        <f>IFERROR(__xludf.DUMMYFUNCTION("""COMPUTED_VALUE"""),"HUB21 Learning")</f>
        <v/>
      </c>
      <c r="E567" s="15">
        <f>IFERROR(__xludf.DUMMYFUNCTION("""COMPUTED_VALUE"""),"https://www.thehub21.com/")</f>
        <v/>
      </c>
      <c r="F567" s="1">
        <f>IFERROR(__xludf.DUMMYFUNCTION("""COMPUTED_VALUE"""),"Hub21 is an AI and live learning platform with the mission to help students find their passion and achieve their dreams in tech. Hub21 offers curriculums in Computer Science, Game development taught by near-peer instructors from top universities and a sel"&amp;"f-learning platform supported by AI, CodeDuo.
The company is headquartered in London and was awarded by UNDP, and completed in UCL Edtech Lab, Google for Startups programs.")</f>
        <v/>
      </c>
      <c r="G567" s="1">
        <f>IFERROR(__xludf.DUMMYFUNCTION("""COMPUTED_VALUE"""),"I'm not part of any EdTech association")</f>
        <v/>
      </c>
      <c r="H567" s="1" t="n"/>
      <c r="I567" s="1">
        <f>IFERROR(__xludf.DUMMYFUNCTION("""COMPUTED_VALUE"""),"info@thehub21.com")</f>
        <v/>
      </c>
      <c r="J567" s="1">
        <f>IFERROR(__xludf.DUMMYFUNCTION("""COMPUTED_VALUE"""),"+447874164832")</f>
        <v/>
      </c>
      <c r="K567" s="1">
        <f>IFERROR(__xludf.DUMMYFUNCTION("""COMPUTED_VALUE"""),"London")</f>
        <v/>
      </c>
      <c r="L567" s="1">
        <f>IFERROR(__xludf.DUMMYFUNCTION("""COMPUTED_VALUE"""),"United Kingdom")</f>
        <v/>
      </c>
      <c r="M567" s="1">
        <f>IFERROR(__xludf.DUMMYFUNCTION("""COMPUTED_VALUE"""),"Turkey, United Kingdom")</f>
        <v/>
      </c>
      <c r="N567" s="1">
        <f>IFERROR(__xludf.DUMMYFUNCTION("""COMPUTED_VALUE"""),"6 to 10")</f>
        <v/>
      </c>
      <c r="O567" s="1">
        <f>IFERROR(__xludf.DUMMYFUNCTION("""COMPUTED_VALUE"""),"Business to Business, Business to Consumer, Business to Schools")</f>
        <v/>
      </c>
      <c r="P567" s="1">
        <f>IFERROR(__xludf.DUMMYFUNCTION("""COMPUTED_VALUE"""),"Secondary Education")</f>
        <v/>
      </c>
      <c r="Q567" s="1">
        <f>IFERROR(__xludf.DUMMYFUNCTION("""COMPUTED_VALUE"""),"System/Administrative, Student interfacing, Teacher interfacing")</f>
        <v/>
      </c>
      <c r="R567" s="15">
        <f>IFERROR(__xludf.DUMMYFUNCTION("""COMPUTED_VALUE"""),"https://www.instagram.com/thehub.21/")</f>
        <v/>
      </c>
      <c r="S567" s="1" t="n"/>
      <c r="T567" s="15">
        <f>IFERROR(__xludf.DUMMYFUNCTION("""COMPUTED_VALUE"""),"https://www.linkedin.com/company/thehub21/")</f>
        <v/>
      </c>
      <c r="U567" s="1">
        <f>IFERROR(__xludf.DUMMYFUNCTION("""COMPUTED_VALUE"""),"Hub21 Tutoring")</f>
        <v/>
      </c>
      <c r="V567" s="1">
        <f>IFERROR(__xludf.DUMMYFUNCTION("""COMPUTED_VALUE"""),"Hub21 Learning began as a specialized tutoring platform where we developed our own computer science curriculum and onboarded university students from top institutions as tutors. These tutors were trained to adapt our curriculum to each student's unique le"&amp;"arning methods. In our exclusive 1:1 sessions at Hub21 Learning, tutors are carefully selected to align with our student’s unique learning style, personality, and background.")</f>
        <v/>
      </c>
      <c r="W567" s="1">
        <f>IFERROR(__xludf.DUMMYFUNCTION("""COMPUTED_VALUE"""),"CodeDuo")</f>
        <v/>
      </c>
      <c r="X567" s="1">
        <f>IFERROR(__xludf.DUMMYFUNCTION("""COMPUTED_VALUE"""),"CodeDuo's platform harnesses the power of AI to provide personalized learning paths for each student, with adaptive quizzes and real-time AI tutor interventions. Live competitions stimulate peer-to-peer engagement and learning. For educators, our interfac"&amp;"e lets them seamlessly integrate their students, monitor their progress, and benefit from AI-curated quiz generation. In essence, we're making computer science education dynamic, accessible, and deeply personalized")</f>
        <v/>
      </c>
      <c r="Y567" s="15">
        <f>IFERROR(__xludf.DUMMYFUNCTION("""COMPUTED_VALUE"""),"https://drive.google.com/uc?export=view&amp;id=18nhXpewqQxL6GXRuSEQW1ZqJjyhSMTx8")</f>
        <v/>
      </c>
      <c r="Z567" s="1">
        <f>IFERROR(__xludf.DUMMYFUNCTION("""COMPUTED_VALUE"""),"Unverified")</f>
        <v/>
      </c>
      <c r="AA567" s="1" t="n"/>
      <c r="AB567" s="1" t="n"/>
      <c r="AC567" s="1" t="n"/>
      <c r="AD567" s="1" t="n"/>
      <c r="AE567" s="1" t="n"/>
    </row>
    <row r="568" ht="42" customHeight="1">
      <c r="A568" s="14">
        <f>IFERROR(__xludf.DUMMYFUNCTION("""COMPUTED_VALUE"""),45222)</f>
        <v/>
      </c>
      <c r="B568" s="1">
        <f>IFERROR(__xludf.DUMMYFUNCTION("""COMPUTED_VALUE"""),"ORG_2033")</f>
        <v/>
      </c>
      <c r="C568" s="1">
        <f>IFERROR(__xludf.DUMMYFUNCTION("""COMPUTED_VALUE"""),TRUE)</f>
        <v/>
      </c>
      <c r="D568" s="1">
        <f>IFERROR(__xludf.DUMMYFUNCTION("""COMPUTED_VALUE"""),"New Work &amp; Learning")</f>
        <v/>
      </c>
      <c r="E568" s="15">
        <f>IFERROR(__xludf.DUMMYFUNCTION("""COMPUTED_VALUE"""),"https://www.kickstart-innovation.com/")</f>
        <v/>
      </c>
      <c r="F568" s="1">
        <f>IFERROR(__xludf.DUMMYFUNCTION("""COMPUTED_VALUE"""),"Kickstart Innovation takes an open innovation approach to help organizations succeed at becoming more sustainable and inventive by accelerating collaboration with well established startups. 
The impact of new technologies and changes to the labor market "&amp;"have shifted the way organizations manage the workforce and respond to employee needs in terms of re- and upskilling, wellbeing and growth opportunities. 
By 2025, over 50% of tasks will be automated, and 133 million new roles will be created. It is esti"&amp;"mated that 1 billion people will have to be retrained by 2030. 
New Work &amp; Learning Vertical wants to shape the future of workplace engagement together with its partners, to formulate bolder and multidisciplinary solutions to dismantle silos in the organ"&amp;"izations and retool the workforce in ways that point to a sustainable future.")</f>
        <v/>
      </c>
      <c r="G568" s="1">
        <f>IFERROR(__xludf.DUMMYFUNCTION("""COMPUTED_VALUE"""),"I'm not part of any EdTech association")</f>
        <v/>
      </c>
      <c r="H568" s="1">
        <f>IFERROR(__xludf.DUMMYFUNCTION("""COMPUTED_VALUE"""),"English")</f>
        <v/>
      </c>
      <c r="I568" s="1">
        <f>IFERROR(__xludf.DUMMYFUNCTION("""COMPUTED_VALUE"""),"aniko@kickstart-innovation.com")</f>
        <v/>
      </c>
      <c r="J568" s="1">
        <f>IFERROR(__xludf.DUMMYFUNCTION("""COMPUTED_VALUE"""),"41774608840")</f>
        <v/>
      </c>
      <c r="K568" s="1">
        <f>IFERROR(__xludf.DUMMYFUNCTION("""COMPUTED_VALUE"""),"Zürich")</f>
        <v/>
      </c>
      <c r="L568" s="1">
        <f>IFERROR(__xludf.DUMMYFUNCTION("""COMPUTED_VALUE"""),"Switzerland")</f>
        <v/>
      </c>
      <c r="M568" s="1">
        <f>IFERROR(__xludf.DUMMYFUNCTION("""COMPUTED_VALUE"""),"Switzerland")</f>
        <v/>
      </c>
      <c r="N568" s="1">
        <f>IFERROR(__xludf.DUMMYFUNCTION("""COMPUTED_VALUE"""),"11 to 50")</f>
        <v/>
      </c>
      <c r="O568" s="1">
        <f>IFERROR(__xludf.DUMMYFUNCTION("""COMPUTED_VALUE"""),"Business to Business, Business to Consumer, Business to Schools")</f>
        <v/>
      </c>
      <c r="P568" s="1">
        <f>IFERROR(__xludf.DUMMYFUNCTION("""COMPUTED_VALUE"""),"Corporate Training, Lifelong learning/Adult education")</f>
        <v/>
      </c>
      <c r="Q568" s="1">
        <f>IFERROR(__xludf.DUMMYFUNCTION("""COMPUTED_VALUE"""),"System/Administrative, Student interfacing")</f>
        <v/>
      </c>
      <c r="R568" s="1" t="n"/>
      <c r="S568" s="1" t="n"/>
      <c r="T568" s="1" t="n"/>
      <c r="U568" s="1">
        <f>IFERROR(__xludf.DUMMYFUNCTION("""COMPUTED_VALUE"""),"New Work &amp; Learning Vertical")</f>
        <v/>
      </c>
      <c r="V568" s="1">
        <f>IFERROR(__xludf.DUMMYFUNCTION("""COMPUTED_VALUE"""),"The New Work &amp; Learning Vertical wants to shape the future of workplace engagement with its partners, to enable collaborative solutions for reskilling and upskilling organizations. Our mission is to work with startups and entrepreneurs who want to create "&amp;"opportunities for products and services to have a meaningful impact at scale. We want to empower organizations to become sustainable and future-proof for the continuous paradigm shifts in the way we work")</f>
        <v/>
      </c>
      <c r="W568" s="1">
        <f>IFERROR(__xludf.DUMMYFUNCTION("""COMPUTED_VALUE"""),"Kickstart Academy")</f>
        <v/>
      </c>
      <c r="X568" s="1">
        <f>IFERROR(__xludf.DUMMYFUNCTION("""COMPUTED_VALUE"""),"The Kickstart Academy is all about creating an innovation funnel for your company while enabling and engaging your employees along the way. We support you in transforming your company into an ever-evolving business that faces the fast-paced changes of tod"&amp;"ay. Discovering new business opportunities, and talents that drive change from within is what it is all about.")</f>
        <v/>
      </c>
      <c r="Y568" s="15">
        <f>IFERROR(__xludf.DUMMYFUNCTION("""COMPUTED_VALUE"""),"https://drive.google.com/uc?export=view&amp;id=1dYlK1Jr0nRaW9vaXtUAIPKDN3QpINK4Z")</f>
        <v/>
      </c>
      <c r="Z568" s="1">
        <f>IFERROR(__xludf.DUMMYFUNCTION("""COMPUTED_VALUE"""),"Unverified")</f>
        <v/>
      </c>
      <c r="AA568" s="1" t="n"/>
      <c r="AB568" s="1" t="n"/>
      <c r="AC568" s="1" t="n"/>
      <c r="AD568" s="1" t="n"/>
      <c r="AE568" s="1" t="n"/>
    </row>
    <row r="569" ht="42" customHeight="1">
      <c r="A569" s="14">
        <f>IFERROR(__xludf.DUMMYFUNCTION("""COMPUTED_VALUE"""),45219)</f>
        <v/>
      </c>
      <c r="B569" s="1">
        <f>IFERROR(__xludf.DUMMYFUNCTION("""COMPUTED_VALUE"""),"ORG_1809")</f>
        <v/>
      </c>
      <c r="C569" s="1">
        <f>IFERROR(__xludf.DUMMYFUNCTION("""COMPUTED_VALUE"""),TRUE)</f>
        <v/>
      </c>
      <c r="D569" s="1">
        <f>IFERROR(__xludf.DUMMYFUNCTION("""COMPUTED_VALUE"""),"Langly")</f>
        <v/>
      </c>
      <c r="E569" s="15">
        <f>IFERROR(__xludf.DUMMYFUNCTION("""COMPUTED_VALUE"""),"https://langly.ai/en/")</f>
        <v/>
      </c>
      <c r="F569" s="1">
        <f>IFERROR(__xludf.DUMMYFUNCTION("""COMPUTED_VALUE"""),"Langly is a high-quality English learning solution based on AI and the globally recognized methodology of Oxford University. Often, people lack the motivation or time for additional studies, and most available courses are unable to provide certification t"&amp;"o their students. 
Langly offers an effective English learning solution for both B2B and B2C global markets.
1.	Langly generates motivation for learning through gamification and social-emotional learning.
2.	Helps students master key language skills from "&amp;"the A1 to C2 (CEFR) levels through the application of innovative AI features.
3.	As an official partner of Oxford University, it provides the possibility of obtaining official certification or preparing for any general English knowledge test: TOEFL, IELTS"&amp;", Oxford &amp; Cambridge English exams.")</f>
        <v/>
      </c>
      <c r="G569" s="1">
        <f>IFERROR(__xludf.DUMMYFUNCTION("""COMPUTED_VALUE"""),"I'm not part of any EdTech association")</f>
        <v/>
      </c>
      <c r="H569" s="1">
        <f>IFERROR(__xludf.DUMMYFUNCTION("""COMPUTED_VALUE"""),"Romanian, English, Bulgarian, Turkish, Ukrainian")</f>
        <v/>
      </c>
      <c r="I569" s="1">
        <f>IFERROR(__xludf.DUMMYFUNCTION("""COMPUTED_VALUE"""),"info@langly.ai")</f>
        <v/>
      </c>
      <c r="J569" s="1" t="n"/>
      <c r="K569" s="1">
        <f>IFERROR(__xludf.DUMMYFUNCTION("""COMPUTED_VALUE"""),"CHISINAU")</f>
        <v/>
      </c>
      <c r="L569" s="1">
        <f>IFERROR(__xludf.DUMMYFUNCTION("""COMPUTED_VALUE"""),"Moldova")</f>
        <v/>
      </c>
      <c r="M56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569" s="1">
        <f>IFERROR(__xludf.DUMMYFUNCTION("""COMPUTED_VALUE"""),"11 to 50")</f>
        <v/>
      </c>
      <c r="O569" s="1">
        <f>IFERROR(__xludf.DUMMYFUNCTION("""COMPUTED_VALUE"""),"Business to Business, Business to Schools, Business to Consumer, Business to Government")</f>
        <v/>
      </c>
      <c r="P569" s="1">
        <f>IFERROR(__xludf.DUMMYFUNCTION("""COMPUTED_VALUE"""),"Secondary Education, Corporate Training, Lifelong learning/Adult education, Vocational Education and Training (VET), Higher Education")</f>
        <v/>
      </c>
      <c r="Q569" s="1">
        <f>IFERROR(__xludf.DUMMYFUNCTION("""COMPUTED_VALUE"""),"System/Administrative, Student interfacing")</f>
        <v/>
      </c>
      <c r="R569" s="15">
        <f>IFERROR(__xludf.DUMMYFUNCTION("""COMPUTED_VALUE"""),"https://www.instagram.com/langly.app/")</f>
        <v/>
      </c>
      <c r="S569" s="15">
        <f>IFERROR(__xludf.DUMMYFUNCTION("""COMPUTED_VALUE"""),"https://twitter.com/langly_inc?s=21&amp;t=c9l-3xJat7s1nB0RAhFVuA")</f>
        <v/>
      </c>
      <c r="T569" s="15">
        <f>IFERROR(__xludf.DUMMYFUNCTION("""COMPUTED_VALUE"""),"https://www.linkedin.com/company/langly/")</f>
        <v/>
      </c>
      <c r="U569" s="1">
        <f>IFERROR(__xludf.DUMMYFUNCTION("""COMPUTED_VALUE"""),"Langly")</f>
        <v/>
      </c>
      <c r="V569" s="1">
        <f>IFERROR(__xludf.DUMMYFUNCTION("""COMPUTED_VALUE"""),"Langly - a new generation English learning solution based on AI and the Oxford Methodology. It creates motivation and changes the entire perception of online learning, while providing systematic knowledges, an official language course and a globally recog"&amp;"nised certification. Langly is focused on both B2B and B2C markets worldwide.")</f>
        <v/>
      </c>
      <c r="W569" s="1" t="n"/>
      <c r="X569" s="1" t="n"/>
      <c r="Y569" s="15">
        <f>IFERROR(__xludf.DUMMYFUNCTION("""COMPUTED_VALUE"""),"https://drive.google.com/uc?export=view&amp;id=1Qyn5w3tIGIHv_gcqjvEElpEe-lxi2wsC")</f>
        <v/>
      </c>
      <c r="Z569" s="1">
        <f>IFERROR(__xludf.DUMMYFUNCTION("""COMPUTED_VALUE"""),"Unverified")</f>
        <v/>
      </c>
      <c r="AA569" s="1" t="n"/>
      <c r="AB569" s="1" t="n"/>
      <c r="AC569" s="1" t="n"/>
      <c r="AD569" s="1" t="n"/>
      <c r="AE569" s="1" t="n"/>
    </row>
    <row r="570" ht="42" customHeight="1">
      <c r="A570" s="14">
        <f>IFERROR(__xludf.DUMMYFUNCTION("""COMPUTED_VALUE"""),45219)</f>
        <v/>
      </c>
      <c r="B570" s="1">
        <f>IFERROR(__xludf.DUMMYFUNCTION("""COMPUTED_VALUE"""),"ORG_2137")</f>
        <v/>
      </c>
      <c r="C570" s="1">
        <f>IFERROR(__xludf.DUMMYFUNCTION("""COMPUTED_VALUE"""),TRUE)</f>
        <v/>
      </c>
      <c r="D570" s="1">
        <f>IFERROR(__xludf.DUMMYFUNCTION("""COMPUTED_VALUE"""),"puro.education")</f>
        <v/>
      </c>
      <c r="E570" s="15">
        <f>IFERROR(__xludf.DUMMYFUNCTION("""COMPUTED_VALUE"""),"https://puro.education")</f>
        <v/>
      </c>
      <c r="F570" s="1">
        <f>IFERROR(__xludf.DUMMYFUNCTION("""COMPUTED_VALUE"""),"Puro Education is a learning content platform. The tasks are carefully and pedagogically designed. Puro's interface is intuitive (touch screens with stylus pens) and designed for formal learning experience for example for schools. One of our core values i"&amp;"s that Puro is accessible.
Our vision is that Puro Education is the ""de-facto"" digital education platform for kids all around the world and leading digital learning content publishing platform in 2030. 
We are looking for finding the necessary steps t"&amp;"o get financed and go to international markets with the help of this incubator. 
Our power comes from balanced team; We have balanced skills in education, design, tech and business. We are solving a real life problem.")</f>
        <v/>
      </c>
      <c r="G570" s="1">
        <f>IFERROR(__xludf.DUMMYFUNCTION("""COMPUTED_VALUE"""),"I'm not part of any EdTech association")</f>
        <v/>
      </c>
      <c r="H570" s="1">
        <f>IFERROR(__xludf.DUMMYFUNCTION("""COMPUTED_VALUE"""),"All")</f>
        <v/>
      </c>
      <c r="I570" s="1">
        <f>IFERROR(__xludf.DUMMYFUNCTION("""COMPUTED_VALUE"""),"contact@pisaralearning.com")</f>
        <v/>
      </c>
      <c r="J570" s="1">
        <f>IFERROR(__xludf.DUMMYFUNCTION("""COMPUTED_VALUE"""),"+358440883889")</f>
        <v/>
      </c>
      <c r="K570" s="1">
        <f>IFERROR(__xludf.DUMMYFUNCTION("""COMPUTED_VALUE"""),"Ulappasaarentie 1")</f>
        <v/>
      </c>
      <c r="L570" s="1">
        <f>IFERROR(__xludf.DUMMYFUNCTION("""COMPUTED_VALUE"""),"Finland")</f>
        <v/>
      </c>
      <c r="M570" s="1">
        <f>IFERROR(__xludf.DUMMYFUNCTION("""COMPUTED_VALUE"""),"Finland")</f>
        <v/>
      </c>
      <c r="N570" s="1">
        <f>IFERROR(__xludf.DUMMYFUNCTION("""COMPUTED_VALUE"""),"0 to 2")</f>
        <v/>
      </c>
      <c r="O570" s="1">
        <f>IFERROR(__xludf.DUMMYFUNCTION("""COMPUTED_VALUE"""),"Business to Business, Business to Schools, Business to Consumer, Business to Government")</f>
        <v/>
      </c>
      <c r="P570" s="1">
        <f>IFERROR(__xludf.DUMMYFUNCTION("""COMPUTED_VALUE"""),"Early childhood development (0-5 years), Primary Education")</f>
        <v/>
      </c>
      <c r="Q570" s="1">
        <f>IFERROR(__xludf.DUMMYFUNCTION("""COMPUTED_VALUE"""),"System/Administrative, Student interfacing, Teacher interfacing")</f>
        <v/>
      </c>
      <c r="R570" s="15">
        <f>IFERROR(__xludf.DUMMYFUNCTION("""COMPUTED_VALUE"""),"https://www.instagram.com/puro.education/")</f>
        <v/>
      </c>
      <c r="S570" s="1" t="n"/>
      <c r="T570" s="15">
        <f>IFERROR(__xludf.DUMMYFUNCTION("""COMPUTED_VALUE"""),"https://fi.linkedin.com/company/pisara-learning")</f>
        <v/>
      </c>
      <c r="U570" s="1">
        <f>IFERROR(__xludf.DUMMYFUNCTION("""COMPUTED_VALUE"""),"puro.education")</f>
        <v/>
      </c>
      <c r="V570" s="1">
        <f>IFERROR(__xludf.DUMMYFUNCTION("""COMPUTED_VALUE"""),"Puro Education is a learning content platform. The tasks are carefully and pedagogically designed. Puro's interface is intuitive (touch screens with stylus pens) and designed for formal learning experience for example for schools. One of our core values i"&amp;"s that Puro is accessible.")</f>
        <v/>
      </c>
      <c r="W570" s="1" t="n"/>
      <c r="X570" s="1" t="n"/>
      <c r="Y570" s="15">
        <f>IFERROR(__xludf.DUMMYFUNCTION("""COMPUTED_VALUE"""),"https://drive.google.com/uc?export=view&amp;id=1SHEUQa0-3zT5OC8pKjduKLw2Spw7oTsh")</f>
        <v/>
      </c>
      <c r="Z570" s="1">
        <f>IFERROR(__xludf.DUMMYFUNCTION("""COMPUTED_VALUE"""),"Unverified")</f>
        <v/>
      </c>
      <c r="AA570" s="1" t="n"/>
      <c r="AB570" s="1" t="n"/>
      <c r="AC570" s="1" t="n"/>
      <c r="AD570" s="1" t="n"/>
      <c r="AE570" s="1" t="n"/>
    </row>
    <row r="571" ht="42" customHeight="1">
      <c r="A571" s="14">
        <f>IFERROR(__xludf.DUMMYFUNCTION("""COMPUTED_VALUE"""),45219)</f>
        <v/>
      </c>
      <c r="B571" s="1">
        <f>IFERROR(__xludf.DUMMYFUNCTION("""COMPUTED_VALUE"""),"ORG_1413")</f>
        <v/>
      </c>
      <c r="C571" s="1">
        <f>IFERROR(__xludf.DUMMYFUNCTION("""COMPUTED_VALUE"""),TRUE)</f>
        <v/>
      </c>
      <c r="D571" s="1">
        <f>IFERROR(__xludf.DUMMYFUNCTION("""COMPUTED_VALUE"""),"EDNEO AG")</f>
        <v/>
      </c>
      <c r="E571" s="15">
        <f>IFERROR(__xludf.DUMMYFUNCTION("""COMPUTED_VALUE"""),"https://edneo.de/de/")</f>
        <v/>
      </c>
      <c r="F571" s="1">
        <f>IFERROR(__xludf.DUMMYFUNCTION("""COMPUTED_VALUE"""),"Education. Digital. Redefined.
EDNEO transforms the world of education with intuitive digital teaching and learning solutions.
Academic teaching, practical relevance and digital innovation are part of our DNA. Through our many years of experience in hig"&amp;"her education teaching, extensive feedback from students and teachers, and our market experience in digital transformation and the 'Future of Work', we create software solutions that offer real added value for our customers without overwhelming users. We "&amp;"combine classic theoretical knowledge with modern, practice-relevant methods. In addition, we bring solutions to the market that democratise education, simplify teaching and inspire new forms of teaching and learning.
In the digital age, not only compani"&amp;"es have to think digitally, but also universities. In a digital and globally networked world, pure academic knowledge alone is no longer sufficient for a successful career. Rather, the effective use of this knowledge in practice is increasingly coming to "&amp;"the fore in order to solve complex real-world problems with new digital methods or formats.
With NEOsuite, EDNEO offers innovative and progress-oriented universities and teachers a modern, SaaS-based and customisable teaching and learning platform. Furth"&amp;"ermore, we offer additional IT services in the areas of consulting, development and support.")</f>
        <v/>
      </c>
      <c r="G571" s="1">
        <f>IFERROR(__xludf.DUMMYFUNCTION("""COMPUTED_VALUE"""),"I'm not part of any EdTech association")</f>
        <v/>
      </c>
      <c r="H571" s="1">
        <f>IFERROR(__xludf.DUMMYFUNCTION("""COMPUTED_VALUE"""),"German, English")</f>
        <v/>
      </c>
      <c r="I571" s="1" t="n"/>
      <c r="J571" s="1" t="n"/>
      <c r="K571" s="1">
        <f>IFERROR(__xludf.DUMMYFUNCTION("""COMPUTED_VALUE"""),"FRANKFURT")</f>
        <v/>
      </c>
      <c r="L571" s="1">
        <f>IFERROR(__xludf.DUMMYFUNCTION("""COMPUTED_VALUE"""),"Germany")</f>
        <v/>
      </c>
      <c r="M571" s="1">
        <f>IFERROR(__xludf.DUMMYFUNCTION("""COMPUTED_VALUE"""),"Germany")</f>
        <v/>
      </c>
      <c r="N571" s="1">
        <f>IFERROR(__xludf.DUMMYFUNCTION("""COMPUTED_VALUE"""),"3 to 5")</f>
        <v/>
      </c>
      <c r="O571" s="1">
        <f>IFERROR(__xludf.DUMMYFUNCTION("""COMPUTED_VALUE"""),"Business to Business, Business to Schools, Business to Government")</f>
        <v/>
      </c>
      <c r="P571" s="1">
        <f>IFERROR(__xludf.DUMMYFUNCTION("""COMPUTED_VALUE"""),"Higher Education")</f>
        <v/>
      </c>
      <c r="Q571" s="1">
        <f>IFERROR(__xludf.DUMMYFUNCTION("""COMPUTED_VALUE"""),"Student interfacing, Teacher interfacing")</f>
        <v/>
      </c>
      <c r="R571" s="1" t="n"/>
      <c r="S571" s="1" t="n"/>
      <c r="T571" s="15">
        <f>IFERROR(__xludf.DUMMYFUNCTION("""COMPUTED_VALUE"""),"https://www.linkedin.com/company/edneo")</f>
        <v/>
      </c>
      <c r="U571" s="1">
        <f>IFERROR(__xludf.DUMMYFUNCTION("""COMPUTED_VALUE"""),"NEOpaper")</f>
        <v/>
      </c>
      <c r="V571" s="1">
        <f>IFERROR(__xludf.DUMMYFUNCTION("""COMPUTED_VALUE"""),"NEOpaper aims to improve the writing of seminar papers and theses for teachers and students. We believe that writing theses should be about gaining knowledge and not about repeating given content. There must be much more focus on the student's own perform"&amp;"ance, because more complex questions require intensive research. Here, students need a competent mentor who can effortlessly guide dozens of research processes with NEOpaper. In this way, every seminar paper and final paper can become a gain for the whole"&amp;" of science.")</f>
        <v/>
      </c>
      <c r="W571" s="1" t="n"/>
      <c r="X571" s="1" t="n"/>
      <c r="Y571" s="15">
        <f>IFERROR(__xludf.DUMMYFUNCTION("""COMPUTED_VALUE"""),"https://drive.google.com/uc?export=view&amp;id=1w7Cm7cEXN6Ubct8OCoWjnF10Uu_-a4u6")</f>
        <v/>
      </c>
      <c r="Z571" s="1">
        <f>IFERROR(__xludf.DUMMYFUNCTION("""COMPUTED_VALUE"""),"Unverified")</f>
        <v/>
      </c>
      <c r="AA571" s="1" t="n"/>
      <c r="AB571" s="1" t="n"/>
      <c r="AC571" s="1" t="n"/>
      <c r="AD571" s="1" t="n"/>
      <c r="AE571" s="1" t="n"/>
    </row>
    <row r="572" ht="42" customHeight="1">
      <c r="A572" s="14">
        <f>IFERROR(__xludf.DUMMYFUNCTION("""COMPUTED_VALUE"""),45218)</f>
        <v/>
      </c>
      <c r="B572" s="1">
        <f>IFERROR(__xludf.DUMMYFUNCTION("""COMPUTED_VALUE"""),"ORG_1032")</f>
        <v/>
      </c>
      <c r="C572" s="1">
        <f>IFERROR(__xludf.DUMMYFUNCTION("""COMPUTED_VALUE"""),TRUE)</f>
        <v/>
      </c>
      <c r="D572" s="1">
        <f>IFERROR(__xludf.DUMMYFUNCTION("""COMPUTED_VALUE"""),"ActiveQuiz")</f>
        <v/>
      </c>
      <c r="E572" s="15">
        <f>IFERROR(__xludf.DUMMYFUNCTION("""COMPUTED_VALUE"""),"https://www.activequiz.com")</f>
        <v/>
      </c>
      <c r="F572" s="1">
        <f>IFERROR(__xludf.DUMMYFUNCTION("""COMPUTED_VALUE"""),"ActiveQuiz is an e-learning service and app that combines educational content with movement. For a user, the concept can be described as a combination of Pokemon GO and traditional e-learning. You start a quiz walk in the app and set out to connect knowle"&amp;"dge and exercise in the fresh air. For a quizmaster, ActiveQuiz can most easily be described as a powerful educational tool when you want to add movement to your knowledge.")</f>
        <v/>
      </c>
      <c r="G572" s="1">
        <f>IFERROR(__xludf.DUMMYFUNCTION("""COMPUTED_VALUE"""),"Swedish EdTech Industry")</f>
        <v/>
      </c>
      <c r="H572" s="1">
        <f>IFERROR(__xludf.DUMMYFUNCTION("""COMPUTED_VALUE"""),"English, Swedish")</f>
        <v/>
      </c>
      <c r="I572" s="1">
        <f>IFERROR(__xludf.DUMMYFUNCTION("""COMPUTED_VALUE"""),"support@activequiz.com")</f>
        <v/>
      </c>
      <c r="J572" s="1">
        <f>IFERROR(__xludf.DUMMYFUNCTION("""COMPUTED_VALUE"""),"+46520402233")</f>
        <v/>
      </c>
      <c r="K572" s="1">
        <f>IFERROR(__xludf.DUMMYFUNCTION("""COMPUTED_VALUE"""),"TROLLHATTAN")</f>
        <v/>
      </c>
      <c r="L572" s="1">
        <f>IFERROR(__xludf.DUMMYFUNCTION("""COMPUTED_VALUE"""),"Sweden")</f>
        <v/>
      </c>
      <c r="M572" s="1">
        <f>IFERROR(__xludf.DUMMYFUNCTION("""COMPUTED_VALUE"""),"Czechia, Finland, France, Netherlands, Norway, Spain, Sweden, United Kingdom")</f>
        <v/>
      </c>
      <c r="N572" s="1">
        <f>IFERROR(__xludf.DUMMYFUNCTION("""COMPUTED_VALUE"""),"3 to 5")</f>
        <v/>
      </c>
      <c r="O572" s="1">
        <f>IFERROR(__xludf.DUMMYFUNCTION("""COMPUTED_VALUE"""),"Business to Business, Business to Consumer")</f>
        <v/>
      </c>
      <c r="P572" s="1">
        <f>IFERROR(__xludf.DUMMYFUNCTION("""COMPUTED_VALUE"""),"Secondary Education, Corporate Training, Lifelong learning/Adult education, Vocational Education and Training (VET), Higher Education")</f>
        <v/>
      </c>
      <c r="Q572" s="1">
        <f>IFERROR(__xludf.DUMMYFUNCTION("""COMPUTED_VALUE"""),"System/Administrative, Student interfacing, Teacher interfacing")</f>
        <v/>
      </c>
      <c r="R572" s="1">
        <f>IFERROR(__xludf.DUMMYFUNCTION("""COMPUTED_VALUE"""),"@activequiz")</f>
        <v/>
      </c>
      <c r="S572" s="1" t="n"/>
      <c r="T572" s="15">
        <f>IFERROR(__xludf.DUMMYFUNCTION("""COMPUTED_VALUE"""),"https://www.linkedin.com/company/10925962/")</f>
        <v/>
      </c>
      <c r="U572" s="1">
        <f>IFERROR(__xludf.DUMMYFUNCTION("""COMPUTED_VALUE"""),"ActiveQuiz")</f>
        <v/>
      </c>
      <c r="V572" s="1">
        <f>IFERROR(__xludf.DUMMYFUNCTION("""COMPUTED_VALUE"""),"ActiveQuiz is the app that combines public education and public health. For a user, the concept can be described as a digital tip walk. You start a quiz walk in the app and set out to connect knowledge and exercise in the fresh air. For a quizmaster, Acti"&amp;"veQuiz can most easily be described as a powerful educational tool when you want to add movement to your knowledge.")</f>
        <v/>
      </c>
      <c r="W572" s="1" t="n"/>
      <c r="X572" s="1" t="n"/>
      <c r="Y572" s="15">
        <f>IFERROR(__xludf.DUMMYFUNCTION("""COMPUTED_VALUE"""),"https://drive.google.com/uc?export=view&amp;id=1QkxuS-6Qd_42daMy7NPu1oRPO_SJBm6k")</f>
        <v/>
      </c>
      <c r="Z572" s="1">
        <f>IFERROR(__xludf.DUMMYFUNCTION("""COMPUTED_VALUE"""),"Unverified")</f>
        <v/>
      </c>
      <c r="AA572" s="1" t="n"/>
      <c r="AB572" s="1" t="n"/>
      <c r="AC572" s="1" t="n"/>
      <c r="AD572" s="1" t="n"/>
      <c r="AE572" s="1" t="n"/>
    </row>
    <row r="573" ht="42" customHeight="1">
      <c r="A573" s="14">
        <f>IFERROR(__xludf.DUMMYFUNCTION("""COMPUTED_VALUE"""),45218)</f>
        <v/>
      </c>
      <c r="B573" s="1">
        <f>IFERROR(__xludf.DUMMYFUNCTION("""COMPUTED_VALUE"""),"ORG_1276")</f>
        <v/>
      </c>
      <c r="C573" s="1">
        <f>IFERROR(__xludf.DUMMYFUNCTION("""COMPUTED_VALUE"""),TRUE)</f>
        <v/>
      </c>
      <c r="D573" s="1">
        <f>IFERROR(__xludf.DUMMYFUNCTION("""COMPUTED_VALUE"""),"Cogknit Oy")</f>
        <v/>
      </c>
      <c r="E573" s="15">
        <f>IFERROR(__xludf.DUMMYFUNCTION("""COMPUTED_VALUE"""),"www.cogknit.io")</f>
        <v/>
      </c>
      <c r="F573" s="1">
        <f>IFERROR(__xludf.DUMMYFUNCTION("""COMPUTED_VALUE"""),"We are Finland based technology platform that facilitates teaching and
learning by effectively connecting students and learners with teachers, institutes,
businesses, mentors, governments, and other societal partners through inciting
local and global real"&amp;"-world cases, research questions, scenarios,
problems etc., relevant to the curriculum.
The core aim is to foster 21st-century skills and competencies among
young generation, driven by real-world problems, working in
multidisciplinary international team "&amp;"settings; ultimately meeting the
needs of current and future employment and local innovation
ecosystems.")</f>
        <v/>
      </c>
      <c r="G573" s="1">
        <f>IFERROR(__xludf.DUMMYFUNCTION("""COMPUTED_VALUE"""),"EdTech Finland")</f>
        <v/>
      </c>
      <c r="H573" s="1">
        <f>IFERROR(__xludf.DUMMYFUNCTION("""COMPUTED_VALUE"""),"English")</f>
        <v/>
      </c>
      <c r="I573" s="1" t="n"/>
      <c r="J573" s="1" t="n"/>
      <c r="K573" s="1">
        <f>IFERROR(__xludf.DUMMYFUNCTION("""COMPUTED_VALUE"""),"LEENAKUJA 2")</f>
        <v/>
      </c>
      <c r="L573" s="1">
        <f>IFERROR(__xludf.DUMMYFUNCTION("""COMPUTED_VALUE"""),"Finland")</f>
        <v/>
      </c>
      <c r="M573" s="1">
        <f>IFERROR(__xludf.DUMMYFUNCTION("""COMPUTED_VALUE"""),"Finland")</f>
        <v/>
      </c>
      <c r="N573" s="1">
        <f>IFERROR(__xludf.DUMMYFUNCTION("""COMPUTED_VALUE"""),"0 to 2")</f>
        <v/>
      </c>
      <c r="O573" s="1">
        <f>IFERROR(__xludf.DUMMYFUNCTION("""COMPUTED_VALUE"""),"Business to Schools, Business to Consumer")</f>
        <v/>
      </c>
      <c r="P573" s="1">
        <f>IFERROR(__xludf.DUMMYFUNCTION("""COMPUTED_VALUE"""),"Secondary Education, Corporate Training, Vocational Education and Training (VET), Higher Education")</f>
        <v/>
      </c>
      <c r="Q573" s="1">
        <f>IFERROR(__xludf.DUMMYFUNCTION("""COMPUTED_VALUE"""),"Student interfacing, Teacher interfacing, System/Administrative")</f>
        <v/>
      </c>
      <c r="R573" s="1" t="n"/>
      <c r="S573" s="1" t="n"/>
      <c r="T573" s="1" t="n"/>
      <c r="U573" s="1" t="n"/>
      <c r="V573" s="1" t="n"/>
      <c r="W573" s="1" t="n"/>
      <c r="X573" s="1" t="n"/>
      <c r="Y573" s="15">
        <f>IFERROR(__xludf.DUMMYFUNCTION("""COMPUTED_VALUE"""),"https://drive.google.com/uc?export=view&amp;id=1apOpji-VeKvbAxJ-jvoGXRb-IGTwlhqG")</f>
        <v/>
      </c>
      <c r="Z573" s="1">
        <f>IFERROR(__xludf.DUMMYFUNCTION("""COMPUTED_VALUE"""),"Unverified")</f>
        <v/>
      </c>
      <c r="AA573" s="1" t="n"/>
      <c r="AB573" s="1" t="n"/>
      <c r="AC573" s="1" t="n"/>
      <c r="AD573" s="1" t="n"/>
      <c r="AE573" s="1" t="n"/>
    </row>
    <row r="574" ht="42" customHeight="1">
      <c r="A574" s="14">
        <f>IFERROR(__xludf.DUMMYFUNCTION("""COMPUTED_VALUE"""),45218)</f>
        <v/>
      </c>
      <c r="B574" s="1">
        <f>IFERROR(__xludf.DUMMYFUNCTION("""COMPUTED_VALUE"""),"ORG_1496")</f>
        <v/>
      </c>
      <c r="C574" s="1">
        <f>IFERROR(__xludf.DUMMYFUNCTION("""COMPUTED_VALUE"""),TRUE)</f>
        <v/>
      </c>
      <c r="D574" s="1">
        <f>IFERROR(__xludf.DUMMYFUNCTION("""COMPUTED_VALUE"""),"English Quest")</f>
        <v/>
      </c>
      <c r="E574" s="15">
        <f>IFERROR(__xludf.DUMMYFUNCTION("""COMPUTED_VALUE"""),"www.theenglishquest.com")</f>
        <v/>
      </c>
      <c r="F574" s="1">
        <f>IFERROR(__xludf.DUMMYFUNCTION("""COMPUTED_VALUE"""),"Our software allows schools to teach international quality English for just $5 per student per year. We are the first English learning solution built for the emerging $5Bn middle class english market. Our product just requires the teacher to have an andro"&amp;"id phone (no devices for students), it works offline, for teachers and students with basic English. We serve 170 schools, tutoring centres and NGOs in India, Vietnam, Indonesia, South Korea.")</f>
        <v/>
      </c>
      <c r="G574" s="1">
        <f>IFERROR(__xludf.DUMMYFUNCTION("""COMPUTED_VALUE"""),"I'm not part of any EdTech association")</f>
        <v/>
      </c>
      <c r="H574" s="1">
        <f>IFERROR(__xludf.DUMMYFUNCTION("""COMPUTED_VALUE"""),"English")</f>
        <v/>
      </c>
      <c r="I574" s="1">
        <f>IFERROR(__xludf.DUMMYFUNCTION("""COMPUTED_VALUE"""),"jamie@theenglishquest.com")</f>
        <v/>
      </c>
      <c r="J574" s="1" t="n"/>
      <c r="K574" s="1">
        <f>IFERROR(__xludf.DUMMYFUNCTION("""COMPUTED_VALUE"""),"WC1 0TR")</f>
        <v/>
      </c>
      <c r="L574" s="1">
        <f>IFERROR(__xludf.DUMMYFUNCTION("""COMPUTED_VALUE"""),"United Kingdom")</f>
        <v/>
      </c>
      <c r="M574" s="1">
        <f>IFERROR(__xludf.DUMMYFUNCTION("""COMPUTED_VALUE"""),"United Kingdom")</f>
        <v/>
      </c>
      <c r="N574" s="1">
        <f>IFERROR(__xludf.DUMMYFUNCTION("""COMPUTED_VALUE"""),"11 to 50")</f>
        <v/>
      </c>
      <c r="O574" s="1">
        <f>IFERROR(__xludf.DUMMYFUNCTION("""COMPUTED_VALUE"""),"Business to Business, Business to Schools, Business to Consumer, Business to Government")</f>
        <v/>
      </c>
      <c r="P574" s="1">
        <f>IFERROR(__xludf.DUMMYFUNCTION("""COMPUTED_VALUE"""),"Primary Education")</f>
        <v/>
      </c>
      <c r="Q574" s="1">
        <f>IFERROR(__xludf.DUMMYFUNCTION("""COMPUTED_VALUE"""),"Teacher interfacing")</f>
        <v/>
      </c>
      <c r="R574" s="1" t="n"/>
      <c r="S574" s="1" t="n"/>
      <c r="T574" s="1" t="n"/>
      <c r="U574" s="1">
        <f>IFERROR(__xludf.DUMMYFUNCTION("""COMPUTED_VALUE"""),"English Quest school app")</f>
        <v/>
      </c>
      <c r="V574" s="1">
        <f>IFERROR(__xludf.DUMMYFUNCTION("""COMPUTED_VALUE"""),"An android app that allows a novice teacher to deliver an international quality english lesson with limited technology, offline, for $5 per student per year.")</f>
        <v/>
      </c>
      <c r="W574" s="1">
        <f>IFERROR(__xludf.DUMMYFUNCTION("""COMPUTED_VALUE"""),"English Quest teacher app")</f>
        <v/>
      </c>
      <c r="X574" s="1">
        <f>IFERROR(__xludf.DUMMYFUNCTION("""COMPUTED_VALUE"""),"An android app that allows students to practice spoken English, with live feedback, on their parents basic android phone.")</f>
        <v/>
      </c>
      <c r="Y574" s="15">
        <f>IFERROR(__xludf.DUMMYFUNCTION("""COMPUTED_VALUE"""),"https://drive.google.com/uc?export=view&amp;id=1AO8egDtgp4ae8j0_eOJTgkMGoLCepFQa")</f>
        <v/>
      </c>
      <c r="Z574" s="1">
        <f>IFERROR(__xludf.DUMMYFUNCTION("""COMPUTED_VALUE"""),"Unverified")</f>
        <v/>
      </c>
      <c r="AA574" s="1" t="n"/>
      <c r="AB574" s="1" t="n"/>
      <c r="AC574" s="1" t="n"/>
      <c r="AD574" s="1" t="n"/>
      <c r="AE574" s="1" t="n"/>
    </row>
    <row r="575" ht="42" customHeight="1">
      <c r="A575" s="14">
        <f>IFERROR(__xludf.DUMMYFUNCTION("""COMPUTED_VALUE"""),45218)</f>
        <v/>
      </c>
      <c r="B575" s="1">
        <f>IFERROR(__xludf.DUMMYFUNCTION("""COMPUTED_VALUE"""),"ORG_2100")</f>
        <v/>
      </c>
      <c r="C575" s="1">
        <f>IFERROR(__xludf.DUMMYFUNCTION("""COMPUTED_VALUE"""),TRUE)</f>
        <v/>
      </c>
      <c r="D575" s="1">
        <f>IFERROR(__xludf.DUMMYFUNCTION("""COMPUTED_VALUE"""),"PhraseCat")</f>
        <v/>
      </c>
      <c r="E575" s="15">
        <f>IFERROR(__xludf.DUMMYFUNCTION("""COMPUTED_VALUE"""),"phrasecat.com")</f>
        <v/>
      </c>
      <c r="F575" s="1">
        <f>IFERROR(__xludf.DUMMYFUNCTION("""COMPUTED_VALUE"""),"Our company has developed and operates the website (phrasecat.com) for improvement of English grammar in an interactive way.")</f>
        <v/>
      </c>
      <c r="G575" s="1">
        <f>IFERROR(__xludf.DUMMYFUNCTION("""COMPUTED_VALUE"""),"I'm not part of any EdTech association")</f>
        <v/>
      </c>
      <c r="H575" s="1">
        <f>IFERROR(__xludf.DUMMYFUNCTION("""COMPUTED_VALUE"""),"English, Russian, Brazilian, Portuguese")</f>
        <v/>
      </c>
      <c r="I575" s="1">
        <f>IFERROR(__xludf.DUMMYFUNCTION("""COMPUTED_VALUE"""),"inquiries@phrasecat.com")</f>
        <v/>
      </c>
      <c r="J575" s="1" t="n"/>
      <c r="K575" s="1">
        <f>IFERROR(__xludf.DUMMYFUNCTION("""COMPUTED_VALUE"""),"Prague")</f>
        <v/>
      </c>
      <c r="L575" s="1">
        <f>IFERROR(__xludf.DUMMYFUNCTION("""COMPUTED_VALUE"""),"Czech Republic")</f>
        <v/>
      </c>
      <c r="M575" s="1">
        <f>IFERROR(__xludf.DUMMYFUNCTION("""COMPUTED_VALUE"""),"Portugal, Russia")</f>
        <v/>
      </c>
      <c r="N575" s="1">
        <f>IFERROR(__xludf.DUMMYFUNCTION("""COMPUTED_VALUE"""),"0 to 2")</f>
        <v/>
      </c>
      <c r="O575" s="1">
        <f>IFERROR(__xludf.DUMMYFUNCTION("""COMPUTED_VALUE"""),"Business to Business, Business to Schools, Business to Consumer, Business to Government")</f>
        <v/>
      </c>
      <c r="P575" s="1">
        <f>IFERROR(__xludf.DUMMYFUNCTION("""COMPUTED_VALUE"""),"Corporate Training, Lifelong learning/Adult education, Vocational Education and Training (VET), Higher Education")</f>
        <v/>
      </c>
      <c r="Q575" s="1">
        <f>IFERROR(__xludf.DUMMYFUNCTION("""COMPUTED_VALUE"""),"Student interfacing, Teacher interfacing")</f>
        <v/>
      </c>
      <c r="R575" s="1" t="n"/>
      <c r="S575" s="1" t="n"/>
      <c r="T575" s="15">
        <f>IFERROR(__xludf.DUMMYFUNCTION("""COMPUTED_VALUE"""),"https://www.linkedin.com/company/phrasecat")</f>
        <v/>
      </c>
      <c r="U575" s="1">
        <f>IFERROR(__xludf.DUMMYFUNCTION("""COMPUTED_VALUE"""),"PhraseCat")</f>
        <v/>
      </c>
      <c r="V575" s="1">
        <f>IFERROR(__xludf.DUMMYFUNCTION("""COMPUTED_VALUE"""),"PhraseCat is an interactive online resource for teachers and tutors teaching English as a foreign language or a second language. Our educational platform contains a catalogue of English phrases that teachers can use to practise grammar patterns with their"&amp;" students. Self-taught students can practise interactively online themselves.
Each phrase represents an English grammar point. Students have to complete a portion of the phrase. They can do so by using their creativity or by simply varying the answers pr"&amp;"ovided by our Expert Bots.
Teachers can set up groups of students to work simultaneously on the same phrase (or sequence of phrases). Students can correct each other’s submissions and the teacher can correct the students’ submissions. Video/audio communi"&amp;"cation is available for the group participants to keep in touch.")</f>
        <v/>
      </c>
      <c r="W575" s="1" t="n"/>
      <c r="X575" s="1" t="n"/>
      <c r="Y575" s="15">
        <f>IFERROR(__xludf.DUMMYFUNCTION("""COMPUTED_VALUE"""),"https://drive.google.com/uc?export=view&amp;id=13_o5FgEAJoR_ef4JnohgoH1PCVby8wDG")</f>
        <v/>
      </c>
      <c r="Z575" s="1">
        <f>IFERROR(__xludf.DUMMYFUNCTION("""COMPUTED_VALUE"""),"Unverified")</f>
        <v/>
      </c>
      <c r="AA575" s="1" t="n"/>
      <c r="AB575" s="1" t="n"/>
      <c r="AC575" s="1" t="n"/>
      <c r="AD575" s="1" t="n"/>
      <c r="AE575" s="1" t="n"/>
    </row>
    <row r="576" ht="42" customHeight="1">
      <c r="A576" s="14">
        <f>IFERROR(__xludf.DUMMYFUNCTION("""COMPUTED_VALUE"""),45217)</f>
        <v/>
      </c>
      <c r="B576" s="1">
        <f>IFERROR(__xludf.DUMMYFUNCTION("""COMPUTED_VALUE"""),"ORG_2491")</f>
        <v/>
      </c>
      <c r="C576" s="1">
        <f>IFERROR(__xludf.DUMMYFUNCTION("""COMPUTED_VALUE"""),TRUE)</f>
        <v/>
      </c>
      <c r="D576" s="1">
        <f>IFERROR(__xludf.DUMMYFUNCTION("""COMPUTED_VALUE"""),"Videocation")</f>
        <v/>
      </c>
      <c r="E576" s="15">
        <f>IFERROR(__xludf.DUMMYFUNCTION("""COMPUTED_VALUE"""),"https://www.videocation.no")</f>
        <v/>
      </c>
      <c r="F576" s="1">
        <f>IFERROR(__xludf.DUMMYFUNCTION("""COMPUTED_VALUE"""),"Videocation is a two sided platform that on the one side makes it easy for experts to make professional video courses and on the other side makes it easy for businesses and individuals to access the courses through a simple subscription. For businesses Vi"&amp;"deocation offers LMS functionality: administration of users, learning data and tools to make playlists and follow up on learning initiatives.")</f>
        <v/>
      </c>
      <c r="G576" s="1">
        <f>IFERROR(__xludf.DUMMYFUNCTION("""COMPUTED_VALUE"""),"I'm not part of any EdTech association")</f>
        <v/>
      </c>
      <c r="H576" s="1">
        <f>IFERROR(__xludf.DUMMYFUNCTION("""COMPUTED_VALUE"""),"Norwegian, Spanish")</f>
        <v/>
      </c>
      <c r="I576" s="1">
        <f>IFERROR(__xludf.DUMMYFUNCTION("""COMPUTED_VALUE"""),"tp@videocation.no")</f>
        <v/>
      </c>
      <c r="J576" s="1" t="n"/>
      <c r="K576" s="1">
        <f>IFERROR(__xludf.DUMMYFUNCTION("""COMPUTED_VALUE"""),"Oslo")</f>
        <v/>
      </c>
      <c r="L576" s="1">
        <f>IFERROR(__xludf.DUMMYFUNCTION("""COMPUTED_VALUE"""),"Norway")</f>
        <v/>
      </c>
      <c r="M576" s="1">
        <f>IFERROR(__xludf.DUMMYFUNCTION("""COMPUTED_VALUE"""),"Norway, Spain")</f>
        <v/>
      </c>
      <c r="N576" s="1">
        <f>IFERROR(__xludf.DUMMYFUNCTION("""COMPUTED_VALUE"""),"11 to 50")</f>
        <v/>
      </c>
      <c r="O576" s="1">
        <f>IFERROR(__xludf.DUMMYFUNCTION("""COMPUTED_VALUE"""),"Business to Business, Business to Schools, Business to Consumer, Business to Government")</f>
        <v/>
      </c>
      <c r="P576" s="1">
        <f>IFERROR(__xludf.DUMMYFUNCTION("""COMPUTED_VALUE"""),"Corporate Training, Lifelong learning/Adult education")</f>
        <v/>
      </c>
      <c r="Q576" s="1">
        <f>IFERROR(__xludf.DUMMYFUNCTION("""COMPUTED_VALUE"""),"System/Administrative, Student interfacing")</f>
        <v/>
      </c>
      <c r="R576" s="15">
        <f>IFERROR(__xludf.DUMMYFUNCTION("""COMPUTED_VALUE"""),"videocation.no")</f>
        <v/>
      </c>
      <c r="S576" s="15">
        <f>IFERROR(__xludf.DUMMYFUNCTION("""COMPUTED_VALUE"""),"videocation.no")</f>
        <v/>
      </c>
      <c r="T576" s="15">
        <f>IFERROR(__xludf.DUMMYFUNCTION("""COMPUTED_VALUE"""),"https://www.linkedin.com/company/videocation.no/")</f>
        <v/>
      </c>
      <c r="U576" s="1">
        <f>IFERROR(__xludf.DUMMYFUNCTION("""COMPUTED_VALUE"""),"Video Courses")</f>
        <v/>
      </c>
      <c r="V576" s="1">
        <f>IFERROR(__xludf.DUMMYFUNCTION("""COMPUTED_VALUE"""),"Video Courses with local experts in local language. The courses are professional produced in our studios in Oslo and Madrid. The format follows Mayers principles for multimedia learning. This ensures optimal learning outcome from a course.")</f>
        <v/>
      </c>
      <c r="W576" s="1">
        <f>IFERROR(__xludf.DUMMYFUNCTION("""COMPUTED_VALUE"""),"LMS")</f>
        <v/>
      </c>
      <c r="X576" s="1">
        <f>IFERROR(__xludf.DUMMYFUNCTION("""COMPUTED_VALUE"""),"A simple LMS that makes it possible to administrate users, see data on user activity, compose a curriculum in form of a playlist. Follow up learning activities with reminders and nudges.")</f>
        <v/>
      </c>
      <c r="Y576" s="15">
        <f>IFERROR(__xludf.DUMMYFUNCTION("""COMPUTED_VALUE"""),"https://drive.google.com/uc?export=view&amp;id=1CHnSGSuqd_FJXQH9rv55xI9zzFHZKDuG")</f>
        <v/>
      </c>
      <c r="Z576" s="1">
        <f>IFERROR(__xludf.DUMMYFUNCTION("""COMPUTED_VALUE"""),"Unverified")</f>
        <v/>
      </c>
      <c r="AA576" s="1" t="n"/>
      <c r="AB576" s="1" t="n"/>
      <c r="AC576" s="1" t="n"/>
      <c r="AD576" s="1" t="n"/>
      <c r="AE576" s="1" t="n"/>
    </row>
    <row r="577" ht="42" customHeight="1">
      <c r="A577" s="14">
        <f>IFERROR(__xludf.DUMMYFUNCTION("""COMPUTED_VALUE"""),45216)</f>
        <v/>
      </c>
      <c r="B577" s="1">
        <f>IFERROR(__xludf.DUMMYFUNCTION("""COMPUTED_VALUE"""),"ORG_1534")</f>
        <v/>
      </c>
      <c r="C577" s="1">
        <f>IFERROR(__xludf.DUMMYFUNCTION("""COMPUTED_VALUE"""),TRUE)</f>
        <v/>
      </c>
      <c r="D577" s="1">
        <f>IFERROR(__xludf.DUMMYFUNCTION("""COMPUTED_VALUE"""),"eWink")</f>
        <v/>
      </c>
      <c r="E577" s="15">
        <f>IFERROR(__xludf.DUMMYFUNCTION("""COMPUTED_VALUE"""),"www.ewink.es")</f>
        <v/>
      </c>
      <c r="F577" s="1">
        <f>IFERROR(__xludf.DUMMYFUNCTION("""COMPUTED_VALUE"""),"Your digital privacy, your life. 
eWink is the first app that allows you to see, manage, and control your digital-footprint. You can classify and score it and get statistics of feeling, sensitivity and awareness
eWink allows schools to reduce cyber accide"&amp;"nts based on a culture of privacy awareness and respect. We can monitor and help students and schools perform digital well-being and privacy protection based on cutting-edge technology and a framework, including contents, training, workshops and related a"&amp;"ctivities.")</f>
        <v/>
      </c>
      <c r="G577" s="1">
        <f>IFERROR(__xludf.DUMMYFUNCTION("""COMPUTED_VALUE"""),"I'm not part of any EdTech association, SEK Lab")</f>
        <v/>
      </c>
      <c r="H577" s="1">
        <f>IFERROR(__xludf.DUMMYFUNCTION("""COMPUTED_VALUE"""),"Spanish, English")</f>
        <v/>
      </c>
      <c r="I577" s="1">
        <f>IFERROR(__xludf.DUMMYFUNCTION("""COMPUTED_VALUE"""),"info@ewink.es")</f>
        <v/>
      </c>
      <c r="J577" s="1">
        <f>IFERROR(__xludf.DUMMYFUNCTION("""COMPUTED_VALUE"""),"+34640535976")</f>
        <v/>
      </c>
      <c r="K577" s="1">
        <f>IFERROR(__xludf.DUMMYFUNCTION("""COMPUTED_VALUE"""),"SEVILLA")</f>
        <v/>
      </c>
      <c r="L577" s="1">
        <f>IFERROR(__xludf.DUMMYFUNCTION("""COMPUTED_VALUE"""),"Spain")</f>
        <v/>
      </c>
      <c r="M577" s="1">
        <f>IFERROR(__xludf.DUMMYFUNCTION("""COMPUTED_VALUE"""),"Italy, Spain")</f>
        <v/>
      </c>
      <c r="N577" s="1">
        <f>IFERROR(__xludf.DUMMYFUNCTION("""COMPUTED_VALUE"""),"11 to 50")</f>
        <v/>
      </c>
      <c r="O577" s="1">
        <f>IFERROR(__xludf.DUMMYFUNCTION("""COMPUTED_VALUE"""),"Business to Business, Business to Schools, Business to Consumer, Business to Government")</f>
        <v/>
      </c>
      <c r="P577" s="1">
        <f>IFERROR(__xludf.DUMMYFUNCTION("""COMPUTED_VALUE"""),"Secondary Education, Vocational Education and Training (VET), Higher Education")</f>
        <v/>
      </c>
      <c r="Q577" s="1">
        <f>IFERROR(__xludf.DUMMYFUNCTION("""COMPUTED_VALUE"""),"System/Administrative, Student interfacing, Teacher interfacing")</f>
        <v/>
      </c>
      <c r="R577" s="1">
        <f>IFERROR(__xludf.DUMMYFUNCTION("""COMPUTED_VALUE"""),"@ewink_privacy")</f>
        <v/>
      </c>
      <c r="S577" s="1">
        <f>IFERROR(__xludf.DUMMYFUNCTION("""COMPUTED_VALUE"""),"@ewink_privacy")</f>
        <v/>
      </c>
      <c r="T577" s="15">
        <f>IFERROR(__xludf.DUMMYFUNCTION("""COMPUTED_VALUE"""),"https://www.linkedin.com/company/ewink/?viewAsMember=true")</f>
        <v/>
      </c>
      <c r="U577" s="1">
        <f>IFERROR(__xludf.DUMMYFUNCTION("""COMPUTED_VALUE"""),"ewink for end students")</f>
        <v/>
      </c>
      <c r="V577" s="1">
        <f>IFERROR(__xludf.DUMMYFUNCTION("""COMPUTED_VALUE"""),"Digital privacy and well-being protection APP subscription including digital footprint report, digital evidence, digital rights management, and direct support.")</f>
        <v/>
      </c>
      <c r="W577" s="1">
        <f>IFERROR(__xludf.DUMMYFUNCTION("""COMPUTED_VALUE"""),"ewink for Schools")</f>
        <v/>
      </c>
      <c r="X577" s="1">
        <f>IFERROR(__xludf.DUMMYFUNCTION("""COMPUTED_VALUE"""),"Digital privacy and well-being protection subscription Saas Platform, a full DashBoard to monitor digital privacy awareness and cyber-accidents, including a way to work in a quantitative view of each student's digital footprint report, digital evidence, d"&amp;"igital rights management, direct support, and a way to notice to authorities all the issue to react against cyber-accidents.")</f>
        <v/>
      </c>
      <c r="Y577" s="1" t="n"/>
      <c r="Z577" s="1">
        <f>IFERROR(__xludf.DUMMYFUNCTION("""COMPUTED_VALUE"""),"Unverified")</f>
        <v/>
      </c>
      <c r="AA577" s="1" t="n"/>
      <c r="AB577" s="1" t="n"/>
      <c r="AC577" s="1" t="n"/>
      <c r="AD577" s="1" t="n"/>
      <c r="AE577" s="1" t="n"/>
    </row>
    <row r="578" ht="42" customHeight="1">
      <c r="A578" s="14">
        <f>IFERROR(__xludf.DUMMYFUNCTION("""COMPUTED_VALUE"""),45214)</f>
        <v/>
      </c>
      <c r="B578" s="1">
        <f>IFERROR(__xludf.DUMMYFUNCTION("""COMPUTED_VALUE"""),"ORG_1553")</f>
        <v/>
      </c>
      <c r="C578" s="1">
        <f>IFERROR(__xludf.DUMMYFUNCTION("""COMPUTED_VALUE"""),TRUE)</f>
        <v/>
      </c>
      <c r="D578" s="1">
        <f>IFERROR(__xludf.DUMMYFUNCTION("""COMPUTED_VALUE"""),"FAST AI Movies")</f>
        <v/>
      </c>
      <c r="E578" s="15">
        <f>IFERROR(__xludf.DUMMYFUNCTION("""COMPUTED_VALUE"""),"fast-ai-movies.de")</f>
        <v/>
      </c>
      <c r="F578" s="1">
        <f>IFERROR(__xludf.DUMMYFUNCTION("""COMPUTED_VALUE"""),"FAST AI Movies uses artificial intelligence to produce fully automated customized training videos, esp. benefiting companies with rapidly changing content.
The customer only provides us with their text as a pdf, everything else runs automatically with FAS"&amp;"T AI Movies AI software. FAST AI Movies creates a structured animated presentation from an unstructured short text.
Using AI, we reduce the cost of creating training videos by around 85%.")</f>
        <v/>
      </c>
      <c r="G578" s="1">
        <f>IFERROR(__xludf.DUMMYFUNCTION("""COMPUTED_VALUE"""),"LearnTech Hub")</f>
        <v/>
      </c>
      <c r="H578" s="1">
        <f>IFERROR(__xludf.DUMMYFUNCTION("""COMPUTED_VALUE"""),"English, German")</f>
        <v/>
      </c>
      <c r="I578" s="1">
        <f>IFERROR(__xludf.DUMMYFUNCTION("""COMPUTED_VALUE"""),"info@fast-ai-movies.com")</f>
        <v/>
      </c>
      <c r="J578" s="1">
        <f>IFERROR(__xludf.DUMMYFUNCTION("""COMPUTED_VALUE"""),"+49 163 8675917")</f>
        <v/>
      </c>
      <c r="K578" s="1">
        <f>IFERROR(__xludf.DUMMYFUNCTION("""COMPUTED_VALUE"""),"TRAUNSTEIN")</f>
        <v/>
      </c>
      <c r="L578" s="1">
        <f>IFERROR(__xludf.DUMMYFUNCTION("""COMPUTED_VALUE"""),"Germany")</f>
        <v/>
      </c>
      <c r="M578" s="1">
        <f>IFERROR(__xludf.DUMMYFUNCTION("""COMPUTED_VALUE"""),"Germany")</f>
        <v/>
      </c>
      <c r="N578" s="1">
        <f>IFERROR(__xludf.DUMMYFUNCTION("""COMPUTED_VALUE"""),"6 to 10")</f>
        <v/>
      </c>
      <c r="O578" s="1">
        <f>IFERROR(__xludf.DUMMYFUNCTION("""COMPUTED_VALUE"""),"Business to Business, Business to Consumer, Business to Schools")</f>
        <v/>
      </c>
      <c r="P578" s="1">
        <f>IFERROR(__xludf.DUMMYFUNCTION("""COMPUTED_VALUE"""),"Corporate Training")</f>
        <v/>
      </c>
      <c r="Q578" s="1">
        <f>IFERROR(__xludf.DUMMYFUNCTION("""COMPUTED_VALUE"""),"System/Administrative, Student interfacing")</f>
        <v/>
      </c>
      <c r="R578" s="15">
        <f>IFERROR(__xludf.DUMMYFUNCTION("""COMPUTED_VALUE"""),"https://www.instagram.com/fast.ai.movies")</f>
        <v/>
      </c>
      <c r="S578" s="1" t="n"/>
      <c r="T578" s="15">
        <f>IFERROR(__xludf.DUMMYFUNCTION("""COMPUTED_VALUE"""),"https://www.linkedin.com/company/fast-ai-movies")</f>
        <v/>
      </c>
      <c r="U578" s="1">
        <f>IFERROR(__xludf.DUMMYFUNCTION("""COMPUTED_VALUE"""),"AI generated training videos")</f>
        <v/>
      </c>
      <c r="V578" s="1">
        <f>IFERROR(__xludf.DUMMYFUNCTION("""COMPUTED_VALUE"""),"FAST AI Movies is a SaaS solution for the automated production of HR training videos with animated presentations and subsequent multiple choice quizzes for SMEs.
The automated generation of the training videos using AI only requires the provision of a sh"&amp;"ort text as the basis of the training.
This allows us to produce interactive and effective employee training quickly and cost-effectively, increasing satisfaction and effectiveness within the company.
We are the ChatGPT for videocreation.")</f>
        <v/>
      </c>
      <c r="W578" s="1" t="n"/>
      <c r="X578" s="1" t="n"/>
      <c r="Y578" s="15">
        <f>IFERROR(__xludf.DUMMYFUNCTION("""COMPUTED_VALUE"""),"https://drive.google.com/uc?export=view&amp;id=1Epoe16em4hCJovTvlRRSrunnKgZHHftK")</f>
        <v/>
      </c>
      <c r="Z578" s="1">
        <f>IFERROR(__xludf.DUMMYFUNCTION("""COMPUTED_VALUE"""),"Unverified")</f>
        <v/>
      </c>
      <c r="AA578" s="1" t="n"/>
      <c r="AB578" s="1" t="n"/>
      <c r="AC578" s="1" t="n"/>
      <c r="AD578" s="1" t="n"/>
      <c r="AE578" s="1" t="n"/>
    </row>
    <row r="579" ht="42" customHeight="1">
      <c r="A579" s="14">
        <f>IFERROR(__xludf.DUMMYFUNCTION("""COMPUTED_VALUE"""),45211)</f>
        <v/>
      </c>
      <c r="B579" s="1">
        <f>IFERROR(__xludf.DUMMYFUNCTION("""COMPUTED_VALUE"""),"ORG_2115")</f>
        <v/>
      </c>
      <c r="C579" s="1">
        <f>IFERROR(__xludf.DUMMYFUNCTION("""COMPUTED_VALUE"""),TRUE)</f>
        <v/>
      </c>
      <c r="D579" s="1">
        <f>IFERROR(__xludf.DUMMYFUNCTION("""COMPUTED_VALUE"""),"Podjetniški inkubator Kočevje")</f>
        <v/>
      </c>
      <c r="E579" s="15">
        <f>IFERROR(__xludf.DUMMYFUNCTION("""COMPUTED_VALUE"""),"https://inkubator-kocevje.si")</f>
        <v/>
      </c>
      <c r="F579" s="1">
        <f>IFERROR(__xludf.DUMMYFUNCTION("""COMPUTED_VALUE"""),"Business incubator Kočevje is primarily an organization that promotes economic development in the local and regional environment. However, in recent years, it has found its place in the field of educating youth through the use of new technologies.
The or"&amp;"ganization strongly supports the development of innovative teaching methods and encourages the smart and moderate use of new technologies for educational purposes among children aged 7 to 15.
At the national level, we implement the KUBO Robotics program,"&amp;" which provides children aged 7 to 10 with their first exposure to robotics and programming. The program is designed not only to teach programming, robotics, and technology but also to foster computational and creative thinking, preparing children for the"&amp;" challenges of the future.")</f>
        <v/>
      </c>
      <c r="G579" s="1">
        <f>IFERROR(__xludf.DUMMYFUNCTION("""COMPUTED_VALUE"""),"EdTech Slovenia")</f>
        <v/>
      </c>
      <c r="H579" s="1">
        <f>IFERROR(__xludf.DUMMYFUNCTION("""COMPUTED_VALUE"""),"Slovenian, English")</f>
        <v/>
      </c>
      <c r="I579" s="1">
        <f>IFERROR(__xludf.DUMMYFUNCTION("""COMPUTED_VALUE"""),"marko@inkubator-kocevje.si")</f>
        <v/>
      </c>
      <c r="J579" s="1">
        <f>IFERROR(__xludf.DUMMYFUNCTION("""COMPUTED_VALUE"""),"38640567786")</f>
        <v/>
      </c>
      <c r="K579" s="1">
        <f>IFERROR(__xludf.DUMMYFUNCTION("""COMPUTED_VALUE"""),"KOČEVJE")</f>
        <v/>
      </c>
      <c r="L579" s="1">
        <f>IFERROR(__xludf.DUMMYFUNCTION("""COMPUTED_VALUE"""),"Slovenia")</f>
        <v/>
      </c>
      <c r="M579" s="1">
        <f>IFERROR(__xludf.DUMMYFUNCTION("""COMPUTED_VALUE"""),"Croatia, Slovenia")</f>
        <v/>
      </c>
      <c r="N579" s="1">
        <f>IFERROR(__xludf.DUMMYFUNCTION("""COMPUTED_VALUE"""),"11 to 50")</f>
        <v/>
      </c>
      <c r="O579" s="1">
        <f>IFERROR(__xludf.DUMMYFUNCTION("""COMPUTED_VALUE"""),"Business to Business, Business to Schools, Business to Consumer, Business to Government")</f>
        <v/>
      </c>
      <c r="P579" s="1">
        <f>IFERROR(__xludf.DUMMYFUNCTION("""COMPUTED_VALUE"""),"Early childhood development (0-5 years), Primary Education, Lifelong learning/Adult education")</f>
        <v/>
      </c>
      <c r="Q579" s="1">
        <f>IFERROR(__xludf.DUMMYFUNCTION("""COMPUTED_VALUE"""),"System/Administrative, Student interfacing, Teacher interfacing")</f>
        <v/>
      </c>
      <c r="R579" s="15">
        <f>IFERROR(__xludf.DUMMYFUNCTION("""COMPUTED_VALUE"""),"https://www.instagram.com/inkubator_kocevje/")</f>
        <v/>
      </c>
      <c r="S579" s="1" t="n"/>
      <c r="T579" s="15">
        <f>IFERROR(__xludf.DUMMYFUNCTION("""COMPUTED_VALUE"""),"https://www.linkedin.com/company/podjetni%C5%A1ki-inkubator-ko%C4%8Devje")</f>
        <v/>
      </c>
      <c r="U579" s="1">
        <f>IFERROR(__xludf.DUMMYFUNCTION("""COMPUTED_VALUE"""),"KUBO robotics")</f>
        <v/>
      </c>
      <c r="V579" s="1">
        <f>IFERROR(__xludf.DUMMYFUNCTION("""COMPUTED_VALUE"""),"KUBO is an educational coding solution providing everything you need to get to grips with coding and computational thinking designed specifically for kids aged 4 to 10+.
KUBO provides both a hands-on and a digital solution, which delivers the perfect bal"&amp;"ance of hands-on and digital learning, encouraging a whole new generation of kids to develop 21st-century skills.")</f>
        <v/>
      </c>
      <c r="W579" s="1">
        <f>IFERROR(__xludf.DUMMYFUNCTION("""COMPUTED_VALUE"""),"eduTech conference")</f>
        <v/>
      </c>
      <c r="X579" s="1">
        <f>IFERROR(__xludf.DUMMYFUNCTION("""COMPUTED_VALUE"""),"At our annual EduTech conference, practical examples, diverse technologies, experienced representatives from schools, universities, innovative companies, decision-makers, and media professionals are featured. The conference is not only an opportunity for "&amp;"learning but also for networking and establishing lasting collaborations.")</f>
        <v/>
      </c>
      <c r="Y579" s="15">
        <f>IFERROR(__xludf.DUMMYFUNCTION("""COMPUTED_VALUE"""),"https://drive.google.com/uc?export=view&amp;id=17AxyioVPLeP4s-WWbiuP9r5u8LE8XLTQ")</f>
        <v/>
      </c>
      <c r="Z579" s="1">
        <f>IFERROR(__xludf.DUMMYFUNCTION("""COMPUTED_VALUE"""),"Unverified")</f>
        <v/>
      </c>
      <c r="AA579" s="1" t="n"/>
      <c r="AB579" s="1" t="n"/>
      <c r="AC579" s="1" t="n"/>
      <c r="AD579" s="1" t="n"/>
      <c r="AE579" s="1" t="n"/>
    </row>
    <row r="580" ht="42" customHeight="1">
      <c r="A580" s="14">
        <f>IFERROR(__xludf.DUMMYFUNCTION("""COMPUTED_VALUE"""),45211)</f>
        <v/>
      </c>
      <c r="B580" s="1">
        <f>IFERROR(__xludf.DUMMYFUNCTION("""COMPUTED_VALUE"""),"ORG_2399")</f>
        <v/>
      </c>
      <c r="C580" s="1">
        <f>IFERROR(__xludf.DUMMYFUNCTION("""COMPUTED_VALUE"""),TRUE)</f>
        <v/>
      </c>
      <c r="D580" s="1">
        <f>IFERROR(__xludf.DUMMYFUNCTION("""COMPUTED_VALUE"""),"The Learning Hub NV")</f>
        <v/>
      </c>
      <c r="E580" s="15">
        <f>IFERROR(__xludf.DUMMYFUNCTION("""COMPUTED_VALUE"""),"https://www.thelearninghub.be/")</f>
        <v/>
      </c>
      <c r="F580" s="1">
        <f>IFERROR(__xludf.DUMMYFUNCTION("""COMPUTED_VALUE"""),"The Learning Hub is a Belgian company dedicated to revolutionizing education and professional learning &amp; development. With a forward-thinking approach and a commitment to harnessing the power of modern technology, The Learning Hub has been at the forefron"&amp;"t of delivering innovative learning solutions. Through a diverse range of programs and services, they aim to enhance learning experiences for individuals and organizations, driving knowledge, skill, and competency development.")</f>
        <v/>
      </c>
      <c r="G580" s="1">
        <f>IFERROR(__xludf.DUMMYFUNCTION("""COMPUTED_VALUE"""),"edtechstation")</f>
        <v/>
      </c>
      <c r="H580" s="1">
        <f>IFERROR(__xludf.DUMMYFUNCTION("""COMPUTED_VALUE"""),"Dutch, English, French")</f>
        <v/>
      </c>
      <c r="I580" s="1">
        <f>IFERROR(__xludf.DUMMYFUNCTION("""COMPUTED_VALUE"""),"info@thelearninghub.be")</f>
        <v/>
      </c>
      <c r="J580" s="1" t="n"/>
      <c r="K580" s="1">
        <f>IFERROR(__xludf.DUMMYFUNCTION("""COMPUTED_VALUE"""),"KONTICH")</f>
        <v/>
      </c>
      <c r="L580" s="1">
        <f>IFERROR(__xludf.DUMMYFUNCTION("""COMPUTED_VALUE"""),"Belgium")</f>
        <v/>
      </c>
      <c r="M580" s="1">
        <f>IFERROR(__xludf.DUMMYFUNCTION("""COMPUTED_VALUE"""),"Belgium")</f>
        <v/>
      </c>
      <c r="N580" s="1">
        <f>IFERROR(__xludf.DUMMYFUNCTION("""COMPUTED_VALUE"""),"11 to 50")</f>
        <v/>
      </c>
      <c r="O580" s="1" t="n"/>
      <c r="P580" s="1">
        <f>IFERROR(__xludf.DUMMYFUNCTION("""COMPUTED_VALUE"""),"Secondary Education, Corporate Training, Lifelong learning/Adult education, Higher Education")</f>
        <v/>
      </c>
      <c r="Q580" s="1">
        <f>IFERROR(__xludf.DUMMYFUNCTION("""COMPUTED_VALUE"""),"System/Administrative, Student interfacing, Teacher interfacing")</f>
        <v/>
      </c>
      <c r="R580" s="15">
        <f>IFERROR(__xludf.DUMMYFUNCTION("""COMPUTED_VALUE"""),"https://www.instagram.com/thelearninghub.be/")</f>
        <v/>
      </c>
      <c r="S580" s="1" t="n"/>
      <c r="T580" s="15">
        <f>IFERROR(__xludf.DUMMYFUNCTION("""COMPUTED_VALUE"""),"https://www.linkedin.com/company/the-learning-hub")</f>
        <v/>
      </c>
      <c r="U580" s="1">
        <f>IFERROR(__xludf.DUMMYFUNCTION("""COMPUTED_VALUE"""),"Content Development + Strategy &amp; Transformation")</f>
        <v/>
      </c>
      <c r="V580" s="1">
        <f>IFERROR(__xludf.DUMMYFUNCTION("""COMPUTED_VALUE"""),"We create digital learning content from scratch, or adapt and digitalize existing content. We determine how content can be offered in the most relevant and attractive way, and choose the right output format for (and with!) your audience.
We offer guidanc"&amp;"e and support in the transformation of your learning &amp; development strategy. We tackle challenges and trends for the future. We determine the way to move forward by defining quick wins and relevant business cases. We build your expertise in assuring on-ti"&amp;"me learning experiences.")</f>
        <v/>
      </c>
      <c r="W580" s="1">
        <f>IFERROR(__xludf.DUMMYFUNCTION("""COMPUTED_VALUE"""),"Tool &amp; Platforms")</f>
        <v/>
      </c>
      <c r="X580" s="1">
        <f>IFERROR(__xludf.DUMMYFUNCTION("""COMPUTED_VALUE"""),"We help you choose, implement and manage the learning tools and/or learning management solutions that fit your business. We build your expertise, so you get the expected added value out of your learning solutions.
We have multiple partnerships, not only "&amp;"with vendors of learning management systems, but also partners for content. 
The goal is to offer the best solution to each individual client.")</f>
        <v/>
      </c>
      <c r="Y580" s="15">
        <f>IFERROR(__xludf.DUMMYFUNCTION("""COMPUTED_VALUE"""),"https://drive.google.com/uc?export=view&amp;id=1llXNwGOGh3atxAT7mvrh_vliV2IPkwzy")</f>
        <v/>
      </c>
      <c r="Z580" s="1">
        <f>IFERROR(__xludf.DUMMYFUNCTION("""COMPUTED_VALUE"""),"Unverified")</f>
        <v/>
      </c>
      <c r="AA580" s="1" t="n"/>
      <c r="AB580" s="1" t="n"/>
      <c r="AC580" s="1" t="n"/>
      <c r="AD580" s="1" t="n"/>
      <c r="AE580" s="1" t="n"/>
    </row>
    <row r="581" ht="42" customHeight="1">
      <c r="A581" s="14">
        <f>IFERROR(__xludf.DUMMYFUNCTION("""COMPUTED_VALUE"""),45210)</f>
        <v/>
      </c>
      <c r="B581" s="1">
        <f>IFERROR(__xludf.DUMMYFUNCTION("""COMPUTED_VALUE"""),"ORG_1011")</f>
        <v/>
      </c>
      <c r="C581" s="1">
        <f>IFERROR(__xludf.DUMMYFUNCTION("""COMPUTED_VALUE"""),TRUE)</f>
        <v/>
      </c>
      <c r="D581" s="15">
        <f>IFERROR(__xludf.DUMMYFUNCTION("""COMPUTED_VALUE"""),"3Dcamp.us")</f>
        <v/>
      </c>
      <c r="E581" s="15">
        <f>IFERROR(__xludf.DUMMYFUNCTION("""COMPUTED_VALUE"""),"https://www.3Dcamp.us")</f>
        <v/>
      </c>
      <c r="F581" s="1">
        <f>IFERROR(__xludf.DUMMYFUNCTION("""COMPUTED_VALUE"""),"3Dcamp.us is a SaaS virtual classroom that everyone can join the lesson with their avatars via web browsers. Lecturer can share screen, write on the board and show 3D animation models related to the lesson. Students can
raise their hands and ask questions"&amp;" in 3D classroom.
Also there are e-learning attributes like document sharing and saving on lesson folder, activity reports for per student and lesson, auto record and watch and more.")</f>
        <v/>
      </c>
      <c r="G581" s="1">
        <f>IFERROR(__xludf.DUMMYFUNCTION("""COMPUTED_VALUE"""),"I'm not part of any EdTech association")</f>
        <v/>
      </c>
      <c r="H581" s="1">
        <f>IFERROR(__xludf.DUMMYFUNCTION("""COMPUTED_VALUE"""),"English, Turkish")</f>
        <v/>
      </c>
      <c r="I581" s="1">
        <f>IFERROR(__xludf.DUMMYFUNCTION("""COMPUTED_VALUE"""),"emre@3Dcamp.us")</f>
        <v/>
      </c>
      <c r="J581" s="1">
        <f>IFERROR(__xludf.DUMMYFUNCTION("""COMPUTED_VALUE"""),"+90 532 559 60 83")</f>
        <v/>
      </c>
      <c r="K581" s="1">
        <f>IFERROR(__xludf.DUMMYFUNCTION("""COMPUTED_VALUE"""),"London")</f>
        <v/>
      </c>
      <c r="L581" s="1">
        <f>IFERROR(__xludf.DUMMYFUNCTION("""COMPUTED_VALUE"""),"United Kingdom")</f>
        <v/>
      </c>
      <c r="M581" s="1">
        <f>IFERROR(__xludf.DUMMYFUNCTION("""COMPUTED_VALUE"""),"Turkey, United Kingdom")</f>
        <v/>
      </c>
      <c r="N581" s="1">
        <f>IFERROR(__xludf.DUMMYFUNCTION("""COMPUTED_VALUE"""),"3 to 5")</f>
        <v/>
      </c>
      <c r="O581" s="1">
        <f>IFERROR(__xludf.DUMMYFUNCTION("""COMPUTED_VALUE"""),"Business to Business, Business to Schools, Business to Consumer, Business to Government")</f>
        <v/>
      </c>
      <c r="P581" s="1">
        <f>IFERROR(__xludf.DUMMYFUNCTION("""COMPUTED_VALUE"""),"Secondary Education, Corporate Training, Lifelong learning/Adult education, Vocational Education and Training (VET), Higher Education")</f>
        <v/>
      </c>
      <c r="Q581" s="1">
        <f>IFERROR(__xludf.DUMMYFUNCTION("""COMPUTED_VALUE"""),"Student interfacing, Teacher interfacing, System/Administrative")</f>
        <v/>
      </c>
      <c r="R581" s="15">
        <f>IFERROR(__xludf.DUMMYFUNCTION("""COMPUTED_VALUE"""),"https://www.instagram.com/3dcamp.us/")</f>
        <v/>
      </c>
      <c r="S581" s="15">
        <f>IFERROR(__xludf.DUMMYFUNCTION("""COMPUTED_VALUE"""),"https://twitter.com/3dcampus_")</f>
        <v/>
      </c>
      <c r="T581" s="15">
        <f>IFERROR(__xludf.DUMMYFUNCTION("""COMPUTED_VALUE"""),"https://www.linkedin.com/company/3dcampus/")</f>
        <v/>
      </c>
      <c r="U581" s="15">
        <f>IFERROR(__xludf.DUMMYFUNCTION("""COMPUTED_VALUE"""),"3DCamp.us")</f>
        <v/>
      </c>
      <c r="V581" s="1">
        <f>IFERROR(__xludf.DUMMYFUNCTION("""COMPUTED_VALUE"""),"3Dcamp.us is a SaaS virtual classroom that everyone can join the lesson with their avatars via web browsers. Lecturer can share screen, write on the board and show 3D animation models related to the lesson. Students can
raise their hands and ask questions"&amp;" in 3D classroom.
Also there are e-learning attributes like document sharing and saving on lesson folder, activity reports for per student and lesson, auto record and watch and more.")</f>
        <v/>
      </c>
      <c r="W581" s="1" t="n"/>
      <c r="X581" s="1" t="n"/>
      <c r="Y581" s="15">
        <f>IFERROR(__xludf.DUMMYFUNCTION("""COMPUTED_VALUE"""),"https://drive.google.com/uc?export=view&amp;id=1iETgsNDPB_6UrEYn4K-sFWNaS19epLUe")</f>
        <v/>
      </c>
      <c r="Z581" s="1">
        <f>IFERROR(__xludf.DUMMYFUNCTION("""COMPUTED_VALUE"""),"Unverified")</f>
        <v/>
      </c>
      <c r="AA581" s="1" t="n"/>
      <c r="AB581" s="1" t="n"/>
      <c r="AC581" s="1" t="n"/>
      <c r="AD581" s="1" t="n"/>
      <c r="AE581" s="1" t="n"/>
    </row>
    <row r="582" ht="42" customHeight="1">
      <c r="A582" s="14">
        <f>IFERROR(__xludf.DUMMYFUNCTION("""COMPUTED_VALUE"""),45210)</f>
        <v/>
      </c>
      <c r="B582" s="1">
        <f>IFERROR(__xludf.DUMMYFUNCTION("""COMPUTED_VALUE"""),"ORG_1665")</f>
        <v/>
      </c>
      <c r="C582" s="1">
        <f>IFERROR(__xludf.DUMMYFUNCTION("""COMPUTED_VALUE"""),TRUE)</f>
        <v/>
      </c>
      <c r="D582" s="1">
        <f>IFERROR(__xludf.DUMMYFUNCTION("""COMPUTED_VALUE"""),"Happy Code España")</f>
        <v/>
      </c>
      <c r="E582" s="15">
        <f>IFERROR(__xludf.DUMMYFUNCTION("""COMPUTED_VALUE"""),"www.happycode.com.es")</f>
        <v/>
      </c>
      <c r="F582" s="1">
        <f>IFERROR(__xludf.DUMMYFUNCTION("""COMPUTED_VALUE"""),"Happy Code is a global reference in the teaching of Programming, Maker and Robotics, present in countries such as Brazil, Portugal, and Spain.
The teaching methodology is based on the development of 21st century skills, since fundamental disciplines are "&amp;"worked on to train people who are more qualified to deal with the new challenges of the digital age.
Programming, maker and robotics courses introduce students to an innovative environment. Through project-based learning, its content stimulates skills su"&amp;"ch as reasoning, creativity, critical thinking, problem-solving, communication and collaboration.")</f>
        <v/>
      </c>
      <c r="G582" s="1">
        <f>IFERROR(__xludf.DUMMYFUNCTION("""COMPUTED_VALUE"""),"I'm not part of any EdTech association")</f>
        <v/>
      </c>
      <c r="H582" s="1">
        <f>IFERROR(__xludf.DUMMYFUNCTION("""COMPUTED_VALUE"""),"Portuguese, Spanish, English")</f>
        <v/>
      </c>
      <c r="I582" s="1">
        <f>IFERROR(__xludf.DUMMYFUNCTION("""COMPUTED_VALUE"""),"felipe@happycode.com.es")</f>
        <v/>
      </c>
      <c r="J582" s="1">
        <f>IFERROR(__xludf.DUMMYFUNCTION("""COMPUTED_VALUE"""),"692054633")</f>
        <v/>
      </c>
      <c r="K582" s="1">
        <f>IFERROR(__xludf.DUMMYFUNCTION("""COMPUTED_VALUE"""),"BARCELONA")</f>
        <v/>
      </c>
      <c r="L582" s="1">
        <f>IFERROR(__xludf.DUMMYFUNCTION("""COMPUTED_VALUE"""),"Spain")</f>
        <v/>
      </c>
      <c r="M582" s="1">
        <f>IFERROR(__xludf.DUMMYFUNCTION("""COMPUTED_VALUE"""),"Portugal, Spain")</f>
        <v/>
      </c>
      <c r="N582" s="1">
        <f>IFERROR(__xludf.DUMMYFUNCTION("""COMPUTED_VALUE"""),"3 to 5")</f>
        <v/>
      </c>
      <c r="O582" s="1">
        <f>IFERROR(__xludf.DUMMYFUNCTION("""COMPUTED_VALUE"""),"Business to Business, Business to Schools, Business to Consumer, Business to Government")</f>
        <v/>
      </c>
      <c r="P582" s="1">
        <f>IFERROR(__xludf.DUMMYFUNCTION("""COMPUTED_VALUE"""),"Primary Education, Secondary Education")</f>
        <v/>
      </c>
      <c r="Q582" s="1">
        <f>IFERROR(__xludf.DUMMYFUNCTION("""COMPUTED_VALUE"""),"System/Administrative, Teacher interfacing")</f>
        <v/>
      </c>
      <c r="R582" s="15">
        <f>IFERROR(__xludf.DUMMYFUNCTION("""COMPUTED_VALUE"""),"https://www.instagram.com/happycodees/")</f>
        <v/>
      </c>
      <c r="S582" s="15">
        <f>IFERROR(__xludf.DUMMYFUNCTION("""COMPUTED_VALUE"""),"https://twitter.com/HappyCode_ES")</f>
        <v/>
      </c>
      <c r="T582" s="15">
        <f>IFERROR(__xludf.DUMMYFUNCTION("""COMPUTED_VALUE"""),"https://www.linkedin.com/company/happy-code-educacion-espana/?viewAsMember=true")</f>
        <v/>
      </c>
      <c r="U582" s="1">
        <f>IFERROR(__xludf.DUMMYFUNCTION("""COMPUTED_VALUE"""),"Technology Courses")</f>
        <v/>
      </c>
      <c r="V582" s="1">
        <f>IFERROR(__xludf.DUMMYFUNCTION("""COMPUTED_VALUE"""),"A complete and customized solution for the easy integration of programming and robotics teaching in educational centers.")</f>
        <v/>
      </c>
      <c r="W582" s="1" t="n"/>
      <c r="X582" s="1" t="n"/>
      <c r="Y582" s="15">
        <f>IFERROR(__xludf.DUMMYFUNCTION("""COMPUTED_VALUE"""),"https://drive.google.com/uc?export=view&amp;id=1u-f71kF00FaRWDkWwTN234dqiABEbKnP")</f>
        <v/>
      </c>
      <c r="Z582" s="1">
        <f>IFERROR(__xludf.DUMMYFUNCTION("""COMPUTED_VALUE"""),"Unverified")</f>
        <v/>
      </c>
      <c r="AA582" s="1" t="n"/>
      <c r="AB582" s="1" t="n"/>
      <c r="AC582" s="1" t="n"/>
      <c r="AD582" s="1" t="n"/>
      <c r="AE582" s="1" t="n"/>
    </row>
    <row r="583" ht="42" customHeight="1">
      <c r="A583" s="14">
        <f>IFERROR(__xludf.DUMMYFUNCTION("""COMPUTED_VALUE"""),45209)</f>
        <v/>
      </c>
      <c r="B583" s="1">
        <f>IFERROR(__xludf.DUMMYFUNCTION("""COMPUTED_VALUE"""),"ORG_1529")</f>
        <v/>
      </c>
      <c r="C583" s="1">
        <f>IFERROR(__xludf.DUMMYFUNCTION("""COMPUTED_VALUE"""),TRUE)</f>
        <v/>
      </c>
      <c r="D583" s="1">
        <f>IFERROR(__xludf.DUMMYFUNCTION("""COMPUTED_VALUE"""),"EvolMind")</f>
        <v/>
      </c>
      <c r="E583" s="15">
        <f>IFERROR(__xludf.DUMMYFUNCTION("""COMPUTED_VALUE"""),"https://www.evolmind.com/")</f>
        <v/>
      </c>
      <c r="F583" s="1">
        <f>IFERROR(__xludf.DUMMYFUNCTION("""COMPUTED_VALUE"""),"EvolMind is a company specialized in the development of e-learning tools and platforms since 2006.
During these years, we have closely understood the pros and cons, the needs and the brakes that companies have to provide online training.
Our challenge is"&amp;" to bring and simplify online training to everyone, big and small, with or without previous experience.
Thus, tools and solutions in the cloud were born, such as evolCampus, the platform that anyone can use to succeed.
We democratize online training. We "&amp;"make life easier for administrators, teachers and students. Likewise, we promote e-learning!
We have clients in 35 countries, with more than 1,000 active clients and 100,000 active learners.")</f>
        <v/>
      </c>
      <c r="G583" s="1">
        <f>IFERROR(__xludf.DUMMYFUNCTION("""COMPUTED_VALUE"""),"I'm not part of any EdTech association")</f>
        <v/>
      </c>
      <c r="H583" s="1">
        <f>IFERROR(__xludf.DUMMYFUNCTION("""COMPUTED_VALUE"""),"Spanish, English, Italian, Portuguese, German, French, Dutch, Polish")</f>
        <v/>
      </c>
      <c r="I583" s="1">
        <f>IFERROR(__xludf.DUMMYFUNCTION("""COMPUTED_VALUE"""),"javier@evolmind.com")</f>
        <v/>
      </c>
      <c r="J583" s="1">
        <f>IFERROR(__xludf.DUMMYFUNCTION("""COMPUTED_VALUE"""),"+34876641910")</f>
        <v/>
      </c>
      <c r="K583" s="1">
        <f>IFERROR(__xludf.DUMMYFUNCTION("""COMPUTED_VALUE"""),"ZARAGOZA")</f>
        <v/>
      </c>
      <c r="L583" s="1">
        <f>IFERROR(__xludf.DUMMYFUNCTION("""COMPUTED_VALUE"""),"Spain")</f>
        <v/>
      </c>
      <c r="M583" s="1">
        <f>IFERROR(__xludf.DUMMYFUNCTION("""COMPUTED_VALUE"""),"Andorra, Austria, Belgium, Cyprus, Denmark, France, Germany, Greece, Ireland, Italy, Malta, Netherlands, Portugal, Spain, Switzerland, Ukraine, United Kingdom")</f>
        <v/>
      </c>
      <c r="N583" s="1">
        <f>IFERROR(__xludf.DUMMYFUNCTION("""COMPUTED_VALUE"""),"11 to 50")</f>
        <v/>
      </c>
      <c r="O583" s="1">
        <f>IFERROR(__xludf.DUMMYFUNCTION("""COMPUTED_VALUE"""),"Business to Business, Business to Schools, Business to Government")</f>
        <v/>
      </c>
      <c r="P583" s="1">
        <f>IFERROR(__xludf.DUMMYFUNCTION("""COMPUTED_VALUE"""),"Corporate Training, Lifelong learning/Adult education, Vocational Education and Training (VET), Higher Education")</f>
        <v/>
      </c>
      <c r="Q583" s="1">
        <f>IFERROR(__xludf.DUMMYFUNCTION("""COMPUTED_VALUE"""),"Teacher interfacing, System/Administrative, Student interfacing")</f>
        <v/>
      </c>
      <c r="R583" s="1" t="n"/>
      <c r="S583" s="15">
        <f>IFERROR(__xludf.DUMMYFUNCTION("""COMPUTED_VALUE"""),"https://twitter.com/evolcampus")</f>
        <v/>
      </c>
      <c r="T583" s="15">
        <f>IFERROR(__xludf.DUMMYFUNCTION("""COMPUTED_VALUE"""),"https://www.linkedin.com/company/evolmind/?originalSubdomain=es")</f>
        <v/>
      </c>
      <c r="U583" s="1">
        <f>IFERROR(__xludf.DUMMYFUNCTION("""COMPUTED_VALUE"""),"evolCampus")</f>
        <v/>
      </c>
      <c r="V583" s="1">
        <f>IFERROR(__xludf.DUMMYFUNCTION("""COMPUTED_VALUE"""),"evolCampus is an extremely easy to use and versatile e-learning management system with which you can create, deliver, evaluate and analyze your online training courses with little effort.
Power for 10 or 100,000 students. Functional and intuitive interfa"&amp;"ce with all the services that any training project needs. 
Our more than 1,000 customers in 35 countries are of all industries and sizes. A perfect LMS platform for academies, consultancies, employee training, associations, business schools, NGOs...")</f>
        <v/>
      </c>
      <c r="W583" s="1" t="n"/>
      <c r="X583" s="1" t="n"/>
      <c r="Y583" s="15">
        <f>IFERROR(__xludf.DUMMYFUNCTION("""COMPUTED_VALUE"""),"https://drive.google.com/uc?export=view&amp;id=13_SnqIRpOM2l7VlpKNJ_v4uREcpG67M2")</f>
        <v/>
      </c>
      <c r="Z583" s="1">
        <f>IFERROR(__xludf.DUMMYFUNCTION("""COMPUTED_VALUE"""),"Unverified")</f>
        <v/>
      </c>
      <c r="AA583" s="1" t="n"/>
      <c r="AB583" s="1" t="n"/>
      <c r="AC583" s="1" t="n"/>
      <c r="AD583" s="1" t="n"/>
      <c r="AE583" s="1" t="n"/>
    </row>
    <row r="584" ht="42" customHeight="1">
      <c r="A584" s="14">
        <f>IFERROR(__xludf.DUMMYFUNCTION("""COMPUTED_VALUE"""),45209)</f>
        <v/>
      </c>
      <c r="B584" s="1">
        <f>IFERROR(__xludf.DUMMYFUNCTION("""COMPUTED_VALUE"""),"ORG_1794")</f>
        <v/>
      </c>
      <c r="C584" s="1">
        <f>IFERROR(__xludf.DUMMYFUNCTION("""COMPUTED_VALUE"""),TRUE)</f>
        <v/>
      </c>
      <c r="D584" s="1">
        <f>IFERROR(__xludf.DUMMYFUNCTION("""COMPUTED_VALUE"""),"Kura")</f>
        <v/>
      </c>
      <c r="E584" s="15">
        <f>IFERROR(__xludf.DUMMYFUNCTION("""COMPUTED_VALUE"""),"https://www.kura-app.com/")</f>
        <v/>
      </c>
      <c r="F584" s="1">
        <f>IFERROR(__xludf.DUMMYFUNCTION("""COMPUTED_VALUE"""),"A collaborative learning platform to support the deployment of hybrid and online training programs of higher education institutions and training organizations. Kura is built around three strong principles: 1) the learner experience must be integrated, sea"&amp;"mless and accessible 2) learning activities and resources must contribute to the development of professional skills3) peer collaboration and collective intelligence are at the heart of the experience.")</f>
        <v/>
      </c>
      <c r="G584" s="1">
        <f>IFERROR(__xludf.DUMMYFUNCTION("""COMPUTED_VALUE"""),"I'm not part of any EdTech association")</f>
        <v/>
      </c>
      <c r="H584" s="1">
        <f>IFERROR(__xludf.DUMMYFUNCTION("""COMPUTED_VALUE"""),"French")</f>
        <v/>
      </c>
      <c r="I584" s="1">
        <f>IFERROR(__xludf.DUMMYFUNCTION("""COMPUTED_VALUE"""),"team@kura-app.com")</f>
        <v/>
      </c>
      <c r="J584" s="1" t="n"/>
      <c r="K584" s="1">
        <f>IFERROR(__xludf.DUMMYFUNCTION("""COMPUTED_VALUE"""),"Rennes")</f>
        <v/>
      </c>
      <c r="L584" s="1">
        <f>IFERROR(__xludf.DUMMYFUNCTION("""COMPUTED_VALUE"""),"France")</f>
        <v/>
      </c>
      <c r="M584" s="1">
        <f>IFERROR(__xludf.DUMMYFUNCTION("""COMPUTED_VALUE"""),"Belgium, France")</f>
        <v/>
      </c>
      <c r="N584" s="1">
        <f>IFERROR(__xludf.DUMMYFUNCTION("""COMPUTED_VALUE"""),"0 to 2")</f>
        <v/>
      </c>
      <c r="O584" s="1">
        <f>IFERROR(__xludf.DUMMYFUNCTION("""COMPUTED_VALUE"""),"Business to Business, Business to Schools, Business to Consumer")</f>
        <v/>
      </c>
      <c r="P584" s="1">
        <f>IFERROR(__xludf.DUMMYFUNCTION("""COMPUTED_VALUE"""),"Corporate Training, Lifelong learning/Adult education, Vocational Education and Training (VET), Higher Education")</f>
        <v/>
      </c>
      <c r="Q584" s="1">
        <f>IFERROR(__xludf.DUMMYFUNCTION("""COMPUTED_VALUE"""),"Teacher interfacing, System/Administrative, Student interfacing")</f>
        <v/>
      </c>
      <c r="R584" s="1" t="n"/>
      <c r="S584" s="1" t="n"/>
      <c r="T584" s="15">
        <f>IFERROR(__xludf.DUMMYFUNCTION("""COMPUTED_VALUE"""),"https://www.linkedin.com/company/kura-app/")</f>
        <v/>
      </c>
      <c r="U584" s="1" t="n"/>
      <c r="V584" s="1" t="n"/>
      <c r="W584" s="1" t="n"/>
      <c r="X584" s="1" t="n"/>
      <c r="Y584" s="15">
        <f>IFERROR(__xludf.DUMMYFUNCTION("""COMPUTED_VALUE"""),"https://drive.google.com/uc?export=view&amp;id=1_Y-ZMPSQ93OhP6SMS5SmzkUFV5A3H8nB")</f>
        <v/>
      </c>
      <c r="Z584" s="1">
        <f>IFERROR(__xludf.DUMMYFUNCTION("""COMPUTED_VALUE"""),"Unverified")</f>
        <v/>
      </c>
      <c r="AA584" s="1" t="n"/>
      <c r="AB584" s="1" t="n"/>
      <c r="AC584" s="1" t="n"/>
      <c r="AD584" s="1" t="n"/>
      <c r="AE584" s="1" t="n"/>
    </row>
    <row r="585" ht="42" customHeight="1">
      <c r="A585" s="14">
        <f>IFERROR(__xludf.DUMMYFUNCTION("""COMPUTED_VALUE"""),45209)</f>
        <v/>
      </c>
      <c r="B585" s="1">
        <f>IFERROR(__xludf.DUMMYFUNCTION("""COMPUTED_VALUE"""),"ORG_2010")</f>
        <v/>
      </c>
      <c r="C585" s="1">
        <f>IFERROR(__xludf.DUMMYFUNCTION("""COMPUTED_VALUE"""),TRUE)</f>
        <v/>
      </c>
      <c r="D585" s="1">
        <f>IFERROR(__xludf.DUMMYFUNCTION("""COMPUTED_VALUE"""),"MyScol")</f>
        <v/>
      </c>
      <c r="E585" s="15">
        <f>IFERROR(__xludf.DUMMYFUNCTION("""COMPUTED_VALUE"""),"https://myscol.com")</f>
        <v/>
      </c>
      <c r="F585" s="1">
        <f>IFERROR(__xludf.DUMMYFUNCTION("""COMPUTED_VALUE"""),"All-in-one software to manage the day-to-day running of your school. Best solution for kindergarten, primary school, secondary school, higher education or private or public training centre.")</f>
        <v/>
      </c>
      <c r="G585" s="1">
        <f>IFERROR(__xludf.DUMMYFUNCTION("""COMPUTED_VALUE"""),"EdTech France")</f>
        <v/>
      </c>
      <c r="H585" s="1">
        <f>IFERROR(__xludf.DUMMYFUNCTION("""COMPUTED_VALUE"""),"English, French")</f>
        <v/>
      </c>
      <c r="I585" s="1">
        <f>IFERROR(__xludf.DUMMYFUNCTION("""COMPUTED_VALUE"""),"hello@myscol.com")</f>
        <v/>
      </c>
      <c r="J585" s="1">
        <f>IFERROR(__xludf.DUMMYFUNCTION("""COMPUTED_VALUE"""),"+33184214814")</f>
        <v/>
      </c>
      <c r="K585" s="1">
        <f>IFERROR(__xludf.DUMMYFUNCTION("""COMPUTED_VALUE"""),"La Courneuve")</f>
        <v/>
      </c>
      <c r="L585" s="1">
        <f>IFERROR(__xludf.DUMMYFUNCTION("""COMPUTED_VALUE"""),"France")</f>
        <v/>
      </c>
      <c r="M585"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585" s="1">
        <f>IFERROR(__xludf.DUMMYFUNCTION("""COMPUTED_VALUE"""),"3 to 5")</f>
        <v/>
      </c>
      <c r="O585" s="1">
        <f>IFERROR(__xludf.DUMMYFUNCTION("""COMPUTED_VALUE"""),"Business to Business")</f>
        <v/>
      </c>
      <c r="P585" s="1">
        <f>IFERROR(__xludf.DUMMYFUNCTION("""COMPUTED_VALUE"""),"Early childhood development (0-5 years), Primary Education, Secondary Education, Corporate Training, Lifelong learning/Adult education, Vocational Education and Training (VET), Higher Education")</f>
        <v/>
      </c>
      <c r="Q585" s="1">
        <f>IFERROR(__xludf.DUMMYFUNCTION("""COMPUTED_VALUE"""),"System/Administrative, Student interfacing")</f>
        <v/>
      </c>
      <c r="R585" s="15">
        <f>IFERROR(__xludf.DUMMYFUNCTION("""COMPUTED_VALUE"""),"https://www.instagram.com/myscol.english/?next=%2F")</f>
        <v/>
      </c>
      <c r="S585" s="15">
        <f>IFERROR(__xludf.DUMMYFUNCTION("""COMPUTED_VALUE"""),"https://twitter.com/MyScolOfficiel")</f>
        <v/>
      </c>
      <c r="T585" s="15">
        <f>IFERROR(__xludf.DUMMYFUNCTION("""COMPUTED_VALUE"""),"https://www.linkedin.com/showcase/myscol/")</f>
        <v/>
      </c>
      <c r="U585" s="1">
        <f>IFERROR(__xludf.DUMMYFUNCTION("""COMPUTED_VALUE"""),"MyScol")</f>
        <v/>
      </c>
      <c r="V585" s="1">
        <f>IFERROR(__xludf.DUMMYFUNCTION("""COMPUTED_VALUE"""),"MyScol, is transforming education with cutting-edge technological solutions. This EdTech platform offers intuitive course management, seamless communication among all stakeholders in education, and personalized student tracking. MyScol aims to elevate the"&amp;" educational experience for schools, teachers, students, and parents. Explore how MyScol is shaping the future of education")</f>
        <v/>
      </c>
      <c r="W585" s="1" t="n"/>
      <c r="X585" s="1" t="n"/>
      <c r="Y585" s="15">
        <f>IFERROR(__xludf.DUMMYFUNCTION("""COMPUTED_VALUE"""),"https://drive.google.com/uc?export=view&amp;id=1c42WFAHcbHl_gkrmw7-O3HXwPokOQTZQ")</f>
        <v/>
      </c>
      <c r="Z585" s="1">
        <f>IFERROR(__xludf.DUMMYFUNCTION("""COMPUTED_VALUE"""),"Unverified")</f>
        <v/>
      </c>
      <c r="AA585" s="1" t="n"/>
      <c r="AB585" s="1" t="n"/>
      <c r="AC585" s="1" t="n"/>
      <c r="AD585" s="1" t="n"/>
      <c r="AE585" s="1" t="n"/>
    </row>
    <row r="586" ht="42" customHeight="1">
      <c r="A586" s="14">
        <f>IFERROR(__xludf.DUMMYFUNCTION("""COMPUTED_VALUE"""),45206)</f>
        <v/>
      </c>
      <c r="B586" s="1">
        <f>IFERROR(__xludf.DUMMYFUNCTION("""COMPUTED_VALUE"""),"ORG_1828")</f>
        <v/>
      </c>
      <c r="C586" s="1">
        <f>IFERROR(__xludf.DUMMYFUNCTION("""COMPUTED_VALUE"""),TRUE)</f>
        <v/>
      </c>
      <c r="D586" s="1">
        <f>IFERROR(__xludf.DUMMYFUNCTION("""COMPUTED_VALUE"""),"LearnerOn")</f>
        <v/>
      </c>
      <c r="E586" s="15">
        <f>IFERROR(__xludf.DUMMYFUNCTION("""COMPUTED_VALUE"""),"https://learneron.net")</f>
        <v/>
      </c>
      <c r="F586" s="1">
        <f>IFERROR(__xludf.DUMMYFUNCTION("""COMPUTED_VALUE"""),"LearnerOn.Net is a career-minded Learning eXperience Platform: intelligent self-service learning platform for corporate and lifelong learners (broad aggregated &amp; curated content; data science making it easy to discover learning relevant to my skills, job "&amp;"or career plan; peer learning. For Learning &amp; Development Managers, LearnerOn serves as a means of mass instruction and corporate leanring &amp; skills progress tracking and analyzing tool. LearnerOn is SaaS, subscription based tool - no installation required"&amp;", come-and-play.")</f>
        <v/>
      </c>
      <c r="G586" s="1">
        <f>IFERROR(__xludf.DUMMYFUNCTION("""COMPUTED_VALUE"""),"I'm not part of any EdTech association")</f>
        <v/>
      </c>
      <c r="H586" s="1">
        <f>IFERROR(__xludf.DUMMYFUNCTION("""COMPUTED_VALUE"""),"English, Czech")</f>
        <v/>
      </c>
      <c r="I586" s="1">
        <f>IFERROR(__xludf.DUMMYFUNCTION("""COMPUTED_VALUE"""),"vladislav.severa@learneron.net")</f>
        <v/>
      </c>
      <c r="J586" s="1" t="n"/>
      <c r="K586" s="1">
        <f>IFERROR(__xludf.DUMMYFUNCTION("""COMPUTED_VALUE"""),"PRAGUE")</f>
        <v/>
      </c>
      <c r="L586" s="1">
        <f>IFERROR(__xludf.DUMMYFUNCTION("""COMPUTED_VALUE"""),"Czech Republic")</f>
        <v/>
      </c>
      <c r="M586"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San Marino, Serbia, Slovakia, Slovenia, Spain, Sweden, Switzerland, Turkey, Ukraine, United Kingdom")</f>
        <v/>
      </c>
      <c r="N586" s="1">
        <f>IFERROR(__xludf.DUMMYFUNCTION("""COMPUTED_VALUE"""),"6 to 10")</f>
        <v/>
      </c>
      <c r="O586" s="1">
        <f>IFERROR(__xludf.DUMMYFUNCTION("""COMPUTED_VALUE"""),"Business to Business, Business to Consumer, Business to Schools")</f>
        <v/>
      </c>
      <c r="P586" s="1">
        <f>IFERROR(__xludf.DUMMYFUNCTION("""COMPUTED_VALUE"""),"Corporate Training, Lifelong learning/Adult education")</f>
        <v/>
      </c>
      <c r="Q586" s="1">
        <f>IFERROR(__xludf.DUMMYFUNCTION("""COMPUTED_VALUE"""),"System/Administrative, Student interfacing")</f>
        <v/>
      </c>
      <c r="R586" s="1" t="n"/>
      <c r="S586" s="1" t="n"/>
      <c r="T586" s="15">
        <f>IFERROR(__xludf.DUMMYFUNCTION("""COMPUTED_VALUE"""),"https://www.linkedin.com/company/learneron-net/")</f>
        <v/>
      </c>
      <c r="U586" s="1">
        <f>IFERROR(__xludf.DUMMYFUNCTION("""COMPUTED_VALUE"""),"LearnerOn LXP platform")</f>
        <v/>
      </c>
      <c r="V586" s="1">
        <f>IFERROR(__xludf.DUMMYFUNCTION("""COMPUTED_VALUE"""),"Digital SaaS platform delivering a one-stop-shop hub for companies' online or hybrid learning. Combining, in a personalized and AI-sided fashion, learning materials with personal skillsets and with both managed and informal ways to steer the corporate L&amp;D"&amp;".")</f>
        <v/>
      </c>
      <c r="W586" s="1">
        <f>IFERROR(__xludf.DUMMYFUNCTION("""COMPUTED_VALUE"""),"AI-generated microlearning")</f>
        <v/>
      </c>
      <c r="X586" s="1">
        <f>IFERROR(__xludf.DUMMYFUNCTION("""COMPUTED_VALUE"""),"Microlearning generated in real time, personalized to the skillset, activity and learning activity of each individual user. Our generative AI can also incorporate company specific, proprietary learning and knowledge materials to produce highly specific mi"&amp;"crolearning to roles, contexts and situations.")</f>
        <v/>
      </c>
      <c r="Y586" s="15">
        <f>IFERROR(__xludf.DUMMYFUNCTION("""COMPUTED_VALUE"""),"https://drive.google.com/uc?export=view&amp;id=1gqUKMY25dfY2gUf9S7vHyXEKvFU2C4-e")</f>
        <v/>
      </c>
      <c r="Z586" s="1">
        <f>IFERROR(__xludf.DUMMYFUNCTION("""COMPUTED_VALUE"""),"Unverified")</f>
        <v/>
      </c>
      <c r="AA586" s="1" t="n"/>
      <c r="AB586" s="1" t="n"/>
      <c r="AC586" s="1" t="n"/>
      <c r="AD586" s="1" t="n"/>
      <c r="AE586" s="1" t="n"/>
    </row>
    <row r="587" ht="42" customHeight="1">
      <c r="A587" s="14">
        <f>IFERROR(__xludf.DUMMYFUNCTION("""COMPUTED_VALUE"""),45205)</f>
        <v/>
      </c>
      <c r="B587" s="1">
        <f>IFERROR(__xludf.DUMMYFUNCTION("""COMPUTED_VALUE"""),"ORG_1356")</f>
        <v/>
      </c>
      <c r="C587" s="1">
        <f>IFERROR(__xludf.DUMMYFUNCTION("""COMPUTED_VALUE"""),TRUE)</f>
        <v/>
      </c>
      <c r="D587" s="1">
        <f>IFERROR(__xludf.DUMMYFUNCTION("""COMPUTED_VALUE"""),"Digital Family")</f>
        <v/>
      </c>
      <c r="E587" s="15">
        <f>IFERROR(__xludf.DUMMYFUNCTION("""COMPUTED_VALUE"""),"https://digitalfamily.es/")</f>
        <v/>
      </c>
      <c r="F587" s="1">
        <f>IFERROR(__xludf.DUMMYFUNCTION("""COMPUTED_VALUE"""),"Digital Family , your allies in digital transformation for education.
We work together with educational centers to prepare students for the challenges of the 21st century, becoming a digitally competent center and inspiring the change of digital culture,"&amp;" through innovation.
With more than 10 years of experience, we generate positive change alongside educational leaders and training teachers in digital skills, as well as facilitating innovation processes in schools and universities, offering a digital tr"&amp;"ansformation program that offers tailored paths to achieve a high level of digitally competent schools.")</f>
        <v/>
      </c>
      <c r="G587" s="1">
        <f>IFERROR(__xludf.DUMMYFUNCTION("""COMPUTED_VALUE"""),"I'm not part of any EdTech association")</f>
        <v/>
      </c>
      <c r="H587" s="1">
        <f>IFERROR(__xludf.DUMMYFUNCTION("""COMPUTED_VALUE"""),"Spanish, English")</f>
        <v/>
      </c>
      <c r="I587" s="1">
        <f>IFERROR(__xludf.DUMMYFUNCTION("""COMPUTED_VALUE"""),"info@digitalfamily.es")</f>
        <v/>
      </c>
      <c r="J587" s="1">
        <f>IFERROR(__xludf.DUMMYFUNCTION("""COMPUTED_VALUE"""),"911984930")</f>
        <v/>
      </c>
      <c r="K587" s="1">
        <f>IFERROR(__xludf.DUMMYFUNCTION("""COMPUTED_VALUE"""),"MADRID")</f>
        <v/>
      </c>
      <c r="L587" s="1">
        <f>IFERROR(__xludf.DUMMYFUNCTION("""COMPUTED_VALUE"""),"Spain")</f>
        <v/>
      </c>
      <c r="M587"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587" s="1">
        <f>IFERROR(__xludf.DUMMYFUNCTION("""COMPUTED_VALUE"""),"3 to 5")</f>
        <v/>
      </c>
      <c r="O587" s="1">
        <f>IFERROR(__xludf.DUMMYFUNCTION("""COMPUTED_VALUE"""),"Business to Business, Business to Consumer")</f>
        <v/>
      </c>
      <c r="P587" s="1">
        <f>IFERROR(__xludf.DUMMYFUNCTION("""COMPUTED_VALUE"""),"Primary Education, Secondary Education, Corporate Training, Lifelong learning/Adult education, Vocational Education and Training (VET), Higher Education")</f>
        <v/>
      </c>
      <c r="Q587" s="1">
        <f>IFERROR(__xludf.DUMMYFUNCTION("""COMPUTED_VALUE"""),"Teacher interfacing, System/Administrative, Student interfacing")</f>
        <v/>
      </c>
      <c r="R587" s="15">
        <f>IFERROR(__xludf.DUMMYFUNCTION("""COMPUTED_VALUE"""),"https://www.instagram.com/digitalfamily_es/")</f>
        <v/>
      </c>
      <c r="S587" s="15">
        <f>IFERROR(__xludf.DUMMYFUNCTION("""COMPUTED_VALUE"""),"https://twitter.com/digitalfamilyes")</f>
        <v/>
      </c>
      <c r="T587" s="15">
        <f>IFERROR(__xludf.DUMMYFUNCTION("""COMPUTED_VALUE"""),"https://www.linkedin.com/company/digital-family-espa%C3%B1a")</f>
        <v/>
      </c>
      <c r="U587" s="1">
        <f>IFERROR(__xludf.DUMMYFUNCTION("""COMPUTED_VALUE"""),"Training and continuous education")</f>
        <v/>
      </c>
      <c r="V587" s="1">
        <f>IFERROR(__xludf.DUMMYFUNCTION("""COMPUTED_VALUE"""),"Focused on the development of digital skills necessary to address the teaching and learning process that is required today.")</f>
        <v/>
      </c>
      <c r="W587" s="1">
        <f>IFERROR(__xludf.DUMMYFUNCTION("""COMPUTED_VALUE"""),"Technical services")</f>
        <v/>
      </c>
      <c r="X587" s="1">
        <f>IFERROR(__xludf.DUMMYFUNCTION("""COMPUTED_VALUE"""),"Technical solutions to harness the power of Google Workspace for Education. Implementation from scratch, Audit, Migration, Technical Support.")</f>
        <v/>
      </c>
      <c r="Y587" s="15">
        <f>IFERROR(__xludf.DUMMYFUNCTION("""COMPUTED_VALUE"""),"https://drive.google.com/uc?export=view&amp;id=1Ms5vZ9oLKJatRj3fDEW1vtsBelmMAR2l")</f>
        <v/>
      </c>
      <c r="Z587" s="1">
        <f>IFERROR(__xludf.DUMMYFUNCTION("""COMPUTED_VALUE"""),"Unverified")</f>
        <v/>
      </c>
      <c r="AA587" s="1" t="n"/>
      <c r="AB587" s="1" t="n"/>
      <c r="AC587" s="1" t="n"/>
      <c r="AD587" s="1" t="n"/>
      <c r="AE587" s="1" t="n"/>
    </row>
    <row r="588" ht="42" customHeight="1">
      <c r="A588" s="14">
        <f>IFERROR(__xludf.DUMMYFUNCTION("""COMPUTED_VALUE"""),45203)</f>
        <v/>
      </c>
      <c r="B588" s="1">
        <f>IFERROR(__xludf.DUMMYFUNCTION("""COMPUTED_VALUE"""),"ORG_1076")</f>
        <v/>
      </c>
      <c r="C588" s="1">
        <f>IFERROR(__xludf.DUMMYFUNCTION("""COMPUTED_VALUE"""),TRUE)</f>
        <v/>
      </c>
      <c r="D588" s="1">
        <f>IFERROR(__xludf.DUMMYFUNCTION("""COMPUTED_VALUE"""),"Anseo")</f>
        <v/>
      </c>
      <c r="E588" s="15">
        <f>IFERROR(__xludf.DUMMYFUNCTION("""COMPUTED_VALUE"""),"www.bool.ie")</f>
        <v/>
      </c>
      <c r="F588" s="1">
        <f>IFERROR(__xludf.DUMMYFUNCTION("""COMPUTED_VALUE"""),"ANSEO SOFTWARE
Designed in partnership with schools our software has over 50 different report formats for individual students and year/class groups.
​
Anseo provides a level of detail and analysis to allow school management to be proactive in dealing w"&amp;"ith attendance or punctuality issues with individuals or groups.
Anseo includes an early warning based on thresholds set by the school for absent or late levels per week, month or academic year
​
Absent and Late alerts can be sent via Text message auto"&amp;"matically to parents to ensure they are informed.
​
Other Admin Software Available:
Library Management
Book Rental Management
Ancillary Staff Time Recording")</f>
        <v/>
      </c>
      <c r="G588" s="1">
        <f>IFERROR(__xludf.DUMMYFUNCTION("""COMPUTED_VALUE"""),"EdTech Ireland")</f>
        <v/>
      </c>
      <c r="H588" s="1">
        <f>IFERROR(__xludf.DUMMYFUNCTION("""COMPUTED_VALUE"""),"English")</f>
        <v/>
      </c>
      <c r="I588" s="1">
        <f>IFERROR(__xludf.DUMMYFUNCTION("""COMPUTED_VALUE"""),"info@bool.ie")</f>
        <v/>
      </c>
      <c r="J588" s="1">
        <f>IFERROR(__xludf.DUMMYFUNCTION("""COMPUTED_VALUE"""),"+353 66 4011 321")</f>
        <v/>
      </c>
      <c r="K588" s="1">
        <f>IFERROR(__xludf.DUMMYFUNCTION("""COMPUTED_VALUE"""),"KILLARNEY")</f>
        <v/>
      </c>
      <c r="L588" s="1">
        <f>IFERROR(__xludf.DUMMYFUNCTION("""COMPUTED_VALUE"""),"Ireland")</f>
        <v/>
      </c>
      <c r="M588" s="1">
        <f>IFERROR(__xludf.DUMMYFUNCTION("""COMPUTED_VALUE"""),"Ireland")</f>
        <v/>
      </c>
      <c r="N588" s="1">
        <f>IFERROR(__xludf.DUMMYFUNCTION("""COMPUTED_VALUE"""),"3 to 5")</f>
        <v/>
      </c>
      <c r="O588" s="1">
        <f>IFERROR(__xludf.DUMMYFUNCTION("""COMPUTED_VALUE"""),"Business to Schools, Business to Consumer, Business to Government")</f>
        <v/>
      </c>
      <c r="P588" s="1">
        <f>IFERROR(__xludf.DUMMYFUNCTION("""COMPUTED_VALUE"""),"Secondary Education, Lifelong learning/Adult education, Vocational Education and Training (VET), Higher Education")</f>
        <v/>
      </c>
      <c r="Q588" s="1">
        <f>IFERROR(__xludf.DUMMYFUNCTION("""COMPUTED_VALUE"""),"System/Administrative, Teacher interfacing, Student interfacing")</f>
        <v/>
      </c>
      <c r="R588" s="1" t="n"/>
      <c r="S588" s="1">
        <f>IFERROR(__xludf.DUMMYFUNCTION("""COMPUTED_VALUE"""),"@BoolEdtech")</f>
        <v/>
      </c>
      <c r="T588" s="15">
        <f>IFERROR(__xludf.DUMMYFUNCTION("""COMPUTED_VALUE"""),"https://www.linkedin.com/company/80011597")</f>
        <v/>
      </c>
      <c r="U588" s="1">
        <f>IFERROR(__xludf.DUMMYFUNCTION("""COMPUTED_VALUE"""),"Anseo")</f>
        <v/>
      </c>
      <c r="V588" s="1">
        <f>IFERROR(__xludf.DUMMYFUNCTION("""COMPUTED_VALUE"""),"ANSEO SOFTWARE
Designed in partnership with schools our software has over 50 different report formats for individual students and year/class groups.
​
Anseo provides a level of detail and analysis to allow school management to be proactive in dealing wi"&amp;"th attendance or punctuality issues with individuals or groups.
Anseo includes an early warning based on thresholds set by the school for absent or late levels per week, month or academic year
​
Absent and Late alerts can be sent via Text message autom"&amp;"atically to parents to ensure they are informed.
​
Other Admin Software Available:
Library Management
Book Rental Management
Ancillary Staff Time Recording")</f>
        <v/>
      </c>
      <c r="W588" s="1" t="n"/>
      <c r="X588" s="1" t="n"/>
      <c r="Y588" s="15">
        <f>IFERROR(__xludf.DUMMYFUNCTION("""COMPUTED_VALUE"""),"https://drive.google.com/uc?export=view&amp;id=15dG44nquMlVuA-wY3fuqjkCJUuru1ull")</f>
        <v/>
      </c>
      <c r="Z588" s="1">
        <f>IFERROR(__xludf.DUMMYFUNCTION("""COMPUTED_VALUE"""),"Unverified")</f>
        <v/>
      </c>
      <c r="AA588" s="1" t="n"/>
      <c r="AB588" s="1" t="n"/>
      <c r="AC588" s="1" t="n"/>
      <c r="AD588" s="1" t="n"/>
      <c r="AE588" s="1" t="n"/>
    </row>
    <row r="589" ht="42" customHeight="1">
      <c r="A589" s="14">
        <f>IFERROR(__xludf.DUMMYFUNCTION("""COMPUTED_VALUE"""),45203)</f>
        <v/>
      </c>
      <c r="B589" s="1">
        <f>IFERROR(__xludf.DUMMYFUNCTION("""COMPUTED_VALUE"""),"ORG_1405")</f>
        <v/>
      </c>
      <c r="C589" s="1">
        <f>IFERROR(__xludf.DUMMYFUNCTION("""COMPUTED_VALUE"""),TRUE)</f>
        <v/>
      </c>
      <c r="D589" s="1">
        <f>IFERROR(__xludf.DUMMYFUNCTION("""COMPUTED_VALUE"""),"EdF")</f>
        <v/>
      </c>
      <c r="E589" s="15">
        <f>IFERROR(__xludf.DUMMYFUNCTION("""COMPUTED_VALUE"""),"www.edf.global")</f>
        <v/>
      </c>
      <c r="F589" s="1">
        <f>IFERROR(__xludf.DUMMYFUNCTION("""COMPUTED_VALUE"""),"We are a “boutique” specialising in e-Learning
We offer quality and satisfaction to our clients through our senior resources with long and unique experience in edTech. We know what to do to meet deadlines and project objectives.
Our specialisation has led"&amp;" us to work for corporate and open-source platforms, integrating and developing LTI solutions that complete the educational digital ecosystem.
We currently work across three continents with clients who have found in us a technological partner for platform"&amp;"s as Canvas, Sakai, Moodle or D2L")</f>
        <v/>
      </c>
      <c r="G589" s="1">
        <f>IFERROR(__xludf.DUMMYFUNCTION("""COMPUTED_VALUE"""),"I'm not part of any EdTech association")</f>
        <v/>
      </c>
      <c r="H589" s="1">
        <f>IFERROR(__xludf.DUMMYFUNCTION("""COMPUTED_VALUE"""),"English, Spanish")</f>
        <v/>
      </c>
      <c r="I589" s="1">
        <f>IFERROR(__xludf.DUMMYFUNCTION("""COMPUTED_VALUE"""),"info@edf.global")</f>
        <v/>
      </c>
      <c r="J589" s="1" t="n"/>
      <c r="K589" s="1">
        <f>IFERROR(__xludf.DUMMYFUNCTION("""COMPUTED_VALUE"""),"VALENCIA")</f>
        <v/>
      </c>
      <c r="L589" s="1">
        <f>IFERROR(__xludf.DUMMYFUNCTION("""COMPUTED_VALUE"""),"Spain")</f>
        <v/>
      </c>
      <c r="M589" s="1">
        <f>IFERROR(__xludf.DUMMYFUNCTION("""COMPUTED_VALUE"""),"Finland, Netherlands, Spain, United Kingdom")</f>
        <v/>
      </c>
      <c r="N589" s="1">
        <f>IFERROR(__xludf.DUMMYFUNCTION("""COMPUTED_VALUE"""),"11 to 50")</f>
        <v/>
      </c>
      <c r="O589" s="1">
        <f>IFERROR(__xludf.DUMMYFUNCTION("""COMPUTED_VALUE"""),"Business to Business, Business to Schools, Business to Government")</f>
        <v/>
      </c>
      <c r="P589" s="1">
        <f>IFERROR(__xludf.DUMMYFUNCTION("""COMPUTED_VALUE"""),"Corporate Training, Lifelong learning/Adult education, Higher Education")</f>
        <v/>
      </c>
      <c r="Q589" s="1">
        <f>IFERROR(__xludf.DUMMYFUNCTION("""COMPUTED_VALUE"""),"System/Administrative, Student interfacing")</f>
        <v/>
      </c>
      <c r="R589" s="1" t="n"/>
      <c r="S589" s="1" t="n"/>
      <c r="T589" s="15">
        <f>IFERROR(__xludf.DUMMYFUNCTION("""COMPUTED_VALUE"""),"https://www.linkedin.com/company/entornosdeformacion")</f>
        <v/>
      </c>
      <c r="U589" s="1">
        <f>IFERROR(__xludf.DUMMYFUNCTION("""COMPUTED_VALUE"""),"INTEGRATION &amp; DEVELOPMENT")</f>
        <v/>
      </c>
      <c r="V589" s="1">
        <f>IFERROR(__xludf.DUMMYFUNCTION("""COMPUTED_VALUE"""),"We develop and host apps that, integrated into Canvas, D2L, Blackboard, Moodle or Sakai, remain native on the client's campus.
We are dedicated exclusively to educational technology with senior staff. We use good practices in project management, detailed "&amp;"analysis and quality software development to develop our client’s desired product.")</f>
        <v/>
      </c>
      <c r="W589" s="1">
        <f>IFERROR(__xludf.DUMMYFUNCTION("""COMPUTED_VALUE"""),"SaaS SERVICES")</f>
        <v/>
      </c>
      <c r="X589" s="1">
        <f>IFERROR(__xludf.DUMMYFUNCTION("""COMPUTED_VALUE"""),"We are aware of the need for stability in the technological solutions of our clients dedicated to education. Therefore, we spare no effort in offering the best software as a service with constant care and attention.
The infrastructures we maintain for our"&amp;" clients range from simple deployments on a single server, to complex installations where it is necessary to provide service to a high concurrency and in which we manage balancers, front ends or elastic cache, among other technologies")</f>
        <v/>
      </c>
      <c r="Y589" s="15">
        <f>IFERROR(__xludf.DUMMYFUNCTION("""COMPUTED_VALUE"""),"https://drive.google.com/uc?export=view&amp;id=1tFQjY9wqdhNQrB-Kd77v9a3arifqxHV-")</f>
        <v/>
      </c>
      <c r="Z589" s="1">
        <f>IFERROR(__xludf.DUMMYFUNCTION("""COMPUTED_VALUE"""),"Unverified")</f>
        <v/>
      </c>
      <c r="AA589" s="1" t="n"/>
      <c r="AB589" s="1" t="n"/>
      <c r="AC589" s="1" t="n"/>
      <c r="AD589" s="1" t="n"/>
      <c r="AE589" s="1" t="n"/>
    </row>
    <row r="590" ht="42" customHeight="1">
      <c r="A590" s="14">
        <f>IFERROR(__xludf.DUMMYFUNCTION("""COMPUTED_VALUE"""),45203)</f>
        <v/>
      </c>
      <c r="B590" s="1">
        <f>IFERROR(__xludf.DUMMYFUNCTION("""COMPUTED_VALUE"""),"ORG_2541")</f>
        <v/>
      </c>
      <c r="C590" s="1">
        <f>IFERROR(__xludf.DUMMYFUNCTION("""COMPUTED_VALUE"""),TRUE)</f>
        <v/>
      </c>
      <c r="D590" s="1">
        <f>IFERROR(__xludf.DUMMYFUNCTION("""COMPUTED_VALUE"""),"WiseWorld")</f>
        <v/>
      </c>
      <c r="E590" s="15">
        <f>IFERROR(__xludf.DUMMYFUNCTION("""COMPUTED_VALUE"""),"https://www.wiseworld.ai/")</f>
        <v/>
      </c>
      <c r="F590" s="1">
        <f>IFERROR(__xludf.DUMMYFUNCTION("""COMPUTED_VALUE"""),"WiseWorld, through interactive &amp; gamified role-playing stories, that are generated by AI, helps you regularly assess your soft skills and develop them as a technique every day.")</f>
        <v/>
      </c>
      <c r="G590" s="1">
        <f>IFERROR(__xludf.DUMMYFUNCTION("""COMPUTED_VALUE"""),"I'm not part of any EdTech association")</f>
        <v/>
      </c>
      <c r="H590" s="1">
        <f>IFERROR(__xludf.DUMMYFUNCTION("""COMPUTED_VALUE"""),"English")</f>
        <v/>
      </c>
      <c r="I590" s="1">
        <f>IFERROR(__xludf.DUMMYFUNCTION("""COMPUTED_VALUE"""),"hello@wiseworld.ai")</f>
        <v/>
      </c>
      <c r="J590" s="1" t="n"/>
      <c r="K590" s="1">
        <f>IFERROR(__xludf.DUMMYFUNCTION("""COMPUTED_VALUE"""),"Porto")</f>
        <v/>
      </c>
      <c r="L590" s="1">
        <f>IFERROR(__xludf.DUMMYFUNCTION("""COMPUTED_VALUE"""),"Portugal")</f>
        <v/>
      </c>
      <c r="M590" s="1">
        <f>IFERROR(__xludf.DUMMYFUNCTION("""COMPUTED_VALUE"""),"Denmark, Estonia, Finland, France, Germany, Ireland, Italy, Kazakhstan, Netherlands, Norway, Poland, Portugal, Spain, Sweden, Switzerland, Turkey, United Kingdom")</f>
        <v/>
      </c>
      <c r="N590" s="1">
        <f>IFERROR(__xludf.DUMMYFUNCTION("""COMPUTED_VALUE"""),"3 to 5")</f>
        <v/>
      </c>
      <c r="O590" s="1">
        <f>IFERROR(__xludf.DUMMYFUNCTION("""COMPUTED_VALUE"""),"Business to Business, Business to Schools, Business to Government")</f>
        <v/>
      </c>
      <c r="P590" s="1">
        <f>IFERROR(__xludf.DUMMYFUNCTION("""COMPUTED_VALUE"""),"Corporate Training")</f>
        <v/>
      </c>
      <c r="Q590" s="1">
        <f>IFERROR(__xludf.DUMMYFUNCTION("""COMPUTED_VALUE"""),"System/Administrative")</f>
        <v/>
      </c>
      <c r="R590" s="15">
        <f>IFERROR(__xludf.DUMMYFUNCTION("""COMPUTED_VALUE"""),"https://www.instagram.com/wiseworld.ai/https://www.instagram.com/wiseworld.ai/")</f>
        <v/>
      </c>
      <c r="S590" s="15">
        <f>IFERROR(__xludf.DUMMYFUNCTION("""COMPUTED_VALUE"""),"https://twitter.com/WiseWorldai")</f>
        <v/>
      </c>
      <c r="T590" s="15">
        <f>IFERROR(__xludf.DUMMYFUNCTION("""COMPUTED_VALUE"""),"https://www.linkedin.com/company/wiseworld-ai/https://www.linkedin.com/company/wiseworld-ai/")</f>
        <v/>
      </c>
      <c r="U590" s="1">
        <f>IFERROR(__xludf.DUMMYFUNCTION("""COMPUTED_VALUE"""),"WiseWorld")</f>
        <v/>
      </c>
      <c r="V590" s="1">
        <f>IFERROR(__xludf.DUMMYFUNCTION("""COMPUTED_VALUE"""),"There’s a gap in the soft skills training and assessment market. Companies can't regularly assess their teams' soft skills and have no update on their weaknesses and strengths that make planning for their development on a daily and habitual basis challeng"&amp;"ing.
At WiseWorld, we have a different approach for developing soft skills!
- Employees regularly engage with the AI-generated stories
- Stories are interactive &amp; gamified that continuously assess and develop their skills
- AI makes stories customized &amp; "&amp;"cost benefit")</f>
        <v/>
      </c>
      <c r="W590" s="1" t="n"/>
      <c r="X590" s="1" t="n"/>
      <c r="Y590" s="15">
        <f>IFERROR(__xludf.DUMMYFUNCTION("""COMPUTED_VALUE"""),"https://drive.google.com/uc?export=view&amp;id=1nTYiN92m_rGp20blGt8OL5ICLbcw6cPQ")</f>
        <v/>
      </c>
      <c r="Z590" s="1">
        <f>IFERROR(__xludf.DUMMYFUNCTION("""COMPUTED_VALUE"""),"Unverified")</f>
        <v/>
      </c>
      <c r="AA590" s="1" t="n"/>
      <c r="AB590" s="1" t="n"/>
      <c r="AC590" s="1" t="n"/>
      <c r="AD590" s="1" t="n"/>
      <c r="AE590" s="1" t="n"/>
    </row>
    <row r="591" ht="42" customHeight="1">
      <c r="A591" s="14">
        <f>IFERROR(__xludf.DUMMYFUNCTION("""COMPUTED_VALUE"""),45202)</f>
        <v/>
      </c>
      <c r="B591" s="1">
        <f>IFERROR(__xludf.DUMMYFUNCTION("""COMPUTED_VALUE"""),"ORG_1716")</f>
        <v/>
      </c>
      <c r="C591" s="1">
        <f>IFERROR(__xludf.DUMMYFUNCTION("""COMPUTED_VALUE"""),TRUE)</f>
        <v/>
      </c>
      <c r="D591" s="1">
        <f>IFERROR(__xludf.DUMMYFUNCTION("""COMPUTED_VALUE"""),"Impact Games")</f>
        <v/>
      </c>
      <c r="E591" s="15">
        <f>IFERROR(__xludf.DUMMYFUNCTION("""COMPUTED_VALUE"""),"www.gamifactory.eu")</f>
        <v/>
      </c>
      <c r="F591" s="1">
        <f>IFERROR(__xludf.DUMMYFUNCTION("""COMPUTED_VALUE"""),"Impact Games is an innovation platform for game development and use of games, gamification and new technologies for positive social impact. We believe that games and new technologies present one of the most efficient ways of achieving positive social impa"&amp;"ct through education. That is why our mission is to bring education to games and play to schools.
We make our own educational games, distribute third party games with educational potential via www.gamifactory.eu, provide game-based learning workshops, tr"&amp;"ainings and overall support to educators, parents and educational institutions.")</f>
        <v/>
      </c>
      <c r="G591" s="1">
        <f>IFERROR(__xludf.DUMMYFUNCTION("""COMPUTED_VALUE"""),"I'm not part of any EdTech association")</f>
        <v/>
      </c>
      <c r="H591" s="1">
        <f>IFERROR(__xludf.DUMMYFUNCTION("""COMPUTED_VALUE"""),"English, Slovak, Czech, Croatian, Slovenian")</f>
        <v/>
      </c>
      <c r="I591" s="1">
        <f>IFERROR(__xludf.DUMMYFUNCTION("""COMPUTED_VALUE"""),"info@impactgames.eu")</f>
        <v/>
      </c>
      <c r="J591" s="1">
        <f>IFERROR(__xludf.DUMMYFUNCTION("""COMPUTED_VALUE"""),"+421907231768")</f>
        <v/>
      </c>
      <c r="K591" s="1">
        <f>IFERROR(__xludf.DUMMYFUNCTION("""COMPUTED_VALUE"""),"Bratislava")</f>
        <v/>
      </c>
      <c r="L591" s="1">
        <f>IFERROR(__xludf.DUMMYFUNCTION("""COMPUTED_VALUE"""),"Slovakia")</f>
        <v/>
      </c>
      <c r="M591" s="1">
        <f>IFERROR(__xludf.DUMMYFUNCTION("""COMPUTED_VALUE"""),"Croatia, Czechia, Slovakia, Slovenia")</f>
        <v/>
      </c>
      <c r="N591" s="1">
        <f>IFERROR(__xludf.DUMMYFUNCTION("""COMPUTED_VALUE"""),"6 to 10")</f>
        <v/>
      </c>
      <c r="O591" s="1">
        <f>IFERROR(__xludf.DUMMYFUNCTION("""COMPUTED_VALUE"""),"Business to Business, Business to Consumer, Business to Schools")</f>
        <v/>
      </c>
      <c r="P591" s="1">
        <f>IFERROR(__xludf.DUMMYFUNCTION("""COMPUTED_VALUE"""),"Primary Education, Secondary Education")</f>
        <v/>
      </c>
      <c r="Q591" s="1">
        <f>IFERROR(__xludf.DUMMYFUNCTION("""COMPUTED_VALUE"""),"Student interfacing, Teacher interfacing")</f>
        <v/>
      </c>
      <c r="R591" s="15">
        <f>IFERROR(__xludf.DUMMYFUNCTION("""COMPUTED_VALUE"""),"https://www.instagram.com/impactgames.eu/")</f>
        <v/>
      </c>
      <c r="S591" s="1" t="n"/>
      <c r="T591" s="15">
        <f>IFERROR(__xludf.DUMMYFUNCTION("""COMPUTED_VALUE"""),"https://www.linkedin.com/company/42421041/admin/feed/posts/")</f>
        <v/>
      </c>
      <c r="U591" s="1">
        <f>IFERROR(__xludf.DUMMYFUNCTION("""COMPUTED_VALUE"""),"Game Development")</f>
        <v/>
      </c>
      <c r="V591" s="1">
        <f>IFERROR(__xludf.DUMMYFUNCTION("""COMPUTED_VALUE"""),"Impact Games has two internal teams of professional game developers composed of graphic artists, developers, game designers, sound designers and producers. 
If you are interested in cooperating with us on developing a new educational game, let us know!
"&amp;"Until now, Impact Games has successfully produced games like Aaron's Dilemma, Cells in Action, follow me (card game) and PAMOJA: Safe Dawn. All of these are available for free on Google Play and App Store.")</f>
        <v/>
      </c>
      <c r="W591" s="1">
        <f>IFERROR(__xludf.DUMMYFUNCTION("""COMPUTED_VALUE"""),"Distribution of educational games to schools")</f>
        <v/>
      </c>
      <c r="X591" s="1">
        <f>IFERROR(__xludf.DUMMYFUNCTION("""COMPUTED_VALUE"""),"Impact Games has created and is building up an online platform Gamifactory. There is currently 16 educational games on offer at www.gamifactory.eu.
If you or your partners have a game with educational potential and you want it to be distributed widely to"&amp;" schools in Europe, please, get in touch! We can help you with that.")</f>
        <v/>
      </c>
      <c r="Y591" s="15">
        <f>IFERROR(__xludf.DUMMYFUNCTION("""COMPUTED_VALUE"""),"https://drive.google.com/uc?export=view&amp;id=1kKC8hcHFRafq_3rfBAmdsG6vsr1Ltr1y")</f>
        <v/>
      </c>
      <c r="Z591" s="1">
        <f>IFERROR(__xludf.DUMMYFUNCTION("""COMPUTED_VALUE"""),"Unverified")</f>
        <v/>
      </c>
      <c r="AA591" s="1" t="n"/>
      <c r="AB591" s="1" t="n"/>
      <c r="AC591" s="1" t="n"/>
      <c r="AD591" s="1" t="n"/>
      <c r="AE591" s="1" t="n"/>
    </row>
    <row r="592" ht="42" customHeight="1">
      <c r="A592" s="14">
        <f>IFERROR(__xludf.DUMMYFUNCTION("""COMPUTED_VALUE"""),45201)</f>
        <v/>
      </c>
      <c r="B592" s="1">
        <f>IFERROR(__xludf.DUMMYFUNCTION("""COMPUTED_VALUE"""),"ORG_1393")</f>
        <v/>
      </c>
      <c r="C592" s="1">
        <f>IFERROR(__xludf.DUMMYFUNCTION("""COMPUTED_VALUE"""),TRUE)</f>
        <v/>
      </c>
      <c r="D592" s="1">
        <f>IFERROR(__xludf.DUMMYFUNCTION("""COMPUTED_VALUE"""),"EC POWER")</f>
        <v/>
      </c>
      <c r="E592" s="15">
        <f>IFERROR(__xludf.DUMMYFUNCTION("""COMPUTED_VALUE"""),"www.emprendeconmigo.com")</f>
        <v/>
      </c>
      <c r="F592" s="1">
        <f>IFERROR(__xludf.DUMMYFUNCTION("""COMPUTED_VALUE"""),"We educate in leadership, intellectual property, strategy and value creation to women and expats worldwide with no access in their new country.")</f>
        <v/>
      </c>
      <c r="G592" s="1">
        <f>IFERROR(__xludf.DUMMYFUNCTION("""COMPUTED_VALUE"""),"I'm not part of any EdTech association")</f>
        <v/>
      </c>
      <c r="H592" s="1" t="n"/>
      <c r="I592" s="1">
        <f>IFERROR(__xludf.DUMMYFUNCTION("""COMPUTED_VALUE"""),"gina@emprendeconmigo.com")</f>
        <v/>
      </c>
      <c r="J592" s="1">
        <f>IFERROR(__xludf.DUMMYFUNCTION("""COMPUTED_VALUE"""),"610613971")</f>
        <v/>
      </c>
      <c r="K592" s="1">
        <f>IFERROR(__xludf.DUMMYFUNCTION("""COMPUTED_VALUE"""),"Madrid")</f>
        <v/>
      </c>
      <c r="L592" s="1">
        <f>IFERROR(__xludf.DUMMYFUNCTION("""COMPUTED_VALUE"""),"Spain")</f>
        <v/>
      </c>
      <c r="M592" s="1">
        <f>IFERROR(__xludf.DUMMYFUNCTION("""COMPUTED_VALUE"""),"Spain")</f>
        <v/>
      </c>
      <c r="N592" s="1">
        <f>IFERROR(__xludf.DUMMYFUNCTION("""COMPUTED_VALUE"""),"0 to 2")</f>
        <v/>
      </c>
      <c r="O592" s="1">
        <f>IFERROR(__xludf.DUMMYFUNCTION("""COMPUTED_VALUE"""),"Business to Business, Business to Schools, Business to Consumer, Business to Government")</f>
        <v/>
      </c>
      <c r="P592" s="1">
        <f>IFERROR(__xludf.DUMMYFUNCTION("""COMPUTED_VALUE"""),"Corporate Training, Lifelong learning/Adult education, Higher Education")</f>
        <v/>
      </c>
      <c r="Q592" s="1">
        <f>IFERROR(__xludf.DUMMYFUNCTION("""COMPUTED_VALUE"""),"Student interfacing, Teacher interfacing, System/Administrative")</f>
        <v/>
      </c>
      <c r="R592" s="1">
        <f>IFERROR(__xludf.DUMMYFUNCTION("""COMPUTED_VALUE"""),"emprende_conmigo")</f>
        <v/>
      </c>
      <c r="S592" s="1" t="n"/>
      <c r="T592" s="15">
        <f>IFERROR(__xludf.DUMMYFUNCTION("""COMPUTED_VALUE"""),"https://www.linkedin.com/in/gina-de-echeona/")</f>
        <v/>
      </c>
      <c r="U592" s="1">
        <f>IFERROR(__xludf.DUMMYFUNCTION("""COMPUTED_VALUE"""),"EC Coaching &amp; Mentoring")</f>
        <v/>
      </c>
      <c r="V592" s="1">
        <f>IFERROR(__xludf.DUMMYFUNCTION("""COMPUTED_VALUE"""),"Through this service we coach and mentor our target audience to create a business based in their knowledge, talents, and professional experience and we elevate and value their intangible assets.")</f>
        <v/>
      </c>
      <c r="W592" s="1">
        <f>IFERROR(__xludf.DUMMYFUNCTION("""COMPUTED_VALUE"""),"EC LEGAL")</f>
        <v/>
      </c>
      <c r="X592" s="1">
        <f>IFERROR(__xludf.DUMMYFUNCTION("""COMPUTED_VALUE"""),"We provide legal mentoring for their shareholders agreement, trademark registration, patent consultation, and how to protect all the other intangible assets.")</f>
        <v/>
      </c>
      <c r="Y592" s="15">
        <f>IFERROR(__xludf.DUMMYFUNCTION("""COMPUTED_VALUE"""),"https://drive.google.com/uc?export=view&amp;id=1X8M1f_HbLIdGLVVKo8ItjlgmjBwOGZTP")</f>
        <v/>
      </c>
      <c r="Z592" s="1">
        <f>IFERROR(__xludf.DUMMYFUNCTION("""COMPUTED_VALUE"""),"Unverified")</f>
        <v/>
      </c>
      <c r="AA592" s="1" t="n"/>
      <c r="AB592" s="1" t="n"/>
      <c r="AC592" s="1" t="n"/>
      <c r="AD592" s="1" t="n"/>
      <c r="AE592" s="1" t="n"/>
    </row>
    <row r="593" ht="42" customHeight="1">
      <c r="A593" s="14">
        <f>IFERROR(__xludf.DUMMYFUNCTION("""COMPUTED_VALUE"""),45201)</f>
        <v/>
      </c>
      <c r="B593" s="1">
        <f>IFERROR(__xludf.DUMMYFUNCTION("""COMPUTED_VALUE"""),"ORG_1945")</f>
        <v/>
      </c>
      <c r="C593" s="1">
        <f>IFERROR(__xludf.DUMMYFUNCTION("""COMPUTED_VALUE"""),TRUE)</f>
        <v/>
      </c>
      <c r="D593" s="1">
        <f>IFERROR(__xludf.DUMMYFUNCTION("""COMPUTED_VALUE"""),"Meloom")</f>
        <v/>
      </c>
      <c r="E593" s="15">
        <f>IFERROR(__xludf.DUMMYFUNCTION("""COMPUTED_VALUE"""),"www.meloom.com")</f>
        <v/>
      </c>
      <c r="F593" s="1">
        <f>IFERROR(__xludf.DUMMYFUNCTION("""COMPUTED_VALUE"""),"Aprende a tocar un instrumento de forma fácil y divertida")</f>
        <v/>
      </c>
      <c r="G593" s="1">
        <f>IFERROR(__xludf.DUMMYFUNCTION("""COMPUTED_VALUE"""),"I'm not part of any EdTech association")</f>
        <v/>
      </c>
      <c r="H593" s="1">
        <f>IFERROR(__xludf.DUMMYFUNCTION("""COMPUTED_VALUE"""),"Spanish")</f>
        <v/>
      </c>
      <c r="I593" s="1">
        <f>IFERROR(__xludf.DUMMYFUNCTION("""COMPUTED_VALUE"""),"hello@meloom.com")</f>
        <v/>
      </c>
      <c r="J593" s="1" t="n"/>
      <c r="K593" s="1">
        <f>IFERROR(__xludf.DUMMYFUNCTION("""COMPUTED_VALUE"""),"Barcelona")</f>
        <v/>
      </c>
      <c r="L593" s="1">
        <f>IFERROR(__xludf.DUMMYFUNCTION("""COMPUTED_VALUE"""),"Spain")</f>
        <v/>
      </c>
      <c r="M593" s="1">
        <f>IFERROR(__xludf.DUMMYFUNCTION("""COMPUTED_VALUE"""),"Spain")</f>
        <v/>
      </c>
      <c r="N593" s="1">
        <f>IFERROR(__xludf.DUMMYFUNCTION("""COMPUTED_VALUE"""),"0 to 2")</f>
        <v/>
      </c>
      <c r="O593" s="1">
        <f>IFERROR(__xludf.DUMMYFUNCTION("""COMPUTED_VALUE"""),"Business to Business, Business to Schools, Business to Consumer")</f>
        <v/>
      </c>
      <c r="P593" s="1">
        <f>IFERROR(__xludf.DUMMYFUNCTION("""COMPUTED_VALUE"""),"Lifelong learning/Adult education")</f>
        <v/>
      </c>
      <c r="Q593" s="1">
        <f>IFERROR(__xludf.DUMMYFUNCTION("""COMPUTED_VALUE"""),"Student interfacing")</f>
        <v/>
      </c>
      <c r="R593" s="15">
        <f>IFERROR(__xludf.DUMMYFUNCTION("""COMPUTED_VALUE"""),"https://www.instagram.com/meloom_music/?hl=es")</f>
        <v/>
      </c>
      <c r="S593" s="15">
        <f>IFERROR(__xludf.DUMMYFUNCTION("""COMPUTED_VALUE"""),"https://twitter.com/Meloom_Music")</f>
        <v/>
      </c>
      <c r="T593" s="15">
        <f>IFERROR(__xludf.DUMMYFUNCTION("""COMPUTED_VALUE"""),"https://www.linkedin.com/company/meloom/")</f>
        <v/>
      </c>
      <c r="U593" s="1">
        <f>IFERROR(__xludf.DUMMYFUNCTION("""COMPUTED_VALUE"""),"Personalized path")</f>
        <v/>
      </c>
      <c r="V593" s="1">
        <f>IFERROR(__xludf.DUMMYFUNCTION("""COMPUTED_VALUE"""),"Personalized paths for learning how to play instrument. At this moment users can choose bethween guitar, ukulele and drumbox.
More paths are in the making.")</f>
        <v/>
      </c>
      <c r="W593" s="1" t="n"/>
      <c r="X593" s="1" t="n"/>
      <c r="Y593" s="15">
        <f>IFERROR(__xludf.DUMMYFUNCTION("""COMPUTED_VALUE"""),"https://drive.google.com/uc?export=view&amp;id=1hqKNKXvhuQ-Bk2k-IB0UJITIKWAmQ6vu")</f>
        <v/>
      </c>
      <c r="Z593" s="1">
        <f>IFERROR(__xludf.DUMMYFUNCTION("""COMPUTED_VALUE"""),"Unverified")</f>
        <v/>
      </c>
      <c r="AA593" s="1" t="n"/>
      <c r="AB593" s="1" t="n"/>
      <c r="AC593" s="1" t="n"/>
      <c r="AD593" s="1" t="n"/>
      <c r="AE593" s="1" t="n"/>
    </row>
    <row r="594" ht="42" customHeight="1">
      <c r="A594" s="14">
        <f>IFERROR(__xludf.DUMMYFUNCTION("""COMPUTED_VALUE"""),45200)</f>
        <v/>
      </c>
      <c r="B594" s="1">
        <f>IFERROR(__xludf.DUMMYFUNCTION("""COMPUTED_VALUE"""),"ORG_1924")</f>
        <v/>
      </c>
      <c r="C594" s="1">
        <f>IFERROR(__xludf.DUMMYFUNCTION("""COMPUTED_VALUE"""),TRUE)</f>
        <v/>
      </c>
      <c r="D594" s="1">
        <f>IFERROR(__xludf.DUMMYFUNCTION("""COMPUTED_VALUE"""),"Mastercole")</f>
        <v/>
      </c>
      <c r="E594" s="15">
        <f>IFERROR(__xludf.DUMMYFUNCTION("""COMPUTED_VALUE"""),"https://www.mastercole.com/")</f>
        <v/>
      </c>
      <c r="F594" s="1">
        <f>IFERROR(__xludf.DUMMYFUNCTION("""COMPUTED_VALUE"""),"Mastercole is a company founded by C-level professionals that offers formation to transform school procedures from a management point of view. Only the best experts from their fields can teach teachers to move them to the next level, and that is exactly w"&amp;"hat we want to achieve.")</f>
        <v/>
      </c>
      <c r="G594" s="1">
        <f>IFERROR(__xludf.DUMMYFUNCTION("""COMPUTED_VALUE"""),"I'm not part of any EdTech association")</f>
        <v/>
      </c>
      <c r="H594" s="1">
        <f>IFERROR(__xludf.DUMMYFUNCTION("""COMPUTED_VALUE"""),"Catalan, Spanish, English")</f>
        <v/>
      </c>
      <c r="I594" s="1">
        <f>IFERROR(__xludf.DUMMYFUNCTION("""COMPUTED_VALUE"""),"info@mastercole.com")</f>
        <v/>
      </c>
      <c r="J594" s="1">
        <f>IFERROR(__xludf.DUMMYFUNCTION("""COMPUTED_VALUE"""),"+34637519003")</f>
        <v/>
      </c>
      <c r="K594" s="1">
        <f>IFERROR(__xludf.DUMMYFUNCTION("""COMPUTED_VALUE"""),"Barcelona")</f>
        <v/>
      </c>
      <c r="L594" s="1">
        <f>IFERROR(__xludf.DUMMYFUNCTION("""COMPUTED_VALUE"""),"Spain")</f>
        <v/>
      </c>
      <c r="M594" s="1">
        <f>IFERROR(__xludf.DUMMYFUNCTION("""COMPUTED_VALUE"""),"Spain")</f>
        <v/>
      </c>
      <c r="N594" s="1">
        <f>IFERROR(__xludf.DUMMYFUNCTION("""COMPUTED_VALUE"""),"0 to 2")</f>
        <v/>
      </c>
      <c r="O594" s="1">
        <f>IFERROR(__xludf.DUMMYFUNCTION("""COMPUTED_VALUE"""),"Business to Business, Business to Schools")</f>
        <v/>
      </c>
      <c r="P594" s="1">
        <f>IFERROR(__xludf.DUMMYFUNCTION("""COMPUTED_VALUE"""),"Early childhood development (0-5 years), Primary Education, Secondary Education, Corporate Training, Lifelong learning/Adult education")</f>
        <v/>
      </c>
      <c r="Q594" s="1">
        <f>IFERROR(__xludf.DUMMYFUNCTION("""COMPUTED_VALUE"""),"Teacher interfacing, System/Administrative")</f>
        <v/>
      </c>
      <c r="R594" s="15">
        <f>IFERROR(__xludf.DUMMYFUNCTION("""COMPUTED_VALUE"""),"https://www.instagram.com/mastercoleoficial/")</f>
        <v/>
      </c>
      <c r="S594" s="15">
        <f>IFERROR(__xludf.DUMMYFUNCTION("""COMPUTED_VALUE"""),"https://twitter.com/somosmastercole")</f>
        <v/>
      </c>
      <c r="T594" s="15">
        <f>IFERROR(__xludf.DUMMYFUNCTION("""COMPUTED_VALUE"""),"https://www.linkedin.com/company/MASTERCOLE")</f>
        <v/>
      </c>
      <c r="U594" s="1">
        <f>IFERROR(__xludf.DUMMYFUNCTION("""COMPUTED_VALUE"""),"Mastermanagement Lessons")</f>
        <v/>
      </c>
      <c r="V594" s="1">
        <f>IFERROR(__xludf.DUMMYFUNCTION("""COMPUTED_VALUE"""),"We offer different courses focused on the school's Management Team, to help them organize their procedures to be as efficient as possible.")</f>
        <v/>
      </c>
      <c r="W594" s="1">
        <f>IFERROR(__xludf.DUMMYFUNCTION("""COMPUTED_VALUE"""),"Mastermarketing Lessons")</f>
        <v/>
      </c>
      <c r="X594" s="1">
        <f>IFERROR(__xludf.DUMMYFUNCTION("""COMPUTED_VALUE"""),"From the marketing campaigns to the analysis of the sales funnel and its conversion index. Communication, persuasion, satisfaction of the client... everything can be taught and improved!")</f>
        <v/>
      </c>
      <c r="Y594" s="15">
        <f>IFERROR(__xludf.DUMMYFUNCTION("""COMPUTED_VALUE"""),"https://drive.google.com/uc?export=view&amp;id=14N9eZ1U4sXMwL7AeoH3m3lAhZpN26DDi")</f>
        <v/>
      </c>
      <c r="Z594" s="1">
        <f>IFERROR(__xludf.DUMMYFUNCTION("""COMPUTED_VALUE"""),"Unverified")</f>
        <v/>
      </c>
      <c r="AA594" s="1" t="n"/>
      <c r="AB594" s="1" t="n"/>
      <c r="AC594" s="1" t="n"/>
      <c r="AD594" s="1" t="n"/>
      <c r="AE594" s="1" t="n"/>
    </row>
    <row r="595" ht="42" customHeight="1">
      <c r="A595" s="14">
        <f>IFERROR(__xludf.DUMMYFUNCTION("""COMPUTED_VALUE"""),45199)</f>
        <v/>
      </c>
      <c r="B595" s="1">
        <f>IFERROR(__xludf.DUMMYFUNCTION("""COMPUTED_VALUE"""),"ORG_1336")</f>
        <v/>
      </c>
      <c r="C595" s="1">
        <f>IFERROR(__xludf.DUMMYFUNCTION("""COMPUTED_VALUE"""),TRUE)</f>
        <v/>
      </c>
      <c r="D595" s="1">
        <f>IFERROR(__xludf.DUMMYFUNCTION("""COMPUTED_VALUE"""),"Denglisch Docs")</f>
        <v/>
      </c>
      <c r="E595" s="15">
        <f>IFERROR(__xludf.DUMMYFUNCTION("""COMPUTED_VALUE"""),"https://denglischdocs.com/")</f>
        <v/>
      </c>
      <c r="F595" s="1">
        <f>IFERROR(__xludf.DUMMYFUNCTION("""COMPUTED_VALUE"""),"Denglisch Docs is an American-German EdTech company on a mission to boost and democratize the local economy by making the D-A-CH-LI region bilingual.
In other words, we’re helping German speakers play a more active role on the world stage by being able t"&amp;"o speak English effectively and open doors for those who don’t speak German yet to actively contribute to the local economy.")</f>
        <v/>
      </c>
      <c r="G595" s="1">
        <f>IFERROR(__xludf.DUMMYFUNCTION("""COMPUTED_VALUE"""),"I'm not part of any EdTech association")</f>
        <v/>
      </c>
      <c r="H595" s="1">
        <f>IFERROR(__xludf.DUMMYFUNCTION("""COMPUTED_VALUE"""),"German, English")</f>
        <v/>
      </c>
      <c r="I595" s="1">
        <f>IFERROR(__xludf.DUMMYFUNCTION("""COMPUTED_VALUE"""),"business@denglischdocs.com")</f>
        <v/>
      </c>
      <c r="J595" s="1">
        <f>IFERROR(__xludf.DUMMYFUNCTION("""COMPUTED_VALUE"""),"+49 211 41872101")</f>
        <v/>
      </c>
      <c r="K595" s="1">
        <f>IFERROR(__xludf.DUMMYFUNCTION("""COMPUTED_VALUE"""),"Düsseldorf")</f>
        <v/>
      </c>
      <c r="L595" s="1">
        <f>IFERROR(__xludf.DUMMYFUNCTION("""COMPUTED_VALUE"""),"Germany")</f>
        <v/>
      </c>
      <c r="M595" s="1">
        <f>IFERROR(__xludf.DUMMYFUNCTION("""COMPUTED_VALUE"""),"Austria, Germany, Liechtenstein, Switzerland")</f>
        <v/>
      </c>
      <c r="N595" s="1">
        <f>IFERROR(__xludf.DUMMYFUNCTION("""COMPUTED_VALUE"""),"6 to 10")</f>
        <v/>
      </c>
      <c r="O595" s="1">
        <f>IFERROR(__xludf.DUMMYFUNCTION("""COMPUTED_VALUE"""),"Business to Business, Business to Schools, Business to Consumer, Business to Government")</f>
        <v/>
      </c>
      <c r="P595" s="1">
        <f>IFERROR(__xludf.DUMMYFUNCTION("""COMPUTED_VALUE"""),"Secondary Education, Corporate Training, Lifelong learning/Adult education, Vocational Education and Training (VET), Higher Education")</f>
        <v/>
      </c>
      <c r="Q595" s="1">
        <f>IFERROR(__xludf.DUMMYFUNCTION("""COMPUTED_VALUE"""),"System/Administrative, Student interfacing, Teacher interfacing")</f>
        <v/>
      </c>
      <c r="R595" s="15">
        <f>IFERROR(__xludf.DUMMYFUNCTION("""COMPUTED_VALUE"""),"https://www.instagram.com/denglisch_docs/")</f>
        <v/>
      </c>
      <c r="S595" s="15">
        <f>IFERROR(__xludf.DUMMYFUNCTION("""COMPUTED_VALUE"""),"https://twitter.com/Denglisch_Docs")</f>
        <v/>
      </c>
      <c r="T595" s="15">
        <f>IFERROR(__xludf.DUMMYFUNCTION("""COMPUTED_VALUE"""),"https://de.linkedin.com/company/denglisch-docs")</f>
        <v/>
      </c>
      <c r="U595" s="1">
        <f>IFERROR(__xludf.DUMMYFUNCTION("""COMPUTED_VALUE"""),"Context by Denglisch Docs")</f>
        <v/>
      </c>
      <c r="V595" s="1">
        <f>IFERROR(__xludf.DUMMYFUNCTION("""COMPUTED_VALUE"""),"A marketplace for editors, translators, and copywriters, operating under the umbrella of the Denglisch Docs brand.")</f>
        <v/>
      </c>
      <c r="W595" s="1">
        <f>IFERROR(__xludf.DUMMYFUNCTION("""COMPUTED_VALUE"""),"Real Talk by Denglisch Docs")</f>
        <v/>
      </c>
      <c r="X595" s="1">
        <f>IFERROR(__xludf.DUMMYFUNCTION("""COMPUTED_VALUE"""),"A free remote exchange program for students from the D-A-CH-LI region and the US.")</f>
        <v/>
      </c>
      <c r="Y595" s="15">
        <f>IFERROR(__xludf.DUMMYFUNCTION("""COMPUTED_VALUE"""),"https://drive.google.com/uc?export=view&amp;id=14ybFmUcamVYKavEBHkvH79pIvT4zgTZn")</f>
        <v/>
      </c>
      <c r="Z595" s="1">
        <f>IFERROR(__xludf.DUMMYFUNCTION("""COMPUTED_VALUE"""),"Unverified")</f>
        <v/>
      </c>
      <c r="AA595" s="1" t="n"/>
      <c r="AB595" s="1" t="n"/>
      <c r="AC595" s="1" t="n"/>
      <c r="AD595" s="1" t="n"/>
      <c r="AE595" s="1" t="n"/>
    </row>
    <row r="596" ht="42" customHeight="1">
      <c r="A596" s="14">
        <f>IFERROR(__xludf.DUMMYFUNCTION("""COMPUTED_VALUE"""),45199)</f>
        <v/>
      </c>
      <c r="B596" s="1">
        <f>IFERROR(__xludf.DUMMYFUNCTION("""COMPUTED_VALUE"""),"ORG_1927")</f>
        <v/>
      </c>
      <c r="C596" s="1">
        <f>IFERROR(__xludf.DUMMYFUNCTION("""COMPUTED_VALUE"""),TRUE)</f>
        <v/>
      </c>
      <c r="D596" s="1">
        <f>IFERROR(__xludf.DUMMYFUNCTION("""COMPUTED_VALUE"""),"MathArena")</f>
        <v/>
      </c>
      <c r="E596" s="15">
        <f>IFERROR(__xludf.DUMMYFUNCTION("""COMPUTED_VALUE"""),"https://www.matharena.net/")</f>
        <v/>
      </c>
      <c r="F596" s="1">
        <f>IFERROR(__xludf.DUMMYFUNCTION("""COMPUTED_VALUE"""),"MathArena combines playful learning in mathematics with adaptive task difficulties in the form of an application. It allows flexible training without pen and paper and is motivating to use. All this is supported by mini-games and reward mechanisms, suppor"&amp;"ted with the latest findings from learning psychology and enables thus differentiated learning for each individual.")</f>
        <v/>
      </c>
      <c r="G596" s="1">
        <f>IFERROR(__xludf.DUMMYFUNCTION("""COMPUTED_VALUE"""),"EdTech Austria")</f>
        <v/>
      </c>
      <c r="H596" s="1">
        <f>IFERROR(__xludf.DUMMYFUNCTION("""COMPUTED_VALUE"""),"German, English")</f>
        <v/>
      </c>
      <c r="I596" s="1">
        <f>IFERROR(__xludf.DUMMYFUNCTION("""COMPUTED_VALUE"""),"info@mathearena.com")</f>
        <v/>
      </c>
      <c r="J596" s="1" t="n"/>
      <c r="K596" s="1">
        <f>IFERROR(__xludf.DUMMYFUNCTION("""COMPUTED_VALUE"""),"Hohenzell")</f>
        <v/>
      </c>
      <c r="L596" s="1">
        <f>IFERROR(__xludf.DUMMYFUNCTION("""COMPUTED_VALUE"""),"Austria")</f>
        <v/>
      </c>
      <c r="M596" s="1">
        <f>IFERROR(__xludf.DUMMYFUNCTION("""COMPUTED_VALUE"""),"Austria, Croatia, Germany, Kosovo, Liechtenstein, Montenegro, Serbia, Switzerland, Turkey, United Kingdom")</f>
        <v/>
      </c>
      <c r="N596" s="1">
        <f>IFERROR(__xludf.DUMMYFUNCTION("""COMPUTED_VALUE"""),"6 to 10")</f>
        <v/>
      </c>
      <c r="O596" s="1">
        <f>IFERROR(__xludf.DUMMYFUNCTION("""COMPUTED_VALUE"""),"Business to Business, Business to Government")</f>
        <v/>
      </c>
      <c r="P596" s="1">
        <f>IFERROR(__xludf.DUMMYFUNCTION("""COMPUTED_VALUE"""),"Primary Education, Secondary Education, Lifelong learning/Adult education, Higher Education")</f>
        <v/>
      </c>
      <c r="Q596" s="1">
        <f>IFERROR(__xludf.DUMMYFUNCTION("""COMPUTED_VALUE"""),"System/Administrative, Student interfacing, Teacher interfacing")</f>
        <v/>
      </c>
      <c r="R596" s="15">
        <f>IFERROR(__xludf.DUMMYFUNCTION("""COMPUTED_VALUE"""),"https://www.instagram.com/mathearena/?hl=de")</f>
        <v/>
      </c>
      <c r="S596" s="1" t="n"/>
      <c r="T596" s="15">
        <f>IFERROR(__xludf.DUMMYFUNCTION("""COMPUTED_VALUE"""),"https://www.linkedin.com/company/mathearena")</f>
        <v/>
      </c>
      <c r="U596" s="1">
        <f>IFERROR(__xludf.DUMMYFUNCTION("""COMPUTED_VALUE"""),"MathArena Junior")</f>
        <v/>
      </c>
      <c r="V596" s="1">
        <f>IFERROR(__xludf.DUMMYFUNCTION("""COMPUTED_VALUE"""),"Learning. Math. Playfully.
MathArena Classic is your opportunity to practice mathematics flexibly anytime and anywhere. It allows students from the 9th grade (from Secondary Level II) to learn flexibly and conveniently directly from their smartphone – wh"&amp;"ether in class or during leisure time.
Quiz yourself on a wealth of math knowledge from 20 subject areas. Choose from 16 topics across four different subject areas, from numbers to geometry.")</f>
        <v/>
      </c>
      <c r="W596" s="1">
        <f>IFERROR(__xludf.DUMMYFUNCTION("""COMPUTED_VALUE"""),"MathArena Classic")</f>
        <v/>
      </c>
      <c r="X596" s="1">
        <f>IFERROR(__xludf.DUMMYFUNCTION("""COMPUTED_VALUE"""),"Learning. Math. Playfully.
The MathArena Classic is your chance to work on your math skills when you’re on the go - that means anywhere and anytime you feel like it! Prepare yourself for the A-Levels or any kind of higher-level math tests in a fun way by"&amp;" using our multiple-choice mode where your learning progress will also be summarized and the difficulty of questions will automatically adjust to your ability.
The explanation at the bottom of every question will help you with anything unclear, or you ca"&amp;"n simply contact us using the Feedback-Function where you will get additional help or a personal answer from our MathArena team.")</f>
        <v/>
      </c>
      <c r="Y596" s="15">
        <f>IFERROR(__xludf.DUMMYFUNCTION("""COMPUTED_VALUE"""),"https://drive.google.com/uc?export=view&amp;id=1UTiovnQvPEPyUN3vBn7jZGxixPzyXgdf")</f>
        <v/>
      </c>
      <c r="Z596" s="1">
        <f>IFERROR(__xludf.DUMMYFUNCTION("""COMPUTED_VALUE"""),"Unverified")</f>
        <v/>
      </c>
      <c r="AA596" s="1" t="n"/>
      <c r="AB596" s="1" t="n"/>
      <c r="AC596" s="1" t="n"/>
      <c r="AD596" s="1" t="n"/>
      <c r="AE596" s="1" t="n"/>
    </row>
    <row r="597" ht="42" customHeight="1">
      <c r="A597" s="14">
        <f>IFERROR(__xludf.DUMMYFUNCTION("""COMPUTED_VALUE"""),45197)</f>
        <v/>
      </c>
      <c r="B597" s="1">
        <f>IFERROR(__xludf.DUMMYFUNCTION("""COMPUTED_VALUE"""),"ORG_1278")</f>
        <v/>
      </c>
      <c r="C597" s="1">
        <f>IFERROR(__xludf.DUMMYFUNCTION("""COMPUTED_VALUE"""),TRUE)</f>
        <v/>
      </c>
      <c r="D597" s="1">
        <f>IFERROR(__xludf.DUMMYFUNCTION("""COMPUTED_VALUE"""),"Cogniti")</f>
        <v/>
      </c>
      <c r="E597" s="15">
        <f>IFERROR(__xludf.DUMMYFUNCTION("""COMPUTED_VALUE"""),"www.cogniti.es")</f>
        <v/>
      </c>
      <c r="F597" s="1">
        <f>IFERROR(__xludf.DUMMYFUNCTION("""COMPUTED_VALUE"""),"Cogniti works to maintain the independence and autonomy of elder people through increasing technological and digital skills")</f>
        <v/>
      </c>
      <c r="G597" s="1">
        <f>IFERROR(__xludf.DUMMYFUNCTION("""COMPUTED_VALUE"""),"I'm not part of any EdTech association")</f>
        <v/>
      </c>
      <c r="H597" s="1">
        <f>IFERROR(__xludf.DUMMYFUNCTION("""COMPUTED_VALUE"""),"Spanish")</f>
        <v/>
      </c>
      <c r="I597" s="1">
        <f>IFERROR(__xludf.DUMMYFUNCTION("""COMPUTED_VALUE"""),"cognitiapp@gmail.com")</f>
        <v/>
      </c>
      <c r="J597" s="1">
        <f>IFERROR(__xludf.DUMMYFUNCTION("""COMPUTED_VALUE"""),"634864412")</f>
        <v/>
      </c>
      <c r="K597" s="1">
        <f>IFERROR(__xludf.DUMMYFUNCTION("""COMPUTED_VALUE"""),"Valencia")</f>
        <v/>
      </c>
      <c r="L597" s="1">
        <f>IFERROR(__xludf.DUMMYFUNCTION("""COMPUTED_VALUE"""),"Spain")</f>
        <v/>
      </c>
      <c r="M597" s="1">
        <f>IFERROR(__xludf.DUMMYFUNCTION("""COMPUTED_VALUE"""),"Spain")</f>
        <v/>
      </c>
      <c r="N597" s="1">
        <f>IFERROR(__xludf.DUMMYFUNCTION("""COMPUTED_VALUE"""),"0 to 2")</f>
        <v/>
      </c>
      <c r="O597" s="1">
        <f>IFERROR(__xludf.DUMMYFUNCTION("""COMPUTED_VALUE"""),"Business to Business, Business to Consumer, Business to Government, Business to Schools")</f>
        <v/>
      </c>
      <c r="P597" s="1">
        <f>IFERROR(__xludf.DUMMYFUNCTION("""COMPUTED_VALUE"""),"Lifelong learning/Adult education")</f>
        <v/>
      </c>
      <c r="Q597" s="1">
        <f>IFERROR(__xludf.DUMMYFUNCTION("""COMPUTED_VALUE"""),"System/Administrative, Student interfacing")</f>
        <v/>
      </c>
      <c r="R597" s="15">
        <f>IFERROR(__xludf.DUMMYFUNCTION("""COMPUTED_VALUE"""),"https://www.instagram.com/cognitiapp/")</f>
        <v/>
      </c>
      <c r="S597" s="1" t="n"/>
      <c r="T597" s="15">
        <f>IFERROR(__xludf.DUMMYFUNCTION("""COMPUTED_VALUE"""),"https://www.linkedin.com/company/cognitiapp/")</f>
        <v/>
      </c>
      <c r="U597" s="1">
        <f>IFERROR(__xludf.DUMMYFUNCTION("""COMPUTED_VALUE"""),"CognitiApp")</f>
        <v/>
      </c>
      <c r="V597" s="1">
        <f>IFERROR(__xludf.DUMMYFUNCTION("""COMPUTED_VALUE"""),"We help adults enhance their digital skills to stay updated and connected.")</f>
        <v/>
      </c>
      <c r="W597" s="1" t="n"/>
      <c r="X597" s="1" t="n"/>
      <c r="Y597" s="15">
        <f>IFERROR(__xludf.DUMMYFUNCTION("""COMPUTED_VALUE"""),"https://drive.google.com/uc?export=view&amp;id=1GXC8eV_96hzpnv7j6dseBuU7CLlU9CnO")</f>
        <v/>
      </c>
      <c r="Z597" s="1">
        <f>IFERROR(__xludf.DUMMYFUNCTION("""COMPUTED_VALUE"""),"Unverified")</f>
        <v/>
      </c>
      <c r="AA597" s="1" t="n"/>
      <c r="AB597" s="1" t="n"/>
      <c r="AC597" s="1" t="n"/>
      <c r="AD597" s="1" t="n"/>
      <c r="AE597" s="1" t="n"/>
    </row>
    <row r="598" ht="42" customHeight="1">
      <c r="A598" s="14">
        <f>IFERROR(__xludf.DUMMYFUNCTION("""COMPUTED_VALUE"""),45197)</f>
        <v/>
      </c>
      <c r="B598" s="1">
        <f>IFERROR(__xludf.DUMMYFUNCTION("""COMPUTED_VALUE"""),"ORG_1855")</f>
        <v/>
      </c>
      <c r="C598" s="1">
        <f>IFERROR(__xludf.DUMMYFUNCTION("""COMPUTED_VALUE"""),TRUE)</f>
        <v/>
      </c>
      <c r="D598" s="15">
        <f>IFERROR(__xludf.DUMMYFUNCTION("""COMPUTED_VALUE"""),"Lernpfad.ch")</f>
        <v/>
      </c>
      <c r="E598" s="15">
        <f>IFERROR(__xludf.DUMMYFUNCTION("""COMPUTED_VALUE"""),"https://www.lernpfad.ch")</f>
        <v/>
      </c>
      <c r="F598" s="1">
        <f>IFERROR(__xludf.DUMMYFUNCTION("""COMPUTED_VALUE"""),"Learning path is a micropublishing platform on which teachers can create and obtain individual teaching units or even entire courses in the form of learning paths.
A learning path consists of a goal and any number of learning steps that lead to this goal"&amp;". A learning step comprises a learning task and all the information and resources required to solve it. Once a learning path is created, it can be shared with any number of learners. Both teachers and learners can keep track of the current learning status"&amp;" and document results and give each other feedback. Lernpfad works on the following principle: Structure, Learn, Accompany")</f>
        <v/>
      </c>
      <c r="G598" s="1">
        <f>IFERROR(__xludf.DUMMYFUNCTION("""COMPUTED_VALUE"""),"I'm not part of any EdTech association")</f>
        <v/>
      </c>
      <c r="H598" s="1">
        <f>IFERROR(__xludf.DUMMYFUNCTION("""COMPUTED_VALUE"""),"German, French")</f>
        <v/>
      </c>
      <c r="I598" s="1">
        <f>IFERROR(__xludf.DUMMYFUNCTION("""COMPUTED_VALUE"""),"info@lernpfad.ch")</f>
        <v/>
      </c>
      <c r="J598" s="1" t="n"/>
      <c r="K598" s="1">
        <f>IFERROR(__xludf.DUMMYFUNCTION("""COMPUTED_VALUE"""),"BERN")</f>
        <v/>
      </c>
      <c r="L598" s="1">
        <f>IFERROR(__xludf.DUMMYFUNCTION("""COMPUTED_VALUE"""),"Switzerland")</f>
        <v/>
      </c>
      <c r="M598" s="1">
        <f>IFERROR(__xludf.DUMMYFUNCTION("""COMPUTED_VALUE"""),"Austria, Germany, Switzerland")</f>
        <v/>
      </c>
      <c r="N598" s="1">
        <f>IFERROR(__xludf.DUMMYFUNCTION("""COMPUTED_VALUE"""),"0 to 2")</f>
        <v/>
      </c>
      <c r="O598" s="1">
        <f>IFERROR(__xludf.DUMMYFUNCTION("""COMPUTED_VALUE"""),"Business to Business, Business to Consumer, Business to Schools")</f>
        <v/>
      </c>
      <c r="P598" s="1">
        <f>IFERROR(__xludf.DUMMYFUNCTION("""COMPUTED_VALUE"""),"Primary Education, Secondary Education, Corporate Training, Lifelong learning/Adult education, Vocational Education and Training (VET), Higher Education")</f>
        <v/>
      </c>
      <c r="Q598" s="1">
        <f>IFERROR(__xludf.DUMMYFUNCTION("""COMPUTED_VALUE"""),"Teacher interfacing")</f>
        <v/>
      </c>
      <c r="R598" s="15">
        <f>IFERROR(__xludf.DUMMYFUNCTION("""COMPUTED_VALUE"""),"https://www.instagram.com/lernpfad/")</f>
        <v/>
      </c>
      <c r="S598" s="15">
        <f>IFERROR(__xludf.DUMMYFUNCTION("""COMPUTED_VALUE"""),"https://twitter.com/lernpfad")</f>
        <v/>
      </c>
      <c r="T598" s="15">
        <f>IFERROR(__xludf.DUMMYFUNCTION("""COMPUTED_VALUE"""),"https://www.linkedin.com/company/lernpfad/")</f>
        <v/>
      </c>
      <c r="U598" s="15">
        <f>IFERROR(__xludf.DUMMYFUNCTION("""COMPUTED_VALUE"""),"Lernpfad.ch")</f>
        <v/>
      </c>
      <c r="V598" s="1">
        <f>IFERROR(__xludf.DUMMYFUNCTION("""COMPUTED_VALUE"""),"Learning path is a micropublishing platform on which teachers can create and obtain individual teaching units or even entire courses in the form of learning paths.
Lernpfad works on the following principle:
Structure: Assemble work assignments and digit"&amp;"al and analog learning resources into structured learning paths.
Learn: Learners work self-directed on their learning paths and make their learning visible. 
Accompany: Regular individual feedback motivates and gives learners confidence.
The accessible"&amp;" and low-threshold application enables cross-institutional use and completely dispenses with role differentiation. This enables flexible and varied use.")</f>
        <v/>
      </c>
      <c r="W598" s="1" t="n"/>
      <c r="X598" s="1" t="n"/>
      <c r="Y598" s="15">
        <f>IFERROR(__xludf.DUMMYFUNCTION("""COMPUTED_VALUE"""),"https://drive.google.com/uc?export=view&amp;id=1E2fm98KxIYHWBwdTwObKIuZB7WT-_06E")</f>
        <v/>
      </c>
      <c r="Z598" s="1">
        <f>IFERROR(__xludf.DUMMYFUNCTION("""COMPUTED_VALUE"""),"Unverified")</f>
        <v/>
      </c>
      <c r="AA598" s="1" t="n"/>
      <c r="AB598" s="1" t="n"/>
      <c r="AC598" s="1" t="n"/>
      <c r="AD598" s="1" t="n"/>
      <c r="AE598" s="1" t="n"/>
    </row>
    <row r="599" ht="42" customHeight="1">
      <c r="A599" s="14">
        <f>IFERROR(__xludf.DUMMYFUNCTION("""COMPUTED_VALUE"""),45196)</f>
        <v/>
      </c>
      <c r="B599" s="1">
        <f>IFERROR(__xludf.DUMMYFUNCTION("""COMPUTED_VALUE"""),"ORG_1514")</f>
        <v/>
      </c>
      <c r="C599" s="1">
        <f>IFERROR(__xludf.DUMMYFUNCTION("""COMPUTED_VALUE"""),TRUE)</f>
        <v/>
      </c>
      <c r="D599" s="1">
        <f>IFERROR(__xludf.DUMMYFUNCTION("""COMPUTED_VALUE"""),"ESI")</f>
        <v/>
      </c>
      <c r="E599" s="15">
        <f>IFERROR(__xludf.DUMMYFUNCTION("""COMPUTED_VALUE"""),"https://www.esinstitute.com/")</f>
        <v/>
      </c>
      <c r="F599" s="1">
        <f>IFERROR(__xludf.DUMMYFUNCTION("""COMPUTED_VALUE"""),"ESI is a unique sales skills development programme delivered fully digital for the modern B2B sales teams. 
The programme is enriched with on-the-job exercises and certification that allow your salespeople to achieve high performance without taking talen"&amp;"t off the floor. 
What makes ESI unique is the blend of a highly relevant curriculum, combined with deep insights into user learning behaviours. 
The result of this is a skills programme that is unlike any other, which will create an instant impact in t"&amp;"he work environment.")</f>
        <v/>
      </c>
      <c r="G599" s="1">
        <f>IFERROR(__xludf.DUMMYFUNCTION("""COMPUTED_VALUE"""),"EdTech Ireland")</f>
        <v/>
      </c>
      <c r="H599" s="1">
        <f>IFERROR(__xludf.DUMMYFUNCTION("""COMPUTED_VALUE"""),"English")</f>
        <v/>
      </c>
      <c r="I599" s="1">
        <f>IFERROR(__xludf.DUMMYFUNCTION("""COMPUTED_VALUE"""),"hello@esinstitute.com")</f>
        <v/>
      </c>
      <c r="J599" s="1">
        <f>IFERROR(__xludf.DUMMYFUNCTION("""COMPUTED_VALUE"""),"+353 1 525 7380")</f>
        <v/>
      </c>
      <c r="K599" s="1">
        <f>IFERROR(__xludf.DUMMYFUNCTION("""COMPUTED_VALUE"""),"DUBLIN 6")</f>
        <v/>
      </c>
      <c r="L599" s="1">
        <f>IFERROR(__xludf.DUMMYFUNCTION("""COMPUTED_VALUE"""),"Ireland")</f>
        <v/>
      </c>
      <c r="M599" s="1">
        <f>IFERROR(__xludf.DUMMYFUNCTION("""COMPUTED_VALUE"""),"Belgium, Croatia, Ireland, Netherlands, Poland, Sweden, United Kingdom")</f>
        <v/>
      </c>
      <c r="N599" s="1">
        <f>IFERROR(__xludf.DUMMYFUNCTION("""COMPUTED_VALUE"""),"6 to 10")</f>
        <v/>
      </c>
      <c r="O599" s="1">
        <f>IFERROR(__xludf.DUMMYFUNCTION("""COMPUTED_VALUE"""),"Business to Business, Business to Consumer")</f>
        <v/>
      </c>
      <c r="P599" s="1">
        <f>IFERROR(__xludf.DUMMYFUNCTION("""COMPUTED_VALUE"""),"Corporate Training, Lifelong learning/Adult education, Vocational Education and Training (VET), Higher Education")</f>
        <v/>
      </c>
      <c r="Q599" s="1">
        <f>IFERROR(__xludf.DUMMYFUNCTION("""COMPUTED_VALUE"""),"System/Administrative, Student interfacing")</f>
        <v/>
      </c>
      <c r="R599" s="1" t="n"/>
      <c r="S599" s="1" t="n"/>
      <c r="T599" s="15">
        <f>IFERROR(__xludf.DUMMYFUNCTION("""COMPUTED_VALUE"""),"https://www.linkedin.com/company/esinstitute/mycompany/?viewAsMember=true")</f>
        <v/>
      </c>
      <c r="U599" s="1">
        <f>IFERROR(__xludf.DUMMYFUNCTION("""COMPUTED_VALUE"""),"Growth+ Sales Training &amp; Certification")</f>
        <v/>
      </c>
      <c r="V599" s="1">
        <f>IFERROR(__xludf.DUMMYFUNCTION("""COMPUTED_VALUE"""),"ESI’s Growth+ platform will fill your sales skills and talent gap. It enables employers to better develop, retain and onboard high performing sales people. Wherever they are.")</f>
        <v/>
      </c>
      <c r="W599" s="1" t="n"/>
      <c r="X599" s="1" t="n"/>
      <c r="Y599" s="15">
        <f>IFERROR(__xludf.DUMMYFUNCTION("""COMPUTED_VALUE"""),"https://drive.google.com/uc?export=view&amp;id=1lA79senTrE-MZtML_Bm0JgmdTJdGmE5D")</f>
        <v/>
      </c>
      <c r="Z599" s="1">
        <f>IFERROR(__xludf.DUMMYFUNCTION("""COMPUTED_VALUE"""),"Unverified")</f>
        <v/>
      </c>
      <c r="AA599" s="1" t="n"/>
      <c r="AB599" s="1" t="n"/>
      <c r="AC599" s="1" t="n"/>
      <c r="AD599" s="1" t="n"/>
      <c r="AE599" s="1" t="n"/>
    </row>
    <row r="600" ht="42" customHeight="1">
      <c r="A600" s="14">
        <f>IFERROR(__xludf.DUMMYFUNCTION("""COMPUTED_VALUE"""),45196)</f>
        <v/>
      </c>
      <c r="B600" s="1">
        <f>IFERROR(__xludf.DUMMYFUNCTION("""COMPUTED_VALUE"""),"ORG_1479")</f>
        <v/>
      </c>
      <c r="C600" s="1">
        <f>IFERROR(__xludf.DUMMYFUNCTION("""COMPUTED_VALUE"""),TRUE)</f>
        <v/>
      </c>
      <c r="D600" s="15">
        <f>IFERROR(__xludf.DUMMYFUNCTION("""COMPUTED_VALUE"""),"Elai.io")</f>
        <v/>
      </c>
      <c r="E600" s="15">
        <f>IFERROR(__xludf.DUMMYFUNCTION("""COMPUTED_VALUE"""),"https://elai.io/")</f>
        <v/>
      </c>
      <c r="F600" s="1">
        <f>IFERROR(__xludf.DUMMYFUNCTION("""COMPUTED_VALUE"""),"Elai.io is a text-to-video platform that allows organizations to generate education video content with human narrators from just text.")</f>
        <v/>
      </c>
      <c r="G600" s="1">
        <f>IFERROR(__xludf.DUMMYFUNCTION("""COMPUTED_VALUE"""),"I'm not part of any EdTech association")</f>
        <v/>
      </c>
      <c r="H600" s="1">
        <f>IFERROR(__xludf.DUMMYFUNCTION("""COMPUTED_VALUE"""),"All")</f>
        <v/>
      </c>
      <c r="I600" s="1">
        <f>IFERROR(__xludf.DUMMYFUNCTION("""COMPUTED_VALUE"""),"vitalii@elai.io")</f>
        <v/>
      </c>
      <c r="J600" s="1">
        <f>IFERROR(__xludf.DUMMYFUNCTION("""COMPUTED_VALUE"""),"+380935048119")</f>
        <v/>
      </c>
      <c r="K600" s="1">
        <f>IFERROR(__xludf.DUMMYFUNCTION("""COMPUTED_VALUE"""),"KYIV")</f>
        <v/>
      </c>
      <c r="L600" s="1">
        <f>IFERROR(__xludf.DUMMYFUNCTION("""COMPUTED_VALUE"""),"Ukraine")</f>
        <v/>
      </c>
      <c r="M600"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600" s="1">
        <f>IFERROR(__xludf.DUMMYFUNCTION("""COMPUTED_VALUE"""),"11 to 50")</f>
        <v/>
      </c>
      <c r="O600" s="1">
        <f>IFERROR(__xludf.DUMMYFUNCTION("""COMPUTED_VALUE"""),"Business to Business, Business to Consumer, Business to Schools")</f>
        <v/>
      </c>
      <c r="P600" s="1">
        <f>IFERROR(__xludf.DUMMYFUNCTION("""COMPUTED_VALUE"""),"Corporate Training, Lifelong learning/Adult education")</f>
        <v/>
      </c>
      <c r="Q600" s="1">
        <f>IFERROR(__xludf.DUMMYFUNCTION("""COMPUTED_VALUE"""),"Teacher interfacing, System/Administrative, Student interfacing")</f>
        <v/>
      </c>
      <c r="R600" s="1" t="n"/>
      <c r="S600" s="1" t="n"/>
      <c r="T600" s="15">
        <f>IFERROR(__xludf.DUMMYFUNCTION("""COMPUTED_VALUE"""),"https://www.linkedin.com/company/elai-io")</f>
        <v/>
      </c>
      <c r="U600" s="1">
        <f>IFERROR(__xludf.DUMMYFUNCTION("""COMPUTED_VALUE"""),"SaaS training video generation platform")</f>
        <v/>
      </c>
      <c r="V600" s="1">
        <f>IFERROR(__xludf.DUMMYFUNCTION("""COMPUTED_VALUE"""),"Elai.io allows users to generate professional video content for education from just text without using a camera, studio, or a green screen. Our customers create training videos 20x faster than before compared to traditional video creation approach.")</f>
        <v/>
      </c>
      <c r="W600" s="1" t="n"/>
      <c r="X600" s="1" t="n"/>
      <c r="Y600" s="15">
        <f>IFERROR(__xludf.DUMMYFUNCTION("""COMPUTED_VALUE"""),"https://drive.google.com/uc?export=view&amp;id=1OlbOgo5DYZoMunuUDmP7aNKEISqJWBtN")</f>
        <v/>
      </c>
      <c r="Z600" s="1">
        <f>IFERROR(__xludf.DUMMYFUNCTION("""COMPUTED_VALUE"""),"Unverified")</f>
        <v/>
      </c>
      <c r="AA600" s="1" t="n"/>
      <c r="AB600" s="1" t="n"/>
      <c r="AC600" s="1" t="n"/>
      <c r="AD600" s="1" t="n"/>
      <c r="AE600" s="1" t="n"/>
    </row>
    <row r="601" ht="42" customHeight="1">
      <c r="A601" s="14">
        <f>IFERROR(__xludf.DUMMYFUNCTION("""COMPUTED_VALUE"""),45195)</f>
        <v/>
      </c>
      <c r="B601" s="1">
        <f>IFERROR(__xludf.DUMMYFUNCTION("""COMPUTED_VALUE"""),"ORG_1110")</f>
        <v/>
      </c>
      <c r="C601" s="1">
        <f>IFERROR(__xludf.DUMMYFUNCTION("""COMPUTED_VALUE"""),TRUE)</f>
        <v/>
      </c>
      <c r="D601" s="1">
        <f>IFERROR(__xludf.DUMMYFUNCTION("""COMPUTED_VALUE"""),"Aski Raski")</f>
        <v/>
      </c>
      <c r="E601" s="15">
        <f>IFERROR(__xludf.DUMMYFUNCTION("""COMPUTED_VALUE"""),"www.askiraski.dk")</f>
        <v/>
      </c>
      <c r="F601" s="1">
        <f>IFERROR(__xludf.DUMMYFUNCTION("""COMPUTED_VALUE"""),"Aski Raski is a web-based reading programme, where the students practice their ability to decode the words correctly and rapidly. Decoding is the technical part of reading and plays a major role in the students' reading experience. The programme can also "&amp;"be used as a tool to practice pronunciation and spelling.")</f>
        <v/>
      </c>
      <c r="G601" s="1">
        <f>IFERROR(__xludf.DUMMYFUNCTION("""COMPUTED_VALUE"""),"EdTech Denmark")</f>
        <v/>
      </c>
      <c r="H601" s="1">
        <f>IFERROR(__xludf.DUMMYFUNCTION("""COMPUTED_VALUE"""),"Danish, English")</f>
        <v/>
      </c>
      <c r="I601" s="1">
        <f>IFERROR(__xludf.DUMMYFUNCTION("""COMPUTED_VALUE"""),"kontakt@askiraski.dk")</f>
        <v/>
      </c>
      <c r="J601" s="1">
        <f>IFERROR(__xludf.DUMMYFUNCTION("""COMPUTED_VALUE"""),"+4560133590")</f>
        <v/>
      </c>
      <c r="K601" s="1">
        <f>IFERROR(__xludf.DUMMYFUNCTION("""COMPUTED_VALUE"""),"ODENSE")</f>
        <v/>
      </c>
      <c r="L601" s="1">
        <f>IFERROR(__xludf.DUMMYFUNCTION("""COMPUTED_VALUE"""),"Denmark")</f>
        <v/>
      </c>
      <c r="M601" s="1">
        <f>IFERROR(__xludf.DUMMYFUNCTION("""COMPUTED_VALUE"""),"Denmark")</f>
        <v/>
      </c>
      <c r="N601" s="1">
        <f>IFERROR(__xludf.DUMMYFUNCTION("""COMPUTED_VALUE"""),"0 to 2")</f>
        <v/>
      </c>
      <c r="O601" s="1">
        <f>IFERROR(__xludf.DUMMYFUNCTION("""COMPUTED_VALUE"""),"Business to Business, Business to Schools, Business to Consumer, Business to Government")</f>
        <v/>
      </c>
      <c r="P601" s="1">
        <f>IFERROR(__xludf.DUMMYFUNCTION("""COMPUTED_VALUE"""),"Early childhood development (0-5 years), Primary Education, Secondary Education, Lifelong learning/Adult education")</f>
        <v/>
      </c>
      <c r="Q601" s="1">
        <f>IFERROR(__xludf.DUMMYFUNCTION("""COMPUTED_VALUE"""),"Teacher interfacing")</f>
        <v/>
      </c>
      <c r="R601" s="15">
        <f>IFERROR(__xludf.DUMMYFUNCTION("""COMPUTED_VALUE"""),"https://www.instagram.com/askiraskidanmark/")</f>
        <v/>
      </c>
      <c r="S601" s="1" t="n"/>
      <c r="T601" s="15">
        <f>IFERROR(__xludf.DUMMYFUNCTION("""COMPUTED_VALUE"""),"https://www.linkedin.com/company/aski-raski-danmark-aps/")</f>
        <v/>
      </c>
      <c r="U601" s="1">
        <f>IFERROR(__xludf.DUMMYFUNCTION("""COMPUTED_VALUE"""),"Aski Raski")</f>
        <v/>
      </c>
      <c r="V601" s="1">
        <f>IFERROR(__xludf.DUMMYFUNCTION("""COMPUTED_VALUE"""),"Aski Raski is a web-based reading programme, where the students practice their ability to decode the words correctly and rapidly. Decoding is the technical part of reading and plays a major role in the students' reading experience. The programme can also "&amp;"be used as a tool to practice pronunciation and spelling.")</f>
        <v/>
      </c>
      <c r="W601" s="1" t="n"/>
      <c r="X601" s="1" t="n"/>
      <c r="Y601" s="15">
        <f>IFERROR(__xludf.DUMMYFUNCTION("""COMPUTED_VALUE"""),"https://drive.google.com/uc?export=view&amp;id=1_rAjfXUw-ld9XLKhEysP7U2piYRmNEvX")</f>
        <v/>
      </c>
      <c r="Z601" s="1">
        <f>IFERROR(__xludf.DUMMYFUNCTION("""COMPUTED_VALUE"""),"Unverified")</f>
        <v/>
      </c>
      <c r="AA601" s="1" t="n"/>
      <c r="AB601" s="1" t="n"/>
      <c r="AC601" s="1" t="n"/>
      <c r="AD601" s="1" t="n"/>
      <c r="AE601" s="1" t="n"/>
    </row>
    <row r="602" ht="42" customHeight="1">
      <c r="A602" s="14">
        <f>IFERROR(__xludf.DUMMYFUNCTION("""COMPUTED_VALUE"""),45195)</f>
        <v/>
      </c>
      <c r="B602" s="1">
        <f>IFERROR(__xludf.DUMMYFUNCTION("""COMPUTED_VALUE"""),"ORG_1639")</f>
        <v/>
      </c>
      <c r="C602" s="1">
        <f>IFERROR(__xludf.DUMMYFUNCTION("""COMPUTED_VALUE"""),TRUE)</f>
        <v/>
      </c>
      <c r="D602" s="1">
        <f>IFERROR(__xludf.DUMMYFUNCTION("""COMPUTED_VALUE"""),"Grammazzle")</f>
        <v/>
      </c>
      <c r="E602" s="15">
        <f>IFERROR(__xludf.DUMMYFUNCTION("""COMPUTED_VALUE"""),"https://grammazzle.com/")</f>
        <v/>
      </c>
      <c r="F602" s="1">
        <f>IFERROR(__xludf.DUMMYFUNCTION("""COMPUTED_VALUE"""),"Grammazzle is an educational tool that makes it easier to learn English grammar and phonetics through discriminatory grammar puzzles.")</f>
        <v/>
      </c>
      <c r="G602" s="1">
        <f>IFERROR(__xludf.DUMMYFUNCTION("""COMPUTED_VALUE"""),"I'm not part of any EdTech association")</f>
        <v/>
      </c>
      <c r="H602" s="1">
        <f>IFERROR(__xludf.DUMMYFUNCTION("""COMPUTED_VALUE"""),"English, Spanish")</f>
        <v/>
      </c>
      <c r="I602" s="1">
        <f>IFERROR(__xludf.DUMMYFUNCTION("""COMPUTED_VALUE"""),"david@grammazzle.com")</f>
        <v/>
      </c>
      <c r="J602" s="1" t="n"/>
      <c r="K602" s="1">
        <f>IFERROR(__xludf.DUMMYFUNCTION("""COMPUTED_VALUE"""),"SANTANDER")</f>
        <v/>
      </c>
      <c r="L602" s="1">
        <f>IFERROR(__xludf.DUMMYFUNCTION("""COMPUTED_VALUE"""),"Spain")</f>
        <v/>
      </c>
      <c r="M602" s="1">
        <f>IFERROR(__xludf.DUMMYFUNCTION("""COMPUTED_VALUE"""),"Spain")</f>
        <v/>
      </c>
      <c r="N602" s="1">
        <f>IFERROR(__xludf.DUMMYFUNCTION("""COMPUTED_VALUE"""),"0 to 2")</f>
        <v/>
      </c>
      <c r="O602" s="1">
        <f>IFERROR(__xludf.DUMMYFUNCTION("""COMPUTED_VALUE"""),"Business to Business, Business to Schools, Business to Consumer, Business to Government")</f>
        <v/>
      </c>
      <c r="P602" s="1">
        <f>IFERROR(__xludf.DUMMYFUNCTION("""COMPUTED_VALUE"""),"Primary Education, Secondary Education")</f>
        <v/>
      </c>
      <c r="Q602" s="1">
        <f>IFERROR(__xludf.DUMMYFUNCTION("""COMPUTED_VALUE"""),"Teacher interfacing")</f>
        <v/>
      </c>
      <c r="R602" s="15">
        <f>IFERROR(__xludf.DUMMYFUNCTION("""COMPUTED_VALUE"""),"https://www.instagram.com/Grammazzle/")</f>
        <v/>
      </c>
      <c r="S602" s="15">
        <f>IFERROR(__xludf.DUMMYFUNCTION("""COMPUTED_VALUE"""),"https://twitter.com/grammazzle?lang=es")</f>
        <v/>
      </c>
      <c r="T602" s="15">
        <f>IFERROR(__xludf.DUMMYFUNCTION("""COMPUTED_VALUE"""),"https://www.linkedin.com/company/grammazzle/")</f>
        <v/>
      </c>
      <c r="U602" s="1">
        <f>IFERROR(__xludf.DUMMYFUNCTION("""COMPUTED_VALUE"""),"Grammazzle")</f>
        <v/>
      </c>
      <c r="V602" s="1">
        <f>IFERROR(__xludf.DUMMYFUNCTION("""COMPUTED_VALUE"""),"Grammazzle is an educational tool that makes it easier to learn English grammar and phonetics through discriminatory grammar puzzles.")</f>
        <v/>
      </c>
      <c r="W602" s="1" t="n"/>
      <c r="X602" s="1" t="n"/>
      <c r="Y602" s="15">
        <f>IFERROR(__xludf.DUMMYFUNCTION("""COMPUTED_VALUE"""),"https://drive.google.com/uc?export=view&amp;id=1cc1iOybicJoPeXRCXWAhvoc1GmvXkdki")</f>
        <v/>
      </c>
      <c r="Z602" s="1">
        <f>IFERROR(__xludf.DUMMYFUNCTION("""COMPUTED_VALUE"""),"Unverified")</f>
        <v/>
      </c>
      <c r="AA602" s="1" t="n"/>
      <c r="AB602" s="1" t="n"/>
      <c r="AC602" s="1" t="n"/>
      <c r="AD602" s="1" t="n"/>
      <c r="AE602" s="1" t="n"/>
    </row>
    <row r="603" ht="42" customHeight="1">
      <c r="A603" s="14">
        <f>IFERROR(__xludf.DUMMYFUNCTION("""COMPUTED_VALUE"""),45195)</f>
        <v/>
      </c>
      <c r="B603" s="1">
        <f>IFERROR(__xludf.DUMMYFUNCTION("""COMPUTED_VALUE"""),"ORG_2014")</f>
        <v/>
      </c>
      <c r="C603" s="1">
        <f>IFERROR(__xludf.DUMMYFUNCTION("""COMPUTED_VALUE"""),TRUE)</f>
        <v/>
      </c>
      <c r="D603" s="15">
        <f>IFERROR(__xludf.DUMMYFUNCTION("""COMPUTED_VALUE"""),"mytalents.ai")</f>
        <v/>
      </c>
      <c r="E603" s="15">
        <f>IFERROR(__xludf.DUMMYFUNCTION("""COMPUTED_VALUE"""),"mytalents.ai")</f>
        <v/>
      </c>
      <c r="F603" s="1">
        <f>IFERROR(__xludf.DUMMYFUNCTION("""COMPUTED_VALUE"""),"Our learning platform empowers employees to become more efficient and effective in their work by teaching them how to use AI tools that can automate time-consuming and repetitive tasks. For example, our platform help employees to automate the creation of "&amp;"presentations, image editing, and meeting transcriptions. By using AI-supported tools, even the least experienced and qualified employees can complete their work up to 55% faster.")</f>
        <v/>
      </c>
      <c r="G603" s="1">
        <f>IFERROR(__xludf.DUMMYFUNCTION("""COMPUTED_VALUE"""),"EdTech Austria")</f>
        <v/>
      </c>
      <c r="H603" s="1">
        <f>IFERROR(__xludf.DUMMYFUNCTION("""COMPUTED_VALUE"""),"German")</f>
        <v/>
      </c>
      <c r="I603" s="1">
        <f>IFERROR(__xludf.DUMMYFUNCTION("""COMPUTED_VALUE"""),"office@mytalents.ai")</f>
        <v/>
      </c>
      <c r="J603" s="1" t="n"/>
      <c r="K603" s="1">
        <f>IFERROR(__xludf.DUMMYFUNCTION("""COMPUTED_VALUE"""),"VIENNA")</f>
        <v/>
      </c>
      <c r="L603" s="1">
        <f>IFERROR(__xludf.DUMMYFUNCTION("""COMPUTED_VALUE"""),"Austria")</f>
        <v/>
      </c>
      <c r="M603" s="1">
        <f>IFERROR(__xludf.DUMMYFUNCTION("""COMPUTED_VALUE"""),"Austria")</f>
        <v/>
      </c>
      <c r="N603" s="1">
        <f>IFERROR(__xludf.DUMMYFUNCTION("""COMPUTED_VALUE"""),"6 to 10")</f>
        <v/>
      </c>
      <c r="O603" s="1">
        <f>IFERROR(__xludf.DUMMYFUNCTION("""COMPUTED_VALUE"""),"Business to Business, Business to Schools, Business to Consumer, Business to Government")</f>
        <v/>
      </c>
      <c r="P603" s="1">
        <f>IFERROR(__xludf.DUMMYFUNCTION("""COMPUTED_VALUE"""),"Corporate Training, Lifelong learning/Adult education")</f>
        <v/>
      </c>
      <c r="Q603" s="1">
        <f>IFERROR(__xludf.DUMMYFUNCTION("""COMPUTED_VALUE"""),"Student interfacing, System/Administrative")</f>
        <v/>
      </c>
      <c r="R603" s="15">
        <f>IFERROR(__xludf.DUMMYFUNCTION("""COMPUTED_VALUE"""),"mytalents.ai")</f>
        <v/>
      </c>
      <c r="S603" s="1" t="n"/>
      <c r="T603" s="15">
        <f>IFERROR(__xludf.DUMMYFUNCTION("""COMPUTED_VALUE"""),"https://www.linkedin.com/company/mytalents-ai")</f>
        <v/>
      </c>
      <c r="U603" s="1">
        <f>IFERROR(__xludf.DUMMYFUNCTION("""COMPUTED_VALUE"""),"Learning Plattform for AI-Tools")</f>
        <v/>
      </c>
      <c r="V603" s="1">
        <f>IFERROR(__xludf.DUMMYFUNCTION("""COMPUTED_VALUE"""),"Our learning platform offers a comprehensive learning approach. We ensure that all departments in a company - including finance, marketing, sales, development, and administration - learn to effectively use the latest tools.
Basic ChatGPT courses are avail"&amp;"able to all departments, so that every employee can use the basic functions of this versatile tool. This ensures that ChatGPT is effectively integrated into daily workflows.
In addition, we offer specific training for specific tools tailored to the indivi"&amp;"dual needs of each department. For example, sales teams learn how to use Synthesia for personalized sales videos, while development teams learn how to increase their coding efficiency by up to 80% with Magic.dev.
Marketing teams learn to generate images w"&amp;"ith Midjourney and optimize their campaigns using AI. For the administration department, we show how to make presentations and documentation more efficient with Gamma.app and how to automate meetings using tl;dv Meetings.
And that's just a small glimpse o"&amp;"f what we have to offer. We plan to provide multiple courses for each department, with the goal of increasing employee productivity by 40% while increasing their job satisfaction. Our comprehensive and tailored training enables companies to fully leverage"&amp;" the potential of modern AI tools and gain a competitive advantage.")</f>
        <v/>
      </c>
      <c r="W603" s="1" t="n"/>
      <c r="X603" s="1" t="n"/>
      <c r="Y603" s="15">
        <f>IFERROR(__xludf.DUMMYFUNCTION("""COMPUTED_VALUE"""),"https://drive.google.com/uc?export=view&amp;id=1hHmh0ZAqsmkrl_JGY-3IFzOcXoOQEGWZ")</f>
        <v/>
      </c>
      <c r="Z603" s="1">
        <f>IFERROR(__xludf.DUMMYFUNCTION("""COMPUTED_VALUE"""),"Unverified")</f>
        <v/>
      </c>
      <c r="AA603" s="1" t="n"/>
      <c r="AB603" s="1" t="n"/>
      <c r="AC603" s="1" t="n"/>
      <c r="AD603" s="1" t="n"/>
      <c r="AE603" s="1" t="n"/>
    </row>
    <row r="604" ht="42" customHeight="1">
      <c r="A604" s="14">
        <f>IFERROR(__xludf.DUMMYFUNCTION("""COMPUTED_VALUE"""),45195)</f>
        <v/>
      </c>
      <c r="B604" s="1">
        <f>IFERROR(__xludf.DUMMYFUNCTION("""COMPUTED_VALUE"""),"ORG_2027")</f>
        <v/>
      </c>
      <c r="C604" s="1">
        <f>IFERROR(__xludf.DUMMYFUNCTION("""COMPUTED_VALUE"""),TRUE)</f>
        <v/>
      </c>
      <c r="D604" s="1">
        <f>IFERROR(__xludf.DUMMYFUNCTION("""COMPUTED_VALUE"""),"NEOMA EdTech accelerator")</f>
        <v/>
      </c>
      <c r="E604" s="15">
        <f>IFERROR(__xludf.DUMMYFUNCTION("""COMPUTED_VALUE"""),"https://startuplab.neoma-bs.fr/en/neoma-edtech-accelerator-2/")</f>
        <v/>
      </c>
      <c r="F604" s="1">
        <f>IFERROR(__xludf.DUMMYFUNCTION("""COMPUTED_VALUE"""),"EdTech Accelerator is integrated into NEOMA Business School and benefits from the school's commitment to digital and technology-based educational innovation.
We propose:
- a five-month hybrid acceleration program tailor-made for the needs of growing ed-"&amp;"tech startups;
- particular expertise in the edtech sector /pedagogical or technological innovation in education;
- a unique opportunity to test your solution at NEOMA with our Learning Lab team and our Innovative Pedagogy team and improve your product-"&amp;"market fit;
- access to the network of our corporate and academic partners all over the world (more than 400 international schools and universities);
- help with crafting the offer to potential investors and introduction to the VCs and business angels; "&amp;"
- a chance to co-create values together with a strong professional community.")</f>
        <v/>
      </c>
      <c r="G604" s="1">
        <f>IFERROR(__xludf.DUMMYFUNCTION("""COMPUTED_VALUE"""),"EdTech France")</f>
        <v/>
      </c>
      <c r="H604" s="1">
        <f>IFERROR(__xludf.DUMMYFUNCTION("""COMPUTED_VALUE"""),"English")</f>
        <v/>
      </c>
      <c r="I604" s="1">
        <f>IFERROR(__xludf.DUMMYFUNCTION("""COMPUTED_VALUE"""),"edtech-accelerator@neoma-bs.fr")</f>
        <v/>
      </c>
      <c r="J604" s="1">
        <f>IFERROR(__xludf.DUMMYFUNCTION("""COMPUTED_VALUE"""),"+33 7 62 18 54 03")</f>
        <v/>
      </c>
      <c r="K604" s="1">
        <f>IFERROR(__xludf.DUMMYFUNCTION("""COMPUTED_VALUE"""),"REIMS")</f>
        <v/>
      </c>
      <c r="L604" s="1">
        <f>IFERROR(__xludf.DUMMYFUNCTION("""COMPUTED_VALUE"""),"France")</f>
        <v/>
      </c>
      <c r="M604" s="1">
        <f>IFERROR(__xludf.DUMMYFUNCTION("""COMPUTED_VALUE"""),"France")</f>
        <v/>
      </c>
      <c r="N604" s="1">
        <f>IFERROR(__xludf.DUMMYFUNCTION("""COMPUTED_VALUE"""),"3 to 5")</f>
        <v/>
      </c>
      <c r="O604" s="1">
        <f>IFERROR(__xludf.DUMMYFUNCTION("""COMPUTED_VALUE"""),"Business to Business, Business to Government")</f>
        <v/>
      </c>
      <c r="P604" s="1">
        <f>IFERROR(__xludf.DUMMYFUNCTION("""COMPUTED_VALUE"""),"Primary Education, Secondary Education, Corporate Training, Lifelong learning/Adult education, Vocational Education and Training (VET), Higher Education")</f>
        <v/>
      </c>
      <c r="Q604" s="1">
        <f>IFERROR(__xludf.DUMMYFUNCTION("""COMPUTED_VALUE"""),"Student interfacing")</f>
        <v/>
      </c>
      <c r="R604" s="1" t="n"/>
      <c r="S604" s="1" t="n"/>
      <c r="T604" s="15">
        <f>IFERROR(__xludf.DUMMYFUNCTION("""COMPUTED_VALUE"""),"https://www.linkedin.com/company/neoma-edtech-accelerator/?viewAsMember=true")</f>
        <v/>
      </c>
      <c r="U604" s="1" t="n"/>
      <c r="V604" s="1" t="n"/>
      <c r="W604" s="1" t="n"/>
      <c r="X604" s="1" t="n"/>
      <c r="Y604" s="15">
        <f>IFERROR(__xludf.DUMMYFUNCTION("""COMPUTED_VALUE"""),"https://drive.google.com/uc?export=view&amp;id=1serLgfS6N9E9FZvvKCVWomBohU_V92xC")</f>
        <v/>
      </c>
      <c r="Z604" s="1">
        <f>IFERROR(__xludf.DUMMYFUNCTION("""COMPUTED_VALUE"""),"Unverified")</f>
        <v/>
      </c>
      <c r="AA604" s="1" t="n"/>
      <c r="AB604" s="1" t="n"/>
      <c r="AC604" s="1" t="n"/>
      <c r="AD604" s="1" t="n"/>
      <c r="AE604" s="1" t="n"/>
    </row>
    <row r="605" ht="42" customHeight="1">
      <c r="A605" s="14">
        <f>IFERROR(__xludf.DUMMYFUNCTION("""COMPUTED_VALUE"""),45194)</f>
        <v/>
      </c>
      <c r="B605" s="1">
        <f>IFERROR(__xludf.DUMMYFUNCTION("""COMPUTED_VALUE"""),"ORG_1197")</f>
        <v/>
      </c>
      <c r="C605" s="1">
        <f>IFERROR(__xludf.DUMMYFUNCTION("""COMPUTED_VALUE"""),TRUE)</f>
        <v/>
      </c>
      <c r="D605" s="1">
        <f>IFERROR(__xludf.DUMMYFUNCTION("""COMPUTED_VALUE"""),"BrainsPro")</f>
        <v/>
      </c>
      <c r="E605" s="15">
        <f>IFERROR(__xludf.DUMMYFUNCTION("""COMPUTED_VALUE"""),"https://brainspro.com")</f>
        <v/>
      </c>
      <c r="F605" s="1">
        <f>IFERROR(__xludf.DUMMYFUNCTION("""COMPUTED_VALUE"""),"BrainsPro is a smart white label SaaS B2B that allows any company to create a corporate online academy in minutes to offer personalized training courses to their community and stakeholders on iOS, Android and web.")</f>
        <v/>
      </c>
      <c r="G605" s="1">
        <f>IFERROR(__xludf.DUMMYFUNCTION("""COMPUTED_VALUE"""),"EduTech Cluster Spain")</f>
        <v/>
      </c>
      <c r="H605" s="1">
        <f>IFERROR(__xludf.DUMMYFUNCTION("""COMPUTED_VALUE"""),"English, German, Portuguese")</f>
        <v/>
      </c>
      <c r="I605" s="1">
        <f>IFERROR(__xludf.DUMMYFUNCTION("""COMPUTED_VALUE"""),"info@brainspro.com")</f>
        <v/>
      </c>
      <c r="J605" s="1">
        <f>IFERROR(__xludf.DUMMYFUNCTION("""COMPUTED_VALUE"""),"+34 626 201 897")</f>
        <v/>
      </c>
      <c r="K605" s="1">
        <f>IFERROR(__xludf.DUMMYFUNCTION("""COMPUTED_VALUE"""),"MÁLAGA")</f>
        <v/>
      </c>
      <c r="L605" s="1">
        <f>IFERROR(__xludf.DUMMYFUNCTION("""COMPUTED_VALUE"""),"Spain")</f>
        <v/>
      </c>
      <c r="M605" s="1">
        <f>IFERROR(__xludf.DUMMYFUNCTION("""COMPUTED_VALUE"""),"Spain")</f>
        <v/>
      </c>
      <c r="N605" s="1">
        <f>IFERROR(__xludf.DUMMYFUNCTION("""COMPUTED_VALUE"""),"6 to 10")</f>
        <v/>
      </c>
      <c r="O605" s="1">
        <f>IFERROR(__xludf.DUMMYFUNCTION("""COMPUTED_VALUE"""),"Business to Business, Business to Government")</f>
        <v/>
      </c>
      <c r="P605" s="1">
        <f>IFERROR(__xludf.DUMMYFUNCTION("""COMPUTED_VALUE"""),"Corporate Training")</f>
        <v/>
      </c>
      <c r="Q605" s="1">
        <f>IFERROR(__xludf.DUMMYFUNCTION("""COMPUTED_VALUE"""),"System/Administrative")</f>
        <v/>
      </c>
      <c r="R605" s="15">
        <f>IFERROR(__xludf.DUMMYFUNCTION("""COMPUTED_VALUE"""),"https://www.instagram.com/brainsprocom")</f>
        <v/>
      </c>
      <c r="S605" s="15">
        <f>IFERROR(__xludf.DUMMYFUNCTION("""COMPUTED_VALUE"""),"https://www.twitter.com/brainspro")</f>
        <v/>
      </c>
      <c r="T605" s="15">
        <f>IFERROR(__xludf.DUMMYFUNCTION("""COMPUTED_VALUE"""),"https://www.linkedin.com/company/brainspro")</f>
        <v/>
      </c>
      <c r="U605" s="1">
        <f>IFERROR(__xludf.DUMMYFUNCTION("""COMPUTED_VALUE"""),"BrainsPro SaaS")</f>
        <v/>
      </c>
      <c r="V605" s="1">
        <f>IFERROR(__xludf.DUMMYFUNCTION("""COMPUTED_VALUE"""),"BrainsPro is a white label Software as a Service (SaaS) that allows companies to create their own gamified online academy in minutes in a secure, easy, and scalable way. Training and HR technicians in companies find BrainsPro an essential tool to
.- faci"&amp;"litate the creation and management of personalized learning itineraries,
.- generate automatic performance reports and
.- encourage community involvement in company culture
reducing spending on administrative resources by more than 80%.")</f>
        <v/>
      </c>
      <c r="W605" s="1" t="n"/>
      <c r="X605" s="1" t="n"/>
      <c r="Y605" s="15">
        <f>IFERROR(__xludf.DUMMYFUNCTION("""COMPUTED_VALUE"""),"https://drive.google.com/uc?export=view&amp;id=1LhjpUsyd9K5Ng6bmSdbemsFPUEa4HvYe")</f>
        <v/>
      </c>
      <c r="Z605" s="1">
        <f>IFERROR(__xludf.DUMMYFUNCTION("""COMPUTED_VALUE"""),"Unverified")</f>
        <v/>
      </c>
      <c r="AA605" s="1" t="n"/>
      <c r="AB605" s="1" t="n"/>
      <c r="AC605" s="1" t="n"/>
      <c r="AD605" s="1" t="n"/>
      <c r="AE605" s="1" t="n"/>
    </row>
    <row r="606" ht="42" customHeight="1">
      <c r="A606" s="14">
        <f>IFERROR(__xludf.DUMMYFUNCTION("""COMPUTED_VALUE"""),45194)</f>
        <v/>
      </c>
      <c r="B606" s="1">
        <f>IFERROR(__xludf.DUMMYFUNCTION("""COMPUTED_VALUE"""),"ORG_1578")</f>
        <v/>
      </c>
      <c r="C606" s="1">
        <f>IFERROR(__xludf.DUMMYFUNCTION("""COMPUTED_VALUE"""),TRUE)</f>
        <v/>
      </c>
      <c r="D606" s="1">
        <f>IFERROR(__xludf.DUMMYFUNCTION("""COMPUTED_VALUE"""),"Founderz")</f>
        <v/>
      </c>
      <c r="E606" s="15">
        <f>IFERROR(__xludf.DUMMYFUNCTION("""COMPUTED_VALUE"""),"https://founderz.com/")</f>
        <v/>
      </c>
      <c r="F606" s="1">
        <f>IFERROR(__xludf.DUMMYFUNCTION("""COMPUTED_VALUE"""),"Founderz | Powering Unstoppable Humans
We are an unconventional online business school aiming to revolutionize education and provide new training options that align more closely with today's job market and social reality. We design accessible innovation "&amp;"programs so that our students can master the most in-demand skills of the coming years and lead the future.")</f>
        <v/>
      </c>
      <c r="G606" s="1">
        <f>IFERROR(__xludf.DUMMYFUNCTION("""COMPUTED_VALUE"""),"I'm not part of any EdTech association")</f>
        <v/>
      </c>
      <c r="H606" s="1">
        <f>IFERROR(__xludf.DUMMYFUNCTION("""COMPUTED_VALUE"""),"Spanish, English, French, Portuguese")</f>
        <v/>
      </c>
      <c r="I606" s="1">
        <f>IFERROR(__xludf.DUMMYFUNCTION("""COMPUTED_VALUE"""),"hola@founderz.com")</f>
        <v/>
      </c>
      <c r="J606" s="1" t="n"/>
      <c r="K606" s="1">
        <f>IFERROR(__xludf.DUMMYFUNCTION("""COMPUTED_VALUE"""),"Madrid")</f>
        <v/>
      </c>
      <c r="L606" s="1">
        <f>IFERROR(__xludf.DUMMYFUNCTION("""COMPUTED_VALUE"""),"Spain")</f>
        <v/>
      </c>
      <c r="M606" s="1">
        <f>IFERROR(__xludf.DUMMYFUNCTION("""COMPUTED_VALUE"""),"France, Portugal, Spain")</f>
        <v/>
      </c>
      <c r="N606" s="1">
        <f>IFERROR(__xludf.DUMMYFUNCTION("""COMPUTED_VALUE"""),"11 to 50")</f>
        <v/>
      </c>
      <c r="O606" s="1">
        <f>IFERROR(__xludf.DUMMYFUNCTION("""COMPUTED_VALUE"""),"Business to Business, Business to Schools, Business to Consumer")</f>
        <v/>
      </c>
      <c r="P606" s="1">
        <f>IFERROR(__xludf.DUMMYFUNCTION("""COMPUTED_VALUE"""),"Corporate Training, Lifelong learning/Adult education, Higher Education")</f>
        <v/>
      </c>
      <c r="Q606" s="1">
        <f>IFERROR(__xludf.DUMMYFUNCTION("""COMPUTED_VALUE"""),"Teacher interfacing, System/Administrative, Student interfacing")</f>
        <v/>
      </c>
      <c r="R606" s="15">
        <f>IFERROR(__xludf.DUMMYFUNCTION("""COMPUTED_VALUE"""),"https://www.instagram.com/founderzschool/")</f>
        <v/>
      </c>
      <c r="S606" s="15">
        <f>IFERROR(__xludf.DUMMYFUNCTION("""COMPUTED_VALUE"""),"https://twitter.com/founderz")</f>
        <v/>
      </c>
      <c r="T606" s="15">
        <f>IFERROR(__xludf.DUMMYFUNCTION("""COMPUTED_VALUE"""),"https://www.linkedin.com/school/founderz-digital-business-school/")</f>
        <v/>
      </c>
      <c r="U606" s="1">
        <f>IFERROR(__xludf.DUMMYFUNCTION("""COMPUTED_VALUE"""),"Online Program in AI &amp; Innovation, in collaboration with Microsoft")</f>
        <v/>
      </c>
      <c r="V606" s="1">
        <f>IFERROR(__xludf.DUMMYFUNCTION("""COMPUTED_VALUE"""),"Get ready to master the latest AI tools including ChatGPT and Bing AI, and build new solutions without coding, in this online program in collaboration with Microsoft.
- 100% online micro-learning, with 15 minute-videos with top-industry professionals.
- D"&amp;"ual certification by Founderz and Microsoft, and free access to the PL-900 exam.
- 2 - 3 months duration (but with 18 months access to the full content, so you can follow your own pace).
- Community of +5.000 students in over 20 countries.")</f>
        <v/>
      </c>
      <c r="W606" s="1" t="n"/>
      <c r="X606" s="1" t="n"/>
      <c r="Y606" s="15">
        <f>IFERROR(__xludf.DUMMYFUNCTION("""COMPUTED_VALUE"""),"https://drive.google.com/uc?export=view&amp;id=1adVZVlafUKvZZkGM-TCOiL1K-iP-EWw7")</f>
        <v/>
      </c>
      <c r="Z606" s="1">
        <f>IFERROR(__xludf.DUMMYFUNCTION("""COMPUTED_VALUE"""),"Unverified")</f>
        <v/>
      </c>
      <c r="AA606" s="1" t="n"/>
      <c r="AB606" s="1" t="n"/>
      <c r="AC606" s="1" t="n"/>
      <c r="AD606" s="1" t="n"/>
      <c r="AE606" s="1" t="n"/>
    </row>
    <row r="607" ht="42" customHeight="1">
      <c r="A607" s="14">
        <f>IFERROR(__xludf.DUMMYFUNCTION("""COMPUTED_VALUE"""),45194)</f>
        <v/>
      </c>
      <c r="B607" s="1">
        <f>IFERROR(__xludf.DUMMYFUNCTION("""COMPUTED_VALUE"""),"ORG_1838")</f>
        <v/>
      </c>
      <c r="C607" s="1">
        <f>IFERROR(__xludf.DUMMYFUNCTION("""COMPUTED_VALUE"""),TRUE)</f>
        <v/>
      </c>
      <c r="D607" s="1">
        <f>IFERROR(__xludf.DUMMYFUNCTION("""COMPUTED_VALUE"""),"Learnio")</f>
        <v/>
      </c>
      <c r="E607" s="15">
        <f>IFERROR(__xludf.DUMMYFUNCTION("""COMPUTED_VALUE"""),"www.learnio.eu")</f>
        <v/>
      </c>
      <c r="F607" s="1">
        <f>IFERROR(__xludf.DUMMYFUNCTION("""COMPUTED_VALUE"""),"Learnio is a globally recognized leader in digital skills training, with a special focus on emerging markets. Our mission at Learnio is to empower individuals and organizations with the essential digital skills required for success in the modern world. Th"&amp;"rough our innovative online platform at www.learnio.eu, we offer a wide range of cutting-edge courses and resources, designed to bridge the digital divide and unlock opportunities for growth and development. With a commitment to excellence and a deep unde"&amp;"rstanding of the unique challenges faced by emerging markets, Learnio has become a trusted partner for individuals and businesses seeking to thrive in the digital age. Join us on a journey of lifelong learning and transformation at Learnio, where the futu"&amp;"re of skills development begins.")</f>
        <v/>
      </c>
      <c r="G607" s="1">
        <f>IFERROR(__xludf.DUMMYFUNCTION("""COMPUTED_VALUE"""),"EdTech Denmark")</f>
        <v/>
      </c>
      <c r="H607" s="1">
        <f>IFERROR(__xludf.DUMMYFUNCTION("""COMPUTED_VALUE"""),"English")</f>
        <v/>
      </c>
      <c r="I607" s="1">
        <f>IFERROR(__xludf.DUMMYFUNCTION("""COMPUTED_VALUE"""),"info@learnio.eu")</f>
        <v/>
      </c>
      <c r="J607" s="1">
        <f>IFERROR(__xludf.DUMMYFUNCTION("""COMPUTED_VALUE"""),"40474005")</f>
        <v/>
      </c>
      <c r="K607" s="1">
        <f>IFERROR(__xludf.DUMMYFUNCTION("""COMPUTED_VALUE"""),"COPENHAGEN")</f>
        <v/>
      </c>
      <c r="L607" s="1">
        <f>IFERROR(__xludf.DUMMYFUNCTION("""COMPUTED_VALUE"""),"Denmark")</f>
        <v/>
      </c>
      <c r="M607" s="1">
        <f>IFERROR(__xludf.DUMMYFUNCTION("""COMPUTED_VALUE"""),"Albania, Denmark, Kosovo, North Macedonia, Sweden")</f>
        <v/>
      </c>
      <c r="N607" s="1">
        <f>IFERROR(__xludf.DUMMYFUNCTION("""COMPUTED_VALUE"""),"11 to 50")</f>
        <v/>
      </c>
      <c r="O607" s="1">
        <f>IFERROR(__xludf.DUMMYFUNCTION("""COMPUTED_VALUE"""),"Business to Business, Business to Schools, Business to Consumer")</f>
        <v/>
      </c>
      <c r="P607" s="1">
        <f>IFERROR(__xludf.DUMMYFUNCTION("""COMPUTED_VALUE"""),"Secondary Education, Lifelong learning/Adult education, Vocational Education and Training (VET)")</f>
        <v/>
      </c>
      <c r="Q607" s="1">
        <f>IFERROR(__xludf.DUMMYFUNCTION("""COMPUTED_VALUE"""),"Student interfacing, System/Administrative")</f>
        <v/>
      </c>
      <c r="R607" s="15">
        <f>IFERROR(__xludf.DUMMYFUNCTION("""COMPUTED_VALUE"""),"https://www.instagram.com/learnio.eu/")</f>
        <v/>
      </c>
      <c r="S607" s="1" t="n"/>
      <c r="T607" s="15">
        <f>IFERROR(__xludf.DUMMYFUNCTION("""COMPUTED_VALUE"""),"www.linkedin.com/company/learniodigitalskills")</f>
        <v/>
      </c>
      <c r="U607" s="1">
        <f>IFERROR(__xludf.DUMMYFUNCTION("""COMPUTED_VALUE"""),"Learnio Academy")</f>
        <v/>
      </c>
      <c r="V607" s="1">
        <f>IFERROR(__xludf.DUMMYFUNCTION("""COMPUTED_VALUE"""),"Learnio is a globally recognized leader in digital skills training, with a special focus on emerging markets. Our mission at Learnio is to empower individuals and organizations with the essential digital skills required for success in the modern world. Th"&amp;"rough our innovative online platform at www.learnio.eu, we offer a wide range of cutting-edge courses and resources, designed to bridge the digital divide and unlock opportunities for growth and development. With a commitment to excellence and a deep unde"&amp;"rstanding of the unique challenges faced by emerging markets, Learnio has become a trusted partner for individuals and businesses seeking to thrive in the digital age. Join us on a journey of lifelong learning and transformation at Learnio, where the futu"&amp;"re of skills development begins.")</f>
        <v/>
      </c>
      <c r="W607" s="1" t="n"/>
      <c r="X607" s="1" t="n"/>
      <c r="Y607" s="15">
        <f>IFERROR(__xludf.DUMMYFUNCTION("""COMPUTED_VALUE"""),"https://drive.google.com/uc?export=view&amp;id=172JXXOZAZS7K_0KwHWz0-O_GhuasXhjq")</f>
        <v/>
      </c>
      <c r="Z607" s="1">
        <f>IFERROR(__xludf.DUMMYFUNCTION("""COMPUTED_VALUE"""),"Unverified")</f>
        <v/>
      </c>
      <c r="AA607" s="1" t="n"/>
      <c r="AB607" s="1" t="n"/>
      <c r="AC607" s="1" t="n"/>
      <c r="AD607" s="1" t="n"/>
      <c r="AE607" s="1" t="n"/>
    </row>
    <row r="608" ht="42" customHeight="1">
      <c r="A608" s="14">
        <f>IFERROR(__xludf.DUMMYFUNCTION("""COMPUTED_VALUE"""),45194)</f>
        <v/>
      </c>
      <c r="B608" s="1">
        <f>IFERROR(__xludf.DUMMYFUNCTION("""COMPUTED_VALUE"""),"ORG_2031")</f>
        <v/>
      </c>
      <c r="C608" s="1">
        <f>IFERROR(__xludf.DUMMYFUNCTION("""COMPUTED_VALUE"""),TRUE)</f>
        <v/>
      </c>
      <c r="D608" s="1">
        <f>IFERROR(__xludf.DUMMYFUNCTION("""COMPUTED_VALUE"""),"NeurekaLAB")</f>
        <v/>
      </c>
      <c r="E608" s="15">
        <f>IFERROR(__xludf.DUMMYFUNCTION("""COMPUTED_VALUE"""),"www.neurekalab.com")</f>
        <v/>
      </c>
      <c r="F608" s="1">
        <f>IFERROR(__xludf.DUMMYFUNCTION("""COMPUTED_VALUE"""),"NeurekaLAB is a spinoff of the University of Barcelona and the University of Vic-Central Universitaty of Catalunya with the aim of reducing school failure with inclusive resources. We have currently developed and scientifically validated a methodology for"&amp;" the detection and early intervention of learning difficulties (dyslexia, dyscalculia, ADHD,...). We want to accompany professionals, families and schools to overcome children's learning difficulties.
The lack of early detection tools for learning diffic"&amp;"ulties means that children do not receive attention at the start of primary education and have a negative impact on school performance. NeurekaLAB offers the integration of early detection and intervention processes for learning difficulties using digital"&amp;" tools.")</f>
        <v/>
      </c>
      <c r="G608" s="1">
        <f>IFERROR(__xludf.DUMMYFUNCTION("""COMPUTED_VALUE"""),"I'm not part of any EdTech association")</f>
        <v/>
      </c>
      <c r="H608" s="1">
        <f>IFERROR(__xludf.DUMMYFUNCTION("""COMPUTED_VALUE"""),"Spanish, Catalan")</f>
        <v/>
      </c>
      <c r="I608" s="1">
        <f>IFERROR(__xludf.DUMMYFUNCTION("""COMPUTED_VALUE"""),"info@neurekalab.com")</f>
        <v/>
      </c>
      <c r="J608" s="1">
        <f>IFERROR(__xludf.DUMMYFUNCTION("""COMPUTED_VALUE"""),"630483592")</f>
        <v/>
      </c>
      <c r="K608" s="1">
        <f>IFERROR(__xludf.DUMMYFUNCTION("""COMPUTED_VALUE"""),"Vic")</f>
        <v/>
      </c>
      <c r="L608" s="1">
        <f>IFERROR(__xludf.DUMMYFUNCTION("""COMPUTED_VALUE"""),"Spain")</f>
        <v/>
      </c>
      <c r="M608" s="1">
        <f>IFERROR(__xludf.DUMMYFUNCTION("""COMPUTED_VALUE"""),"Andorra, Spain")</f>
        <v/>
      </c>
      <c r="N608" s="1">
        <f>IFERROR(__xludf.DUMMYFUNCTION("""COMPUTED_VALUE"""),"3 to 5")</f>
        <v/>
      </c>
      <c r="O608" s="1">
        <f>IFERROR(__xludf.DUMMYFUNCTION("""COMPUTED_VALUE"""),"Business to Business, Business to Schools, Business to Consumer")</f>
        <v/>
      </c>
      <c r="P608" s="1">
        <f>IFERROR(__xludf.DUMMYFUNCTION("""COMPUTED_VALUE"""),"Primary Education")</f>
        <v/>
      </c>
      <c r="Q608" s="1">
        <f>IFERROR(__xludf.DUMMYFUNCTION("""COMPUTED_VALUE"""),"System/Administrative, Student interfacing, Teacher interfacing")</f>
        <v/>
      </c>
      <c r="R608" s="15">
        <f>IFERROR(__xludf.DUMMYFUNCTION("""COMPUTED_VALUE"""),"https://www.instagram.com/neurekalab_es/")</f>
        <v/>
      </c>
      <c r="S608" s="15">
        <f>IFERROR(__xludf.DUMMYFUNCTION("""COMPUTED_VALUE"""),"https://twitter.com/neurekalab_es")</f>
        <v/>
      </c>
      <c r="T608" s="15">
        <f>IFERROR(__xludf.DUMMYFUNCTION("""COMPUTED_VALUE"""),"https://www.linkedin.com/company/neurekalab")</f>
        <v/>
      </c>
      <c r="U608" s="1">
        <f>IFERROR(__xludf.DUMMYFUNCTION("""COMPUTED_VALUE"""),"NeurekaTEST")</f>
        <v/>
      </c>
      <c r="V608" s="1">
        <f>IFERROR(__xludf.DUMMYFUNCTION("""COMPUTED_VALUE"""),"NeurekaTEST are a set of digital tests for the cognitive assessment of children aged 5 to 12 in the areas of reading, numerical processing and calculation, working memory, and sustained attention.
It uses a gamified digital environment to carry out the a"&amp;"ssessment and can be used by healthcare professionals during the process of diagnosing learning difficulties, and by schools and families to carry out a screening test.")</f>
        <v/>
      </c>
      <c r="W608" s="1">
        <f>IFERROR(__xludf.DUMMYFUNCTION("""COMPUTED_VALUE"""),"NeurekaNUM")</f>
        <v/>
      </c>
      <c r="X608" s="1">
        <f>IFERROR(__xludf.DUMMYFUNCTION("""COMPUTED_VALUE"""),"NeurekaNUM is a scientifically validated intervention methodology for learning difficulties in mathematics and dyscalculia. It uses the serious game Space Number to make an intensive intervention that increases the adherence and effectiveness of the treat"&amp;"ment.
Space Number can be used on mobile devices and computers with the aim of being used by healthcare professionals, educational professionals, and families with children with learning difficulties in mathematics.")</f>
        <v/>
      </c>
      <c r="Y608" s="15">
        <f>IFERROR(__xludf.DUMMYFUNCTION("""COMPUTED_VALUE"""),"https://drive.google.com/uc?export=view&amp;id=1xakJDkEhu7G25MGiUycwzkVbld1CWtG2")</f>
        <v/>
      </c>
      <c r="Z608" s="1">
        <f>IFERROR(__xludf.DUMMYFUNCTION("""COMPUTED_VALUE"""),"Unverified")</f>
        <v/>
      </c>
      <c r="AA608" s="1" t="n"/>
      <c r="AB608" s="1" t="n"/>
      <c r="AC608" s="1" t="n"/>
      <c r="AD608" s="1" t="n"/>
      <c r="AE608" s="1" t="n"/>
    </row>
    <row r="609" ht="42" customHeight="1">
      <c r="A609" s="14">
        <f>IFERROR(__xludf.DUMMYFUNCTION("""COMPUTED_VALUE"""),45194)</f>
        <v/>
      </c>
      <c r="B609" s="1">
        <f>IFERROR(__xludf.DUMMYFUNCTION("""COMPUTED_VALUE"""),"ORG_2083")</f>
        <v/>
      </c>
      <c r="C609" s="1">
        <f>IFERROR(__xludf.DUMMYFUNCTION("""COMPUTED_VALUE"""),TRUE)</f>
        <v/>
      </c>
      <c r="D609" s="1">
        <f>IFERROR(__xludf.DUMMYFUNCTION("""COMPUTED_VALUE"""),"Oxinity")</f>
        <v/>
      </c>
      <c r="E609" s="15">
        <f>IFERROR(__xludf.DUMMYFUNCTION("""COMPUTED_VALUE"""),"https://oxinity.com/")</f>
        <v/>
      </c>
      <c r="F609" s="1">
        <f>IFERROR(__xludf.DUMMYFUNCTION("""COMPUTED_VALUE"""),"Oxinity empowers teachers/academies/private schools with technological tools and a business model so that small players can compete with the big ones in service and excel in quality. Our vision is to offer a more efficient education by transforming real-t"&amp;"ime learning data into content with artificial intelligence so that teachers can teach what their students really need. In Oxinity, like a GPS, we trace the fastest and most efficient route for learning. Оur team has created a community of 2,000+ teachers"&amp;" who have designed more than 65,000 activities. Our platform incorporates 5 amazing EdTech tools to make education efficient, so that learners achieve 100% of their objectives and leave no one behind.  ")</f>
        <v/>
      </c>
      <c r="G609" s="1">
        <f>IFERROR(__xludf.DUMMYFUNCTION("""COMPUTED_VALUE"""),"SEK Lab, SuperCharger Ventures")</f>
        <v/>
      </c>
      <c r="H609" s="1">
        <f>IFERROR(__xludf.DUMMYFUNCTION("""COMPUTED_VALUE"""),"English, Spanish, French")</f>
        <v/>
      </c>
      <c r="I609" s="1">
        <f>IFERROR(__xludf.DUMMYFUNCTION("""COMPUTED_VALUE"""),"radmila@oxinity.com")</f>
        <v/>
      </c>
      <c r="J609" s="1">
        <f>IFERROR(__xludf.DUMMYFUNCTION("""COMPUTED_VALUE"""),"+34 699464886")</f>
        <v/>
      </c>
      <c r="K609" s="1">
        <f>IFERROR(__xludf.DUMMYFUNCTION("""COMPUTED_VALUE"""),"MADRID")</f>
        <v/>
      </c>
      <c r="L609" s="1">
        <f>IFERROR(__xludf.DUMMYFUNCTION("""COMPUTED_VALUE"""),"Spain")</f>
        <v/>
      </c>
      <c r="M609" s="1">
        <f>IFERROR(__xludf.DUMMYFUNCTION("""COMPUTED_VALUE"""),"Andorra, Bulgaria, France, Germany, Hungary, Italy, Portugal, Serbia, Spain, United Kingdom")</f>
        <v/>
      </c>
      <c r="N609" s="1">
        <f>IFERROR(__xludf.DUMMYFUNCTION("""COMPUTED_VALUE"""),"6 to 10")</f>
        <v/>
      </c>
      <c r="O609" s="1">
        <f>IFERROR(__xludf.DUMMYFUNCTION("""COMPUTED_VALUE"""),"Business to Business, Business to Schools, Business to Consumer, Business to Government")</f>
        <v/>
      </c>
      <c r="P609" s="1">
        <f>IFERROR(__xludf.DUMMYFUNCTION("""COMPUTED_VALUE"""),"Primary Education, Secondary Education, Corporate Training, Vocational Education and Training (VET), Higher Education")</f>
        <v/>
      </c>
      <c r="Q609" s="1">
        <f>IFERROR(__xludf.DUMMYFUNCTION("""COMPUTED_VALUE"""),"System/Administrative, Student interfacing, Teacher interfacing")</f>
        <v/>
      </c>
      <c r="R609" s="15">
        <f>IFERROR(__xludf.DUMMYFUNCTION("""COMPUTED_VALUE"""),"https://www.instagram.com/oxinitycom/")</f>
        <v/>
      </c>
      <c r="S609" s="15">
        <f>IFERROR(__xludf.DUMMYFUNCTION("""COMPUTED_VALUE"""),"https://twitter.com/OxinityCom")</f>
        <v/>
      </c>
      <c r="T609" s="15">
        <f>IFERROR(__xludf.DUMMYFUNCTION("""COMPUTED_VALUE"""),"https://www.linkedin.com/company/oxinity")</f>
        <v/>
      </c>
      <c r="U609" s="1">
        <f>IFERROR(__xludf.DUMMYFUNCTION("""COMPUTED_VALUE"""),"Oxinity Teachers' App")</f>
        <v/>
      </c>
      <c r="V609" s="1">
        <f>IFERROR(__xludf.DUMMYFUNCTION("""COMPUTED_VALUE"""),"AI transforms the student's learning data into content for the teacher. Our app provides teachers with the right personalised content for students in real time so that 100% of objectives are covered and mastered. Teachers can find solutions for their grow"&amp;"th and classes: all the ready-to-use lessons for each class and student. They can create their own groups, enrol students, group them around similar needs, move classes, do the collection. They can use an incorporated CRM system to keep track of their lea"&amp;"ds, trials and registrations.
Content is automatically generated at all times and recalibrated after each interaction with the student.")</f>
        <v/>
      </c>
      <c r="W609" s="1">
        <f>IFERROR(__xludf.DUMMYFUNCTION("""COMPUTED_VALUE"""),"Oxinity Students' App")</f>
        <v/>
      </c>
      <c r="X609" s="1">
        <f>IFERROR(__xludf.DUMMYFUNCTION("""COMPUTED_VALUE"""),"AI collects learning data and tracks students' knowledge and progress in real time to create their learning map. After each interaction with teachers or gamified practice in the app, we collect progress data and turn it into personalised content for them."&amp;"
Students learn up to 5 times faster in this way, as we identify and track the fastest route to learn 100% of the learning objectives.
We have included an additional tool to practice exam content until it is fully mastered. 
All course material is accessi"&amp;"ble on all devices at all times. 
With our platform, there is a grouping tool for students to choose flexibly their group of 2 more students with the same or similar needs.")</f>
        <v/>
      </c>
      <c r="Y609" s="15">
        <f>IFERROR(__xludf.DUMMYFUNCTION("""COMPUTED_VALUE"""),"https://drive.google.com/uc?export=view&amp;id=1ESeX3-vOPt_yAa__kuPHBChZ-rWofShp")</f>
        <v/>
      </c>
      <c r="Z609" s="1">
        <f>IFERROR(__xludf.DUMMYFUNCTION("""COMPUTED_VALUE"""),"Unverified")</f>
        <v/>
      </c>
      <c r="AA609" s="1" t="n"/>
      <c r="AB609" s="1" t="n"/>
      <c r="AC609" s="1" t="n"/>
      <c r="AD609" s="1" t="n"/>
      <c r="AE609" s="1" t="n"/>
    </row>
    <row r="610" ht="42" customHeight="1">
      <c r="A610" s="14">
        <f>IFERROR(__xludf.DUMMYFUNCTION("""COMPUTED_VALUE"""),45194)</f>
        <v/>
      </c>
      <c r="B610" s="1">
        <f>IFERROR(__xludf.DUMMYFUNCTION("""COMPUTED_VALUE"""),"ORG_2574")</f>
        <v/>
      </c>
      <c r="C610" s="1">
        <f>IFERROR(__xludf.DUMMYFUNCTION("""COMPUTED_VALUE"""),TRUE)</f>
        <v/>
      </c>
      <c r="D610" s="1">
        <f>IFERROR(__xludf.DUMMYFUNCTION("""COMPUTED_VALUE"""),"Zukunft Digitale Bildung")</f>
        <v/>
      </c>
      <c r="E610" s="15">
        <f>IFERROR(__xludf.DUMMYFUNCTION("""COMPUTED_VALUE"""),"https://zukunft-digitale-bildung.de")</f>
        <v/>
      </c>
      <c r="F610" s="1">
        <f>IFERROR(__xludf.DUMMYFUNCTION("""COMPUTED_VALUE"""),"Zukunft Digitale Bildung is a nonprofit organisation specialised in strengthening media and digital literacy skills in schools. We work predominantly with teachers all over Germany to enable the efficient and holistic transfer of those skills. To achieve "&amp;"this we utilise a three-pronged approach: inform, train, award. We seek to equip teachers with the best information, conduct high-quality vocational trainings and highlight positive and constructive approaches in the field.")</f>
        <v/>
      </c>
      <c r="G610" s="1">
        <f>IFERROR(__xludf.DUMMYFUNCTION("""COMPUTED_VALUE"""),"I'm not part of any EdTech association")</f>
        <v/>
      </c>
      <c r="H610" s="1">
        <f>IFERROR(__xludf.DUMMYFUNCTION("""COMPUTED_VALUE"""),"German")</f>
        <v/>
      </c>
      <c r="I610" s="1">
        <f>IFERROR(__xludf.DUMMYFUNCTION("""COMPUTED_VALUE"""),"f.drauz@zukunft-digitale-bildung.de")</f>
        <v/>
      </c>
      <c r="J610" s="1">
        <f>IFERROR(__xludf.DUMMYFUNCTION("""COMPUTED_VALUE"""),"3031196957")</f>
        <v/>
      </c>
      <c r="K610" s="1">
        <f>IFERROR(__xludf.DUMMYFUNCTION("""COMPUTED_VALUE"""),"BERLIN")</f>
        <v/>
      </c>
      <c r="L610" s="1">
        <f>IFERROR(__xludf.DUMMYFUNCTION("""COMPUTED_VALUE"""),"Germany")</f>
        <v/>
      </c>
      <c r="M610" s="1">
        <f>IFERROR(__xludf.DUMMYFUNCTION("""COMPUTED_VALUE"""),"Germany")</f>
        <v/>
      </c>
      <c r="N610" s="1">
        <f>IFERROR(__xludf.DUMMYFUNCTION("""COMPUTED_VALUE"""),"6 to 10")</f>
        <v/>
      </c>
      <c r="O610" s="1">
        <f>IFERROR(__xludf.DUMMYFUNCTION("""COMPUTED_VALUE"""),"Business to Business, Business to Consumer")</f>
        <v/>
      </c>
      <c r="P610" s="1">
        <f>IFERROR(__xludf.DUMMYFUNCTION("""COMPUTED_VALUE"""),"Lifelong learning/Adult education")</f>
        <v/>
      </c>
      <c r="Q610" s="1">
        <f>IFERROR(__xludf.DUMMYFUNCTION("""COMPUTED_VALUE"""),"Teacher interfacing")</f>
        <v/>
      </c>
      <c r="R610" s="1">
        <f>IFERROR(__xludf.DUMMYFUNCTION("""COMPUTED_VALUE"""),"@zdb.de")</f>
        <v/>
      </c>
      <c r="S610" s="1" t="n"/>
      <c r="T610" s="15">
        <f>IFERROR(__xludf.DUMMYFUNCTION("""COMPUTED_VALUE"""),"https://www.linkedin.com/company/67175440/admin/feed/posts/")</f>
        <v/>
      </c>
      <c r="U610" s="1">
        <f>IFERROR(__xludf.DUMMYFUNCTION("""COMPUTED_VALUE"""),"Zukunft Digitale Schule")</f>
        <v/>
      </c>
      <c r="V610" s="1">
        <f>IFERROR(__xludf.DUMMYFUNCTION("""COMPUTED_VALUE"""),"Zukunft Digitale Schule is a platform providing vocational trainings and professional development courses for teachers. The trainings are conceived as e-Learning and asynchronous courses and are thus highly flexible, allowing participants to complete the "&amp;"courses at their own pace. They consist of video lessons paired with interactive elements and additional material.")</f>
        <v/>
      </c>
      <c r="W610" s="1">
        <f>IFERROR(__xludf.DUMMYFUNCTION("""COMPUTED_VALUE"""),"Lehrer-News")</f>
        <v/>
      </c>
      <c r="X610" s="1">
        <f>IFERROR(__xludf.DUMMYFUNCTION("""COMPUTED_VALUE"""),"Lehrer-News is a news platform reporting on current developments in education. In addition to the latest news from the education sectors, the team behind Lehrer-News provides teachers with information of and insights into new technologies and different ap"&amp;"proaches to teaching and learning as well as interviews with experts and overviews of different teaching materials.")</f>
        <v/>
      </c>
      <c r="Y610" s="15">
        <f>IFERROR(__xludf.DUMMYFUNCTION("""COMPUTED_VALUE"""),"https://drive.google.com/uc?export=view&amp;id=1o6WJVUinuKNMp5HuKnvUk3x-2--MkI0D")</f>
        <v/>
      </c>
      <c r="Z610" s="1">
        <f>IFERROR(__xludf.DUMMYFUNCTION("""COMPUTED_VALUE"""),"Unverified")</f>
        <v/>
      </c>
      <c r="AA610" s="1" t="n"/>
      <c r="AB610" s="1" t="n"/>
      <c r="AC610" s="1" t="n"/>
      <c r="AD610" s="1" t="n"/>
      <c r="AE610" s="1" t="n"/>
    </row>
    <row r="611" ht="42" customHeight="1">
      <c r="A611" s="14">
        <f>IFERROR(__xludf.DUMMYFUNCTION("""COMPUTED_VALUE"""),45192)</f>
        <v/>
      </c>
      <c r="B611" s="1">
        <f>IFERROR(__xludf.DUMMYFUNCTION("""COMPUTED_VALUE"""),"ORG_1944")</f>
        <v/>
      </c>
      <c r="C611" s="1">
        <f>IFERROR(__xludf.DUMMYFUNCTION("""COMPUTED_VALUE"""),TRUE)</f>
        <v/>
      </c>
      <c r="D611" s="1">
        <f>IFERROR(__xludf.DUMMYFUNCTION("""COMPUTED_VALUE"""),"Meitner")</f>
        <v/>
      </c>
      <c r="E611" s="15">
        <f>IFERROR(__xludf.DUMMYFUNCTION("""COMPUTED_VALUE"""),"www.meitner.se")</f>
        <v/>
      </c>
      <c r="F611" s="1">
        <f>IFERROR(__xludf.DUMMYFUNCTION("""COMPUTED_VALUE"""),"Meitner is the platform that follows the child’s development 
to adult age, and help the schools to learn from the data to 
improve the education, and always keeping in mind the 
students well-being.")</f>
        <v/>
      </c>
      <c r="G611" s="1">
        <f>IFERROR(__xludf.DUMMYFUNCTION("""COMPUTED_VALUE"""),"Swedish EdTech Industry")</f>
        <v/>
      </c>
      <c r="H611" s="1">
        <f>IFERROR(__xludf.DUMMYFUNCTION("""COMPUTED_VALUE"""),"Swedish, English, German")</f>
        <v/>
      </c>
      <c r="I611" s="1">
        <f>IFERROR(__xludf.DUMMYFUNCTION("""COMPUTED_VALUE"""),"aa@meitner.se")</f>
        <v/>
      </c>
      <c r="J611" s="1">
        <f>IFERROR(__xludf.DUMMYFUNCTION("""COMPUTED_VALUE"""),"+46707901656")</f>
        <v/>
      </c>
      <c r="K611" s="1">
        <f>IFERROR(__xludf.DUMMYFUNCTION("""COMPUTED_VALUE"""),"Dalvagen 14")</f>
        <v/>
      </c>
      <c r="L611" s="1">
        <f>IFERROR(__xludf.DUMMYFUNCTION("""COMPUTED_VALUE"""),"Sweden")</f>
        <v/>
      </c>
      <c r="M611" s="1">
        <f>IFERROR(__xludf.DUMMYFUNCTION("""COMPUTED_VALUE"""),"Sweden")</f>
        <v/>
      </c>
      <c r="N611" s="1">
        <f>IFERROR(__xludf.DUMMYFUNCTION("""COMPUTED_VALUE"""),"11 to 50")</f>
        <v/>
      </c>
      <c r="O611" s="1">
        <f>IFERROR(__xludf.DUMMYFUNCTION("""COMPUTED_VALUE"""),"Business to Business, Business to Consumer, Business to Government, Business to Schools")</f>
        <v/>
      </c>
      <c r="P611" s="1">
        <f>IFERROR(__xludf.DUMMYFUNCTION("""COMPUTED_VALUE"""),"Early childhood development (0-5 years), Primary Education, Secondary Education, Higher Education")</f>
        <v/>
      </c>
      <c r="Q611" s="1">
        <f>IFERROR(__xludf.DUMMYFUNCTION("""COMPUTED_VALUE"""),"System/Administrative, Student interfacing, Teacher interfacing")</f>
        <v/>
      </c>
      <c r="R611" s="15">
        <f>IFERROR(__xludf.DUMMYFUNCTION("""COMPUTED_VALUE"""),"meitner.se")</f>
        <v/>
      </c>
      <c r="S611" s="1" t="n"/>
      <c r="T611" s="15">
        <f>IFERROR(__xludf.DUMMYFUNCTION("""COMPUTED_VALUE"""),"https://www.linkedin.com/company/74203088/admin/")</f>
        <v/>
      </c>
      <c r="U611" s="1">
        <f>IFERROR(__xludf.DUMMYFUNCTION("""COMPUTED_VALUE"""),"Meitner School platform")</f>
        <v/>
      </c>
      <c r="V611" s="1">
        <f>IFERROR(__xludf.DUMMYFUNCTION("""COMPUTED_VALUE"""),"Provide schools the tools they need.
Meitner is gathering all the necessary tools the schools 
need, and with the upcoming marketplace we can allow 3d 
parties to integrate their products to the schools through 
Meitner, such as learning tools, e-books, a"&amp;"nd other 
educational softwares. 
Meitner is the platform that follows the child’s development 
to adult age, and help the schools to learn from the data to 
improve the education, and always keeping in mind the 
students well-being.")</f>
        <v/>
      </c>
      <c r="W611" s="1" t="n"/>
      <c r="X611" s="1" t="n"/>
      <c r="Y611" s="15">
        <f>IFERROR(__xludf.DUMMYFUNCTION("""COMPUTED_VALUE"""),"https://drive.google.com/uc?export=view&amp;id=1FivRUs-pq3vnt4jLd4OEAH4YQUl8rLEP")</f>
        <v/>
      </c>
      <c r="Z611" s="1">
        <f>IFERROR(__xludf.DUMMYFUNCTION("""COMPUTED_VALUE"""),"Unverified")</f>
        <v/>
      </c>
      <c r="AA611" s="1" t="n"/>
      <c r="AB611" s="1" t="n"/>
      <c r="AC611" s="1" t="n"/>
      <c r="AD611" s="1" t="n"/>
      <c r="AE611" s="1" t="n"/>
    </row>
    <row r="612" ht="42" customHeight="1">
      <c r="A612" s="14">
        <f>IFERROR(__xludf.DUMMYFUNCTION("""COMPUTED_VALUE"""),45192)</f>
        <v/>
      </c>
      <c r="B612" s="1">
        <f>IFERROR(__xludf.DUMMYFUNCTION("""COMPUTED_VALUE"""),"ORG_2480")</f>
        <v/>
      </c>
      <c r="C612" s="1">
        <f>IFERROR(__xludf.DUMMYFUNCTION("""COMPUTED_VALUE"""),TRUE)</f>
        <v/>
      </c>
      <c r="D612" s="15">
        <f>IFERROR(__xludf.DUMMYFUNCTION("""COMPUTED_VALUE"""),"uugot.it")</f>
        <v/>
      </c>
      <c r="E612" s="15">
        <f>IFERROR(__xludf.DUMMYFUNCTION("""COMPUTED_VALUE"""),"www.uugot.it")</f>
        <v/>
      </c>
      <c r="F612" s="1">
        <f>IFERROR(__xludf.DUMMYFUNCTION("""COMPUTED_VALUE"""),"uugot.it - learning languages while watching TV: Interactive subtitles are added to any video content - language learners click on words they do not understand and instantly get a translation displayed. By doing that uugot.it tears down language barriers,"&amp;" enables equality, inclusion and helps to overcome obstacles during the integration process, in school, lectures, trainings... 
To maximize the impact we have created a learning platform and adapted uugot.it for schools and educational institutions to ma"&amp;"ximize the impact: uugot.it sCOOLing. Nominated and awarded multiple times, we help pupils with other mother tongues to follow the lessons like their native classmates. This relieves teachers, as they will not need to explain certain terms to pupils with "&amp;"different linguistic backgrounds. Therefore, the pupils gain confidence as uugot.it helps them overcome language barriers.")</f>
        <v/>
      </c>
      <c r="G612" s="1">
        <f>IFERROR(__xludf.DUMMYFUNCTION("""COMPUTED_VALUE"""),"EdTech Austria")</f>
        <v/>
      </c>
      <c r="H612" s="1">
        <f>IFERROR(__xludf.DUMMYFUNCTION("""COMPUTED_VALUE"""),"German, English")</f>
        <v/>
      </c>
      <c r="I612" s="1">
        <f>IFERROR(__xludf.DUMMYFUNCTION("""COMPUTED_VALUE"""),"ask_uu@uugot.it")</f>
        <v/>
      </c>
      <c r="J612" s="1" t="n"/>
      <c r="K612" s="1">
        <f>IFERROR(__xludf.DUMMYFUNCTION("""COMPUTED_VALUE"""),"Vienna")</f>
        <v/>
      </c>
      <c r="L612" s="1">
        <f>IFERROR(__xludf.DUMMYFUNCTION("""COMPUTED_VALUE"""),"Austria")</f>
        <v/>
      </c>
      <c r="M612" s="1">
        <f>IFERROR(__xludf.DUMMYFUNCTION("""COMPUTED_VALUE"""),"Austria")</f>
        <v/>
      </c>
      <c r="N612" s="1">
        <f>IFERROR(__xludf.DUMMYFUNCTION("""COMPUTED_VALUE"""),"0 to 2")</f>
        <v/>
      </c>
      <c r="O612" s="1">
        <f>IFERROR(__xludf.DUMMYFUNCTION("""COMPUTED_VALUE"""),"Business to Schools")</f>
        <v/>
      </c>
      <c r="P612" s="1">
        <f>IFERROR(__xludf.DUMMYFUNCTION("""COMPUTED_VALUE"""),"Secondary Education, Corporate Training, Lifelong learning/Adult education")</f>
        <v/>
      </c>
      <c r="Q612" s="1">
        <f>IFERROR(__xludf.DUMMYFUNCTION("""COMPUTED_VALUE"""),"System/Administrative, Student interfacing, Teacher interfacing")</f>
        <v/>
      </c>
      <c r="R612" s="1" t="n"/>
      <c r="S612" s="15">
        <f>IFERROR(__xludf.DUMMYFUNCTION("""COMPUTED_VALUE"""),"https://twitter.com/uugot_it")</f>
        <v/>
      </c>
      <c r="T612" s="15">
        <f>IFERROR(__xludf.DUMMYFUNCTION("""COMPUTED_VALUE"""),"https://www.linkedin.com/company/uugot-it")</f>
        <v/>
      </c>
      <c r="U612" s="1">
        <f>IFERROR(__xludf.DUMMYFUNCTION("""COMPUTED_VALUE"""),"uugot.it TV")</f>
        <v/>
      </c>
      <c r="V612" s="1">
        <f>IFERROR(__xludf.DUMMYFUNCTION("""COMPUTED_VALUE"""),"Users can stream daily broadcasts with interactive same language subtitles. The program ranges from news, local broadcasts to documentaries, comedy &amp; talkshows to kids related content series and films. Clicked words will be stored on an individual basis. "&amp;"The service is currently free for the user.")</f>
        <v/>
      </c>
      <c r="W612" s="1">
        <f>IFERROR(__xludf.DUMMYFUNCTION("""COMPUTED_VALUE"""),"uugot.it sCOOLing")</f>
        <v/>
      </c>
      <c r="X612" s="1">
        <f>IFERROR(__xludf.DUMMYFUNCTION("""COMPUTED_VALUE"""),"The learning platform for schools and educational institutions with a huge library of available videos, some of them with didactic materials. uugot.it sCOOLing brings additional features like content management system, trackable learning progress, gamific"&amp;"ation or worksheets and multiple choice tasks.")</f>
        <v/>
      </c>
      <c r="Y612" s="15">
        <f>IFERROR(__xludf.DUMMYFUNCTION("""COMPUTED_VALUE"""),"https://drive.google.com/uc?export=view&amp;id=1dx_lckXUR1DsidocERH5VR2EGbz4X4Z_")</f>
        <v/>
      </c>
      <c r="Z612" s="1">
        <f>IFERROR(__xludf.DUMMYFUNCTION("""COMPUTED_VALUE"""),"Unverified")</f>
        <v/>
      </c>
      <c r="AA612" s="1" t="n"/>
      <c r="AB612" s="1" t="n"/>
      <c r="AC612" s="1" t="n"/>
      <c r="AD612" s="1" t="n"/>
      <c r="AE612" s="1" t="n"/>
    </row>
    <row r="613" ht="42" customHeight="1">
      <c r="A613" s="14">
        <f>IFERROR(__xludf.DUMMYFUNCTION("""COMPUTED_VALUE"""),45191)</f>
        <v/>
      </c>
      <c r="B613" s="1">
        <f>IFERROR(__xludf.DUMMYFUNCTION("""COMPUTED_VALUE"""),"ORG_1218")</f>
        <v/>
      </c>
      <c r="C613" s="1">
        <f>IFERROR(__xludf.DUMMYFUNCTION("""COMPUTED_VALUE"""),TRUE)</f>
        <v/>
      </c>
      <c r="D613" s="1">
        <f>IFERROR(__xludf.DUMMYFUNCTION("""COMPUTED_VALUE"""),"Captic")</f>
        <v/>
      </c>
      <c r="E613" s="15">
        <f>IFERROR(__xludf.DUMMYFUNCTION("""COMPUTED_VALUE"""),"https://captic.io")</f>
        <v/>
      </c>
      <c r="F613" s="1">
        <f>IFERROR(__xludf.DUMMYFUNCTION("""COMPUTED_VALUE"""),"Captic’s white-label platform allows organisations to control and scale their own metaverse presences on web. Captic's proprietary tech facilitates the delivery of multiuser and multi-device virtual spaces, events and experiences without the need of clien"&amp;"t downloads -- just easy-to-share 3D worlds that outperform 5-10 times all known commercial engines on web.")</f>
        <v/>
      </c>
      <c r="G613" s="1">
        <f>IFERROR(__xludf.DUMMYFUNCTION("""COMPUTED_VALUE"""),"EdTech Austria")</f>
        <v/>
      </c>
      <c r="H613" s="1">
        <f>IFERROR(__xludf.DUMMYFUNCTION("""COMPUTED_VALUE"""),"All")</f>
        <v/>
      </c>
      <c r="I613" s="1">
        <f>IFERROR(__xludf.DUMMYFUNCTION("""COMPUTED_VALUE"""),"hello@captic.io")</f>
        <v/>
      </c>
      <c r="J613" s="1">
        <f>IFERROR(__xludf.DUMMYFUNCTION("""COMPUTED_VALUE"""),"+43 (0) 720 080294")</f>
        <v/>
      </c>
      <c r="K613" s="1">
        <f>IFERROR(__xludf.DUMMYFUNCTION("""COMPUTED_VALUE"""),"VIENNA")</f>
        <v/>
      </c>
      <c r="L613" s="1">
        <f>IFERROR(__xludf.DUMMYFUNCTION("""COMPUTED_VALUE"""),"Austria")</f>
        <v/>
      </c>
      <c r="M613" s="1">
        <f>IFERROR(__xludf.DUMMYFUNCTION("""COMPUTED_VALUE"""),"Austria, Belgium, Denmark, Estonia, France, Germany, Greece, Ireland, Italy, Liechtenstein, Luxembourg, Netherlands, Norway, Poland, Portugal, Spain, Sweden, Switzerland, United Kingdom")</f>
        <v/>
      </c>
      <c r="N613" s="1">
        <f>IFERROR(__xludf.DUMMYFUNCTION("""COMPUTED_VALUE"""),"6 to 10")</f>
        <v/>
      </c>
      <c r="O613" s="1">
        <f>IFERROR(__xludf.DUMMYFUNCTION("""COMPUTED_VALUE"""),"Business to Business, Business to Schools, Business to Consumer, Business to Government")</f>
        <v/>
      </c>
      <c r="P613" s="1">
        <f>IFERROR(__xludf.DUMMYFUNCTION("""COMPUTED_VALUE"""),"Secondary Education, Corporate Training, Lifelong learning/Adult education, Vocational Education and Training (VET), Higher Education")</f>
        <v/>
      </c>
      <c r="Q613" s="1">
        <f>IFERROR(__xludf.DUMMYFUNCTION("""COMPUTED_VALUE"""),"Student interfacing, Teacher interfacing, System/Administrative")</f>
        <v/>
      </c>
      <c r="R613" s="1" t="n"/>
      <c r="S613" s="15">
        <f>IFERROR(__xludf.DUMMYFUNCTION("""COMPUTED_VALUE"""),"https://twitter.com/capticio")</f>
        <v/>
      </c>
      <c r="T613" s="15">
        <f>IFERROR(__xludf.DUMMYFUNCTION("""COMPUTED_VALUE"""),"https://www.linkedin.com/company/captic-io")</f>
        <v/>
      </c>
      <c r="U613" s="1">
        <f>IFERROR(__xludf.DUMMYFUNCTION("""COMPUTED_VALUE"""),"White-label Licence")</f>
        <v/>
      </c>
      <c r="V613" s="1">
        <f>IFERROR(__xludf.DUMMYFUNCTION("""COMPUTED_VALUE"""),"Our platform provides clients with the possibility to run unlimited multiplayer events on composable, linkable virtual worlds based on web with enhanced levels of performance and stability.
- All server costs, set-up &amp; maintenance on us
- Up to 3,000 Spa"&amp;"ces 
- All Spaces feature personalised domains
- Superb multi-streaming tech — in-world spatial audio, screensharing and webcam
- Password-protected rooms and host/admin tools 
And many more features and advanced/optional ones such as game scripting, acc"&amp;"ess to SDK and on-premise private Metaverses for higher security. Contact for more info via hello at captic dot io or visit our website to find out more: captic.io")</f>
        <v/>
      </c>
      <c r="W613" s="1">
        <f>IFERROR(__xludf.DUMMYFUNCTION("""COMPUTED_VALUE"""),"Educational Licence")</f>
        <v/>
      </c>
      <c r="X613" s="1">
        <f>IFERROR(__xludf.DUMMYFUNCTION("""COMPUTED_VALUE"""),"We provide template campuses for Educational institutions so that they have:
- A ready-made campus buildings with different uses and capacities that fit all needs -- from meeting rooms for private gathering to lecture spaces.
- Free access to our licence"&amp;" for 3 months.
- Technical support and onboarding avail. as needed.
Contact for more info via hello at captic dot io or visit our website to find out more: captic.io")</f>
        <v/>
      </c>
      <c r="Y613" s="15">
        <f>IFERROR(__xludf.DUMMYFUNCTION("""COMPUTED_VALUE"""),"https://drive.google.com/uc?export=view&amp;id=1UIdTm3wOI0rbYT_a7-SBPrcJUJ301zqg")</f>
        <v/>
      </c>
      <c r="Z613" s="1">
        <f>IFERROR(__xludf.DUMMYFUNCTION("""COMPUTED_VALUE"""),"Unverified")</f>
        <v/>
      </c>
      <c r="AA613" s="1" t="n"/>
      <c r="AB613" s="1" t="n"/>
      <c r="AC613" s="1" t="n"/>
      <c r="AD613" s="1" t="n"/>
      <c r="AE613" s="1" t="n"/>
    </row>
    <row r="614" ht="42" customHeight="1">
      <c r="A614" s="14">
        <f>IFERROR(__xludf.DUMMYFUNCTION("""COMPUTED_VALUE"""),45191)</f>
        <v/>
      </c>
      <c r="B614" s="1">
        <f>IFERROR(__xludf.DUMMYFUNCTION("""COMPUTED_VALUE"""),"ORG_1252")</f>
        <v/>
      </c>
      <c r="C614" s="1">
        <f>IFERROR(__xludf.DUMMYFUNCTION("""COMPUTED_VALUE"""),TRUE)</f>
        <v/>
      </c>
      <c r="D614" s="1">
        <f>IFERROR(__xludf.DUMMYFUNCTION("""COMPUTED_VALUE"""),"ClassOnLive")</f>
        <v/>
      </c>
      <c r="E614" s="15">
        <f>IFERROR(__xludf.DUMMYFUNCTION("""COMPUTED_VALUE"""),"https://www.classonlive.com/")</f>
        <v/>
      </c>
      <c r="F614" s="1">
        <f>IFERROR(__xludf.DUMMYFUNCTION("""COMPUTED_VALUE"""),"ClassOnLive is a SAAS, no-code platform for creators who want to build more impactful businesses through courses and teaching online. Whether you are an entrepreneur, a company or an in person Academy, with ClassOnLive you create your own online Academy, "&amp;"manage your content and your students' experience, all under your brand.")</f>
        <v/>
      </c>
      <c r="G614" s="1">
        <f>IFERROR(__xludf.DUMMYFUNCTION("""COMPUTED_VALUE"""),"SEK Lab")</f>
        <v/>
      </c>
      <c r="H614" s="1">
        <f>IFERROR(__xludf.DUMMYFUNCTION("""COMPUTED_VALUE"""),"Spanish")</f>
        <v/>
      </c>
      <c r="I614" s="1">
        <f>IFERROR(__xludf.DUMMYFUNCTION("""COMPUTED_VALUE"""),"contacto@classonlive.com")</f>
        <v/>
      </c>
      <c r="J614" s="1" t="n"/>
      <c r="K614" s="1">
        <f>IFERROR(__xludf.DUMMYFUNCTION("""COMPUTED_VALUE"""),"Madrid")</f>
        <v/>
      </c>
      <c r="L614" s="1">
        <f>IFERROR(__xludf.DUMMYFUNCTION("""COMPUTED_VALUE"""),"Spain")</f>
        <v/>
      </c>
      <c r="M614" s="1">
        <f>IFERROR(__xludf.DUMMYFUNCTION("""COMPUTED_VALUE"""),"France, Germany, Ireland, Italy, Portugal, Spain, Sweden, United Kingdom")</f>
        <v/>
      </c>
      <c r="N614" s="1">
        <f>IFERROR(__xludf.DUMMYFUNCTION("""COMPUTED_VALUE"""),"6 to 10")</f>
        <v/>
      </c>
      <c r="O614" s="1">
        <f>IFERROR(__xludf.DUMMYFUNCTION("""COMPUTED_VALUE"""),"Business to Business, Business to Schools, Business to Consumer, Business to Government")</f>
        <v/>
      </c>
      <c r="P614" s="1">
        <f>IFERROR(__xludf.DUMMYFUNCTION("""COMPUTED_VALUE"""),"Lifelong learning/Adult education")</f>
        <v/>
      </c>
      <c r="Q614" s="1">
        <f>IFERROR(__xludf.DUMMYFUNCTION("""COMPUTED_VALUE"""),"Teacher interfacing, System/Administrative")</f>
        <v/>
      </c>
      <c r="R614" s="1" t="n"/>
      <c r="S614" s="1" t="n"/>
      <c r="T614" s="1" t="n"/>
      <c r="U614" s="1" t="n"/>
      <c r="V614" s="1" t="n"/>
      <c r="W614" s="1" t="n"/>
      <c r="X614" s="1" t="n"/>
      <c r="Y614" s="15">
        <f>IFERROR(__xludf.DUMMYFUNCTION("""COMPUTED_VALUE"""),"https://drive.google.com/uc?export=view&amp;id=17O8dhZxFJRSBOTONVTlo-SX6T-0fQnn6")</f>
        <v/>
      </c>
      <c r="Z614" s="1">
        <f>IFERROR(__xludf.DUMMYFUNCTION("""COMPUTED_VALUE"""),"Unverified")</f>
        <v/>
      </c>
      <c r="AA614" s="1" t="n"/>
      <c r="AB614" s="1" t="n"/>
      <c r="AC614" s="1" t="n"/>
      <c r="AD614" s="1" t="n"/>
      <c r="AE614" s="1" t="n"/>
    </row>
    <row r="615" ht="42" customHeight="1">
      <c r="A615" s="14">
        <f>IFERROR(__xludf.DUMMYFUNCTION("""COMPUTED_VALUE"""),45191)</f>
        <v/>
      </c>
      <c r="B615" s="1">
        <f>IFERROR(__xludf.DUMMYFUNCTION("""COMPUTED_VALUE"""),"ORG_1505")</f>
        <v/>
      </c>
      <c r="C615" s="1">
        <f>IFERROR(__xludf.DUMMYFUNCTION("""COMPUTED_VALUE"""),TRUE)</f>
        <v/>
      </c>
      <c r="D615" s="1">
        <f>IFERROR(__xludf.DUMMYFUNCTION("""COMPUTED_VALUE"""),"Epapa")</f>
        <v/>
      </c>
      <c r="E615" s="15">
        <f>IFERROR(__xludf.DUMMYFUNCTION("""COMPUTED_VALUE"""),"https://epapa.eu/")</f>
        <v/>
      </c>
      <c r="F615" s="1">
        <f>IFERROR(__xludf.DUMMYFUNCTION("""COMPUTED_VALUE"""),"Epapa develops an AI-based learning app for the natural sciences. We teach in a new way with a two-world approach by leveraging the perspective of a former mathematics struggler. Our app activates mathematical brain areas. 
The ability to think abstractl"&amp;"y with a mathematical mindset is becoming increasingly important in the 21st century. More and more professions are digitalized, and Artificial Intelligence will create an even more significant challenge. 
Epapa says: “Let us give the ability to think ab"&amp;"stractly to everyone.”")</f>
        <v/>
      </c>
      <c r="G615" s="1">
        <f>IFERROR(__xludf.DUMMYFUNCTION("""COMPUTED_VALUE"""),"I'm not part of any EdTech association")</f>
        <v/>
      </c>
      <c r="H615" s="1">
        <f>IFERROR(__xludf.DUMMYFUNCTION("""COMPUTED_VALUE"""),"German, English")</f>
        <v/>
      </c>
      <c r="I615" s="1">
        <f>IFERROR(__xludf.DUMMYFUNCTION("""COMPUTED_VALUE"""),"info@epapa.eu")</f>
        <v/>
      </c>
      <c r="J615" s="1" t="n"/>
      <c r="K615" s="1">
        <f>IFERROR(__xludf.DUMMYFUNCTION("""COMPUTED_VALUE"""),"Berlin")</f>
        <v/>
      </c>
      <c r="L615" s="1">
        <f>IFERROR(__xludf.DUMMYFUNCTION("""COMPUTED_VALUE"""),"Germany")</f>
        <v/>
      </c>
      <c r="M615" s="1">
        <f>IFERROR(__xludf.DUMMYFUNCTION("""COMPUTED_VALUE"""),"Germany")</f>
        <v/>
      </c>
      <c r="N615" s="1">
        <f>IFERROR(__xludf.DUMMYFUNCTION("""COMPUTED_VALUE"""),"3 to 5")</f>
        <v/>
      </c>
      <c r="O615" s="1">
        <f>IFERROR(__xludf.DUMMYFUNCTION("""COMPUTED_VALUE"""),"Business to Business, Business to Schools, Business to Consumer")</f>
        <v/>
      </c>
      <c r="P615" s="1">
        <f>IFERROR(__xludf.DUMMYFUNCTION("""COMPUTED_VALUE"""),"Secondary Education, Lifelong learning/Adult education, Vocational Education and Training (VET), Higher Education")</f>
        <v/>
      </c>
      <c r="Q615" s="1">
        <f>IFERROR(__xludf.DUMMYFUNCTION("""COMPUTED_VALUE"""),"Student interfacing")</f>
        <v/>
      </c>
      <c r="R615" s="1" t="n"/>
      <c r="S615" s="1" t="n"/>
      <c r="T615" s="15">
        <f>IFERROR(__xludf.DUMMYFUNCTION("""COMPUTED_VALUE"""),"https://www.linkedin.com/company/epapa/")</f>
        <v/>
      </c>
      <c r="U615" s="1">
        <f>IFERROR(__xludf.DUMMYFUNCTION("""COMPUTED_VALUE"""),"Epapa App")</f>
        <v/>
      </c>
      <c r="V615" s="1" t="n"/>
      <c r="W615" s="1" t="n"/>
      <c r="X615" s="1" t="n"/>
      <c r="Y615" s="15">
        <f>IFERROR(__xludf.DUMMYFUNCTION("""COMPUTED_VALUE"""),"https://drive.google.com/uc?export=view&amp;id=1XaN7DHKFzLqIUITkp73VnVPIW52ECw50")</f>
        <v/>
      </c>
      <c r="Z615" s="1">
        <f>IFERROR(__xludf.DUMMYFUNCTION("""COMPUTED_VALUE"""),"Unverified")</f>
        <v/>
      </c>
      <c r="AA615" s="1" t="n"/>
      <c r="AB615" s="1" t="n"/>
      <c r="AC615" s="1" t="n"/>
      <c r="AD615" s="1" t="n"/>
      <c r="AE615" s="1" t="n"/>
    </row>
    <row r="616" ht="42" customHeight="1">
      <c r="A616" s="14">
        <f>IFERROR(__xludf.DUMMYFUNCTION("""COMPUTED_VALUE"""),45191)</f>
        <v/>
      </c>
      <c r="B616" s="1">
        <f>IFERROR(__xludf.DUMMYFUNCTION("""COMPUTED_VALUE"""),"ORG_1882")</f>
        <v/>
      </c>
      <c r="C616" s="1">
        <f>IFERROR(__xludf.DUMMYFUNCTION("""COMPUTED_VALUE"""),TRUE)</f>
        <v/>
      </c>
      <c r="D616" s="1">
        <f>IFERROR(__xludf.DUMMYFUNCTION("""COMPUTED_VALUE"""),"Lingokids")</f>
        <v/>
      </c>
      <c r="E616" s="15">
        <f>IFERROR(__xludf.DUMMYFUNCTION("""COMPUTED_VALUE"""),"www.lingokids.com")</f>
        <v/>
      </c>
      <c r="F616" s="1">
        <f>IFERROR(__xludf.DUMMYFUNCTION("""COMPUTED_VALUE"""),"Voted #1 Kids Learning App, Lingokids is the best app for kids 2-8 years old. 
Our unique PlaylearningTM method ensures learning is fun while our modern and compelling curriculum has been designed to cover from traditional subjects such as math, literacy "&amp;"or music to the most modern skills like empathy, robotics, and much more. 
We already offer more than 1200 interactive activities for kids in a completely safe environment.")</f>
        <v/>
      </c>
      <c r="G616" s="1">
        <f>IFERROR(__xludf.DUMMYFUNCTION("""COMPUTED_VALUE"""),"I'm not part of any EdTech association")</f>
        <v/>
      </c>
      <c r="H616" s="1">
        <f>IFERROR(__xludf.DUMMYFUNCTION("""COMPUTED_VALUE"""),"English")</f>
        <v/>
      </c>
      <c r="I616" s="1">
        <f>IFERROR(__xludf.DUMMYFUNCTION("""COMPUTED_VALUE"""),"press@lingokids.com")</f>
        <v/>
      </c>
      <c r="J616" s="1">
        <f>IFERROR(__xludf.DUMMYFUNCTION("""COMPUTED_VALUE"""),"+692934603")</f>
        <v/>
      </c>
      <c r="K616" s="1">
        <f>IFERROR(__xludf.DUMMYFUNCTION("""COMPUTED_VALUE"""),"CALLE PRINCESA 25")</f>
        <v/>
      </c>
      <c r="L616" s="1">
        <f>IFERROR(__xludf.DUMMYFUNCTION("""COMPUTED_VALUE"""),"Spain")</f>
        <v/>
      </c>
      <c r="M61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616" s="1">
        <f>IFERROR(__xludf.DUMMYFUNCTION("""COMPUTED_VALUE"""),"101 to 500")</f>
        <v/>
      </c>
      <c r="O616" s="1">
        <f>IFERROR(__xludf.DUMMYFUNCTION("""COMPUTED_VALUE"""),"Business to Business, Business to Schools, Business to Government")</f>
        <v/>
      </c>
      <c r="P616" s="1">
        <f>IFERROR(__xludf.DUMMYFUNCTION("""COMPUTED_VALUE"""),"Early childhood development (0-5 years), Primary Education")</f>
        <v/>
      </c>
      <c r="Q616" s="1">
        <f>IFERROR(__xludf.DUMMYFUNCTION("""COMPUTED_VALUE"""),"System/Administrative, Student interfacing")</f>
        <v/>
      </c>
      <c r="R616" s="15">
        <f>IFERROR(__xludf.DUMMYFUNCTION("""COMPUTED_VALUE"""),"https://www.instagram.com/lingokids/?hl=en")</f>
        <v/>
      </c>
      <c r="S616" s="1" t="n"/>
      <c r="T616" s="15">
        <f>IFERROR(__xludf.DUMMYFUNCTION("""COMPUTED_VALUE"""),"https://www.linkedin.com/company/lingokids/mycompany/verification/")</f>
        <v/>
      </c>
      <c r="U616" s="1">
        <f>IFERROR(__xludf.DUMMYFUNCTION("""COMPUTED_VALUE"""),"Lingokids App")</f>
        <v/>
      </c>
      <c r="V616" s="1">
        <f>IFERROR(__xludf.DUMMYFUNCTION("""COMPUTED_VALUE"""),"More than 1200 interactive activities for kids in a safe environment that allow kids to learn while having fun. From games to songs, a vast variety of formats to build today's modern lifeskills.")</f>
        <v/>
      </c>
      <c r="W616" s="1" t="n"/>
      <c r="X616" s="1" t="n"/>
      <c r="Y616" s="15">
        <f>IFERROR(__xludf.DUMMYFUNCTION("""COMPUTED_VALUE"""),"https://drive.google.com/uc?export=view&amp;id=1VxVY4aXtzo3qAkwZ1wOOTaAtkt-nKHxe")</f>
        <v/>
      </c>
      <c r="Z616" s="1">
        <f>IFERROR(__xludf.DUMMYFUNCTION("""COMPUTED_VALUE"""),"Unverified")</f>
        <v/>
      </c>
      <c r="AA616" s="1" t="n"/>
      <c r="AB616" s="1" t="n"/>
      <c r="AC616" s="1" t="n"/>
      <c r="AD616" s="1" t="n"/>
      <c r="AE616" s="1" t="n"/>
    </row>
    <row r="617" ht="42" customHeight="1">
      <c r="A617" s="14">
        <f>IFERROR(__xludf.DUMMYFUNCTION("""COMPUTED_VALUE"""),45191)</f>
        <v/>
      </c>
      <c r="B617" s="1">
        <f>IFERROR(__xludf.DUMMYFUNCTION("""COMPUTED_VALUE"""),"ORG_2324")</f>
        <v/>
      </c>
      <c r="C617" s="1">
        <f>IFERROR(__xludf.DUMMYFUNCTION("""COMPUTED_VALUE"""),TRUE)</f>
        <v/>
      </c>
      <c r="D617" s="1">
        <f>IFERROR(__xludf.DUMMYFUNCTION("""COMPUTED_VALUE"""),"Stellia")</f>
        <v/>
      </c>
      <c r="E617" s="15">
        <f>IFERROR(__xludf.DUMMYFUNCTION("""COMPUTED_VALUE"""),"www.stellia.ai")</f>
        <v/>
      </c>
      <c r="F617" s="1">
        <f>IFERROR(__xludf.DUMMYFUNCTION("""COMPUTED_VALUE"""),"Founded in 2019, Stellia leverages recent advances in NLP &amp; Gen AI to improve knowledge acquisition and access in education, continuing education and business. 
Our data science team, bolstered by strong partnerships with AI research labs, has designed an"&amp;" AI pipeline based on the most effective NLP models, which we have then refined for our specific needs. 
Starting from our customers' reliable but unstructured knowledge bases (Pdf, docs, videos...), we generate personalized question answering assistants "&amp;"for learners and employees, providing relevant and contextual answers, without hallucinations.
Today, our assistants support 10,000's students and employees of our customers, ranging from American universities to French public schools and corporations.
To"&amp;" best answer various use-cases, our assistants can deliver generative answers, supporting sources, relevant video excerpts, related concepts, Q&amp;As, MCQs...")</f>
        <v/>
      </c>
      <c r="G617" s="1">
        <f>IFERROR(__xludf.DUMMYFUNCTION("""COMPUTED_VALUE"""),"EdTech France")</f>
        <v/>
      </c>
      <c r="H617" s="1">
        <f>IFERROR(__xludf.DUMMYFUNCTION("""COMPUTED_VALUE"""),"English, French")</f>
        <v/>
      </c>
      <c r="I617" s="1">
        <f>IFERROR(__xludf.DUMMYFUNCTION("""COMPUTED_VALUE"""),"samy@stellia.ai")</f>
        <v/>
      </c>
      <c r="J617" s="1">
        <f>IFERROR(__xludf.DUMMYFUNCTION("""COMPUTED_VALUE"""),"+33 6 30 46 60 68")</f>
        <v/>
      </c>
      <c r="K617" s="1">
        <f>IFERROR(__xludf.DUMMYFUNCTION("""COMPUTED_VALUE"""),"Paris")</f>
        <v/>
      </c>
      <c r="L617" s="1">
        <f>IFERROR(__xludf.DUMMYFUNCTION("""COMPUTED_VALUE"""),"France")</f>
        <v/>
      </c>
      <c r="M617" s="1">
        <f>IFERROR(__xludf.DUMMYFUNCTION("""COMPUTED_VALUE"""),"France, Germany, United Kingdom")</f>
        <v/>
      </c>
      <c r="N617" s="1">
        <f>IFERROR(__xludf.DUMMYFUNCTION("""COMPUTED_VALUE"""),"11 to 50")</f>
        <v/>
      </c>
      <c r="O617" s="1">
        <f>IFERROR(__xludf.DUMMYFUNCTION("""COMPUTED_VALUE"""),"Business to Consumer, Business to Government, Business to Schools")</f>
        <v/>
      </c>
      <c r="P617" s="1">
        <f>IFERROR(__xludf.DUMMYFUNCTION("""COMPUTED_VALUE"""),"Primary Education, Secondary Education, Corporate Training, Lifelong learning/Adult education, Vocational Education and Training (VET), Higher Education")</f>
        <v/>
      </c>
      <c r="Q617" s="1">
        <f>IFERROR(__xludf.DUMMYFUNCTION("""COMPUTED_VALUE"""),"Student interfacing, Teacher interfacing, System/Administrative")</f>
        <v/>
      </c>
      <c r="R617" s="1" t="n"/>
      <c r="S617" s="1" t="n"/>
      <c r="T617" s="15">
        <f>IFERROR(__xludf.DUMMYFUNCTION("""COMPUTED_VALUE"""),"https://www.linkedin.com/company/professorbob/mycompany/")</f>
        <v/>
      </c>
      <c r="U617" s="1">
        <f>IFERROR(__xludf.DUMMYFUNCTION("""COMPUTED_VALUE"""),"Stellia Assistant")</f>
        <v/>
      </c>
      <c r="V617" s="1">
        <f>IFERROR(__xludf.DUMMYFUNCTION("""COMPUTED_VALUE"""),"We build for universities, schools, and companies custom question answering assistants focused solely on our customers' trusted knowledge, that is adapted to their audience. Our assistant delivers relevant generative answers, the sources it is based on, d"&amp;"ocument excerpts, video excerpts, as well as related concepts, Q&amp;As and MCQs.
We have developed a powerful and versatile AI workflow leveraging raw docs and videos to extract knowledge, vectorize it, model it under the form of knowledge graphs and generat"&amp;"e Q&amp;As and MCQ, thus enabling our assistants to deliver the most relevant answers. This workflow is supported by various state-of-the-art NLP models that were fine-tuned by our Data Science team.
Our assistant can embed special AI agents dedicated to spec"&amp;"ific tasks, such as assisting step-by-step a student in solving a problem, writing an essay or upskill an employee on a specific topic and related concepts.")</f>
        <v/>
      </c>
      <c r="W617" s="1">
        <f>IFERROR(__xludf.DUMMYFUNCTION("""COMPUTED_VALUE"""),"Stellia Adaptive Learning")</f>
        <v/>
      </c>
      <c r="X617" s="1">
        <f>IFERROR(__xludf.DUMMYFUNCTION("""COMPUTED_VALUE"""),"Our adaptive solution adjusts the learning paths to each learner depending on its outcome, moving him quickly to more complex levels or concepts when succeeding, slowing down, or even moving back to more fundamental concepts when failing.
It relies on a k"&amp;"nowledge graph mapping the relationships between pedagogical objectives or concepts and all the learning events, ie real-time tracking of each student's interactions and outcomes with the learning resources.
Our real-time recommendation engine analyzes th"&amp;"e learning events and is powered by a mix of :
1. pedagogical rules, enabling to reproduce our customers' pedagogical approaches and solving the cold-start problem, 
2. and reinforcement learning AI to identify the most efficient orientations for each stu"&amp;"dents.")</f>
        <v/>
      </c>
      <c r="Y617" s="1" t="n"/>
      <c r="Z617" s="1">
        <f>IFERROR(__xludf.DUMMYFUNCTION("""COMPUTED_VALUE"""),"Unverified")</f>
        <v/>
      </c>
      <c r="AA617" s="1" t="n"/>
      <c r="AB617" s="1" t="n"/>
      <c r="AC617" s="1" t="n"/>
      <c r="AD617" s="1" t="n"/>
      <c r="AE617" s="1" t="n"/>
    </row>
    <row r="618" ht="42" customHeight="1">
      <c r="A618" s="14">
        <f>IFERROR(__xludf.DUMMYFUNCTION("""COMPUTED_VALUE"""),45190)</f>
        <v/>
      </c>
      <c r="B618" s="1">
        <f>IFERROR(__xludf.DUMMYFUNCTION("""COMPUTED_VALUE"""),"ORG_1275")</f>
        <v/>
      </c>
      <c r="C618" s="1">
        <f>IFERROR(__xludf.DUMMYFUNCTION("""COMPUTED_VALUE"""),TRUE)</f>
        <v/>
      </c>
      <c r="D618" s="1">
        <f>IFERROR(__xludf.DUMMYFUNCTION("""COMPUTED_VALUE"""),"COESU Educación")</f>
        <v/>
      </c>
      <c r="E618" s="15">
        <f>IFERROR(__xludf.DUMMYFUNCTION("""COMPUTED_VALUE"""),"www.coesu.com")</f>
        <v/>
      </c>
      <c r="F618" s="1">
        <f>IFERROR(__xludf.DUMMYFUNCTION("""COMPUTED_VALUE"""),"COESU “Cogito ergo sum” was born almost 10 years ago, from the experience of the professionals who launched the company in the field of education, with a common vision, “The education of children is the priority of parents.”
Through the most modern teachi"&amp;"ng methodologies and the use of the most advanced technology, we add value to the Spanish educational system, equating it to the most prestigious systems of our European counterparts.
Our experience is supported by a variety of customers from different ar"&amp;"eas such as Public and Private Schools, Shopping Centers, Nursing Homes, Foundations, Museums or Town Halls.")</f>
        <v/>
      </c>
      <c r="G618" s="1">
        <f>IFERROR(__xludf.DUMMYFUNCTION("""COMPUTED_VALUE"""),"I'm not part of any EdTech association")</f>
        <v/>
      </c>
      <c r="H618" s="1">
        <f>IFERROR(__xludf.DUMMYFUNCTION("""COMPUTED_VALUE"""),"All")</f>
        <v/>
      </c>
      <c r="I618" s="1">
        <f>IFERROR(__xludf.DUMMYFUNCTION("""COMPUTED_VALUE"""),"eduardoh@coesu.com")</f>
        <v/>
      </c>
      <c r="J618" s="1">
        <f>IFERROR(__xludf.DUMMYFUNCTION("""COMPUTED_VALUE"""),"667558348")</f>
        <v/>
      </c>
      <c r="K618" s="1">
        <f>IFERROR(__xludf.DUMMYFUNCTION("""COMPUTED_VALUE"""),"MADRID")</f>
        <v/>
      </c>
      <c r="L618" s="1">
        <f>IFERROR(__xludf.DUMMYFUNCTION("""COMPUTED_VALUE"""),"Spain")</f>
        <v/>
      </c>
      <c r="M618" s="1">
        <f>IFERROR(__xludf.DUMMYFUNCTION("""COMPUTED_VALUE"""),"Spain")</f>
        <v/>
      </c>
      <c r="N618" s="1">
        <f>IFERROR(__xludf.DUMMYFUNCTION("""COMPUTED_VALUE"""),"3 to 5")</f>
        <v/>
      </c>
      <c r="O618" s="1">
        <f>IFERROR(__xludf.DUMMYFUNCTION("""COMPUTED_VALUE"""),"Business to Business, Business to Consumer, Business to Government, Business to Schools")</f>
        <v/>
      </c>
      <c r="P618" s="1">
        <f>IFERROR(__xludf.DUMMYFUNCTION("""COMPUTED_VALUE"""),"Early childhood development (0-5 years), Primary Education, Secondary Education, Corporate Training, Lifelong learning/Adult education, Vocational Education and Training (VET), Higher Education")</f>
        <v/>
      </c>
      <c r="Q618" s="1">
        <f>IFERROR(__xludf.DUMMYFUNCTION("""COMPUTED_VALUE"""),"System/Administrative, Student interfacing, Teacher interfacing")</f>
        <v/>
      </c>
      <c r="R618" s="1" t="n"/>
      <c r="S618" s="1" t="n"/>
      <c r="T618" s="15">
        <f>IFERROR(__xludf.DUMMYFUNCTION("""COMPUTED_VALUE"""),"https://www.linkedin.com/company/10259262/admin/feed/posts/")</f>
        <v/>
      </c>
      <c r="U618" s="1">
        <f>IFERROR(__xludf.DUMMYFUNCTION("""COMPUTED_VALUE"""),"Educational services")</f>
        <v/>
      </c>
      <c r="V618" s="1">
        <f>IFERROR(__xludf.DUMMYFUNCTION("""COMPUTED_VALUE"""),"All of them where we add value to the current ones.")</f>
        <v/>
      </c>
      <c r="W618" s="1" t="n"/>
      <c r="X618" s="1" t="n"/>
      <c r="Y618" s="15">
        <f>IFERROR(__xludf.DUMMYFUNCTION("""COMPUTED_VALUE"""),"https://drive.google.com/uc?export=view&amp;id=1HePMm4aDs6jCUiZKnCGGLNFO0Gm4b_Vu")</f>
        <v/>
      </c>
      <c r="Z618" s="1">
        <f>IFERROR(__xludf.DUMMYFUNCTION("""COMPUTED_VALUE"""),"Unverified")</f>
        <v/>
      </c>
      <c r="AA618" s="1" t="n"/>
      <c r="AB618" s="1" t="n"/>
      <c r="AC618" s="1" t="n"/>
      <c r="AD618" s="1" t="n"/>
      <c r="AE618" s="1" t="n"/>
    </row>
    <row r="619" ht="42" customHeight="1">
      <c r="A619" s="14">
        <f>IFERROR(__xludf.DUMMYFUNCTION("""COMPUTED_VALUE"""),45190)</f>
        <v/>
      </c>
      <c r="B619" s="1">
        <f>IFERROR(__xludf.DUMMYFUNCTION("""COMPUTED_VALUE"""),"ORG_1900")</f>
        <v/>
      </c>
      <c r="C619" s="1">
        <f>IFERROR(__xludf.DUMMYFUNCTION("""COMPUTED_VALUE"""),TRUE)</f>
        <v/>
      </c>
      <c r="D619" s="1">
        <f>IFERROR(__xludf.DUMMYFUNCTION("""COMPUTED_VALUE"""),"MAE Sports &amp; Education")</f>
        <v/>
      </c>
      <c r="E619" s="15">
        <f>IFERROR(__xludf.DUMMYFUNCTION("""COMPUTED_VALUE"""),"https://maeducationusa.com/")</f>
        <v/>
      </c>
      <c r="F619" s="1">
        <f>IFERROR(__xludf.DUMMYFUNCTION("""COMPUTED_VALUE"""),"MAE Sports &amp; Education is a scholarship consultancy that enables students to get a degree from universities in the United States while competing at the highest level in their sport. They oversee the entire process in a close and direct manner with student"&amp;"s and their families, taking into consideration their academic, financial, and geographical preferences to secure scholarships for studying in the USA.
At MAE, they specialize in admission and the acquisition of academic and athletic scholarships for stu"&amp;"dying in the United States, both at high schools and universities. Additionally, through their new, free digital platform, they provide easy, fast, and cost-effective access to this education for students worldwide.")</f>
        <v/>
      </c>
      <c r="G619" s="1">
        <f>IFERROR(__xludf.DUMMYFUNCTION("""COMPUTED_VALUE"""),"I'm not part of any EdTech association")</f>
        <v/>
      </c>
      <c r="H619" s="1">
        <f>IFERROR(__xludf.DUMMYFUNCTION("""COMPUTED_VALUE"""),"Spanish, English")</f>
        <v/>
      </c>
      <c r="I619" s="1">
        <f>IFERROR(__xludf.DUMMYFUNCTION("""COMPUTED_VALUE"""),"info@maeducationusa.com")</f>
        <v/>
      </c>
      <c r="J619" s="1">
        <f>IFERROR(__xludf.DUMMYFUNCTION("""COMPUTED_VALUE"""),"+34 646 516 514")</f>
        <v/>
      </c>
      <c r="K619" s="1">
        <f>IFERROR(__xludf.DUMMYFUNCTION("""COMPUTED_VALUE"""),"VALENCIA")</f>
        <v/>
      </c>
      <c r="L619" s="1">
        <f>IFERROR(__xludf.DUMMYFUNCTION("""COMPUTED_VALUE"""),"Spain")</f>
        <v/>
      </c>
      <c r="M619" s="1">
        <f>IFERROR(__xludf.DUMMYFUNCTION("""COMPUTED_VALUE"""),"Andorra, Italy, Poland, Spain, Sweden, United Kingdom")</f>
        <v/>
      </c>
      <c r="N619" s="1">
        <f>IFERROR(__xludf.DUMMYFUNCTION("""COMPUTED_VALUE"""),"6 to 10")</f>
        <v/>
      </c>
      <c r="O619" s="1">
        <f>IFERROR(__xludf.DUMMYFUNCTION("""COMPUTED_VALUE"""),"Business to Business, Business to Schools, Business to Consumer")</f>
        <v/>
      </c>
      <c r="P619" s="1">
        <f>IFERROR(__xludf.DUMMYFUNCTION("""COMPUTED_VALUE"""),"Secondary Education, Vocational Education and Training (VET), Higher Education")</f>
        <v/>
      </c>
      <c r="Q619" s="1">
        <f>IFERROR(__xludf.DUMMYFUNCTION("""COMPUTED_VALUE"""),"System/Administrative, Student interfacing, Teacher interfacing")</f>
        <v/>
      </c>
      <c r="R619" s="15">
        <f>IFERROR(__xludf.DUMMYFUNCTION("""COMPUTED_VALUE"""),"https://www.instagram.com/mae.sports/")</f>
        <v/>
      </c>
      <c r="S619" s="1" t="n"/>
      <c r="T619" s="15">
        <f>IFERROR(__xludf.DUMMYFUNCTION("""COMPUTED_VALUE"""),"https://es.linkedin.com/company/mae-sports-education")</f>
        <v/>
      </c>
      <c r="U619" s="1">
        <f>IFERROR(__xludf.DUMMYFUNCTION("""COMPUTED_VALUE"""),"Academic &amp; Athletic Scholarships")</f>
        <v/>
      </c>
      <c r="V619" s="1">
        <f>IFERROR(__xludf.DUMMYFUNCTION("""COMPUTED_VALUE"""),"At MAE we also help those students who do not practice sports but are interested in being admitted to prestigious American universities with a scholarship.
There is no stipulation of a scholarship amount per grade since each university establishes its cr"&amp;"iteria for determining the amount of the scholarship. Sometimes the scholarship can be high enough to reduce the total cost of studies.
To obtain an Athletic Scholarship at one of the thousands of U.S. universities. we need the student, in addition to ha"&amp;"ving a competitive profile in their sport, to have an average academic curriculum, having to pass the SAT and TOEFL or Duolingo exams for admission and eligibility.")</f>
        <v/>
      </c>
      <c r="W619" s="1">
        <f>IFERROR(__xludf.DUMMYFUNCTION("""COMPUTED_VALUE"""),"High School")</f>
        <v/>
      </c>
      <c r="X619" s="1">
        <f>IFERROR(__xludf.DUMMYFUNCTION("""COMPUTED_VALUE"""),"We specialize in “Boarding Schools”, which are prestigious private residential schools. Students enjoy the best possible facilities and care. These schools correspond to the F1 visa type, which has the most flexibility for international students.
Thanks "&amp;"to our experience, we take care of finding the place that best suits the characteristics of the student, in addition to achieving significant cost reductions by using the scholarships and financial aid available in our centers.
Our students opt for the 5"&amp;" courses available prior to the start of their university studies, where they can study with us for one year or (if they wish), they can get prepared with us until the start of their university studies, ensuring access to the best universities in the worl"&amp;"d.")</f>
        <v/>
      </c>
      <c r="Y619" s="15">
        <f>IFERROR(__xludf.DUMMYFUNCTION("""COMPUTED_VALUE"""),"https://drive.google.com/uc?export=view&amp;id=1ojkGYtbsHwKUPyST4-O9rlL6-NgEPd3L")</f>
        <v/>
      </c>
      <c r="Z619" s="1">
        <f>IFERROR(__xludf.DUMMYFUNCTION("""COMPUTED_VALUE"""),"Unverified")</f>
        <v/>
      </c>
      <c r="AA619" s="1" t="n"/>
      <c r="AB619" s="1" t="n"/>
      <c r="AC619" s="1" t="n"/>
      <c r="AD619" s="1" t="n"/>
      <c r="AE619" s="1" t="n"/>
    </row>
    <row r="620" ht="42" customHeight="1">
      <c r="A620" s="14">
        <f>IFERROR(__xludf.DUMMYFUNCTION("""COMPUTED_VALUE"""),45190)</f>
        <v/>
      </c>
      <c r="B620" s="1">
        <f>IFERROR(__xludf.DUMMYFUNCTION("""COMPUTED_VALUE"""),"ORG_2046")</f>
        <v/>
      </c>
      <c r="C620" s="1">
        <f>IFERROR(__xludf.DUMMYFUNCTION("""COMPUTED_VALUE"""),TRUE)</f>
        <v/>
      </c>
      <c r="D620" s="1">
        <f>IFERROR(__xludf.DUMMYFUNCTION("""COMPUTED_VALUE"""),"Novelingo")</f>
        <v/>
      </c>
      <c r="E620" s="15">
        <f>IFERROR(__xludf.DUMMYFUNCTION("""COMPUTED_VALUE"""),"https://www.novelingo.com/")</f>
        <v/>
      </c>
      <c r="F620" s="1">
        <f>IFERROR(__xludf.DUMMYFUNCTION("""COMPUTED_VALUE"""),"Gamified training apps for companies and administrations to raise awareness among their workers and citizens about matters of interest (cybersecurity, gender equality, good use of social networks among minors...) or to promote tourism and culture in their"&amp;" municipality.")</f>
        <v/>
      </c>
      <c r="G620" s="1">
        <f>IFERROR(__xludf.DUMMYFUNCTION("""COMPUTED_VALUE"""),"I'm not part of any EdTech association")</f>
        <v/>
      </c>
      <c r="H620" s="1">
        <f>IFERROR(__xludf.DUMMYFUNCTION("""COMPUTED_VALUE"""),"Spanish, English")</f>
        <v/>
      </c>
      <c r="I620" s="1">
        <f>IFERROR(__xludf.DUMMYFUNCTION("""COMPUTED_VALUE"""),"daniel@novelingo.com")</f>
        <v/>
      </c>
      <c r="J620" s="1">
        <f>IFERROR(__xludf.DUMMYFUNCTION("""COMPUTED_VALUE"""),"951930338")</f>
        <v/>
      </c>
      <c r="K620" s="1">
        <f>IFERROR(__xludf.DUMMYFUNCTION("""COMPUTED_VALUE"""),"MALAGA")</f>
        <v/>
      </c>
      <c r="L620" s="1">
        <f>IFERROR(__xludf.DUMMYFUNCTION("""COMPUTED_VALUE"""),"Spain")</f>
        <v/>
      </c>
      <c r="M620" s="1">
        <f>IFERROR(__xludf.DUMMYFUNCTION("""COMPUTED_VALUE"""),"Spain")</f>
        <v/>
      </c>
      <c r="N620" s="1">
        <f>IFERROR(__xludf.DUMMYFUNCTION("""COMPUTED_VALUE"""),"3 to 5")</f>
        <v/>
      </c>
      <c r="O620" s="1">
        <f>IFERROR(__xludf.DUMMYFUNCTION("""COMPUTED_VALUE"""),"Business to Business, Business to Schools, Business to Government")</f>
        <v/>
      </c>
      <c r="P620" s="1">
        <f>IFERROR(__xludf.DUMMYFUNCTION("""COMPUTED_VALUE"""),"Primary Education, Secondary Education, Corporate Training")</f>
        <v/>
      </c>
      <c r="Q620" s="1">
        <f>IFERROR(__xludf.DUMMYFUNCTION("""COMPUTED_VALUE"""),"System/Administrative, Student interfacing")</f>
        <v/>
      </c>
      <c r="R620" s="1" t="n"/>
      <c r="S620" s="15">
        <f>IFERROR(__xludf.DUMMYFUNCTION("""COMPUTED_VALUE"""),"https://twitter.com/novelingo")</f>
        <v/>
      </c>
      <c r="T620" s="15">
        <f>IFERROR(__xludf.DUMMYFUNCTION("""COMPUTED_VALUE"""),"https://www.linkedin.com/company/novelingo")</f>
        <v/>
      </c>
      <c r="U620" s="1">
        <f>IFERROR(__xludf.DUMMYFUNCTION("""COMPUTED_VALUE"""),"E-Learning")</f>
        <v/>
      </c>
      <c r="V620" s="1" t="n"/>
      <c r="W620" s="1">
        <f>IFERROR(__xludf.DUMMYFUNCTION("""COMPUTED_VALUE"""),"Videogames")</f>
        <v/>
      </c>
      <c r="X620" s="1">
        <f>IFERROR(__xludf.DUMMYFUNCTION("""COMPUTED_VALUE"""),"Gamified training apps for companies and administrations to raise awareness among their workers and citizens about matters of interest (cybersecurity, gender equality, good use of social networks among minors...) or to promote tourism and culture in their"&amp;" municipality.")</f>
        <v/>
      </c>
      <c r="Y620" s="15">
        <f>IFERROR(__xludf.DUMMYFUNCTION("""COMPUTED_VALUE"""),"https://drive.google.com/uc?export=view&amp;id=1fwe-91vK9KC-CkHvXb3vGD0469byOpsc")</f>
        <v/>
      </c>
      <c r="Z620" s="1">
        <f>IFERROR(__xludf.DUMMYFUNCTION("""COMPUTED_VALUE"""),"Unverified")</f>
        <v/>
      </c>
      <c r="AA620" s="1" t="n"/>
      <c r="AB620" s="1" t="n"/>
      <c r="AC620" s="1" t="n"/>
      <c r="AD620" s="1" t="n"/>
      <c r="AE620" s="1" t="n"/>
    </row>
    <row r="621" ht="42" customHeight="1">
      <c r="A621" s="14">
        <f>IFERROR(__xludf.DUMMYFUNCTION("""COMPUTED_VALUE"""),45190)</f>
        <v/>
      </c>
      <c r="B621" s="1">
        <f>IFERROR(__xludf.DUMMYFUNCTION("""COMPUTED_VALUE"""),"ORG_1414")</f>
        <v/>
      </c>
      <c r="C621" s="1">
        <f>IFERROR(__xludf.DUMMYFUNCTION("""COMPUTED_VALUE"""),TRUE)</f>
        <v/>
      </c>
      <c r="D621" s="1">
        <f>IFERROR(__xludf.DUMMYFUNCTION("""COMPUTED_VALUE"""),"Edpuzzle")</f>
        <v/>
      </c>
      <c r="E621" s="15">
        <f>IFERROR(__xludf.DUMMYFUNCTION("""COMPUTED_VALUE"""),"www.edpuzzle.com")</f>
        <v/>
      </c>
      <c r="F621" s="1">
        <f>IFERROR(__xludf.DUMMYFUNCTION("""COMPUTED_VALUE"""),"Edpuzzle is an easy-to-use platform that empowers teachers to create engaging learning experiences by making any video an interactive lesson. Founded in 2013, today Edpuzzle hosts over 30 million video lessons and is used by schools in 190 countries.
Te"&amp;"achers love Edpuzzle's intuitive editing tools and real-time student analytics. School groups and districts rely on Edpuzzle to streamline their use of video and to support teachers by allowing them to collaborate and share content in a safe and secure wa"&amp;"y.
With Edpuzzle, educators can…
- Reinforce accountability. Check if students are watching videos, how many times they're watching each section, and if they're understanding the content.
- Engage students. Get students excited about learning with int"&amp;"eractive video lessons. It's easy to add your own voice narration and questions!
- Save time. Browse teacher-created content to find a ready-to-go video lesson, or use Edpuzzle’s screen recording tool to create your own.
- Share videos in a safe space wit"&amp;"h a privacy &amp; security policy you can trust. We are fully compliant with FERPA, COPPA and GDPR laws.
A key part of the modern classroom, Edpuzzle is perfect for flipped learning, self-paced learning, hybrid or blended learning, and more. To learn more, "&amp;"visit edpuzzle.com.")</f>
        <v/>
      </c>
      <c r="G621" s="1">
        <f>IFERROR(__xludf.DUMMYFUNCTION("""COMPUTED_VALUE"""),"EduTech Cluster Spain")</f>
        <v/>
      </c>
      <c r="H621" s="1">
        <f>IFERROR(__xludf.DUMMYFUNCTION("""COMPUTED_VALUE"""),"English, Spanish, Italian, Portuguese, Romanian, Catalan, Bahasa, Indonesian, Malay")</f>
        <v/>
      </c>
      <c r="I621" s="1">
        <f>IFERROR(__xludf.DUMMYFUNCTION("""COMPUTED_VALUE"""),"int@edpuzzle.com")</f>
        <v/>
      </c>
      <c r="J621" s="1" t="n"/>
      <c r="K621" s="1">
        <f>IFERROR(__xludf.DUMMYFUNCTION("""COMPUTED_VALUE"""),"Barcelona")</f>
        <v/>
      </c>
      <c r="L621" s="1">
        <f>IFERROR(__xludf.DUMMYFUNCTION("""COMPUTED_VALUE"""),"Spain")</f>
        <v/>
      </c>
      <c r="M621"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San Marino, Serbia, Slovakia, Slovenia, Spain, Sweden, Switzerland, Turkey, Ukraine, United Kingdom")</f>
        <v/>
      </c>
      <c r="N621" s="1">
        <f>IFERROR(__xludf.DUMMYFUNCTION("""COMPUTED_VALUE"""),"101 to 500")</f>
        <v/>
      </c>
      <c r="O621" s="1">
        <f>IFERROR(__xludf.DUMMYFUNCTION("""COMPUTED_VALUE"""),"Business to Business, Business to Schools")</f>
        <v/>
      </c>
      <c r="P621" s="1">
        <f>IFERROR(__xludf.DUMMYFUNCTION("""COMPUTED_VALUE"""),"Primary Education, Secondary Education, Corporate Training, Lifelong learning/Adult education, Vocational Education and Training (VET), Higher Education")</f>
        <v/>
      </c>
      <c r="Q621" s="1">
        <f>IFERROR(__xludf.DUMMYFUNCTION("""COMPUTED_VALUE"""),"Student interfacing, Teacher interfacing, System/Administrative")</f>
        <v/>
      </c>
      <c r="R621" s="15">
        <f>IFERROR(__xludf.DUMMYFUNCTION("""COMPUTED_VALUE"""),"https://www.instagram.com/edpuzzle/")</f>
        <v/>
      </c>
      <c r="S621" s="15">
        <f>IFERROR(__xludf.DUMMYFUNCTION("""COMPUTED_VALUE"""),"https://twitter.com/edpuzzle")</f>
        <v/>
      </c>
      <c r="T621" s="15">
        <f>IFERROR(__xludf.DUMMYFUNCTION("""COMPUTED_VALUE"""),"https://www.linkedin.com/company/edpuzzle-inc-")</f>
        <v/>
      </c>
      <c r="U621" s="1">
        <f>IFERROR(__xludf.DUMMYFUNCTION("""COMPUTED_VALUE"""),"Edpuzzle")</f>
        <v/>
      </c>
      <c r="V621" s="1">
        <f>IFERROR(__xludf.DUMMYFUNCTION("""COMPUTED_VALUE"""),"Edpuzzle is an easy-to-use platform that empowers teachers to create engaging learning experiences by making any video an interactive lesson. 
Founded in 2013, today Edpuzzle hosts over 30 million video lessons and is used by over 2.5 million teachers in"&amp;" schools across 190 countries. With easy-to-use video editing tools and hassle-free analytics, teachers can turn any video into an engaging and effective lesson and check for understanding in real-time. School groups rely on Edpuzzle to streamline their u"&amp;"se of video, and to support teachers by allowing them to collaborate and share content in a safe and secure way. 
A key part of the modern classroom, Edpuzzle is perfect for flipped learning, self-paced learning, hybrid or blended learning, and more. To "&amp;"learn more, visit edpuzzle.com")</f>
        <v/>
      </c>
      <c r="W621" s="1" t="n"/>
      <c r="X621" s="1" t="n"/>
      <c r="Y621" s="1" t="n"/>
      <c r="Z621" s="1">
        <f>IFERROR(__xludf.DUMMYFUNCTION("""COMPUTED_VALUE"""),"Unverified")</f>
        <v/>
      </c>
      <c r="AA621" s="1" t="n"/>
      <c r="AB621" s="1" t="n"/>
      <c r="AC621" s="1" t="n"/>
      <c r="AD621" s="1" t="n"/>
      <c r="AE621" s="1" t="n"/>
    </row>
    <row r="622" ht="42" customHeight="1">
      <c r="A622" s="14">
        <f>IFERROR(__xludf.DUMMYFUNCTION("""COMPUTED_VALUE"""),45190)</f>
        <v/>
      </c>
      <c r="B622" s="1">
        <f>IFERROR(__xludf.DUMMYFUNCTION("""COMPUTED_VALUE"""),"ORG_2217")</f>
        <v/>
      </c>
      <c r="C622" s="1">
        <f>IFERROR(__xludf.DUMMYFUNCTION("""COMPUTED_VALUE"""),TRUE)</f>
        <v/>
      </c>
      <c r="D622" s="1">
        <f>IFERROR(__xludf.DUMMYFUNCTION("""COMPUTED_VALUE"""),"SCIADO PARTENAIRES")</f>
        <v/>
      </c>
      <c r="E622" s="15">
        <f>IFERROR(__xludf.DUMMYFUNCTION("""COMPUTED_VALUE"""),"https://sciado.fr/dynamic-learning-solutions/")</f>
        <v/>
      </c>
      <c r="F622" s="1">
        <f>IFERROR(__xludf.DUMMYFUNCTION("""COMPUTED_VALUE"""),"SCIADO is a French training company and a creator of innovative educational simulators. We promote digital learning for initial education and life-learning training, face-to-face or remotely. Our main objective is to participate in the digital transformat"&amp;"ion of the educational system by challenging and engaging learners during their training. We promote experiential learning by encouraging the application of knowledge. Thus, our simulators reproduce the system of a company, so that learners may develop pr"&amp;"ofessional instincts. They will acquire a realistic vision of the working world, all in a secure and virtual environment.
The advantages of using a simulator are many: it can be adapted to the rhythm and level of learners; it has many scenarios and possib"&amp;"ilities of animation and allows a progressive evolution while gaining managerial and entrepreneurial skills. More than a training center, SCIADO is a creator of educational experiences, that aims to revolution the way of learning.")</f>
        <v/>
      </c>
      <c r="G622" s="1">
        <f>IFERROR(__xludf.DUMMYFUNCTION("""COMPUTED_VALUE"""),"EdTech France")</f>
        <v/>
      </c>
      <c r="H622" s="1">
        <f>IFERROR(__xludf.DUMMYFUNCTION("""COMPUTED_VALUE"""),"English, French")</f>
        <v/>
      </c>
      <c r="I622" s="1">
        <f>IFERROR(__xludf.DUMMYFUNCTION("""COMPUTED_VALUE"""),"catalyse@sciado.fr")</f>
        <v/>
      </c>
      <c r="J622" s="1">
        <f>IFERROR(__xludf.DUMMYFUNCTION("""COMPUTED_VALUE"""),"+33 4 87 65 46 89")</f>
        <v/>
      </c>
      <c r="K622" s="1">
        <f>IFERROR(__xludf.DUMMYFUNCTION("""COMPUTED_VALUE"""),"Villeurbanne")</f>
        <v/>
      </c>
      <c r="L622" s="1">
        <f>IFERROR(__xludf.DUMMYFUNCTION("""COMPUTED_VALUE"""),"France")</f>
        <v/>
      </c>
      <c r="M622" s="1">
        <f>IFERROR(__xludf.DUMMYFUNCTION("""COMPUTED_VALUE"""),"France")</f>
        <v/>
      </c>
      <c r="N622" s="1">
        <f>IFERROR(__xludf.DUMMYFUNCTION("""COMPUTED_VALUE"""),"11 to 50")</f>
        <v/>
      </c>
      <c r="O622" s="1">
        <f>IFERROR(__xludf.DUMMYFUNCTION("""COMPUTED_VALUE"""),"Business to Consumer")</f>
        <v/>
      </c>
      <c r="P622" s="1">
        <f>IFERROR(__xludf.DUMMYFUNCTION("""COMPUTED_VALUE"""),"Corporate Training, Lifelong learning/Adult education, Vocational Education and Training (VET), Higher Education")</f>
        <v/>
      </c>
      <c r="Q622" s="1">
        <f>IFERROR(__xludf.DUMMYFUNCTION("""COMPUTED_VALUE"""),"Student interfacing, Teacher interfacing, System/Administrative")</f>
        <v/>
      </c>
      <c r="R622" s="15">
        <f>IFERROR(__xludf.DUMMYFUNCTION("""COMPUTED_VALUE"""),"https://www.instagram.com/sciadop/")</f>
        <v/>
      </c>
      <c r="S622" s="15">
        <f>IFERROR(__xludf.DUMMYFUNCTION("""COMPUTED_VALUE"""),"https://twitter.com/SciadoP")</f>
        <v/>
      </c>
      <c r="T622" s="15">
        <f>IFERROR(__xludf.DUMMYFUNCTION("""COMPUTED_VALUE"""),"https://www.linkedin.com/company/22344441/admin/")</f>
        <v/>
      </c>
      <c r="U622" s="1">
        <f>IFERROR(__xludf.DUMMYFUNCTION("""COMPUTED_VALUE"""),"Business Games &amp; Simulators")</f>
        <v/>
      </c>
      <c r="V622" s="1">
        <f>IFERROR(__xludf.DUMMYFUNCTION("""COMPUTED_VALUE"""),"We develop pedagogical simulators that virtually place learners in a fictive company, where they occupy a central position (such as project manager, marketing manager etc.). Their objective is to grow their business through decision making and hiring, all"&amp;" while analyzing KPIs and market developments. The simulator, also known as a Business Game or Serious Game, allows them to put into practice their knowledge and gain managerial skills in a secure and virtual environment.")</f>
        <v/>
      </c>
      <c r="W622" s="1">
        <f>IFERROR(__xludf.DUMMYFUNCTION("""COMPUTED_VALUE"""),"Educational Engineering")</f>
        <v/>
      </c>
      <c r="X622" s="1">
        <f>IFERROR(__xludf.DUMMYFUNCTION("""COMPUTED_VALUE"""),"Our experts build simulators, scenarios and pedagogical supports (presentations, videos, podcast) and adapt the learning path. Thus, depending on the learners' levels and needs, we are able to have a tailor-made approach. Our expertise can go further, so "&amp;"we can create new simulators that represent business situations in order to have a personalized training offer. We combine educational quality and learner engagement to develop the new generation of tomorrow's professionals.")</f>
        <v/>
      </c>
      <c r="Y622" s="15">
        <f>IFERROR(__xludf.DUMMYFUNCTION("""COMPUTED_VALUE"""),"https://drive.google.com/uc?export=view&amp;id=1Sb0BOCYGyjexIsrhcug4FVFrNFZEH6dH")</f>
        <v/>
      </c>
      <c r="Z622" s="1">
        <f>IFERROR(__xludf.DUMMYFUNCTION("""COMPUTED_VALUE"""),"Unverified")</f>
        <v/>
      </c>
      <c r="AA622" s="1" t="n"/>
      <c r="AB622" s="1" t="n"/>
      <c r="AC622" s="1" t="n"/>
      <c r="AD622" s="1" t="n"/>
      <c r="AE622" s="1" t="n"/>
    </row>
    <row r="623" ht="42" customHeight="1">
      <c r="A623" s="14">
        <f>IFERROR(__xludf.DUMMYFUNCTION("""COMPUTED_VALUE"""),45190)</f>
        <v/>
      </c>
      <c r="B623" s="1">
        <f>IFERROR(__xludf.DUMMYFUNCTION("""COMPUTED_VALUE"""),"ORG_1147")</f>
        <v/>
      </c>
      <c r="C623" s="1">
        <f>IFERROR(__xludf.DUMMYFUNCTION("""COMPUTED_VALUE"""),TRUE)</f>
        <v/>
      </c>
      <c r="D623" s="1">
        <f>IFERROR(__xludf.DUMMYFUNCTION("""COMPUTED_VALUE"""),"Beegup")</f>
        <v/>
      </c>
      <c r="E623" s="15">
        <f>IFERROR(__xludf.DUMMYFUNCTION("""COMPUTED_VALUE"""),"https://www.beegup.com/")</f>
        <v/>
      </c>
      <c r="F623" s="1">
        <f>IFERROR(__xludf.DUMMYFUNCTION("""COMPUTED_VALUE"""),"Beegup is A digital educational resource to speak foreign languages with pen pals, supported by the French Ministry of Education. 
- For teachers: a digital assistant to stimulate students' independent oral practice, an international community of teachers"&amp;" to create pen pals classes and have students work with native speakers all year round.
- For students (14 to18 y/o): a virtual mobility solution to speak with pen pals, improve oral expression and comprehension and open up to other cultures, in a secure "&amp;"environment.
Our commitment is to participate in equal opportunities by offering all European high school students and their language teachers access to a virtual mobility resource.")</f>
        <v/>
      </c>
      <c r="G623" s="1">
        <f>IFERROR(__xludf.DUMMYFUNCTION("""COMPUTED_VALUE"""),"AFINEF, EdTech France")</f>
        <v/>
      </c>
      <c r="H623" s="1">
        <f>IFERROR(__xludf.DUMMYFUNCTION("""COMPUTED_VALUE"""),"French, German, English, Spanish")</f>
        <v/>
      </c>
      <c r="I623" s="1">
        <f>IFERROR(__xludf.DUMMYFUNCTION("""COMPUTED_VALUE"""),"scacouault@beegup.com")</f>
        <v/>
      </c>
      <c r="J623" s="1">
        <f>IFERROR(__xludf.DUMMYFUNCTION("""COMPUTED_VALUE"""),"+33 6 22 49 28 78")</f>
        <v/>
      </c>
      <c r="K623" s="1">
        <f>IFERROR(__xludf.DUMMYFUNCTION("""COMPUTED_VALUE"""),"BOULOGNE BILLANCOURT")</f>
        <v/>
      </c>
      <c r="L623" s="1">
        <f>IFERROR(__xludf.DUMMYFUNCTION("""COMPUTED_VALUE"""),"France")</f>
        <v/>
      </c>
      <c r="M623" s="1">
        <f>IFERROR(__xludf.DUMMYFUNCTION("""COMPUTED_VALUE"""),"Austria, Belgium, France, Germany, Ireland, Malta, Spain, United Kingdom")</f>
        <v/>
      </c>
      <c r="N623" s="1">
        <f>IFERROR(__xludf.DUMMYFUNCTION("""COMPUTED_VALUE"""),"3 to 5")</f>
        <v/>
      </c>
      <c r="O623" s="1">
        <f>IFERROR(__xludf.DUMMYFUNCTION("""COMPUTED_VALUE"""),"Business to Business")</f>
        <v/>
      </c>
      <c r="P623" s="1">
        <f>IFERROR(__xludf.DUMMYFUNCTION("""COMPUTED_VALUE"""),"Secondary Education")</f>
        <v/>
      </c>
      <c r="Q623" s="1">
        <f>IFERROR(__xludf.DUMMYFUNCTION("""COMPUTED_VALUE"""),"System/Administrative, Teacher interfacing")</f>
        <v/>
      </c>
      <c r="R623" s="15">
        <f>IFERROR(__xludf.DUMMYFUNCTION("""COMPUTED_VALUE"""),"https://instagram.com/beegupeducation?igshid=MzRlODBiNWFlZA==")</f>
        <v/>
      </c>
      <c r="S623" s="1" t="n"/>
      <c r="T623" s="15">
        <f>IFERROR(__xludf.DUMMYFUNCTION("""COMPUTED_VALUE"""),"https://www.linkedin.com/company/beegup/")</f>
        <v/>
      </c>
      <c r="U623" s="1">
        <f>IFERROR(__xludf.DUMMYFUNCTION("""COMPUTED_VALUE"""),"Beegup")</f>
        <v/>
      </c>
      <c r="V623" s="1">
        <f>IFERROR(__xludf.DUMMYFUNCTION("""COMPUTED_VALUE"""),"THE PEN PALS SECURE NETWORK FOR SPEAKING FOREIGN LANGUAGES AND IMPROVING ORAL SKILLS. How to improve your oral skills ? Just by speaking.
Beegup puts students in a pressure-free discussion setting with pen pals of the same age who share similar interests,"&amp;" to enjoy speaking in another language and progressing.
Available on all devices in 4 languages, French, German, English and Spanish. For secondary high schools (14 to 18 y/o).
Beegup offers 4 main features:
- An international press review: a news feed of"&amp;" native, neutral and reliable video articles (AFP - French Press Agency)
- Secure Conversation Tools : instant messaging, audio and video
- CEFR-certified adaptative placement tests: progress monitoring and self-assessment on demand
- A workspace: in 1 cl"&amp;"ick, teachers create their virtual classes &amp; their pen pals' classes and propose propose language activities")</f>
        <v/>
      </c>
      <c r="W623" s="1" t="n"/>
      <c r="X623" s="1" t="n"/>
      <c r="Y623" s="15">
        <f>IFERROR(__xludf.DUMMYFUNCTION("""COMPUTED_VALUE"""),"https://drive.google.com/uc?export=view&amp;id=1OW2Y8oU09F4R2YkCzqXBauMNCWu4mX6a")</f>
        <v/>
      </c>
      <c r="Z623" s="1">
        <f>IFERROR(__xludf.DUMMYFUNCTION("""COMPUTED_VALUE"""),"Unverified")</f>
        <v/>
      </c>
      <c r="AA623" s="1" t="n"/>
      <c r="AB623" s="1" t="n"/>
      <c r="AC623" s="1" t="n"/>
      <c r="AD623" s="1" t="n"/>
      <c r="AE623" s="1" t="n"/>
    </row>
    <row r="624" ht="42" customHeight="1">
      <c r="A624" s="14">
        <f>IFERROR(__xludf.DUMMYFUNCTION("""COMPUTED_VALUE"""),45190)</f>
        <v/>
      </c>
      <c r="B624" s="1">
        <f>IFERROR(__xludf.DUMMYFUNCTION("""COMPUTED_VALUE"""),"ORG_1725")</f>
        <v/>
      </c>
      <c r="C624" s="1">
        <f>IFERROR(__xludf.DUMMYFUNCTION("""COMPUTED_VALUE"""),TRUE)</f>
        <v/>
      </c>
      <c r="D624" s="1">
        <f>IFERROR(__xludf.DUMMYFUNCTION("""COMPUTED_VALUE"""),"Innovamat Education")</f>
        <v/>
      </c>
      <c r="E624" s="15">
        <f>IFERROR(__xludf.DUMMYFUNCTION("""COMPUTED_VALUE"""),"https://discover.innovamat.com/")</f>
        <v/>
      </c>
      <c r="F624" s="1">
        <f>IFERROR(__xludf.DUMMYFUNCTION("""COMPUTED_VALUE"""),"Innovamat aims to be a global institution in math education. We strive to bring the best math practices everywhere and for everyone. Over 2,100 schools, 430,000 students, and 18,000 teachers already work with us. Since our foundation in 2017, we have open"&amp;"ed operations in Spain, Mexico, Italy, Chile, Ecuador, Colombia, Brazil, Peru, and in the United States.
Innovamat has developed a research-based, fully-resourced curriculum program. With Innovamat, kids from 3 to 16 years old learn math through manipula"&amp;"tive materials and highly dynamic lessons focused on problem-solving, communication skills, and critical thinking. We provide a shift in traditional instruction and learning.")</f>
        <v/>
      </c>
      <c r="G624" s="1">
        <f>IFERROR(__xludf.DUMMYFUNCTION("""COMPUTED_VALUE"""),"EduTech Cluster Spain")</f>
        <v/>
      </c>
      <c r="H624" s="1">
        <f>IFERROR(__xludf.DUMMYFUNCTION("""COMPUTED_VALUE"""),"English, Spanish, Italian, Catalan, Basque")</f>
        <v/>
      </c>
      <c r="I624" s="1">
        <f>IFERROR(__xludf.DUMMYFUNCTION("""COMPUTED_VALUE"""),"info@innovamat.com")</f>
        <v/>
      </c>
      <c r="J624" s="1">
        <f>IFERROR(__xludf.DUMMYFUNCTION("""COMPUTED_VALUE"""),"+34936845887")</f>
        <v/>
      </c>
      <c r="K624" s="1">
        <f>IFERROR(__xludf.DUMMYFUNCTION("""COMPUTED_VALUE"""),"SANT CUGAT")</f>
        <v/>
      </c>
      <c r="L624" s="1">
        <f>IFERROR(__xludf.DUMMYFUNCTION("""COMPUTED_VALUE"""),"Spain")</f>
        <v/>
      </c>
      <c r="M624" s="1">
        <f>IFERROR(__xludf.DUMMYFUNCTION("""COMPUTED_VALUE"""),"Italy, Spain")</f>
        <v/>
      </c>
      <c r="N624" s="1">
        <f>IFERROR(__xludf.DUMMYFUNCTION("""COMPUTED_VALUE"""),"101 to 500")</f>
        <v/>
      </c>
      <c r="O624" s="1">
        <f>IFERROR(__xludf.DUMMYFUNCTION("""COMPUTED_VALUE"""),"Business to Business, Business to Consumer, Business to Government, Business to Schools")</f>
        <v/>
      </c>
      <c r="P624" s="1">
        <f>IFERROR(__xludf.DUMMYFUNCTION("""COMPUTED_VALUE"""),"Early childhood development (0-5 years), Primary Education, Secondary Education")</f>
        <v/>
      </c>
      <c r="Q624" s="1">
        <f>IFERROR(__xludf.DUMMYFUNCTION("""COMPUTED_VALUE"""),"Student interfacing, Teacher interfacing")</f>
        <v/>
      </c>
      <c r="R624" s="15">
        <f>IFERROR(__xludf.DUMMYFUNCTION("""COMPUTED_VALUE"""),"https://www.instagram.com/innovamat_es/?hl=en")</f>
        <v/>
      </c>
      <c r="S624" s="15">
        <f>IFERROR(__xludf.DUMMYFUNCTION("""COMPUTED_VALUE"""),"https://twitter.com/innovamat_es?lang=en")</f>
        <v/>
      </c>
      <c r="T624" s="15">
        <f>IFERROR(__xludf.DUMMYFUNCTION("""COMPUTED_VALUE"""),"https://www.linkedin.com/company/innovamat-education/")</f>
        <v/>
      </c>
      <c r="U624" s="1">
        <f>IFERROR(__xludf.DUMMYFUNCTION("""COMPUTED_VALUE"""),"Innovamat")</f>
        <v/>
      </c>
      <c r="V624" s="1">
        <f>IFERROR(__xludf.DUMMYFUNCTION("""COMPUTED_VALUE"""),"Innovamat is a K-12, didactic proposal for teaching and learning math. Our material has been conceived and developed by a huge group of experts in pedagogy, engineering, design and, of course, the didactics of mathematics (NCTM, OCDE, Nrich &amp; PISA).
We "&amp;"have built an easy-to-use &amp; evidence-based product that is aligned with the latest research on education (NCTM, OCDE, Nrich &amp; PISA). On top of that, we use a gamified, self-adaptive platform for students to practice that provides weekly reports on the stu"&amp;"dent’s progress, making inclusion and individualization of learning a cornerstone of ours.")</f>
        <v/>
      </c>
      <c r="W624" s="1">
        <f>IFERROR(__xludf.DUMMYFUNCTION("""COMPUTED_VALUE"""),"Bmath")</f>
        <v/>
      </c>
      <c r="X624" s="1">
        <f>IFERROR(__xludf.DUMMYFUNCTION("""COMPUTED_VALUE"""),"Bmath is an app for K-6 students to practice math at home with gamification and personalized learning.")</f>
        <v/>
      </c>
      <c r="Y624" s="15">
        <f>IFERROR(__xludf.DUMMYFUNCTION("""COMPUTED_VALUE"""),"https://drive.google.com/uc?export=view&amp;id=1mK3f17BYc7PeRzkU_do1YmDskzzM95sS")</f>
        <v/>
      </c>
      <c r="Z624" s="1">
        <f>IFERROR(__xludf.DUMMYFUNCTION("""COMPUTED_VALUE"""),"Unverified")</f>
        <v/>
      </c>
      <c r="AA624" s="1" t="n"/>
      <c r="AB624" s="1" t="n"/>
      <c r="AC624" s="1" t="n"/>
      <c r="AD624" s="1" t="n"/>
      <c r="AE624" s="1" t="n"/>
    </row>
    <row r="625" ht="42" customHeight="1">
      <c r="A625" s="14">
        <f>IFERROR(__xludf.DUMMYFUNCTION("""COMPUTED_VALUE"""),45189)</f>
        <v/>
      </c>
      <c r="B625" s="1">
        <f>IFERROR(__xludf.DUMMYFUNCTION("""COMPUTED_VALUE"""),"ORG_1663")</f>
        <v/>
      </c>
      <c r="C625" s="1">
        <f>IFERROR(__xludf.DUMMYFUNCTION("""COMPUTED_VALUE"""),TRUE)</f>
        <v/>
      </c>
      <c r="D625" s="1">
        <f>IFERROR(__xludf.DUMMYFUNCTION("""COMPUTED_VALUE"""),"Happiness Play")</f>
        <v/>
      </c>
      <c r="E625" s="15">
        <f>IFERROR(__xludf.DUMMYFUNCTION("""COMPUTED_VALUE"""),"https://www.happinessplay.com")</f>
        <v/>
      </c>
      <c r="F625" s="1">
        <f>IFERROR(__xludf.DUMMYFUNCTION("""COMPUTED_VALUE"""),"Happiness Play is a pioneering platform in the integration of methodologies to improve personal and professional happiness. With our state-of-the-art technology, we support individuals and organizations in achieving their wellbeing goals through personali"&amp;"zed happiness strategies. Our unique approach merges technology and psychology, making happiness management more accessible, measurable, and actionable. Our mission is to transform lives by helping users discover, understand, and improve their happiness l"&amp;"evels with scientifically-backed tools and insights.")</f>
        <v/>
      </c>
      <c r="G625" s="1">
        <f>IFERROR(__xludf.DUMMYFUNCTION("""COMPUTED_VALUE"""),"EduTech Cluster Spain")</f>
        <v/>
      </c>
      <c r="H625" s="1">
        <f>IFERROR(__xludf.DUMMYFUNCTION("""COMPUTED_VALUE"""),"Spanish, English")</f>
        <v/>
      </c>
      <c r="I625" s="1">
        <f>IFERROR(__xludf.DUMMYFUNCTION("""COMPUTED_VALUE"""),"admin@pedroamador.com")</f>
        <v/>
      </c>
      <c r="J625" s="1">
        <f>IFERROR(__xludf.DUMMYFUNCTION("""COMPUTED_VALUE"""),"0034 698652788")</f>
        <v/>
      </c>
      <c r="K625" s="1">
        <f>IFERROR(__xludf.DUMMYFUNCTION("""COMPUTED_VALUE"""),"Fuengirola, Málaga CP")</f>
        <v/>
      </c>
      <c r="L625" s="1">
        <f>IFERROR(__xludf.DUMMYFUNCTION("""COMPUTED_VALUE"""),"Spain")</f>
        <v/>
      </c>
      <c r="M625" s="1">
        <f>IFERROR(__xludf.DUMMYFUNCTION("""COMPUTED_VALUE"""),"Spain")</f>
        <v/>
      </c>
      <c r="N625" s="1">
        <f>IFERROR(__xludf.DUMMYFUNCTION("""COMPUTED_VALUE"""),"0 to 2")</f>
        <v/>
      </c>
      <c r="O625" s="1">
        <f>IFERROR(__xludf.DUMMYFUNCTION("""COMPUTED_VALUE"""),"Business to Business, Business to Schools, Business to Government")</f>
        <v/>
      </c>
      <c r="P625" s="1">
        <f>IFERROR(__xludf.DUMMYFUNCTION("""COMPUTED_VALUE"""),"Corporate Training, Lifelong learning/Adult education, Vocational Education and Training (VET), Higher Education")</f>
        <v/>
      </c>
      <c r="Q625" s="1">
        <f>IFERROR(__xludf.DUMMYFUNCTION("""COMPUTED_VALUE"""),"Student interfacing, Teacher interfacing, System/Administrative")</f>
        <v/>
      </c>
      <c r="R625" s="15">
        <f>IFERROR(__xludf.DUMMYFUNCTION("""COMPUTED_VALUE"""),"https://www.instagram.com/Happiness_Play/")</f>
        <v/>
      </c>
      <c r="S625" s="15">
        <f>IFERROR(__xludf.DUMMYFUNCTION("""COMPUTED_VALUE"""),"https://twitter.com/autocoaching")</f>
        <v/>
      </c>
      <c r="T625" s="15">
        <f>IFERROR(__xludf.DUMMYFUNCTION("""COMPUTED_VALUE"""),"http://www.linkedin.com/company/autocoaching")</f>
        <v/>
      </c>
      <c r="U625" s="1">
        <f>IFERROR(__xludf.DUMMYFUNCTION("""COMPUTED_VALUE"""),"HappinessPlay for Individuals (B2C)")</f>
        <v/>
      </c>
      <c r="V625" s="1">
        <f>IFERROR(__xludf.DUMMYFUNCTION("""COMPUTED_VALUE"""),"A cutting-edge digital tool designed to evaluate personal happiness and create actionable plans for improvement. Tailored for individuals, it uses a unique methodology to guide users towards achieving desired levels of contentment in various life aspects,"&amp;" ultimately supporting mental and emotional well-being.")</f>
        <v/>
      </c>
      <c r="W625" s="1">
        <f>IFERROR(__xludf.DUMMYFUNCTION("""COMPUTED_VALUE"""),"HappinessPlay Pro for Organizations and Governments (B2B/B2G)")</f>
        <v/>
      </c>
      <c r="X625" s="1">
        <f>IFERROR(__xludf.DUMMYFUNCTION("""COMPUTED_VALUE"""),"A comprehensive platform allowing organizations, both private and governmental, to gauge employee or citizen happiness and devise effective strategies for its enhancement. Beyond simple metrics, it provides in-depth analysis, facilitating the creation of "&amp;"informed policies and practices to uplift satisfaction levels across the board.")</f>
        <v/>
      </c>
      <c r="Y625" s="15">
        <f>IFERROR(__xludf.DUMMYFUNCTION("""COMPUTED_VALUE"""),"https://drive.google.com/uc?export=view&amp;id=1rl_tBauPeclAN9Phi_XPiRRuu5w5VZUR")</f>
        <v/>
      </c>
      <c r="Z625" s="1">
        <f>IFERROR(__xludf.DUMMYFUNCTION("""COMPUTED_VALUE"""),"Unverified")</f>
        <v/>
      </c>
      <c r="AA625" s="1" t="n"/>
      <c r="AB625" s="1" t="n"/>
      <c r="AC625" s="1" t="n"/>
      <c r="AD625" s="1" t="n"/>
      <c r="AE625" s="1" t="n"/>
    </row>
    <row r="626" ht="42" customHeight="1">
      <c r="A626" s="14">
        <f>IFERROR(__xludf.DUMMYFUNCTION("""COMPUTED_VALUE"""),45189)</f>
        <v/>
      </c>
      <c r="B626" s="1">
        <f>IFERROR(__xludf.DUMMYFUNCTION("""COMPUTED_VALUE"""),"ORG_1471")</f>
        <v/>
      </c>
      <c r="C626" s="1">
        <f>IFERROR(__xludf.DUMMYFUNCTION("""COMPUTED_VALUE"""),TRUE)</f>
        <v/>
      </c>
      <c r="D626" s="1">
        <f>IFERROR(__xludf.DUMMYFUNCTION("""COMPUTED_VALUE"""),"Eedi")</f>
        <v/>
      </c>
      <c r="E626" s="15">
        <f>IFERROR(__xludf.DUMMYFUNCTION("""COMPUTED_VALUE"""),"https://eedi.com")</f>
        <v/>
      </c>
      <c r="F626" s="1">
        <f>IFERROR(__xludf.DUMMYFUNCTION("""COMPUTED_VALUE"""),"Built on an award-winning, two-billion strong misconception dataset, Eedi can predict, identify and provide just-in-time support to remedy 90% of maths misconceptions and can support educators to teach or reteach the last 10%.")</f>
        <v/>
      </c>
      <c r="G626" s="1">
        <f>IFERROR(__xludf.DUMMYFUNCTION("""COMPUTED_VALUE"""),"I'm not part of any EdTech association")</f>
        <v/>
      </c>
      <c r="H626" s="1">
        <f>IFERROR(__xludf.DUMMYFUNCTION("""COMPUTED_VALUE"""),"English")</f>
        <v/>
      </c>
      <c r="I626" s="1">
        <f>IFERROR(__xludf.DUMMYFUNCTION("""COMPUTED_VALUE"""),"hello@eedi.co.uk")</f>
        <v/>
      </c>
      <c r="J626" s="1" t="n"/>
      <c r="K626" s="1">
        <f>IFERROR(__xludf.DUMMYFUNCTION("""COMPUTED_VALUE"""),"London")</f>
        <v/>
      </c>
      <c r="L626" s="1">
        <f>IFERROR(__xludf.DUMMYFUNCTION("""COMPUTED_VALUE"""),"United Kingdom")</f>
        <v/>
      </c>
      <c r="M626" s="1">
        <f>IFERROR(__xludf.DUMMYFUNCTION("""COMPUTED_VALUE"""),"Denmark, France, Ireland, Italy, Netherlands, Portugal, Spain, Sweden, Switzerland, United Kingdom")</f>
        <v/>
      </c>
      <c r="N626" s="1">
        <f>IFERROR(__xludf.DUMMYFUNCTION("""COMPUTED_VALUE"""),"11 to 50")</f>
        <v/>
      </c>
      <c r="O626" s="1">
        <f>IFERROR(__xludf.DUMMYFUNCTION("""COMPUTED_VALUE"""),"Business to Business, Business to Consumer, Business to Schools")</f>
        <v/>
      </c>
      <c r="P626" s="1">
        <f>IFERROR(__xludf.DUMMYFUNCTION("""COMPUTED_VALUE"""),"Primary Education, Secondary Education")</f>
        <v/>
      </c>
      <c r="Q626" s="1">
        <f>IFERROR(__xludf.DUMMYFUNCTION("""COMPUTED_VALUE"""),"Teacher interfacing")</f>
        <v/>
      </c>
      <c r="R626" s="1" t="n"/>
      <c r="S626" s="15">
        <f>IFERROR(__xludf.DUMMYFUNCTION("""COMPUTED_VALUE"""),"https://twitter.com/helloeedi")</f>
        <v/>
      </c>
      <c r="T626" s="15">
        <f>IFERROR(__xludf.DUMMYFUNCTION("""COMPUTED_VALUE"""),"https://uk.linkedin.com/company/eedi")</f>
        <v/>
      </c>
      <c r="U626" s="1">
        <f>IFERROR(__xludf.DUMMYFUNCTION("""COMPUTED_VALUE"""),"Eedi")</f>
        <v/>
      </c>
      <c r="V626" s="1">
        <f>IFERROR(__xludf.DUMMYFUNCTION("""COMPUTED_VALUE"""),"Eedi identifies and resolves over 90% of students’ misconceptions using best-in-class pedagogy and fully-qualified tutors.")</f>
        <v/>
      </c>
      <c r="W626" s="1" t="n"/>
      <c r="X626" s="1" t="n"/>
      <c r="Y626" s="15">
        <f>IFERROR(__xludf.DUMMYFUNCTION("""COMPUTED_VALUE"""),"https://drive.google.com/uc?export=view&amp;id=1sfchL9URJosLfHDrANZvCUD_IiEeRVby")</f>
        <v/>
      </c>
      <c r="Z626" s="1">
        <f>IFERROR(__xludf.DUMMYFUNCTION("""COMPUTED_VALUE"""),"Unverified")</f>
        <v/>
      </c>
      <c r="AA626" s="1" t="n"/>
      <c r="AB626" s="1" t="n"/>
      <c r="AC626" s="1" t="n"/>
      <c r="AD626" s="1" t="n"/>
      <c r="AE626" s="1" t="n"/>
    </row>
    <row r="627" ht="42" customHeight="1">
      <c r="A627" s="14">
        <f>IFERROR(__xludf.DUMMYFUNCTION("""COMPUTED_VALUE"""),45189)</f>
        <v/>
      </c>
      <c r="B627" s="1">
        <f>IFERROR(__xludf.DUMMYFUNCTION("""COMPUTED_VALUE"""),"ORG_1144")</f>
        <v/>
      </c>
      <c r="C627" s="1">
        <f>IFERROR(__xludf.DUMMYFUNCTION("""COMPUTED_VALUE"""),TRUE)</f>
        <v/>
      </c>
      <c r="D627" s="1">
        <f>IFERROR(__xludf.DUMMYFUNCTION("""COMPUTED_VALUE"""),"Beebio")</f>
        <v/>
      </c>
      <c r="E627" s="15">
        <f>IFERROR(__xludf.DUMMYFUNCTION("""COMPUTED_VALUE"""),"www.beebio.net")</f>
        <v/>
      </c>
      <c r="F627" s="1">
        <f>IFERROR(__xludf.DUMMYFUNCTION("""COMPUTED_VALUE"""),"Join Us in Building a Sustainable Future! 🌱
We are on a mission to promote sustainability, embrace circular economy principles, and champion biodiversity conservation. But what sets us apart is our cutting-edge hybrid online platform, a powerful tool tha"&amp;"t monitors real-life biosystems, offers online engaging content, and onsite actions in real-time.")</f>
        <v/>
      </c>
      <c r="G627" s="1">
        <f>IFERROR(__xludf.DUMMYFUNCTION("""COMPUTED_VALUE"""),"I'm not part of any EdTech association")</f>
        <v/>
      </c>
      <c r="H627" s="1">
        <f>IFERROR(__xludf.DUMMYFUNCTION("""COMPUTED_VALUE"""),"English, Spanish, French, German, Catalan")</f>
        <v/>
      </c>
      <c r="I627" s="1">
        <f>IFERROR(__xludf.DUMMYFUNCTION("""COMPUTED_VALUE"""),"info@beebio.net")</f>
        <v/>
      </c>
      <c r="J627" s="1">
        <f>IFERROR(__xludf.DUMMYFUNCTION("""COMPUTED_VALUE"""),"+34682495850")</f>
        <v/>
      </c>
      <c r="K627" s="1">
        <f>IFERROR(__xludf.DUMMYFUNCTION("""COMPUTED_VALUE"""),"Sitges")</f>
        <v/>
      </c>
      <c r="L627" s="1">
        <f>IFERROR(__xludf.DUMMYFUNCTION("""COMPUTED_VALUE"""),"Spain")</f>
        <v/>
      </c>
      <c r="M627" s="1">
        <f>IFERROR(__xludf.DUMMYFUNCTION("""COMPUTED_VALUE"""),"Portugal, Spain")</f>
        <v/>
      </c>
      <c r="N627" s="1">
        <f>IFERROR(__xludf.DUMMYFUNCTION("""COMPUTED_VALUE"""),"3 to 5")</f>
        <v/>
      </c>
      <c r="O627" s="1">
        <f>IFERROR(__xludf.DUMMYFUNCTION("""COMPUTED_VALUE"""),"Business to Business")</f>
        <v/>
      </c>
      <c r="P627" s="1">
        <f>IFERROR(__xludf.DUMMYFUNCTION("""COMPUTED_VALUE"""),"Primary Education, Secondary Education, Corporate Training, Lifelong learning/Adult education, Vocational Education and Training (VET), Higher Education")</f>
        <v/>
      </c>
      <c r="Q627" s="1">
        <f>IFERROR(__xludf.DUMMYFUNCTION("""COMPUTED_VALUE"""),"Teacher interfacing, System/Administrative, Student interfacing")</f>
        <v/>
      </c>
      <c r="R627" s="1" t="n"/>
      <c r="S627" s="1" t="n"/>
      <c r="T627" s="15">
        <f>IFERROR(__xludf.DUMMYFUNCTION("""COMPUTED_VALUE"""),"https://www.linkedin.com/company/beebioedtech")</f>
        <v/>
      </c>
      <c r="U627" s="1">
        <f>IFERROR(__xludf.DUMMYFUNCTION("""COMPUTED_VALUE"""),"Beebio edtool")</f>
        <v/>
      </c>
      <c r="V627" s="1">
        <f>IFERROR(__xludf.DUMMYFUNCTION("""COMPUTED_VALUE"""),"Our innovative EdTech tool is designed to empower students, educators, and organizations with the knowledge and skills needed to understand and address environmental challenges such as sustainability, biodiversity conservation, and circular economy practi"&amp;"ces. What sets EcoLearn apart is its comprehensive approach to sustainability education, which seamlessly integrates both online learning and onsite, real-world actions.")</f>
        <v/>
      </c>
      <c r="W627" s="1" t="n"/>
      <c r="X627" s="1" t="n"/>
      <c r="Y627" s="15">
        <f>IFERROR(__xludf.DUMMYFUNCTION("""COMPUTED_VALUE"""),"https://drive.google.com/uc?export=view&amp;id=1AzL4RFquWwq0r2QKTUhXXGkmyF8eabZq")</f>
        <v/>
      </c>
      <c r="Z627" s="1">
        <f>IFERROR(__xludf.DUMMYFUNCTION("""COMPUTED_VALUE"""),"Unverified")</f>
        <v/>
      </c>
      <c r="AA627" s="1" t="n"/>
      <c r="AB627" s="1" t="n"/>
      <c r="AC627" s="1" t="n"/>
      <c r="AD627" s="1" t="n"/>
      <c r="AE627" s="1" t="n"/>
    </row>
    <row r="628" ht="42" customHeight="1">
      <c r="A628" s="14">
        <f>IFERROR(__xludf.DUMMYFUNCTION("""COMPUTED_VALUE"""),45189)</f>
        <v/>
      </c>
      <c r="B628" s="1">
        <f>IFERROR(__xludf.DUMMYFUNCTION("""COMPUTED_VALUE"""),"ORG_2546")</f>
        <v/>
      </c>
      <c r="C628" s="1">
        <f>IFERROR(__xludf.DUMMYFUNCTION("""COMPUTED_VALUE"""),TRUE)</f>
        <v/>
      </c>
      <c r="D628" s="1">
        <f>IFERROR(__xludf.DUMMYFUNCTION("""COMPUTED_VALUE"""),"Wooclap")</f>
        <v/>
      </c>
      <c r="E628" s="15">
        <f>IFERROR(__xludf.DUMMYFUNCTION("""COMPUTED_VALUE"""),"www.wooclap.com")</f>
        <v/>
      </c>
      <c r="F628" s="1">
        <f>IFERROR(__xludf.DUMMYFUNCTION("""COMPUTED_VALUE"""),"At Wooclap, we've developed a suite of pedagogical tools that make training and learning more effective.
- Our flagship product, Wooclap, is the simplest way to engage learners with over 20 question types and activities. It's easy to use, inclusive and p"&amp;"rovides insightful reports after each session. 
Wooclap is compatible with all training models (traditional, synchronous, asynchronous, distance, hybrid, HyFlex…) and integrates with the tools that trainers use on a daily basis (PowerPoint, Google Slides,"&amp;" Genially, Canvas, Microsoft Teams, Zoom, Moodle...).
- Our second tool, Wooflash, is an intelligent and collaborative microlearning tool. It enables learners to study efficiently and increases learner engagement. It creates personalized study paths path"&amp;"s based on learner performance, and provides simple statistical reports to track learner progress.
2M+ trainers and teachers already use our tools in leading companies and universities.")</f>
        <v/>
      </c>
      <c r="G628" s="1">
        <f>IFERROR(__xludf.DUMMYFUNCTION("""COMPUTED_VALUE"""),"EdTech France, EdTech Italia, EduTech Cluster Spain, Swiss EdTech Collider")</f>
        <v/>
      </c>
      <c r="H628" s="1">
        <f>IFERROR(__xludf.DUMMYFUNCTION("""COMPUTED_VALUE"""),"French, English, Spanish, Italian, German")</f>
        <v/>
      </c>
      <c r="I628" s="1">
        <f>IFERROR(__xludf.DUMMYFUNCTION("""COMPUTED_VALUE"""),"info@wooclap.com")</f>
        <v/>
      </c>
      <c r="J628" s="1" t="n"/>
      <c r="K628" s="1">
        <f>IFERROR(__xludf.DUMMYFUNCTION("""COMPUTED_VALUE"""),"BRUSSELS")</f>
        <v/>
      </c>
      <c r="L628" s="1">
        <f>IFERROR(__xludf.DUMMYFUNCTION("""COMPUTED_VALUE"""),"Belgium")</f>
        <v/>
      </c>
      <c r="M628"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628" s="1">
        <f>IFERROR(__xludf.DUMMYFUNCTION("""COMPUTED_VALUE"""),"51 to 100")</f>
        <v/>
      </c>
      <c r="O628" s="1">
        <f>IFERROR(__xludf.DUMMYFUNCTION("""COMPUTED_VALUE"""),"Business to Schools")</f>
        <v/>
      </c>
      <c r="P628" s="1">
        <f>IFERROR(__xludf.DUMMYFUNCTION("""COMPUTED_VALUE"""),"Secondary Education, Corporate Training, Lifelong learning/Adult education, Vocational Education and Training (VET), Higher Education")</f>
        <v/>
      </c>
      <c r="Q628" s="1">
        <f>IFERROR(__xludf.DUMMYFUNCTION("""COMPUTED_VALUE"""),"Student interfacing, Teacher interfacing, System/Administrative")</f>
        <v/>
      </c>
      <c r="R628" s="1">
        <f>IFERROR(__xludf.DUMMYFUNCTION("""COMPUTED_VALUE"""),"Wooclap")</f>
        <v/>
      </c>
      <c r="S628" s="15">
        <f>IFERROR(__xludf.DUMMYFUNCTION("""COMPUTED_VALUE"""),"https://twitter.com/wooclap")</f>
        <v/>
      </c>
      <c r="T628" s="15">
        <f>IFERROR(__xludf.DUMMYFUNCTION("""COMPUTED_VALUE"""),"https://www.linkedin.com/company/9264419/")</f>
        <v/>
      </c>
      <c r="U628" s="1">
        <f>IFERROR(__xludf.DUMMYFUNCTION("""COMPUTED_VALUE"""),"Wooclap")</f>
        <v/>
      </c>
      <c r="V628" s="1">
        <f>IFERROR(__xludf.DUMMYFUNCTION("""COMPUTED_VALUE"""),"Wooclap is an interactive platform that empowers teachers to engage and attract students' attention. There are more than 20 question types &amp; activities to turn your audience into active students and measure their understanding. It is compatible with all t"&amp;"eaching models and is very easy to use. It integrates with many tools that teachers and trainers use on a daily basis. After classes and training sessions, Wooclap reports give powerful insights to follow your learners' progress.")</f>
        <v/>
      </c>
      <c r="W628" s="1">
        <f>IFERROR(__xludf.DUMMYFUNCTION("""COMPUTED_VALUE"""),"Wooflash")</f>
        <v/>
      </c>
      <c r="X628" s="1">
        <f>IFERROR(__xludf.DUMMYFUNCTION("""COMPUTED_VALUE"""),"Wooflash, is an intelligent, interactive and collaborative microlearning tool.
- It allows students to study more efficiently, anywhere and anytime.
- It increases frequency of use and student engagement in their learning.
- It is based on Steve Masson's "&amp;"key neuro-educational principles for better learning and teaching.
Teachers and students can create Courses from the 15+ question types available (Flashcards, Find on image, MCQ etc.). Students memorize the materials by following personalized study paths"&amp;" and their progress can be followed through the statistical dashboards.")</f>
        <v/>
      </c>
      <c r="Y628" s="15">
        <f>IFERROR(__xludf.DUMMYFUNCTION("""COMPUTED_VALUE"""),"https://drive.google.com/uc?export=view&amp;id=14xsZpMhFz5HIdqALWh4fin1it2tDFCHe")</f>
        <v/>
      </c>
      <c r="Z628" s="1">
        <f>IFERROR(__xludf.DUMMYFUNCTION("""COMPUTED_VALUE"""),"Unverified")</f>
        <v/>
      </c>
      <c r="AA628" s="1" t="n"/>
      <c r="AB628" s="1" t="n"/>
      <c r="AC628" s="1" t="n"/>
      <c r="AD628" s="1" t="n"/>
      <c r="AE628" s="1" t="n"/>
    </row>
    <row r="629" ht="42" customHeight="1">
      <c r="A629" s="14">
        <f>IFERROR(__xludf.DUMMYFUNCTION("""COMPUTED_VALUE"""),45188)</f>
        <v/>
      </c>
      <c r="B629" s="1">
        <f>IFERROR(__xludf.DUMMYFUNCTION("""COMPUTED_VALUE"""),"ORG_2214")</f>
        <v/>
      </c>
      <c r="C629" s="1">
        <f>IFERROR(__xludf.DUMMYFUNCTION("""COMPUTED_VALUE"""),TRUE)</f>
        <v/>
      </c>
      <c r="D629" s="1">
        <f>IFERROR(__xludf.DUMMYFUNCTION("""COMPUTED_VALUE"""),"SchoolWise")</f>
        <v/>
      </c>
      <c r="E629" s="15">
        <f>IFERROR(__xludf.DUMMYFUNCTION("""COMPUTED_VALUE"""),"https://schoolwiselearning.com")</f>
        <v/>
      </c>
      <c r="F629" s="1">
        <f>IFERROR(__xludf.DUMMYFUNCTION("""COMPUTED_VALUE"""),"We help schools get to the heart of their data and understand the impact of their work to drive better outcomes. We do this by bringing all the information and data together in one place so schools can track a learner from the moment they walk into a scho"&amp;"ol until the last time they leave. Supporting them every step of the way.")</f>
        <v/>
      </c>
      <c r="G629" s="1">
        <f>IFERROR(__xludf.DUMMYFUNCTION("""COMPUTED_VALUE"""),"EdTech Ireland")</f>
        <v/>
      </c>
      <c r="H629" s="1">
        <f>IFERROR(__xludf.DUMMYFUNCTION("""COMPUTED_VALUE"""),"English")</f>
        <v/>
      </c>
      <c r="I629" s="1">
        <f>IFERROR(__xludf.DUMMYFUNCTION("""COMPUTED_VALUE"""),"hi@schoolwiselearning.com")</f>
        <v/>
      </c>
      <c r="J629" s="1">
        <f>IFERROR(__xludf.DUMMYFUNCTION("""COMPUTED_VALUE"""),"+353 1 9060987")</f>
        <v/>
      </c>
      <c r="K629" s="1">
        <f>IFERROR(__xludf.DUMMYFUNCTION("""COMPUTED_VALUE"""),"BALLYMOUNT")</f>
        <v/>
      </c>
      <c r="L629" s="1">
        <f>IFERROR(__xludf.DUMMYFUNCTION("""COMPUTED_VALUE"""),"Ireland")</f>
        <v/>
      </c>
      <c r="M629" s="1">
        <f>IFERROR(__xludf.DUMMYFUNCTION("""COMPUTED_VALUE"""),"Ireland")</f>
        <v/>
      </c>
      <c r="N629" s="1">
        <f>IFERROR(__xludf.DUMMYFUNCTION("""COMPUTED_VALUE"""),"6 to 10")</f>
        <v/>
      </c>
      <c r="O629" s="1">
        <f>IFERROR(__xludf.DUMMYFUNCTION("""COMPUTED_VALUE"""),"Business to Business, Business to Government, Business to Schools")</f>
        <v/>
      </c>
      <c r="P629" s="1">
        <f>IFERROR(__xludf.DUMMYFUNCTION("""COMPUTED_VALUE"""),"Secondary Education, Vocational Education and Training (VET)")</f>
        <v/>
      </c>
      <c r="Q629" s="1">
        <f>IFERROR(__xludf.DUMMYFUNCTION("""COMPUTED_VALUE"""),"Teacher interfacing, System/Administrative")</f>
        <v/>
      </c>
      <c r="R629" s="1" t="n"/>
      <c r="S629" s="15">
        <f>IFERROR(__xludf.DUMMYFUNCTION("""COMPUTED_VALUE"""),"https://twitter.com/myschoolwise")</f>
        <v/>
      </c>
      <c r="T629" s="15">
        <f>IFERROR(__xludf.DUMMYFUNCTION("""COMPUTED_VALUE"""),"https://ie.linkedin.com/company/schoolwise-learning")</f>
        <v/>
      </c>
      <c r="U629" s="1" t="n"/>
      <c r="V629" s="1" t="n"/>
      <c r="W629" s="1" t="n"/>
      <c r="X629" s="1" t="n"/>
      <c r="Y629" s="15">
        <f>IFERROR(__xludf.DUMMYFUNCTION("""COMPUTED_VALUE"""),"https://drive.google.com/uc?export=view&amp;id=1AH-7Fz6Q2PulHsALLcq69jlzYAz0u0CO")</f>
        <v/>
      </c>
      <c r="Z629" s="1">
        <f>IFERROR(__xludf.DUMMYFUNCTION("""COMPUTED_VALUE"""),"Unverified")</f>
        <v/>
      </c>
      <c r="AA629" s="1" t="n"/>
      <c r="AB629" s="1" t="n"/>
      <c r="AC629" s="1" t="n"/>
      <c r="AD629" s="1" t="n"/>
      <c r="AE629" s="1" t="n"/>
    </row>
    <row r="630" ht="42" customHeight="1">
      <c r="A630" s="14">
        <f>IFERROR(__xludf.DUMMYFUNCTION("""COMPUTED_VALUE"""),45188)</f>
        <v/>
      </c>
      <c r="B630" s="1">
        <f>IFERROR(__xludf.DUMMYFUNCTION("""COMPUTED_VALUE"""),"ORG_2171")</f>
        <v/>
      </c>
      <c r="C630" s="1">
        <f>IFERROR(__xludf.DUMMYFUNCTION("""COMPUTED_VALUE"""),TRUE)</f>
        <v/>
      </c>
      <c r="D630" s="1">
        <f>IFERROR(__xludf.DUMMYFUNCTION("""COMPUTED_VALUE"""),"Recursos para Clase")</f>
        <v/>
      </c>
      <c r="E630" s="15">
        <f>IFERROR(__xludf.DUMMYFUNCTION("""COMPUTED_VALUE"""),"https://www.recursosparaclase.es")</f>
        <v/>
      </c>
      <c r="F630" s="1">
        <f>IFERROR(__xludf.DUMMYFUNCTION("""COMPUTED_VALUE"""),"We provide a platform as a marketplace to share resources for class between teachers. They can choose to share for free or set a price for their work. 
Also, we provide a membership site with online courses. They are available on demand, and each one is r"&amp;"ecorded for a former teacher, and specialist in an area.")</f>
        <v/>
      </c>
      <c r="G630" s="1">
        <f>IFERROR(__xludf.DUMMYFUNCTION("""COMPUTED_VALUE"""),"I'm not part of any EdTech association, SEK Lab")</f>
        <v/>
      </c>
      <c r="H630" s="1" t="n"/>
      <c r="I630" s="1">
        <f>IFERROR(__xludf.DUMMYFUNCTION("""COMPUTED_VALUE"""),"hola@recursosparaclase.es")</f>
        <v/>
      </c>
      <c r="J630" s="1" t="n"/>
      <c r="K630" s="1">
        <f>IFERROR(__xludf.DUMMYFUNCTION("""COMPUTED_VALUE"""),"OBERANVEN")</f>
        <v/>
      </c>
      <c r="L630" s="1">
        <f>IFERROR(__xludf.DUMMYFUNCTION("""COMPUTED_VALUE"""),"Luxembourg")</f>
        <v/>
      </c>
      <c r="M630" s="1">
        <f>IFERROR(__xludf.DUMMYFUNCTION("""COMPUTED_VALUE"""),"Spain")</f>
        <v/>
      </c>
      <c r="N630" s="1">
        <f>IFERROR(__xludf.DUMMYFUNCTION("""COMPUTED_VALUE"""),"0 to 2")</f>
        <v/>
      </c>
      <c r="O630" s="1">
        <f>IFERROR(__xludf.DUMMYFUNCTION("""COMPUTED_VALUE"""),"Business to Business, Business to Schools")</f>
        <v/>
      </c>
      <c r="P630" s="1">
        <f>IFERROR(__xludf.DUMMYFUNCTION("""COMPUTED_VALUE"""),"Early childhood development (0-5 years)")</f>
        <v/>
      </c>
      <c r="Q630" s="1">
        <f>IFERROR(__xludf.DUMMYFUNCTION("""COMPUTED_VALUE"""),"Teacher interfacing")</f>
        <v/>
      </c>
      <c r="R630" s="1" t="n"/>
      <c r="S630" s="1" t="n"/>
      <c r="T630" s="1" t="n"/>
      <c r="U630" s="1" t="n"/>
      <c r="V630" s="1" t="n"/>
      <c r="W630" s="1" t="n"/>
      <c r="X630" s="1" t="n"/>
      <c r="Y630" s="15">
        <f>IFERROR(__xludf.DUMMYFUNCTION("""COMPUTED_VALUE"""),"https://drive.google.com/uc?export=view&amp;id=1_WJVPwCEfn9_b1KBqpRu0WdnHfFhpdcy")</f>
        <v/>
      </c>
      <c r="Z630" s="1">
        <f>IFERROR(__xludf.DUMMYFUNCTION("""COMPUTED_VALUE"""),"Unverified")</f>
        <v/>
      </c>
      <c r="AA630" s="1" t="n"/>
      <c r="AB630" s="1" t="n"/>
      <c r="AC630" s="1" t="n"/>
      <c r="AD630" s="1" t="n"/>
      <c r="AE630" s="1" t="n"/>
    </row>
    <row r="631" ht="42" customHeight="1">
      <c r="A631" s="14">
        <f>IFERROR(__xludf.DUMMYFUNCTION("""COMPUTED_VALUE"""),45187)</f>
        <v/>
      </c>
      <c r="B631" s="1">
        <f>IFERROR(__xludf.DUMMYFUNCTION("""COMPUTED_VALUE"""),"ORG_1700")</f>
        <v/>
      </c>
      <c r="C631" s="1">
        <f>IFERROR(__xludf.DUMMYFUNCTION("""COMPUTED_VALUE"""),TRUE)</f>
        <v/>
      </c>
      <c r="D631" s="1">
        <f>IFERROR(__xludf.DUMMYFUNCTION("""COMPUTED_VALUE"""),"i3-Technologies")</f>
        <v/>
      </c>
      <c r="E631" s="15">
        <f>IFERROR(__xludf.DUMMYFUNCTION("""COMPUTED_VALUE"""),"https://www.i3-technologies.com/")</f>
        <v/>
      </c>
      <c r="F631" s="1">
        <f>IFERROR(__xludf.DUMMYFUNCTION("""COMPUTED_VALUE"""),"i3-Technologies “Founder” Story
After growing to the leading European manufacturer of boards and furniture for schools, it was time for the Vanerum company to expand. In 2009 Vanerum expanded into audio-visual and interactive products, which were the buil"&amp;"ding blocks of who we are today. Vanerum Group launched i3-Technologies in 2013, creating and manufacturing interactive touch displays and boards with a wide range of accessories. We now operate through a dedicated channel network in over 90 countries wor"&amp;"ldwide. We integrate the voice of our customer in all our products and features and focus on providing the best customer experience and craftsmanship. We are still a family-run company that prioritizes putting our customers first and for the long term. On"&amp;" our mission to make technology simple to use, easy to integrate, and accessible to everyone: We've come a long way, and we are just getting started. Our innovation will always be inspired by you.")</f>
        <v/>
      </c>
      <c r="G631" s="1">
        <f>IFERROR(__xludf.DUMMYFUNCTION("""COMPUTED_VALUE"""),"edtechstation")</f>
        <v/>
      </c>
      <c r="H631" s="1">
        <f>IFERROR(__xludf.DUMMYFUNCTION("""COMPUTED_VALUE"""),"Dutch, English, French, German, Spanish, Catalan, Danish, Lithuanian, Norwegian, Hungarian, Romanian, Italian")</f>
        <v/>
      </c>
      <c r="I631" s="1">
        <f>IFERROR(__xludf.DUMMYFUNCTION("""COMPUTED_VALUE"""),"info@i3-technologies.com")</f>
        <v/>
      </c>
      <c r="J631" s="1">
        <f>IFERROR(__xludf.DUMMYFUNCTION("""COMPUTED_VALUE"""),"+ 32 56 31 34 15")</f>
        <v/>
      </c>
      <c r="K631" s="1">
        <f>IFERROR(__xludf.DUMMYFUNCTION("""COMPUTED_VALUE"""),"DIEST")</f>
        <v/>
      </c>
      <c r="L631" s="1">
        <f>IFERROR(__xludf.DUMMYFUNCTION("""COMPUTED_VALUE"""),"Belgium")</f>
        <v/>
      </c>
      <c r="M631" s="1">
        <f>IFERROR(__xludf.DUMMYFUNCTION("""COMPUTED_VALUE"""),"Austria, Belgium, Bulgaria, Croatia, Cyprus, Czechia, Denmark, Estonia, Finland, France, Germany, Greece, Hungary, Ireland, Italy, Latvia, Lithuania, Luxembourg, Netherlands, Norway, Poland, Romania, Russia, Spain, Sweden, Switzerland, United Kingdom")</f>
        <v/>
      </c>
      <c r="N631" s="1">
        <f>IFERROR(__xludf.DUMMYFUNCTION("""COMPUTED_VALUE"""),"101 to 500")</f>
        <v/>
      </c>
      <c r="O631" s="1">
        <f>IFERROR(__xludf.DUMMYFUNCTION("""COMPUTED_VALUE"""),"Business to Business")</f>
        <v/>
      </c>
      <c r="P631" s="1">
        <f>IFERROR(__xludf.DUMMYFUNCTION("""COMPUTED_VALUE"""),"Early childhood development (0-5 years), Primary Education, Secondary Education, Corporate Training, Lifelong learning/Adult education, Vocational Education and Training (VET), Higher Education")</f>
        <v/>
      </c>
      <c r="Q631" s="1">
        <f>IFERROR(__xludf.DUMMYFUNCTION("""COMPUTED_VALUE"""),"Teacher interfacing, System/Administrative, Student interfacing")</f>
        <v/>
      </c>
      <c r="R631" s="15">
        <f>IFERROR(__xludf.DUMMYFUNCTION("""COMPUTED_VALUE"""),"https://www.instagram.com/i3_technologies/")</f>
        <v/>
      </c>
      <c r="S631" s="15">
        <f>IFERROR(__xludf.DUMMYFUNCTION("""COMPUTED_VALUE"""),"https://twitter.com/i3_Technologies")</f>
        <v/>
      </c>
      <c r="T631" s="15">
        <f>IFERROR(__xludf.DUMMYFUNCTION("""COMPUTED_VALUE"""),"https://www.linkedin.com/company/i3technologies/")</f>
        <v/>
      </c>
      <c r="U631" s="1">
        <f>IFERROR(__xludf.DUMMYFUNCTION("""COMPUTED_VALUE"""),"i3-Solutions")</f>
        <v/>
      </c>
      <c r="V631" s="1">
        <f>IFERROR(__xludf.DUMMYFUNCTION("""COMPUTED_VALUE"""),"An optimal learning environment requires the right tools that are developed with an awareness of the digitalization process in education, as well as all of the challenges that come with it. With 50+ years of experience in education, i3-Technologies knows "&amp;"exactly what to offer. Our solutions are being developed and co-created with teachers to ensure that we can offer a solution to meet their needs and tackle their challenges.
The core of our ecosystem are interactive touchscreens for business and education"&amp;". The displays' capabilities can be drastically expanded with our simple-to-use software solutions. A wide range of accessories that complement our hardware and software, provide you with the full, complete solution you need.")</f>
        <v/>
      </c>
      <c r="W631" s="1" t="n"/>
      <c r="X631" s="1" t="n"/>
      <c r="Y631" s="15">
        <f>IFERROR(__xludf.DUMMYFUNCTION("""COMPUTED_VALUE"""),"https://drive.google.com/uc?export=view&amp;id=1Pe0hOpqbgIVtAn_UgEDZlTn2OwWjclaV")</f>
        <v/>
      </c>
      <c r="Z631" s="1">
        <f>IFERROR(__xludf.DUMMYFUNCTION("""COMPUTED_VALUE"""),"Unverified")</f>
        <v/>
      </c>
      <c r="AA631" s="1" t="n"/>
      <c r="AB631" s="1" t="n"/>
      <c r="AC631" s="1" t="n"/>
      <c r="AD631" s="1" t="n"/>
      <c r="AE631" s="1" t="n"/>
    </row>
    <row r="632" ht="42" customHeight="1">
      <c r="A632" s="14">
        <f>IFERROR(__xludf.DUMMYFUNCTION("""COMPUTED_VALUE"""),45187)</f>
        <v/>
      </c>
      <c r="B632" s="1">
        <f>IFERROR(__xludf.DUMMYFUNCTION("""COMPUTED_VALUE"""),"ORG_1440")</f>
        <v/>
      </c>
      <c r="C632" s="1">
        <f>IFERROR(__xludf.DUMMYFUNCTION("""COMPUTED_VALUE"""),TRUE)</f>
        <v/>
      </c>
      <c r="D632" s="1">
        <f>IFERROR(__xludf.DUMMYFUNCTION("""COMPUTED_VALUE"""),"EDUKA klasė")</f>
        <v/>
      </c>
      <c r="E632" s="15">
        <f>IFERROR(__xludf.DUMMYFUNCTION("""COMPUTED_VALUE"""),"https://www.eduka.lt/")</f>
        <v/>
      </c>
      <c r="F632" s="1">
        <f>IFERROR(__xludf.DUMMYFUNCTION("""COMPUTED_VALUE"""),"Our company provides digital content solutions directed towards Lithuanian educational facilities which are used by more than 75% of the children. 
Each platform focuses on specific step of student’s learning lifecycle and are deeply interlinked and inte"&amp;"grated together:
EDUKA – where student is introduced to the topic (enhanced elements for print textbooks and supporting digital materials).
EMA – where the knowledge of the topic is evaluated (various individualised exercises enhanced by differentiation a"&amp;"nd gamification).
EGZAMINATORIUS – where knowledge is summarised (adaptive learning exercises and summaries for exam preparation).")</f>
        <v/>
      </c>
      <c r="G632" s="1">
        <f>IFERROR(__xludf.DUMMYFUNCTION("""COMPUTED_VALUE"""),"I'm not part of any EdTech association")</f>
        <v/>
      </c>
      <c r="H632" s="1" t="n"/>
      <c r="I632" s="1">
        <f>IFERROR(__xludf.DUMMYFUNCTION("""COMPUTED_VALUE"""),"klase@eduka.lt")</f>
        <v/>
      </c>
      <c r="J632" s="1" t="n"/>
      <c r="K632" s="1">
        <f>IFERROR(__xludf.DUMMYFUNCTION("""COMPUTED_VALUE"""),"VILNIUS")</f>
        <v/>
      </c>
      <c r="L632" s="1">
        <f>IFERROR(__xludf.DUMMYFUNCTION("""COMPUTED_VALUE"""),"Lithuania")</f>
        <v/>
      </c>
      <c r="M632" s="1">
        <f>IFERROR(__xludf.DUMMYFUNCTION("""COMPUTED_VALUE"""),"Lithuania")</f>
        <v/>
      </c>
      <c r="N632" s="1">
        <f>IFERROR(__xludf.DUMMYFUNCTION("""COMPUTED_VALUE"""),"11 to 50")</f>
        <v/>
      </c>
      <c r="O632" s="1">
        <f>IFERROR(__xludf.DUMMYFUNCTION("""COMPUTED_VALUE"""),"Business to Business, Business to Consumer, Business to Government, Business to Schools")</f>
        <v/>
      </c>
      <c r="P632" s="1">
        <f>IFERROR(__xludf.DUMMYFUNCTION("""COMPUTED_VALUE"""),"Early childhood development (0-5 years), Primary Education, Secondary Education")</f>
        <v/>
      </c>
      <c r="Q632" s="1">
        <f>IFERROR(__xludf.DUMMYFUNCTION("""COMPUTED_VALUE"""),"Teacher interfacing")</f>
        <v/>
      </c>
      <c r="R632" s="1" t="n"/>
      <c r="S632" s="1" t="n"/>
      <c r="T632" s="15">
        <f>IFERROR(__xludf.DUMMYFUNCTION("""COMPUTED_VALUE"""),"https://www.linkedin.com/company/edukaklase/")</f>
        <v/>
      </c>
      <c r="U632" s="1">
        <f>IFERROR(__xludf.DUMMYFUNCTION("""COMPUTED_VALUE"""),"EDUKA")</f>
        <v/>
      </c>
      <c r="V632" s="1">
        <f>IFERROR(__xludf.DUMMYFUNCTION("""COMPUTED_VALUE"""),"EDUKA class www.eduka.lt – interactive digital learning platform with more than 520 digital textbooks, 280 teacher books and 25 000 digital assignments for K-12. This is the main tool for the teachers and children to work in the remote learning scenario a"&amp;"s well as in the class to fulfil hybrid learning scenario by enhancing the standard learning materials.")</f>
        <v/>
      </c>
      <c r="W632" s="1">
        <f>IFERROR(__xludf.DUMMYFUNCTION("""COMPUTED_VALUE"""),"EMA")</f>
        <v/>
      </c>
      <c r="X632" s="1">
        <f>IFERROR(__xludf.DUMMYFUNCTION("""COMPUTED_VALUE"""),"EMA www.emapamokos.lt – digital exercises next to EDUKA which are tailored and individualised to fit student needs to help them succeed in education. The tool is used for testing and evaluation of the children progress.")</f>
        <v/>
      </c>
      <c r="Y632" s="15">
        <f>IFERROR(__xludf.DUMMYFUNCTION("""COMPUTED_VALUE"""),"https://drive.google.com/uc?export=view&amp;id=1b_l9fhrsngwomSImaSF0QBdkymxplvKL")</f>
        <v/>
      </c>
      <c r="Z632" s="1">
        <f>IFERROR(__xludf.DUMMYFUNCTION("""COMPUTED_VALUE"""),"Unverified")</f>
        <v/>
      </c>
      <c r="AA632" s="1" t="n"/>
      <c r="AB632" s="1" t="n"/>
      <c r="AC632" s="1" t="n"/>
      <c r="AD632" s="1" t="n"/>
      <c r="AE632" s="1" t="n"/>
    </row>
    <row r="633" ht="42" customHeight="1">
      <c r="A633" s="14">
        <f>IFERROR(__xludf.DUMMYFUNCTION("""COMPUTED_VALUE"""),45187)</f>
        <v/>
      </c>
      <c r="B633" s="1">
        <f>IFERROR(__xludf.DUMMYFUNCTION("""COMPUTED_VALUE"""),"ORG_2369")</f>
        <v/>
      </c>
      <c r="C633" s="1">
        <f>IFERROR(__xludf.DUMMYFUNCTION("""COMPUTED_VALUE"""),TRUE)</f>
        <v/>
      </c>
      <c r="D633" s="1">
        <f>IFERROR(__xludf.DUMMYFUNCTION("""COMPUTED_VALUE"""),"TAMO")</f>
        <v/>
      </c>
      <c r="E633" s="15">
        <f>IFERROR(__xludf.DUMMYFUNCTION("""COMPUTED_VALUE"""),"https://www.tamo.lt/")</f>
        <v/>
      </c>
      <c r="F633" s="1">
        <f>IFERROR(__xludf.DUMMYFUNCTION("""COMPUTED_VALUE"""),"TAMO is one of the biggest and fastest growing EdTech companies in Lithuania. It provides digital solutions directed towards Lithuanian educational facilities. TAMO is the school management system and planner (https://dienynas.tamo.lt) which is currently "&amp;"used by more than 500 thousand users (80% of the market).")</f>
        <v/>
      </c>
      <c r="G633" s="1">
        <f>IFERROR(__xludf.DUMMYFUNCTION("""COMPUTED_VALUE"""),"I'm not part of any EdTech association")</f>
        <v/>
      </c>
      <c r="H633" s="1" t="n"/>
      <c r="I633" s="1">
        <f>IFERROR(__xludf.DUMMYFUNCTION("""COMPUTED_VALUE"""),"info@tamo.lt")</f>
        <v/>
      </c>
      <c r="J633" s="1" t="n"/>
      <c r="K633" s="1">
        <f>IFERROR(__xludf.DUMMYFUNCTION("""COMPUTED_VALUE"""),"VILNIUS")</f>
        <v/>
      </c>
      <c r="L633" s="1">
        <f>IFERROR(__xludf.DUMMYFUNCTION("""COMPUTED_VALUE"""),"Lithuania")</f>
        <v/>
      </c>
      <c r="M633" s="1">
        <f>IFERROR(__xludf.DUMMYFUNCTION("""COMPUTED_VALUE"""),"Lithuania")</f>
        <v/>
      </c>
      <c r="N633" s="1">
        <f>IFERROR(__xludf.DUMMYFUNCTION("""COMPUTED_VALUE"""),"11 to 50")</f>
        <v/>
      </c>
      <c r="O633" s="1">
        <f>IFERROR(__xludf.DUMMYFUNCTION("""COMPUTED_VALUE"""),"Business to Government, Business to Schools")</f>
        <v/>
      </c>
      <c r="P633" s="1">
        <f>IFERROR(__xludf.DUMMYFUNCTION("""COMPUTED_VALUE"""),"Early childhood development (0-5 years), Primary Education, Secondary Education")</f>
        <v/>
      </c>
      <c r="Q633" s="1">
        <f>IFERROR(__xludf.DUMMYFUNCTION("""COMPUTED_VALUE"""),"Teacher interfacing")</f>
        <v/>
      </c>
      <c r="R633" s="1" t="n"/>
      <c r="S633" s="1" t="n"/>
      <c r="T633" s="15">
        <f>IFERROR(__xludf.DUMMYFUNCTION("""COMPUTED_VALUE"""),"https://www.linkedin.com/company/tavomokykla/mycompany/")</f>
        <v/>
      </c>
      <c r="U633" s="1">
        <f>IFERROR(__xludf.DUMMYFUNCTION("""COMPUTED_VALUE"""),"TAMO")</f>
        <v/>
      </c>
      <c r="V633" s="1">
        <f>IFERROR(__xludf.DUMMYFUNCTION("""COMPUTED_VALUE"""),"TAMO helps maintain real time organization of the school. It provides teaching administration tools for schools such as lesson scheduling, gradebook, homework assignments, attendance tracking, data storage, calendar, analytics. It is the open platform whi"&amp;"ch also has integrations both with other widely used software providers (Microsoft, Google, digital content platforms) and with physical infrastructure of the school (canteen, library, entry gates, lockers, payments).")</f>
        <v/>
      </c>
      <c r="W633" s="1" t="n"/>
      <c r="X633" s="1" t="n"/>
      <c r="Y633" s="15">
        <f>IFERROR(__xludf.DUMMYFUNCTION("""COMPUTED_VALUE"""),"https://drive.google.com/uc?export=view&amp;id=18f5iXiZTC0A-9NkJpV8Jn79GG5BMY8UB")</f>
        <v/>
      </c>
      <c r="Z633" s="1">
        <f>IFERROR(__xludf.DUMMYFUNCTION("""COMPUTED_VALUE"""),"Unverified")</f>
        <v/>
      </c>
      <c r="AA633" s="1" t="n"/>
      <c r="AB633" s="1" t="n"/>
      <c r="AC633" s="1" t="n"/>
      <c r="AD633" s="1" t="n"/>
      <c r="AE633" s="1" t="n"/>
    </row>
    <row r="634" ht="42" customHeight="1">
      <c r="A634" s="14">
        <f>IFERROR(__xludf.DUMMYFUNCTION("""COMPUTED_VALUE"""),45187)</f>
        <v/>
      </c>
      <c r="B634" s="1">
        <f>IFERROR(__xludf.DUMMYFUNCTION("""COMPUTED_VALUE"""),"ORG_1696")</f>
        <v/>
      </c>
      <c r="C634" s="1">
        <f>IFERROR(__xludf.DUMMYFUNCTION("""COMPUTED_VALUE"""),TRUE)</f>
        <v/>
      </c>
      <c r="D634" s="1">
        <f>IFERROR(__xludf.DUMMYFUNCTION("""COMPUTED_VALUE"""),"Hyphen")</f>
        <v/>
      </c>
      <c r="E634" s="15">
        <f>IFERROR(__xludf.DUMMYFUNCTION("""COMPUTED_VALUE"""),"joinhyphen.com")</f>
        <v/>
      </c>
      <c r="F634" s="1">
        <f>IFERROR(__xludf.DUMMYFUNCTION("""COMPUTED_VALUE"""),"Hyphen trains Early Career Talent and their Managers together to make them better connected and effective.")</f>
        <v/>
      </c>
      <c r="G634" s="1">
        <f>IFERROR(__xludf.DUMMYFUNCTION("""COMPUTED_VALUE"""),"EdTech Austria")</f>
        <v/>
      </c>
      <c r="H634" s="1">
        <f>IFERROR(__xludf.DUMMYFUNCTION("""COMPUTED_VALUE"""),"English")</f>
        <v/>
      </c>
      <c r="I634" s="1">
        <f>IFERROR(__xludf.DUMMYFUNCTION("""COMPUTED_VALUE"""),"hey@joinhyphen.com")</f>
        <v/>
      </c>
      <c r="J634" s="1" t="n"/>
      <c r="K634" s="1">
        <f>IFERROR(__xludf.DUMMYFUNCTION("""COMPUTED_VALUE"""),"London")</f>
        <v/>
      </c>
      <c r="L634" s="1">
        <f>IFERROR(__xludf.DUMMYFUNCTION("""COMPUTED_VALUE"""),"United Kingdom")</f>
        <v/>
      </c>
      <c r="M634" s="1">
        <f>IFERROR(__xludf.DUMMYFUNCTION("""COMPUTED_VALUE"""),"Austria, Denmark, Finland, France, Germany, Ireland, Italy, Liechtenstein, Netherlands, Norway, Portugal, Sweden, Switzerland, United Kingdom")</f>
        <v/>
      </c>
      <c r="N634" s="1">
        <f>IFERROR(__xludf.DUMMYFUNCTION("""COMPUTED_VALUE"""),"6 to 10")</f>
        <v/>
      </c>
      <c r="O634" s="1">
        <f>IFERROR(__xludf.DUMMYFUNCTION("""COMPUTED_VALUE"""),"Business to Business, Business to Government")</f>
        <v/>
      </c>
      <c r="P634" s="1">
        <f>IFERROR(__xludf.DUMMYFUNCTION("""COMPUTED_VALUE"""),"Corporate Training, Lifelong learning/Adult education")</f>
        <v/>
      </c>
      <c r="Q634" s="1">
        <f>IFERROR(__xludf.DUMMYFUNCTION("""COMPUTED_VALUE"""),"System/Administrative, Student interfacing")</f>
        <v/>
      </c>
      <c r="R634" s="1">
        <f>IFERROR(__xludf.DUMMYFUNCTION("""COMPUTED_VALUE"""),"hyphen_crew")</f>
        <v/>
      </c>
      <c r="S634" s="1" t="n"/>
      <c r="T634" s="15">
        <f>IFERROR(__xludf.DUMMYFUNCTION("""COMPUTED_VALUE"""),"https://www.linkedin.com/school/hyphen-/")</f>
        <v/>
      </c>
      <c r="U634" s="1">
        <f>IFERROR(__xludf.DUMMYFUNCTION("""COMPUTED_VALUE"""),"Talent Development Platform")</f>
        <v/>
      </c>
      <c r="V634" s="1">
        <f>IFERROR(__xludf.DUMMYFUNCTION("""COMPUTED_VALUE"""),"We train Managers and their Team Members together to become better connected and effective. Our training programmes are customised to the needs of partner organisations who we constantly provide with insights and development reports.")</f>
        <v/>
      </c>
      <c r="W634" s="1" t="n"/>
      <c r="X634" s="1" t="n"/>
      <c r="Y634" s="15">
        <f>IFERROR(__xludf.DUMMYFUNCTION("""COMPUTED_VALUE"""),"https://drive.google.com/uc?export=view&amp;id=1GbGSJXYGnVVsRV7oLEy9LuXjy_X_DVOJ")</f>
        <v/>
      </c>
      <c r="Z634" s="1">
        <f>IFERROR(__xludf.DUMMYFUNCTION("""COMPUTED_VALUE"""),"Unverified")</f>
        <v/>
      </c>
      <c r="AA634" s="1" t="n"/>
      <c r="AB634" s="1" t="n"/>
      <c r="AC634" s="1" t="n"/>
      <c r="AD634" s="1" t="n"/>
      <c r="AE634" s="1" t="n"/>
    </row>
    <row r="635" ht="42" customHeight="1">
      <c r="A635" s="14">
        <f>IFERROR(__xludf.DUMMYFUNCTION("""COMPUTED_VALUE"""),45186)</f>
        <v/>
      </c>
      <c r="B635" s="1">
        <f>IFERROR(__xludf.DUMMYFUNCTION("""COMPUTED_VALUE"""),"ORG_1024")</f>
        <v/>
      </c>
      <c r="C635" s="1">
        <f>IFERROR(__xludf.DUMMYFUNCTION("""COMPUTED_VALUE"""),TRUE)</f>
        <v/>
      </c>
      <c r="D635" s="1">
        <f>IFERROR(__xludf.DUMMYFUNCTION("""COMPUTED_VALUE"""),"Academator")</f>
        <v/>
      </c>
      <c r="E635" s="15">
        <f>IFERROR(__xludf.DUMMYFUNCTION("""COMPUTED_VALUE"""),"www.academator.com")</f>
        <v/>
      </c>
      <c r="F635" s="1">
        <f>IFERROR(__xludf.DUMMYFUNCTION("""COMPUTED_VALUE"""),"Academator is making the best private tuition affordable by replacing tutors with robots.")</f>
        <v/>
      </c>
      <c r="G635" s="1">
        <f>IFERROR(__xludf.DUMMYFUNCTION("""COMPUTED_VALUE"""),"I'm not part of any EdTech association")</f>
        <v/>
      </c>
      <c r="H635" s="1" t="n"/>
      <c r="I635" s="1" t="n"/>
      <c r="J635" s="1" t="n"/>
      <c r="K635" s="1">
        <f>IFERROR(__xludf.DUMMYFUNCTION("""COMPUTED_VALUE"""),"LONDON")</f>
        <v/>
      </c>
      <c r="L635" s="1">
        <f>IFERROR(__xludf.DUMMYFUNCTION("""COMPUTED_VALUE"""),"United Kingdom")</f>
        <v/>
      </c>
      <c r="M635" s="1">
        <f>IFERROR(__xludf.DUMMYFUNCTION("""COMPUTED_VALUE"""),"United Kingdom")</f>
        <v/>
      </c>
      <c r="N635" s="1">
        <f>IFERROR(__xludf.DUMMYFUNCTION("""COMPUTED_VALUE"""),"3 to 5")</f>
        <v/>
      </c>
      <c r="O635" s="1">
        <f>IFERROR(__xludf.DUMMYFUNCTION("""COMPUTED_VALUE"""),"Business to Consumer")</f>
        <v/>
      </c>
      <c r="P635" s="1">
        <f>IFERROR(__xludf.DUMMYFUNCTION("""COMPUTED_VALUE"""),"Secondary Education")</f>
        <v/>
      </c>
      <c r="Q635" s="1">
        <f>IFERROR(__xludf.DUMMYFUNCTION("""COMPUTED_VALUE"""),"System/Administrative, Student interfacing")</f>
        <v/>
      </c>
      <c r="R635" s="1" t="n"/>
      <c r="S635" s="1">
        <f>IFERROR(__xludf.DUMMYFUNCTION("""COMPUTED_VALUE"""),"@Academator")</f>
        <v/>
      </c>
      <c r="T635" s="15">
        <f>IFERROR(__xludf.DUMMYFUNCTION("""COMPUTED_VALUE"""),"https://www.linkedin.com/company/academator")</f>
        <v/>
      </c>
      <c r="U635" s="1" t="n"/>
      <c r="V635" s="1" t="n"/>
      <c r="W635" s="1" t="n"/>
      <c r="X635" s="1" t="n"/>
      <c r="Y635" s="15">
        <f>IFERROR(__xludf.DUMMYFUNCTION("""COMPUTED_VALUE"""),"https://drive.google.com/uc?export=view&amp;id=1Ihmme8abNtP_d_j5O3LTsGs0F49dWOX2")</f>
        <v/>
      </c>
      <c r="Z635" s="1">
        <f>IFERROR(__xludf.DUMMYFUNCTION("""COMPUTED_VALUE"""),"Unverified")</f>
        <v/>
      </c>
      <c r="AA635" s="1" t="n"/>
      <c r="AB635" s="1" t="n"/>
      <c r="AC635" s="1" t="n"/>
      <c r="AD635" s="1" t="n"/>
      <c r="AE635" s="1" t="n"/>
    </row>
    <row r="636" ht="42" customHeight="1">
      <c r="A636" s="14">
        <f>IFERROR(__xludf.DUMMYFUNCTION("""COMPUTED_VALUE"""),45186)</f>
        <v/>
      </c>
      <c r="B636" s="1">
        <f>IFERROR(__xludf.DUMMYFUNCTION("""COMPUTED_VALUE"""),"ORG_2126")</f>
        <v/>
      </c>
      <c r="C636" s="1">
        <f>IFERROR(__xludf.DUMMYFUNCTION("""COMPUTED_VALUE"""),TRUE)</f>
        <v/>
      </c>
      <c r="D636" s="1">
        <f>IFERROR(__xludf.DUMMYFUNCTION("""COMPUTED_VALUE"""),"ProjectSet")</f>
        <v/>
      </c>
      <c r="E636" s="15">
        <f>IFERROR(__xludf.DUMMYFUNCTION("""COMPUTED_VALUE"""),"https://projectset.com/")</f>
        <v/>
      </c>
      <c r="F636" s="1">
        <f>IFERROR(__xludf.DUMMYFUNCTION("""COMPUTED_VALUE"""),"ProjectSet is an award-winning digital platform for work-based learning programs. It offers team-based virtual projects, competitions, bootcamps and videos for learners to build soft-skills, with mentorship from employer organisations. The platform is use"&amp;"d by learners from more than 2,500 schools and 600 universities. ProjectSet won International Tools Competition and was featured in ASU-GSV Global Elite 200 and HolonIQ Edtech 200 lists.")</f>
        <v/>
      </c>
      <c r="G636" s="1">
        <f>IFERROR(__xludf.DUMMYFUNCTION("""COMPUTED_VALUE"""),"I'm not part of any EdTech association")</f>
        <v/>
      </c>
      <c r="H636" s="1">
        <f>IFERROR(__xludf.DUMMYFUNCTION("""COMPUTED_VALUE"""),"English")</f>
        <v/>
      </c>
      <c r="I636" s="1">
        <f>IFERROR(__xludf.DUMMYFUNCTION("""COMPUTED_VALUE"""),"info@projectset.com")</f>
        <v/>
      </c>
      <c r="J636" s="1">
        <f>IFERROR(__xludf.DUMMYFUNCTION("""COMPUTED_VALUE"""),"2071128920")</f>
        <v/>
      </c>
      <c r="K636" s="1">
        <f>IFERROR(__xludf.DUMMYFUNCTION("""COMPUTED_VALUE"""),"London")</f>
        <v/>
      </c>
      <c r="L636" s="1">
        <f>IFERROR(__xludf.DUMMYFUNCTION("""COMPUTED_VALUE"""),"United Kingdom")</f>
        <v/>
      </c>
      <c r="M636" s="1">
        <f>IFERROR(__xludf.DUMMYFUNCTION("""COMPUTED_VALUE"""),"Austria, Belgium, Germany, Ireland, United Kingdom")</f>
        <v/>
      </c>
      <c r="N636" s="1">
        <f>IFERROR(__xludf.DUMMYFUNCTION("""COMPUTED_VALUE"""),"6 to 10")</f>
        <v/>
      </c>
      <c r="O636" s="1">
        <f>IFERROR(__xludf.DUMMYFUNCTION("""COMPUTED_VALUE"""),"Business to Consumer, Business to Schools")</f>
        <v/>
      </c>
      <c r="P636" s="1">
        <f>IFERROR(__xludf.DUMMYFUNCTION("""COMPUTED_VALUE"""),"Secondary Education, Vocational Education and Training (VET), Higher Education")</f>
        <v/>
      </c>
      <c r="Q636" s="1">
        <f>IFERROR(__xludf.DUMMYFUNCTION("""COMPUTED_VALUE"""),"Student interfacing, Teacher interfacing, System/Administrative")</f>
        <v/>
      </c>
      <c r="R636" s="15">
        <f>IFERROR(__xludf.DUMMYFUNCTION("""COMPUTED_VALUE"""),"https://www.instagram.com/project.set/")</f>
        <v/>
      </c>
      <c r="S636" s="15">
        <f>IFERROR(__xludf.DUMMYFUNCTION("""COMPUTED_VALUE"""),"https://twitter.com/ProjectSetUK")</f>
        <v/>
      </c>
      <c r="T636" s="15">
        <f>IFERROR(__xludf.DUMMYFUNCTION("""COMPUTED_VALUE"""),"https://www.linkedin.com/company/projectset")</f>
        <v/>
      </c>
      <c r="U636" s="1">
        <f>IFERROR(__xludf.DUMMYFUNCTION("""COMPUTED_VALUE"""),"ProjectSet Skill Bootcamps")</f>
        <v/>
      </c>
      <c r="V636" s="1">
        <f>IFERROR(__xludf.DUMMYFUNCTION("""COMPUTED_VALUE"""),"The Skill Bootcamps comprise a series of weekly Masterclasses and Microprojects focused on a specific soft-skill cluster or supporting tool. The Masterclasses includes presentations, video examples and an interactive insights session from an employer. The"&amp;" Microproject offers participants an opportunity to apply the specific skills in a short, virtual engagement. The bootcamp is fully accredited by CPD and participants are awarded points for successfully completing the program.")</f>
        <v/>
      </c>
      <c r="W636" s="1">
        <f>IFERROR(__xludf.DUMMYFUNCTION("""COMPUTED_VALUE"""),"ProjectSet SkillGPS")</f>
        <v/>
      </c>
      <c r="X636" s="1">
        <f>IFERROR(__xludf.DUMMYFUNCTION("""COMPUTED_VALUE"""),"SkillGPS is a digital tool to measure soft-skills based on 12 distinct skill clusters. These skill clusters represent 89 underlying soft-skills that are critical for talent communities to succeed in the future of work. The tools builds a custom skill prof"&amp;"ile of each user by aggregating a range of input data from diverse sources including i) feedback scores from projects, competitions and bootcamps; ii) their online activity logs on our platform and iii) self-assessment.")</f>
        <v/>
      </c>
      <c r="Y636" s="15">
        <f>IFERROR(__xludf.DUMMYFUNCTION("""COMPUTED_VALUE"""),"https://drive.google.com/uc?export=view&amp;id=18MUSW8Fa5YdMMmquBUz4rdHM53IsMHCc")</f>
        <v/>
      </c>
      <c r="Z636" s="1">
        <f>IFERROR(__xludf.DUMMYFUNCTION("""COMPUTED_VALUE"""),"Unverified")</f>
        <v/>
      </c>
      <c r="AA636" s="1" t="n"/>
      <c r="AB636" s="1" t="n"/>
      <c r="AC636" s="1" t="n"/>
      <c r="AD636" s="1" t="n"/>
      <c r="AE636" s="1" t="n"/>
    </row>
    <row r="637" ht="42" customHeight="1">
      <c r="A637" s="14">
        <f>IFERROR(__xludf.DUMMYFUNCTION("""COMPUTED_VALUE"""),45186)</f>
        <v/>
      </c>
      <c r="B637" s="1">
        <f>IFERROR(__xludf.DUMMYFUNCTION("""COMPUTED_VALUE"""),"ORG_2430")</f>
        <v/>
      </c>
      <c r="C637" s="1">
        <f>IFERROR(__xludf.DUMMYFUNCTION("""COMPUTED_VALUE"""),TRUE)</f>
        <v/>
      </c>
      <c r="D637" s="1">
        <f>IFERROR(__xludf.DUMMYFUNCTION("""COMPUTED_VALUE"""),"Trezorium")</f>
        <v/>
      </c>
      <c r="E637" s="15">
        <f>IFERROR(__xludf.DUMMYFUNCTION("""COMPUTED_VALUE"""),"https://www.trezorium.com/")</f>
        <v/>
      </c>
      <c r="F637" s="1">
        <f>IFERROR(__xludf.DUMMYFUNCTION("""COMPUTED_VALUE"""),"Trezorium aims to develop creativity and empowerment of kids and big kids thanks to a creative educational methods and digital technology. Trezorium sets up fablabs for kids &amp; big kids in schools, library, museum and companies. With the challenge of devel"&amp;"oping the creative and digital skills of individuals, Trezorium develops and supports the implementation of open badge recognition systems for learning organizations and territories.")</f>
        <v/>
      </c>
      <c r="G637" s="1">
        <f>IFERROR(__xludf.DUMMYFUNCTION("""COMPUTED_VALUE"""),"EdTech France")</f>
        <v/>
      </c>
      <c r="H637" s="1">
        <f>IFERROR(__xludf.DUMMYFUNCTION("""COMPUTED_VALUE"""),"French")</f>
        <v/>
      </c>
      <c r="I637" s="1">
        <f>IFERROR(__xludf.DUMMYFUNCTION("""COMPUTED_VALUE"""),"contact@trezorium.com")</f>
        <v/>
      </c>
      <c r="J637" s="1">
        <f>IFERROR(__xludf.DUMMYFUNCTION("""COMPUTED_VALUE"""),"+33 6 26 33 09 67")</f>
        <v/>
      </c>
      <c r="K637" s="1">
        <f>IFERROR(__xludf.DUMMYFUNCTION("""COMPUTED_VALUE"""),"TOURCOING")</f>
        <v/>
      </c>
      <c r="L637" s="1">
        <f>IFERROR(__xludf.DUMMYFUNCTION("""COMPUTED_VALUE"""),"France")</f>
        <v/>
      </c>
      <c r="M637" s="1">
        <f>IFERROR(__xludf.DUMMYFUNCTION("""COMPUTED_VALUE"""),"France")</f>
        <v/>
      </c>
      <c r="N637" s="1">
        <f>IFERROR(__xludf.DUMMYFUNCTION("""COMPUTED_VALUE"""),"0 to 2")</f>
        <v/>
      </c>
      <c r="O637" s="1">
        <f>IFERROR(__xludf.DUMMYFUNCTION("""COMPUTED_VALUE"""),"Business to Government, Business to Schools")</f>
        <v/>
      </c>
      <c r="P637" s="1">
        <f>IFERROR(__xludf.DUMMYFUNCTION("""COMPUTED_VALUE"""),"Primary Education, Secondary Education, Lifelong learning/Adult education")</f>
        <v/>
      </c>
      <c r="Q637" s="1">
        <f>IFERROR(__xludf.DUMMYFUNCTION("""COMPUTED_VALUE"""),"System/Administrative, Student interfacing, Teacher interfacing")</f>
        <v/>
      </c>
      <c r="R637" s="15">
        <f>IFERROR(__xludf.DUMMYFUNCTION("""COMPUTED_VALUE"""),"https://www.instagram.com/trezorium/")</f>
        <v/>
      </c>
      <c r="S637" s="15">
        <f>IFERROR(__xludf.DUMMYFUNCTION("""COMPUTED_VALUE"""),"https://twitter.com/trezorium")</f>
        <v/>
      </c>
      <c r="T637" s="15">
        <f>IFERROR(__xludf.DUMMYFUNCTION("""COMPUTED_VALUE"""),"https://www.linkedin.com/company/trezorium")</f>
        <v/>
      </c>
      <c r="U637" s="1">
        <f>IFERROR(__xludf.DUMMYFUNCTION("""COMPUTED_VALUE"""),"Fablab for kids")</f>
        <v/>
      </c>
      <c r="V637" s="1">
        <f>IFERROR(__xludf.DUMMYFUNCTION("""COMPUTED_VALUE"""),"Implementation of experiments of liberation and creation of ideas for educational purposes (inspired by fablabs) by supporting educational structures and communities: animation of creative &amp; digital workshops and training")</f>
        <v/>
      </c>
      <c r="W637" s="15">
        <f>IFERROR(__xludf.DUMMYFUNCTION("""COMPUTED_VALUE"""),"Makerium.fr")</f>
        <v/>
      </c>
      <c r="X637" s="1">
        <f>IFERROR(__xludf.DUMMYFUNCTION("""COMPUTED_VALUE"""),"Makerium.fr is the leading online platform for Maker Education, which brings together educational content to conduct cross-disciplinary, creative and digital workshops with young people and distributes open badges in order to promote and recognize the ski"&amp;"lls acquired.")</f>
        <v/>
      </c>
      <c r="Y637" s="15">
        <f>IFERROR(__xludf.DUMMYFUNCTION("""COMPUTED_VALUE"""),"https://drive.google.com/uc?export=view&amp;id=1VfXIx7UC-5AMX9sgzh53wray6f5ifzhi")</f>
        <v/>
      </c>
      <c r="Z637" s="1">
        <f>IFERROR(__xludf.DUMMYFUNCTION("""COMPUTED_VALUE"""),"Unverified")</f>
        <v/>
      </c>
      <c r="AA637" s="1" t="n"/>
      <c r="AB637" s="1" t="n"/>
      <c r="AC637" s="1" t="n"/>
      <c r="AD637" s="1" t="n"/>
      <c r="AE637" s="1" t="n"/>
    </row>
    <row r="638" ht="42" customHeight="1">
      <c r="A638" s="14">
        <f>IFERROR(__xludf.DUMMYFUNCTION("""COMPUTED_VALUE"""),45185)</f>
        <v/>
      </c>
      <c r="B638" s="1">
        <f>IFERROR(__xludf.DUMMYFUNCTION("""COMPUTED_VALUE"""),"ORG_1568")</f>
        <v/>
      </c>
      <c r="C638" s="1">
        <f>IFERROR(__xludf.DUMMYFUNCTION("""COMPUTED_VALUE"""),TRUE)</f>
        <v/>
      </c>
      <c r="D638" s="1">
        <f>IFERROR(__xludf.DUMMYFUNCTION("""COMPUTED_VALUE"""),"Flowley")</f>
        <v/>
      </c>
      <c r="E638" s="15">
        <f>IFERROR(__xludf.DUMMYFUNCTION("""COMPUTED_VALUE"""),"https://flowley.nl")</f>
        <v/>
      </c>
      <c r="F638" s="1">
        <f>IFERROR(__xludf.DUMMYFUNCTION("""COMPUTED_VALUE"""),"We are on a mission to provide all students with a fun and easy way to start working on their own well-being in a positive way. Not just at the moment when they experience problems, but rather preventatively in order to avoid them. We do this by creating "&amp;"awareness and providing the essential life skills from an educational perspective that fully fits their perception and personal life stage/challenges. Therefore Flowley offers both inspiration ánd activation with the aim of getting students to take their "&amp;"own first steps. The community of fellow students can help and motivate each other on a peer-to-peer basis. This way there is only one place where you as a student can go for everything relating to personal development &amp; well-being and where you can start"&amp;" your own personal journey at your convenience.")</f>
        <v/>
      </c>
      <c r="G638" s="1">
        <f>IFERROR(__xludf.DUMMYFUNCTION("""COMPUTED_VALUE"""),"Dutch EdTech")</f>
        <v/>
      </c>
      <c r="H638" s="1">
        <f>IFERROR(__xludf.DUMMYFUNCTION("""COMPUTED_VALUE"""),"Dutch")</f>
        <v/>
      </c>
      <c r="I638" s="1">
        <f>IFERROR(__xludf.DUMMYFUNCTION("""COMPUTED_VALUE"""),"hello@flowley.nl")</f>
        <v/>
      </c>
      <c r="J638" s="1" t="n"/>
      <c r="K638" s="1">
        <f>IFERROR(__xludf.DUMMYFUNCTION("""COMPUTED_VALUE"""),"Utrecht")</f>
        <v/>
      </c>
      <c r="L638" s="1">
        <f>IFERROR(__xludf.DUMMYFUNCTION("""COMPUTED_VALUE"""),"The Netherlands")</f>
        <v/>
      </c>
      <c r="M638" s="1">
        <f>IFERROR(__xludf.DUMMYFUNCTION("""COMPUTED_VALUE"""),"Netherlands")</f>
        <v/>
      </c>
      <c r="N638" s="1">
        <f>IFERROR(__xludf.DUMMYFUNCTION("""COMPUTED_VALUE"""),"0 to 2")</f>
        <v/>
      </c>
      <c r="O638" s="1">
        <f>IFERROR(__xludf.DUMMYFUNCTION("""COMPUTED_VALUE"""),"Business to Business, Business to Consumer, Business to Government, Business to Schools")</f>
        <v/>
      </c>
      <c r="P638" s="1">
        <f>IFERROR(__xludf.DUMMYFUNCTION("""COMPUTED_VALUE"""),"Secondary Education, Corporate Training, Lifelong learning/Adult education, Vocational Education and Training (VET), Higher Education")</f>
        <v/>
      </c>
      <c r="Q638" s="1">
        <f>IFERROR(__xludf.DUMMYFUNCTION("""COMPUTED_VALUE"""),"Student interfacing, Teacher interfacing, System/Administrative")</f>
        <v/>
      </c>
      <c r="R638" s="1" t="n"/>
      <c r="S638" s="1" t="n"/>
      <c r="T638" s="15">
        <f>IFERROR(__xludf.DUMMYFUNCTION("""COMPUTED_VALUE"""),"https://www.linkedin.com/company/flowley/")</f>
        <v/>
      </c>
      <c r="U638" s="1">
        <f>IFERROR(__xludf.DUMMYFUNCTION("""COMPUTED_VALUE"""),"Flowley")</f>
        <v/>
      </c>
      <c r="V638" s="1">
        <f>IFERROR(__xludf.DUMMYFUNCTION("""COMPUTED_VALUE"""),"We facilitate a central (community) environment for all students where they can discover, at any given time and according to their own interests, a wide range of themes/challenges that are (in)directly related to their personal/identity development. We lo"&amp;"ok at this from a holistic perspective and we package it towards the student as personal development &amp; well-being, in which health skills, social-emotional skills, personal happiness and pleasant studying/working form the core.")</f>
        <v/>
      </c>
      <c r="W638" s="1" t="n"/>
      <c r="X638" s="1" t="n"/>
      <c r="Y638" s="15">
        <f>IFERROR(__xludf.DUMMYFUNCTION("""COMPUTED_VALUE"""),"https://drive.google.com/uc?export=view&amp;id=1PNUN4QlQ1H_gG3a5iCZkRRim6upBiIx2")</f>
        <v/>
      </c>
      <c r="Z638" s="1">
        <f>IFERROR(__xludf.DUMMYFUNCTION("""COMPUTED_VALUE"""),"Unverified")</f>
        <v/>
      </c>
      <c r="AA638" s="1" t="n"/>
      <c r="AB638" s="1" t="n"/>
      <c r="AC638" s="1" t="n"/>
      <c r="AD638" s="1" t="n"/>
      <c r="AE638" s="1" t="n"/>
    </row>
    <row r="639" ht="42" customHeight="1">
      <c r="A639" s="14">
        <f>IFERROR(__xludf.DUMMYFUNCTION("""COMPUTED_VALUE"""),45185)</f>
        <v/>
      </c>
      <c r="B639" s="1">
        <f>IFERROR(__xludf.DUMMYFUNCTION("""COMPUTED_VALUE"""),"ORG_1560")</f>
        <v/>
      </c>
      <c r="C639" s="1">
        <f>IFERROR(__xludf.DUMMYFUNCTION("""COMPUTED_VALUE"""),TRUE)</f>
        <v/>
      </c>
      <c r="D639" s="1">
        <f>IFERROR(__xludf.DUMMYFUNCTION("""COMPUTED_VALUE"""),"Feel and Play")</f>
        <v/>
      </c>
      <c r="E639" s="15">
        <f>IFERROR(__xludf.DUMMYFUNCTION("""COMPUTED_VALUE"""),"www.feelandplay.com")</f>
        <v/>
      </c>
      <c r="F639" s="1">
        <f>IFERROR(__xludf.DUMMYFUNCTION("""COMPUTED_VALUE"""),"Inspired by the notion that 'We learn from kids to teach kids,' our creative Feel &amp; Play world introduces a transformative concept: What if children could become our guides in understanding their emotional world? What if they could guide each other to und"&amp;"erstand one another too? Imagine a unique group learning app designed to foster connections through the magical realms of music and creative expression.
Feel and Play is a creative company that produces engaging classical music fairytales and superb tool"&amp;"s to educators and parents for developing children´s social and emotional skills. We want to help in bringing up a generation of well-balanced humans.")</f>
        <v/>
      </c>
      <c r="G639" s="1">
        <f>IFERROR(__xludf.DUMMYFUNCTION("""COMPUTED_VALUE"""),"EdTech Finland")</f>
        <v/>
      </c>
      <c r="H639" s="1">
        <f>IFERROR(__xludf.DUMMYFUNCTION("""COMPUTED_VALUE"""),"Finnish, English, Swedish, Italian")</f>
        <v/>
      </c>
      <c r="I639" s="1">
        <f>IFERROR(__xludf.DUMMYFUNCTION("""COMPUTED_VALUE"""),"teemu@musicfairytales.fi")</f>
        <v/>
      </c>
      <c r="J639" s="1">
        <f>IFERROR(__xludf.DUMMYFUNCTION("""COMPUTED_VALUE"""),"+358405131864")</f>
        <v/>
      </c>
      <c r="K639" s="1">
        <f>IFERROR(__xludf.DUMMYFUNCTION("""COMPUTED_VALUE"""),"Mikkeli")</f>
        <v/>
      </c>
      <c r="L639" s="1">
        <f>IFERROR(__xludf.DUMMYFUNCTION("""COMPUTED_VALUE"""),"Finland")</f>
        <v/>
      </c>
      <c r="M639" s="1">
        <f>IFERROR(__xludf.DUMMYFUNCTION("""COMPUTED_VALUE"""),"Finland, Sweden, United Kingdom")</f>
        <v/>
      </c>
      <c r="N639" s="1">
        <f>IFERROR(__xludf.DUMMYFUNCTION("""COMPUTED_VALUE"""),"6 to 10")</f>
        <v/>
      </c>
      <c r="O639" s="1">
        <f>IFERROR(__xludf.DUMMYFUNCTION("""COMPUTED_VALUE"""),"Business to Business, Business to Consumer")</f>
        <v/>
      </c>
      <c r="P639" s="1">
        <f>IFERROR(__xludf.DUMMYFUNCTION("""COMPUTED_VALUE"""),"Early childhood development (0-5 years), Primary Education")</f>
        <v/>
      </c>
      <c r="Q639" s="1">
        <f>IFERROR(__xludf.DUMMYFUNCTION("""COMPUTED_VALUE"""),"System/Administrative, Student interfacing, Teacher interfacing")</f>
        <v/>
      </c>
      <c r="R639" s="15">
        <f>IFERROR(__xludf.DUMMYFUNCTION("""COMPUTED_VALUE"""),"https://www.instagram.com/musicfairytales_official/")</f>
        <v/>
      </c>
      <c r="S639" s="1">
        <f>IFERROR(__xludf.DUMMYFUNCTION("""COMPUTED_VALUE"""),"MusicFairyTales MFT Oy")</f>
        <v/>
      </c>
      <c r="T639" s="15">
        <f>IFERROR(__xludf.DUMMYFUNCTION("""COMPUTED_VALUE"""),"https://www.linkedin.com/company/musicfairytales/")</f>
        <v/>
      </c>
      <c r="U639" s="1">
        <f>IFERROR(__xludf.DUMMYFUNCTION("""COMPUTED_VALUE"""),"Feel &amp; Play")</f>
        <v/>
      </c>
      <c r="V639" s="1">
        <f>IFERROR(__xludf.DUMMYFUNCTION("""COMPUTED_VALUE"""),"Feel and Play products aim to create profound connections between kids and parents, kids and educators, and kids in peer-to-peer learning. Imagine if kids invited us into their world, inviting us to play with them, rather than us asking them to invite us."&amp;" To achieve this, the Feel and Play products use interactive gameplay, incorporating music and creative expression to bridge the generational gap. Through these engaging experiences, we strive to facilitate the harmonious connection between generations, f"&amp;"ostering an environment where emotions are explored, understood, and celebrated together. This innovative approach not only redefines how we learn but also reimagines how we connect as a community.")</f>
        <v/>
      </c>
      <c r="W639" s="1">
        <f>IFERROR(__xludf.DUMMYFUNCTION("""COMPUTED_VALUE"""),"Storywall")</f>
        <v/>
      </c>
      <c r="X639" s="1">
        <f>IFERROR(__xludf.DUMMYFUNCTION("""COMPUTED_VALUE"""),"Our first immersive experience, set to the music of Jean Sibelius and Leevi Madetoja. The Storywall is a full-sized, interactive fantasy wall; on it, children can listen to the musical fairy tale of Mary the Heart Singer and play games set in its world. T"&amp;"he first two Storywalls are set up at Oodi, the Helsinki Central Library, and in Kattilansilta Daycare, Mikkeli. The Storywall is a joint production with OiOi.
Languages: Finnish, Swedish, English and Ukrainian.")</f>
        <v/>
      </c>
      <c r="Y639" s="15">
        <f>IFERROR(__xludf.DUMMYFUNCTION("""COMPUTED_VALUE"""),"https://drive.google.com/uc?export=view&amp;id=1lcAN0Etrc75KAPTRDi3fSTcnGTo8UTtK")</f>
        <v/>
      </c>
      <c r="Z639" s="1">
        <f>IFERROR(__xludf.DUMMYFUNCTION("""COMPUTED_VALUE"""),"Unverified")</f>
        <v/>
      </c>
      <c r="AA639" s="1" t="n"/>
      <c r="AB639" s="1" t="n"/>
      <c r="AC639" s="1" t="n"/>
      <c r="AD639" s="1" t="n"/>
      <c r="AE639" s="1" t="n"/>
    </row>
    <row r="640" ht="42" customHeight="1">
      <c r="A640" s="14">
        <f>IFERROR(__xludf.DUMMYFUNCTION("""COMPUTED_VALUE"""),45184)</f>
        <v/>
      </c>
      <c r="B640" s="1">
        <f>IFERROR(__xludf.DUMMYFUNCTION("""COMPUTED_VALUE"""),"ORG_1971")</f>
        <v/>
      </c>
      <c r="C640" s="1">
        <f>IFERROR(__xludf.DUMMYFUNCTION("""COMPUTED_VALUE"""),TRUE)</f>
        <v/>
      </c>
      <c r="D640" s="1">
        <f>IFERROR(__xludf.DUMMYFUNCTION("""COMPUTED_VALUE"""),"mirroco")</f>
        <v/>
      </c>
      <c r="E640" s="15">
        <f>IFERROR(__xludf.DUMMYFUNCTION("""COMPUTED_VALUE"""),"www.mirroco.ch")</f>
        <v/>
      </c>
      <c r="F640" s="1">
        <f>IFERROR(__xludf.DUMMYFUNCTION("""COMPUTED_VALUE"""),"mirroco provides a learning platform where teachers and other learning experts create learning content, link it with a catalog of skills (like Lehrplan21) and assess their students learnings it in a new way! mirrocos assessments empower students by making"&amp;" their learning visible and focusing on their talents and potentials. By doing so mirroco establishes a new learning culture in swiss schools.")</f>
        <v/>
      </c>
      <c r="G640" s="1">
        <f>IFERROR(__xludf.DUMMYFUNCTION("""COMPUTED_VALUE"""),"Swiss EdTech Collider")</f>
        <v/>
      </c>
      <c r="H640" s="1">
        <f>IFERROR(__xludf.DUMMYFUNCTION("""COMPUTED_VALUE"""),"German, English")</f>
        <v/>
      </c>
      <c r="I640" s="1">
        <f>IFERROR(__xludf.DUMMYFUNCTION("""COMPUTED_VALUE"""),"info@mirroco.ch")</f>
        <v/>
      </c>
      <c r="J640" s="1" t="n"/>
      <c r="K640" s="1">
        <f>IFERROR(__xludf.DUMMYFUNCTION("""COMPUTED_VALUE"""),"ZOLLIKOFEN")</f>
        <v/>
      </c>
      <c r="L640" s="1">
        <f>IFERROR(__xludf.DUMMYFUNCTION("""COMPUTED_VALUE"""),"Switzerland")</f>
        <v/>
      </c>
      <c r="M640" s="1">
        <f>IFERROR(__xludf.DUMMYFUNCTION("""COMPUTED_VALUE"""),"Germany, Switzerland")</f>
        <v/>
      </c>
      <c r="N640" s="1">
        <f>IFERROR(__xludf.DUMMYFUNCTION("""COMPUTED_VALUE"""),"3 to 5")</f>
        <v/>
      </c>
      <c r="O640" s="1">
        <f>IFERROR(__xludf.DUMMYFUNCTION("""COMPUTED_VALUE"""),"Business to Business, Business to Government, Business to Schools")</f>
        <v/>
      </c>
      <c r="P640" s="1">
        <f>IFERROR(__xludf.DUMMYFUNCTION("""COMPUTED_VALUE"""),"Primary Education, Secondary Education, Corporate Training, Lifelong learning/Adult education")</f>
        <v/>
      </c>
      <c r="Q640" s="1">
        <f>IFERROR(__xludf.DUMMYFUNCTION("""COMPUTED_VALUE"""),"Student interfacing, Teacher interfacing")</f>
        <v/>
      </c>
      <c r="R640" s="1" t="n"/>
      <c r="S640" s="1" t="n"/>
      <c r="T640" s="15">
        <f>IFERROR(__xludf.DUMMYFUNCTION("""COMPUTED_VALUE"""),"https://cl.linkedin.com/company/mirroco")</f>
        <v/>
      </c>
      <c r="U640" s="1">
        <f>IFERROR(__xludf.DUMMYFUNCTION("""COMPUTED_VALUE"""),"mirroco school")</f>
        <v/>
      </c>
      <c r="V640" s="1">
        <f>IFERROR(__xludf.DUMMYFUNCTION("""COMPUTED_VALUE"""),"mirroco school provides a learning platform for learning coaches and teachers to create competence linked content that is easily evaluated. Therefore learning processes become visible and the next learning steps can be read off.")</f>
        <v/>
      </c>
      <c r="W640" s="1">
        <f>IFERROR(__xludf.DUMMYFUNCTION("""COMPUTED_VALUE"""),"mirroco unique")</f>
        <v/>
      </c>
      <c r="X640" s="1">
        <f>IFERROR(__xludf.DUMMYFUNCTION("""COMPUTED_VALUE"""),"Based on mirroco school special education schools can now digitally map the skill growth of their students by creating their educational planning!")</f>
        <v/>
      </c>
      <c r="Y640" s="15">
        <f>IFERROR(__xludf.DUMMYFUNCTION("""COMPUTED_VALUE"""),"https://drive.google.com/uc?export=view&amp;id=1I8sFHhKtUk23qZOUzfd4OJEt5GSzC_CF")</f>
        <v/>
      </c>
      <c r="Z640" s="1">
        <f>IFERROR(__xludf.DUMMYFUNCTION("""COMPUTED_VALUE"""),"Unverified")</f>
        <v/>
      </c>
      <c r="AA640" s="1" t="n"/>
      <c r="AB640" s="1" t="n"/>
      <c r="AC640" s="1" t="n"/>
      <c r="AD640" s="1" t="n"/>
      <c r="AE640" s="1" t="n"/>
    </row>
    <row r="641" ht="42" customHeight="1">
      <c r="A641" s="14">
        <f>IFERROR(__xludf.DUMMYFUNCTION("""COMPUTED_VALUE"""),45184)</f>
        <v/>
      </c>
      <c r="B641" s="1">
        <f>IFERROR(__xludf.DUMMYFUNCTION("""COMPUTED_VALUE"""),"ORG_1875")</f>
        <v/>
      </c>
      <c r="C641" s="1">
        <f>IFERROR(__xludf.DUMMYFUNCTION("""COMPUTED_VALUE"""),TRUE)</f>
        <v/>
      </c>
      <c r="D641" s="1">
        <f>IFERROR(__xludf.DUMMYFUNCTION("""COMPUTED_VALUE"""),"Liirn")</f>
        <v/>
      </c>
      <c r="E641" s="15">
        <f>IFERROR(__xludf.DUMMYFUNCTION("""COMPUTED_VALUE"""),"https://liirn.space/")</f>
        <v/>
      </c>
      <c r="F641" s="1">
        <f>IFERROR(__xludf.DUMMYFUNCTION("""COMPUTED_VALUE"""),"Liirn is working with foundations, NGOs, schools, and art therapists— to provide innovative social-emotional programming for students, on its online learning platform.
Our mission is to make education accessible, which we do by bringing content to a loca"&amp;"l level.
The Liirn platform is for learners and educators who want to connect, learn, and share knowledge.")</f>
        <v/>
      </c>
      <c r="G641" s="1">
        <f>IFERROR(__xludf.DUMMYFUNCTION("""COMPUTED_VALUE"""),"EdTech Denmark")</f>
        <v/>
      </c>
      <c r="H641" s="1" t="n"/>
      <c r="I641" s="1">
        <f>IFERROR(__xludf.DUMMYFUNCTION("""COMPUTED_VALUE"""),"Jesper@liirn.app")</f>
        <v/>
      </c>
      <c r="J641" s="1" t="n"/>
      <c r="K641" s="1">
        <f>IFERROR(__xludf.DUMMYFUNCTION("""COMPUTED_VALUE"""),"COPENHAGEN")</f>
        <v/>
      </c>
      <c r="L641" s="1">
        <f>IFERROR(__xludf.DUMMYFUNCTION("""COMPUTED_VALUE"""),"Denmark")</f>
        <v/>
      </c>
      <c r="M641" s="1">
        <f>IFERROR(__xludf.DUMMYFUNCTION("""COMPUTED_VALUE"""),"Denmark")</f>
        <v/>
      </c>
      <c r="N641" s="1">
        <f>IFERROR(__xludf.DUMMYFUNCTION("""COMPUTED_VALUE"""),"3 to 5")</f>
        <v/>
      </c>
      <c r="O641" s="1">
        <f>IFERROR(__xludf.DUMMYFUNCTION("""COMPUTED_VALUE"""),"Business to Business, Business to Consumer, Business to Schools")</f>
        <v/>
      </c>
      <c r="P641" s="1">
        <f>IFERROR(__xludf.DUMMYFUNCTION("""COMPUTED_VALUE"""),"Early childhood development (0-5 years), Primary Education, Secondary Education, Lifelong learning/Adult education")</f>
        <v/>
      </c>
      <c r="Q641" s="1">
        <f>IFERROR(__xludf.DUMMYFUNCTION("""COMPUTED_VALUE"""),"System/Administrative, Student interfacing, Teacher interfacing")</f>
        <v/>
      </c>
      <c r="R641" s="1" t="n"/>
      <c r="S641" s="1" t="n"/>
      <c r="T641" s="15">
        <f>IFERROR(__xludf.DUMMYFUNCTION("""COMPUTED_VALUE"""),"https://www.linkedin.com/company/liirn-by-grbll")</f>
        <v/>
      </c>
      <c r="U641" s="1">
        <f>IFERROR(__xludf.DUMMYFUNCTION("""COMPUTED_VALUE"""),"Liirn App")</f>
        <v/>
      </c>
      <c r="V641" s="1">
        <f>IFERROR(__xludf.DUMMYFUNCTION("""COMPUTED_VALUE"""),"The Liirn App is an IOS app which connects kids with a native speaker to help teach the kids a foreign language.
The tutor will teach the kids a langauge based on their passions by using it as the conversation topic to make the learning experience more en"&amp;"gaging and fun.
Parents can find a tutor for their kid(s) and follow their progress.")</f>
        <v/>
      </c>
      <c r="W641" s="1">
        <f>IFERROR(__xludf.DUMMYFUNCTION("""COMPUTED_VALUE"""),"Liirn Space")</f>
        <v/>
      </c>
      <c r="X641" s="1">
        <f>IFERROR(__xludf.DUMMYFUNCTION("""COMPUTED_VALUE"""),"Liirn is working with foundations, NGOs, schools, and art therapists— to provide innovative social-emotional programming for students, on its online learning platform.")</f>
        <v/>
      </c>
      <c r="Y641" s="15">
        <f>IFERROR(__xludf.DUMMYFUNCTION("""COMPUTED_VALUE"""),"https://drive.google.com/uc?export=view&amp;id=1cy8acoX6GthKWrVuzNLZLQ6DejzhpZjP")</f>
        <v/>
      </c>
      <c r="Z641" s="1">
        <f>IFERROR(__xludf.DUMMYFUNCTION("""COMPUTED_VALUE"""),"Unverified")</f>
        <v/>
      </c>
      <c r="AA641" s="1" t="n"/>
      <c r="AB641" s="1" t="n"/>
      <c r="AC641" s="1" t="n"/>
      <c r="AD641" s="1" t="n"/>
      <c r="AE641" s="1" t="n"/>
    </row>
    <row r="642" ht="42" customHeight="1">
      <c r="A642" s="14">
        <f>IFERROR(__xludf.DUMMYFUNCTION("""COMPUTED_VALUE"""),45184)</f>
        <v/>
      </c>
      <c r="B642" s="1">
        <f>IFERROR(__xludf.DUMMYFUNCTION("""COMPUTED_VALUE"""),"ORG_1694")</f>
        <v/>
      </c>
      <c r="C642" s="1">
        <f>IFERROR(__xludf.DUMMYFUNCTION("""COMPUTED_VALUE"""),TRUE)</f>
        <v/>
      </c>
      <c r="D642" s="1">
        <f>IFERROR(__xludf.DUMMYFUNCTION("""COMPUTED_VALUE"""),"HUSSAR ACADEMY")</f>
        <v/>
      </c>
      <c r="E642" s="15">
        <f>IFERROR(__xludf.DUMMYFUNCTION("""COMPUTED_VALUE"""),"https://hussaracademy.fr")</f>
        <v/>
      </c>
      <c r="F642" s="1">
        <f>IFERROR(__xludf.DUMMYFUNCTION("""COMPUTED_VALUE"""),"Hussar Academy is a EdTech dedicated to ''learning by doing'' pedagogy. Its main objective is to integrate real-life business issues into the educational program based on an ecosystem that brings together engineering, coding, business and design schools a"&amp;"llowing students to acquire new skills that can be certified. Hussar Academy fosters direct student-company relationships during the 3 main courses: ideation, prototyping and acceleration leading to a natural recruitment.")</f>
        <v/>
      </c>
      <c r="G642" s="1">
        <f>IFERROR(__xludf.DUMMYFUNCTION("""COMPUTED_VALUE"""),"EdTech France")</f>
        <v/>
      </c>
      <c r="H642" s="1">
        <f>IFERROR(__xludf.DUMMYFUNCTION("""COMPUTED_VALUE"""),"English, French")</f>
        <v/>
      </c>
      <c r="I642" s="1">
        <f>IFERROR(__xludf.DUMMYFUNCTION("""COMPUTED_VALUE"""),"yvon.moysan@hussaracademy.fr")</f>
        <v/>
      </c>
      <c r="J642" s="1">
        <f>IFERROR(__xludf.DUMMYFUNCTION("""COMPUTED_VALUE"""),"+33662847100")</f>
        <v/>
      </c>
      <c r="K642" s="1">
        <f>IFERROR(__xludf.DUMMYFUNCTION("""COMPUTED_VALUE"""),"DOUARNENEZ")</f>
        <v/>
      </c>
      <c r="L642" s="1">
        <f>IFERROR(__xludf.DUMMYFUNCTION("""COMPUTED_VALUE"""),"France")</f>
        <v/>
      </c>
      <c r="M642" s="1">
        <f>IFERROR(__xludf.DUMMYFUNCTION("""COMPUTED_VALUE"""),"France, Switzerland")</f>
        <v/>
      </c>
      <c r="N642" s="1">
        <f>IFERROR(__xludf.DUMMYFUNCTION("""COMPUTED_VALUE"""),"0 to 2")</f>
        <v/>
      </c>
      <c r="O642" s="1">
        <f>IFERROR(__xludf.DUMMYFUNCTION("""COMPUTED_VALUE"""),"Business to Business, Business to Consumer, Business to Government, Business to Schools")</f>
        <v/>
      </c>
      <c r="P642" s="1">
        <f>IFERROR(__xludf.DUMMYFUNCTION("""COMPUTED_VALUE"""),"Secondary Education, Corporate Training")</f>
        <v/>
      </c>
      <c r="Q642" s="1">
        <f>IFERROR(__xludf.DUMMYFUNCTION("""COMPUTED_VALUE"""),"Teacher interfacing, System/Administrative")</f>
        <v/>
      </c>
      <c r="R642" s="15">
        <f>IFERROR(__xludf.DUMMYFUNCTION("""COMPUTED_VALUE"""),"https://www.instagram.com/accounts/login/?next=/hussaracademy/")</f>
        <v/>
      </c>
      <c r="S642" s="1">
        <f>IFERROR(__xludf.DUMMYFUNCTION("""COMPUTED_VALUE"""),"hussar academy")</f>
        <v/>
      </c>
      <c r="T642" s="15">
        <f>IFERROR(__xludf.DUMMYFUNCTION("""COMPUTED_VALUE"""),"https://www.linkedin.com/company/hussar-academy")</f>
        <v/>
      </c>
      <c r="U642" s="1">
        <f>IFERROR(__xludf.DUMMYFUNCTION("""COMPUTED_VALUE"""),"Ideation Course")</f>
        <v/>
      </c>
      <c r="V642" s="1">
        <f>IFERROR(__xludf.DUMMYFUNCTION("""COMPUTED_VALUE"""),"A course where diverse profiles of students come together for several days around real business issues from companies to solve in a hackathon format coached by tech experts.")</f>
        <v/>
      </c>
      <c r="W642" s="1">
        <f>IFERROR(__xludf.DUMMYFUNCTION("""COMPUTED_VALUE"""),"Prototyping Course")</f>
        <v/>
      </c>
      <c r="X642" s="1">
        <f>IFERROR(__xludf.DUMMYFUNCTION("""COMPUTED_VALUE"""),"Good ideas that emerged during the ideation course can be prototyped by students thanks to partnerships with Tech companies like IBM, Oracle or Microsoft. Students have access to free credits to develop and to Tech experts to answer their questions.")</f>
        <v/>
      </c>
      <c r="Y642" s="15">
        <f>IFERROR(__xludf.DUMMYFUNCTION("""COMPUTED_VALUE"""),"https://drive.google.com/uc?export=view&amp;id=1ho0NrSLEGTUlC1EnR723oJOTGWzu9h-6")</f>
        <v/>
      </c>
      <c r="Z642" s="1">
        <f>IFERROR(__xludf.DUMMYFUNCTION("""COMPUTED_VALUE"""),"Unverified")</f>
        <v/>
      </c>
      <c r="AA642" s="1" t="n"/>
      <c r="AB642" s="1" t="n"/>
      <c r="AC642" s="1" t="n"/>
      <c r="AD642" s="1" t="n"/>
      <c r="AE642" s="1" t="n"/>
    </row>
    <row r="643" ht="42" customHeight="1">
      <c r="A643" s="14">
        <f>IFERROR(__xludf.DUMMYFUNCTION("""COMPUTED_VALUE"""),45184)</f>
        <v/>
      </c>
      <c r="B643" s="1">
        <f>IFERROR(__xludf.DUMMYFUNCTION("""COMPUTED_VALUE"""),"ORG_2129")</f>
        <v/>
      </c>
      <c r="C643" s="1">
        <f>IFERROR(__xludf.DUMMYFUNCTION("""COMPUTED_VALUE"""),TRUE)</f>
        <v/>
      </c>
      <c r="D643" s="1">
        <f>IFERROR(__xludf.DUMMYFUNCTION("""COMPUTED_VALUE"""),"Prorenata")</f>
        <v/>
      </c>
      <c r="E643" s="15">
        <f>IFERROR(__xludf.DUMMYFUNCTION("""COMPUTED_VALUE"""),"www.prorenata.se")</f>
        <v/>
      </c>
      <c r="F643" s="1">
        <f>IFERROR(__xludf.DUMMYFUNCTION("""COMPUTED_VALUE"""),"Prorenata provides medical records, documentation and issue management systems for schools. Prorenata's main product Prorenata Journal is a flexible, cost efficient solution utilizing modern web technology.")</f>
        <v/>
      </c>
      <c r="G643" s="1">
        <f>IFERROR(__xludf.DUMMYFUNCTION("""COMPUTED_VALUE"""),"Swedish EdTech Industry")</f>
        <v/>
      </c>
      <c r="H643" s="1">
        <f>IFERROR(__xludf.DUMMYFUNCTION("""COMPUTED_VALUE"""),"Swedish")</f>
        <v/>
      </c>
      <c r="I643" s="1">
        <f>IFERROR(__xludf.DUMMYFUNCTION("""COMPUTED_VALUE"""),"info@prorenata.se")</f>
        <v/>
      </c>
      <c r="J643" s="1">
        <f>IFERROR(__xludf.DUMMYFUNCTION("""COMPUTED_VALUE"""),"+460 10 330 06 70")</f>
        <v/>
      </c>
      <c r="K643" s="1">
        <f>IFERROR(__xludf.DUMMYFUNCTION("""COMPUTED_VALUE"""),"Stockholm")</f>
        <v/>
      </c>
      <c r="L643" s="1">
        <f>IFERROR(__xludf.DUMMYFUNCTION("""COMPUTED_VALUE"""),"Sweden")</f>
        <v/>
      </c>
      <c r="M643" s="1">
        <f>IFERROR(__xludf.DUMMYFUNCTION("""COMPUTED_VALUE"""),"Sweden")</f>
        <v/>
      </c>
      <c r="N643" s="1">
        <f>IFERROR(__xludf.DUMMYFUNCTION("""COMPUTED_VALUE"""),"11 to 50")</f>
        <v/>
      </c>
      <c r="O643" s="1">
        <f>IFERROR(__xludf.DUMMYFUNCTION("""COMPUTED_VALUE"""),"Business to Business, Business to Government, Business to Schools")</f>
        <v/>
      </c>
      <c r="P643" s="1">
        <f>IFERROR(__xludf.DUMMYFUNCTION("""COMPUTED_VALUE"""),"Early childhood development (0-5 years), Primary Education, Secondary Education")</f>
        <v/>
      </c>
      <c r="Q643" s="1">
        <f>IFERROR(__xludf.DUMMYFUNCTION("""COMPUTED_VALUE"""),"System/Administrative, Student interfacing, Teacher interfacing")</f>
        <v/>
      </c>
      <c r="R643" s="1" t="n"/>
      <c r="S643" s="1" t="n"/>
      <c r="T643" s="15">
        <f>IFERROR(__xludf.DUMMYFUNCTION("""COMPUTED_VALUE"""),"https://www.linkedin.com/company/prorenata-ab/")</f>
        <v/>
      </c>
      <c r="U643" s="1">
        <f>IFERROR(__xludf.DUMMYFUNCTION("""COMPUTED_VALUE"""),"Prorenata Journal")</f>
        <v/>
      </c>
      <c r="V643" s="1">
        <f>IFERROR(__xludf.DUMMYFUNCTION("""COMPUTED_VALUE"""),"Prorenata Journal is a web based user friendly issue management and journal systems for schools and student health.")</f>
        <v/>
      </c>
      <c r="W643" s="1" t="n"/>
      <c r="X643" s="1" t="n"/>
      <c r="Y643" s="15">
        <f>IFERROR(__xludf.DUMMYFUNCTION("""COMPUTED_VALUE"""),"https://drive.google.com/uc?export=view&amp;id=1lykj_qNCeVccYOpWuJtzJ9An-uRJfwwo")</f>
        <v/>
      </c>
      <c r="Z643" s="1">
        <f>IFERROR(__xludf.DUMMYFUNCTION("""COMPUTED_VALUE"""),"Unverified")</f>
        <v/>
      </c>
      <c r="AA643" s="1" t="n"/>
      <c r="AB643" s="1" t="n"/>
      <c r="AC643" s="1" t="n"/>
      <c r="AD643" s="1" t="n"/>
      <c r="AE643" s="1" t="n"/>
    </row>
    <row r="644" ht="42" customHeight="1">
      <c r="A644" s="14">
        <f>IFERROR(__xludf.DUMMYFUNCTION("""COMPUTED_VALUE"""),45184)</f>
        <v/>
      </c>
      <c r="B644" s="1">
        <f>IFERROR(__xludf.DUMMYFUNCTION("""COMPUTED_VALUE"""),"ORG_1609")</f>
        <v/>
      </c>
      <c r="C644" s="1">
        <f>IFERROR(__xludf.DUMMYFUNCTION("""COMPUTED_VALUE"""),TRUE)</f>
        <v/>
      </c>
      <c r="D644" s="1">
        <f>IFERROR(__xludf.DUMMYFUNCTION("""COMPUTED_VALUE"""),"Gaptain. Culture of Cybersecurity")</f>
        <v/>
      </c>
      <c r="E644" s="15">
        <f>IFERROR(__xludf.DUMMYFUNCTION("""COMPUTED_VALUE"""),"https://gaptain.com")</f>
        <v/>
      </c>
      <c r="F644" s="1">
        <f>IFERROR(__xludf.DUMMYFUNCTION("""COMPUTED_VALUE"""),"We help schools to educate in cybersecurity and digital skills from an early age")</f>
        <v/>
      </c>
      <c r="G644" s="1">
        <f>IFERROR(__xludf.DUMMYFUNCTION("""COMPUTED_VALUE"""),"EduTech Cluster Spain, SEK Lab")</f>
        <v/>
      </c>
      <c r="H644" s="1" t="n"/>
      <c r="I644" s="1">
        <f>IFERROR(__xludf.DUMMYFUNCTION("""COMPUTED_VALUE"""),"info@gaptain.com")</f>
        <v/>
      </c>
      <c r="J644" s="1">
        <f>IFERROR(__xludf.DUMMYFUNCTION("""COMPUTED_VALUE"""),"+ 34 648 281 775")</f>
        <v/>
      </c>
      <c r="K644" s="1">
        <f>IFERROR(__xludf.DUMMYFUNCTION("""COMPUTED_VALUE"""),"PLENTZIA")</f>
        <v/>
      </c>
      <c r="L644" s="1">
        <f>IFERROR(__xludf.DUMMYFUNCTION("""COMPUTED_VALUE"""),"Spain")</f>
        <v/>
      </c>
      <c r="M644" s="1">
        <f>IFERROR(__xludf.DUMMYFUNCTION("""COMPUTED_VALUE"""),"Andorra, Spain")</f>
        <v/>
      </c>
      <c r="N644" s="1">
        <f>IFERROR(__xludf.DUMMYFUNCTION("""COMPUTED_VALUE"""),"3 to 5")</f>
        <v/>
      </c>
      <c r="O644" s="1">
        <f>IFERROR(__xludf.DUMMYFUNCTION("""COMPUTED_VALUE"""),"Business to Business, Business to Consumer, Business to Government, Business to Schools")</f>
        <v/>
      </c>
      <c r="P644" s="1">
        <f>IFERROR(__xludf.DUMMYFUNCTION("""COMPUTED_VALUE"""),"Primary Education, Secondary Education")</f>
        <v/>
      </c>
      <c r="Q644" s="1">
        <f>IFERROR(__xludf.DUMMYFUNCTION("""COMPUTED_VALUE"""),"System/Administrative, Student interfacing, Teacher interfacing")</f>
        <v/>
      </c>
      <c r="R644" s="1" t="n"/>
      <c r="S644" s="15">
        <f>IFERROR(__xludf.DUMMYFUNCTION("""COMPUTED_VALUE"""),"https://twitter.com/gaptain_es")</f>
        <v/>
      </c>
      <c r="T644" s="15">
        <f>IFERROR(__xludf.DUMMYFUNCTION("""COMPUTED_VALUE"""),"https://www.linkedin.com/company/gaptain/")</f>
        <v/>
      </c>
      <c r="U644" s="1">
        <f>IFERROR(__xludf.DUMMYFUNCTION("""COMPUTED_VALUE"""),"Kids Centric universe 360º")</f>
        <v/>
      </c>
      <c r="V644" s="1">
        <f>IFERROR(__xludf.DUMMYFUNCTION("""COMPUTED_VALUE"""),"Kids Centric Universe is the platform education that creates a Culture of Cybersecurity in educational environments (school + families).
We use video games to assess students, and artificial intelligence for customize the most suitable content to the iden"&amp;"tified risks.
The personalized teaching unit is integral, in online video format and reaches the
teachers, students and families.
In addition, Kids Centric Universe allows monitor their impact on the center
education and school coexistence.")</f>
        <v/>
      </c>
      <c r="W644" s="1" t="n"/>
      <c r="X644" s="1" t="n"/>
      <c r="Y644" s="15">
        <f>IFERROR(__xludf.DUMMYFUNCTION("""COMPUTED_VALUE"""),"https://drive.google.com/uc?export=view&amp;id=1H5ppKG8Zmq4-878ZbnflGTjI_8t5wTpN")</f>
        <v/>
      </c>
      <c r="Z644" s="1">
        <f>IFERROR(__xludf.DUMMYFUNCTION("""COMPUTED_VALUE"""),"Unverified")</f>
        <v/>
      </c>
      <c r="AA644" s="1" t="n"/>
      <c r="AB644" s="1" t="n"/>
      <c r="AC644" s="1" t="n"/>
      <c r="AD644" s="1" t="n"/>
      <c r="AE644" s="1" t="n"/>
    </row>
    <row r="645" ht="42" customHeight="1">
      <c r="A645" s="14">
        <f>IFERROR(__xludf.DUMMYFUNCTION("""COMPUTED_VALUE"""),45183)</f>
        <v/>
      </c>
      <c r="B645" s="1">
        <f>IFERROR(__xludf.DUMMYFUNCTION("""COMPUTED_VALUE"""),"ORG_2518")</f>
        <v/>
      </c>
      <c r="C645" s="1">
        <f>IFERROR(__xludf.DUMMYFUNCTION("""COMPUTED_VALUE"""),TRUE)</f>
        <v/>
      </c>
      <c r="D645" s="1">
        <f>IFERROR(__xludf.DUMMYFUNCTION("""COMPUTED_VALUE"""),"Webstrive")</f>
        <v/>
      </c>
      <c r="E645" s="15">
        <f>IFERROR(__xludf.DUMMYFUNCTION("""COMPUTED_VALUE"""),"https://webstrive.be/edtech")</f>
        <v/>
      </c>
      <c r="F645" s="1">
        <f>IFERROR(__xludf.DUMMYFUNCTION("""COMPUTED_VALUE"""),"Webstrive revolutionizes the learning landscape by blending innovative technologies and in-house professional videography, delivering deeply immersive learning experiences across a broad range of sectors. By incorporating AI, gamification, and user experi"&amp;"ence principles, highly intuitive and engaging learning platforms are designed that not only educate but truly captivate. Furthermore, Webstrive extends its expertise through accessible and tangible data &amp; AI consultancy and training services.")</f>
        <v/>
      </c>
      <c r="G645" s="1">
        <f>IFERROR(__xludf.DUMMYFUNCTION("""COMPUTED_VALUE"""),"edtechstation")</f>
        <v/>
      </c>
      <c r="H645" s="1">
        <f>IFERROR(__xludf.DUMMYFUNCTION("""COMPUTED_VALUE"""),"Dutch, English")</f>
        <v/>
      </c>
      <c r="I645" s="1">
        <f>IFERROR(__xludf.DUMMYFUNCTION("""COMPUTED_VALUE"""),"info@webstrive.be")</f>
        <v/>
      </c>
      <c r="J645" s="1">
        <f>IFERROR(__xludf.DUMMYFUNCTION("""COMPUTED_VALUE"""),"+32 474 627 903")</f>
        <v/>
      </c>
      <c r="K645" s="1">
        <f>IFERROR(__xludf.DUMMYFUNCTION("""COMPUTED_VALUE"""),"ZOTTEGEM")</f>
        <v/>
      </c>
      <c r="L645" s="1">
        <f>IFERROR(__xludf.DUMMYFUNCTION("""COMPUTED_VALUE"""),"Belgium")</f>
        <v/>
      </c>
      <c r="M645" s="1">
        <f>IFERROR(__xludf.DUMMYFUNCTION("""COMPUTED_VALUE"""),"Belgium, Netherlands")</f>
        <v/>
      </c>
      <c r="N645" s="1">
        <f>IFERROR(__xludf.DUMMYFUNCTION("""COMPUTED_VALUE"""),"3 to 5")</f>
        <v/>
      </c>
      <c r="O645" s="1">
        <f>IFERROR(__xludf.DUMMYFUNCTION("""COMPUTED_VALUE"""),"Business to Government, Business to School, Business to Business")</f>
        <v/>
      </c>
      <c r="P645" s="1">
        <f>IFERROR(__xludf.DUMMYFUNCTION("""COMPUTED_VALUE"""),"Secondary Education, Corporate Training, Lifelong learning/Adult education, Vocational Education and Training (VET), Higher Education")</f>
        <v/>
      </c>
      <c r="Q645" s="1">
        <f>IFERROR(__xludf.DUMMYFUNCTION("""COMPUTED_VALUE"""),"System/Administrative, Student interfacing, Teacher interfacing")</f>
        <v/>
      </c>
      <c r="R645" s="15">
        <f>IFERROR(__xludf.DUMMYFUNCTION("""COMPUTED_VALUE"""),"https://instagram.com/webstrive.be?igshid=MzRlODBiNWFlZA==")</f>
        <v/>
      </c>
      <c r="S645" s="1" t="n"/>
      <c r="T645" s="15">
        <f>IFERROR(__xludf.DUMMYFUNCTION("""COMPUTED_VALUE"""),"https://www.linkedin.com/company/webstrive")</f>
        <v/>
      </c>
      <c r="U645" s="1">
        <f>IFERROR(__xludf.DUMMYFUNCTION("""COMPUTED_VALUE"""),"Webstrive Data &amp; AI")</f>
        <v/>
      </c>
      <c r="V645" s="1">
        <f>IFERROR(__xludf.DUMMYFUNCTION("""COMPUTED_VALUE"""),"Webstrive's Data &amp; AI service transforms the complex world of artificial intelligence into a tangible asset for any business. We simplify data intricacies, offering hands-on consultancy and training that pave the way for informed decisions and growth. Our"&amp;" approach is rooted in accessibility, ensuring that every client can harness the power of AI to unlock unprecedented opportunities. With Webstrive, prepare to navigate the data landscape with confidence and ease.")</f>
        <v/>
      </c>
      <c r="W645" s="1">
        <f>IFERROR(__xludf.DUMMYFUNCTION("""COMPUTED_VALUE"""),"Webstrive Videography")</f>
        <v/>
      </c>
      <c r="X645" s="1">
        <f>IFERROR(__xludf.DUMMYFUNCTION("""COMPUTED_VALUE"""),"Leveraging years of expertise across various domains, Webstrive Videography specializes in delivering professional videography services equipped with top-notch materials. Our experienced teams understands the diverse needs of our customers, enabling a har"&amp;"monious blend of vision and execution.")</f>
        <v/>
      </c>
      <c r="Y645" s="15">
        <f>IFERROR(__xludf.DUMMYFUNCTION("""COMPUTED_VALUE"""),"https://drive.google.com/uc?export=view&amp;id=147owgE83rY8f1kJTh_1xSWugbKMjqooh")</f>
        <v/>
      </c>
      <c r="Z645" s="1">
        <f>IFERROR(__xludf.DUMMYFUNCTION("""COMPUTED_VALUE"""),"Unverified")</f>
        <v/>
      </c>
      <c r="AA645" s="1" t="n"/>
      <c r="AB645" s="1" t="n"/>
      <c r="AC645" s="1" t="n"/>
      <c r="AD645" s="1" t="n"/>
      <c r="AE645" s="1" t="n"/>
    </row>
    <row r="646" ht="42" customHeight="1">
      <c r="A646" s="14">
        <f>IFERROR(__xludf.DUMMYFUNCTION("""COMPUTED_VALUE"""),45183)</f>
        <v/>
      </c>
      <c r="B646" s="1">
        <f>IFERROR(__xludf.DUMMYFUNCTION("""COMPUTED_VALUE"""),"ORG_1163")</f>
        <v/>
      </c>
      <c r="C646" s="1">
        <f>IFERROR(__xludf.DUMMYFUNCTION("""COMPUTED_VALUE"""),TRUE)</f>
        <v/>
      </c>
      <c r="D646" s="1">
        <f>IFERROR(__xludf.DUMMYFUNCTION("""COMPUTED_VALUE"""),"Bi'akil")</f>
        <v/>
      </c>
      <c r="E646" s="15">
        <f>IFERROR(__xludf.DUMMYFUNCTION("""COMPUTED_VALUE"""),"app.biakil.com")</f>
        <v/>
      </c>
      <c r="F646" s="1">
        <f>IFERROR(__xludf.DUMMYFUNCTION("""COMPUTED_VALUE"""),"Bi'akıl, which was founded in Eskişehir, Turkey, in 2021, is one of the country's promising new edtech hubs. Currently, Bi'akıl is a highly recognized and respected company in the Turkish Edtech sector, having more 7 team members, hundreds of experts, and"&amp;" thousands of users. Bi'akıl offers a community management platform to experts and provides live and interactive training sessions to its users.
Bi'akıl's products and services include a video conferencing application for live classes, an appointment inf"&amp;"rastructure for people to schedule counseling and mentoring sessions, and a panel with a CRM infrastructure that allows experts to reach their students and analyze their own performance.")</f>
        <v/>
      </c>
      <c r="G646" s="1">
        <f>IFERROR(__xludf.DUMMYFUNCTION("""COMPUTED_VALUE"""),"I'm not part of any EdTech association")</f>
        <v/>
      </c>
      <c r="H646" s="1">
        <f>IFERROR(__xludf.DUMMYFUNCTION("""COMPUTED_VALUE"""),"Turkish")</f>
        <v/>
      </c>
      <c r="I646" s="1">
        <f>IFERROR(__xludf.DUMMYFUNCTION("""COMPUTED_VALUE"""),"merhaba@biakil.com")</f>
        <v/>
      </c>
      <c r="J646" s="1">
        <f>IFERROR(__xludf.DUMMYFUNCTION("""COMPUTED_VALUE"""),"+90 533 599 33 26")</f>
        <v/>
      </c>
      <c r="K646" s="1">
        <f>IFERROR(__xludf.DUMMYFUNCTION("""COMPUTED_VALUE"""),"PANAROMAPLUS SITES, NO 2/A, FLOOR 16, APARTMENT 63")</f>
        <v/>
      </c>
      <c r="L646" s="1">
        <f>IFERROR(__xludf.DUMMYFUNCTION("""COMPUTED_VALUE"""),"Türkiye")</f>
        <v/>
      </c>
      <c r="M646" s="1">
        <f>IFERROR(__xludf.DUMMYFUNCTION("""COMPUTED_VALUE"""),"Germany, Turkey, United Kingdom")</f>
        <v/>
      </c>
      <c r="N646" s="1">
        <f>IFERROR(__xludf.DUMMYFUNCTION("""COMPUTED_VALUE"""),"3 to 5")</f>
        <v/>
      </c>
      <c r="O646" s="1">
        <f>IFERROR(__xludf.DUMMYFUNCTION("""COMPUTED_VALUE"""),"Business to Business")</f>
        <v/>
      </c>
      <c r="P646" s="1">
        <f>IFERROR(__xludf.DUMMYFUNCTION("""COMPUTED_VALUE"""),"Lifelong learning/Adult education")</f>
        <v/>
      </c>
      <c r="Q646" s="1">
        <f>IFERROR(__xludf.DUMMYFUNCTION("""COMPUTED_VALUE"""),"Teacher interfacing")</f>
        <v/>
      </c>
      <c r="R646" s="15">
        <f>IFERROR(__xludf.DUMMYFUNCTION("""COMPUTED_VALUE"""),"https://www.instagram.com/biakilapp/")</f>
        <v/>
      </c>
      <c r="S646" s="1" t="n"/>
      <c r="T646" s="15">
        <f>IFERROR(__xludf.DUMMYFUNCTION("""COMPUTED_VALUE"""),"https://tr.linkedin.com/company/biakil")</f>
        <v/>
      </c>
      <c r="U646" s="1" t="n"/>
      <c r="V646" s="1" t="n"/>
      <c r="W646" s="1" t="n"/>
      <c r="X646" s="1" t="n"/>
      <c r="Y646" s="15">
        <f>IFERROR(__xludf.DUMMYFUNCTION("""COMPUTED_VALUE"""),"https://drive.google.com/uc?export=view&amp;id=1GxHliWRODC0EXyrFMrDukl9lfqsDMKv5")</f>
        <v/>
      </c>
      <c r="Z646" s="1">
        <f>IFERROR(__xludf.DUMMYFUNCTION("""COMPUTED_VALUE"""),"Unverified")</f>
        <v/>
      </c>
      <c r="AA646" s="1" t="n"/>
      <c r="AB646" s="1" t="n"/>
      <c r="AC646" s="1" t="n"/>
      <c r="AD646" s="1" t="n"/>
      <c r="AE646" s="1" t="n"/>
    </row>
    <row r="647" ht="42" customHeight="1">
      <c r="A647" s="14">
        <f>IFERROR(__xludf.DUMMYFUNCTION("""COMPUTED_VALUE"""),45183)</f>
        <v/>
      </c>
      <c r="B647" s="1">
        <f>IFERROR(__xludf.DUMMYFUNCTION("""COMPUTED_VALUE"""),"ORG_2197")</f>
        <v/>
      </c>
      <c r="C647" s="1">
        <f>IFERROR(__xludf.DUMMYFUNCTION("""COMPUTED_VALUE"""),TRUE)</f>
        <v/>
      </c>
      <c r="D647" s="1">
        <f>IFERROR(__xludf.DUMMYFUNCTION("""COMPUTED_VALUE"""),"Rock Stepper")</f>
        <v/>
      </c>
      <c r="E647" s="15">
        <f>IFERROR(__xludf.DUMMYFUNCTION("""COMPUTED_VALUE"""),"www.rockstepper.com")</f>
        <v/>
      </c>
      <c r="F647" s="1">
        <f>IFERROR(__xludf.DUMMYFUNCTION("""COMPUTED_VALUE"""),"An EdTech start-up founded and developed by parents, our first product is called 'Rockstepper.' A two-sided, durable and beautifully designed playmat that complements school learning at home.")</f>
        <v/>
      </c>
      <c r="G647" s="1">
        <f>IFERROR(__xludf.DUMMYFUNCTION("""COMPUTED_VALUE"""),"I'm not part of any EdTech association")</f>
        <v/>
      </c>
      <c r="H647" s="1" t="n"/>
      <c r="I647" s="1">
        <f>IFERROR(__xludf.DUMMYFUNCTION("""COMPUTED_VALUE"""),"di@steppingstonesgames.com")</f>
        <v/>
      </c>
      <c r="J647" s="1">
        <f>IFERROR(__xludf.DUMMYFUNCTION("""COMPUTED_VALUE"""),"7767275671")</f>
        <v/>
      </c>
      <c r="K647" s="1">
        <f>IFERROR(__xludf.DUMMYFUNCTION("""COMPUTED_VALUE"""),"London")</f>
        <v/>
      </c>
      <c r="L647" s="1">
        <f>IFERROR(__xludf.DUMMYFUNCTION("""COMPUTED_VALUE"""),"United Kingdom")</f>
        <v/>
      </c>
      <c r="M647" s="1">
        <f>IFERROR(__xludf.DUMMYFUNCTION("""COMPUTED_VALUE"""),"United Kingdom")</f>
        <v/>
      </c>
      <c r="N647" s="1">
        <f>IFERROR(__xludf.DUMMYFUNCTION("""COMPUTED_VALUE"""),"0 to 2")</f>
        <v/>
      </c>
      <c r="O647" s="1">
        <f>IFERROR(__xludf.DUMMYFUNCTION("""COMPUTED_VALUE"""),"Business to Business, Business to Consumer, Business to Schools")</f>
        <v/>
      </c>
      <c r="P647" s="1">
        <f>IFERROR(__xludf.DUMMYFUNCTION("""COMPUTED_VALUE"""),"Early childhood development (0-5 years)")</f>
        <v/>
      </c>
      <c r="Q647" s="1">
        <f>IFERROR(__xludf.DUMMYFUNCTION("""COMPUTED_VALUE"""),"System/Administrative, Student interfacing, Teacher interfacing")</f>
        <v/>
      </c>
      <c r="R647" s="1" t="n"/>
      <c r="S647" s="1" t="n"/>
      <c r="T647" s="1" t="n"/>
      <c r="U647" s="1" t="n"/>
      <c r="V647" s="1" t="n"/>
      <c r="W647" s="1" t="n"/>
      <c r="X647" s="1" t="n"/>
      <c r="Y647" s="15">
        <f>IFERROR(__xludf.DUMMYFUNCTION("""COMPUTED_VALUE"""),"https://drive.google.com/uc?export=view&amp;id=1OB1RlWPL00Tw8pYe4h74p6ZUgAJ5LF_4")</f>
        <v/>
      </c>
      <c r="Z647" s="1">
        <f>IFERROR(__xludf.DUMMYFUNCTION("""COMPUTED_VALUE"""),"Unverified")</f>
        <v/>
      </c>
      <c r="AA647" s="1" t="n"/>
      <c r="AB647" s="1" t="n"/>
      <c r="AC647" s="1" t="n"/>
      <c r="AD647" s="1" t="n"/>
      <c r="AE647" s="1" t="n"/>
    </row>
    <row r="648" ht="42" customHeight="1">
      <c r="A648" s="14">
        <f>IFERROR(__xludf.DUMMYFUNCTION("""COMPUTED_VALUE"""),45183)</f>
        <v/>
      </c>
      <c r="B648" s="1">
        <f>IFERROR(__xludf.DUMMYFUNCTION("""COMPUTED_VALUE"""),"ORG_1605")</f>
        <v/>
      </c>
      <c r="C648" s="1">
        <f>IFERROR(__xludf.DUMMYFUNCTION("""COMPUTED_VALUE"""),TRUE)</f>
        <v/>
      </c>
      <c r="D648" s="1">
        <f>IFERROR(__xludf.DUMMYFUNCTION("""COMPUTED_VALUE"""),"Gamester Kids")</f>
        <v/>
      </c>
      <c r="E648" s="15">
        <f>IFERROR(__xludf.DUMMYFUNCTION("""COMPUTED_VALUE"""),"kids.gamester.com.tr")</f>
        <v/>
      </c>
      <c r="F648" s="1">
        <f>IFERROR(__xludf.DUMMYFUNCTION("""COMPUTED_VALUE"""),"We are Gamester Kids, a kids-focused company dedicated to the next generation of innovators, creators and thinkers. We make it fun and safe for kids to discover the world, to ignite the love for learning and inspire them to become lifelong learners throug"&amp;"h games.
Our mission is to nurture the creativity and imagination of kids through educational, fun and safe content. We commit to breaking down the educational barriers while supporting parents on their children’s learning journey with continuous innovat"&amp;"ion.
Our flagship title, Tiny Minies is an essential early learning app for 3-6 years old preschoolers. It incorporates simple learning activities that engage and inspire kids to learn through play with everyday cognitive development activities carefully"&amp;" created with educators and child development specialists.
About Tiny Minies:
- Content curation with an advisory team of kindergarten teachers, child psychologists and child development specialists.
- Development progress on 5 core areas: Attention, P"&amp;"roblem Solving, Memory, Creativity and Learning Abilities
- Custom progress reports and personal pedagogical advices for parents.
- Smart screen limitation complying with The American Academy of Pediatrics’ Family Media Use Plan
- Hundreds of education"&amp;"al games and activities
- Kids meditation, mindfulness and breathing exercises
- Interactive story books 
- Sleep time audio stories and lullabies
- Regularly added new games and activities supporting STEM, vocabulary and emotional intelligence")</f>
        <v/>
      </c>
      <c r="G648" s="1">
        <f>IFERROR(__xludf.DUMMYFUNCTION("""COMPUTED_VALUE"""),"I'm not part of any EdTech association")</f>
        <v/>
      </c>
      <c r="H648" s="1">
        <f>IFERROR(__xludf.DUMMYFUNCTION("""COMPUTED_VALUE"""),"English, Spanish, Portuguese, Turkish, Arabic")</f>
        <v/>
      </c>
      <c r="I648" s="1">
        <f>IFERROR(__xludf.DUMMYFUNCTION("""COMPUTED_VALUE"""),"kids@gamester.com.tr")</f>
        <v/>
      </c>
      <c r="J648" s="1">
        <f>IFERROR(__xludf.DUMMYFUNCTION("""COMPUTED_VALUE"""),"+902166066241")</f>
        <v/>
      </c>
      <c r="K648" s="1">
        <f>IFERROR(__xludf.DUMMYFUNCTION("""COMPUTED_VALUE"""),"ISTANBUL")</f>
        <v/>
      </c>
      <c r="L648" s="1">
        <f>IFERROR(__xludf.DUMMYFUNCTION("""COMPUTED_VALUE"""),"Türkiye")</f>
        <v/>
      </c>
      <c r="M648" s="1">
        <f>IFERROR(__xludf.DUMMYFUNCTION("""COMPUTED_VALUE"""),"Austria, Belgium, Denmark, Finland, France, Germany, Ireland, Italy, Monaco, Netherlands, Norway, Portugal, Spain, Sweden, Switzerland, Turkey, United Kingdom")</f>
        <v/>
      </c>
      <c r="N648" s="1">
        <f>IFERROR(__xludf.DUMMYFUNCTION("""COMPUTED_VALUE"""),"11 to 50")</f>
        <v/>
      </c>
      <c r="O648" s="1">
        <f>IFERROR(__xludf.DUMMYFUNCTION("""COMPUTED_VALUE"""),"Business to Consumer, Business to Schools")</f>
        <v/>
      </c>
      <c r="P648" s="1">
        <f>IFERROR(__xludf.DUMMYFUNCTION("""COMPUTED_VALUE"""),"Early childhood development (0-5 years)")</f>
        <v/>
      </c>
      <c r="Q648" s="1">
        <f>IFERROR(__xludf.DUMMYFUNCTION("""COMPUTED_VALUE"""),"System/Administrative, Student interfacing")</f>
        <v/>
      </c>
      <c r="R648" s="15">
        <f>IFERROR(__xludf.DUMMYFUNCTION("""COMPUTED_VALUE"""),"https://www.instagram.com/tinyminies.en")</f>
        <v/>
      </c>
      <c r="S648" s="1" t="n"/>
      <c r="T648" s="15">
        <f>IFERROR(__xludf.DUMMYFUNCTION("""COMPUTED_VALUE"""),"https://www.linkedin.com/company/gamester-kids")</f>
        <v/>
      </c>
      <c r="U648" s="1">
        <f>IFERROR(__xludf.DUMMYFUNCTION("""COMPUTED_VALUE"""),"Tiny Minies")</f>
        <v/>
      </c>
      <c r="V648" s="1">
        <f>IFERROR(__xludf.DUMMYFUNCTION("""COMPUTED_VALUE"""),"Tiny Minies is an edutainment platform for toddlers and preschoolers. 
It combines playful learning activities with everyday cognitive development exercises, curated in collaboration with educators. With an emphasis on fun and interactive experiences, Tin"&amp;"y Minies sparks curiosity and empowers young minds to learn through play. Engaging games, captivating puzzles, and immersive stories provide endless opportunities for growth and discovery.
Carefully designed and curated content that aligns with children'"&amp;"s age groups and learning speeds includes Games, Books, Meditation &amp; Breathing Exercises, Tales, Physical Exercise &amp; Kids Yoga.
Other features include:
- Detailed reporting section for parents to monitor and track their children's development progress
- "&amp;"Smart Screen Time: Daily screen time limit for each age group
- Offline Usage: No internet connection needed, play anytime and anywhere
- Multiple Profiles: Crowded families can create up to 5 child profiles
- Parental Gate: Control for accessing to adult"&amp;"s’ content including purchases and settings")</f>
        <v/>
      </c>
      <c r="W648" s="1" t="n"/>
      <c r="X648" s="1" t="n"/>
      <c r="Y648" s="15">
        <f>IFERROR(__xludf.DUMMYFUNCTION("""COMPUTED_VALUE"""),"https://drive.google.com/uc?export=view&amp;id=1GP2ADUPi8oFL8Vd4n-WREMpGx2tyLL5F")</f>
        <v/>
      </c>
      <c r="Z648" s="1">
        <f>IFERROR(__xludf.DUMMYFUNCTION("""COMPUTED_VALUE"""),"Unverified")</f>
        <v/>
      </c>
      <c r="AA648" s="1" t="n"/>
      <c r="AB648" s="1" t="n"/>
      <c r="AC648" s="1" t="n"/>
      <c r="AD648" s="1" t="n"/>
      <c r="AE648" s="1" t="n"/>
    </row>
    <row r="649" ht="42" customHeight="1">
      <c r="A649" s="14">
        <f>IFERROR(__xludf.DUMMYFUNCTION("""COMPUTED_VALUE"""),45183)</f>
        <v/>
      </c>
      <c r="B649" s="1">
        <f>IFERROR(__xludf.DUMMYFUNCTION("""COMPUTED_VALUE"""),"ORG_1266")</f>
        <v/>
      </c>
      <c r="C649" s="1">
        <f>IFERROR(__xludf.DUMMYFUNCTION("""COMPUTED_VALUE"""),TRUE)</f>
        <v/>
      </c>
      <c r="D649" s="1">
        <f>IFERROR(__xludf.DUMMYFUNCTION("""COMPUTED_VALUE"""),"Cobie AI")</f>
        <v/>
      </c>
      <c r="E649" s="15">
        <f>IFERROR(__xludf.DUMMYFUNCTION("""COMPUTED_VALUE"""),"www.cobie.io")</f>
        <v/>
      </c>
      <c r="F649" s="1">
        <f>IFERROR(__xludf.DUMMYFUNCTION("""COMPUTED_VALUE"""),"Cobie AI - AI Assistant is a cloud-based platform for teaching coding classes focusing on K-12 education. Cobie AI helps teachers and enables 1-on-1 mentoring on a scale. It analyses students' code in real-time and prepares suggestions for teachers to sup"&amp;"port the learning process. We are able to adapt the content and create a better experience based on communication between students and teachers. The platform includes block programming and integration with 3rd party code editors with an emphasis on teachi"&amp;"ng the transition between block-based and textual programming. 
The learning process is supported by synthetic lectures that can understand the student's code and position within the course. The system accelerates content creation and enables personalisat"&amp;"ion on a scalable level.")</f>
        <v/>
      </c>
      <c r="G649" s="1">
        <f>IFERROR(__xludf.DUMMYFUNCTION("""COMPUTED_VALUE"""),"EdTech Slovenia")</f>
        <v/>
      </c>
      <c r="H649" s="1">
        <f>IFERROR(__xludf.DUMMYFUNCTION("""COMPUTED_VALUE"""),"English, German, Croatian, Slovenian")</f>
        <v/>
      </c>
      <c r="I649" s="1">
        <f>IFERROR(__xludf.DUMMYFUNCTION("""COMPUTED_VALUE"""),"info@codebrainer.com")</f>
        <v/>
      </c>
      <c r="J649" s="1">
        <f>IFERROR(__xludf.DUMMYFUNCTION("""COMPUTED_VALUE"""),"+38669932101")</f>
        <v/>
      </c>
      <c r="K649" s="1">
        <f>IFERROR(__xludf.DUMMYFUNCTION("""COMPUTED_VALUE"""),"Ljubljana")</f>
        <v/>
      </c>
      <c r="L649" s="1">
        <f>IFERROR(__xludf.DUMMYFUNCTION("""COMPUTED_VALUE"""),"Slovenia")</f>
        <v/>
      </c>
      <c r="M649" s="1">
        <f>IFERROR(__xludf.DUMMYFUNCTION("""COMPUTED_VALUE"""),"Austria, Croatia, Slovenia, Sweden")</f>
        <v/>
      </c>
      <c r="N649" s="1">
        <f>IFERROR(__xludf.DUMMYFUNCTION("""COMPUTED_VALUE"""),"0 to 2")</f>
        <v/>
      </c>
      <c r="O649" s="1">
        <f>IFERROR(__xludf.DUMMYFUNCTION("""COMPUTED_VALUE"""),"Business to Business")</f>
        <v/>
      </c>
      <c r="P649" s="1">
        <f>IFERROR(__xludf.DUMMYFUNCTION("""COMPUTED_VALUE"""),"Primary Education, Secondary Education")</f>
        <v/>
      </c>
      <c r="Q649" s="1">
        <f>IFERROR(__xludf.DUMMYFUNCTION("""COMPUTED_VALUE"""),"Teacher interfacing")</f>
        <v/>
      </c>
      <c r="R649" s="1" t="n"/>
      <c r="S649" s="1">
        <f>IFERROR(__xludf.DUMMYFUNCTION("""COMPUTED_VALUE"""),"@theCodebrainer")</f>
        <v/>
      </c>
      <c r="T649" s="1" t="n"/>
      <c r="U649" s="1" t="n"/>
      <c r="V649" s="1" t="n"/>
      <c r="W649" s="1" t="n"/>
      <c r="X649" s="1" t="n"/>
      <c r="Y649" s="15">
        <f>IFERROR(__xludf.DUMMYFUNCTION("""COMPUTED_VALUE"""),"https://drive.google.com/uc?export=view&amp;id=1T-b8lhNrHhvGXoL5huQrjfu3kGjWxUbV")</f>
        <v/>
      </c>
      <c r="Z649" s="1">
        <f>IFERROR(__xludf.DUMMYFUNCTION("""COMPUTED_VALUE"""),"Unverified")</f>
        <v/>
      </c>
      <c r="AA649" s="1" t="n"/>
      <c r="AB649" s="1" t="n"/>
      <c r="AC649" s="1" t="n"/>
      <c r="AD649" s="1" t="n"/>
      <c r="AE649" s="1" t="n"/>
    </row>
    <row r="650" ht="42" customHeight="1">
      <c r="A650" s="14">
        <f>IFERROR(__xludf.DUMMYFUNCTION("""COMPUTED_VALUE"""),45183)</f>
        <v/>
      </c>
      <c r="B650" s="1">
        <f>IFERROR(__xludf.DUMMYFUNCTION("""COMPUTED_VALUE"""),"ORG_1630")</f>
        <v/>
      </c>
      <c r="C650" s="1">
        <f>IFERROR(__xludf.DUMMYFUNCTION("""COMPUTED_VALUE"""),TRUE)</f>
        <v/>
      </c>
      <c r="D650" s="1">
        <f>IFERROR(__xludf.DUMMYFUNCTION("""COMPUTED_VALUE"""),"GO! Geïntegreerd Onderwijs")</f>
        <v/>
      </c>
      <c r="E650" s="15">
        <f>IFERROR(__xludf.DUMMYFUNCTION("""COMPUTED_VALUE"""),"https://geintegreerd-onderwijs.nl/")</f>
        <v/>
      </c>
      <c r="F650" s="1">
        <f>IFERROR(__xludf.DUMMYFUNCTION("""COMPUTED_VALUE"""),"We are a Edtech company focusing on the worldwide K12 market. We developed a global curriculum on a SAAS platform, that can be used by any school in any part of the world.")</f>
        <v/>
      </c>
      <c r="G650" s="1">
        <f>IFERROR(__xludf.DUMMYFUNCTION("""COMPUTED_VALUE"""),"Dutch EdTech")</f>
        <v/>
      </c>
      <c r="H650" s="1">
        <f>IFERROR(__xludf.DUMMYFUNCTION("""COMPUTED_VALUE"""),"Dutch, English")</f>
        <v/>
      </c>
      <c r="I650" s="1">
        <f>IFERROR(__xludf.DUMMYFUNCTION("""COMPUTED_VALUE"""),"info@geintegreerd-onderwijs.nl")</f>
        <v/>
      </c>
      <c r="J650" s="1">
        <f>IFERROR(__xludf.DUMMYFUNCTION("""COMPUTED_VALUE"""),"+31 (0)33 –799 9411")</f>
        <v/>
      </c>
      <c r="K650" s="1">
        <f>IFERROR(__xludf.DUMMYFUNCTION("""COMPUTED_VALUE"""),"Amersfoort")</f>
        <v/>
      </c>
      <c r="L650" s="1">
        <f>IFERROR(__xludf.DUMMYFUNCTION("""COMPUTED_VALUE"""),"The Netherlands")</f>
        <v/>
      </c>
      <c r="M650" s="1">
        <f>IFERROR(__xludf.DUMMYFUNCTION("""COMPUTED_VALUE"""),"Netherlands, United Kingdom")</f>
        <v/>
      </c>
      <c r="N650" s="1">
        <f>IFERROR(__xludf.DUMMYFUNCTION("""COMPUTED_VALUE"""),"3 to 5")</f>
        <v/>
      </c>
      <c r="O650" s="1">
        <f>IFERROR(__xludf.DUMMYFUNCTION("""COMPUTED_VALUE"""),"Business to Business, Business to Consumer, Business to Government, Business to Schools")</f>
        <v/>
      </c>
      <c r="P650" s="1">
        <f>IFERROR(__xludf.DUMMYFUNCTION("""COMPUTED_VALUE"""),"Primary Education, Secondary Education")</f>
        <v/>
      </c>
      <c r="Q650" s="1">
        <f>IFERROR(__xludf.DUMMYFUNCTION("""COMPUTED_VALUE"""),"Teacher interfacing")</f>
        <v/>
      </c>
      <c r="R650" s="15">
        <f>IFERROR(__xludf.DUMMYFUNCTION("""COMPUTED_VALUE"""),"https://www.instagram.com/leerplatformgo/")</f>
        <v/>
      </c>
      <c r="S650" s="1" t="n"/>
      <c r="T650" s="15">
        <f>IFERROR(__xludf.DUMMYFUNCTION("""COMPUTED_VALUE"""),"https://www.linkedin.com/company/leerplatformgo/")</f>
        <v/>
      </c>
      <c r="U650" s="1">
        <f>IFERROR(__xludf.DUMMYFUNCTION("""COMPUTED_VALUE"""),"GO! Geïntegreerd Onderwijs")</f>
        <v/>
      </c>
      <c r="V650" s="1">
        <f>IFERROR(__xludf.DUMMYFUNCTION("""COMPUTED_VALUE"""),"Are today's students prepared for the world of tomorrow? At GO! we tackle the fundamental problems of contemporary education. We teach children to ask questions instead of giving answers. We really prepare today’s students for tomorrows world and reduce i"&amp;"nequality.
Our platform is suitable for and contains content for the education of 4-18 year olds, but can also be used abroad: the content is already available in Dutch and English and our software is also available in several languages. In addition, GO"&amp;" is the only supplier that integrates digital books, an AI search engine and offers the perfect place for student achievement through a portfolio.")</f>
        <v/>
      </c>
      <c r="W650" s="1" t="n"/>
      <c r="X650" s="1" t="n"/>
      <c r="Y650" s="15">
        <f>IFERROR(__xludf.DUMMYFUNCTION("""COMPUTED_VALUE"""),"https://drive.google.com/uc?export=view&amp;id=1cuYVQNevOuFIuEqiuDkSDdEMYoOf0zr3")</f>
        <v/>
      </c>
      <c r="Z650" s="1">
        <f>IFERROR(__xludf.DUMMYFUNCTION("""COMPUTED_VALUE"""),"Unverified")</f>
        <v/>
      </c>
      <c r="AA650" s="1" t="n"/>
      <c r="AB650" s="1" t="n"/>
      <c r="AC650" s="1" t="n"/>
      <c r="AD650" s="1" t="n"/>
      <c r="AE650" s="1" t="n"/>
    </row>
    <row r="651" ht="42" customHeight="1">
      <c r="A651" s="14">
        <f>IFERROR(__xludf.DUMMYFUNCTION("""COMPUTED_VALUE"""),45183)</f>
        <v/>
      </c>
      <c r="B651" s="1">
        <f>IFERROR(__xludf.DUMMYFUNCTION("""COMPUTED_VALUE"""),"ORG_1928")</f>
        <v/>
      </c>
      <c r="C651" s="1">
        <f>IFERROR(__xludf.DUMMYFUNCTION("""COMPUTED_VALUE"""),TRUE)</f>
        <v/>
      </c>
      <c r="D651" s="1">
        <f>IFERROR(__xludf.DUMMYFUNCTION("""COMPUTED_VALUE"""),"Mathias van der Meulen")</f>
        <v/>
      </c>
      <c r="E651" s="15">
        <f>IFERROR(__xludf.DUMMYFUNCTION("""COMPUTED_VALUE"""),"https://mathiasvandermeulen.com/")</f>
        <v/>
      </c>
      <c r="F651" s="1">
        <f>IFERROR(__xludf.DUMMYFUNCTION("""COMPUTED_VALUE"""),"I am an instructional designer working as a freelance. I create learning contents and manage instructional designing projects for different types of companies. Check out my portfolio in my website to learn more about my work.")</f>
        <v/>
      </c>
      <c r="G651" s="1">
        <f>IFERROR(__xludf.DUMMYFUNCTION("""COMPUTED_VALUE"""),"EdTech France")</f>
        <v/>
      </c>
      <c r="H651" s="1" t="n"/>
      <c r="I651" s="1">
        <f>IFERROR(__xludf.DUMMYFUNCTION("""COMPUTED_VALUE"""),"contact@mathiasvandermeulen.com")</f>
        <v/>
      </c>
      <c r="J651" s="1" t="n"/>
      <c r="K651" s="1">
        <f>IFERROR(__xludf.DUMMYFUNCTION("""COMPUTED_VALUE"""),"MONTREUIL")</f>
        <v/>
      </c>
      <c r="L651" s="1">
        <f>IFERROR(__xludf.DUMMYFUNCTION("""COMPUTED_VALUE"""),"France")</f>
        <v/>
      </c>
      <c r="M651" s="1">
        <f>IFERROR(__xludf.DUMMYFUNCTION("""COMPUTED_VALUE"""),"France")</f>
        <v/>
      </c>
      <c r="N651" s="1">
        <f>IFERROR(__xludf.DUMMYFUNCTION("""COMPUTED_VALUE"""),"0 to 2")</f>
        <v/>
      </c>
      <c r="O651" s="1">
        <f>IFERROR(__xludf.DUMMYFUNCTION("""COMPUTED_VALUE"""),"Business to Business, Business to Consumer, Business to Government, Business to Schools")</f>
        <v/>
      </c>
      <c r="P651" s="1">
        <f>IFERROR(__xludf.DUMMYFUNCTION("""COMPUTED_VALUE"""),"Corporate Training, Lifelong learning/Adult education, Vocational Education and Training (VET), Higher Education")</f>
        <v/>
      </c>
      <c r="Q651" s="1">
        <f>IFERROR(__xludf.DUMMYFUNCTION("""COMPUTED_VALUE"""),"Teacher interfacing, System/Administrative, Student interfacing")</f>
        <v/>
      </c>
      <c r="R651" s="1" t="n"/>
      <c r="S651" s="1" t="n"/>
      <c r="T651" s="15">
        <f>IFERROR(__xludf.DUMMYFUNCTION("""COMPUTED_VALUE"""),"https://www.linkedin.com/in/mathiasvdmeulen/")</f>
        <v/>
      </c>
      <c r="U651" s="1">
        <f>IFERROR(__xludf.DUMMYFUNCTION("""COMPUTED_VALUE"""),"Instructional designing project management")</f>
        <v/>
      </c>
      <c r="V651" s="1">
        <f>IFERROR(__xludf.DUMMYFUNCTION("""COMPUTED_VALUE"""),"I manage your digital learning project following a process with specifics outputs in order to warranty the best results.")</f>
        <v/>
      </c>
      <c r="W651" s="1">
        <f>IFERROR(__xludf.DUMMYFUNCTION("""COMPUTED_VALUE"""),"Instructional design")</f>
        <v/>
      </c>
      <c r="X651" s="1">
        <f>IFERROR(__xludf.DUMMYFUNCTION("""COMPUTED_VALUE"""),"I design and develop engaging learning contents for your digital learning project.")</f>
        <v/>
      </c>
      <c r="Y651" s="15">
        <f>IFERROR(__xludf.DUMMYFUNCTION("""COMPUTED_VALUE"""),"https://drive.google.com/uc?export=view&amp;id=115nRIRHDDeAxCGhTLWx68tnRSYQP6WgW")</f>
        <v/>
      </c>
      <c r="Z651" s="1">
        <f>IFERROR(__xludf.DUMMYFUNCTION("""COMPUTED_VALUE"""),"Unverified")</f>
        <v/>
      </c>
      <c r="AA651" s="1" t="n"/>
      <c r="AB651" s="1" t="n"/>
      <c r="AC651" s="1" t="n"/>
      <c r="AD651" s="1" t="n"/>
      <c r="AE651" s="1" t="n"/>
    </row>
    <row r="652" ht="42" customHeight="1">
      <c r="A652" s="14">
        <f>IFERROR(__xludf.DUMMYFUNCTION("""COMPUTED_VALUE"""),45183)</f>
        <v/>
      </c>
      <c r="B652" s="1">
        <f>IFERROR(__xludf.DUMMYFUNCTION("""COMPUTED_VALUE"""),"ORG_2213")</f>
        <v/>
      </c>
      <c r="C652" s="1">
        <f>IFERROR(__xludf.DUMMYFUNCTION("""COMPUTED_VALUE"""),TRUE)</f>
        <v/>
      </c>
      <c r="D652" s="1">
        <f>IFERROR(__xludf.DUMMYFUNCTION("""COMPUTED_VALUE"""),"SchoolTalent (Bijles Aan Huis &amp; Lernigo)")</f>
        <v/>
      </c>
      <c r="E652" s="15">
        <f>IFERROR(__xludf.DUMMYFUNCTION("""COMPUTED_VALUE"""),"https://bijlesaanhuis.nl/")</f>
        <v/>
      </c>
      <c r="F652" s="1">
        <f>IFERROR(__xludf.DUMMYFUNCTION("""COMPUTED_VALUE"""),"We're a tutoring marketplace that makes high-quality 1:1 tutoring more accessible for elementary and high school students. We're currently operating in the Netherlands (bijlesaanhuis.nl) and Germany (lernigo.de). 
Our goal is to provide high-quality 1:1 "&amp;"tutoring to as many students as possible. We do that by offering flexible and affordable tutoring solutions for families. In the process, we facilitate tutors to teach better and parents with tools and personalized content to create healthier student envi"&amp;"ronments.")</f>
        <v/>
      </c>
      <c r="G652" s="1">
        <f>IFERROR(__xludf.DUMMYFUNCTION("""COMPUTED_VALUE"""),"Dutch EdTech")</f>
        <v/>
      </c>
      <c r="H652" s="1">
        <f>IFERROR(__xludf.DUMMYFUNCTION("""COMPUTED_VALUE"""),"German, Dutch")</f>
        <v/>
      </c>
      <c r="I652" s="1">
        <f>IFERROR(__xludf.DUMMYFUNCTION("""COMPUTED_VALUE"""),"f.zandbergen@schooltalent.org")</f>
        <v/>
      </c>
      <c r="J652" s="1">
        <f>IFERROR(__xludf.DUMMYFUNCTION("""COMPUTED_VALUE"""),"+800-0200855")</f>
        <v/>
      </c>
      <c r="K652" s="1">
        <f>IFERROR(__xludf.DUMMYFUNCTION("""COMPUTED_VALUE"""),"Amsterdam")</f>
        <v/>
      </c>
      <c r="L652" s="1">
        <f>IFERROR(__xludf.DUMMYFUNCTION("""COMPUTED_VALUE"""),"The Netherlands")</f>
        <v/>
      </c>
      <c r="M652" s="1">
        <f>IFERROR(__xludf.DUMMYFUNCTION("""COMPUTED_VALUE"""),"Germany, Netherlands")</f>
        <v/>
      </c>
      <c r="N652" s="1">
        <f>IFERROR(__xludf.DUMMYFUNCTION("""COMPUTED_VALUE"""),"11 to 50")</f>
        <v/>
      </c>
      <c r="O652" s="1">
        <f>IFERROR(__xludf.DUMMYFUNCTION("""COMPUTED_VALUE"""),"Business to Consumer")</f>
        <v/>
      </c>
      <c r="P652" s="1">
        <f>IFERROR(__xludf.DUMMYFUNCTION("""COMPUTED_VALUE"""),"Primary Education, Secondary Education")</f>
        <v/>
      </c>
      <c r="Q652" s="1">
        <f>IFERROR(__xludf.DUMMYFUNCTION("""COMPUTED_VALUE"""),"System/Administrative, Student interfacing")</f>
        <v/>
      </c>
      <c r="R652" s="1" t="n"/>
      <c r="S652" s="1" t="n"/>
      <c r="T652" s="15">
        <f>IFERROR(__xludf.DUMMYFUNCTION("""COMPUTED_VALUE"""),"https://www.linkedin.com/company/29026232/")</f>
        <v/>
      </c>
      <c r="U652" s="1">
        <f>IFERROR(__xludf.DUMMYFUNCTION("""COMPUTED_VALUE"""),"Affordable &amp; Flexible Tutoring")</f>
        <v/>
      </c>
      <c r="V652" s="1">
        <f>IFERROR(__xludf.DUMMYFUNCTION("""COMPUTED_VALUE"""),"We offer flexible and affordable tutoring solutions for families. Instead of sales traps, we seek to provide the student with the right amount of tutoring and the right tutor. 
Next to just tutoring, we facilitate tutors to teach better by offering tutor"&amp;"ing content and an academy of learning materials.")</f>
        <v/>
      </c>
      <c r="W652" s="1">
        <f>IFERROR(__xludf.DUMMYFUNCTION("""COMPUTED_VALUE"""),"Mentoring")</f>
        <v/>
      </c>
      <c r="X652" s="1">
        <f>IFERROR(__xludf.DUMMYFUNCTION("""COMPUTED_VALUE"""),"With the use of a personal mentor, we also help paparents to create healthier environments for their children. A dedicated mentor will be assigned to discuss structural learning problems (like motivation, concentration, student well-being, etc.).")</f>
        <v/>
      </c>
      <c r="Y652" s="15">
        <f>IFERROR(__xludf.DUMMYFUNCTION("""COMPUTED_VALUE"""),"https://drive.google.com/uc?export=view&amp;id=1Vef0A8emCDpb6iSeE-9zlmGhiDdTP-t1")</f>
        <v/>
      </c>
      <c r="Z652" s="1">
        <f>IFERROR(__xludf.DUMMYFUNCTION("""COMPUTED_VALUE"""),"Unverified")</f>
        <v/>
      </c>
      <c r="AA652" s="1" t="n"/>
      <c r="AB652" s="1" t="n"/>
      <c r="AC652" s="1" t="n"/>
      <c r="AD652" s="1" t="n"/>
      <c r="AE652" s="1" t="n"/>
    </row>
    <row r="653" ht="42" customHeight="1">
      <c r="A653" s="14">
        <f>IFERROR(__xludf.DUMMYFUNCTION("""COMPUTED_VALUE"""),45183)</f>
        <v/>
      </c>
      <c r="B653" s="1">
        <f>IFERROR(__xludf.DUMMYFUNCTION("""COMPUTED_VALUE"""),"ORG_2396")</f>
        <v/>
      </c>
      <c r="C653" s="1">
        <f>IFERROR(__xludf.DUMMYFUNCTION("""COMPUTED_VALUE"""),TRUE)</f>
        <v/>
      </c>
      <c r="D653" s="1">
        <f>IFERROR(__xludf.DUMMYFUNCTION("""COMPUTED_VALUE"""),"The Discov")</f>
        <v/>
      </c>
      <c r="E653" s="15">
        <f>IFERROR(__xludf.DUMMYFUNCTION("""COMPUTED_VALUE"""),"www.discov.ai")</f>
        <v/>
      </c>
      <c r="F653" s="1">
        <f>IFERROR(__xludf.DUMMYFUNCTION("""COMPUTED_VALUE"""),"We are the world's first unbiased digital study counsellor. We use data to facilitate an optimal match between student and university. Our beyond-the-classroom matchmaking solution ensures students go to a university that meets all their needs, and univer"&amp;"sities receive students that thrive.")</f>
        <v/>
      </c>
      <c r="G653" s="1">
        <f>IFERROR(__xludf.DUMMYFUNCTION("""COMPUTED_VALUE"""),"Dutch EdTech")</f>
        <v/>
      </c>
      <c r="H653" s="1">
        <f>IFERROR(__xludf.DUMMYFUNCTION("""COMPUTED_VALUE"""),"English")</f>
        <v/>
      </c>
      <c r="I653" s="1">
        <f>IFERROR(__xludf.DUMMYFUNCTION("""COMPUTED_VALUE"""),"k.baars@discov.ai")</f>
        <v/>
      </c>
      <c r="J653" s="1">
        <f>IFERROR(__xludf.DUMMYFUNCTION("""COMPUTED_VALUE"""),"+31618334204")</f>
        <v/>
      </c>
      <c r="K653" s="1">
        <f>IFERROR(__xludf.DUMMYFUNCTION("""COMPUTED_VALUE"""),"UTRECHT")</f>
        <v/>
      </c>
      <c r="L653" s="1">
        <f>IFERROR(__xludf.DUMMYFUNCTION("""COMPUTED_VALUE"""),"The Netherlands")</f>
        <v/>
      </c>
      <c r="M653" s="1">
        <f>IFERROR(__xludf.DUMMYFUNCTION("""COMPUTED_VALUE"""),"Netherlands")</f>
        <v/>
      </c>
      <c r="N653" s="1">
        <f>IFERROR(__xludf.DUMMYFUNCTION("""COMPUTED_VALUE"""),"3 to 5")</f>
        <v/>
      </c>
      <c r="O653" s="1">
        <f>IFERROR(__xludf.DUMMYFUNCTION("""COMPUTED_VALUE"""),"Business to Consumer, Business to Government, Business to Schools")</f>
        <v/>
      </c>
      <c r="P653" s="1">
        <f>IFERROR(__xludf.DUMMYFUNCTION("""COMPUTED_VALUE"""),"Higher Education")</f>
        <v/>
      </c>
      <c r="Q653" s="1">
        <f>IFERROR(__xludf.DUMMYFUNCTION("""COMPUTED_VALUE"""),"Student interfacing")</f>
        <v/>
      </c>
      <c r="R653" s="15">
        <f>IFERROR(__xludf.DUMMYFUNCTION("""COMPUTED_VALUE"""),"https://www.instagram.com/the_discov/?hl=en")</f>
        <v/>
      </c>
      <c r="S653" s="1">
        <f>IFERROR(__xludf.DUMMYFUNCTION("""COMPUTED_VALUE"""),"The Discov")</f>
        <v/>
      </c>
      <c r="T653" s="15">
        <f>IFERROR(__xludf.DUMMYFUNCTION("""COMPUTED_VALUE"""),"https://www.linkedin.com/company/the-discov/")</f>
        <v/>
      </c>
      <c r="U653" s="1">
        <f>IFERROR(__xludf.DUMMYFUNCTION("""COMPUTED_VALUE"""),"The Discov")</f>
        <v/>
      </c>
      <c r="V653" s="1">
        <f>IFERROR(__xludf.DUMMYFUNCTION("""COMPUTED_VALUE"""),"Our matchmaking platform solution provides unbiased, data-driven study advice to students based on their academic interests, but also their non-academic preferences, personality, budget and lifestyle. Our algorithm considers all English-taught programs at"&amp;" all universities (currently in the Netherlands and the UK) and is thereby completely independent from any individual higher education institution.")</f>
        <v/>
      </c>
      <c r="W653" s="1" t="n"/>
      <c r="X653" s="1" t="n"/>
      <c r="Y653" s="15">
        <f>IFERROR(__xludf.DUMMYFUNCTION("""COMPUTED_VALUE"""),"https://drive.google.com/uc?export=view&amp;id=1tcgy0MoIDy9pWFXi4XbgHG5p9pLv2Rn3")</f>
        <v/>
      </c>
      <c r="Z653" s="1">
        <f>IFERROR(__xludf.DUMMYFUNCTION("""COMPUTED_VALUE"""),"Unverified")</f>
        <v/>
      </c>
      <c r="AA653" s="1" t="n"/>
      <c r="AB653" s="1" t="n"/>
      <c r="AC653" s="1" t="n"/>
      <c r="AD653" s="1" t="n"/>
      <c r="AE653" s="1" t="n"/>
    </row>
    <row r="654" ht="42" customHeight="1">
      <c r="A654" s="14">
        <f>IFERROR(__xludf.DUMMYFUNCTION("""COMPUTED_VALUE"""),45182)</f>
        <v/>
      </c>
      <c r="B654" s="1">
        <f>IFERROR(__xludf.DUMMYFUNCTION("""COMPUTED_VALUE"""),"ORG_2387")</f>
        <v/>
      </c>
      <c r="C654" s="1">
        <f>IFERROR(__xludf.DUMMYFUNCTION("""COMPUTED_VALUE"""),TRUE)</f>
        <v/>
      </c>
      <c r="D654" s="1">
        <f>IFERROR(__xludf.DUMMYFUNCTION("""COMPUTED_VALUE"""),"TEO training")</f>
        <v/>
      </c>
      <c r="E654" s="15">
        <f>IFERROR(__xludf.DUMMYFUNCTION("""COMPUTED_VALUE"""),"https://teo.training/")</f>
        <v/>
      </c>
      <c r="F654" s="1">
        <f>IFERROR(__xludf.DUMMYFUNCTION("""COMPUTED_VALUE"""),"TEO created a unique combination of an e-learning platform
and a set of practical tools to enable distance learning
programs for technical skills. We developed mobile,
automated training boxes wherein students learn the
theoretical knowledge and practical"&amp;" skills they need to fill in
bottleneck blue collar positions. TEO-boxes provide time
and location independent training programs and are based
on a self-taught approach.")</f>
        <v/>
      </c>
      <c r="G654" s="1">
        <f>IFERROR(__xludf.DUMMYFUNCTION("""COMPUTED_VALUE"""),"edtechstation")</f>
        <v/>
      </c>
      <c r="H654" s="1">
        <f>IFERROR(__xludf.DUMMYFUNCTION("""COMPUTED_VALUE"""),"Dutch, French, English")</f>
        <v/>
      </c>
      <c r="I654" s="1">
        <f>IFERROR(__xludf.DUMMYFUNCTION("""COMPUTED_VALUE"""),"info@teo.training")</f>
        <v/>
      </c>
      <c r="J654" s="1" t="n"/>
      <c r="K654" s="1">
        <f>IFERROR(__xludf.DUMMYFUNCTION("""COMPUTED_VALUE"""),"DEURNE")</f>
        <v/>
      </c>
      <c r="L654" s="1">
        <f>IFERROR(__xludf.DUMMYFUNCTION("""COMPUTED_VALUE"""),"Belgium")</f>
        <v/>
      </c>
      <c r="M654" s="1">
        <f>IFERROR(__xludf.DUMMYFUNCTION("""COMPUTED_VALUE"""),"Belgium")</f>
        <v/>
      </c>
      <c r="N654" s="1">
        <f>IFERROR(__xludf.DUMMYFUNCTION("""COMPUTED_VALUE"""),"6 to 10")</f>
        <v/>
      </c>
      <c r="O654" s="1">
        <f>IFERROR(__xludf.DUMMYFUNCTION("""COMPUTED_VALUE"""),"Business to Government, Business to School, Business to Business")</f>
        <v/>
      </c>
      <c r="P654" s="1">
        <f>IFERROR(__xludf.DUMMYFUNCTION("""COMPUTED_VALUE"""),"Secondary Education, Corporate Training, Lifelong learning/Adult education, Vocational Education and Training (VET)")</f>
        <v/>
      </c>
      <c r="Q654" s="1">
        <f>IFERROR(__xludf.DUMMYFUNCTION("""COMPUTED_VALUE"""),"Teacher interfacing, System/Administrative, Student interfacing")</f>
        <v/>
      </c>
      <c r="R654" s="1" t="n"/>
      <c r="S654" s="1" t="n"/>
      <c r="T654" s="15">
        <f>IFERROR(__xludf.DUMMYFUNCTION("""COMPUTED_VALUE"""),"https://www.linkedin.com/company/12650098/")</f>
        <v/>
      </c>
      <c r="U654" s="1" t="n"/>
      <c r="V654" s="1" t="n"/>
      <c r="W654" s="1" t="n"/>
      <c r="X654" s="1" t="n"/>
      <c r="Y654" s="15">
        <f>IFERROR(__xludf.DUMMYFUNCTION("""COMPUTED_VALUE"""),"https://drive.google.com/uc?export=view&amp;id=1X5wSDb0k_BND9b1OKWPstYfUAquP5nrm")</f>
        <v/>
      </c>
      <c r="Z654" s="1">
        <f>IFERROR(__xludf.DUMMYFUNCTION("""COMPUTED_VALUE"""),"Unverified")</f>
        <v/>
      </c>
      <c r="AA654" s="1" t="n"/>
      <c r="AB654" s="1" t="n"/>
      <c r="AC654" s="1" t="n"/>
      <c r="AD654" s="1" t="n"/>
      <c r="AE654" s="1" t="n"/>
    </row>
    <row r="655" ht="42" customHeight="1">
      <c r="A655" s="14">
        <f>IFERROR(__xludf.DUMMYFUNCTION("""COMPUTED_VALUE"""),45182)</f>
        <v/>
      </c>
      <c r="B655" s="1">
        <f>IFERROR(__xludf.DUMMYFUNCTION("""COMPUTED_VALUE"""),"ORG_1178")</f>
        <v/>
      </c>
      <c r="C655" s="1">
        <f>IFERROR(__xludf.DUMMYFUNCTION("""COMPUTED_VALUE"""),TRUE)</f>
        <v/>
      </c>
      <c r="D655" s="1">
        <f>IFERROR(__xludf.DUMMYFUNCTION("""COMPUTED_VALUE"""),"BlueSkills")</f>
        <v/>
      </c>
      <c r="E655" s="15">
        <f>IFERROR(__xludf.DUMMYFUNCTION("""COMPUTED_VALUE"""),"www.blueskills.nl")</f>
        <v/>
      </c>
      <c r="F655" s="1">
        <f>IFERROR(__xludf.DUMMYFUNCTION("""COMPUTED_VALUE"""),"Blueskills is an innovative player in the job market specializing in filling technical vacancies through advanced Edtech solutions. Their unique approach combines technology and education to find the perfect match between technical professionals and emplo"&amp;"yers.
One standout feature of Blueskills is the ""learning vacancy"" - a groundbreaking concept that integrates e-learning, assessments, and a virtual 3D factory environment. This allows them to assess candidates objectively and thoroughly before recomme"&amp;"nding them to potential employers. With Blueskills, businesses can be confident in hiring candidates who not only have the right skills but have also demonstrated their abilities in a real-world simulated setting, making the hiring process more efficient "&amp;"and effective.")</f>
        <v/>
      </c>
      <c r="G655" s="1">
        <f>IFERROR(__xludf.DUMMYFUNCTION("""COMPUTED_VALUE"""),"Dutch EdTech")</f>
        <v/>
      </c>
      <c r="H655" s="1">
        <f>IFERROR(__xludf.DUMMYFUNCTION("""COMPUTED_VALUE"""),"Dutch, -, English")</f>
        <v/>
      </c>
      <c r="I655" s="1">
        <f>IFERROR(__xludf.DUMMYFUNCTION("""COMPUTED_VALUE"""),"info@blueskills.nl")</f>
        <v/>
      </c>
      <c r="J655" s="1">
        <f>IFERROR(__xludf.DUMMYFUNCTION("""COMPUTED_VALUE"""),"+31513769070")</f>
        <v/>
      </c>
      <c r="K655" s="1">
        <f>IFERROR(__xludf.DUMMYFUNCTION("""COMPUTED_VALUE"""),"HEERENVEEN")</f>
        <v/>
      </c>
      <c r="L655" s="1">
        <f>IFERROR(__xludf.DUMMYFUNCTION("""COMPUTED_VALUE"""),"The Netherlands")</f>
        <v/>
      </c>
      <c r="M655" s="1">
        <f>IFERROR(__xludf.DUMMYFUNCTION("""COMPUTED_VALUE"""),"Netherlands, Sweden, United Kingdom")</f>
        <v/>
      </c>
      <c r="N655" s="1">
        <f>IFERROR(__xludf.DUMMYFUNCTION("""COMPUTED_VALUE"""),"3 to 5")</f>
        <v/>
      </c>
      <c r="O655" s="1">
        <f>IFERROR(__xludf.DUMMYFUNCTION("""COMPUTED_VALUE"""),"Business to Business, Business to Consumer")</f>
        <v/>
      </c>
      <c r="P655" s="1">
        <f>IFERROR(__xludf.DUMMYFUNCTION("""COMPUTED_VALUE"""),"Lifelong learning/Adult education")</f>
        <v/>
      </c>
      <c r="Q655" s="1">
        <f>IFERROR(__xludf.DUMMYFUNCTION("""COMPUTED_VALUE"""),"System/Administrative")</f>
        <v/>
      </c>
      <c r="R655" s="15">
        <f>IFERROR(__xludf.DUMMYFUNCTION("""COMPUTED_VALUE"""),"https://www.google.com/url?sa=t&amp;rct=j&amp;q=&amp;esrc=s&amp;source=web&amp;cd=&amp;cad=rja&amp;uact=8&amp;ved=2ahUKEwiJnL2ShImBAxUTrKQKHS17CkMQFnoECBYQAQ&amp;url=https%3A%2F%2Fwww.instagram.com%2Fblueskillsnederland%2F&amp;usg=AOvVaw3OCHsS8CbdyCa7rKlrnX6b&amp;opi=89978449")</f>
        <v/>
      </c>
      <c r="S655" s="1" t="n"/>
      <c r="T655" s="15">
        <f>IFERROR(__xludf.DUMMYFUNCTION("""COMPUTED_VALUE"""),"https://www.google.com/url?sa=t&amp;rct=j&amp;q=&amp;esrc=s&amp;source=web&amp;cd=&amp;cad=rja&amp;uact=8&amp;ved=2ahUKEwjx_o6IhImBAxUWxQIHHd27A-IQFnoECA0QAQ&amp;url=https%3A%2F%2Fnl.linkedin.com%2Fcompany%2Fblueskills&amp;usg=AOvVaw0fgBQky32Abs-DLGP8oGEV&amp;opi=89978449")</f>
        <v/>
      </c>
      <c r="U655" s="1">
        <f>IFERROR(__xludf.DUMMYFUNCTION("""COMPUTED_VALUE"""),"learning vacancy")</f>
        <v/>
      </c>
      <c r="V655" s="1">
        <f>IFERROR(__xludf.DUMMYFUNCTION("""COMPUTED_VALUE"""),"a groundbreaking concept that integrates e-learning, assessments, and a virtual 3D factory environment. This allows them to assess candidates objectively and thoroughly before recommending them to potential employers. With Blueskills, businesses can be co"&amp;"nfident in hiring candidates who not only have the right skills but have also demonstrated their abilities in a real-world simulated setting, making the hiring process more efficient and effective.")</f>
        <v/>
      </c>
      <c r="W655" s="1" t="n"/>
      <c r="X655" s="1" t="n"/>
      <c r="Y655" s="15">
        <f>IFERROR(__xludf.DUMMYFUNCTION("""COMPUTED_VALUE"""),"https://drive.google.com/uc?export=view&amp;id=14JLKp2AkA-4C8Q4RHdBJ-eOHKMZ8IIg-")</f>
        <v/>
      </c>
      <c r="Z655" s="1">
        <f>IFERROR(__xludf.DUMMYFUNCTION("""COMPUTED_VALUE"""),"Unverified")</f>
        <v/>
      </c>
      <c r="AA655" s="1" t="n"/>
      <c r="AB655" s="1" t="n"/>
      <c r="AC655" s="1" t="n"/>
      <c r="AD655" s="1" t="n"/>
      <c r="AE655" s="1" t="n"/>
    </row>
    <row r="656" ht="42" customHeight="1">
      <c r="A656" s="14">
        <f>IFERROR(__xludf.DUMMYFUNCTION("""COMPUTED_VALUE"""),45182)</f>
        <v/>
      </c>
      <c r="B656" s="1">
        <f>IFERROR(__xludf.DUMMYFUNCTION("""COMPUTED_VALUE"""),"ORG_2114")</f>
        <v/>
      </c>
      <c r="C656" s="1">
        <f>IFERROR(__xludf.DUMMYFUNCTION("""COMPUTED_VALUE"""),TRUE)</f>
        <v/>
      </c>
      <c r="D656" s="1">
        <f>IFERROR(__xludf.DUMMYFUNCTION("""COMPUTED_VALUE"""),"PocketCampus")</f>
        <v/>
      </c>
      <c r="E656" s="15">
        <f>IFERROR(__xludf.DUMMYFUNCTION("""COMPUTED_VALUE"""),"https://pocketcampus.org")</f>
        <v/>
      </c>
      <c r="F656" s="1">
        <f>IFERROR(__xludf.DUMMYFUNCTION("""COMPUTED_VALUE"""),"The Digital Swiss Knife for Your Campus.
PocketCampus all-in-one Campus Apps offer higher education institutions a single entry point for the most important services and information useful to their students and staff, and allow faculties to communicate w"&amp;"ith their students efficiently and in a modern way.
Deployed at multiple universities and schools, PocketCampus apps have an extremely high adoption rate and highly satisfied users.")</f>
        <v/>
      </c>
      <c r="G656" s="1">
        <f>IFERROR(__xludf.DUMMYFUNCTION("""COMPUTED_VALUE"""),"Swiss EdTech Collider")</f>
        <v/>
      </c>
      <c r="H656" s="1">
        <f>IFERROR(__xludf.DUMMYFUNCTION("""COMPUTED_VALUE"""),"English, French, German")</f>
        <v/>
      </c>
      <c r="I656" s="1">
        <f>IFERROR(__xludf.DUMMYFUNCTION("""COMPUTED_VALUE"""),"contact@pocketcampus.org")</f>
        <v/>
      </c>
      <c r="J656" s="1">
        <f>IFERROR(__xludf.DUMMYFUNCTION("""COMPUTED_VALUE"""),"+41 79 348 54 82")</f>
        <v/>
      </c>
      <c r="K656" s="1">
        <f>IFERROR(__xludf.DUMMYFUNCTION("""COMPUTED_VALUE"""),"LAUSANNE")</f>
        <v/>
      </c>
      <c r="L656" s="1">
        <f>IFERROR(__xludf.DUMMYFUNCTION("""COMPUTED_VALUE"""),"Switzerland")</f>
        <v/>
      </c>
      <c r="M656" s="1">
        <f>IFERROR(__xludf.DUMMYFUNCTION("""COMPUTED_VALUE"""),"France, Switzerland")</f>
        <v/>
      </c>
      <c r="N656" s="1">
        <f>IFERROR(__xludf.DUMMYFUNCTION("""COMPUTED_VALUE"""),"6 to 10")</f>
        <v/>
      </c>
      <c r="O656" s="1">
        <f>IFERROR(__xludf.DUMMYFUNCTION("""COMPUTED_VALUE"""),"Business to Business, Business to Government, Business to Schools")</f>
        <v/>
      </c>
      <c r="P656" s="1">
        <f>IFERROR(__xludf.DUMMYFUNCTION("""COMPUTED_VALUE"""),"Secondary Education, Corporate Training, Vocational Education and Training (VET), Higher Education")</f>
        <v/>
      </c>
      <c r="Q656" s="1">
        <f>IFERROR(__xludf.DUMMYFUNCTION("""COMPUTED_VALUE"""),"Student interfacing, Teacher interfacing, System/Administrative")</f>
        <v/>
      </c>
      <c r="R656" s="1" t="n"/>
      <c r="S656" s="1">
        <f>IFERROR(__xludf.DUMMYFUNCTION("""COMPUTED_VALUE"""),"@PocketCampus")</f>
        <v/>
      </c>
      <c r="T656" s="15">
        <f>IFERROR(__xludf.DUMMYFUNCTION("""COMPUTED_VALUE"""),"https://www.linkedin.com/company/9198942/")</f>
        <v/>
      </c>
      <c r="U656" s="1">
        <f>IFERROR(__xludf.DUMMYFUNCTION("""COMPUTED_VALUE"""),"PocketCampus")</f>
        <v/>
      </c>
      <c r="V656" s="1">
        <f>IFERROR(__xludf.DUMMYFUNCTION("""COMPUTED_VALUE"""),"PocketCampus all-in-one Campus Apps offer higher education institutions a single entry point for the most important services and information useful to their students and staff, and allow faculties to communicate with their students efficiently and in a mo"&amp;"dern way.")</f>
        <v/>
      </c>
      <c r="W656" s="1" t="n"/>
      <c r="X656" s="1" t="n"/>
      <c r="Y656" s="15">
        <f>IFERROR(__xludf.DUMMYFUNCTION("""COMPUTED_VALUE"""),"https://drive.google.com/uc?export=view&amp;id=1Smt2yb_ymHPwkEGK24hKt1nKevh8NqsI")</f>
        <v/>
      </c>
      <c r="Z656" s="1">
        <f>IFERROR(__xludf.DUMMYFUNCTION("""COMPUTED_VALUE"""),"Unverified")</f>
        <v/>
      </c>
      <c r="AA656" s="1" t="n"/>
      <c r="AB656" s="1" t="n"/>
      <c r="AC656" s="1" t="n"/>
      <c r="AD656" s="1" t="n"/>
      <c r="AE656" s="1" t="n"/>
    </row>
    <row r="657" ht="42" customHeight="1">
      <c r="A657" s="14">
        <f>IFERROR(__xludf.DUMMYFUNCTION("""COMPUTED_VALUE"""),45182)</f>
        <v/>
      </c>
      <c r="B657" s="1">
        <f>IFERROR(__xludf.DUMMYFUNCTION("""COMPUTED_VALUE"""),"ORG_2032")</f>
        <v/>
      </c>
      <c r="C657" s="1">
        <f>IFERROR(__xludf.DUMMYFUNCTION("""COMPUTED_VALUE"""),TRUE)</f>
        <v/>
      </c>
      <c r="D657" s="1">
        <f>IFERROR(__xludf.DUMMYFUNCTION("""COMPUTED_VALUE"""),"Neuromindset")</f>
        <v/>
      </c>
      <c r="E657" s="15">
        <f>IFERROR(__xludf.DUMMYFUNCTION("""COMPUTED_VALUE"""),"https://neuromindset.com/")</f>
        <v/>
      </c>
      <c r="F657" s="1">
        <f>IFERROR(__xludf.DUMMYFUNCTION("""COMPUTED_VALUE"""),"At Neuromindset, a spin-off of Granada University, we have developed a neuroscience-based digital cognitive training and assessment platform that enable educators, mental health professionals and families to integrate attention and self-regulation trainin"&amp;"g into their profesional activities and daily lives. 
Our aim is to contribute to the innovation of education by introducing easy to use cognitive training curricular technology to provide the stimulation needed to enhance executive functions, attention "&amp;"and self-regulation in children. 
Our digital platform delivers cognitive training via two softwares: 
1) A digital curriculum that guides teachers step-by-step in the implementation of activities that provide group training and that can be easily adapte"&amp;"d to the school curriculum and the classroom activities. 
2) a mobile gaming app that includes computer games that have been specifically design and scientifically tested to provide individual cognitive training. 
3) An assessment digital tool that uses A"&amp;"I to evaluate the attention profile of the user. This attention profile allow us to detect the strenghts and weaknesses of the attention sub-process of the user. 
We know that the future of education has to include the improvement of the mental abilities"&amp;" of children. This is the way to provide children with the socio-emotional and learning skills they need to face the challenges of the 21st century world.")</f>
        <v/>
      </c>
      <c r="G657" s="1">
        <f>IFERROR(__xludf.DUMMYFUNCTION("""COMPUTED_VALUE"""),"I'm not part of any EdTech association")</f>
        <v/>
      </c>
      <c r="H657" s="1">
        <f>IFERROR(__xludf.DUMMYFUNCTION("""COMPUTED_VALUE"""),"Spanish")</f>
        <v/>
      </c>
      <c r="I657" s="1">
        <f>IFERROR(__xludf.DUMMYFUNCTION("""COMPUTED_VALUE"""),"info@neuromindset.com")</f>
        <v/>
      </c>
      <c r="J657" s="1">
        <f>IFERROR(__xludf.DUMMYFUNCTION("""COMPUTED_VALUE"""),"+34647170713")</f>
        <v/>
      </c>
      <c r="K657" s="1">
        <f>IFERROR(__xludf.DUMMYFUNCTION("""COMPUTED_VALUE"""),"GRANADA")</f>
        <v/>
      </c>
      <c r="L657" s="1">
        <f>IFERROR(__xludf.DUMMYFUNCTION("""COMPUTED_VALUE"""),"Spain")</f>
        <v/>
      </c>
      <c r="M657" s="1">
        <f>IFERROR(__xludf.DUMMYFUNCTION("""COMPUTED_VALUE"""),"Spain")</f>
        <v/>
      </c>
      <c r="N657" s="1">
        <f>IFERROR(__xludf.DUMMYFUNCTION("""COMPUTED_VALUE"""),"3 to 5")</f>
        <v/>
      </c>
      <c r="O657" s="1">
        <f>IFERROR(__xludf.DUMMYFUNCTION("""COMPUTED_VALUE"""),"Business to Business, Business to Schools")</f>
        <v/>
      </c>
      <c r="P657" s="1">
        <f>IFERROR(__xludf.DUMMYFUNCTION("""COMPUTED_VALUE"""),"Early childhood development (0-5 years), Primary Education")</f>
        <v/>
      </c>
      <c r="Q657" s="1">
        <f>IFERROR(__xludf.DUMMYFUNCTION("""COMPUTED_VALUE"""),"System/Administrative, Student interfacing, Teacher interfacing")</f>
        <v/>
      </c>
      <c r="R657" s="15">
        <f>IFERROR(__xludf.DUMMYFUNCTION("""COMPUTED_VALUE"""),"https://www.instagram.com/neuromindset/")</f>
        <v/>
      </c>
      <c r="S657" s="15">
        <f>IFERROR(__xludf.DUMMYFUNCTION("""COMPUTED_VALUE"""),"https://twitter.com/mindsetneuroedu")</f>
        <v/>
      </c>
      <c r="T657" s="15">
        <f>IFERROR(__xludf.DUMMYFUNCTION("""COMPUTED_VALUE"""),"https://www.linkedin.com/company/mindsetneuroeducacion/")</f>
        <v/>
      </c>
      <c r="U657" s="1">
        <f>IFERROR(__xludf.DUMMYFUNCTION("""COMPUTED_VALUE"""),"Mind and brain training platform for children")</f>
        <v/>
      </c>
      <c r="V657" s="1">
        <f>IFERROR(__xludf.DUMMYFUNCTION("""COMPUTED_VALUE"""),"We have develop a mind and brain training platform that has two principal tools. Neuromindset-schools is a training platform that provides teachers with all the tools and excercises they need in order to implement mind and brain training in their classroo"&amp;"m with a group training strategy. Neuromindset-kids is our gaming app that is design to provide children with evidence-based training games for individual training. Our training activities and games are designed for strenghtening attention, executive func"&amp;"tions and self-regulation in children.")</f>
        <v/>
      </c>
      <c r="W657" s="1">
        <f>IFERROR(__xludf.DUMMYFUNCTION("""COMPUTED_VALUE"""),"Bee-Attentive test")</f>
        <v/>
      </c>
      <c r="X657" s="1">
        <f>IFERROR(__xludf.DUMMYFUNCTION("""COMPUTED_VALUE"""),"The Bee-Attentive test is our AI tool that allow us to assess the attentional profiles of the user. Our test is a 20 min gaming test that provides an attentional profile that shows the strenghts and weakness of the attention sub-processes. The information"&amp;" provide by the assessment tool is fundamental to be able to understand the cognitive, learning and emotional self-regulation abilities of the user and to detect what we need they need to improve in order to be more efficient in this processes.")</f>
        <v/>
      </c>
      <c r="Y657" s="15">
        <f>IFERROR(__xludf.DUMMYFUNCTION("""COMPUTED_VALUE"""),"https://drive.google.com/uc?export=view&amp;id=1zkkgfkZgHtq_3NEbDYsHnd1I-a4nDCCX")</f>
        <v/>
      </c>
      <c r="Z657" s="1">
        <f>IFERROR(__xludf.DUMMYFUNCTION("""COMPUTED_VALUE"""),"Unverified")</f>
        <v/>
      </c>
      <c r="AA657" s="1" t="n"/>
      <c r="AB657" s="1" t="n"/>
      <c r="AC657" s="1" t="n"/>
      <c r="AD657" s="1" t="n"/>
      <c r="AE657" s="1" t="n"/>
    </row>
    <row r="658" ht="42" customHeight="1">
      <c r="A658" s="14">
        <f>IFERROR(__xludf.DUMMYFUNCTION("""COMPUTED_VALUE"""),45182)</f>
        <v/>
      </c>
      <c r="B658" s="1">
        <f>IFERROR(__xludf.DUMMYFUNCTION("""COMPUTED_VALUE"""),"ORG_2139")</f>
        <v/>
      </c>
      <c r="C658" s="1">
        <f>IFERROR(__xludf.DUMMYFUNCTION("""COMPUTED_VALUE"""),TRUE)</f>
        <v/>
      </c>
      <c r="D658" s="1">
        <f>IFERROR(__xludf.DUMMYFUNCTION("""COMPUTED_VALUE"""),"Qizify Learning")</f>
        <v/>
      </c>
      <c r="E658" s="15">
        <f>IFERROR(__xludf.DUMMYFUNCTION("""COMPUTED_VALUE"""),"https://qizify.com/en/")</f>
        <v/>
      </c>
      <c r="F658" s="1">
        <f>IFERROR(__xludf.DUMMYFUNCTION("""COMPUTED_VALUE"""),"Qizify Learning is a personalized game-based educational software for onboarding, self-learning and assessments, where learners and educators can create, check, and publish quiz questions with or without the help of an AI-assistant. They can also play qui"&amp;"zzes, identify knowledge depth and track their learning performance, receiving feedback from their educators. 
Our customers build a faster and engaging pre- and onboarding process for newcomers, support peer-to-peer learning culture, and boost knowledge"&amp;" exchange within the organisation, where employees can learn from each other. 
Qizify Learning for schools and universities supports educators in organising an interactive and efficient process for their learners to learn and prepare for exams with help "&amp;"of quizzes, Karma points and AI.")</f>
        <v/>
      </c>
      <c r="G658" s="1">
        <f>IFERROR(__xludf.DUMMYFUNCTION("""COMPUTED_VALUE"""),"I'm not part of any EdTech association")</f>
        <v/>
      </c>
      <c r="H658" s="1">
        <f>IFERROR(__xludf.DUMMYFUNCTION("""COMPUTED_VALUE"""),"German, English")</f>
        <v/>
      </c>
      <c r="I658" s="1">
        <f>IFERROR(__xludf.DUMMYFUNCTION("""COMPUTED_VALUE"""),"info@qizify.com")</f>
        <v/>
      </c>
      <c r="J658" s="1">
        <f>IFERROR(__xludf.DUMMYFUNCTION("""COMPUTED_VALUE"""),"+4915783914112")</f>
        <v/>
      </c>
      <c r="K658" s="1">
        <f>IFERROR(__xludf.DUMMYFUNCTION("""COMPUTED_VALUE"""),"DUSSELDORF")</f>
        <v/>
      </c>
      <c r="L658" s="1">
        <f>IFERROR(__xludf.DUMMYFUNCTION("""COMPUTED_VALUE"""),"Germany")</f>
        <v/>
      </c>
      <c r="M658" s="1">
        <f>IFERROR(__xludf.DUMMYFUNCTION("""COMPUTED_VALUE"""),"Austria, Germany, Switzerland")</f>
        <v/>
      </c>
      <c r="N658" s="1">
        <f>IFERROR(__xludf.DUMMYFUNCTION("""COMPUTED_VALUE"""),"3 to 5")</f>
        <v/>
      </c>
      <c r="O658" s="1">
        <f>IFERROR(__xludf.DUMMYFUNCTION("""COMPUTED_VALUE"""),"Business to Business, Business to Government, Business to Schools")</f>
        <v/>
      </c>
      <c r="P658" s="1">
        <f>IFERROR(__xludf.DUMMYFUNCTION("""COMPUTED_VALUE"""),"Secondary Education, Corporate Training, Vocational Education and Training (VET), Higher Education")</f>
        <v/>
      </c>
      <c r="Q658" s="1">
        <f>IFERROR(__xludf.DUMMYFUNCTION("""COMPUTED_VALUE"""),"Student interfacing, Teacher interfacing, System/Administrative")</f>
        <v/>
      </c>
      <c r="R658" s="1" t="n"/>
      <c r="S658" s="1" t="n"/>
      <c r="T658" s="15">
        <f>IFERROR(__xludf.DUMMYFUNCTION("""COMPUTED_VALUE"""),"https://www.linkedin.com/company/49113282")</f>
        <v/>
      </c>
      <c r="U658" s="1">
        <f>IFERROR(__xludf.DUMMYFUNCTION("""COMPUTED_VALUE"""),"Qizify Learning")</f>
        <v/>
      </c>
      <c r="V658" s="1">
        <f>IFERROR(__xludf.DUMMYFUNCTION("""COMPUTED_VALUE"""),"Qizify Learning is a personalized game-based educational software for onboarding, self-learning, and assessments, where learners and educators can create, check, and publish quiz questions with or without the help of an AI-assistant. They can also play qu"&amp;"izzes, identify knowledge depth, and track their learning performance, receiving feedback from their educators.")</f>
        <v/>
      </c>
      <c r="W658" s="1" t="n"/>
      <c r="X658" s="1" t="n"/>
      <c r="Y658" s="15">
        <f>IFERROR(__xludf.DUMMYFUNCTION("""COMPUTED_VALUE"""),"https://drive.google.com/uc?export=view&amp;id=1SKKw6FOwmLm_SAgWiqDrRz-MbV35HDtO")</f>
        <v/>
      </c>
      <c r="Z658" s="1">
        <f>IFERROR(__xludf.DUMMYFUNCTION("""COMPUTED_VALUE"""),"Unverified")</f>
        <v/>
      </c>
      <c r="AA658" s="1" t="n"/>
      <c r="AB658" s="1" t="n"/>
      <c r="AC658" s="1" t="n"/>
      <c r="AD658" s="1" t="n"/>
      <c r="AE658" s="1" t="n"/>
    </row>
    <row r="659" ht="42" customHeight="1">
      <c r="A659" s="14">
        <f>IFERROR(__xludf.DUMMYFUNCTION("""COMPUTED_VALUE"""),45182)</f>
        <v/>
      </c>
      <c r="B659" s="1">
        <f>IFERROR(__xludf.DUMMYFUNCTION("""COMPUTED_VALUE"""),"ORG_2302")</f>
        <v/>
      </c>
      <c r="C659" s="1">
        <f>IFERROR(__xludf.DUMMYFUNCTION("""COMPUTED_VALUE"""),TRUE)</f>
        <v/>
      </c>
      <c r="D659" s="1">
        <f>IFERROR(__xludf.DUMMYFUNCTION("""COMPUTED_VALUE"""),"Sparkfore")</f>
        <v/>
      </c>
      <c r="E659" s="15">
        <f>IFERROR(__xludf.DUMMYFUNCTION("""COMPUTED_VALUE"""),"https://sparkfore.com/")</f>
        <v/>
      </c>
      <c r="F659" s="1">
        <f>IFERROR(__xludf.DUMMYFUNCTION("""COMPUTED_VALUE"""),"Sparkfore is a learning platform, built on a combination of the world’s most used Learning Management System, Moodle, and strategic services connected to learning.")</f>
        <v/>
      </c>
      <c r="G659" s="1">
        <f>IFERROR(__xludf.DUMMYFUNCTION("""COMPUTED_VALUE"""),"I'm not part of any EdTech association")</f>
        <v/>
      </c>
      <c r="H659" s="1" t="n"/>
      <c r="I659" s="1">
        <f>IFERROR(__xludf.DUMMYFUNCTION("""COMPUTED_VALUE"""),"hello@sparkfore.com")</f>
        <v/>
      </c>
      <c r="J659" s="1" t="n"/>
      <c r="K659" s="1">
        <f>IFERROR(__xludf.DUMMYFUNCTION("""COMPUTED_VALUE"""),"SKELLEFTEÅ")</f>
        <v/>
      </c>
      <c r="L659" s="1">
        <f>IFERROR(__xludf.DUMMYFUNCTION("""COMPUTED_VALUE"""),"Sweden")</f>
        <v/>
      </c>
      <c r="M659" s="1">
        <f>IFERROR(__xludf.DUMMYFUNCTION("""COMPUTED_VALUE"""),"Germany, Netherlands, Sweden")</f>
        <v/>
      </c>
      <c r="N659" s="1">
        <f>IFERROR(__xludf.DUMMYFUNCTION("""COMPUTED_VALUE"""),"3 to 5")</f>
        <v/>
      </c>
      <c r="O659" s="1">
        <f>IFERROR(__xludf.DUMMYFUNCTION("""COMPUTED_VALUE"""),"Business to Business, Business to Consumer, Business to Government, Business to Schools")</f>
        <v/>
      </c>
      <c r="P659" s="1">
        <f>IFERROR(__xludf.DUMMYFUNCTION("""COMPUTED_VALUE"""),"Corporate Training, Lifelong learning/Adult education, Vocational Education and Training (VET), Higher Education")</f>
        <v/>
      </c>
      <c r="Q659" s="1">
        <f>IFERROR(__xludf.DUMMYFUNCTION("""COMPUTED_VALUE"""),"System/Administrative, Student interfacing")</f>
        <v/>
      </c>
      <c r="R659" s="1" t="n"/>
      <c r="S659" s="1" t="n"/>
      <c r="T659" s="15">
        <f>IFERROR(__xludf.DUMMYFUNCTION("""COMPUTED_VALUE"""),"https://www.linkedin.com/company/75495005/")</f>
        <v/>
      </c>
      <c r="U659" s="1">
        <f>IFERROR(__xludf.DUMMYFUNCTION("""COMPUTED_VALUE"""),"Moodle LMS")</f>
        <v/>
      </c>
      <c r="V659" s="1">
        <f>IFERROR(__xludf.DUMMYFUNCTION("""COMPUTED_VALUE"""),"Sparkfore makes it easy to offer digital and instructor-led training to your organization, resellers or course participants - user-friendly, efficient and secure! We help you offer training in a flexible and modern way.")</f>
        <v/>
      </c>
      <c r="W659" s="1">
        <f>IFERROR(__xludf.DUMMYFUNCTION("""COMPUTED_VALUE"""),"Moodle Educator")</f>
        <v/>
      </c>
      <c r="X659" s="1">
        <f>IFERROR(__xludf.DUMMYFUNCTION("""COMPUTED_VALUE"""),"Sparkfore empowers educators to sell their knowledge. The service makes it possible to train an unlimited number of people at once. You have full ownership of the material you upload and produce.")</f>
        <v/>
      </c>
      <c r="Y659" s="15">
        <f>IFERROR(__xludf.DUMMYFUNCTION("""COMPUTED_VALUE"""),"https://drive.google.com/uc?export=view&amp;id=13v98nEfi268VwSnqHuHKp9YHbm6NXh7c")</f>
        <v/>
      </c>
      <c r="Z659" s="1">
        <f>IFERROR(__xludf.DUMMYFUNCTION("""COMPUTED_VALUE"""),"Unverified")</f>
        <v/>
      </c>
      <c r="AA659" s="1" t="n"/>
      <c r="AB659" s="1" t="n"/>
      <c r="AC659" s="1" t="n"/>
      <c r="AD659" s="1" t="n"/>
      <c r="AE659" s="1" t="n"/>
    </row>
    <row r="660" ht="42" customHeight="1">
      <c r="A660" s="14">
        <f>IFERROR(__xludf.DUMMYFUNCTION("""COMPUTED_VALUE"""),45182)</f>
        <v/>
      </c>
      <c r="B660" s="1">
        <f>IFERROR(__xludf.DUMMYFUNCTION("""COMPUTED_VALUE"""),"ORG_1165")</f>
        <v/>
      </c>
      <c r="C660" s="1">
        <f>IFERROR(__xludf.DUMMYFUNCTION("""COMPUTED_VALUE"""),TRUE)</f>
        <v/>
      </c>
      <c r="D660" s="1">
        <f>IFERROR(__xludf.DUMMYFUNCTION("""COMPUTED_VALUE"""),"bina")</f>
        <v/>
      </c>
      <c r="E660" s="15">
        <f>IFERROR(__xludf.DUMMYFUNCTION("""COMPUTED_VALUE"""),"www.thebinaschool.com")</f>
        <v/>
      </c>
      <c r="F660" s="1">
        <f>IFERROR(__xludf.DUMMYFUNCTION("""COMPUTED_VALUE"""),"A global, mobile, accredited schooling experience for 4-12 year olds that fits families everywhere")</f>
        <v/>
      </c>
      <c r="G660" s="1">
        <f>IFERROR(__xludf.DUMMYFUNCTION("""COMPUTED_VALUE"""),"I'm not part of any EdTech association")</f>
        <v/>
      </c>
      <c r="H660" s="1">
        <f>IFERROR(__xludf.DUMMYFUNCTION("""COMPUTED_VALUE"""),"English")</f>
        <v/>
      </c>
      <c r="I660" s="1">
        <f>IFERROR(__xludf.DUMMYFUNCTION("""COMPUTED_VALUE"""),"hello@thebinaschool.com")</f>
        <v/>
      </c>
      <c r="J660" s="1">
        <f>IFERROR(__xludf.DUMMYFUNCTION("""COMPUTED_VALUE"""),"+4917689122065")</f>
        <v/>
      </c>
      <c r="K660" s="1">
        <f>IFERROR(__xludf.DUMMYFUNCTION("""COMPUTED_VALUE"""),"Berlin")</f>
        <v/>
      </c>
      <c r="L660" s="1">
        <f>IFERROR(__xludf.DUMMYFUNCTION("""COMPUTED_VALUE"""),"Germany")</f>
        <v/>
      </c>
      <c r="M660"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660" s="1">
        <f>IFERROR(__xludf.DUMMYFUNCTION("""COMPUTED_VALUE"""),"11 to 50")</f>
        <v/>
      </c>
      <c r="O660" s="1">
        <f>IFERROR(__xludf.DUMMYFUNCTION("""COMPUTED_VALUE"""),"Business to Business")</f>
        <v/>
      </c>
      <c r="P660" s="1">
        <f>IFERROR(__xludf.DUMMYFUNCTION("""COMPUTED_VALUE"""),"Early childhood development (0-5 years), Primary Education")</f>
        <v/>
      </c>
      <c r="Q660" s="1">
        <f>IFERROR(__xludf.DUMMYFUNCTION("""COMPUTED_VALUE"""),"System/Administrative, Student interfacing, Teacher interfacing")</f>
        <v/>
      </c>
      <c r="R660" s="15">
        <f>IFERROR(__xludf.DUMMYFUNCTION("""COMPUTED_VALUE"""),"https://www.instagram.com/thebinaschool/")</f>
        <v/>
      </c>
      <c r="S660" s="1">
        <f>IFERROR(__xludf.DUMMYFUNCTION("""COMPUTED_VALUE"""),"X on them :)")</f>
        <v/>
      </c>
      <c r="T660" s="15">
        <f>IFERROR(__xludf.DUMMYFUNCTION("""COMPUTED_VALUE"""),"https://www.linkedin.com/company/42467969/admin/feed/posts/")</f>
        <v/>
      </c>
      <c r="U660" s="1">
        <f>IFERROR(__xludf.DUMMYFUNCTION("""COMPUTED_VALUE"""),"bina")</f>
        <v/>
      </c>
      <c r="V660" s="1">
        <f>IFERROR(__xludf.DUMMYFUNCTION("""COMPUTED_VALUE"""),"A global, mobile, accredited schooling experience for 4-12 year olds
that fits your families everywhere")</f>
        <v/>
      </c>
      <c r="W660" s="1" t="n"/>
      <c r="X660" s="1" t="n"/>
      <c r="Y660" s="1" t="n"/>
      <c r="Z660" s="1">
        <f>IFERROR(__xludf.DUMMYFUNCTION("""COMPUTED_VALUE"""),"Unverified")</f>
        <v/>
      </c>
      <c r="AA660" s="1" t="n"/>
      <c r="AB660" s="1" t="n"/>
      <c r="AC660" s="1" t="n"/>
      <c r="AD660" s="1" t="n"/>
      <c r="AE660" s="1" t="n"/>
    </row>
    <row r="661" ht="42" customHeight="1">
      <c r="A661" s="14">
        <f>IFERROR(__xludf.DUMMYFUNCTION("""COMPUTED_VALUE"""),45182)</f>
        <v/>
      </c>
      <c r="B661" s="1">
        <f>IFERROR(__xludf.DUMMYFUNCTION("""COMPUTED_VALUE"""),"ORG_1472")</f>
        <v/>
      </c>
      <c r="C661" s="1">
        <f>IFERROR(__xludf.DUMMYFUNCTION("""COMPUTED_VALUE"""),TRUE)</f>
        <v/>
      </c>
      <c r="D661" s="1">
        <f>IFERROR(__xludf.DUMMYFUNCTION("""COMPUTED_VALUE"""),"eggheads - conversational microlearning")</f>
        <v/>
      </c>
      <c r="E661" s="15">
        <f>IFERROR(__xludf.DUMMYFUNCTION("""COMPUTED_VALUE"""),"https://eggheads.ai")</f>
        <v/>
      </c>
      <c r="F661" s="1">
        <f>IFERROR(__xludf.DUMMYFUNCTION("""COMPUTED_VALUE"""),"eggheads is a leading AI-driven microlearning platform that empowers businesses to make knowledge stick and raise awareness. With eggheads, customers create, share and analyze chat-based learning nuggets that can be accessed via link or a dedicated Micros"&amp;"oft Teams App, called the egghead. Customers, among them insurers and banks, use it to onboard new team members, reinforce key messages, product knowledge training, customer service training or compliance training.")</f>
        <v/>
      </c>
      <c r="G661" s="1">
        <f>IFERROR(__xludf.DUMMYFUNCTION("""COMPUTED_VALUE"""),"I'm not part of any EdTech association")</f>
        <v/>
      </c>
      <c r="H661" s="1">
        <f>IFERROR(__xludf.DUMMYFUNCTION("""COMPUTED_VALUE"""),"English")</f>
        <v/>
      </c>
      <c r="I661" s="1">
        <f>IFERROR(__xludf.DUMMYFUNCTION("""COMPUTED_VALUE"""),"pascal@eggheads.ch")</f>
        <v/>
      </c>
      <c r="J661" s="1">
        <f>IFERROR(__xludf.DUMMYFUNCTION("""COMPUTED_VALUE"""),"+41 44 508 27 08")</f>
        <v/>
      </c>
      <c r="K661" s="1">
        <f>IFERROR(__xludf.DUMMYFUNCTION("""COMPUTED_VALUE"""),"Pfäffikon")</f>
        <v/>
      </c>
      <c r="L661" s="1">
        <f>IFERROR(__xludf.DUMMYFUNCTION("""COMPUTED_VALUE"""),"Switzerland")</f>
        <v/>
      </c>
      <c r="M661" s="1">
        <f>IFERROR(__xludf.DUMMYFUNCTION("""COMPUTED_VALUE"""),"France, Germany, Netherlands, Spain, Switzerland, United Kingdom")</f>
        <v/>
      </c>
      <c r="N661" s="1">
        <f>IFERROR(__xludf.DUMMYFUNCTION("""COMPUTED_VALUE"""),"0 to 2")</f>
        <v/>
      </c>
      <c r="O661" s="1">
        <f>IFERROR(__xludf.DUMMYFUNCTION("""COMPUTED_VALUE"""),"Business to Business, Business to Consumer")</f>
        <v/>
      </c>
      <c r="P661" s="1">
        <f>IFERROR(__xludf.DUMMYFUNCTION("""COMPUTED_VALUE"""),"Secondary Education, Corporate Training, Lifelong learning/Adult education, Vocational Education and Training (VET), Higher Education")</f>
        <v/>
      </c>
      <c r="Q661" s="1">
        <f>IFERROR(__xludf.DUMMYFUNCTION("""COMPUTED_VALUE"""),"Teacher interfacing, System/Administrative")</f>
        <v/>
      </c>
      <c r="R661" s="1" t="n"/>
      <c r="S661" s="15">
        <f>IFERROR(__xludf.DUMMYFUNCTION("""COMPUTED_VALUE"""),"twitter.com/eggheads_ai")</f>
        <v/>
      </c>
      <c r="T661" s="15">
        <f>IFERROR(__xludf.DUMMYFUNCTION("""COMPUTED_VALUE"""),"linkedin.com/company/eggheads-ai")</f>
        <v/>
      </c>
      <c r="U661" s="1">
        <f>IFERROR(__xludf.DUMMYFUNCTION("""COMPUTED_VALUE"""),"eggheads - AI powered microlearning")</f>
        <v/>
      </c>
      <c r="V661" s="1">
        <f>IFERROR(__xludf.DUMMYFUNCTION("""COMPUTED_VALUE"""),"eggheads is a leading AI-driven microlearning platform that empowers businesses to make knowledge stick and raise awareness. With eggheads, customers create, share and analyze chat-based learning nuggets that can be accessed via link or a dedicated Micros"&amp;"oft Teams App, called the egghead. Customers, among them insurers and banks, use it to onboard new team members, reinforce key messages, product knowledge training, customer service training or compliance training.")</f>
        <v/>
      </c>
      <c r="W661" s="1" t="n"/>
      <c r="X661" s="1" t="n"/>
      <c r="Y661" s="15">
        <f>IFERROR(__xludf.DUMMYFUNCTION("""COMPUTED_VALUE"""),"https://drive.google.com/uc?export=view&amp;id=1MeQC6XRZKLpHJ9avfgCNg4UBYgEo-LJ7")</f>
        <v/>
      </c>
      <c r="Z661" s="1">
        <f>IFERROR(__xludf.DUMMYFUNCTION("""COMPUTED_VALUE"""),"Unverified")</f>
        <v/>
      </c>
      <c r="AA661" s="1" t="n"/>
      <c r="AB661" s="1" t="n"/>
      <c r="AC661" s="1" t="n"/>
      <c r="AD661" s="1" t="n"/>
      <c r="AE661" s="1" t="n"/>
    </row>
    <row r="662" ht="42" customHeight="1">
      <c r="A662" s="14">
        <f>IFERROR(__xludf.DUMMYFUNCTION("""COMPUTED_VALUE"""),45182)</f>
        <v/>
      </c>
      <c r="B662" s="1">
        <f>IFERROR(__xludf.DUMMYFUNCTION("""COMPUTED_VALUE"""),"ORG_1108")</f>
        <v/>
      </c>
      <c r="C662" s="1">
        <f>IFERROR(__xludf.DUMMYFUNCTION("""COMPUTED_VALUE"""),TRUE)</f>
        <v/>
      </c>
      <c r="D662" s="1">
        <f>IFERROR(__xludf.DUMMYFUNCTION("""COMPUTED_VALUE"""),"Aschehoug Education")</f>
        <v/>
      </c>
      <c r="E662" s="15">
        <f>IFERROR(__xludf.DUMMYFUNCTION("""COMPUTED_VALUE"""),"https://aschehoug.no/")</f>
        <v/>
      </c>
      <c r="F662" s="1">
        <f>IFERROR(__xludf.DUMMYFUNCTION("""COMPUTED_VALUE"""),"Aschehoug Education is one of the leading players in the Norwegian Edtech market. Our digital learning platforms offer pupils, teachers, students, lecturers and lawyers innovative and creative digital resources.")</f>
        <v/>
      </c>
      <c r="G662" s="1">
        <f>IFERROR(__xludf.DUMMYFUNCTION("""COMPUTED_VALUE"""),"I'm not part of any EdTech association")</f>
        <v/>
      </c>
      <c r="H662" s="1">
        <f>IFERROR(__xludf.DUMMYFUNCTION("""COMPUTED_VALUE"""),"Norwegian")</f>
        <v/>
      </c>
      <c r="I662" s="1">
        <f>IFERROR(__xludf.DUMMYFUNCTION("""COMPUTED_VALUE"""),"epost@aschehoug.no")</f>
        <v/>
      </c>
      <c r="J662" s="1">
        <f>IFERROR(__xludf.DUMMYFUNCTION("""COMPUTED_VALUE"""),"+47 22 400 400")</f>
        <v/>
      </c>
      <c r="K662" s="1">
        <f>IFERROR(__xludf.DUMMYFUNCTION("""COMPUTED_VALUE"""),"OSLO")</f>
        <v/>
      </c>
      <c r="L662" s="1">
        <f>IFERROR(__xludf.DUMMYFUNCTION("""COMPUTED_VALUE"""),"Norway")</f>
        <v/>
      </c>
      <c r="M662" s="1">
        <f>IFERROR(__xludf.DUMMYFUNCTION("""COMPUTED_VALUE"""),"Norway")</f>
        <v/>
      </c>
      <c r="N662" s="1">
        <f>IFERROR(__xludf.DUMMYFUNCTION("""COMPUTED_VALUE"""),"101 to 500")</f>
        <v/>
      </c>
      <c r="O662" s="1">
        <f>IFERROR(__xludf.DUMMYFUNCTION("""COMPUTED_VALUE"""),"Business to Business")</f>
        <v/>
      </c>
      <c r="P662" s="1">
        <f>IFERROR(__xludf.DUMMYFUNCTION("""COMPUTED_VALUE"""),"Primary Education, Secondary Education, Corporate Training, Vocational Education and Training (VET), Higher Education")</f>
        <v/>
      </c>
      <c r="Q662" s="1">
        <f>IFERROR(__xludf.DUMMYFUNCTION("""COMPUTED_VALUE"""),"Student interfacing, Teacher interfacing, System/Administrative")</f>
        <v/>
      </c>
      <c r="R662" s="15">
        <f>IFERROR(__xludf.DUMMYFUNCTION("""COMPUTED_VALUE"""),"https://www.instagram.com/aunivers.no/")</f>
        <v/>
      </c>
      <c r="S662" s="1" t="n"/>
      <c r="T662" s="15">
        <f>IFERROR(__xludf.DUMMYFUNCTION("""COMPUTED_VALUE"""),"https://www.linkedin.com/company/aschehoug/")</f>
        <v/>
      </c>
      <c r="U662" s="1">
        <f>IFERROR(__xludf.DUMMYFUNCTION("""COMPUTED_VALUE"""),"Aschehoug Universe")</f>
        <v/>
      </c>
      <c r="V662" s="1">
        <f>IFERROR(__xludf.DUMMYFUNCTION("""COMPUTED_VALUE"""),"Aschehoug Universe is a digital learning platform that gives pupils and teachers access to innovative and creative learning materials and useful digital tools. The products cover grades 1 through 13, as well as Norwegian as a second language.")</f>
        <v/>
      </c>
      <c r="W662" s="1">
        <f>IFERROR(__xludf.DUMMYFUNCTION("""COMPUTED_VALUE"""),"Unibok")</f>
        <v/>
      </c>
      <c r="X662" s="1">
        <f>IFERROR(__xludf.DUMMYFUNCTION("""COMPUTED_VALUE"""),"Unibok is a digital ebook platform that gives pupils and teachers access to digital textbooks in a reflowable EPUB 3 format, that offers superior readability and usability. The materials cover grades 5 through 13, as well as Norwegian as a second language"&amp;".")</f>
        <v/>
      </c>
      <c r="Y662" s="15">
        <f>IFERROR(__xludf.DUMMYFUNCTION("""COMPUTED_VALUE"""),"https://drive.google.com/uc?export=view&amp;id=1UkU0hEBVgUcYgMVAJ9K0oAtUcZ3EbnaC")</f>
        <v/>
      </c>
      <c r="Z662" s="1">
        <f>IFERROR(__xludf.DUMMYFUNCTION("""COMPUTED_VALUE"""),"Unverified")</f>
        <v/>
      </c>
      <c r="AA662" s="1" t="n"/>
      <c r="AB662" s="1" t="n"/>
      <c r="AC662" s="1" t="n"/>
      <c r="AD662" s="1" t="n"/>
      <c r="AE662" s="1" t="n"/>
    </row>
    <row r="663" ht="42" customHeight="1">
      <c r="A663" s="14">
        <f>IFERROR(__xludf.DUMMYFUNCTION("""COMPUTED_VALUE"""),45182)</f>
        <v/>
      </c>
      <c r="B663" s="1">
        <f>IFERROR(__xludf.DUMMYFUNCTION("""COMPUTED_VALUE"""),"ORG_1168")</f>
        <v/>
      </c>
      <c r="C663" s="1">
        <f>IFERROR(__xludf.DUMMYFUNCTION("""COMPUTED_VALUE"""),TRUE)</f>
        <v/>
      </c>
      <c r="D663" s="1">
        <f>IFERROR(__xludf.DUMMYFUNCTION("""COMPUTED_VALUE"""),"Bit&amp;R")</f>
        <v/>
      </c>
      <c r="E663" s="15">
        <f>IFERROR(__xludf.DUMMYFUNCTION("""COMPUTED_VALUE"""),"https://bitandr.com/")</f>
        <v/>
      </c>
      <c r="F663" s="1">
        <f>IFERROR(__xludf.DUMMYFUNCTION("""COMPUTED_VALUE"""),"Bit&amp;R is a coding platform where K-12 kids can repair, build and share their own games, while learning web technologies: HTML, CSS and JavaScript.")</f>
        <v/>
      </c>
      <c r="G663" s="1">
        <f>IFERROR(__xludf.DUMMYFUNCTION("""COMPUTED_VALUE"""),"I'm not part of any EdTech association")</f>
        <v/>
      </c>
      <c r="H663" s="1">
        <f>IFERROR(__xludf.DUMMYFUNCTION("""COMPUTED_VALUE"""),"English, Romanian, German")</f>
        <v/>
      </c>
      <c r="I663" s="1">
        <f>IFERROR(__xludf.DUMMYFUNCTION("""COMPUTED_VALUE"""),"hello@bitandr.com")</f>
        <v/>
      </c>
      <c r="J663" s="1" t="n"/>
      <c r="K663" s="1">
        <f>IFERROR(__xludf.DUMMYFUNCTION("""COMPUTED_VALUE"""),"Bucharest")</f>
        <v/>
      </c>
      <c r="L663" s="1">
        <f>IFERROR(__xludf.DUMMYFUNCTION("""COMPUTED_VALUE"""),"Romania")</f>
        <v/>
      </c>
      <c r="M663" s="1">
        <f>IFERROR(__xludf.DUMMYFUNCTION("""COMPUTED_VALUE"""),"Austria, Romania")</f>
        <v/>
      </c>
      <c r="N663" s="1">
        <f>IFERROR(__xludf.DUMMYFUNCTION("""COMPUTED_VALUE"""),"0 to 2")</f>
        <v/>
      </c>
      <c r="O663" s="1">
        <f>IFERROR(__xludf.DUMMYFUNCTION("""COMPUTED_VALUE"""),"Business to Business, Business to Consumer")</f>
        <v/>
      </c>
      <c r="P663" s="1">
        <f>IFERROR(__xludf.DUMMYFUNCTION("""COMPUTED_VALUE"""),"Primary Education")</f>
        <v/>
      </c>
      <c r="Q663" s="1">
        <f>IFERROR(__xludf.DUMMYFUNCTION("""COMPUTED_VALUE"""),"Student interfacing, Teacher interfacing")</f>
        <v/>
      </c>
      <c r="R663" s="1" t="n"/>
      <c r="S663" s="1" t="n"/>
      <c r="T663" s="1" t="n"/>
      <c r="U663" s="1" t="n"/>
      <c r="V663" s="1" t="n"/>
      <c r="W663" s="1" t="n"/>
      <c r="X663" s="1" t="n"/>
      <c r="Y663" s="15">
        <f>IFERROR(__xludf.DUMMYFUNCTION("""COMPUTED_VALUE"""),"https://drive.google.com/uc?export=view&amp;id=179K0T3FoXcA3shqszwPE2LALUh0cOn_0")</f>
        <v/>
      </c>
      <c r="Z663" s="1">
        <f>IFERROR(__xludf.DUMMYFUNCTION("""COMPUTED_VALUE"""),"Unverified")</f>
        <v/>
      </c>
      <c r="AA663" s="1" t="n"/>
      <c r="AB663" s="1" t="n"/>
      <c r="AC663" s="1" t="n"/>
      <c r="AD663" s="1" t="n"/>
      <c r="AE663" s="1" t="n"/>
    </row>
    <row r="664" ht="42" customHeight="1">
      <c r="A664" s="14">
        <f>IFERROR(__xludf.DUMMYFUNCTION("""COMPUTED_VALUE"""),45182)</f>
        <v/>
      </c>
      <c r="B664" s="1">
        <f>IFERROR(__xludf.DUMMYFUNCTION("""COMPUTED_VALUE"""),"ORG_1891")</f>
        <v/>
      </c>
      <c r="C664" s="1">
        <f>IFERROR(__xludf.DUMMYFUNCTION("""COMPUTED_VALUE"""),TRUE)</f>
        <v/>
      </c>
      <c r="D664" s="1">
        <f>IFERROR(__xludf.DUMMYFUNCTION("""COMPUTED_VALUE"""),"LogIC - Reallience")</f>
        <v/>
      </c>
      <c r="E664" s="15">
        <f>IFERROR(__xludf.DUMMYFUNCTION("""COMPUTED_VALUE"""),"https://www.logic-app.ch/en/")</f>
        <v/>
      </c>
      <c r="F664" s="1">
        <f>IFERROR(__xludf.DUMMYFUNCTION("""COMPUTED_VALUE"""),"Wherever human work makes a difference, Reallience creates solutions for competence-based management.
Reallience developped the platform LogIC™, that supports pedagogical activities and animate them by dematerializing training plans. It suits the needs o"&amp;"f students, schools, universities or training institutes in their process of qualification.
Optimize in real time your teaching activities by capturing your own organization’s relevant data. All tailor-made and designed to be run in autonomy.")</f>
        <v/>
      </c>
      <c r="G664" s="1">
        <f>IFERROR(__xludf.DUMMYFUNCTION("""COMPUTED_VALUE"""),"Swiss EdTech Collider")</f>
        <v/>
      </c>
      <c r="H664" s="1">
        <f>IFERROR(__xludf.DUMMYFUNCTION("""COMPUTED_VALUE"""),"French, English, German, Italian")</f>
        <v/>
      </c>
      <c r="I664" s="1">
        <f>IFERROR(__xludf.DUMMYFUNCTION("""COMPUTED_VALUE"""),"logic@reallience.ch")</f>
        <v/>
      </c>
      <c r="J664" s="1">
        <f>IFERROR(__xludf.DUMMYFUNCTION("""COMPUTED_VALUE"""),"+41 76 456 94 97")</f>
        <v/>
      </c>
      <c r="K664" s="1">
        <f>IFERROR(__xludf.DUMMYFUNCTION("""COMPUTED_VALUE"""),"PREVERENGES")</f>
        <v/>
      </c>
      <c r="L664" s="1">
        <f>IFERROR(__xludf.DUMMYFUNCTION("""COMPUTED_VALUE"""),"Switzerland")</f>
        <v/>
      </c>
      <c r="M664" s="1">
        <f>IFERROR(__xludf.DUMMYFUNCTION("""COMPUTED_VALUE"""),"France, Switzerland")</f>
        <v/>
      </c>
      <c r="N664" s="1">
        <f>IFERROR(__xludf.DUMMYFUNCTION("""COMPUTED_VALUE"""),"3 to 5")</f>
        <v/>
      </c>
      <c r="O664" s="1">
        <f>IFERROR(__xludf.DUMMYFUNCTION("""COMPUTED_VALUE"""),"Business to Business, Business to Government, Business to Schools")</f>
        <v/>
      </c>
      <c r="P664" s="1">
        <f>IFERROR(__xludf.DUMMYFUNCTION("""COMPUTED_VALUE"""),"Corporate Training, Higher Education")</f>
        <v/>
      </c>
      <c r="Q664" s="1">
        <f>IFERROR(__xludf.DUMMYFUNCTION("""COMPUTED_VALUE"""),"Teacher interfacing, System/Administrative")</f>
        <v/>
      </c>
      <c r="R664" s="1" t="n"/>
      <c r="S664" s="1" t="n"/>
      <c r="T664" s="15">
        <f>IFERROR(__xludf.DUMMYFUNCTION("""COMPUTED_VALUE"""),"https://www.linkedin.com/company/reallience/")</f>
        <v/>
      </c>
      <c r="U664" s="1">
        <f>IFERROR(__xludf.DUMMYFUNCTION("""COMPUTED_VALUE"""),"LogIC")</f>
        <v/>
      </c>
      <c r="V664" s="1">
        <f>IFERROR(__xludf.DUMMYFUNCTION("""COMPUTED_VALUE"""),"The LogIC platform is designed to help monitor performance and manage risk when executing complex activities. Its ergonomic and intuitive interface allows users to easily record their activities, follow their progress and qualifications. In addition, it i"&amp;"s a powerful tool in tasks related to security and control.
LogIC is a flexible and easy to use platform: educational programs of any format can be dematerialized. Interactions between students and teachers are enhanced while the school’s vision and peda"&amp;"gogical concepts are reinforced.
.Record educational activities: practical experience, feedbacks, formative assessments or personal observations
.Promote a reflective approach and empower students in their own progression towards learning objectives
.Inv"&amp;"olve instructors in every training step, strengthening mentoring and dialogue with students")</f>
        <v/>
      </c>
      <c r="W664" s="1" t="n"/>
      <c r="X664" s="1" t="n"/>
      <c r="Y664" s="15">
        <f>IFERROR(__xludf.DUMMYFUNCTION("""COMPUTED_VALUE"""),"https://drive.google.com/uc?export=view&amp;id=1nP_SCNAFqXpMC4W1gu4FVr8-AHZIh83x")</f>
        <v/>
      </c>
      <c r="Z664" s="1">
        <f>IFERROR(__xludf.DUMMYFUNCTION("""COMPUTED_VALUE"""),"Unverified")</f>
        <v/>
      </c>
      <c r="AA664" s="1" t="n"/>
      <c r="AB664" s="1" t="n"/>
      <c r="AC664" s="1" t="n"/>
      <c r="AD664" s="1" t="n"/>
      <c r="AE664" s="1" t="n"/>
    </row>
    <row r="665" ht="42" customHeight="1">
      <c r="A665" s="14">
        <f>IFERROR(__xludf.DUMMYFUNCTION("""COMPUTED_VALUE"""),45182)</f>
        <v/>
      </c>
      <c r="B665" s="1">
        <f>IFERROR(__xludf.DUMMYFUNCTION("""COMPUTED_VALUE"""),"ORG_2299")</f>
        <v/>
      </c>
      <c r="C665" s="1">
        <f>IFERROR(__xludf.DUMMYFUNCTION("""COMPUTED_VALUE"""),TRUE)</f>
        <v/>
      </c>
      <c r="D665" s="1">
        <f>IFERROR(__xludf.DUMMYFUNCTION("""COMPUTED_VALUE"""),"SOWISO")</f>
        <v/>
      </c>
      <c r="E665" s="15">
        <f>IFERROR(__xludf.DUMMYFUNCTION("""COMPUTED_VALUE"""),"https://sowiso.nl/en/")</f>
        <v/>
      </c>
      <c r="F665" s="1">
        <f>IFERROR(__xludf.DUMMYFUNCTION("""COMPUTED_VALUE"""),"SOWISO is an award-winning online learning and testing environment for STEM that increases student engagement and saves teachers time. Unlike other platforms, SOWISO provides students with intuitive, real-time feedback on their work, and teachers benefit "&amp;"from unlimited support, including from our in-house maths specialists, so that every one of our partners can best meet their teaching needs.
Our tool is used by more than 60 leading educational institutions worldwide, supporting over 450,000 students wit"&amp;"h improved STEM learning.")</f>
        <v/>
      </c>
      <c r="G665" s="1">
        <f>IFERROR(__xludf.DUMMYFUNCTION("""COMPUTED_VALUE"""),"Dutch EdTech")</f>
        <v/>
      </c>
      <c r="H665" s="1">
        <f>IFERROR(__xludf.DUMMYFUNCTION("""COMPUTED_VALUE"""),"English, Dutch, Spanish")</f>
        <v/>
      </c>
      <c r="I665" s="1">
        <f>IFERROR(__xludf.DUMMYFUNCTION("""COMPUTED_VALUE"""),"info@sowiso.com")</f>
        <v/>
      </c>
      <c r="J665" s="1">
        <f>IFERROR(__xludf.DUMMYFUNCTION("""COMPUTED_VALUE"""),"+31 20 752 00 00")</f>
        <v/>
      </c>
      <c r="K665" s="1">
        <f>IFERROR(__xludf.DUMMYFUNCTION("""COMPUTED_VALUE"""),"AMSTERDAM")</f>
        <v/>
      </c>
      <c r="L665" s="1">
        <f>IFERROR(__xludf.DUMMYFUNCTION("""COMPUTED_VALUE"""),"The Netherlands")</f>
        <v/>
      </c>
      <c r="M665" s="1">
        <f>IFERROR(__xludf.DUMMYFUNCTION("""COMPUTED_VALUE"""),"Belgium, Denmark, Estonia, Ireland, Netherlands, Norway, Serbia, Spain, United Kingdom")</f>
        <v/>
      </c>
      <c r="N665" s="1">
        <f>IFERROR(__xludf.DUMMYFUNCTION("""COMPUTED_VALUE"""),"11 to 50")</f>
        <v/>
      </c>
      <c r="O665" s="1">
        <f>IFERROR(__xludf.DUMMYFUNCTION("""COMPUTED_VALUE"""),"Business to Consumer")</f>
        <v/>
      </c>
      <c r="P665" s="1">
        <f>IFERROR(__xludf.DUMMYFUNCTION("""COMPUTED_VALUE"""),"Secondary Education, Vocational Education and Training (VET), Higher Education")</f>
        <v/>
      </c>
      <c r="Q665" s="1">
        <f>IFERROR(__xludf.DUMMYFUNCTION("""COMPUTED_VALUE"""),"Teacher interfacing")</f>
        <v/>
      </c>
      <c r="R665" s="1" t="n"/>
      <c r="S665" s="15">
        <f>IFERROR(__xludf.DUMMYFUNCTION("""COMPUTED_VALUE"""),"https://twitter.com/sowisobv")</f>
        <v/>
      </c>
      <c r="T665" s="15">
        <f>IFERROR(__xludf.DUMMYFUNCTION("""COMPUTED_VALUE"""),"https://www.linkedin.com/company/sowiso/")</f>
        <v/>
      </c>
      <c r="U665" s="1">
        <f>IFERROR(__xludf.DUMMYFUNCTION("""COMPUTED_VALUE"""),"SOWISO")</f>
        <v/>
      </c>
      <c r="V665" s="1">
        <f>IFERROR(__xludf.DUMMYFUNCTION("""COMPUTED_VALUE"""),"SOWISO is a learning and testing environment for STEM. It uses randomised questions, allowing students to learn through practice. Students receive hints according to the information they enter and automated personalised feedback, simulating private tutori"&amp;"ng.
SOWISO can be used just by students for homework and practice. It can also be used as a full curriculum for teachers to follow. Teaching staff can use a predetermined curriculum provided by SOWISO, like a digital interactive textbook, or customise it"&amp;".")</f>
        <v/>
      </c>
      <c r="W665" s="1">
        <f>IFERROR(__xludf.DUMMYFUNCTION("""COMPUTED_VALUE"""),"OMPT")</f>
        <v/>
      </c>
      <c r="X665" s="1">
        <f>IFERROR(__xludf.DUMMYFUNCTION("""COMPUTED_VALUE"""),"Online Mathematics Placement Test (OMPT) is a number of different admission exams students can take anywhere and anytime, safely proctored throughout the year. 
A preparation course and mock exams complement the real exams to help students be even better"&amp;" prepared. OMPT not only offers six ready-made admission exams but also can (co-)design an exam that would match university-specific admission requirements.")</f>
        <v/>
      </c>
      <c r="Y665" s="15">
        <f>IFERROR(__xludf.DUMMYFUNCTION("""COMPUTED_VALUE"""),"https://drive.google.com/uc?export=view&amp;id=126DlVncFDmXSQhjYEGvK3Zq6UkeN4RQI")</f>
        <v/>
      </c>
      <c r="Z665" s="1">
        <f>IFERROR(__xludf.DUMMYFUNCTION("""COMPUTED_VALUE"""),"Unverified")</f>
        <v/>
      </c>
      <c r="AA665" s="1" t="n"/>
      <c r="AB665" s="1" t="n"/>
      <c r="AC665" s="1" t="n"/>
      <c r="AD665" s="1" t="n"/>
      <c r="AE665" s="1" t="n"/>
    </row>
    <row r="666" ht="42" customHeight="1">
      <c r="A666" s="14">
        <f>IFERROR(__xludf.DUMMYFUNCTION("""COMPUTED_VALUE"""),45182)</f>
        <v/>
      </c>
      <c r="B666" s="1">
        <f>IFERROR(__xludf.DUMMYFUNCTION("""COMPUTED_VALUE"""),"ORG_1360")</f>
        <v/>
      </c>
      <c r="C666" s="1">
        <f>IFERROR(__xludf.DUMMYFUNCTION("""COMPUTED_VALUE"""),TRUE)</f>
        <v/>
      </c>
      <c r="D666" s="1">
        <f>IFERROR(__xludf.DUMMYFUNCTION("""COMPUTED_VALUE"""),"Digital Method")</f>
        <v/>
      </c>
      <c r="E666" s="15">
        <f>IFERROR(__xludf.DUMMYFUNCTION("""COMPUTED_VALUE"""),"https://www.digitalemethode.be/")</f>
        <v/>
      </c>
      <c r="F666" s="1">
        <f>IFERROR(__xludf.DUMMYFUNCTION("""COMPUTED_VALUE"""),"Digital Method is a digital educational publisher. A learner-centered, intelligent platform that achieves higher learning gains by offering personalized, ready-to-use learning contents, giving the teacher the opportunity to work together with peers and be"&amp;"come an expert coach and creator. For each course a well thought out mix of text, schemes, interactive elements, automatically corrected excercises, lesson videos,… Not just a book behind glass, or glorified PDF, but a real Digital Method for teaching and"&amp;" learning in the 21st century.")</f>
        <v/>
      </c>
      <c r="G666" s="1">
        <f>IFERROR(__xludf.DUMMYFUNCTION("""COMPUTED_VALUE"""),"edtechstation")</f>
        <v/>
      </c>
      <c r="H666" s="1">
        <f>IFERROR(__xludf.DUMMYFUNCTION("""COMPUTED_VALUE"""),"Dutch")</f>
        <v/>
      </c>
      <c r="I666" s="1">
        <f>IFERROR(__xludf.DUMMYFUNCTION("""COMPUTED_VALUE"""),"info@digitalemethode.be")</f>
        <v/>
      </c>
      <c r="J666" s="1">
        <f>IFERROR(__xludf.DUMMYFUNCTION("""COMPUTED_VALUE"""),"+3292771024")</f>
        <v/>
      </c>
      <c r="K666" s="1">
        <f>IFERROR(__xludf.DUMMYFUNCTION("""COMPUTED_VALUE"""),"LOKEREN")</f>
        <v/>
      </c>
      <c r="L666" s="1">
        <f>IFERROR(__xludf.DUMMYFUNCTION("""COMPUTED_VALUE"""),"Belgium")</f>
        <v/>
      </c>
      <c r="M666" s="1">
        <f>IFERROR(__xludf.DUMMYFUNCTION("""COMPUTED_VALUE"""),"Belgium, Netherlands")</f>
        <v/>
      </c>
      <c r="N666" s="1">
        <f>IFERROR(__xludf.DUMMYFUNCTION("""COMPUTED_VALUE"""),"11 to 50")</f>
        <v/>
      </c>
      <c r="O666" s="1">
        <f>IFERROR(__xludf.DUMMYFUNCTION("""COMPUTED_VALUE"""),"Business to Business, Business to Consumer")</f>
        <v/>
      </c>
      <c r="P666" s="1">
        <f>IFERROR(__xludf.DUMMYFUNCTION("""COMPUTED_VALUE"""),"Secondary Education")</f>
        <v/>
      </c>
      <c r="Q666" s="1">
        <f>IFERROR(__xludf.DUMMYFUNCTION("""COMPUTED_VALUE"""),"System/Administrative, Teacher interfacing")</f>
        <v/>
      </c>
      <c r="R666" s="1" t="n"/>
      <c r="S666" s="1" t="n"/>
      <c r="T666" s="1" t="n"/>
      <c r="U666" s="1" t="n"/>
      <c r="V666" s="1" t="n"/>
      <c r="W666" s="1" t="n"/>
      <c r="X666" s="1" t="n"/>
      <c r="Y666" s="15">
        <f>IFERROR(__xludf.DUMMYFUNCTION("""COMPUTED_VALUE"""),"https://drive.google.com/uc?export=view&amp;id=1wPVQobLnkHtCZzX7_yXygdYOrwu1wusT")</f>
        <v/>
      </c>
      <c r="Z666" s="1">
        <f>IFERROR(__xludf.DUMMYFUNCTION("""COMPUTED_VALUE"""),"Unverified")</f>
        <v/>
      </c>
      <c r="AA666" s="1" t="n"/>
      <c r="AB666" s="1" t="n"/>
      <c r="AC666" s="1" t="n"/>
      <c r="AD666" s="1" t="n"/>
      <c r="AE666" s="1" t="n"/>
    </row>
    <row r="667" ht="42" customHeight="1">
      <c r="A667" s="14">
        <f>IFERROR(__xludf.DUMMYFUNCTION("""COMPUTED_VALUE"""),45182)</f>
        <v/>
      </c>
      <c r="B667" s="1">
        <f>IFERROR(__xludf.DUMMYFUNCTION("""COMPUTED_VALUE"""),"ORG_2174")</f>
        <v/>
      </c>
      <c r="C667" s="1">
        <f>IFERROR(__xludf.DUMMYFUNCTION("""COMPUTED_VALUE"""),TRUE)</f>
        <v/>
      </c>
      <c r="D667" s="1">
        <f>IFERROR(__xludf.DUMMYFUNCTION("""COMPUTED_VALUE"""),"Reducate_")</f>
        <v/>
      </c>
      <c r="E667" s="15">
        <f>IFERROR(__xludf.DUMMYFUNCTION("""COMPUTED_VALUE"""),"www.reducate.com")</f>
        <v/>
      </c>
      <c r="F667" s="1">
        <f>IFERROR(__xludf.DUMMYFUNCTION("""COMPUTED_VALUE"""),"Reducate_ is a platform of European online continuing professional education. We aim to become Europe’s biggest online CPE platform in a wide range of verticals. Today 200.000 professionals within 40 verticals in The Netherlands and Scandinavia have daily"&amp;" access to the 2.400 online courses of Reducate_. Daughter companies of Reducate_ are E-WISE, E-learning Made Easy and THAR (Netherlands) and Blueprint Learning (Denmark)")</f>
        <v/>
      </c>
      <c r="G667" s="1">
        <f>IFERROR(__xludf.DUMMYFUNCTION("""COMPUTED_VALUE"""),"I'm not part of any EdTech association")</f>
        <v/>
      </c>
      <c r="H667" s="1">
        <f>IFERROR(__xludf.DUMMYFUNCTION("""COMPUTED_VALUE"""),"Dutch, Danish")</f>
        <v/>
      </c>
      <c r="I667" s="1">
        <f>IFERROR(__xludf.DUMMYFUNCTION("""COMPUTED_VALUE"""),"info@reducate.com")</f>
        <v/>
      </c>
      <c r="J667" s="1">
        <f>IFERROR(__xludf.DUMMYFUNCTION("""COMPUTED_VALUE"""),"+31302644100")</f>
        <v/>
      </c>
      <c r="K667" s="1">
        <f>IFERROR(__xludf.DUMMYFUNCTION("""COMPUTED_VALUE"""),"Utrecht")</f>
        <v/>
      </c>
      <c r="L667" s="1">
        <f>IFERROR(__xludf.DUMMYFUNCTION("""COMPUTED_VALUE"""),"The Netherlands")</f>
        <v/>
      </c>
      <c r="M667" s="1">
        <f>IFERROR(__xludf.DUMMYFUNCTION("""COMPUTED_VALUE"""),"Denmark, Netherlands")</f>
        <v/>
      </c>
      <c r="N667" s="1">
        <f>IFERROR(__xludf.DUMMYFUNCTION("""COMPUTED_VALUE"""),"101 to 500")</f>
        <v/>
      </c>
      <c r="O667" s="1">
        <f>IFERROR(__xludf.DUMMYFUNCTION("""COMPUTED_VALUE"""),"Business to Business, Business to Government, Business to Schools")</f>
        <v/>
      </c>
      <c r="P667" s="1">
        <f>IFERROR(__xludf.DUMMYFUNCTION("""COMPUTED_VALUE"""),"Lifelong learning/Adult education")</f>
        <v/>
      </c>
      <c r="Q667" s="1">
        <f>IFERROR(__xludf.DUMMYFUNCTION("""COMPUTED_VALUE"""),"Teacher interfacing, System/Administrative")</f>
        <v/>
      </c>
      <c r="R667" s="1" t="n"/>
      <c r="S667" s="1" t="n"/>
      <c r="T667" s="15">
        <f>IFERROR(__xludf.DUMMYFUNCTION("""COMPUTED_VALUE"""),"https://www.linkedin.com/company/reducate/")</f>
        <v/>
      </c>
      <c r="U667" s="1">
        <f>IFERROR(__xludf.DUMMYFUNCTION("""COMPUTED_VALUE"""),"Various")</f>
        <v/>
      </c>
      <c r="V667" s="1">
        <f>IFERROR(__xludf.DUMMYFUNCTION("""COMPUTED_VALUE"""),"Online continuing professional education under the labels E-WISE &amp; LearnLet (teachers, schools and child daycare), CME-Online &amp; DENTAkurser(medical sector), PE-Academy &amp; REVIkurser (financial &amp; legal sector), PO-Online &amp; ADVOkurser (lawyers), EME (nursing"&amp;", care takers), Thar (transport &amp; logistic sector) and SchultzCampus (municipalities)")</f>
        <v/>
      </c>
      <c r="W667" s="1" t="n"/>
      <c r="X667" s="1" t="n"/>
      <c r="Y667" s="15">
        <f>IFERROR(__xludf.DUMMYFUNCTION("""COMPUTED_VALUE"""),"https://drive.google.com/uc?export=view&amp;id=1zYaJfbhr60-aCi9Zs1aJsMrklPRgE_BG")</f>
        <v/>
      </c>
      <c r="Z667" s="1">
        <f>IFERROR(__xludf.DUMMYFUNCTION("""COMPUTED_VALUE"""),"Unverified")</f>
        <v/>
      </c>
      <c r="AA667" s="1" t="n"/>
      <c r="AB667" s="1" t="n"/>
      <c r="AC667" s="1" t="n"/>
      <c r="AD667" s="1" t="n"/>
      <c r="AE667" s="1" t="n"/>
    </row>
    <row r="668" ht="42" customHeight="1">
      <c r="A668" s="14">
        <f>IFERROR(__xludf.DUMMYFUNCTION("""COMPUTED_VALUE"""),45182)</f>
        <v/>
      </c>
      <c r="B668" s="1">
        <f>IFERROR(__xludf.DUMMYFUNCTION("""COMPUTED_VALUE"""),"ORG_2186")</f>
        <v/>
      </c>
      <c r="C668" s="1">
        <f>IFERROR(__xludf.DUMMYFUNCTION("""COMPUTED_VALUE"""),TRUE)</f>
        <v/>
      </c>
      <c r="D668" s="1">
        <f>IFERROR(__xludf.DUMMYFUNCTION("""COMPUTED_VALUE"""),"Rising Up")</f>
        <v/>
      </c>
      <c r="E668" s="15">
        <f>IFERROR(__xludf.DUMMYFUNCTION("""COMPUTED_VALUE"""),"https://en.risinguparis.com/")</f>
        <v/>
      </c>
      <c r="F668" s="1">
        <f>IFERROR(__xludf.DUMMYFUNCTION("""COMPUTED_VALUE"""),"Rising Up is a deeptech company offering a SaaS solution called THE L.A.B. to identify and enrich the core skills (soft skills) needed to enter the job market. For the first time, this innovative skills development solution enables qualitative and quantit"&amp;"ative analysis of soft (core) skills, while optimizing their development.")</f>
        <v/>
      </c>
      <c r="G668" s="1">
        <f>IFERROR(__xludf.DUMMYFUNCTION("""COMPUTED_VALUE"""),"EdTech France")</f>
        <v/>
      </c>
      <c r="H668" s="1">
        <f>IFERROR(__xludf.DUMMYFUNCTION("""COMPUTED_VALUE"""),"Danish, English, Norwegian, French")</f>
        <v/>
      </c>
      <c r="I668" s="1">
        <f>IFERROR(__xludf.DUMMYFUNCTION("""COMPUTED_VALUE"""),"n.abboub@gmail.com")</f>
        <v/>
      </c>
      <c r="J668" s="1">
        <f>IFERROR(__xludf.DUMMYFUNCTION("""COMPUTED_VALUE"""),"+33 628208109")</f>
        <v/>
      </c>
      <c r="K668" s="1">
        <f>IFERROR(__xludf.DUMMYFUNCTION("""COMPUTED_VALUE"""),"PARIS")</f>
        <v/>
      </c>
      <c r="L668" s="1">
        <f>IFERROR(__xludf.DUMMYFUNCTION("""COMPUTED_VALUE"""),"France")</f>
        <v/>
      </c>
      <c r="M668" s="1">
        <f>IFERROR(__xludf.DUMMYFUNCTION("""COMPUTED_VALUE"""),"Belgium, Denmark, Finland, France, Germany, Luxembourg, Norway, Sweden")</f>
        <v/>
      </c>
      <c r="N668" s="1">
        <f>IFERROR(__xludf.DUMMYFUNCTION("""COMPUTED_VALUE"""),"3 to 5")</f>
        <v/>
      </c>
      <c r="O668" s="1">
        <f>IFERROR(__xludf.DUMMYFUNCTION("""COMPUTED_VALUE"""),"Business to Business, Business to Schools")</f>
        <v/>
      </c>
      <c r="P668" s="1">
        <f>IFERROR(__xludf.DUMMYFUNCTION("""COMPUTED_VALUE"""),"Corporate Training, Lifelong learning/Adult education, Vocational Education and Training (VET), Higher Education")</f>
        <v/>
      </c>
      <c r="Q668" s="1">
        <f>IFERROR(__xludf.DUMMYFUNCTION("""COMPUTED_VALUE"""),"Student interfacing, System/Administrative")</f>
        <v/>
      </c>
      <c r="R668" s="1">
        <f>IFERROR(__xludf.DUMMYFUNCTION("""COMPUTED_VALUE"""),"Rising Up")</f>
        <v/>
      </c>
      <c r="S668" s="15">
        <f>IFERROR(__xludf.DUMMYFUNCTION("""COMPUTED_VALUE"""),"https://twitter.com/risinguparis")</f>
        <v/>
      </c>
      <c r="T668" s="15">
        <f>IFERROR(__xludf.DUMMYFUNCTION("""COMPUTED_VALUE"""),"https://www.linkedin.com/company/18324967/admin/")</f>
        <v/>
      </c>
      <c r="U668" s="1">
        <f>IFERROR(__xludf.DUMMYFUNCTION("""COMPUTED_VALUE"""),"Soft Skill Scan")</f>
        <v/>
      </c>
      <c r="V668" s="1">
        <f>IFERROR(__xludf.DUMMYFUNCTION("""COMPUTED_VALUE"""),"Identify and value you core skills to boost your employability (100 % online, 35 mn)
- learn about your core-skills
- identify you key core skills 
- learn to value them in your job interview")</f>
        <v/>
      </c>
      <c r="W668" s="1">
        <f>IFERROR(__xludf.DUMMYFUNCTION("""COMPUTED_VALUE"""),"Soft skill Leader")</f>
        <v/>
      </c>
      <c r="X668" s="1">
        <f>IFERROR(__xludf.DUMMYFUNCTION("""COMPUTED_VALUE"""),"Become a master of your core skills (100 % online, 45 mn)
- Learn to decrypt your behaviors and those of others thanks to neurosciences theory
- develop effective strategies to manage priorities, delegate to people you trust, control your emotion or be mo"&amp;"re focus
- increase your performance to boost your employability")</f>
        <v/>
      </c>
      <c r="Y668" s="15">
        <f>IFERROR(__xludf.DUMMYFUNCTION("""COMPUTED_VALUE"""),"https://drive.google.com/uc?export=view&amp;id=1X9Rs-K3iSmEoAAjiAUTjAjVTKoKQ8hx_")</f>
        <v/>
      </c>
      <c r="Z668" s="1">
        <f>IFERROR(__xludf.DUMMYFUNCTION("""COMPUTED_VALUE"""),"Unverified")</f>
        <v/>
      </c>
      <c r="AA668" s="1" t="n"/>
      <c r="AB668" s="1" t="n"/>
      <c r="AC668" s="1" t="n"/>
      <c r="AD668" s="1" t="n"/>
      <c r="AE668" s="1" t="n"/>
    </row>
    <row r="669" ht="42" customHeight="1">
      <c r="A669" s="14">
        <f>IFERROR(__xludf.DUMMYFUNCTION("""COMPUTED_VALUE"""),45182)</f>
        <v/>
      </c>
      <c r="B669" s="1">
        <f>IFERROR(__xludf.DUMMYFUNCTION("""COMPUTED_VALUE"""),"ORG_1285")</f>
        <v/>
      </c>
      <c r="C669" s="1">
        <f>IFERROR(__xludf.DUMMYFUNCTION("""COMPUTED_VALUE"""),TRUE)</f>
        <v/>
      </c>
      <c r="D669" s="1">
        <f>IFERROR(__xludf.DUMMYFUNCTION("""COMPUTED_VALUE"""),"Communico")</f>
        <v/>
      </c>
      <c r="E669" s="15">
        <f>IFERROR(__xludf.DUMMYFUNCTION("""COMPUTED_VALUE"""),"www.communico.nu")</f>
        <v/>
      </c>
      <c r="F669" s="1">
        <f>IFERROR(__xludf.DUMMYFUNCTION("""COMPUTED_VALUE"""),"Communico is a company which is at the same time brand new and highly experienced. We are an offspring from Dansk Kommunikation, who have worked since 2012 to combine role-playing didactics with digital technology. Our purpose is to make common societal c"&amp;"hallenges accessible and relatable to pupils through advanced teaching programmes that can be used cheaply, simply and locally.
We call these programs digital Edu-LARPs (educational Live-Action Role Plays), and so far, they've been played successfully by "&amp;"hundreds of teachers and thousands of students in Denmark, Norway, and Germany. Communico has no political or religious agenda, but we are committed to UN's World Sustainable Development Goals.")</f>
        <v/>
      </c>
      <c r="G669" s="1">
        <f>IFERROR(__xludf.DUMMYFUNCTION("""COMPUTED_VALUE"""),"EdTech Denmark")</f>
        <v/>
      </c>
      <c r="H669" s="1">
        <f>IFERROR(__xludf.DUMMYFUNCTION("""COMPUTED_VALUE"""),"English, German, Dutch, Danish")</f>
        <v/>
      </c>
      <c r="I669" s="1">
        <f>IFERROR(__xludf.DUMMYFUNCTION("""COMPUTED_VALUE"""),"adm@communico.nu")</f>
        <v/>
      </c>
      <c r="J669" s="1">
        <f>IFERROR(__xludf.DUMMYFUNCTION("""COMPUTED_VALUE"""),"+45 24656044")</f>
        <v/>
      </c>
      <c r="K669" s="1">
        <f>IFERROR(__xludf.DUMMYFUNCTION("""COMPUTED_VALUE"""),"COPENHAGEN V")</f>
        <v/>
      </c>
      <c r="L669" s="1">
        <f>IFERROR(__xludf.DUMMYFUNCTION("""COMPUTED_VALUE"""),"Denmark")</f>
        <v/>
      </c>
      <c r="M669" s="1">
        <f>IFERROR(__xludf.DUMMYFUNCTION("""COMPUTED_VALUE"""),"Denmark, Germany")</f>
        <v/>
      </c>
      <c r="N669" s="1">
        <f>IFERROR(__xludf.DUMMYFUNCTION("""COMPUTED_VALUE"""),"0 to 2")</f>
        <v/>
      </c>
      <c r="O669" s="1">
        <f>IFERROR(__xludf.DUMMYFUNCTION("""COMPUTED_VALUE"""),"Business to Business")</f>
        <v/>
      </c>
      <c r="P669" s="1">
        <f>IFERROR(__xludf.DUMMYFUNCTION("""COMPUTED_VALUE"""),"Secondary Education")</f>
        <v/>
      </c>
      <c r="Q669" s="1">
        <f>IFERROR(__xludf.DUMMYFUNCTION("""COMPUTED_VALUE"""),"Teacher interfacing, System/Administrative")</f>
        <v/>
      </c>
      <c r="R669" s="1" t="n"/>
      <c r="S669" s="1" t="n"/>
      <c r="T669" s="15">
        <f>IFERROR(__xludf.DUMMYFUNCTION("""COMPUTED_VALUE"""),"https://www.linkedin.com/company/communico-aps")</f>
        <v/>
      </c>
      <c r="U669" s="1">
        <f>IFERROR(__xludf.DUMMYFUNCTION("""COMPUTED_VALUE"""),"Europe at Work")</f>
        <v/>
      </c>
      <c r="V669" s="1">
        <f>IFERROR(__xludf.DUMMYFUNCTION("""COMPUTED_VALUE"""),"Europe at Work teaches basic knowledge and understanding of the European Union to high school students. It is played for 70-250 students in 5 hours. The platform creates an immersive, blended learning universe that builds academic content into the student"&amp;" interplay. Challenge-driven progression keeps students motivated and absorbed in the game universe and ensures student engagement throughout the day. Teachers have a crucial facilitating role, where they act as guides through the groupwork, shared meetin"&amp;"gs and the advanced academic content.")</f>
        <v/>
      </c>
      <c r="W669" s="1" t="n"/>
      <c r="X669" s="1" t="n"/>
      <c r="Y669" s="15">
        <f>IFERROR(__xludf.DUMMYFUNCTION("""COMPUTED_VALUE"""),"https://drive.google.com/uc?export=view&amp;id=1USHO4twK-obtqCcafU931Df1EPRm3NmV")</f>
        <v/>
      </c>
      <c r="Z669" s="1">
        <f>IFERROR(__xludf.DUMMYFUNCTION("""COMPUTED_VALUE"""),"Unverified")</f>
        <v/>
      </c>
      <c r="AA669" s="1" t="n"/>
      <c r="AB669" s="1" t="n"/>
      <c r="AC669" s="1" t="n"/>
      <c r="AD669" s="1" t="n"/>
      <c r="AE669" s="1" t="n"/>
    </row>
    <row r="670" ht="42" customHeight="1">
      <c r="A670" s="14">
        <f>IFERROR(__xludf.DUMMYFUNCTION("""COMPUTED_VALUE"""),45182)</f>
        <v/>
      </c>
      <c r="B670" s="1">
        <f>IFERROR(__xludf.DUMMYFUNCTION("""COMPUTED_VALUE"""),"ORG_1390")</f>
        <v/>
      </c>
      <c r="C670" s="1">
        <f>IFERROR(__xludf.DUMMYFUNCTION("""COMPUTED_VALUE"""),TRUE)</f>
        <v/>
      </c>
      <c r="D670" s="1">
        <f>IFERROR(__xludf.DUMMYFUNCTION("""COMPUTED_VALUE"""),"E-WISE")</f>
        <v/>
      </c>
      <c r="E670" s="15">
        <f>IFERROR(__xludf.DUMMYFUNCTION("""COMPUTED_VALUE"""),"www.e-wise.com")</f>
        <v/>
      </c>
      <c r="F670" s="1">
        <f>IFERROR(__xludf.DUMMYFUNCTION("""COMPUTED_VALUE"""),"E-WISE was founded 25 years ago and is by far market leader in The Netherlands in online continuing professional educational in verticals in the medical, financial, legal and school sector. Via its subscription based platform every day 135.000 course part"&amp;"icipants can now choose from more than 1.800 different courses.")</f>
        <v/>
      </c>
      <c r="G670" s="1">
        <f>IFERROR(__xludf.DUMMYFUNCTION("""COMPUTED_VALUE"""),"I'm not part of any EdTech association")</f>
        <v/>
      </c>
      <c r="H670" s="1">
        <f>IFERROR(__xludf.DUMMYFUNCTION("""COMPUTED_VALUE"""),"Dutch")</f>
        <v/>
      </c>
      <c r="I670" s="1">
        <f>IFERROR(__xludf.DUMMYFUNCTION("""COMPUTED_VALUE"""),"info@e-wise.nl")</f>
        <v/>
      </c>
      <c r="J670" s="1">
        <f>IFERROR(__xludf.DUMMYFUNCTION("""COMPUTED_VALUE"""),"+31302644100")</f>
        <v/>
      </c>
      <c r="K670" s="1">
        <f>IFERROR(__xludf.DUMMYFUNCTION("""COMPUTED_VALUE"""),"UTRECHT")</f>
        <v/>
      </c>
      <c r="L670" s="1">
        <f>IFERROR(__xludf.DUMMYFUNCTION("""COMPUTED_VALUE"""),"The Netherlands")</f>
        <v/>
      </c>
      <c r="M670" s="1">
        <f>IFERROR(__xludf.DUMMYFUNCTION("""COMPUTED_VALUE"""),"Netherlands")</f>
        <v/>
      </c>
      <c r="N670" s="1">
        <f>IFERROR(__xludf.DUMMYFUNCTION("""COMPUTED_VALUE"""),"101 to 500")</f>
        <v/>
      </c>
      <c r="O670" s="1">
        <f>IFERROR(__xludf.DUMMYFUNCTION("""COMPUTED_VALUE"""),"Business to Business, Business to Consumer")</f>
        <v/>
      </c>
      <c r="P670" s="1">
        <f>IFERROR(__xludf.DUMMYFUNCTION("""COMPUTED_VALUE"""),"Corporate Training, Lifelong learning/Adult education")</f>
        <v/>
      </c>
      <c r="Q670" s="1">
        <f>IFERROR(__xludf.DUMMYFUNCTION("""COMPUTED_VALUE"""),"Teacher interfacing, System/Administrative, Student interfacing")</f>
        <v/>
      </c>
      <c r="R670" s="1" t="n"/>
      <c r="S670" s="1" t="n"/>
      <c r="T670" s="15">
        <f>IFERROR(__xludf.DUMMYFUNCTION("""COMPUTED_VALUE"""),"https://www.linkedin.com/company/100983/admin/feed/posts/")</f>
        <v/>
      </c>
      <c r="U670" s="1">
        <f>IFERROR(__xludf.DUMMYFUNCTION("""COMPUTED_VALUE"""),"E-WISE")</f>
        <v/>
      </c>
      <c r="V670" s="1">
        <f>IFERROR(__xludf.DUMMYFUNCTION("""COMPUTED_VALUE"""),"Online continuing education for teachers, schools and child daycare")</f>
        <v/>
      </c>
      <c r="W670" s="1">
        <f>IFERROR(__xludf.DUMMYFUNCTION("""COMPUTED_VALUE"""),"CME-Online")</f>
        <v/>
      </c>
      <c r="X670" s="1">
        <f>IFERROR(__xludf.DUMMYFUNCTION("""COMPUTED_VALUE"""),"Online continuing medical education in the medical sector")</f>
        <v/>
      </c>
      <c r="Y670" s="15">
        <f>IFERROR(__xludf.DUMMYFUNCTION("""COMPUTED_VALUE"""),"https://drive.google.com/uc?export=view&amp;id=1qKSB9-Nc-RyQu42y_rfYmz57JcgDQ3Lr")</f>
        <v/>
      </c>
      <c r="Z670" s="1">
        <f>IFERROR(__xludf.DUMMYFUNCTION("""COMPUTED_VALUE"""),"Unverified")</f>
        <v/>
      </c>
      <c r="AA670" s="1" t="n"/>
      <c r="AB670" s="1" t="n"/>
      <c r="AC670" s="1" t="n"/>
      <c r="AD670" s="1" t="n"/>
      <c r="AE670" s="1" t="n"/>
    </row>
    <row r="671" ht="42" customHeight="1">
      <c r="A671" s="14">
        <f>IFERROR(__xludf.DUMMYFUNCTION("""COMPUTED_VALUE"""),45182)</f>
        <v/>
      </c>
      <c r="B671" s="1">
        <f>IFERROR(__xludf.DUMMYFUNCTION("""COMPUTED_VALUE"""),"ORG_2079")</f>
        <v/>
      </c>
      <c r="C671" s="1">
        <f>IFERROR(__xludf.DUMMYFUNCTION("""COMPUTED_VALUE"""),TRUE)</f>
        <v/>
      </c>
      <c r="D671" s="1">
        <f>IFERROR(__xludf.DUMMYFUNCTION("""COMPUTED_VALUE"""),"OSCAR CRM")</f>
        <v/>
      </c>
      <c r="E671" s="15">
        <f>IFERROR(__xludf.DUMMYFUNCTION("""COMPUTED_VALUE"""),"https://www.oscar-campus.com")</f>
        <v/>
      </c>
      <c r="F671" s="1">
        <f>IFERROR(__xludf.DUMMYFUNCTION("""COMPUTED_VALUE"""),"OSCAR CRM is the 1st French CRM software dedicated entirely to higher education.
Developed with the help of many establishments, OSCAR CRM is a suitable and efficient software to manage the CRM issues of a school, an IAE, a CFA or a university.
Speciali"&amp;"sts in CRM and higher education, our teams support you from the audit of your needs to daily support.")</f>
        <v/>
      </c>
      <c r="G671" s="1">
        <f>IFERROR(__xludf.DUMMYFUNCTION("""COMPUTED_VALUE"""),"EdTech France")</f>
        <v/>
      </c>
      <c r="H671" s="1" t="n"/>
      <c r="I671" s="1">
        <f>IFERROR(__xludf.DUMMYFUNCTION("""COMPUTED_VALUE"""),"contact@oscar-campus.com")</f>
        <v/>
      </c>
      <c r="J671" s="1">
        <f>IFERROR(__xludf.DUMMYFUNCTION("""COMPUTED_VALUE"""),"+33 1 53 94 36 60")</f>
        <v/>
      </c>
      <c r="K671" s="1">
        <f>IFERROR(__xludf.DUMMYFUNCTION("""COMPUTED_VALUE"""),"PARIS")</f>
        <v/>
      </c>
      <c r="L671" s="1">
        <f>IFERROR(__xludf.DUMMYFUNCTION("""COMPUTED_VALUE"""),"France")</f>
        <v/>
      </c>
      <c r="M671" s="1">
        <f>IFERROR(__xludf.DUMMYFUNCTION("""COMPUTED_VALUE"""),"France, Italy, Monaco, Sweden, Switzerland")</f>
        <v/>
      </c>
      <c r="N671" s="1">
        <f>IFERROR(__xludf.DUMMYFUNCTION("""COMPUTED_VALUE"""),"6 to 10")</f>
        <v/>
      </c>
      <c r="O671" s="1">
        <f>IFERROR(__xludf.DUMMYFUNCTION("""COMPUTED_VALUE"""),"Business to Consumer")</f>
        <v/>
      </c>
      <c r="P671" s="1">
        <f>IFERROR(__xludf.DUMMYFUNCTION("""COMPUTED_VALUE"""),"Higher Education")</f>
        <v/>
      </c>
      <c r="Q671" s="1">
        <f>IFERROR(__xludf.DUMMYFUNCTION("""COMPUTED_VALUE"""),"Student interfacing")</f>
        <v/>
      </c>
      <c r="R671" s="1" t="n"/>
      <c r="S671" s="1" t="n"/>
      <c r="T671" s="15">
        <f>IFERROR(__xludf.DUMMYFUNCTION("""COMPUTED_VALUE"""),"https://www.linkedin.com/company/oscar-campus-crm/")</f>
        <v/>
      </c>
      <c r="U671" s="1">
        <f>IFERROR(__xludf.DUMMYFUNCTION("""COMPUTED_VALUE"""),"OSCAR CRM")</f>
        <v/>
      </c>
      <c r="V671" s="1">
        <f>IFERROR(__xludf.DUMMYFUNCTION("""COMPUTED_VALUE"""),"OSCAR CRM is the 1st French CRM software dedicated entirely to higher education.
Developed with the help of many establishments, OSCAR CRM is a suitable and efficient software to manage the CRM issues of a school, an IAE, a CFA or a university.
Speciali"&amp;"sts in CRM and higher education, our teams support you from the audit of your needs to daily support.")</f>
        <v/>
      </c>
      <c r="W671" s="1" t="n"/>
      <c r="X671" s="1" t="n"/>
      <c r="Y671" s="15">
        <f>IFERROR(__xludf.DUMMYFUNCTION("""COMPUTED_VALUE"""),"https://drive.google.com/uc?export=view&amp;id=19cgLA5jkLRuqtHGMWOP4lMtAlhw6pkwW")</f>
        <v/>
      </c>
      <c r="Z671" s="1">
        <f>IFERROR(__xludf.DUMMYFUNCTION("""COMPUTED_VALUE"""),"Unverified")</f>
        <v/>
      </c>
      <c r="AA671" s="1" t="n"/>
      <c r="AB671" s="1" t="n"/>
      <c r="AC671" s="1" t="n"/>
      <c r="AD671" s="1" t="n"/>
      <c r="AE671" s="1" t="n"/>
    </row>
    <row r="672" ht="42" customHeight="1">
      <c r="A672" s="14">
        <f>IFERROR(__xludf.DUMMYFUNCTION("""COMPUTED_VALUE"""),45182)</f>
        <v/>
      </c>
      <c r="B672" s="1">
        <f>IFERROR(__xludf.DUMMYFUNCTION("""COMPUTED_VALUE"""),"ORG_1493")</f>
        <v/>
      </c>
      <c r="C672" s="1">
        <f>IFERROR(__xludf.DUMMYFUNCTION("""COMPUTED_VALUE"""),TRUE)</f>
        <v/>
      </c>
      <c r="D672" s="1">
        <f>IFERROR(__xludf.DUMMYFUNCTION("""COMPUTED_VALUE"""),"EMYS")</f>
        <v/>
      </c>
      <c r="E672" s="15">
        <f>IFERROR(__xludf.DUMMYFUNCTION("""COMPUTED_VALUE"""),"www.emys.co")</f>
        <v/>
      </c>
      <c r="F672" s="1">
        <f>IFERROR(__xludf.DUMMYFUNCTION("""COMPUTED_VALUE"""),"The mission of EMYS ™ is to shape the future of education through the world's most innovative, secure and hands-on technology. Children are at the center of our attention.")</f>
        <v/>
      </c>
      <c r="G672" s="1">
        <f>IFERROR(__xludf.DUMMYFUNCTION("""COMPUTED_VALUE"""),"I'm not part of any EdTech association")</f>
        <v/>
      </c>
      <c r="H672" s="1">
        <f>IFERROR(__xludf.DUMMYFUNCTION("""COMPUTED_VALUE"""),"English")</f>
        <v/>
      </c>
      <c r="I672" s="1">
        <f>IFERROR(__xludf.DUMMYFUNCTION("""COMPUTED_VALUE"""),"contact@emys.co")</f>
        <v/>
      </c>
      <c r="J672" s="1">
        <f>IFERROR(__xludf.DUMMYFUNCTION("""COMPUTED_VALUE"""),"+48717501525")</f>
        <v/>
      </c>
      <c r="K672" s="1">
        <f>IFERROR(__xludf.DUMMYFUNCTION("""COMPUTED_VALUE"""),"Wroclaw")</f>
        <v/>
      </c>
      <c r="L672" s="1">
        <f>IFERROR(__xludf.DUMMYFUNCTION("""COMPUTED_VALUE"""),"Poland")</f>
        <v/>
      </c>
      <c r="M672" s="1">
        <f>IFERROR(__xludf.DUMMYFUNCTION("""COMPUTED_VALUE"""),"France, Poland")</f>
        <v/>
      </c>
      <c r="N672" s="1">
        <f>IFERROR(__xludf.DUMMYFUNCTION("""COMPUTED_VALUE"""),"3 to 5")</f>
        <v/>
      </c>
      <c r="O672" s="1">
        <f>IFERROR(__xludf.DUMMYFUNCTION("""COMPUTED_VALUE"""),"Business to Business, Business to Consumer")</f>
        <v/>
      </c>
      <c r="P672" s="1">
        <f>IFERROR(__xludf.DUMMYFUNCTION("""COMPUTED_VALUE"""),"Early childhood development (0-5 years)")</f>
        <v/>
      </c>
      <c r="Q672" s="1">
        <f>IFERROR(__xludf.DUMMYFUNCTION("""COMPUTED_VALUE"""),"System/Administrative, Student interfacing, Teacher interfacing")</f>
        <v/>
      </c>
      <c r="R672" s="15">
        <f>IFERROR(__xludf.DUMMYFUNCTION("""COMPUTED_VALUE"""),"https://www.instagram.com/emysrobot/")</f>
        <v/>
      </c>
      <c r="S672" s="1" t="n"/>
      <c r="T672" s="15">
        <f>IFERROR(__xludf.DUMMYFUNCTION("""COMPUTED_VALUE"""),"https://www.linkedin.com/company/emysrobot")</f>
        <v/>
      </c>
      <c r="U672" s="1">
        <f>IFERROR(__xludf.DUMMYFUNCTION("""COMPUTED_VALUE"""),"EMYS robot")</f>
        <v/>
      </c>
      <c r="V672" s="1">
        <f>IFERROR(__xludf.DUMMYFUNCTION("""COMPUTED_VALUE"""),"Children aged 3-7 years old love EMYS: the most advanced, English speaking educational robot in the world with a friendly appearance and outstanding interactive capabilities. EMYS is a rich source of carefully chosen language presented through a series of"&amp;" interactive tasks, games, crafts, activities, songs and stories. The robot reacts to the kids touch and comes equipped with many quality theme-based toys and cards that were created to stimulate 5 senses. EMYS is also playful and capable of displaying em"&amp;"otions. Finally, this unique english native speaker awakens kids drive to play-pretend and asks them regularly to be taken care of. From R2D2 &amp; C-3PO through WALL-E &amp; Hal, what once used to be a dream on cinema screens, now has become the reality for kids"&amp;" and the adults around them alike.")</f>
        <v/>
      </c>
      <c r="W672" s="1" t="n"/>
      <c r="X672" s="1" t="n"/>
      <c r="Y672" s="15">
        <f>IFERROR(__xludf.DUMMYFUNCTION("""COMPUTED_VALUE"""),"https://drive.google.com/uc?export=view&amp;id=1DGMjRGLEEnKt_1cYd5BIhHEtFqqM7Sda")</f>
        <v/>
      </c>
      <c r="Z672" s="1">
        <f>IFERROR(__xludf.DUMMYFUNCTION("""COMPUTED_VALUE"""),"Unverified")</f>
        <v/>
      </c>
      <c r="AA672" s="1" t="n"/>
      <c r="AB672" s="1" t="n"/>
      <c r="AC672" s="1" t="n"/>
      <c r="AD672" s="1" t="n"/>
      <c r="AE672" s="1" t="n"/>
    </row>
    <row r="673" ht="42" customHeight="1">
      <c r="A673" s="14">
        <f>IFERROR(__xludf.DUMMYFUNCTION("""COMPUTED_VALUE"""),45182)</f>
        <v/>
      </c>
      <c r="B673" s="1">
        <f>IFERROR(__xludf.DUMMYFUNCTION("""COMPUTED_VALUE"""),"ORG_2502")</f>
        <v/>
      </c>
      <c r="C673" s="1">
        <f>IFERROR(__xludf.DUMMYFUNCTION("""COMPUTED_VALUE"""),TRUE)</f>
        <v/>
      </c>
      <c r="D673" s="1">
        <f>IFERROR(__xludf.DUMMYFUNCTION("""COMPUTED_VALUE"""),"Visuon")</f>
        <v/>
      </c>
      <c r="E673" s="15">
        <f>IFERROR(__xludf.DUMMYFUNCTION("""COMPUTED_VALUE"""),"https://visuon.com")</f>
        <v/>
      </c>
      <c r="F673" s="1">
        <f>IFERROR(__xludf.DUMMYFUNCTION("""COMPUTED_VALUE"""),"Dismissal is often due to poor orientation and training processes. The quality of competence affects productivity and well-being at work. Our target groups are the cleaning industry, healthcare and the industry in general, where the need for onboarding an"&amp;"d training is constantly growing. The need for multilingualism is also a challenge, but visuality helps. Visuon has a great and valued solution for creating and publishing visual content conveniently. Visuon utilizes visual pedagogy for learning and prese"&amp;"ntation using 360XR virtual reality. In tests and feedback, end users love and deploy Visual visual content easily. Integrations with existing systems are also possible. We are ready to help!")</f>
        <v/>
      </c>
      <c r="G673" s="1">
        <f>IFERROR(__xludf.DUMMYFUNCTION("""COMPUTED_VALUE"""),"EdTech Finland")</f>
        <v/>
      </c>
      <c r="H673" s="1">
        <f>IFERROR(__xludf.DUMMYFUNCTION("""COMPUTED_VALUE"""),"English")</f>
        <v/>
      </c>
      <c r="I673" s="1">
        <f>IFERROR(__xludf.DUMMYFUNCTION("""COMPUTED_VALUE"""),"sales@visuon.com")</f>
        <v/>
      </c>
      <c r="J673" s="1">
        <f>IFERROR(__xludf.DUMMYFUNCTION("""COMPUTED_VALUE"""),"+358505536899")</f>
        <v/>
      </c>
      <c r="K673" s="1">
        <f>IFERROR(__xludf.DUMMYFUNCTION("""COMPUTED_VALUE"""),"TAMPERE")</f>
        <v/>
      </c>
      <c r="L673" s="1">
        <f>IFERROR(__xludf.DUMMYFUNCTION("""COMPUTED_VALUE"""),"Finland")</f>
        <v/>
      </c>
      <c r="M673" s="1">
        <f>IFERROR(__xludf.DUMMYFUNCTION("""COMPUTED_VALUE"""),"Finland, Sweden")</f>
        <v/>
      </c>
      <c r="N673" s="1">
        <f>IFERROR(__xludf.DUMMYFUNCTION("""COMPUTED_VALUE"""),"0 to 2")</f>
        <v/>
      </c>
      <c r="O673" s="1">
        <f>IFERROR(__xludf.DUMMYFUNCTION("""COMPUTED_VALUE"""),"Business to Schools")</f>
        <v/>
      </c>
      <c r="P673" s="1">
        <f>IFERROR(__xludf.DUMMYFUNCTION("""COMPUTED_VALUE"""),"Corporate Training, Lifelong learning/Adult education, Vocational Education and Training (VET)")</f>
        <v/>
      </c>
      <c r="Q673" s="1">
        <f>IFERROR(__xludf.DUMMYFUNCTION("""COMPUTED_VALUE"""),"Teacher interfacing, System/Administrative")</f>
        <v/>
      </c>
      <c r="R673" s="1" t="n"/>
      <c r="S673" s="15">
        <f>IFERROR(__xludf.DUMMYFUNCTION("""COMPUTED_VALUE"""),"https://twitter.com/visuonco")</f>
        <v/>
      </c>
      <c r="T673" s="15">
        <f>IFERROR(__xludf.DUMMYFUNCTION("""COMPUTED_VALUE"""),"https://www.linkedin.com/company/visuon")</f>
        <v/>
      </c>
      <c r="U673" s="1">
        <f>IFERROR(__xludf.DUMMYFUNCTION("""COMPUTED_VALUE"""),"Visuon 360VR platform")</f>
        <v/>
      </c>
      <c r="V673" s="1">
        <f>IFERROR(__xludf.DUMMYFUNCTION("""COMPUTED_VALUE"""),"Visuon platform for creating, publishing and maintaining the content for endusers. Very visual based and intuitive tool for content creators.")</f>
        <v/>
      </c>
      <c r="W673" s="1" t="n"/>
      <c r="X673" s="1" t="n"/>
      <c r="Y673" s="15">
        <f>IFERROR(__xludf.DUMMYFUNCTION("""COMPUTED_VALUE"""),"https://drive.google.com/uc?export=view&amp;id=1T3VTfZaIb3JpFJnbapeHEbWIyiC3-2fV")</f>
        <v/>
      </c>
      <c r="Z673" s="1">
        <f>IFERROR(__xludf.DUMMYFUNCTION("""COMPUTED_VALUE"""),"Unverified")</f>
        <v/>
      </c>
      <c r="AA673" s="1" t="n"/>
      <c r="AB673" s="1" t="n"/>
      <c r="AC673" s="1" t="n"/>
      <c r="AD673" s="1" t="n"/>
      <c r="AE673" s="1" t="n"/>
    </row>
    <row r="674" ht="42" customHeight="1">
      <c r="A674" s="14">
        <f>IFERROR(__xludf.DUMMYFUNCTION("""COMPUTED_VALUE"""),45182)</f>
        <v/>
      </c>
      <c r="B674" s="1">
        <f>IFERROR(__xludf.DUMMYFUNCTION("""COMPUTED_VALUE"""),"ORG_1227")</f>
        <v/>
      </c>
      <c r="C674" s="1">
        <f>IFERROR(__xludf.DUMMYFUNCTION("""COMPUTED_VALUE"""),TRUE)</f>
        <v/>
      </c>
      <c r="D674" s="1">
        <f>IFERROR(__xludf.DUMMYFUNCTION("""COMPUTED_VALUE"""),"chabaDoo GmbH")</f>
        <v/>
      </c>
      <c r="E674" s="15">
        <f>IFERROR(__xludf.DUMMYFUNCTION("""COMPUTED_VALUE"""),"www.chabadoo.com")</f>
        <v/>
      </c>
      <c r="F674" s="1">
        <f>IFERROR(__xludf.DUMMYFUNCTION("""COMPUTED_VALUE"""),"chabaDoo offers an individual, responsible, lifelong learning plattform.
It is the marketplace for reusable microlearning content (in Form of open educational ressource).")</f>
        <v/>
      </c>
      <c r="G674" s="1">
        <f>IFERROR(__xludf.DUMMYFUNCTION("""COMPUTED_VALUE"""),"EdTech Austria")</f>
        <v/>
      </c>
      <c r="H674" s="1">
        <f>IFERROR(__xludf.DUMMYFUNCTION("""COMPUTED_VALUE"""),"German, English")</f>
        <v/>
      </c>
      <c r="I674" s="1">
        <f>IFERROR(__xludf.DUMMYFUNCTION("""COMPUTED_VALUE"""),"gerald.eckerstorfer@chabadoo.com")</f>
        <v/>
      </c>
      <c r="J674" s="1">
        <f>IFERROR(__xludf.DUMMYFUNCTION("""COMPUTED_VALUE"""),"+436642300232")</f>
        <v/>
      </c>
      <c r="K674" s="1">
        <f>IFERROR(__xludf.DUMMYFUNCTION("""COMPUTED_VALUE"""),"Herzogsdorf")</f>
        <v/>
      </c>
      <c r="L674" s="1">
        <f>IFERROR(__xludf.DUMMYFUNCTION("""COMPUTED_VALUE"""),"Austria")</f>
        <v/>
      </c>
      <c r="M674" s="1">
        <f>IFERROR(__xludf.DUMMYFUNCTION("""COMPUTED_VALUE"""),"Austria, Germany, Switzerland")</f>
        <v/>
      </c>
      <c r="N674" s="1">
        <f>IFERROR(__xludf.DUMMYFUNCTION("""COMPUTED_VALUE"""),"3 to 5")</f>
        <v/>
      </c>
      <c r="O674" s="1">
        <f>IFERROR(__xludf.DUMMYFUNCTION("""COMPUTED_VALUE"""),"Business to Business")</f>
        <v/>
      </c>
      <c r="P674" s="1">
        <f>IFERROR(__xludf.DUMMYFUNCTION("""COMPUTED_VALUE"""),"Primary Education, Secondary Education, Corporate Training, Lifelong learning/Adult education, Vocational Education and Training (VET), Higher Education")</f>
        <v/>
      </c>
      <c r="Q674" s="1">
        <f>IFERROR(__xludf.DUMMYFUNCTION("""COMPUTED_VALUE"""),"System/Administrative, Student interfacing, Teacher interfacing")</f>
        <v/>
      </c>
      <c r="R674" s="15">
        <f>IFERROR(__xludf.DUMMYFUNCTION("""COMPUTED_VALUE"""),"https://www.instagram.com/chabadoo_elearning/")</f>
        <v/>
      </c>
      <c r="S674" s="1">
        <f>IFERROR(__xludf.DUMMYFUNCTION("""COMPUTED_VALUE"""),"chabaDoo GmbH")</f>
        <v/>
      </c>
      <c r="T674" s="15">
        <f>IFERROR(__xludf.DUMMYFUNCTION("""COMPUTED_VALUE"""),"https://www.linkedin.com/company/chabadoo")</f>
        <v/>
      </c>
      <c r="U674" s="1">
        <f>IFERROR(__xludf.DUMMYFUNCTION("""COMPUTED_VALUE"""),"chabaDoo Plattform")</f>
        <v/>
      </c>
      <c r="V674" s="1">
        <f>IFERROR(__xludf.DUMMYFUNCTION("""COMPUTED_VALUE"""),"It is the marketplace for reusable microlearning content (as open educational ressource).")</f>
        <v/>
      </c>
      <c r="W674" s="1" t="n"/>
      <c r="X674" s="1" t="n"/>
      <c r="Y674" s="15">
        <f>IFERROR(__xludf.DUMMYFUNCTION("""COMPUTED_VALUE"""),"https://drive.google.com/uc?export=view&amp;id=1XhmU4Qfi53OasTFeA5WzwAil4nDt6jXv")</f>
        <v/>
      </c>
      <c r="Z674" s="1">
        <f>IFERROR(__xludf.DUMMYFUNCTION("""COMPUTED_VALUE"""),"Unverified")</f>
        <v/>
      </c>
      <c r="AA674" s="1" t="n"/>
      <c r="AB674" s="1" t="n"/>
      <c r="AC674" s="1" t="n"/>
      <c r="AD674" s="1" t="n"/>
      <c r="AE674" s="1" t="n"/>
    </row>
    <row r="675" ht="42" customHeight="1">
      <c r="A675" s="14">
        <f>IFERROR(__xludf.DUMMYFUNCTION("""COMPUTED_VALUE"""),45182)</f>
        <v/>
      </c>
      <c r="B675" s="1">
        <f>IFERROR(__xludf.DUMMYFUNCTION("""COMPUTED_VALUE"""),"ORG_1853")</f>
        <v/>
      </c>
      <c r="C675" s="1">
        <f>IFERROR(__xludf.DUMMYFUNCTION("""COMPUTED_VALUE"""),TRUE)</f>
        <v/>
      </c>
      <c r="D675" s="1">
        <f>IFERROR(__xludf.DUMMYFUNCTION("""COMPUTED_VALUE"""),"LernFamilie Nachhilfe Österreich")</f>
        <v/>
      </c>
      <c r="E675" s="15">
        <f>IFERROR(__xludf.DUMMYFUNCTION("""COMPUTED_VALUE"""),"https://lernfamilie.at/")</f>
        <v/>
      </c>
      <c r="F675" s="1">
        <f>IFERROR(__xludf.DUMMYFUNCTION("""COMPUTED_VALUE"""),"LernFamilie ist eines der modernsten Nachhilfeinstitute in Österreich mit dem Ziel, „Lebenslanges Lernen“ positiv zu vermitteln.
Die Nachhilfelehrer bieten Nachhhilfe zu Hause, in einem LernFamilie Nachhilfeinsitut und auch Online-Nachhilfe an.
Die indivi"&amp;"duelle Schülernachhilfe findet dabei im Einzelunterricht statt.
Die Schüler und Eltern wird in einem Erstgespräch ein idealer Nachhilfelehrer gesucht und empfohlen. Anschließend wird nach dem Lernplan gearbeitet um das gewünschte Ziel zu erreichen.
Für j"&amp;"eden Schüler wird ein Schülerbogen angelegt, in dem der gelernte Unterrichtsstoff, die Lernerfolge und noch vorhandene Wissenslücken vom Lernbetreuer protokolliert werden.
Der Support der LernFamilie betreut dabei laufend die Schüler und Studenten in der "&amp;"Nachhilfe und steht mit Rat und Tat zu Seite.")</f>
        <v/>
      </c>
      <c r="G675" s="1">
        <f>IFERROR(__xludf.DUMMYFUNCTION("""COMPUTED_VALUE"""),"EdTech Austria")</f>
        <v/>
      </c>
      <c r="H675" s="1">
        <f>IFERROR(__xludf.DUMMYFUNCTION("""COMPUTED_VALUE"""),"German")</f>
        <v/>
      </c>
      <c r="I675" s="1" t="n"/>
      <c r="J675" s="1" t="n"/>
      <c r="K675" s="1">
        <f>IFERROR(__xludf.DUMMYFUNCTION("""COMPUTED_VALUE"""),"WIEN")</f>
        <v/>
      </c>
      <c r="L675" s="1">
        <f>IFERROR(__xludf.DUMMYFUNCTION("""COMPUTED_VALUE"""),"Austria")</f>
        <v/>
      </c>
      <c r="M675" s="1">
        <f>IFERROR(__xludf.DUMMYFUNCTION("""COMPUTED_VALUE"""),"Austria, Germany")</f>
        <v/>
      </c>
      <c r="N675" s="1">
        <f>IFERROR(__xludf.DUMMYFUNCTION("""COMPUTED_VALUE"""),"0 to 2")</f>
        <v/>
      </c>
      <c r="O675" s="1">
        <f>IFERROR(__xludf.DUMMYFUNCTION("""COMPUTED_VALUE"""),"Business to Business, Business to Consumer")</f>
        <v/>
      </c>
      <c r="P675" s="1">
        <f>IFERROR(__xludf.DUMMYFUNCTION("""COMPUTED_VALUE"""),"Early childhood development (0-5 years), Primary Education, Secondary Education, Corporate Training, Lifelong learning/Adult education, Vocational Education and Training (VET), Higher Education")</f>
        <v/>
      </c>
      <c r="Q675" s="1">
        <f>IFERROR(__xludf.DUMMYFUNCTION("""COMPUTED_VALUE"""),"System/Administrative, Student interfacing, Teacher interfacing")</f>
        <v/>
      </c>
      <c r="R675" s="15">
        <f>IFERROR(__xludf.DUMMYFUNCTION("""COMPUTED_VALUE"""),"https://www.instagram.com/lernfamilie/")</f>
        <v/>
      </c>
      <c r="S675" s="15">
        <f>IFERROR(__xludf.DUMMYFUNCTION("""COMPUTED_VALUE"""),"https://twitter.com/LernFamilie/")</f>
        <v/>
      </c>
      <c r="T675" s="15">
        <f>IFERROR(__xludf.DUMMYFUNCTION("""COMPUTED_VALUE"""),"https://lernfamilie.at/nachhilfeinstitut/online/")</f>
        <v/>
      </c>
      <c r="U675" s="1">
        <f>IFERROR(__xludf.DUMMYFUNCTION("""COMPUTED_VALUE"""),"private Nachhilfe zu Hause")</f>
        <v/>
      </c>
      <c r="V675" s="1">
        <f>IFERROR(__xludf.DUMMYFUNCTION("""COMPUTED_VALUE"""),"Unsere Nachhilfelehrer bieten auch Nachhilfe zu Hause an. Der Unterricht findet in der gewohnten Umgebung des Schülers statt. Hausbesuche wird in allen Hauptstädten angeboten.")</f>
        <v/>
      </c>
      <c r="W675" s="1">
        <f>IFERROR(__xludf.DUMMYFUNCTION("""COMPUTED_VALUE"""),"Nahchilfe im Nachhilfeinstitut")</f>
        <v/>
      </c>
      <c r="X675" s="1">
        <f>IFERROR(__xludf.DUMMYFUNCTION("""COMPUTED_VALUE"""),"In einigen Hauptstädten bieten wir auch Nachhilfe im Nachhilfeinstitut oder Lernräumlichkeiten an. Das Lerninstitut ist dabei modern eingerichtet und mit Equipment ausgestattet wie man es auch aus der Schule kennt.")</f>
        <v/>
      </c>
      <c r="Y675" s="15">
        <f>IFERROR(__xludf.DUMMYFUNCTION("""COMPUTED_VALUE"""),"https://drive.google.com/uc?export=view&amp;id=1Y-F33F2SJzlWQXyojY8mF-kWr56kts2e")</f>
        <v/>
      </c>
      <c r="Z675" s="1">
        <f>IFERROR(__xludf.DUMMYFUNCTION("""COMPUTED_VALUE"""),"Unverified")</f>
        <v/>
      </c>
      <c r="AA675" s="1" t="n"/>
      <c r="AB675" s="1" t="n"/>
      <c r="AC675" s="1" t="n"/>
      <c r="AD675" s="1" t="n"/>
      <c r="AE675" s="1" t="n"/>
    </row>
    <row r="676" ht="42" customHeight="1">
      <c r="A676" s="14">
        <f>IFERROR(__xludf.DUMMYFUNCTION("""COMPUTED_VALUE"""),45182)</f>
        <v/>
      </c>
      <c r="B676" s="1">
        <f>IFERROR(__xludf.DUMMYFUNCTION("""COMPUTED_VALUE"""),"ORG_1854")</f>
        <v/>
      </c>
      <c r="C676" s="1">
        <f>IFERROR(__xludf.DUMMYFUNCTION("""COMPUTED_VALUE"""),TRUE)</f>
        <v/>
      </c>
      <c r="D676" s="1">
        <f>IFERROR(__xludf.DUMMYFUNCTION("""COMPUTED_VALUE"""),"LernFamilie Online Nachhilfe Deutschland")</f>
        <v/>
      </c>
      <c r="E676" s="15">
        <f>IFERROR(__xludf.DUMMYFUNCTION("""COMPUTED_VALUE"""),"https://lernfamilie.com")</f>
        <v/>
      </c>
      <c r="F676" s="1">
        <f>IFERROR(__xludf.DUMMYFUNCTION("""COMPUTED_VALUE"""),"LernFamilie ist eines der modernsten Online-Nachhilfe Plattformen in Deutschland mit dem Ziel, „Lebenslanges Lernen“ positiv zu vermitteln.
Nur gut ausgebildete Nachhilfelehrer unterrichten die Schüler in der Nachhilfe.
Die individuelle Schülernachhilfe f"&amp;"indet dabei im Einzelunterricht statt.
Damit sich Noten konstant bleiben und verbessern, wird mit dem Schüler und Eltern in einem kostenlosen Beratungsgespräch festgelegt, mit welchen Lernplan das am besten erreicht werden kann.
Für jeden Schüler wird ein"&amp;" Schülerbogen angelegt, in dem der gelernte Unterrichtsstoff, die Lernerfolge und noch vorhandene Wissenslücken vom Lernbetreuer protokolliert werden.
Für die Dauer steht dieser gerne für Auskünfte, Informationen und Anregungen in der Nachhilfe zur Verfüg"&amp;"ung.")</f>
        <v/>
      </c>
      <c r="G676" s="1">
        <f>IFERROR(__xludf.DUMMYFUNCTION("""COMPUTED_VALUE"""),"I'm not part of any EdTech association")</f>
        <v/>
      </c>
      <c r="H676" s="1" t="n"/>
      <c r="I676" s="1" t="n"/>
      <c r="J676" s="1" t="n"/>
      <c r="K676" s="1">
        <f>IFERROR(__xludf.DUMMYFUNCTION("""COMPUTED_VALUE"""),"REGENSBURG")</f>
        <v/>
      </c>
      <c r="L676" s="1">
        <f>IFERROR(__xludf.DUMMYFUNCTION("""COMPUTED_VALUE"""),"Germany")</f>
        <v/>
      </c>
      <c r="M676" s="1">
        <f>IFERROR(__xludf.DUMMYFUNCTION("""COMPUTED_VALUE"""),"Austria, Germany")</f>
        <v/>
      </c>
      <c r="N676" s="1">
        <f>IFERROR(__xludf.DUMMYFUNCTION("""COMPUTED_VALUE"""),"0 to 2")</f>
        <v/>
      </c>
      <c r="O676" s="1">
        <f>IFERROR(__xludf.DUMMYFUNCTION("""COMPUTED_VALUE"""),"Business to Business, Business to Consumer")</f>
        <v/>
      </c>
      <c r="P676" s="1">
        <f>IFERROR(__xludf.DUMMYFUNCTION("""COMPUTED_VALUE"""),"Early childhood development (0-5 years), Primary Education, Secondary Education, Corporate Training, Lifelong learning/Adult education, Vocational Education and Training (VET), Higher Education")</f>
        <v/>
      </c>
      <c r="Q676" s="1">
        <f>IFERROR(__xludf.DUMMYFUNCTION("""COMPUTED_VALUE"""),"System/Administrative, Student interfacing, Teacher interfacing")</f>
        <v/>
      </c>
      <c r="R676" s="15">
        <f>IFERROR(__xludf.DUMMYFUNCTION("""COMPUTED_VALUE"""),"https://www.instagram.com/lernfamilie/")</f>
        <v/>
      </c>
      <c r="S676" s="15">
        <f>IFERROR(__xludf.DUMMYFUNCTION("""COMPUTED_VALUE"""),"https://twitter.com/LernFamilie/")</f>
        <v/>
      </c>
      <c r="T676" s="15">
        <f>IFERROR(__xludf.DUMMYFUNCTION("""COMPUTED_VALUE"""),"https://lernfamilie.com/nachhilfeinstitut/online/")</f>
        <v/>
      </c>
      <c r="U676" s="1">
        <f>IFERROR(__xludf.DUMMYFUNCTION("""COMPUTED_VALUE"""),"Online Nachhilfe")</f>
        <v/>
      </c>
      <c r="V676" s="1">
        <f>IFERROR(__xludf.DUMMYFUNCTION("""COMPUTED_VALUE"""),"Moderne Online-Nachhilfe über unsere Plattform mit vielen Funktionen:
3 Whiteboards (Zeichnen, Schreiben, Programmieren)
Bildschirm teilen
Formel-Editor
Graphen-Plotter
Dateien senden
Text-Chat
Whiteboard downloaden
Emoji's und Feuerwerk als Belohnung
Ha"&amp;"usübungen per Webcam fotografieren
Unterricht aufzeichnen (demnächst)
Automatische Erkennung von Kamera- oder Mikrofonfehler
Bilbiothek mit über 2.500 E-books, PDFs, Graphiken und Übungen")</f>
        <v/>
      </c>
      <c r="W676" s="1">
        <f>IFERROR(__xludf.DUMMYFUNCTION("""COMPUTED_VALUE"""),"private Nachhilfe zu Hause")</f>
        <v/>
      </c>
      <c r="X676" s="1">
        <f>IFERROR(__xludf.DUMMYFUNCTION("""COMPUTED_VALUE"""),"Unsere Nachhilfelehrer bieten auch Nachhilfe zu Hause an. Der Unterricht findet in der gewohnten Umgebung des Schülers statt. Hausbesuche wird in allen Hauptstädten angeboten.")</f>
        <v/>
      </c>
      <c r="Y676" s="15">
        <f>IFERROR(__xludf.DUMMYFUNCTION("""COMPUTED_VALUE"""),"https://drive.google.com/uc?export=view&amp;id=13CBPLdl5-bT3MCH2Eo4LisE0fz2nP7IK")</f>
        <v/>
      </c>
      <c r="Z676" s="1">
        <f>IFERROR(__xludf.DUMMYFUNCTION("""COMPUTED_VALUE"""),"Unverified")</f>
        <v/>
      </c>
      <c r="AA676" s="1" t="n"/>
      <c r="AB676" s="1" t="n"/>
      <c r="AC676" s="1" t="n"/>
      <c r="AD676" s="1" t="n"/>
      <c r="AE676" s="1" t="n"/>
    </row>
    <row r="677" ht="42" customHeight="1">
      <c r="A677" s="14">
        <f>IFERROR(__xludf.DUMMYFUNCTION("""COMPUTED_VALUE"""),45182)</f>
        <v/>
      </c>
      <c r="B677" s="1">
        <f>IFERROR(__xludf.DUMMYFUNCTION("""COMPUTED_VALUE"""),"ORG_1082")</f>
        <v/>
      </c>
      <c r="C677" s="1">
        <f>IFERROR(__xludf.DUMMYFUNCTION("""COMPUTED_VALUE"""),TRUE)</f>
        <v/>
      </c>
      <c r="D677" s="1">
        <f>IFERROR(__xludf.DUMMYFUNCTION("""COMPUTED_VALUE"""),"ApiS - Amore per il Sapere")</f>
        <v/>
      </c>
      <c r="E677" s="15">
        <f>IFERROR(__xludf.DUMMYFUNCTION("""COMPUTED_VALUE"""),"https://www.amoreperilsapere.it/")</f>
        <v/>
      </c>
      <c r="F677" s="1">
        <f>IFERROR(__xludf.DUMMYFUNCTION("""COMPUTED_VALUE"""),"Amore per il Sapere (Love for the knowledge / Philo-sophia) is an italian association that develops educational projects from teachers to teachers and students.
The aim is to generate new ways of learning thanks to institutional, accademic and business pa"&amp;"rtners.")</f>
        <v/>
      </c>
      <c r="G677" s="1">
        <f>IFERROR(__xludf.DUMMYFUNCTION("""COMPUTED_VALUE"""),"I'm not part of any EdTech association")</f>
        <v/>
      </c>
      <c r="H677" s="1" t="n"/>
      <c r="I677" s="1">
        <f>IFERROR(__xludf.DUMMYFUNCTION("""COMPUTED_VALUE"""),"gabriele@amoreperilsapere.it")</f>
        <v/>
      </c>
      <c r="J677" s="1">
        <f>IFERROR(__xludf.DUMMYFUNCTION("""COMPUTED_VALUE"""),"+39 3393320174")</f>
        <v/>
      </c>
      <c r="K677" s="1">
        <f>IFERROR(__xludf.DUMMYFUNCTION("""COMPUTED_VALUE"""),"BOLOGNA")</f>
        <v/>
      </c>
      <c r="L677" s="1">
        <f>IFERROR(__xludf.DUMMYFUNCTION("""COMPUTED_VALUE"""),"Italy")</f>
        <v/>
      </c>
      <c r="M677" s="1">
        <f>IFERROR(__xludf.DUMMYFUNCTION("""COMPUTED_VALUE"""),"Italy")</f>
        <v/>
      </c>
      <c r="N677" s="1">
        <f>IFERROR(__xludf.DUMMYFUNCTION("""COMPUTED_VALUE"""),"0 to 2")</f>
        <v/>
      </c>
      <c r="O677" s="1">
        <f>IFERROR(__xludf.DUMMYFUNCTION("""COMPUTED_VALUE"""),"Business to Business")</f>
        <v/>
      </c>
      <c r="P677" s="1">
        <f>IFERROR(__xludf.DUMMYFUNCTION("""COMPUTED_VALUE"""),"Primary Education, Secondary Education, Corporate Training")</f>
        <v/>
      </c>
      <c r="Q677" s="1">
        <f>IFERROR(__xludf.DUMMYFUNCTION("""COMPUTED_VALUE"""),"System/Administrative, Student interfacing, Teacher interfacing")</f>
        <v/>
      </c>
      <c r="R677" s="1" t="n"/>
      <c r="S677" s="1" t="n"/>
      <c r="T677" s="1" t="n"/>
      <c r="U677" s="1">
        <f>IFERROR(__xludf.DUMMYFUNCTION("""COMPUTED_VALUE"""),"Romanae Disputationes")</f>
        <v/>
      </c>
      <c r="V677" s="1">
        <f>IFERROR(__xludf.DUMMYFUNCTION("""COMPUTED_VALUE"""),"Concorso nazionale di filosofia per scuole superiori. Da oltre 10 anni innoviamo il modo di insegnare e vivere la filosofia in Italia attraverso la collaborazione con il mondo accademico e un approccio tematico e coinvolgente per gli studenti.")</f>
        <v/>
      </c>
      <c r="W677" s="1">
        <f>IFERROR(__xludf.DUMMYFUNCTION("""COMPUTED_VALUE"""),"Cosmopolites")</f>
        <v/>
      </c>
      <c r="X677" s="1">
        <f>IFERROR(__xludf.DUMMYFUNCTION("""COMPUTED_VALUE"""),"Percorsi innovativi di educazione civica volti a un apprendimento attivo e partecipato secondo la metodologia del design thinking.")</f>
        <v/>
      </c>
      <c r="Y677" s="15">
        <f>IFERROR(__xludf.DUMMYFUNCTION("""COMPUTED_VALUE"""),"https://drive.google.com/uc?export=view&amp;id=1uDcnOcMJaHRE3ftchN0h8L9waL3OFkt6")</f>
        <v/>
      </c>
      <c r="Z677" s="1">
        <f>IFERROR(__xludf.DUMMYFUNCTION("""COMPUTED_VALUE"""),"Unverified")</f>
        <v/>
      </c>
      <c r="AA677" s="1" t="n"/>
      <c r="AB677" s="1" t="n"/>
      <c r="AC677" s="1" t="n"/>
      <c r="AD677" s="1" t="n"/>
      <c r="AE677" s="1" t="n"/>
    </row>
    <row r="678" ht="42" customHeight="1">
      <c r="A678" s="14">
        <f>IFERROR(__xludf.DUMMYFUNCTION("""COMPUTED_VALUE"""),45182)</f>
        <v/>
      </c>
      <c r="B678" s="1">
        <f>IFERROR(__xludf.DUMMYFUNCTION("""COMPUTED_VALUE"""),"ORG_1458")</f>
        <v/>
      </c>
      <c r="C678" s="1">
        <f>IFERROR(__xludf.DUMMYFUNCTION("""COMPUTED_VALUE"""),TRUE)</f>
        <v/>
      </c>
      <c r="D678" s="1">
        <f>IFERROR(__xludf.DUMMYFUNCTION("""COMPUTED_VALUE"""),"Edurino")</f>
        <v/>
      </c>
      <c r="E678" s="15">
        <f>IFERROR(__xludf.DUMMYFUNCTION("""COMPUTED_VALUE"""),"https://www.edurino.com/")</f>
        <v/>
      </c>
      <c r="F678" s="1">
        <f>IFERROR(__xludf.DUMMYFUNCTION("""COMPUTED_VALUE"""),"We at EDURINO follow the vision to be the digital companion for parents and kids from the age of 4. In our first product range, we combine an adaptive learning app with haptic figurines and our ergonomic stylus. Kids place the figurines in our app to unlo"&amp;"ck learning worlds that teach both classical school skills and 21st century skills.")</f>
        <v/>
      </c>
      <c r="G678" s="1">
        <f>IFERROR(__xludf.DUMMYFUNCTION("""COMPUTED_VALUE"""),"EDUvation")</f>
        <v/>
      </c>
      <c r="H678" s="1">
        <f>IFERROR(__xludf.DUMMYFUNCTION("""COMPUTED_VALUE"""),"German, English")</f>
        <v/>
      </c>
      <c r="I678" s="1">
        <f>IFERROR(__xludf.DUMMYFUNCTION("""COMPUTED_VALUE"""),"info@edurino.com")</f>
        <v/>
      </c>
      <c r="J678" s="1" t="n"/>
      <c r="K678" s="1">
        <f>IFERROR(__xludf.DUMMYFUNCTION("""COMPUTED_VALUE"""),"Munich")</f>
        <v/>
      </c>
      <c r="L678" s="1">
        <f>IFERROR(__xludf.DUMMYFUNCTION("""COMPUTED_VALUE"""),"Germany")</f>
        <v/>
      </c>
      <c r="M678" s="1">
        <f>IFERROR(__xludf.DUMMYFUNCTION("""COMPUTED_VALUE"""),"Austria, Germany, Switzerland, United Kingdom")</f>
        <v/>
      </c>
      <c r="N678" s="1">
        <f>IFERROR(__xludf.DUMMYFUNCTION("""COMPUTED_VALUE"""),"51 to 100")</f>
        <v/>
      </c>
      <c r="O678" s="1">
        <f>IFERROR(__xludf.DUMMYFUNCTION("""COMPUTED_VALUE"""),"Business to Business, Business to Consumer")</f>
        <v/>
      </c>
      <c r="P678" s="1">
        <f>IFERROR(__xludf.DUMMYFUNCTION("""COMPUTED_VALUE"""),"Early childhood development (0-5 years)")</f>
        <v/>
      </c>
      <c r="Q678" s="1">
        <f>IFERROR(__xludf.DUMMYFUNCTION("""COMPUTED_VALUE"""),"System/Administrative, Student interfacing, Teacher interfacing")</f>
        <v/>
      </c>
      <c r="R678" s="15">
        <f>IFERROR(__xludf.DUMMYFUNCTION("""COMPUTED_VALUE"""),"https://www.instagram.com/edurino_de/?hl=de")</f>
        <v/>
      </c>
      <c r="S678" s="1" t="n"/>
      <c r="T678" s="15">
        <f>IFERROR(__xludf.DUMMYFUNCTION("""COMPUTED_VALUE"""),"https://www.linkedin.com/company/edurinoapp/?originalSubdomain=de")</f>
        <v/>
      </c>
      <c r="U678" s="1">
        <f>IFERROR(__xludf.DUMMYFUNCTION("""COMPUTED_VALUE"""),"Starterset Mika - Literacy for children 4 and up")</f>
        <v/>
      </c>
      <c r="V678" s="1">
        <f>IFERROR(__xludf.DUMMYFUNCTION("""COMPUTED_VALUE"""),"In the educational game ""The World of Words"", children from the age of 4 embark on an exciting journey through distant galaxies together with Mika. Playfully they learn the basic skills for reading &amp; writing. Preschool exercises and swing exercises are "&amp;"embedded in exciting missions. All content has been developed with educators and experts.
Learning content
- Correct pen hold and writing motor skills
- Rhymes
- Long &amp; short words
- Syllables
- Sounds and letters")</f>
        <v/>
      </c>
      <c r="W678" s="1">
        <f>IFERROR(__xludf.DUMMYFUNCTION("""COMPUTED_VALUE"""),"Starterset Robin - Numbers for children 4 and up")</f>
        <v/>
      </c>
      <c r="X678" s="1">
        <f>IFERROR(__xludf.DUMMYFUNCTION("""COMPUTED_VALUE"""),"In the educational game ""The sunken world of numbers"", children from the age of 4 embark on an exciting adventure and rebuild the world of numbers together with Robin. Playfully they learn numbers and quantities. Preschool exercises are embedded in exci"&amp;"ting missions. All content is developed with educators and experts.
Learning content
- Numbers 1-20
- Quantities
- Counting
- Logical understanding
- Geometric shapes")</f>
        <v/>
      </c>
      <c r="Y678" s="15">
        <f>IFERROR(__xludf.DUMMYFUNCTION("""COMPUTED_VALUE"""),"https://drive.google.com/uc?export=view&amp;id=1DoLOWL6YKCB37TcagwdHzqXKr3yA243F")</f>
        <v/>
      </c>
      <c r="Z678" s="1">
        <f>IFERROR(__xludf.DUMMYFUNCTION("""COMPUTED_VALUE"""),"Unverified")</f>
        <v/>
      </c>
      <c r="AA678" s="1" t="n"/>
      <c r="AB678" s="1" t="n"/>
      <c r="AC678" s="1" t="n"/>
      <c r="AD678" s="1" t="n"/>
      <c r="AE678" s="1" t="n"/>
    </row>
    <row r="679" ht="42" customHeight="1">
      <c r="A679" s="14">
        <f>IFERROR(__xludf.DUMMYFUNCTION("""COMPUTED_VALUE"""),45182)</f>
        <v/>
      </c>
      <c r="B679" s="1">
        <f>IFERROR(__xludf.DUMMYFUNCTION("""COMPUTED_VALUE"""),"ORG_1588")</f>
        <v/>
      </c>
      <c r="C679" s="1">
        <f>IFERROR(__xludf.DUMMYFUNCTION("""COMPUTED_VALUE"""),TRUE)</f>
        <v/>
      </c>
      <c r="D679" s="1">
        <f>IFERROR(__xludf.DUMMYFUNCTION("""COMPUTED_VALUE"""),"Fuel")</f>
        <v/>
      </c>
      <c r="E679" s="15">
        <f>IFERROR(__xludf.DUMMYFUNCTION("""COMPUTED_VALUE"""),"https://fuel.education")</f>
        <v/>
      </c>
      <c r="F679" s="1">
        <f>IFERROR(__xludf.DUMMYFUNCTION("""COMPUTED_VALUE"""),"We are committed to the education of the heart in the digital space.")</f>
        <v/>
      </c>
      <c r="G679" s="1">
        <f>IFERROR(__xludf.DUMMYFUNCTION("""COMPUTED_VALUE"""),"Swiss EdTech Collider")</f>
        <v/>
      </c>
      <c r="H679" s="1">
        <f>IFERROR(__xludf.DUMMYFUNCTION("""COMPUTED_VALUE"""),"German")</f>
        <v/>
      </c>
      <c r="I679" s="1">
        <f>IFERROR(__xludf.DUMMYFUNCTION("""COMPUTED_VALUE"""),"info@fuel.education")</f>
        <v/>
      </c>
      <c r="J679" s="1" t="n"/>
      <c r="K679" s="1">
        <f>IFERROR(__xludf.DUMMYFUNCTION("""COMPUTED_VALUE"""),"Basel")</f>
        <v/>
      </c>
      <c r="L679" s="1">
        <f>IFERROR(__xludf.DUMMYFUNCTION("""COMPUTED_VALUE"""),"Switzerland")</f>
        <v/>
      </c>
      <c r="M679" s="1">
        <f>IFERROR(__xludf.DUMMYFUNCTION("""COMPUTED_VALUE"""),"Germany, Switzerland")</f>
        <v/>
      </c>
      <c r="N679" s="1">
        <f>IFERROR(__xludf.DUMMYFUNCTION("""COMPUTED_VALUE"""),"0 to 2")</f>
        <v/>
      </c>
      <c r="O679" s="1">
        <f>IFERROR(__xludf.DUMMYFUNCTION("""COMPUTED_VALUE"""),"Business to Business, Business to Consumer, Business to Government, Business to Schools")</f>
        <v/>
      </c>
      <c r="P679" s="1">
        <f>IFERROR(__xludf.DUMMYFUNCTION("""COMPUTED_VALUE"""),"Primary Education, Secondary Education, Corporate Training")</f>
        <v/>
      </c>
      <c r="Q679" s="1">
        <f>IFERROR(__xludf.DUMMYFUNCTION("""COMPUTED_VALUE"""),"Student interfacing, Teacher interfacing, System/Administrative")</f>
        <v/>
      </c>
      <c r="R679" s="1" t="n"/>
      <c r="S679" s="1" t="n"/>
      <c r="T679" s="15">
        <f>IFERROR(__xludf.DUMMYFUNCTION("""COMPUTED_VALUE"""),"https://www.linkedin.com/company/fuelverse")</f>
        <v/>
      </c>
      <c r="U679" s="1">
        <f>IFERROR(__xludf.DUMMYFUNCTION("""COMPUTED_VALUE"""),"Fuel")</f>
        <v/>
      </c>
      <c r="V679" s="1">
        <f>IFERROR(__xludf.DUMMYFUNCTION("""COMPUTED_VALUE"""),"Fuel is an online writing and social interaction network that rethinks the way children and young people receive literary classes by injecting a deeply humanistic component into online education, allowing users to engage in fiction and safely train for th"&amp;"e big challenges of the social world.")</f>
        <v/>
      </c>
      <c r="W679" s="1" t="n"/>
      <c r="X679" s="1" t="n"/>
      <c r="Y679" s="15">
        <f>IFERROR(__xludf.DUMMYFUNCTION("""COMPUTED_VALUE"""),"https://drive.google.com/uc?export=view&amp;id=1HqXqyE3a0r86KwZfQ4bTMuEyLwWOa5ep")</f>
        <v/>
      </c>
      <c r="Z679" s="1">
        <f>IFERROR(__xludf.DUMMYFUNCTION("""COMPUTED_VALUE"""),"Unverified")</f>
        <v/>
      </c>
      <c r="AA679" s="1" t="n"/>
      <c r="AB679" s="1" t="n"/>
      <c r="AC679" s="1" t="n"/>
      <c r="AD679" s="1" t="n"/>
      <c r="AE679" s="1" t="n"/>
    </row>
    <row r="680" ht="42" customHeight="1">
      <c r="A680" s="14">
        <f>IFERROR(__xludf.DUMMYFUNCTION("""COMPUTED_VALUE"""),45182)</f>
        <v/>
      </c>
      <c r="B680" s="1">
        <f>IFERROR(__xludf.DUMMYFUNCTION("""COMPUTED_VALUE"""),"ORG_1865")</f>
        <v/>
      </c>
      <c r="C680" s="1">
        <f>IFERROR(__xludf.DUMMYFUNCTION("""COMPUTED_VALUE"""),TRUE)</f>
        <v/>
      </c>
      <c r="D680" s="1">
        <f>IFERROR(__xludf.DUMMYFUNCTION("""COMPUTED_VALUE"""),"LEVOOBA")</f>
        <v/>
      </c>
      <c r="E680" s="15">
        <f>IFERROR(__xludf.DUMMYFUNCTION("""COMPUTED_VALUE"""),"https://www.levooba.com/")</f>
        <v/>
      </c>
      <c r="F680" s="1">
        <f>IFERROR(__xludf.DUMMYFUNCTION("""COMPUTED_VALUE"""),"LEVOOBA develops educational voice apps that turn passive screen users into active learners. We offer primary school kids digital, voice-based learning with fun and action, completely without a screen! Parallel to the intuitive control via natural languag"&amp;"e, eyes, hands and the whole body are engaged in activities that support learning and increase the fun factor. We are developing voicefirst cross-platform learning apps available on both smartspeakers and web browsers. In this way, we are strengthening eq"&amp;"ual and inclusive education.")</f>
        <v/>
      </c>
      <c r="G680" s="1">
        <f>IFERROR(__xludf.DUMMYFUNCTION("""COMPUTED_VALUE"""),"I'm not part of any EdTech association")</f>
        <v/>
      </c>
      <c r="H680" s="1">
        <f>IFERROR(__xludf.DUMMYFUNCTION("""COMPUTED_VALUE"""),"German")</f>
        <v/>
      </c>
      <c r="I680" s="1">
        <f>IFERROR(__xludf.DUMMYFUNCTION("""COMPUTED_VALUE"""),"hello@levooba.com")</f>
        <v/>
      </c>
      <c r="J680" s="1">
        <f>IFERROR(__xludf.DUMMYFUNCTION("""COMPUTED_VALUE"""),"‭+49 201 75936727‬")</f>
        <v/>
      </c>
      <c r="K680" s="1">
        <f>IFERROR(__xludf.DUMMYFUNCTION("""COMPUTED_VALUE"""),"ESSEN")</f>
        <v/>
      </c>
      <c r="L680" s="1">
        <f>IFERROR(__xludf.DUMMYFUNCTION("""COMPUTED_VALUE"""),"Germany")</f>
        <v/>
      </c>
      <c r="M680" s="1">
        <f>IFERROR(__xludf.DUMMYFUNCTION("""COMPUTED_VALUE"""),"Germany")</f>
        <v/>
      </c>
      <c r="N680" s="1">
        <f>IFERROR(__xludf.DUMMYFUNCTION("""COMPUTED_VALUE"""),"0 to 2")</f>
        <v/>
      </c>
      <c r="O680" s="1">
        <f>IFERROR(__xludf.DUMMYFUNCTION("""COMPUTED_VALUE"""),"Business to Business, Business to Consumer, Business to Schools")</f>
        <v/>
      </c>
      <c r="P680" s="1">
        <f>IFERROR(__xludf.DUMMYFUNCTION("""COMPUTED_VALUE"""),"Primary Education")</f>
        <v/>
      </c>
      <c r="Q680" s="1">
        <f>IFERROR(__xludf.DUMMYFUNCTION("""COMPUTED_VALUE"""),"System/Administrative, Student interfacing, Teacher interfacing")</f>
        <v/>
      </c>
      <c r="R680" s="15">
        <f>IFERROR(__xludf.DUMMYFUNCTION("""COMPUTED_VALUE"""),"https://www.instagram.com/levooba_de/")</f>
        <v/>
      </c>
      <c r="S680" s="15">
        <f>IFERROR(__xludf.DUMMYFUNCTION("""COMPUTED_VALUE"""),"https://twitter.com/levooba")</f>
        <v/>
      </c>
      <c r="T680" s="15">
        <f>IFERROR(__xludf.DUMMYFUNCTION("""COMPUTED_VALUE"""),"https://www.linkedin.com/company/levooba")</f>
        <v/>
      </c>
      <c r="U680" s="1">
        <f>IFERROR(__xludf.DUMMYFUNCTION("""COMPUTED_VALUE"""),"LEVOOBA Kids")</f>
        <v/>
      </c>
      <c r="V680" s="1">
        <f>IFERROR(__xludf.DUMMYFUNCTION("""COMPUTED_VALUE"""),"LEVOOBA Kids is the world’s first live educational multiplayer game for Amazon’s Alexa.
It offers a competitive voice learning experience for primary school kids. They use screen-free time to learn for school on their own or to challenge their classmates "&amp;"to a competition. It was finalist in 2020s EdTech EMEA Alexa Skills Challenge and ""Best Kids Skill"" in the Alexa Skills Challenge: Beyond Voice.")</f>
        <v/>
      </c>
      <c r="W680" s="1">
        <f>IFERROR(__xludf.DUMMYFUNCTION("""COMPUTED_VALUE"""),"LEVOOBA Mathefix: Der Kopfrechnen-Trainer")</f>
        <v/>
      </c>
      <c r="X680" s="1">
        <f>IFERROR(__xludf.DUMMYFUNCTION("""COMPUTED_VALUE"""),"LEVOOBA Mathefix makes everyone a mental arithmetic pro. Families test their math knowledge in over 2 million tasks and collect points for the high score with every correct answer! Playable in different difficulty levels: Addition and subtraction each in "&amp;"the number range up to 10, 20, 100 or 1000; multiplication and division each in the small or large multiplication tables.")</f>
        <v/>
      </c>
      <c r="Y680" s="15">
        <f>IFERROR(__xludf.DUMMYFUNCTION("""COMPUTED_VALUE"""),"https://drive.google.com/uc?export=view&amp;id=1TjdJ-eSGlMTw4EY-Gs0rH7XRNl92h6Ed")</f>
        <v/>
      </c>
      <c r="Z680" s="1">
        <f>IFERROR(__xludf.DUMMYFUNCTION("""COMPUTED_VALUE"""),"Unverified")</f>
        <v/>
      </c>
      <c r="AA680" s="1" t="n"/>
      <c r="AB680" s="1" t="n"/>
      <c r="AC680" s="1" t="n"/>
      <c r="AD680" s="1" t="n"/>
      <c r="AE680" s="1" t="n"/>
    </row>
    <row r="681" ht="42" customHeight="1">
      <c r="A681" s="14">
        <f>IFERROR(__xludf.DUMMYFUNCTION("""COMPUTED_VALUE"""),45182)</f>
        <v/>
      </c>
      <c r="B681" s="1">
        <f>IFERROR(__xludf.DUMMYFUNCTION("""COMPUTED_VALUE"""),"ORG_2335")</f>
        <v/>
      </c>
      <c r="C681" s="1">
        <f>IFERROR(__xludf.DUMMYFUNCTION("""COMPUTED_VALUE"""),TRUE)</f>
        <v/>
      </c>
      <c r="D681" s="15">
        <f>IFERROR(__xludf.DUMMYFUNCTION("""COMPUTED_VALUE"""),"StudentPulse.io")</f>
        <v/>
      </c>
      <c r="E681" s="15">
        <f>IFERROR(__xludf.DUMMYFUNCTION("""COMPUTED_VALUE"""),"https://www.studentpulse.io/")</f>
        <v/>
      </c>
      <c r="F681" s="1">
        <f>IFERROR(__xludf.DUMMYFUNCTION("""COMPUTED_VALUE"""),"StudentPulse is an intelligent Student Feedback Platform combining microsurveys with real-time data analytics, to empower your educational institution to improve student experience throughout their educational journey. Use adaptive microsurveys to nudge s"&amp;"tudents and get real-time data - improving academic performance, student engagement, and student well-being.
We put students first - We only ask about things that matter to students, and we let students tell us and clients what to do.
We collect feedbac"&amp;"k intelligently - We collect data frequently and in real-time, and we do it as a natural part of education.
We empower action - We believe that real-time data requires real-time action, and we acknowledge that not all people are Analysts.
StudentPulse i"&amp;"s born global but rooted in Denmark.
We revolutionise student experience on a global scale, country by country - but we are deeply rooted in Denmark and proud traditions of building stellar student experiences.")</f>
        <v/>
      </c>
      <c r="G681" s="1">
        <f>IFERROR(__xludf.DUMMYFUNCTION("""COMPUTED_VALUE"""),"EdTech Denmark")</f>
        <v/>
      </c>
      <c r="H681" s="1">
        <f>IFERROR(__xludf.DUMMYFUNCTION("""COMPUTED_VALUE"""),"All")</f>
        <v/>
      </c>
      <c r="I681" s="1">
        <f>IFERROR(__xludf.DUMMYFUNCTION("""COMPUTED_VALUE"""),"info@studentpulse.io")</f>
        <v/>
      </c>
      <c r="J681" s="1">
        <f>IFERROR(__xludf.DUMMYFUNCTION("""COMPUTED_VALUE"""),"+45 71 99 32 70")</f>
        <v/>
      </c>
      <c r="K681" s="1">
        <f>IFERROR(__xludf.DUMMYFUNCTION("""COMPUTED_VALUE"""),"AALBORG")</f>
        <v/>
      </c>
      <c r="L681" s="1">
        <f>IFERROR(__xludf.DUMMYFUNCTION("""COMPUTED_VALUE"""),"Denmark")</f>
        <v/>
      </c>
      <c r="M681" s="1">
        <f>IFERROR(__xludf.DUMMYFUNCTION("""COMPUTED_VALUE"""),"Belgium, Denmark, Finland, Lithuania, Luxembourg, Netherlands, Norway, Portugal, Spain, Switzerland, United Kingdom")</f>
        <v/>
      </c>
      <c r="N681" s="1">
        <f>IFERROR(__xludf.DUMMYFUNCTION("""COMPUTED_VALUE"""),"6 to 10")</f>
        <v/>
      </c>
      <c r="O681" s="1">
        <f>IFERROR(__xludf.DUMMYFUNCTION("""COMPUTED_VALUE"""),"Business to Consumer")</f>
        <v/>
      </c>
      <c r="P681" s="1">
        <f>IFERROR(__xludf.DUMMYFUNCTION("""COMPUTED_VALUE"""),"Secondary Education, Vocational Education and Training (VET), Higher Education")</f>
        <v/>
      </c>
      <c r="Q681" s="1">
        <f>IFERROR(__xludf.DUMMYFUNCTION("""COMPUTED_VALUE"""),"Student interfacing, Teacher interfacing, System/Administrative")</f>
        <v/>
      </c>
      <c r="R681" s="1" t="n"/>
      <c r="S681" s="1" t="n"/>
      <c r="T681" s="15">
        <f>IFERROR(__xludf.DUMMYFUNCTION("""COMPUTED_VALUE"""),"https://www.linkedin.com/company/studentpulse-io")</f>
        <v/>
      </c>
      <c r="U681" s="1">
        <f>IFERROR(__xludf.DUMMYFUNCTION("""COMPUTED_VALUE"""),"StudentPulse - a student check-in platform")</f>
        <v/>
      </c>
      <c r="V681" s="1">
        <f>IFERROR(__xludf.DUMMYFUNCTION("""COMPUTED_VALUE"""),"StudentPulse collects feedback from your students. It is an interactive platform that enables you to base your decisions on real-time data. StudentPulse helps gather and view data about your students, when it's needed and where it's needed. Be it weekly, "&amp;"monthly, or quarterly updates, data will form the basis of your future decisions.
How does StudentPulse work?
1. StudentPulse check-ins
StudentPulse provides you with qualified check-ins that will give you precise input on your students’ experience.
Our m"&amp;"icro surveys are created to be quick and easy to fill in, keeping the students engaged and happy to provide input and get the help they need. You have unlimited check-ins included in your yearly license.
2. Get insight &amp; analytics on your students
Student"&amp;"Pulse provides you with a dashboard that aggregates all of your data, from the micro surveys, into understandable and digestible analytics with multiple different views.
StudentPulse can also provide you with recommended actions to improve potential issue"&amp;" areas.
3. Improve &amp; Repeat
By using check-in as part of your student evaluation, we can give you the insights and recommended actions you need to improve issue areas during the ongoing course/semester. Using this method allows you to repeat this for the "&amp;"next course/semester, which enables you to customise the course/semester to the current group of students studying right now. Get real-time data &amp; insights on your student’s experience to improve academic performance.")</f>
        <v/>
      </c>
      <c r="W681" s="1" t="n"/>
      <c r="X681" s="1" t="n"/>
      <c r="Y681" s="1" t="n"/>
      <c r="Z681" s="1">
        <f>IFERROR(__xludf.DUMMYFUNCTION("""COMPUTED_VALUE"""),"Unverified")</f>
        <v/>
      </c>
      <c r="AA681" s="1" t="n"/>
      <c r="AB681" s="1" t="n"/>
      <c r="AC681" s="1" t="n"/>
      <c r="AD681" s="1" t="n"/>
      <c r="AE681" s="1" t="n"/>
    </row>
    <row r="682" ht="42" customHeight="1">
      <c r="A682" s="14">
        <f>IFERROR(__xludf.DUMMYFUNCTION("""COMPUTED_VALUE"""),45182)</f>
        <v/>
      </c>
      <c r="B682" s="1">
        <f>IFERROR(__xludf.DUMMYFUNCTION("""COMPUTED_VALUE"""),"ORG_1864")</f>
        <v/>
      </c>
      <c r="C682" s="1">
        <f>IFERROR(__xludf.DUMMYFUNCTION("""COMPUTED_VALUE"""),TRUE)</f>
        <v/>
      </c>
      <c r="D682" s="1">
        <f>IFERROR(__xludf.DUMMYFUNCTION("""COMPUTED_VALUE"""),"Levelab")</f>
        <v/>
      </c>
      <c r="E682" s="1">
        <f>IFERROR(__xludf.DUMMYFUNCTION("""COMPUTED_VALUE"""),"https;//www.levelabtech.com")</f>
        <v/>
      </c>
      <c r="F682" s="1">
        <f>IFERROR(__xludf.DUMMYFUNCTION("""COMPUTED_VALUE"""),"Levelab is a solution to complement online education in Software and STEM tools which can be easily implemented in any website, platform or LMS.
The student would be able to access a professional environment using any modern browser, in one click only, t"&amp;"o start a hands-on session while avoiding any installation, configuration and material download. Just click and learn!")</f>
        <v/>
      </c>
      <c r="G682" s="1">
        <f>IFERROR(__xludf.DUMMYFUNCTION("""COMPUTED_VALUE"""),"EduTech Cluster Spain")</f>
        <v/>
      </c>
      <c r="H682" s="1" t="n"/>
      <c r="I682" s="1">
        <f>IFERROR(__xludf.DUMMYFUNCTION("""COMPUTED_VALUE"""),"contact@levelabtech.com")</f>
        <v/>
      </c>
      <c r="J682" s="1" t="n"/>
      <c r="K682" s="1">
        <f>IFERROR(__xludf.DUMMYFUNCTION("""COMPUTED_VALUE"""),"BARCELONA")</f>
        <v/>
      </c>
      <c r="L682" s="1">
        <f>IFERROR(__xludf.DUMMYFUNCTION("""COMPUTED_VALUE"""),"Spain")</f>
        <v/>
      </c>
      <c r="M682" s="1">
        <f>IFERROR(__xludf.DUMMYFUNCTION("""COMPUTED_VALUE"""),"Spain")</f>
        <v/>
      </c>
      <c r="N682" s="1">
        <f>IFERROR(__xludf.DUMMYFUNCTION("""COMPUTED_VALUE"""),"3 to 5")</f>
        <v/>
      </c>
      <c r="O682" s="1">
        <f>IFERROR(__xludf.DUMMYFUNCTION("""COMPUTED_VALUE"""),"Business to Business, Business to Consumer, Business to Government, Business to Schools")</f>
        <v/>
      </c>
      <c r="P682" s="1">
        <f>IFERROR(__xludf.DUMMYFUNCTION("""COMPUTED_VALUE"""),"Corporate Training, Lifelong learning/Adult education, Vocational Education and Training (VET), Higher Education")</f>
        <v/>
      </c>
      <c r="Q682" s="1">
        <f>IFERROR(__xludf.DUMMYFUNCTION("""COMPUTED_VALUE"""),"Teacher interfacing")</f>
        <v/>
      </c>
      <c r="R682" s="1" t="n"/>
      <c r="S682" s="1" t="n"/>
      <c r="T682" s="1" t="n"/>
      <c r="U682" s="1" t="n"/>
      <c r="V682" s="1" t="n"/>
      <c r="W682" s="1" t="n"/>
      <c r="X682" s="1" t="n"/>
      <c r="Y682" s="15">
        <f>IFERROR(__xludf.DUMMYFUNCTION("""COMPUTED_VALUE"""),"https://drive.google.com/uc?export=view&amp;id=1KCh1xg-XUHEu5-Xrew7AM_8Q83FzG5HZ")</f>
        <v/>
      </c>
      <c r="Z682" s="1">
        <f>IFERROR(__xludf.DUMMYFUNCTION("""COMPUTED_VALUE"""),"Unverified")</f>
        <v/>
      </c>
      <c r="AA682" s="1" t="n"/>
      <c r="AB682" s="1" t="n"/>
      <c r="AC682" s="1" t="n"/>
      <c r="AD682" s="1" t="n"/>
      <c r="AE682" s="1" t="n"/>
    </row>
    <row r="683" ht="42" customHeight="1">
      <c r="A683" s="14">
        <f>IFERROR(__xludf.DUMMYFUNCTION("""COMPUTED_VALUE"""),45182)</f>
        <v/>
      </c>
      <c r="B683" s="1">
        <f>IFERROR(__xludf.DUMMYFUNCTION("""COMPUTED_VALUE"""),"ORG_2496")</f>
        <v/>
      </c>
      <c r="C683" s="1">
        <f>IFERROR(__xludf.DUMMYFUNCTION("""COMPUTED_VALUE"""),TRUE)</f>
        <v/>
      </c>
      <c r="D683" s="1">
        <f>IFERROR(__xludf.DUMMYFUNCTION("""COMPUTED_VALUE"""),"Virtual Dawn")</f>
        <v/>
      </c>
      <c r="E683" s="15">
        <f>IFERROR(__xludf.DUMMYFUNCTION("""COMPUTED_VALUE"""),"https://www.virtual-dawn.com/")</f>
        <v/>
      </c>
      <c r="F683" s="1">
        <f>IFERROR(__xludf.DUMMYFUNCTION("""COMPUTED_VALUE"""),"Virtual Dawn has been pioneering XR in education since 2017. 
We are community engineering organization that is improved by what our users are creating. When a school creates a complex simulation, the content can be used by anyone in the community, when "&amp;"a gamer makes a game, this is used by the rest of the community.
We improve daily and offer one in a kind XR system for research and education and beyond.")</f>
        <v/>
      </c>
      <c r="G683" s="1">
        <f>IFERROR(__xludf.DUMMYFUNCTION("""COMPUTED_VALUE"""),"I'm not part of any EdTech association")</f>
        <v/>
      </c>
      <c r="H683" s="1">
        <f>IFERROR(__xludf.DUMMYFUNCTION("""COMPUTED_VALUE"""),"Finnish, English")</f>
        <v/>
      </c>
      <c r="I683" s="1">
        <f>IFERROR(__xludf.DUMMYFUNCTION("""COMPUTED_VALUE"""),"company@virtual-dawn.com")</f>
        <v/>
      </c>
      <c r="J683" s="1">
        <f>IFERROR(__xludf.DUMMYFUNCTION("""COMPUTED_VALUE"""),"+358403075232")</f>
        <v/>
      </c>
      <c r="K683" s="1">
        <f>IFERROR(__xludf.DUMMYFUNCTION("""COMPUTED_VALUE"""),"Tampere")</f>
        <v/>
      </c>
      <c r="L683" s="1">
        <f>IFERROR(__xludf.DUMMYFUNCTION("""COMPUTED_VALUE"""),"Finland")</f>
        <v/>
      </c>
      <c r="M683"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683" s="1">
        <f>IFERROR(__xludf.DUMMYFUNCTION("""COMPUTED_VALUE"""),"6 to 10")</f>
        <v/>
      </c>
      <c r="O683" s="1">
        <f>IFERROR(__xludf.DUMMYFUNCTION("""COMPUTED_VALUE"""),"Business to Business, Business to Consumer, Business to Government, Business to Schools")</f>
        <v/>
      </c>
      <c r="P683" s="1">
        <f>IFERROR(__xludf.DUMMYFUNCTION("""COMPUTED_VALUE"""),"Secondary Education, Corporate Training, Lifelong learning/Adult education, Vocational Education and Training (VET), Higher Education")</f>
        <v/>
      </c>
      <c r="Q683" s="1">
        <f>IFERROR(__xludf.DUMMYFUNCTION("""COMPUTED_VALUE"""),"System/Administrative, Student interfacing, Teacher interfacing")</f>
        <v/>
      </c>
      <c r="R683" s="1" t="n"/>
      <c r="S683" s="15">
        <f>IFERROR(__xludf.DUMMYFUNCTION("""COMPUTED_VALUE"""),"https://twitter.com/_VirtualDawn_")</f>
        <v/>
      </c>
      <c r="T683" s="15">
        <f>IFERROR(__xludf.DUMMYFUNCTION("""COMPUTED_VALUE"""),"https://fi.linkedin.com/company/virtual-dawn")</f>
        <v/>
      </c>
      <c r="U683" s="1">
        <f>IFERROR(__xludf.DUMMYFUNCTION("""COMPUTED_VALUE"""),"Virtual Dawn Academy")</f>
        <v/>
      </c>
      <c r="V683" s="1">
        <f>IFERROR(__xludf.DUMMYFUNCTION("""COMPUTED_VALUE"""),"We empower hundreds of developers to create content with our creation system https://www.youtube.com/watch?v=E7sC7ExAVIA and have multiple schools using the system for in house creation and enabling the students to reach their dreams! 
Can be applied to "&amp;"in house creation by professionals, training students and teachers or both !")</f>
        <v/>
      </c>
      <c r="W683" s="1">
        <f>IFERROR(__xludf.DUMMYFUNCTION("""COMPUTED_VALUE"""),"VR Education World Licences")</f>
        <v/>
      </c>
      <c r="X683" s="1">
        <f>IFERROR(__xludf.DUMMYFUNCTION("""COMPUTED_VALUE"""),"We have created VR Education World that anyone can go and check out in www.sidequestvr.com by typing VREW.
Try for free and licence the whole library we have with moderator tools for your HMD and our full system to get you to next level in education!")</f>
        <v/>
      </c>
      <c r="Y683" s="15">
        <f>IFERROR(__xludf.DUMMYFUNCTION("""COMPUTED_VALUE"""),"https://drive.google.com/uc?export=view&amp;id=1mYXHddY7hIr6cdz_VYJZnz94TD-hHdjf")</f>
        <v/>
      </c>
      <c r="Z683" s="1">
        <f>IFERROR(__xludf.DUMMYFUNCTION("""COMPUTED_VALUE"""),"Unverified")</f>
        <v/>
      </c>
      <c r="AA683" s="1" t="n"/>
      <c r="AB683" s="1" t="n"/>
      <c r="AC683" s="1" t="n"/>
      <c r="AD683" s="1" t="n"/>
      <c r="AE683" s="1" t="n"/>
    </row>
    <row r="684" ht="42" customHeight="1">
      <c r="A684" s="14">
        <f>IFERROR(__xludf.DUMMYFUNCTION("""COMPUTED_VALUE"""),45182)</f>
        <v/>
      </c>
      <c r="B684" s="1">
        <f>IFERROR(__xludf.DUMMYFUNCTION("""COMPUTED_VALUE"""),"ORG_2251")</f>
        <v/>
      </c>
      <c r="C684" s="1">
        <f>IFERROR(__xludf.DUMMYFUNCTION("""COMPUTED_VALUE"""),TRUE)</f>
        <v/>
      </c>
      <c r="D684" s="1">
        <f>IFERROR(__xludf.DUMMYFUNCTION("""COMPUTED_VALUE"""),"Skill &amp; You")</f>
        <v/>
      </c>
      <c r="E684" s="15">
        <f>IFERROR(__xludf.DUMMYFUNCTION("""COMPUTED_VALUE"""),"https://www.skillandyou.com/fr/")</f>
        <v/>
      </c>
      <c r="F684" s="1">
        <f>IFERROR(__xludf.DUMMYFUNCTION("""COMPUTED_VALUE"""),"Skill &amp; You is a leading European distance vocational learning company. present. The group accounts for 1,200 employees and ove 120,000 learners in France, Spain, Italy, Switzerland, Africa and the UK.
Skill &amp; You France was ranked 53rd in Frenchweb 500.")</f>
        <v/>
      </c>
      <c r="G684" s="1">
        <f>IFERROR(__xludf.DUMMYFUNCTION("""COMPUTED_VALUE"""),"EdTech France")</f>
        <v/>
      </c>
      <c r="H684" s="1" t="n"/>
      <c r="I684" s="1">
        <f>IFERROR(__xludf.DUMMYFUNCTION("""COMPUTED_VALUE"""),"s.levy@skillandyou.com")</f>
        <v/>
      </c>
      <c r="J684" s="1">
        <f>IFERROR(__xludf.DUMMYFUNCTION("""COMPUTED_VALUE"""),"+33146006851")</f>
        <v/>
      </c>
      <c r="K684" s="1">
        <f>IFERROR(__xludf.DUMMYFUNCTION("""COMPUTED_VALUE"""),"Montrouge")</f>
        <v/>
      </c>
      <c r="L684" s="1">
        <f>IFERROR(__xludf.DUMMYFUNCTION("""COMPUTED_VALUE"""),"France")</f>
        <v/>
      </c>
      <c r="M684" s="1">
        <f>IFERROR(__xludf.DUMMYFUNCTION("""COMPUTED_VALUE"""),"France, Italy, Spain, Switzerland, United Kingdom")</f>
        <v/>
      </c>
      <c r="N684" s="1">
        <f>IFERROR(__xludf.DUMMYFUNCTION("""COMPUTED_VALUE"""),"500+")</f>
        <v/>
      </c>
      <c r="O684" s="1">
        <f>IFERROR(__xludf.DUMMYFUNCTION("""COMPUTED_VALUE"""),"Business to Consumer, Business to Government, Business to Schools")</f>
        <v/>
      </c>
      <c r="P684" s="1">
        <f>IFERROR(__xludf.DUMMYFUNCTION("""COMPUTED_VALUE"""),"Lifelong learning/Adult education, Vocational Education and Training (VET)")</f>
        <v/>
      </c>
      <c r="Q684" s="1">
        <f>IFERROR(__xludf.DUMMYFUNCTION("""COMPUTED_VALUE"""),"System/Administrative, Student interfacing")</f>
        <v/>
      </c>
      <c r="R684" s="1" t="n"/>
      <c r="S684" s="1" t="n"/>
      <c r="T684" s="15">
        <f>IFERROR(__xludf.DUMMYFUNCTION("""COMPUTED_VALUE"""),"https://www.linkedin.com/search/results/all/?fetchDeterministicClustersOnly=true&amp;heroEntityKey=urn%3Ali%3Aorganization%3A412793&amp;keywords=skill%20and%20you&amp;origin=RICH_QUERY_SUGGESTION&amp;position=0&amp;searchId=ff2fd2b7-b141-41e8-b187-f5a18ea8605b&amp;sid=Goo")</f>
        <v/>
      </c>
      <c r="U684" s="1">
        <f>IFERROR(__xludf.DUMMYFUNCTION("""COMPUTED_VALUE"""),"Vocational training")</f>
        <v/>
      </c>
      <c r="V684" s="1">
        <f>IFERROR(__xludf.DUMMYFUNCTION("""COMPUTED_VALUE"""),"We provide trainings in many areas (health, food industry, well being, HR, accounting, ...) that lead to a degree and finally a job.
Our learners are students, workers, job seekers, from all ages, willing to acquire or improve new competencies or change f"&amp;"ield.")</f>
        <v/>
      </c>
      <c r="W684" s="1" t="n"/>
      <c r="X684" s="1" t="n"/>
      <c r="Y684" s="15">
        <f>IFERROR(__xludf.DUMMYFUNCTION("""COMPUTED_VALUE"""),"https://drive.google.com/uc?export=view&amp;id=1FVTQVdqlW8QVZPZugWJRjsTHhTgAgy7J")</f>
        <v/>
      </c>
      <c r="Z684" s="1">
        <f>IFERROR(__xludf.DUMMYFUNCTION("""COMPUTED_VALUE"""),"Unverified")</f>
        <v/>
      </c>
      <c r="AA684" s="1" t="n"/>
      <c r="AB684" s="1" t="n"/>
      <c r="AC684" s="1" t="n"/>
      <c r="AD684" s="1" t="n"/>
      <c r="AE684" s="1" t="n"/>
    </row>
    <row r="685" ht="42" customHeight="1">
      <c r="A685" s="14">
        <f>IFERROR(__xludf.DUMMYFUNCTION("""COMPUTED_VALUE"""),45182)</f>
        <v/>
      </c>
      <c r="B685" s="1">
        <f>IFERROR(__xludf.DUMMYFUNCTION("""COMPUTED_VALUE"""),"ORG_1765")</f>
        <v/>
      </c>
      <c r="C685" s="1">
        <f>IFERROR(__xludf.DUMMYFUNCTION("""COMPUTED_VALUE"""),TRUE)</f>
        <v/>
      </c>
      <c r="D685" s="1">
        <f>IFERROR(__xludf.DUMMYFUNCTION("""COMPUTED_VALUE"""),"Kamusi")</f>
        <v/>
      </c>
      <c r="E685" s="15">
        <f>IFERROR(__xludf.DUMMYFUNCTION("""COMPUTED_VALUE"""),"http://kamusi.org")</f>
        <v/>
      </c>
      <c r="F685" s="1">
        <f>IFERROR(__xludf.DUMMYFUNCTION("""COMPUTED_VALUE"""),"Kamusi is a participatory international effort dedicated to improving knowledge of the world's languages. Our long-term mission is to produce dictionaries, learning tools, and other language resources for every language, and to make those resources availa"&amp;"ble everywhere to everyone.
We are building a free, unified data repository for many languages, with each concept linked to the expression of that idea in other languages from around the world. Our goal, simply stated: Every Word in Every Language.
With"&amp;" a primary focus on non-lucrative and embattled languages, we pursue:
• development of online, print, and mobile dictionaries
• interactive terminology development
• development of language learning EdTech resources
• growth of language technology, inclu"&amp;"ding creation and improvement of tools to disseminate language resources
• advocacy and support for minority, endangered, and less-resourced languages
• development of the Kam4D data matrix structured toward a complete reference of human expression across"&amp;" time and space")</f>
        <v/>
      </c>
      <c r="G685" s="1">
        <f>IFERROR(__xludf.DUMMYFUNCTION("""COMPUTED_VALUE"""),"Swiss EdTech Collider")</f>
        <v/>
      </c>
      <c r="H685" s="1" t="n"/>
      <c r="I685" s="1">
        <f>IFERROR(__xludf.DUMMYFUNCTION("""COMPUTED_VALUE"""),"contact@kamusi.org")</f>
        <v/>
      </c>
      <c r="J685" s="1" t="n"/>
      <c r="K685" s="1">
        <f>IFERROR(__xludf.DUMMYFUNCTION("""COMPUTED_VALUE"""),"Chavannes-près-Renens")</f>
        <v/>
      </c>
      <c r="L685" s="1">
        <f>IFERROR(__xludf.DUMMYFUNCTION("""COMPUTED_VALUE"""),"Switzerland")</f>
        <v/>
      </c>
      <c r="M685" s="1">
        <f>IFERROR(__xludf.DUMMYFUNCTION("""COMPUTED_VALUE"""),"Switzerland")</f>
        <v/>
      </c>
      <c r="N685" s="1">
        <f>IFERROR(__xludf.DUMMYFUNCTION("""COMPUTED_VALUE"""),"0 to 2")</f>
        <v/>
      </c>
      <c r="O685" s="1">
        <f>IFERROR(__xludf.DUMMYFUNCTION("""COMPUTED_VALUE"""),"Business to Business, Business to Consumer, Business to Government, Business to Schools")</f>
        <v/>
      </c>
      <c r="P685" s="1">
        <f>IFERROR(__xludf.DUMMYFUNCTION("""COMPUTED_VALUE"""),"Secondary Education, Lifelong learning/Adult education, Vocational Education and Training (VET), Higher Education")</f>
        <v/>
      </c>
      <c r="Q685" s="1">
        <f>IFERROR(__xludf.DUMMYFUNCTION("""COMPUTED_VALUE"""),"Student interfacing, Teacher interfacing")</f>
        <v/>
      </c>
      <c r="R685" s="1" t="n"/>
      <c r="S685" s="1">
        <f>IFERROR(__xludf.DUMMYFUNCTION("""COMPUTED_VALUE"""),"@kamusi")</f>
        <v/>
      </c>
      <c r="T685" s="15">
        <f>IFERROR(__xludf.DUMMYFUNCTION("""COMPUTED_VALUE"""),"https://www.linkedin.com/company/kamusi-project-international-usa")</f>
        <v/>
      </c>
      <c r="U685" s="1">
        <f>IFERROR(__xludf.DUMMYFUNCTION("""COMPUTED_VALUE"""),"Rösti Gabbing")</f>
        <v/>
      </c>
      <c r="V685" s="1">
        <f>IFERROR(__xludf.DUMMYFUNCTION("""COMPUTED_VALUE"""),"Connecting students in conversations across language borders, to help each other in their language learning goals through fun and interactive video sessions where the focus is not language mechanics, but collaboration on achieving shared tasks. This proje"&amp;"ct awaits funding sponsorship.")</f>
        <v/>
      </c>
      <c r="W685" s="1">
        <f>IFERROR(__xludf.DUMMYFUNCTION("""COMPUTED_VALUE"""),"Kamusi C2C: The Conjugation Translator")</f>
        <v/>
      </c>
      <c r="X685" s="1">
        <f>IFERROR(__xludf.DUMMYFUNCTION("""COMPUTED_VALUE"""),"c2c.kamusi.org produces about 4000000 spot-on translations for the conjugated forms of over 42000 verbs among 5 languages. C2C traverses our Kam4D language graph to pinpoint each unique intersection of person, time, and meaning for winning conjugation tra"&amp;"nslations at a much higher rate than DeepL, Google, Bing, or the AI LLMs. This system can be expanded to many more verbs and many more languages.")</f>
        <v/>
      </c>
      <c r="Y685" s="15">
        <f>IFERROR(__xludf.DUMMYFUNCTION("""COMPUTED_VALUE"""),"https://drive.google.com/uc?export=view&amp;id=1_A1LYDzB8x_zZfwF4QPsDNCpmTEJ8P6x")</f>
        <v/>
      </c>
      <c r="Z685" s="1">
        <f>IFERROR(__xludf.DUMMYFUNCTION("""COMPUTED_VALUE"""),"Unverified")</f>
        <v/>
      </c>
      <c r="AA685" s="1" t="n"/>
      <c r="AB685" s="1" t="n"/>
      <c r="AC685" s="1" t="n"/>
      <c r="AD685" s="1" t="n"/>
      <c r="AE685" s="1" t="n"/>
    </row>
    <row r="686" ht="42" customHeight="1">
      <c r="A686" s="14">
        <f>IFERROR(__xludf.DUMMYFUNCTION("""COMPUTED_VALUE"""),45182)</f>
        <v/>
      </c>
      <c r="B686" s="1">
        <f>IFERROR(__xludf.DUMMYFUNCTION("""COMPUTED_VALUE"""),"ORG_1977")</f>
        <v/>
      </c>
      <c r="C686" s="1">
        <f>IFERROR(__xludf.DUMMYFUNCTION("""COMPUTED_VALUE"""),TRUE)</f>
        <v/>
      </c>
      <c r="D686" s="15">
        <f>IFERROR(__xludf.DUMMYFUNCTION("""COMPUTED_VALUE"""),"mobiletic.com")</f>
        <v/>
      </c>
      <c r="E686" s="15">
        <f>IFERROR(__xludf.DUMMYFUNCTION("""COMPUTED_VALUE"""),"https://mobiletic.com/fr/")</f>
        <v/>
      </c>
      <c r="F686" s="1">
        <f>IFERROR(__xludf.DUMMYFUNCTION("""COMPUTED_VALUE"""),"Digital solutions to grow and make grow - mobiletic's mission is simple: to transform education and training! That may sound pretentious, but the reality is that boldness and innovation are part of mobiletic's daily lives. At mobiletic, every day is an op"&amp;"portunity to broaden perspectives, explore new horizons and awaken enthusiasm in education and learning. They are a specialist in enhancing learning experiences - what is your project today?")</f>
        <v/>
      </c>
      <c r="G686" s="1">
        <f>IFERROR(__xludf.DUMMYFUNCTION("""COMPUTED_VALUE"""),"Swiss EdTech Collider")</f>
        <v/>
      </c>
      <c r="H686" s="1">
        <f>IFERROR(__xludf.DUMMYFUNCTION("""COMPUTED_VALUE"""),"French, English, German, Italian")</f>
        <v/>
      </c>
      <c r="I686" s="1">
        <f>IFERROR(__xludf.DUMMYFUNCTION("""COMPUTED_VALUE"""),"alexandre.comby@mobiletic.com")</f>
        <v/>
      </c>
      <c r="J686" s="1">
        <f>IFERROR(__xludf.DUMMYFUNCTION("""COMPUTED_VALUE"""),"+41794087534")</f>
        <v/>
      </c>
      <c r="K686" s="1">
        <f>IFERROR(__xludf.DUMMYFUNCTION("""COMPUTED_VALUE"""),"ardon")</f>
        <v/>
      </c>
      <c r="L686" s="1">
        <f>IFERROR(__xludf.DUMMYFUNCTION("""COMPUTED_VALUE"""),"Switzerland")</f>
        <v/>
      </c>
      <c r="M686" s="1">
        <f>IFERROR(__xludf.DUMMYFUNCTION("""COMPUTED_VALUE"""),"France, Switzerland")</f>
        <v/>
      </c>
      <c r="N686" s="1">
        <f>IFERROR(__xludf.DUMMYFUNCTION("""COMPUTED_VALUE"""),"11 to 50")</f>
        <v/>
      </c>
      <c r="O686" s="1">
        <f>IFERROR(__xludf.DUMMYFUNCTION("""COMPUTED_VALUE"""),"Business to Business, Business to Government, Business to Schools")</f>
        <v/>
      </c>
      <c r="P686" s="1">
        <f>IFERROR(__xludf.DUMMYFUNCTION("""COMPUTED_VALUE"""),"Primary Education, Secondary Education, Corporate Training, Lifelong learning/Adult education")</f>
        <v/>
      </c>
      <c r="Q686" s="1">
        <f>IFERROR(__xludf.DUMMYFUNCTION("""COMPUTED_VALUE"""),"System/Administrative, Student interfacing, Teacher interfacing")</f>
        <v/>
      </c>
      <c r="R686" s="1" t="n"/>
      <c r="S686" s="15">
        <f>IFERROR(__xludf.DUMMYFUNCTION("""COMPUTED_VALUE"""),"https://twitter.com/mobileticsarl")</f>
        <v/>
      </c>
      <c r="T686" s="15">
        <f>IFERROR(__xludf.DUMMYFUNCTION("""COMPUTED_VALUE"""),"https://www.linkedin.com/company/mobiletic.com")</f>
        <v/>
      </c>
      <c r="U686" s="1">
        <f>IFERROR(__xludf.DUMMYFUNCTION("""COMPUTED_VALUE"""),"LCMS LMS DIGITAL LEARNING")</f>
        <v/>
      </c>
      <c r="V686" s="1">
        <f>IFERROR(__xludf.DUMMYFUNCTION("""COMPUTED_VALUE"""),"There is no doubt that every project has his own solution! You have the talent, the knowledge and the resources but you don’t know how to move on… Mobiletic is here to lead you by using special tools for education and creating successful digital learning "&amp;"solution for SME, public institutions, schools, foundations ,etc.")</f>
        <v/>
      </c>
      <c r="W686" s="1" t="n"/>
      <c r="X686" s="1" t="n"/>
      <c r="Y686" s="15">
        <f>IFERROR(__xludf.DUMMYFUNCTION("""COMPUTED_VALUE"""),"https://drive.google.com/uc?export=view&amp;id=1rAIabn65uu_bW2B11f_s4Ul3VfCOGJ0f")</f>
        <v/>
      </c>
      <c r="Z686" s="1">
        <f>IFERROR(__xludf.DUMMYFUNCTION("""COMPUTED_VALUE"""),"Unverified")</f>
        <v/>
      </c>
      <c r="AA686" s="1" t="n"/>
      <c r="AB686" s="1" t="n"/>
      <c r="AC686" s="1" t="n"/>
      <c r="AD686" s="1" t="n"/>
      <c r="AE686" s="1" t="n"/>
    </row>
    <row r="687" ht="42" customHeight="1">
      <c r="A687" s="14">
        <f>IFERROR(__xludf.DUMMYFUNCTION("""COMPUTED_VALUE"""),45182)</f>
        <v/>
      </c>
      <c r="B687" s="1">
        <f>IFERROR(__xludf.DUMMYFUNCTION("""COMPUTED_VALUE"""),"ORG_2543")</f>
        <v/>
      </c>
      <c r="C687" s="1">
        <f>IFERROR(__xludf.DUMMYFUNCTION("""COMPUTED_VALUE"""),TRUE)</f>
        <v/>
      </c>
      <c r="D687" s="1">
        <f>IFERROR(__xludf.DUMMYFUNCTION("""COMPUTED_VALUE"""),"Wizenoze")</f>
        <v/>
      </c>
      <c r="E687" s="15">
        <f>IFERROR(__xludf.DUMMYFUNCTION("""COMPUTED_VALUE"""),"https://www.wizenoze.com/")</f>
        <v/>
      </c>
      <c r="F687" s="1">
        <f>IFERROR(__xludf.DUMMYFUNCTION("""COMPUTED_VALUE"""),"It is the mission of Wizenoze to organize the world’s educational information and make it accessible, learnable, and teachable with the aim to become the unquestioned solution for anyone who wishes to offer educational content in their applications, platf"&amp;"orms, lessons, or solutions. Wizenoze makes educational information accessible by collecting and curating publicly available as well as proprietary content in the form of web pages, texts, videos, and images, and let teachers validate it. It's combining A"&amp;"I with human curation.")</f>
        <v/>
      </c>
      <c r="G687" s="1">
        <f>IFERROR(__xludf.DUMMYFUNCTION("""COMPUTED_VALUE"""),"Dutch EdTech")</f>
        <v/>
      </c>
      <c r="H687" s="1">
        <f>IFERROR(__xludf.DUMMYFUNCTION("""COMPUTED_VALUE"""),"English, Dutch")</f>
        <v/>
      </c>
      <c r="I687" s="1">
        <f>IFERROR(__xludf.DUMMYFUNCTION("""COMPUTED_VALUE"""),"info@wizenoze.com")</f>
        <v/>
      </c>
      <c r="J687" s="1">
        <f>IFERROR(__xludf.DUMMYFUNCTION("""COMPUTED_VALUE"""),"+31 651 324 466")</f>
        <v/>
      </c>
      <c r="K687" s="1">
        <f>IFERROR(__xludf.DUMMYFUNCTION("""COMPUTED_VALUE"""),"Herengracht 162")</f>
        <v/>
      </c>
      <c r="L687" s="1">
        <f>IFERROR(__xludf.DUMMYFUNCTION("""COMPUTED_VALUE"""),"The Netherlands")</f>
        <v/>
      </c>
      <c r="M687" s="1">
        <f>IFERROR(__xludf.DUMMYFUNCTION("""COMPUTED_VALUE"""),"Belgium, Netherlands, United Kingdom")</f>
        <v/>
      </c>
      <c r="N687" s="1">
        <f>IFERROR(__xludf.DUMMYFUNCTION("""COMPUTED_VALUE"""),"11 to 50")</f>
        <v/>
      </c>
      <c r="O687" s="1">
        <f>IFERROR(__xludf.DUMMYFUNCTION("""COMPUTED_VALUE"""),"Business to Schools")</f>
        <v/>
      </c>
      <c r="P687" s="1">
        <f>IFERROR(__xludf.DUMMYFUNCTION("""COMPUTED_VALUE"""),"Primary Education, Secondary Education, Vocational Education and Training (VET)")</f>
        <v/>
      </c>
      <c r="Q687" s="1">
        <f>IFERROR(__xludf.DUMMYFUNCTION("""COMPUTED_VALUE"""),"Teacher interfacing, System/Administrative")</f>
        <v/>
      </c>
      <c r="R687" s="15">
        <f>IFERROR(__xludf.DUMMYFUNCTION("""COMPUTED_VALUE"""),"https://www.instagram.com/Wizenoze")</f>
        <v/>
      </c>
      <c r="S687" s="15">
        <f>IFERROR(__xludf.DUMMYFUNCTION("""COMPUTED_VALUE"""),"https://twitter.com/wizenoze")</f>
        <v/>
      </c>
      <c r="T687" s="15">
        <f>IFERROR(__xludf.DUMMYFUNCTION("""COMPUTED_VALUE"""),"https://www.linkedin.com/company/wizenoze/?originalSubdomain=nl")</f>
        <v/>
      </c>
      <c r="U687" s="1">
        <f>IFERROR(__xludf.DUMMYFUNCTION("""COMPUTED_VALUE"""),"Wizeup.world")</f>
        <v/>
      </c>
      <c r="V687" s="1">
        <f>IFERROR(__xludf.DUMMYFUNCTION("""COMPUTED_VALUE"""),"The largest library worldwide of curated educational resources matched to your curriculum.
The smartest way to digitally enrich your educational content, platform and/or create new revenue streams. 
Enrich your content - Include carefully selected curat"&amp;"ed and teacher approved educational information from the web, to make your own content more actual, locally contextualised and lively.
Enrich your LMS or platform - Expand your offering through a constantly updated core collection of over 60 million edu"&amp;"cational text articles, or videos from trusted sources.
New revenue streams - For creators of proprietary content, we offer a new revenue stream to millions of users. Quick market entry, get access to some of worlds most innovative online learning compa"&amp;"nies and schools.")</f>
        <v/>
      </c>
      <c r="W687" s="1" t="n"/>
      <c r="X687" s="1" t="n"/>
      <c r="Y687" s="15">
        <f>IFERROR(__xludf.DUMMYFUNCTION("""COMPUTED_VALUE"""),"https://drive.google.com/uc?export=view&amp;id=1tE7CYHHgwwtdq1RoVYEq2VxdQYfR4Gpq")</f>
        <v/>
      </c>
      <c r="Z687" s="1">
        <f>IFERROR(__xludf.DUMMYFUNCTION("""COMPUTED_VALUE"""),"Unverified")</f>
        <v/>
      </c>
      <c r="AA687" s="1" t="n"/>
      <c r="AB687" s="1" t="n"/>
      <c r="AC687" s="1" t="n"/>
      <c r="AD687" s="1" t="n"/>
      <c r="AE687" s="1" t="n"/>
    </row>
    <row r="688" ht="42" customHeight="1">
      <c r="A688" s="14">
        <f>IFERROR(__xludf.DUMMYFUNCTION("""COMPUTED_VALUE"""),45182)</f>
        <v/>
      </c>
      <c r="B688" s="1">
        <f>IFERROR(__xludf.DUMMYFUNCTION("""COMPUTED_VALUE"""),"ORG_1294")</f>
        <v/>
      </c>
      <c r="C688" s="1">
        <f>IFERROR(__xludf.DUMMYFUNCTION("""COMPUTED_VALUE"""),TRUE)</f>
        <v/>
      </c>
      <c r="D688" s="1">
        <f>IFERROR(__xludf.DUMMYFUNCTION("""COMPUTED_VALUE"""),"Conversation Design Institute")</f>
        <v/>
      </c>
      <c r="E688" s="15">
        <f>IFERROR(__xludf.DUMMYFUNCTION("""COMPUTED_VALUE"""),"https://www.conversationdesigninstitute.com/")</f>
        <v/>
      </c>
      <c r="F688" s="1">
        <f>IFERROR(__xludf.DUMMYFUNCTION("""COMPUTED_VALUE"""),"Conversation Design Institute is the world’s leading training and certification institute for conversational AI. Our platform is the place where the conversational AI community comes to learn employable skills, earn industry-backed certifications, and fin"&amp;"d their next hire.")</f>
        <v/>
      </c>
      <c r="G688" s="1">
        <f>IFERROR(__xludf.DUMMYFUNCTION("""COMPUTED_VALUE"""),"Dutch EdTech")</f>
        <v/>
      </c>
      <c r="H688" s="1" t="n"/>
      <c r="I688" s="1">
        <f>IFERROR(__xludf.DUMMYFUNCTION("""COMPUTED_VALUE"""),"olaf@conversationdesigninstitute.com")</f>
        <v/>
      </c>
      <c r="J688" s="1">
        <f>IFERROR(__xludf.DUMMYFUNCTION("""COMPUTED_VALUE"""),"+31626556848")</f>
        <v/>
      </c>
      <c r="K688" s="1">
        <f>IFERROR(__xludf.DUMMYFUNCTION("""COMPUTED_VALUE"""),"AMSTERDAM")</f>
        <v/>
      </c>
      <c r="L688" s="1">
        <f>IFERROR(__xludf.DUMMYFUNCTION("""COMPUTED_VALUE"""),"The Netherlands")</f>
        <v/>
      </c>
      <c r="M688" s="1">
        <f>IFERROR(__xludf.DUMMYFUNCTION("""COMPUTED_VALUE"""),"Austria, Belgium, Bulgaria, Croatia, Cyprus, Czechia, Denmark, Estonia, Finland, France, Germany, Greece, Hungary, Ireland, Italy, Latvia, Luxembourg, Netherlands, Norway, Poland, Portugal, Romania, Serbia, Slovenia, Spain, Sweden, Switzerland, United Kin"&amp;"gdom")</f>
        <v/>
      </c>
      <c r="N688" s="1">
        <f>IFERROR(__xludf.DUMMYFUNCTION("""COMPUTED_VALUE"""),"6 to 10")</f>
        <v/>
      </c>
      <c r="O688" s="1">
        <f>IFERROR(__xludf.DUMMYFUNCTION("""COMPUTED_VALUE"""),"Business to Business, Business to Consumer, Business to Government, Business to Schools")</f>
        <v/>
      </c>
      <c r="P688" s="1">
        <f>IFERROR(__xludf.DUMMYFUNCTION("""COMPUTED_VALUE"""),"Primary Education, Secondary Education, Corporate Training, Lifelong learning/Adult education, Vocational Education and Training (VET), Higher Education")</f>
        <v/>
      </c>
      <c r="Q688" s="1">
        <f>IFERROR(__xludf.DUMMYFUNCTION("""COMPUTED_VALUE"""),"Student interfacing, Teacher interfacing, System/Administrative")</f>
        <v/>
      </c>
      <c r="R688" s="15">
        <f>IFERROR(__xludf.DUMMYFUNCTION("""COMPUTED_VALUE"""),"https://www.instagram.com/accounts/login/?next=/Conversation_Design_Institute/")</f>
        <v/>
      </c>
      <c r="S688" s="15">
        <f>IFERROR(__xludf.DUMMYFUNCTION("""COMPUTED_VALUE"""),"https://twitter.com/CDInstitute_")</f>
        <v/>
      </c>
      <c r="T688" s="15">
        <f>IFERROR(__xludf.DUMMYFUNCTION("""COMPUTED_VALUE"""),"https://www.linkedin.com/company/conversation-design-institute")</f>
        <v/>
      </c>
      <c r="U688" s="1">
        <f>IFERROR(__xludf.DUMMYFUNCTION("""COMPUTED_VALUE"""),"Training, Certification &amp; Consultancy")</f>
        <v/>
      </c>
      <c r="V688" s="1">
        <f>IFERROR(__xludf.DUMMYFUNCTION("""COMPUTED_VALUE"""),"CDI is the place where the conversational AI community comes to learn employable skills, earn industry-backed certifications, or reach out for professional services. Our proven workflow helps you create human-centric experiences for AI Assistants, like ch"&amp;"atbots and voice assistants. We have several in-house created fundamental courses, courses we developed with industry experts, assessments, and recordings of our live events and live expert classes.")</f>
        <v/>
      </c>
      <c r="W688" s="1" t="n"/>
      <c r="X688" s="1" t="n"/>
      <c r="Y688" s="15">
        <f>IFERROR(__xludf.DUMMYFUNCTION("""COMPUTED_VALUE"""),"https://drive.google.com/uc?export=view&amp;id=1CD4fkh4Y6Sh2xaBUVvEzVvVW-CWMkB5y")</f>
        <v/>
      </c>
      <c r="Z688" s="1">
        <f>IFERROR(__xludf.DUMMYFUNCTION("""COMPUTED_VALUE"""),"Unverified")</f>
        <v/>
      </c>
      <c r="AA688" s="1" t="n"/>
      <c r="AB688" s="1" t="n"/>
      <c r="AC688" s="1" t="n"/>
      <c r="AD688" s="1" t="n"/>
      <c r="AE688" s="1" t="n"/>
    </row>
    <row r="689" ht="42" customHeight="1">
      <c r="A689" s="14">
        <f>IFERROR(__xludf.DUMMYFUNCTION("""COMPUTED_VALUE"""),45181)</f>
        <v/>
      </c>
      <c r="B689" s="1">
        <f>IFERROR(__xludf.DUMMYFUNCTION("""COMPUTED_VALUE"""),"ORG_1543")</f>
        <v/>
      </c>
      <c r="C689" s="1">
        <f>IFERROR(__xludf.DUMMYFUNCTION("""COMPUTED_VALUE"""),TRUE)</f>
        <v/>
      </c>
      <c r="D689" s="1">
        <f>IFERROR(__xludf.DUMMYFUNCTION("""COMPUTED_VALUE"""),"Exploring EdTech")</f>
        <v/>
      </c>
      <c r="E689" s="15">
        <f>IFERROR(__xludf.DUMMYFUNCTION("""COMPUTED_VALUE"""),"www.exploringedtech.ie")</f>
        <v/>
      </c>
      <c r="F689" s="1">
        <f>IFERROR(__xludf.DUMMYFUNCTION("""COMPUTED_VALUE"""),"Exploring EdTech is a publisher of a free digital magazine and podcast that aims to inspire primary and second-level teachers and education leaders to embrace education technologies in their teaching practice. The Exploring EdTech magazine showcases best "&amp;"practices, tutorials, reviews, and new and emerging technologies that may assist in teaching and learning. It is written by academic researchers and practising teachers who share their experience and expertise in the field")</f>
        <v/>
      </c>
      <c r="G689" s="1">
        <f>IFERROR(__xludf.DUMMYFUNCTION("""COMPUTED_VALUE"""),"EdTech Ireland")</f>
        <v/>
      </c>
      <c r="H689" s="1">
        <f>IFERROR(__xludf.DUMMYFUNCTION("""COMPUTED_VALUE"""),"English")</f>
        <v/>
      </c>
      <c r="I689" s="1">
        <f>IFERROR(__xludf.DUMMYFUNCTION("""COMPUTED_VALUE"""),"info@exploringedtech.ie")</f>
        <v/>
      </c>
      <c r="J689" s="1">
        <f>IFERROR(__xludf.DUMMYFUNCTION("""COMPUTED_VALUE"""),"+353 87 9433778")</f>
        <v/>
      </c>
      <c r="K689" s="1">
        <f>IFERROR(__xludf.DUMMYFUNCTION("""COMPUTED_VALUE"""),"Killarney Rd, Anglont, Killorglin, Co. Kerry")</f>
        <v/>
      </c>
      <c r="L689" s="1">
        <f>IFERROR(__xludf.DUMMYFUNCTION("""COMPUTED_VALUE"""),"Ireland")</f>
        <v/>
      </c>
      <c r="M689" s="1">
        <f>IFERROR(__xludf.DUMMYFUNCTION("""COMPUTED_VALUE"""),"Belgium, Denmark, Finland, France, Germany, Iceland, Ireland, Italy, Norway, Portugal, Spain, Sweden, United Kingdom")</f>
        <v/>
      </c>
      <c r="N689" s="1">
        <f>IFERROR(__xludf.DUMMYFUNCTION("""COMPUTED_VALUE"""),"0 to 2")</f>
        <v/>
      </c>
      <c r="O689" s="1">
        <f>IFERROR(__xludf.DUMMYFUNCTION("""COMPUTED_VALUE"""),"Business to Government")</f>
        <v/>
      </c>
      <c r="P689" s="1">
        <f>IFERROR(__xludf.DUMMYFUNCTION("""COMPUTED_VALUE"""),"Primary Education, Secondary Education")</f>
        <v/>
      </c>
      <c r="Q689" s="1">
        <f>IFERROR(__xludf.DUMMYFUNCTION("""COMPUTED_VALUE"""),"Teacher interfacing")</f>
        <v/>
      </c>
      <c r="R689" s="1" t="n"/>
      <c r="S689" s="15">
        <f>IFERROR(__xludf.DUMMYFUNCTION("""COMPUTED_VALUE"""),"https://twitter.com/ExploringEdtech")</f>
        <v/>
      </c>
      <c r="T689" s="15">
        <f>IFERROR(__xludf.DUMMYFUNCTION("""COMPUTED_VALUE"""),"https://www.linkedin.com/company/exploringedtech/")</f>
        <v/>
      </c>
      <c r="U689" s="1">
        <f>IFERROR(__xludf.DUMMYFUNCTION("""COMPUTED_VALUE"""),"Exploring EdTech Magazine Issue 6")</f>
        <v/>
      </c>
      <c r="V689" s="1">
        <f>IFERROR(__xludf.DUMMYFUNCTION("""COMPUTED_VALUE"""),"The sixth issue of Exploring EdTech Ireland was published in January 2023. It focusses on the rapid development of artificial intelligence and machine learning in education technology. It features articles from academic researchers and practising teachers"&amp;" who shared their experience and expertise in the field. Some of the topics covered in this issue are:
How ChatGPT, an advanced chatbot, can be used to enhance student engagement and learning outcomes.
How AI can help teachers with assessment, feedback, "&amp;"and differentiation.
How AI can support students with special educational needs and disabilities.
How AI can foster creativity, collaboration, and problem-solving skills among students.
How AI can raise ethical, social, and legal issues in education.")</f>
        <v/>
      </c>
      <c r="W689" s="1" t="n"/>
      <c r="X689" s="1" t="n"/>
      <c r="Y689" s="15">
        <f>IFERROR(__xludf.DUMMYFUNCTION("""COMPUTED_VALUE"""),"https://drive.google.com/uc?export=view&amp;id=1dx3F8qD5i8DtRCiO4Cvgi49NbL-23e08")</f>
        <v/>
      </c>
      <c r="Z689" s="1">
        <f>IFERROR(__xludf.DUMMYFUNCTION("""COMPUTED_VALUE"""),"Unverified")</f>
        <v/>
      </c>
      <c r="AA689" s="1" t="n"/>
      <c r="AB689" s="1" t="n"/>
      <c r="AC689" s="1" t="n"/>
      <c r="AD689" s="1" t="n"/>
      <c r="AE689" s="1" t="n"/>
    </row>
    <row r="690" ht="42" customHeight="1">
      <c r="A690" s="14">
        <f>IFERROR(__xludf.DUMMYFUNCTION("""COMPUTED_VALUE"""),45181)</f>
        <v/>
      </c>
      <c r="B690" s="1">
        <f>IFERROR(__xludf.DUMMYFUNCTION("""COMPUTED_VALUE"""),"ORG_1640")</f>
        <v/>
      </c>
      <c r="C690" s="1">
        <f>IFERROR(__xludf.DUMMYFUNCTION("""COMPUTED_VALUE"""),TRUE)</f>
        <v/>
      </c>
      <c r="D690" s="1">
        <f>IFERROR(__xludf.DUMMYFUNCTION("""COMPUTED_VALUE"""),"Grammerstorf Kubon Consulting")</f>
        <v/>
      </c>
      <c r="E690" s="15">
        <f>IFERROR(__xludf.DUMMYFUNCTION("""COMPUTED_VALUE"""),"www.grammerstorf-kubon.com")</f>
        <v/>
      </c>
      <c r="F690" s="1">
        <f>IFERROR(__xludf.DUMMYFUNCTION("""COMPUTED_VALUE"""),"At GKC we help public and private companies to enhance their strategy and processes. With the focus in education, we want to improve the quality of teaching and learning.")</f>
        <v/>
      </c>
      <c r="G690" s="1">
        <f>IFERROR(__xludf.DUMMYFUNCTION("""COMPUTED_VALUE"""),"I'm not part of any EdTech association")</f>
        <v/>
      </c>
      <c r="H690" s="1">
        <f>IFERROR(__xludf.DUMMYFUNCTION("""COMPUTED_VALUE"""),"English, German")</f>
        <v/>
      </c>
      <c r="I690" s="1" t="n"/>
      <c r="J690" s="1" t="n"/>
      <c r="K690" s="1">
        <f>IFERROR(__xludf.DUMMYFUNCTION("""COMPUTED_VALUE"""),"Bielefeld")</f>
        <v/>
      </c>
      <c r="L690" s="1">
        <f>IFERROR(__xludf.DUMMYFUNCTION("""COMPUTED_VALUE"""),"Germany")</f>
        <v/>
      </c>
      <c r="M690"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United Kingdom")</f>
        <v/>
      </c>
      <c r="N690" s="1">
        <f>IFERROR(__xludf.DUMMYFUNCTION("""COMPUTED_VALUE"""),"0 to 2")</f>
        <v/>
      </c>
      <c r="O690" s="1">
        <f>IFERROR(__xludf.DUMMYFUNCTION("""COMPUTED_VALUE"""),"Business to Business, Business to Schools, Business to Consumer")</f>
        <v/>
      </c>
      <c r="P690" s="1">
        <f>IFERROR(__xludf.DUMMYFUNCTION("""COMPUTED_VALUE"""),"Secondary Education, Corporate Training, Lifelong learning/Adult education, Vocational Education and Training (VET), Higher Education")</f>
        <v/>
      </c>
      <c r="Q690" s="1">
        <f>IFERROR(__xludf.DUMMYFUNCTION("""COMPUTED_VALUE"""),"Teacher interfacing, System/Administrative, Student interfacing")</f>
        <v/>
      </c>
      <c r="R690" s="1" t="n"/>
      <c r="S690" s="1" t="n"/>
      <c r="T690" s="1" t="n"/>
      <c r="U690" s="1" t="n"/>
      <c r="V690" s="1" t="n"/>
      <c r="W690" s="1" t="n"/>
      <c r="X690" s="1" t="n"/>
      <c r="Y690" s="15">
        <f>IFERROR(__xludf.DUMMYFUNCTION("""COMPUTED_VALUE"""),"https://drive.google.com/uc?export=view&amp;id=1WMXAPEz-vUWPBMdvXtgCSk5o--LBxZsd")</f>
        <v/>
      </c>
      <c r="Z690" s="1">
        <f>IFERROR(__xludf.DUMMYFUNCTION("""COMPUTED_VALUE"""),"Unverified")</f>
        <v/>
      </c>
      <c r="AA690" s="1" t="n"/>
      <c r="AB690" s="1" t="n"/>
      <c r="AC690" s="1" t="n"/>
      <c r="AD690" s="1" t="n"/>
      <c r="AE690" s="1" t="n"/>
    </row>
    <row r="691" ht="42" customHeight="1">
      <c r="A691" s="14">
        <f>IFERROR(__xludf.DUMMYFUNCTION("""COMPUTED_VALUE"""),45181)</f>
        <v/>
      </c>
      <c r="B691" s="1">
        <f>IFERROR(__xludf.DUMMYFUNCTION("""COMPUTED_VALUE"""),"ORG_1952")</f>
        <v/>
      </c>
      <c r="C691" s="1">
        <f>IFERROR(__xludf.DUMMYFUNCTION("""COMPUTED_VALUE"""),TRUE)</f>
        <v/>
      </c>
      <c r="D691" s="1">
        <f>IFERROR(__xludf.DUMMYFUNCTION("""COMPUTED_VALUE"""),"Mentessa")</f>
        <v/>
      </c>
      <c r="E691" s="15">
        <f>IFERROR(__xludf.DUMMYFUNCTION("""COMPUTED_VALUE"""),"http://mentessa.ai")</f>
        <v/>
      </c>
      <c r="F691" s="1">
        <f>IFERROR(__xludf.DUMMYFUNCTION("""COMPUTED_VALUE"""),"Mentessa is an award-winning AI platform built to help companies create a connected learning culture. Our mission is to remove barriers for learning and collaboration for everyone in the workplace. For this purpose we take a radically different approach t"&amp;"o skills as something that we do, not just that we know. It connects employees for learning and collaboration throughout their entrie journey - purposely, automatically, guiding the experience just like a ""mentor at work"".")</f>
        <v/>
      </c>
      <c r="G691" s="1">
        <f>IFERROR(__xludf.DUMMYFUNCTION("""COMPUTED_VALUE"""),"I'm not part of any EdTech association, EDUvation")</f>
        <v/>
      </c>
      <c r="H691" s="1">
        <f>IFERROR(__xludf.DUMMYFUNCTION("""COMPUTED_VALUE"""),"German, English, Portuguese, Serbian, French, Italian")</f>
        <v/>
      </c>
      <c r="I691" s="1">
        <f>IFERROR(__xludf.DUMMYFUNCTION("""COMPUTED_VALUE"""),"hello@mentessa.ai")</f>
        <v/>
      </c>
      <c r="J691" s="1" t="n"/>
      <c r="K691" s="1">
        <f>IFERROR(__xludf.DUMMYFUNCTION("""COMPUTED_VALUE"""),"Munich")</f>
        <v/>
      </c>
      <c r="L691" s="1">
        <f>IFERROR(__xludf.DUMMYFUNCTION("""COMPUTED_VALUE"""),"Germany")</f>
        <v/>
      </c>
      <c r="M691" s="1">
        <f>IFERROR(__xludf.DUMMYFUNCTION("""COMPUTED_VALUE"""),"Bulgaria, Germany, Serbia, Switzerland, Ukraine")</f>
        <v/>
      </c>
      <c r="N691" s="1">
        <f>IFERROR(__xludf.DUMMYFUNCTION("""COMPUTED_VALUE"""),"6 to 10")</f>
        <v/>
      </c>
      <c r="O691" s="1">
        <f>IFERROR(__xludf.DUMMYFUNCTION("""COMPUTED_VALUE"""),"Business to Government, Business to Business")</f>
        <v/>
      </c>
      <c r="P691" s="1">
        <f>IFERROR(__xludf.DUMMYFUNCTION("""COMPUTED_VALUE"""),"Corporate Training, Lifelong learning/Adult education")</f>
        <v/>
      </c>
      <c r="Q691" s="1">
        <f>IFERROR(__xludf.DUMMYFUNCTION("""COMPUTED_VALUE"""),"System/Administrative, Student interfacing")</f>
        <v/>
      </c>
      <c r="R691" s="1" t="n"/>
      <c r="S691" s="1" t="n"/>
      <c r="T691" s="15">
        <f>IFERROR(__xludf.DUMMYFUNCTION("""COMPUTED_VALUE"""),"https://www.linkedin.com/company/mentessa/")</f>
        <v/>
      </c>
      <c r="U691" s="1" t="n"/>
      <c r="V691" s="1" t="n"/>
      <c r="W691" s="1" t="n"/>
      <c r="X691" s="1" t="n"/>
      <c r="Y691" s="15">
        <f>IFERROR(__xludf.DUMMYFUNCTION("""COMPUTED_VALUE"""),"https://drive.google.com/uc?export=view&amp;id=1jbVqJEZ84TXubvHG-q4Euc3S-8EMk07n")</f>
        <v/>
      </c>
      <c r="Z691" s="1">
        <f>IFERROR(__xludf.DUMMYFUNCTION("""COMPUTED_VALUE"""),"Unverified")</f>
        <v/>
      </c>
      <c r="AA691" s="1" t="n"/>
      <c r="AB691" s="1" t="n"/>
      <c r="AC691" s="1" t="n"/>
      <c r="AD691" s="1" t="n"/>
      <c r="AE691" s="1" t="n"/>
    </row>
    <row r="692" ht="42" customHeight="1">
      <c r="A692" s="14">
        <f>IFERROR(__xludf.DUMMYFUNCTION("""COMPUTED_VALUE"""),45181)</f>
        <v/>
      </c>
      <c r="B692" s="1">
        <f>IFERROR(__xludf.DUMMYFUNCTION("""COMPUTED_VALUE"""),"ORG_1978")</f>
        <v/>
      </c>
      <c r="C692" s="1">
        <f>IFERROR(__xludf.DUMMYFUNCTION("""COMPUTED_VALUE"""),TRUE)</f>
        <v/>
      </c>
      <c r="D692" s="1">
        <f>IFERROR(__xludf.DUMMYFUNCTION("""COMPUTED_VALUE"""),"ModCo")</f>
        <v/>
      </c>
      <c r="E692" s="15">
        <f>IFERROR(__xludf.DUMMYFUNCTION("""COMPUTED_VALUE"""),"https://modco.fr/")</f>
        <v/>
      </c>
      <c r="F692" s="1">
        <f>IFERROR(__xludf.DUMMYFUNCTION("""COMPUTED_VALUE"""),"ModCo creates a secured environment for students to use their own smartphones in middle schools. With ModCo, institutions capitalise on personal smartphones of students to facilitate an equitable access to digital educational resources for all.")</f>
        <v/>
      </c>
      <c r="G692" s="1">
        <f>IFERROR(__xludf.DUMMYFUNCTION("""COMPUTED_VALUE"""),"AFINEF, EdTech France")</f>
        <v/>
      </c>
      <c r="H692" s="1">
        <f>IFERROR(__xludf.DUMMYFUNCTION("""COMPUTED_VALUE"""),"French, English")</f>
        <v/>
      </c>
      <c r="I692" s="1" t="n"/>
      <c r="J692" s="1" t="n"/>
      <c r="K692" s="1">
        <f>IFERROR(__xludf.DUMMYFUNCTION("""COMPUTED_VALUE"""),"Lannion")</f>
        <v/>
      </c>
      <c r="L692" s="1">
        <f>IFERROR(__xludf.DUMMYFUNCTION("""COMPUTED_VALUE"""),"France")</f>
        <v/>
      </c>
      <c r="M692" s="1">
        <f>IFERROR(__xludf.DUMMYFUNCTION("""COMPUTED_VALUE"""),"France")</f>
        <v/>
      </c>
      <c r="N692" s="1">
        <f>IFERROR(__xludf.DUMMYFUNCTION("""COMPUTED_VALUE"""),"0 to 2")</f>
        <v/>
      </c>
      <c r="O692" s="1">
        <f>IFERROR(__xludf.DUMMYFUNCTION("""COMPUTED_VALUE"""),"Business to Government, Business to School")</f>
        <v/>
      </c>
      <c r="P692" s="1">
        <f>IFERROR(__xludf.DUMMYFUNCTION("""COMPUTED_VALUE"""),"Secondary Education")</f>
        <v/>
      </c>
      <c r="Q692" s="1">
        <f>IFERROR(__xludf.DUMMYFUNCTION("""COMPUTED_VALUE"""),"Student interfacing, Teacher interfacing")</f>
        <v/>
      </c>
      <c r="R692" s="1" t="n"/>
      <c r="S692" s="1" t="n"/>
      <c r="T692" s="15">
        <f>IFERROR(__xludf.DUMMYFUNCTION("""COMPUTED_VALUE"""),"https://www.linkedin.com/company/modco-mode-college")</f>
        <v/>
      </c>
      <c r="U692" s="1" t="n"/>
      <c r="V692" s="1" t="n"/>
      <c r="W692" s="1" t="n"/>
      <c r="X692" s="1" t="n"/>
      <c r="Y692" s="15">
        <f>IFERROR(__xludf.DUMMYFUNCTION("""COMPUTED_VALUE"""),"https://drive.google.com/uc?export=view&amp;id=1E1Bgm4pZ-jC0uaHUr2fW9rFtKrL0iLqA")</f>
        <v/>
      </c>
      <c r="Z692" s="1">
        <f>IFERROR(__xludf.DUMMYFUNCTION("""COMPUTED_VALUE"""),"Unverified")</f>
        <v/>
      </c>
      <c r="AA692" s="1" t="n"/>
      <c r="AB692" s="1" t="n"/>
      <c r="AC692" s="1" t="n"/>
      <c r="AD692" s="1" t="n"/>
      <c r="AE692" s="1" t="n"/>
    </row>
    <row r="693" ht="42" customHeight="1">
      <c r="A693" s="14">
        <f>IFERROR(__xludf.DUMMYFUNCTION("""COMPUTED_VALUE"""),45181)</f>
        <v/>
      </c>
      <c r="B693" s="1">
        <f>IFERROR(__xludf.DUMMYFUNCTION("""COMPUTED_VALUE"""),"ORG_2106")</f>
        <v/>
      </c>
      <c r="C693" s="1">
        <f>IFERROR(__xludf.DUMMYFUNCTION("""COMPUTED_VALUE"""),TRUE)</f>
        <v/>
      </c>
      <c r="D693" s="1">
        <f>IFERROR(__xludf.DUMMYFUNCTION("""COMPUTED_VALUE"""),"Pivotal EdTech")</f>
        <v/>
      </c>
      <c r="E693" s="15">
        <f>IFERROR(__xludf.DUMMYFUNCTION("""COMPUTED_VALUE"""),"https://pivotaledtech.com")</f>
        <v/>
      </c>
      <c r="F693" s="1">
        <f>IFERROR(__xludf.DUMMYFUNCTION("""COMPUTED_VALUE"""),"We work with EdTech to be more effective at getting to market and investment readiness.")</f>
        <v/>
      </c>
      <c r="G693" s="1">
        <f>IFERROR(__xludf.DUMMYFUNCTION("""COMPUTED_VALUE"""),"EdTech Ireland")</f>
        <v/>
      </c>
      <c r="H693" s="1">
        <f>IFERROR(__xludf.DUMMYFUNCTION("""COMPUTED_VALUE"""),"English")</f>
        <v/>
      </c>
      <c r="I693" s="1">
        <f>IFERROR(__xludf.DUMMYFUNCTION("""COMPUTED_VALUE"""),"info@pivotaledtech.com")</f>
        <v/>
      </c>
      <c r="J693" s="1" t="n"/>
      <c r="K693" s="1">
        <f>IFERROR(__xludf.DUMMYFUNCTION("""COMPUTED_VALUE"""),"Dublin 5")</f>
        <v/>
      </c>
      <c r="L693" s="1">
        <f>IFERROR(__xludf.DUMMYFUNCTION("""COMPUTED_VALUE"""),"Ireland")</f>
        <v/>
      </c>
      <c r="M693" s="1">
        <f>IFERROR(__xludf.DUMMYFUNCTION("""COMPUTED_VALUE"""),"Ireland")</f>
        <v/>
      </c>
      <c r="N693" s="1">
        <f>IFERROR(__xludf.DUMMYFUNCTION("""COMPUTED_VALUE"""),"0 to 2")</f>
        <v/>
      </c>
      <c r="O693" s="1">
        <f>IFERROR(__xludf.DUMMYFUNCTION("""COMPUTED_VALUE"""),"Business to Government, Business to School, Business to Business")</f>
        <v/>
      </c>
      <c r="P693" s="1">
        <f>IFERROR(__xludf.DUMMYFUNCTION("""COMPUTED_VALUE"""),"Early childhood development (0-5 years), Primary Education, Secondary Education, Corporate Training, Lifelong learning/Adult education, Vocational Education and Training (VET), Higher Education")</f>
        <v/>
      </c>
      <c r="Q693" s="1">
        <f>IFERROR(__xludf.DUMMYFUNCTION("""COMPUTED_VALUE"""),"Teacher interfacing, System/Administrative, Student interfacing")</f>
        <v/>
      </c>
      <c r="R693" s="1" t="n"/>
      <c r="S693" s="1" t="n"/>
      <c r="T693" s="15">
        <f>IFERROR(__xludf.DUMMYFUNCTION("""COMPUTED_VALUE"""),"https://www.linkedin.com/company/pivotal-edtech")</f>
        <v/>
      </c>
      <c r="U693" s="1">
        <f>IFERROR(__xludf.DUMMYFUNCTION("""COMPUTED_VALUE"""),"Market engagement")</f>
        <v/>
      </c>
      <c r="V693" s="1">
        <f>IFERROR(__xludf.DUMMYFUNCTION("""COMPUTED_VALUE"""),"Commercial effectiveness: market research, market engagement, company readiness, strategy")</f>
        <v/>
      </c>
      <c r="W693" s="1">
        <f>IFERROR(__xludf.DUMMYFUNCTION("""COMPUTED_VALUE"""),"Investment readiness")</f>
        <v/>
      </c>
      <c r="X693" s="1">
        <f>IFERROR(__xludf.DUMMYFUNCTION("""COMPUTED_VALUE"""),"Investment readiness training, business planning, strategy, investment readiness assessment")</f>
        <v/>
      </c>
      <c r="Y693" s="15">
        <f>IFERROR(__xludf.DUMMYFUNCTION("""COMPUTED_VALUE"""),"https://drive.google.com/uc?export=view&amp;id=1gZJwdJ3UQQeOB2IEO-s4nHW30bY932h3")</f>
        <v/>
      </c>
      <c r="Z693" s="1">
        <f>IFERROR(__xludf.DUMMYFUNCTION("""COMPUTED_VALUE"""),"Unverified")</f>
        <v/>
      </c>
      <c r="AA693" s="1" t="n"/>
      <c r="AB693" s="1" t="n"/>
      <c r="AC693" s="1" t="n"/>
      <c r="AD693" s="1" t="n"/>
      <c r="AE693" s="1" t="n"/>
    </row>
    <row r="694" ht="42" customHeight="1">
      <c r="A694" s="14">
        <f>IFERROR(__xludf.DUMMYFUNCTION("""COMPUTED_VALUE"""),45181)</f>
        <v/>
      </c>
      <c r="B694" s="1">
        <f>IFERROR(__xludf.DUMMYFUNCTION("""COMPUTED_VALUE"""),"ORG_2183")</f>
        <v/>
      </c>
      <c r="C694" s="1">
        <f>IFERROR(__xludf.DUMMYFUNCTION("""COMPUTED_VALUE"""),TRUE)</f>
        <v/>
      </c>
      <c r="D694" s="1">
        <f>IFERROR(__xludf.DUMMYFUNCTION("""COMPUTED_VALUE"""),"Rhinox")</f>
        <v/>
      </c>
      <c r="E694" s="15">
        <f>IFERROR(__xludf.DUMMYFUNCTION("""COMPUTED_VALUE"""),"https://rhinox.be")</f>
        <v/>
      </c>
      <c r="F694" s="1">
        <f>IFERROR(__xludf.DUMMYFUNCTION("""COMPUTED_VALUE"""),"Rhinox specializes in providing interactive VR and AR applications specifically for educational training purposes. With this we want to make learning and training attractive in a technologically progressive way. 
This through our passion for game technol"&amp;"ogy and other emerging technologies, we want to fulfill and innovate the current industry's needs for training, simulation and visualization.
We want to provide a cost-effective and efficient way of training people, simulating work environments and visual"&amp;"izing complex products using VR and AR technology.
Our approach is always 'customer centric', whereby we put our end customers first.")</f>
        <v/>
      </c>
      <c r="G694" s="1">
        <f>IFERROR(__xludf.DUMMYFUNCTION("""COMPUTED_VALUE"""),"edtechstation")</f>
        <v/>
      </c>
      <c r="H694" s="1" t="n"/>
      <c r="I694" s="1">
        <f>IFERROR(__xludf.DUMMYFUNCTION("""COMPUTED_VALUE"""),"info@rhinox.be")</f>
        <v/>
      </c>
      <c r="J694" s="1" t="n"/>
      <c r="K694" s="1">
        <f>IFERROR(__xludf.DUMMYFUNCTION("""COMPUTED_VALUE"""),"KORTRIJK")</f>
        <v/>
      </c>
      <c r="L694" s="1">
        <f>IFERROR(__xludf.DUMMYFUNCTION("""COMPUTED_VALUE"""),"Belgium")</f>
        <v/>
      </c>
      <c r="M694" s="1">
        <f>IFERROR(__xludf.DUMMYFUNCTION("""COMPUTED_VALUE"""),"Belgium")</f>
        <v/>
      </c>
      <c r="N694" s="1">
        <f>IFERROR(__xludf.DUMMYFUNCTION("""COMPUTED_VALUE"""),"6 to 10")</f>
        <v/>
      </c>
      <c r="O694" s="1">
        <f>IFERROR(__xludf.DUMMYFUNCTION("""COMPUTED_VALUE"""),"Business to Government, Business to School, Business to Business")</f>
        <v/>
      </c>
      <c r="P694" s="1">
        <f>IFERROR(__xludf.DUMMYFUNCTION("""COMPUTED_VALUE"""),"Corporate Training, Lifelong learning/Adult education")</f>
        <v/>
      </c>
      <c r="Q694" s="1">
        <f>IFERROR(__xludf.DUMMYFUNCTION("""COMPUTED_VALUE"""),"System/Administrative, Student interfacing")</f>
        <v/>
      </c>
      <c r="R694" s="1" t="n"/>
      <c r="S694" s="1" t="n"/>
      <c r="T694" s="15">
        <f>IFERROR(__xludf.DUMMYFUNCTION("""COMPUTED_VALUE"""),"https://www.linkedin.com/company/rhinox-training/")</f>
        <v/>
      </c>
      <c r="U694" s="1">
        <f>IFERROR(__xludf.DUMMYFUNCTION("""COMPUTED_VALUE"""),"Training")</f>
        <v/>
      </c>
      <c r="V694" s="1">
        <f>IFERROR(__xludf.DUMMYFUNCTION("""COMPUTED_VALUE"""),"We help educate your employees about operational workflows and the equipment involved:
* in a safe and controlled environment
* in an innovative, fun and exciting way
* while increasing their engagement and knowledge retention by using gamification elemen"&amp;"ts
Not only can we help you reduce your training costs. We can also help you collect and analyze data on learning and training performance.")</f>
        <v/>
      </c>
      <c r="W694" s="1">
        <f>IFERROR(__xludf.DUMMYFUNCTION("""COMPUTED_VALUE"""),"Simulation")</f>
        <v/>
      </c>
      <c r="X694" s="1">
        <f>IFERROR(__xludf.DUMMYFUNCTION("""COMPUTED_VALUE"""),"We can simulate your work environments and improve your operational processes by:
* identifying inefficiencies
* identifying safety hazards
* collecting behavioral data
* extracting the best possible match for workflow and equipment placement using artifi"&amp;"cial intelligence")</f>
        <v/>
      </c>
      <c r="Y694" s="15">
        <f>IFERROR(__xludf.DUMMYFUNCTION("""COMPUTED_VALUE"""),"https://drive.google.com/uc?export=view&amp;id=1zgqUqa6mNWZ6G45d7JLPj9bHgbKsd28o")</f>
        <v/>
      </c>
      <c r="Z694" s="1">
        <f>IFERROR(__xludf.DUMMYFUNCTION("""COMPUTED_VALUE"""),"Unverified")</f>
        <v/>
      </c>
      <c r="AA694" s="1" t="n"/>
      <c r="AB694" s="1" t="n"/>
      <c r="AC694" s="1" t="n"/>
      <c r="AD694" s="1" t="n"/>
      <c r="AE694" s="1" t="n"/>
    </row>
    <row r="695" ht="42" customHeight="1">
      <c r="A695" s="14">
        <f>IFERROR(__xludf.DUMMYFUNCTION("""COMPUTED_VALUE"""),45181)</f>
        <v/>
      </c>
      <c r="B695" s="1">
        <f>IFERROR(__xludf.DUMMYFUNCTION("""COMPUTED_VALUE"""),"ORG_2058")</f>
        <v/>
      </c>
      <c r="C695" s="1">
        <f>IFERROR(__xludf.DUMMYFUNCTION("""COMPUTED_VALUE"""),TRUE)</f>
        <v/>
      </c>
      <c r="D695" s="1">
        <f>IFERROR(__xludf.DUMMYFUNCTION("""COMPUTED_VALUE"""),"OkNoName")</f>
        <v/>
      </c>
      <c r="E695" s="15">
        <f>IFERROR(__xludf.DUMMYFUNCTION("""COMPUTED_VALUE"""),"https://www.oknoname.com/")</f>
        <v/>
      </c>
      <c r="F695" s="1">
        <f>IFERROR(__xludf.DUMMYFUNCTION("""COMPUTED_VALUE"""),"OkNoName.com provides modern Q&amp;A discussion board technology, saving time for experts such as instructors.
Our human-assistive generative AI reply model and semantic search engine provide answer suggestions to student questions, saving time for experts a"&amp;"nd users! Some customers integrate our solution with their existing discussion board through our API. We also provide a standalone discussion board option. Used by over 2000 students and 10 professors!
Learn more at https://www.OkNoName.com")</f>
        <v/>
      </c>
      <c r="G695" s="1">
        <f>IFERROR(__xludf.DUMMYFUNCTION("""COMPUTED_VALUE"""),"I'm not part of any EdTech association")</f>
        <v/>
      </c>
      <c r="H695" s="1">
        <f>IFERROR(__xludf.DUMMYFUNCTION("""COMPUTED_VALUE"""),"English")</f>
        <v/>
      </c>
      <c r="I695" s="1">
        <f>IFERROR(__xludf.DUMMYFUNCTION("""COMPUTED_VALUE"""),"arnoutdev@gmail.com")</f>
        <v/>
      </c>
      <c r="J695" s="1" t="n"/>
      <c r="K695" s="1">
        <f>IFERROR(__xludf.DUMMYFUNCTION("""COMPUTED_VALUE"""),"LAUSANNE")</f>
        <v/>
      </c>
      <c r="L695" s="1">
        <f>IFERROR(__xludf.DUMMYFUNCTION("""COMPUTED_VALUE"""),"Switzerland")</f>
        <v/>
      </c>
      <c r="M695"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695" s="1">
        <f>IFERROR(__xludf.DUMMYFUNCTION("""COMPUTED_VALUE"""),"0 to 2")</f>
        <v/>
      </c>
      <c r="O695" s="1">
        <f>IFERROR(__xludf.DUMMYFUNCTION("""COMPUTED_VALUE"""),"Business to Business, Business to Government, Business to Schools")</f>
        <v/>
      </c>
      <c r="P695" s="1">
        <f>IFERROR(__xludf.DUMMYFUNCTION("""COMPUTED_VALUE"""),"Secondary Education, Corporate Training, Higher Education")</f>
        <v/>
      </c>
      <c r="Q695" s="1">
        <f>IFERROR(__xludf.DUMMYFUNCTION("""COMPUTED_VALUE"""),"Teacher interfacing, System/Administrative")</f>
        <v/>
      </c>
      <c r="R695" s="1" t="n"/>
      <c r="S695" s="1" t="n"/>
      <c r="T695" s="15">
        <f>IFERROR(__xludf.DUMMYFUNCTION("""COMPUTED_VALUE"""),"https://www.linkedin.com/company/oknoname")</f>
        <v/>
      </c>
      <c r="U695" s="1">
        <f>IFERROR(__xludf.DUMMYFUNCTION("""COMPUTED_VALUE"""),"OkNoName")</f>
        <v/>
      </c>
      <c r="V695" s="1">
        <f>IFERROR(__xludf.DUMMYFUNCTION("""COMPUTED_VALUE"""),"Our human-assistive generative AI reply model and semantic search engine provide answer suggestions to student questions, saving time for experts (instructors) and users! Some customers integrate our solution with their existing discussion board through o"&amp;"ur API. We also provide a standalone discussion board option. Used by over 2000 students and 10 professors!")</f>
        <v/>
      </c>
      <c r="W695" s="1" t="n"/>
      <c r="X695" s="1" t="n"/>
      <c r="Y695" s="15">
        <f>IFERROR(__xludf.DUMMYFUNCTION("""COMPUTED_VALUE"""),"https://drive.google.com/uc?export=view&amp;id=1h0KdmwBwC7V3H-Ap8s01lSkOfVVLETBt")</f>
        <v/>
      </c>
      <c r="Z695" s="1">
        <f>IFERROR(__xludf.DUMMYFUNCTION("""COMPUTED_VALUE"""),"Unverified")</f>
        <v/>
      </c>
      <c r="AA695" s="1" t="n"/>
      <c r="AB695" s="1" t="n"/>
      <c r="AC695" s="1" t="n"/>
      <c r="AD695" s="1" t="n"/>
      <c r="AE695" s="1" t="n"/>
    </row>
    <row r="696" ht="42" customHeight="1">
      <c r="A696" s="14">
        <f>IFERROR(__xludf.DUMMYFUNCTION("""COMPUTED_VALUE"""),45181)</f>
        <v/>
      </c>
      <c r="B696" s="1">
        <f>IFERROR(__xludf.DUMMYFUNCTION("""COMPUTED_VALUE"""),"ORG_1009")</f>
        <v/>
      </c>
      <c r="C696" s="1">
        <f>IFERROR(__xludf.DUMMYFUNCTION("""COMPUTED_VALUE"""),TRUE)</f>
        <v/>
      </c>
      <c r="D696" s="1">
        <f>IFERROR(__xludf.DUMMYFUNCTION("""COMPUTED_VALUE"""),"3CL Foundation")</f>
        <v/>
      </c>
      <c r="E696" s="15">
        <f>IFERROR(__xludf.DUMMYFUNCTION("""COMPUTED_VALUE"""),"https://www.3cl.org/")</f>
        <v/>
      </c>
      <c r="F696" s="1">
        <f>IFERROR(__xludf.DUMMYFUNCTION("""COMPUTED_VALUE"""),"The Commonwealth Centre for Connected Learning Foundation (The 3CL Foundation – 3CL for short) is a public EdTech foundation registered in Malta in February 2017 to operate as an arms-length Education Foundation. We operate as a knowledge hub for a global"&amp;" network of groups, agencies, institutions and educators in the rapid deployment of EdTech programmes in the Commonwealth and the EU. Much of our output is published as a public good, under a Creative Commons licence.")</f>
        <v/>
      </c>
      <c r="G696" s="1">
        <f>IFERROR(__xludf.DUMMYFUNCTION("""COMPUTED_VALUE"""),"I'm not part of any EdTech association")</f>
        <v/>
      </c>
      <c r="H696" s="1">
        <f>IFERROR(__xludf.DUMMYFUNCTION("""COMPUTED_VALUE"""),"English")</f>
        <v/>
      </c>
      <c r="I696" s="1">
        <f>IFERROR(__xludf.DUMMYFUNCTION("""COMPUTED_VALUE"""),"info@3cl.org")</f>
        <v/>
      </c>
      <c r="J696" s="1">
        <f>IFERROR(__xludf.DUMMYFUNCTION("""COMPUTED_VALUE"""),"+356 2701 4152")</f>
        <v/>
      </c>
      <c r="K696" s="1">
        <f>IFERROR(__xludf.DUMMYFUNCTION("""COMPUTED_VALUE"""),"Valletta")</f>
        <v/>
      </c>
      <c r="L696" s="1">
        <f>IFERROR(__xludf.DUMMYFUNCTION("""COMPUTED_VALUE"""),"Malta")</f>
        <v/>
      </c>
      <c r="M696" s="1">
        <f>IFERROR(__xludf.DUMMYFUNCTION("""COMPUTED_VALUE"""),"Belgium, Malta, Spain, Sweden, United Kingdom")</f>
        <v/>
      </c>
      <c r="N696" s="1">
        <f>IFERROR(__xludf.DUMMYFUNCTION("""COMPUTED_VALUE"""),"3 to 5")</f>
        <v/>
      </c>
      <c r="O696" s="1">
        <f>IFERROR(__xludf.DUMMYFUNCTION("""COMPUTED_VALUE"""),"Business to Business")</f>
        <v/>
      </c>
      <c r="P696" s="1">
        <f>IFERROR(__xludf.DUMMYFUNCTION("""COMPUTED_VALUE"""),"Corporate Training, Lifelong learning/Adult education, Vocational Education and Training (VET), Higher Education")</f>
        <v/>
      </c>
      <c r="Q696" s="1">
        <f>IFERROR(__xludf.DUMMYFUNCTION("""COMPUTED_VALUE"""),"Teacher interfacing, System/Administrative, Student interfacing")</f>
        <v/>
      </c>
      <c r="R696" s="1" t="n"/>
      <c r="S696" s="1" t="n"/>
      <c r="T696" s="1" t="n"/>
      <c r="U696" s="1" t="n"/>
      <c r="V696" s="1" t="n"/>
      <c r="W696" s="1" t="n"/>
      <c r="X696" s="1" t="n"/>
      <c r="Y696" s="15">
        <f>IFERROR(__xludf.DUMMYFUNCTION("""COMPUTED_VALUE"""),"https://drive.google.com/uc?export=view&amp;id=1AzE-4qBLTdc3aE13jap8iN0zm4s0QR8I")</f>
        <v/>
      </c>
      <c r="Z696" s="1">
        <f>IFERROR(__xludf.DUMMYFUNCTION("""COMPUTED_VALUE"""),"Unverified")</f>
        <v/>
      </c>
      <c r="AA696" s="1" t="n"/>
      <c r="AB696" s="1" t="n"/>
      <c r="AC696" s="1" t="n"/>
      <c r="AD696" s="1" t="n"/>
      <c r="AE696" s="1" t="n"/>
    </row>
    <row r="697" ht="42" customHeight="1">
      <c r="A697" s="14">
        <f>IFERROR(__xludf.DUMMYFUNCTION("""COMPUTED_VALUE"""),45181)</f>
        <v/>
      </c>
      <c r="B697" s="1">
        <f>IFERROR(__xludf.DUMMYFUNCTION("""COMPUTED_VALUE"""),"ORG_1314")</f>
        <v/>
      </c>
      <c r="C697" s="1">
        <f>IFERROR(__xludf.DUMMYFUNCTION("""COMPUTED_VALUE"""),TRUE)</f>
        <v/>
      </c>
      <c r="D697" s="1">
        <f>IFERROR(__xludf.DUMMYFUNCTION("""COMPUTED_VALUE"""),"Cuabi")</f>
        <v/>
      </c>
      <c r="E697" s="15">
        <f>IFERROR(__xludf.DUMMYFUNCTION("""COMPUTED_VALUE"""),"https://cuabi.com")</f>
        <v/>
      </c>
      <c r="F697" s="1">
        <f>IFERROR(__xludf.DUMMYFUNCTION("""COMPUTED_VALUE"""),"Cuabi helps parents to discover and develop the talents of their children. We focus on emotinal development and softs skills.")</f>
        <v/>
      </c>
      <c r="G697" s="1">
        <f>IFERROR(__xludf.DUMMYFUNCTION("""COMPUTED_VALUE"""),"I'm not part of any EdTech association")</f>
        <v/>
      </c>
      <c r="H697" s="1">
        <f>IFERROR(__xludf.DUMMYFUNCTION("""COMPUTED_VALUE"""),"Spanish")</f>
        <v/>
      </c>
      <c r="I697" s="1">
        <f>IFERROR(__xludf.DUMMYFUNCTION("""COMPUTED_VALUE"""),"hola@cuabi.com")</f>
        <v/>
      </c>
      <c r="J697" s="1">
        <f>IFERROR(__xludf.DUMMYFUNCTION("""COMPUTED_VALUE"""),"+34 692313143")</f>
        <v/>
      </c>
      <c r="K697" s="1">
        <f>IFERROR(__xludf.DUMMYFUNCTION("""COMPUTED_VALUE"""),"Valencia")</f>
        <v/>
      </c>
      <c r="L697" s="1">
        <f>IFERROR(__xludf.DUMMYFUNCTION("""COMPUTED_VALUE"""),"Spain")</f>
        <v/>
      </c>
      <c r="M697" s="1">
        <f>IFERROR(__xludf.DUMMYFUNCTION("""COMPUTED_VALUE"""),"Spain")</f>
        <v/>
      </c>
      <c r="N697" s="1">
        <f>IFERROR(__xludf.DUMMYFUNCTION("""COMPUTED_VALUE"""),"0 to 2")</f>
        <v/>
      </c>
      <c r="O697" s="1">
        <f>IFERROR(__xludf.DUMMYFUNCTION("""COMPUTED_VALUE"""),"Business to Business, Business to Consumer")</f>
        <v/>
      </c>
      <c r="P697" s="1">
        <f>IFERROR(__xludf.DUMMYFUNCTION("""COMPUTED_VALUE"""),"Primary Education, Secondary Education")</f>
        <v/>
      </c>
      <c r="Q697" s="1">
        <f>IFERROR(__xludf.DUMMYFUNCTION("""COMPUTED_VALUE"""),"System/Administrative, Teacher interfacing")</f>
        <v/>
      </c>
      <c r="R697" s="15">
        <f>IFERROR(__xludf.DUMMYFUNCTION("""COMPUTED_VALUE"""),"https://instagram.com/cuabi.educa")</f>
        <v/>
      </c>
      <c r="S697" s="1" t="n"/>
      <c r="T697" s="15">
        <f>IFERROR(__xludf.DUMMYFUNCTION("""COMPUTED_VALUE"""),"https://es.linkedin.com/company/cuabi")</f>
        <v/>
      </c>
      <c r="U697" s="1">
        <f>IFERROR(__xludf.DUMMYFUNCTION("""COMPUTED_VALUE"""),"Club de padres")</f>
        <v/>
      </c>
      <c r="V697" s="1">
        <f>IFERROR(__xludf.DUMMYFUNCTION("""COMPUTED_VALUE"""),"Club de padres es un espacio para conectar a los pares con ideas, herramientas, apoyo para que pueden acompañar a sus hijos con su desarrollo emocional")</f>
        <v/>
      </c>
      <c r="W697" s="1" t="n"/>
      <c r="X697" s="1" t="n"/>
      <c r="Y697" s="15">
        <f>IFERROR(__xludf.DUMMYFUNCTION("""COMPUTED_VALUE"""),"https://drive.google.com/uc?export=view&amp;id=1e3k-TgrMAurhMVJoZ_EY8am_j-A2P9cP")</f>
        <v/>
      </c>
      <c r="Z697" s="1">
        <f>IFERROR(__xludf.DUMMYFUNCTION("""COMPUTED_VALUE"""),"Unverified")</f>
        <v/>
      </c>
      <c r="AA697" s="1" t="n"/>
      <c r="AB697" s="1" t="n"/>
      <c r="AC697" s="1" t="n"/>
      <c r="AD697" s="1" t="n"/>
      <c r="AE697" s="1" t="n"/>
    </row>
    <row r="698" ht="42" customHeight="1">
      <c r="A698" s="14">
        <f>IFERROR(__xludf.DUMMYFUNCTION("""COMPUTED_VALUE"""),45181)</f>
        <v/>
      </c>
      <c r="B698" s="1">
        <f>IFERROR(__xludf.DUMMYFUNCTION("""COMPUTED_VALUE"""),"ORG_1685")</f>
        <v/>
      </c>
      <c r="C698" s="1">
        <f>IFERROR(__xludf.DUMMYFUNCTION("""COMPUTED_VALUE"""),TRUE)</f>
        <v/>
      </c>
      <c r="D698" s="1">
        <f>IFERROR(__xludf.DUMMYFUNCTION("""COMPUTED_VALUE"""),"How to Change the World")</f>
        <v/>
      </c>
      <c r="E698" s="15">
        <f>IFERROR(__xludf.DUMMYFUNCTION("""COMPUTED_VALUE"""),"https://www.htctw.org/")</f>
        <v/>
      </c>
      <c r="F698" s="1">
        <f>IFERROR(__xludf.DUMMYFUNCTION("""COMPUTED_VALUE"""),"We deliver fully-virtual experiential education programs that empower high education students from around the world to collaboratively tackle global sustainability challenges they are passionate about. We are also piloting similar programs with corporate "&amp;"partnerships to help tackle the massive employee sustainability skills gap that is holding whole industries back from achieving their sustainability targets.")</f>
        <v/>
      </c>
      <c r="G698" s="1">
        <f>IFERROR(__xludf.DUMMYFUNCTION("""COMPUTED_VALUE"""),"SuperCharger Ventures")</f>
        <v/>
      </c>
      <c r="H698" s="1">
        <f>IFERROR(__xludf.DUMMYFUNCTION("""COMPUTED_VALUE"""),"English")</f>
        <v/>
      </c>
      <c r="I698" s="1">
        <f>IFERROR(__xludf.DUMMYFUNCTION("""COMPUTED_VALUE"""),"info@htctw.org")</f>
        <v/>
      </c>
      <c r="J698" s="1" t="n"/>
      <c r="K698" s="1">
        <f>IFERROR(__xludf.DUMMYFUNCTION("""COMPUTED_VALUE"""),"London")</f>
        <v/>
      </c>
      <c r="L698" s="1">
        <f>IFERROR(__xludf.DUMMYFUNCTION("""COMPUTED_VALUE"""),"United Kingdom")</f>
        <v/>
      </c>
      <c r="M698" s="1">
        <f>IFERROR(__xludf.DUMMYFUNCTION("""COMPUTED_VALUE"""),"Italy, Malta, Spain, United Kingdom")</f>
        <v/>
      </c>
      <c r="N698" s="1">
        <f>IFERROR(__xludf.DUMMYFUNCTION("""COMPUTED_VALUE"""),"11 to 50")</f>
        <v/>
      </c>
      <c r="O698" s="1">
        <f>IFERROR(__xludf.DUMMYFUNCTION("""COMPUTED_VALUE"""),"Business to Business, Business to Government, Business to Schools")</f>
        <v/>
      </c>
      <c r="P698" s="1">
        <f>IFERROR(__xludf.DUMMYFUNCTION("""COMPUTED_VALUE"""),"Corporate Training, Lifelong learning/Adult education, Vocational Education and Training (VET), Higher Education")</f>
        <v/>
      </c>
      <c r="Q698" s="1">
        <f>IFERROR(__xludf.DUMMYFUNCTION("""COMPUTED_VALUE"""),"Student interfacing, Teacher interfacing, System/Administrative")</f>
        <v/>
      </c>
      <c r="R698" s="1" t="n"/>
      <c r="S698" s="1" t="n"/>
      <c r="T698" s="15">
        <f>IFERROR(__xludf.DUMMYFUNCTION("""COMPUTED_VALUE"""),"https://www.linkedin.com/company/htctw")</f>
        <v/>
      </c>
      <c r="U698" s="1">
        <f>IFERROR(__xludf.DUMMYFUNCTION("""COMPUTED_VALUE"""),"Global Sustainability Project Bootcamp")</f>
        <v/>
      </c>
      <c r="V698" s="1">
        <f>IFERROR(__xludf.DUMMYFUNCTION("""COMPUTED_VALUE"""),"With every fully-virtual extracurricular Bootcamp we provide hundreds of higher ed students – from diverse disciplines and institutions – with the chance to collaboratively tackle globally diverse sustainability challenges. During the ~40 experiential lea"&amp;"rning hours across 3-5 days, all students the chance to engage with dozens of community representatives, experts and educators from all around the world.
Our Bootcamp helps students develop “21st century” skills while they learn, through guided experienc"&amp;"e, how to bring their knowledge and skills to bear tackling sustainability challenges they’re passionate about.")</f>
        <v/>
      </c>
      <c r="W698" s="1">
        <f>IFERROR(__xludf.DUMMYFUNCTION("""COMPUTED_VALUE"""),"Global Sustainability Project Course")</f>
        <v/>
      </c>
      <c r="X698" s="1">
        <f>IFERROR(__xludf.DUMMYFUNCTION("""COMPUTED_VALUE"""),"With every iteration of our credit-bearing university Course, we provide hundreds of higher ed students with the chance to collaboratively tackle globally diverse sustainability challenges. During the ~120 experiential learning hours across ~12 weeks, all"&amp;" students the chance to engage with dozens of community representatives, experts and educators from all around the world.
Our Course helps students develop “21st century” skills while they learn, through guided experience, how to bring their knowledge an"&amp;"d skills to bear tackling sustainability challenges they’re passionate about.")</f>
        <v/>
      </c>
      <c r="Y698" s="15">
        <f>IFERROR(__xludf.DUMMYFUNCTION("""COMPUTED_VALUE"""),"https://drive.google.com/uc?export=view&amp;id=12Z7miOyTApH50j1IAoZrG44YweMW_ci4")</f>
        <v/>
      </c>
      <c r="Z698" s="1">
        <f>IFERROR(__xludf.DUMMYFUNCTION("""COMPUTED_VALUE"""),"Unverified")</f>
        <v/>
      </c>
      <c r="AA698" s="1" t="n"/>
      <c r="AB698" s="1" t="n"/>
      <c r="AC698" s="1" t="n"/>
      <c r="AD698" s="1" t="n"/>
      <c r="AE698" s="1" t="n"/>
    </row>
    <row r="699" ht="42" customHeight="1">
      <c r="A699" s="14">
        <f>IFERROR(__xludf.DUMMYFUNCTION("""COMPUTED_VALUE"""),45181)</f>
        <v/>
      </c>
      <c r="B699" s="1">
        <f>IFERROR(__xludf.DUMMYFUNCTION("""COMPUTED_VALUE"""),"ORG_1914")</f>
        <v/>
      </c>
      <c r="C699" s="1">
        <f>IFERROR(__xludf.DUMMYFUNCTION("""COMPUTED_VALUE"""),TRUE)</f>
        <v/>
      </c>
      <c r="D699" s="15">
        <f>IFERROR(__xludf.DUMMYFUNCTION("""COMPUTED_VALUE"""),"Manual.to")</f>
        <v/>
      </c>
      <c r="E699" s="15">
        <f>IFERROR(__xludf.DUMMYFUNCTION("""COMPUTED_VALUE"""),"https://manual.to")</f>
        <v/>
      </c>
      <c r="F699" s="1">
        <f>IFERROR(__xludf.DUMMYFUNCTION("""COMPUTED_VALUE"""),"Manual.to offers the fastest, simplest way to create appealing how-to guides. This way, people instantly learn with snackable video in over 100 languages.")</f>
        <v/>
      </c>
      <c r="G699" s="1">
        <f>IFERROR(__xludf.DUMMYFUNCTION("""COMPUTED_VALUE"""),"edtechstation")</f>
        <v/>
      </c>
      <c r="H699" s="1">
        <f>IFERROR(__xludf.DUMMYFUNCTION("""COMPUTED_VALUE"""),"All")</f>
        <v/>
      </c>
      <c r="I699" s="1">
        <f>IFERROR(__xludf.DUMMYFUNCTION("""COMPUTED_VALUE"""),"eea@manual.to")</f>
        <v/>
      </c>
      <c r="J699" s="1">
        <f>IFERROR(__xludf.DUMMYFUNCTION("""COMPUTED_VALUE"""),"+32 472 292 053")</f>
        <v/>
      </c>
      <c r="K699" s="1">
        <f>IFERROR(__xludf.DUMMYFUNCTION("""COMPUTED_VALUE"""),"GENT")</f>
        <v/>
      </c>
      <c r="L699" s="1">
        <f>IFERROR(__xludf.DUMMYFUNCTION("""COMPUTED_VALUE"""),"Belgium")</f>
        <v/>
      </c>
      <c r="M699" s="1">
        <f>IFERROR(__xludf.DUMMYFUNCTION("""COMPUTED_VALUE"""),"Austria, Belgium, Denmark, Finland, France, Germany, Ireland, Italy, Luxembourg, Netherlands, Norway, Poland, Portugal, Spain, Sweden, Switzerland, Turkey, United Kingdom")</f>
        <v/>
      </c>
      <c r="N699" s="1">
        <f>IFERROR(__xludf.DUMMYFUNCTION("""COMPUTED_VALUE"""),"11 to 50")</f>
        <v/>
      </c>
      <c r="O699" s="1">
        <f>IFERROR(__xludf.DUMMYFUNCTION("""COMPUTED_VALUE"""),"Business to Business, Business to Schools")</f>
        <v/>
      </c>
      <c r="P699" s="1">
        <f>IFERROR(__xludf.DUMMYFUNCTION("""COMPUTED_VALUE"""),"Secondary Education, Corporate Training, Lifelong learning/Adult education, Vocational Education and Training (VET)")</f>
        <v/>
      </c>
      <c r="Q699" s="1">
        <f>IFERROR(__xludf.DUMMYFUNCTION("""COMPUTED_VALUE"""),"Teacher interfacing, System/Administrative")</f>
        <v/>
      </c>
      <c r="R699" s="15">
        <f>IFERROR(__xludf.DUMMYFUNCTION("""COMPUTED_VALUE"""),"https://www.instagram.com/manual.to/")</f>
        <v/>
      </c>
      <c r="S699" s="15">
        <f>IFERROR(__xludf.DUMMYFUNCTION("""COMPUTED_VALUE"""),"https://twitter.com/manual_to")</f>
        <v/>
      </c>
      <c r="T699" s="15">
        <f>IFERROR(__xludf.DUMMYFUNCTION("""COMPUTED_VALUE"""),"https://linkedin.com/company/manual.to")</f>
        <v/>
      </c>
      <c r="U699" s="15">
        <f>IFERROR(__xludf.DUMMYFUNCTION("""COMPUTED_VALUE"""),"Manual.to")</f>
        <v/>
      </c>
      <c r="V699" s="1">
        <f>IFERROR(__xludf.DUMMYFUNCTION("""COMPUTED_VALUE"""),"The easiest way to create effective how-to guides. With video, in over 100 languages, shared as a QR code or URL")</f>
        <v/>
      </c>
      <c r="W699" s="1" t="n"/>
      <c r="X699" s="1" t="n"/>
      <c r="Y699" s="15">
        <f>IFERROR(__xludf.DUMMYFUNCTION("""COMPUTED_VALUE"""),"https://drive.google.com/uc?export=view&amp;id=1Edo0DjlUeOht48soxKOBcXX1V6XHiFQT")</f>
        <v/>
      </c>
      <c r="Z699" s="1">
        <f>IFERROR(__xludf.DUMMYFUNCTION("""COMPUTED_VALUE"""),"Unverified")</f>
        <v/>
      </c>
      <c r="AA699" s="1" t="n"/>
      <c r="AB699" s="1" t="n"/>
      <c r="AC699" s="1" t="n"/>
      <c r="AD699" s="1" t="n"/>
      <c r="AE699" s="1" t="n"/>
    </row>
    <row r="700" ht="42" customHeight="1">
      <c r="A700" s="14">
        <f>IFERROR(__xludf.DUMMYFUNCTION("""COMPUTED_VALUE"""),45181)</f>
        <v/>
      </c>
      <c r="B700" s="1">
        <f>IFERROR(__xludf.DUMMYFUNCTION("""COMPUTED_VALUE"""),"ORG_2533")</f>
        <v/>
      </c>
      <c r="C700" s="1">
        <f>IFERROR(__xludf.DUMMYFUNCTION("""COMPUTED_VALUE"""),TRUE)</f>
        <v/>
      </c>
      <c r="D700" s="1">
        <f>IFERROR(__xludf.DUMMYFUNCTION("""COMPUTED_VALUE"""),"WiKIT")</f>
        <v/>
      </c>
      <c r="E700" s="15">
        <f>IFERROR(__xludf.DUMMYFUNCTION("""COMPUTED_VALUE"""),"www.wikit.no")</f>
        <v/>
      </c>
      <c r="F700" s="1">
        <f>IFERROR(__xludf.DUMMYFUNCTION("""COMPUTED_VALUE"""),"A university spin-out supporting EdTech companies to be evidence-based.")</f>
        <v/>
      </c>
      <c r="G700" s="1">
        <f>IFERROR(__xludf.DUMMYFUNCTION("""COMPUTED_VALUE"""),"I'm not part of any EdTech association")</f>
        <v/>
      </c>
      <c r="H700" s="1" t="n"/>
      <c r="I700" s="1">
        <f>IFERROR(__xludf.DUMMYFUNCTION("""COMPUTED_VALUE"""),"info@wikit.no")</f>
        <v/>
      </c>
      <c r="J700" s="1" t="n"/>
      <c r="K700" s="1">
        <f>IFERROR(__xludf.DUMMYFUNCTION("""COMPUTED_VALUE"""),"SANDNES")</f>
        <v/>
      </c>
      <c r="L700" s="1">
        <f>IFERROR(__xludf.DUMMYFUNCTION("""COMPUTED_VALUE"""),"Norway")</f>
        <v/>
      </c>
      <c r="M700" s="1">
        <f>IFERROR(__xludf.DUMMYFUNCTION("""COMPUTED_VALUE"""),"Finland, Germany, Norway, United Kingdom")</f>
        <v/>
      </c>
      <c r="N700" s="1">
        <f>IFERROR(__xludf.DUMMYFUNCTION("""COMPUTED_VALUE"""),"0 to 2")</f>
        <v/>
      </c>
      <c r="O700" s="1">
        <f>IFERROR(__xludf.DUMMYFUNCTION("""COMPUTED_VALUE"""),"Business to Business, Business to Consumer")</f>
        <v/>
      </c>
      <c r="P700" s="1">
        <f>IFERROR(__xludf.DUMMYFUNCTION("""COMPUTED_VALUE"""),"Early childhood development (0-5 years), Primary Education, Secondary Education, Corporate Training, Lifelong learning/Adult education, Vocational Education and Training (VET), Higher Education")</f>
        <v/>
      </c>
      <c r="Q700" s="1">
        <f>IFERROR(__xludf.DUMMYFUNCTION("""COMPUTED_VALUE"""),"System/Administrative, Student interfacing")</f>
        <v/>
      </c>
      <c r="R700" s="1" t="n"/>
      <c r="S700" s="1" t="n"/>
      <c r="T700" s="1" t="n"/>
      <c r="U700" s="1">
        <f>IFERROR(__xludf.DUMMYFUNCTION("""COMPUTED_VALUE"""),"Support with Evidence and Impact measurements")</f>
        <v/>
      </c>
      <c r="V700" s="1" t="n"/>
      <c r="W700" s="1">
        <f>IFERROR(__xludf.DUMMYFUNCTION("""COMPUTED_VALUE"""),"Mentorship &amp; workshops in EdTech Evidence Evaluations")</f>
        <v/>
      </c>
      <c r="X700" s="1" t="n"/>
      <c r="Y700" s="15">
        <f>IFERROR(__xludf.DUMMYFUNCTION("""COMPUTED_VALUE"""),"https://drive.google.com/uc?export=view&amp;id=1FAZOQHiO9IquKJx9QLw5NUhuHjwksvIG")</f>
        <v/>
      </c>
      <c r="Z700" s="1">
        <f>IFERROR(__xludf.DUMMYFUNCTION("""COMPUTED_VALUE"""),"Unverified")</f>
        <v/>
      </c>
      <c r="AA700" s="1" t="n"/>
      <c r="AB700" s="1" t="n"/>
      <c r="AC700" s="1" t="n"/>
      <c r="AD700" s="1" t="n"/>
      <c r="AE700" s="1" t="n"/>
    </row>
    <row r="701" ht="42" customHeight="1">
      <c r="A701" s="14">
        <f>IFERROR(__xludf.DUMMYFUNCTION("""COMPUTED_VALUE"""),45181)</f>
        <v/>
      </c>
      <c r="B701" s="1">
        <f>IFERROR(__xludf.DUMMYFUNCTION("""COMPUTED_VALUE"""),"ORG_2048")</f>
        <v/>
      </c>
      <c r="C701" s="1">
        <f>IFERROR(__xludf.DUMMYFUNCTION("""COMPUTED_VALUE"""),TRUE)</f>
        <v/>
      </c>
      <c r="D701" s="1">
        <f>IFERROR(__xludf.DUMMYFUNCTION("""COMPUTED_VALUE"""),"nu.Education")</f>
        <v/>
      </c>
      <c r="E701" s="15">
        <f>IFERROR(__xludf.DUMMYFUNCTION("""COMPUTED_VALUE"""),"https://nu.education/en/")</f>
        <v/>
      </c>
      <c r="F701" s="1">
        <f>IFERROR(__xludf.DUMMYFUNCTION("""COMPUTED_VALUE"""),"nu. is an AI-based learning platform that combines cutting-edge technology with educational expertise to create an unparalleled learning environment. The comprehensive cloud-based platform harnesses the power of artificial intelligence to deliver a transf"&amp;"ormative learning experience through real-time data analytics, progress tracking, and adaptive content. Whether you're a student, educator, educational institution or organization, nu. offers a comprehensive suite of features and enhances personalized lea"&amp;"rning paths, AI-powered interactive content creation, collaboration tools and real-time progress tracking to help learners reach their full potential. Experience the future of learning with nu.")</f>
        <v/>
      </c>
      <c r="G701" s="1">
        <f>IFERROR(__xludf.DUMMYFUNCTION("""COMPUTED_VALUE"""),"Swiss EdTech Collider")</f>
        <v/>
      </c>
      <c r="H701" s="1" t="n"/>
      <c r="I701" s="1">
        <f>IFERROR(__xludf.DUMMYFUNCTION("""COMPUTED_VALUE"""),"info@nu.education")</f>
        <v/>
      </c>
      <c r="J701" s="1">
        <f>IFERROR(__xludf.DUMMYFUNCTION("""COMPUTED_VALUE"""),"+41 43 543 20 80")</f>
        <v/>
      </c>
      <c r="K701" s="1">
        <f>IFERROR(__xludf.DUMMYFUNCTION("""COMPUTED_VALUE"""),"ZURICH")</f>
        <v/>
      </c>
      <c r="L701" s="1">
        <f>IFERROR(__xludf.DUMMYFUNCTION("""COMPUTED_VALUE"""),"Switzerland")</f>
        <v/>
      </c>
      <c r="M701" s="1">
        <f>IFERROR(__xludf.DUMMYFUNCTION("""COMPUTED_VALUE"""),"Austria, Germany, Switzerland")</f>
        <v/>
      </c>
      <c r="N701" s="1">
        <f>IFERROR(__xludf.DUMMYFUNCTION("""COMPUTED_VALUE"""),"11 to 50")</f>
        <v/>
      </c>
      <c r="O701" s="1">
        <f>IFERROR(__xludf.DUMMYFUNCTION("""COMPUTED_VALUE"""),"Business to Business, Business to Government, Business to Schools")</f>
        <v/>
      </c>
      <c r="P701" s="1">
        <f>IFERROR(__xludf.DUMMYFUNCTION("""COMPUTED_VALUE"""),"Secondary Education, Corporate Training, Lifelong learning/Adult education, Vocational Education and Training (VET), Higher Education")</f>
        <v/>
      </c>
      <c r="Q701" s="1">
        <f>IFERROR(__xludf.DUMMYFUNCTION("""COMPUTED_VALUE"""),"System/Administrative, Student interfacing, Teacher interfacing")</f>
        <v/>
      </c>
      <c r="R701" s="1">
        <f>IFERROR(__xludf.DUMMYFUNCTION("""COMPUTED_VALUE"""),"NU Technology AG")</f>
        <v/>
      </c>
      <c r="S701" s="1">
        <f>IFERROR(__xludf.DUMMYFUNCTION("""COMPUTED_VALUE"""),"NU Technology AG")</f>
        <v/>
      </c>
      <c r="T701" s="15">
        <f>IFERROR(__xludf.DUMMYFUNCTION("""COMPUTED_VALUE"""),"https://ch.linkedin.com/company/nutechnologyag")</f>
        <v/>
      </c>
      <c r="U701" s="1">
        <f>IFERROR(__xludf.DUMMYFUNCTION("""COMPUTED_VALUE"""),"nu.Learning &amp; nu.Assessment")</f>
        <v/>
      </c>
      <c r="V701" s="1">
        <f>IFERROR(__xludf.DUMMYFUNCTION("""COMPUTED_VALUE"""),"nu.Education is a competence-oriented learning platform, which was developed together with experts from the education sector. It supports teachers in the creation of their digital lessons and relieves them significantly on administrative tasks, leaving mo"&amp;"re time for the essentials - teaching.
Our Learning Management System (LMS) offers a scalable interface and comprehensive features. It is designed to adapt to the latest requirements of educational institutions and to continuously evolve according to need"&amp;"s.
With our exam tool, learners can successfully complete their exams on any device - laptop, tablet, or smartphone. Our biometric authentication ensures that only authenticated learners can access the exam.")</f>
        <v/>
      </c>
      <c r="W701" s="1">
        <f>IFERROR(__xludf.DUMMYFUNCTION("""COMPUTED_VALUE"""),"nu.SkillManager")</f>
        <v/>
      </c>
      <c r="X701" s="1">
        <f>IFERROR(__xludf.DUMMYFUNCTION("""COMPUTED_VALUE"""),"Our Skill Manager is directly connected to the LMS and optimally supports competency-based learning. The skills acquired by the learners are evaluated, analyzed and later compared with selected professional profiles.")</f>
        <v/>
      </c>
      <c r="Y701" s="15">
        <f>IFERROR(__xludf.DUMMYFUNCTION("""COMPUTED_VALUE"""),"https://drive.google.com/uc?export=view&amp;id=1lZ1yoKy6bYNndybS86Zq6okGiGBwPDFp")</f>
        <v/>
      </c>
      <c r="Z701" s="1">
        <f>IFERROR(__xludf.DUMMYFUNCTION("""COMPUTED_VALUE"""),"Unverified")</f>
        <v/>
      </c>
      <c r="AA701" s="1" t="n"/>
      <c r="AB701" s="1" t="n"/>
      <c r="AC701" s="1" t="n"/>
      <c r="AD701" s="1" t="n"/>
      <c r="AE701" s="1" t="n"/>
    </row>
    <row r="702" ht="42" customHeight="1">
      <c r="A702" s="14">
        <f>IFERROR(__xludf.DUMMYFUNCTION("""COMPUTED_VALUE"""),45181)</f>
        <v/>
      </c>
      <c r="B702" s="1">
        <f>IFERROR(__xludf.DUMMYFUNCTION("""COMPUTED_VALUE"""),"ORG_1748")</f>
        <v/>
      </c>
      <c r="C702" s="1">
        <f>IFERROR(__xludf.DUMMYFUNCTION("""COMPUTED_VALUE"""),TRUE)</f>
        <v/>
      </c>
      <c r="D702" s="1">
        <f>IFERROR(__xludf.DUMMYFUNCTION("""COMPUTED_VALUE"""),"ITonlinelearning")</f>
        <v/>
      </c>
      <c r="E702" s="15">
        <f>IFERROR(__xludf.DUMMYFUNCTION("""COMPUTED_VALUE"""),"https://www.itonlinelearning.com/")</f>
        <v/>
      </c>
      <c r="F702" s="1">
        <f>IFERROR(__xludf.DUMMYFUNCTION("""COMPUTED_VALUE"""),"The UK's leading provider of project management, business analysis, and IT training courses.")</f>
        <v/>
      </c>
      <c r="G702" s="1">
        <f>IFERROR(__xludf.DUMMYFUNCTION("""COMPUTED_VALUE"""),"I'm not part of any EdTech association")</f>
        <v/>
      </c>
      <c r="H702" s="1" t="n"/>
      <c r="I702" s="1" t="n"/>
      <c r="J702" s="1">
        <f>IFERROR(__xludf.DUMMYFUNCTION("""COMPUTED_VALUE"""),"+44 0808 503 9136")</f>
        <v/>
      </c>
      <c r="K702" s="1">
        <f>IFERROR(__xludf.DUMMYFUNCTION("""COMPUTED_VALUE"""),"Sittingbourne")</f>
        <v/>
      </c>
      <c r="L702" s="1">
        <f>IFERROR(__xludf.DUMMYFUNCTION("""COMPUTED_VALUE"""),"United Kingdom")</f>
        <v/>
      </c>
      <c r="M702" s="1">
        <f>IFERROR(__xludf.DUMMYFUNCTION("""COMPUTED_VALUE"""),"United Kingdom")</f>
        <v/>
      </c>
      <c r="N702" s="1">
        <f>IFERROR(__xludf.DUMMYFUNCTION("""COMPUTED_VALUE"""),"11 to 50")</f>
        <v/>
      </c>
      <c r="O702" s="1">
        <f>IFERROR(__xludf.DUMMYFUNCTION("""COMPUTED_VALUE"""),"Business to Business, Business to Consumer")</f>
        <v/>
      </c>
      <c r="P702" s="1">
        <f>IFERROR(__xludf.DUMMYFUNCTION("""COMPUTED_VALUE"""),"Higher Education, Corporate Training, Lifelong learning/Adult education")</f>
        <v/>
      </c>
      <c r="Q702" s="1">
        <f>IFERROR(__xludf.DUMMYFUNCTION("""COMPUTED_VALUE"""),"Student interfacing, System/Administrative")</f>
        <v/>
      </c>
      <c r="R702" s="1" t="n"/>
      <c r="S702" s="1" t="n"/>
      <c r="T702" s="1" t="n"/>
      <c r="U702" s="1" t="n"/>
      <c r="V702" s="1" t="n"/>
      <c r="W702" s="1" t="n"/>
      <c r="X702" s="1" t="n"/>
      <c r="Y702" s="15">
        <f>IFERROR(__xludf.DUMMYFUNCTION("""COMPUTED_VALUE"""),"https://drive.google.com/uc?export=view&amp;id=1fSIgWrBfJVoZRdiFw-kIUiW97k6ySVQU")</f>
        <v/>
      </c>
      <c r="Z702" s="1">
        <f>IFERROR(__xludf.DUMMYFUNCTION("""COMPUTED_VALUE"""),"Unverified")</f>
        <v/>
      </c>
      <c r="AA702" s="1" t="n"/>
      <c r="AB702" s="1" t="n"/>
      <c r="AC702" s="1" t="n"/>
      <c r="AD702" s="1" t="n"/>
      <c r="AE702" s="1" t="n"/>
    </row>
    <row r="703" ht="42" customHeight="1">
      <c r="A703" s="14">
        <f>IFERROR(__xludf.DUMMYFUNCTION("""COMPUTED_VALUE"""),45181)</f>
        <v/>
      </c>
      <c r="B703" s="1">
        <f>IFERROR(__xludf.DUMMYFUNCTION("""COMPUTED_VALUE"""),"ORG_1704")</f>
        <v/>
      </c>
      <c r="C703" s="1">
        <f>IFERROR(__xludf.DUMMYFUNCTION("""COMPUTED_VALUE"""),TRUE)</f>
        <v/>
      </c>
      <c r="D703" s="1">
        <f>IFERROR(__xludf.DUMMYFUNCTION("""COMPUTED_VALUE"""),"ICS Learn")</f>
        <v/>
      </c>
      <c r="E703" s="15">
        <f>IFERROR(__xludf.DUMMYFUNCTION("""COMPUTED_VALUE"""),"https://www.icslearn.co.uk/")</f>
        <v/>
      </c>
      <c r="F703" s="1">
        <f>IFERROR(__xludf.DUMMYFUNCTION("""COMPUTED_VALUE"""),"ICS Learn is one of the UK's longest established providers of e-learning courses for learners who are looking to develop their professional skills.")</f>
        <v/>
      </c>
      <c r="G703" s="1">
        <f>IFERROR(__xludf.DUMMYFUNCTION("""COMPUTED_VALUE"""),"I'm not part of any EdTech association")</f>
        <v/>
      </c>
      <c r="H703" s="1" t="n"/>
      <c r="I703" s="1" t="n"/>
      <c r="J703" s="1">
        <f>IFERROR(__xludf.DUMMYFUNCTION("""COMPUTED_VALUE"""),"+44370 218 5795")</f>
        <v/>
      </c>
      <c r="K703" s="1">
        <f>IFERROR(__xludf.DUMMYFUNCTION("""COMPUTED_VALUE"""),"GLASGOW")</f>
        <v/>
      </c>
      <c r="L703" s="1">
        <f>IFERROR(__xludf.DUMMYFUNCTION("""COMPUTED_VALUE"""),"United Kingdom")</f>
        <v/>
      </c>
      <c r="M703" s="1">
        <f>IFERROR(__xludf.DUMMYFUNCTION("""COMPUTED_VALUE"""),"United Kingdom")</f>
        <v/>
      </c>
      <c r="N703" s="1">
        <f>IFERROR(__xludf.DUMMYFUNCTION("""COMPUTED_VALUE"""),"100+")</f>
        <v/>
      </c>
      <c r="O703" s="1">
        <f>IFERROR(__xludf.DUMMYFUNCTION("""COMPUTED_VALUE"""),"Business to Business, Business to Consumer")</f>
        <v/>
      </c>
      <c r="P703" s="1">
        <f>IFERROR(__xludf.DUMMYFUNCTION("""COMPUTED_VALUE"""),"Higher Education, Corporate Training, Lifelong learning/Adult education")</f>
        <v/>
      </c>
      <c r="Q703" s="1">
        <f>IFERROR(__xludf.DUMMYFUNCTION("""COMPUTED_VALUE"""),"Student interfacing, System/Administrative")</f>
        <v/>
      </c>
      <c r="R703" s="1" t="n"/>
      <c r="S703" s="1" t="n"/>
      <c r="T703" s="1" t="n"/>
      <c r="U703" s="1" t="n"/>
      <c r="V703" s="1" t="n"/>
      <c r="W703" s="1" t="n"/>
      <c r="X703" s="1" t="n"/>
      <c r="Y703" s="15">
        <f>IFERROR(__xludf.DUMMYFUNCTION("""COMPUTED_VALUE"""),"https://drive.google.com/uc?export=view&amp;id=1aAj9hyIAjm9CsSy_hITU-vPOjjcjfUYo")</f>
        <v/>
      </c>
      <c r="Z703" s="1">
        <f>IFERROR(__xludf.DUMMYFUNCTION("""COMPUTED_VALUE"""),"Unverified")</f>
        <v/>
      </c>
      <c r="AA703" s="1" t="n"/>
      <c r="AB703" s="1" t="n"/>
      <c r="AC703" s="1" t="n"/>
      <c r="AD703" s="1" t="n"/>
      <c r="AE703" s="1" t="n"/>
    </row>
    <row r="704" ht="42" customHeight="1">
      <c r="A704" s="14">
        <f>IFERROR(__xludf.DUMMYFUNCTION("""COMPUTED_VALUE"""),45181)</f>
        <v/>
      </c>
      <c r="B704" s="1">
        <f>IFERROR(__xludf.DUMMYFUNCTION("""COMPUTED_VALUE"""),"ORG_2376")</f>
        <v/>
      </c>
      <c r="C704" s="1">
        <f>IFERROR(__xludf.DUMMYFUNCTION("""COMPUTED_VALUE"""),TRUE)</f>
        <v/>
      </c>
      <c r="D704" s="1">
        <f>IFERROR(__xludf.DUMMYFUNCTION("""COMPUTED_VALUE"""),"teamazing")</f>
        <v/>
      </c>
      <c r="E704" s="15">
        <f>IFERROR(__xludf.DUMMYFUNCTION("""COMPUTED_VALUE"""),"www.teamazing.com")</f>
        <v/>
      </c>
      <c r="F704" s="1">
        <f>IFERROR(__xludf.DUMMYFUNCTION("""COMPUTED_VALUE"""),"teamazing is an innovative service and IT scaleup in the field of team development, specializing in remote work and gamification. Customers like Google, Microsoft, TikTok and IBM trust in teamazing's solutions.")</f>
        <v/>
      </c>
      <c r="G704" s="1">
        <f>IFERROR(__xludf.DUMMYFUNCTION("""COMPUTED_VALUE"""),"EdTech Austria")</f>
        <v/>
      </c>
      <c r="H704" s="1" t="n"/>
      <c r="I704" s="1">
        <f>IFERROR(__xludf.DUMMYFUNCTION("""COMPUTED_VALUE"""),"office@teamazing.com")</f>
        <v/>
      </c>
      <c r="J704" s="1">
        <f>IFERROR(__xludf.DUMMYFUNCTION("""COMPUTED_VALUE"""),"+43 (0) 664 65 71 511")</f>
        <v/>
      </c>
      <c r="K704" s="1">
        <f>IFERROR(__xludf.DUMMYFUNCTION("""COMPUTED_VALUE"""),"Graz")</f>
        <v/>
      </c>
      <c r="L704" s="1">
        <f>IFERROR(__xludf.DUMMYFUNCTION("""COMPUTED_VALUE"""),"Austria")</f>
        <v/>
      </c>
      <c r="M704" s="1">
        <f>IFERROR(__xludf.DUMMYFUNCTION("""COMPUTED_VALUE"""),"Austria, Belarus, Belgium, Bosnia and Herzegovina, Bulgaria, Croatia, Cyprus, Czechia, Denmark, Estonia, Finland, France, Germany, Greece, Hungary, Iceland, Ireland, Italy, Latvia, Liechtenstein, Lithuania, Luxembourg, Malta, Montenegro, Netherlands, Norw"&amp;"ay, Poland, Portugal, Romania, Serbia, Slovakia, Slovenia, Spain, Sweden, Switzerland, Turkey, Ukraine, United Kingdom")</f>
        <v/>
      </c>
      <c r="N704" s="1">
        <f>IFERROR(__xludf.DUMMYFUNCTION("""COMPUTED_VALUE"""),"11 to 50")</f>
        <v/>
      </c>
      <c r="O704" s="1">
        <f>IFERROR(__xludf.DUMMYFUNCTION("""COMPUTED_VALUE"""),"Business to Business")</f>
        <v/>
      </c>
      <c r="P704" s="1">
        <f>IFERROR(__xludf.DUMMYFUNCTION("""COMPUTED_VALUE"""),"Higher Education, Corporate Training")</f>
        <v/>
      </c>
      <c r="Q704" s="1">
        <f>IFERROR(__xludf.DUMMYFUNCTION("""COMPUTED_VALUE"""),"System/Administrative")</f>
        <v/>
      </c>
      <c r="R704" s="15">
        <f>IFERROR(__xludf.DUMMYFUNCTION("""COMPUTED_VALUE"""),"https://www.instagram.com/teamazing.events/")</f>
        <v/>
      </c>
      <c r="S704" s="15">
        <f>IFERROR(__xludf.DUMMYFUNCTION("""COMPUTED_VALUE"""),"https://twitter.com/teamazing_com")</f>
        <v/>
      </c>
      <c r="T704" s="15">
        <f>IFERROR(__xludf.DUMMYFUNCTION("""COMPUTED_VALUE"""),"https://www.linkedin.com/company/teamazing-gmbh")</f>
        <v/>
      </c>
      <c r="U704" s="1">
        <f>IFERROR(__xludf.DUMMYFUNCTION("""COMPUTED_VALUE"""),"Online Team Building")</f>
        <v/>
      </c>
      <c r="V704" s="1">
        <f>IFERROR(__xludf.DUMMYFUNCTION("""COMPUTED_VALUE"""),"We build your team. You play. ♥️
We create extraordinary Virtual Team Building Events to celebrate team culture. Be part of the Spaceship-Crew, travel the world in our Team Travel Quiz, or master the mini-games in the Online Team Challenge.")</f>
        <v/>
      </c>
      <c r="W704" s="1">
        <f>IFERROR(__xludf.DUMMYFUNCTION("""COMPUTED_VALUE"""),"Remote Workspace")</f>
        <v/>
      </c>
      <c r="X704" s="1">
        <f>IFERROR(__xludf.DUMMYFUNCTION("""COMPUTED_VALUE"""),"Use Remote or Hybrid Work to your advantage and implement proven tactics to make it natural. It is not just about the tools, it’s about how and when you use them. Especially in an online context, there is a need for a well-running remote system. Together,"&amp;" we find and implement bullet-proof solutions from and for industry experts.
Evaluation: Together we examine your current state and potential improvements.
Advisory: We advise and consult on the improvements and plan the next steps.
Set-Up: We take the"&amp;" hassle and get everything ready depending on your needs.
Implementation: We roll out needed solutions and make them fit.
Acceptance: We bring acceptance to your employees and guide them.
Feedback: We measure what matters, adapt and improve.")</f>
        <v/>
      </c>
      <c r="Y704" s="15">
        <f>IFERROR(__xludf.DUMMYFUNCTION("""COMPUTED_VALUE"""),"https://drive.google.com/uc?export=view&amp;id=19swaHVvHb3WCDVuIiIn7Kp016RE0o_Sc")</f>
        <v/>
      </c>
      <c r="Z704" s="1">
        <f>IFERROR(__xludf.DUMMYFUNCTION("""COMPUTED_VALUE"""),"Unverified")</f>
        <v/>
      </c>
      <c r="AA704" s="1" t="n"/>
      <c r="AB704" s="1" t="n"/>
      <c r="AC704" s="1" t="n"/>
      <c r="AD704" s="1" t="n"/>
      <c r="AE704" s="1" t="n"/>
    </row>
    <row r="705" ht="42" customHeight="1">
      <c r="A705" s="14">
        <f>IFERROR(__xludf.DUMMYFUNCTION("""COMPUTED_VALUE"""),45181)</f>
        <v/>
      </c>
      <c r="B705" s="1">
        <f>IFERROR(__xludf.DUMMYFUNCTION("""COMPUTED_VALUE"""),"ORG_1077")</f>
        <v/>
      </c>
      <c r="C705" s="1">
        <f>IFERROR(__xludf.DUMMYFUNCTION("""COMPUTED_VALUE"""),TRUE)</f>
        <v/>
      </c>
      <c r="D705" s="1">
        <f>IFERROR(__xludf.DUMMYFUNCTION("""COMPUTED_VALUE"""),"Anue")</f>
        <v/>
      </c>
      <c r="E705" s="1">
        <f>IFERROR(__xludf.DUMMYFUNCTION("""COMPUTED_VALUE"""),"anue.eu")</f>
        <v/>
      </c>
      <c r="F705" s="1">
        <f>IFERROR(__xludf.DUMMYFUNCTION("""COMPUTED_VALUE"""),"Anue is the machete that helps prospective students through the dense jungle of information on their way to life as a student. Thanks to our algorithmic matching mechanism we identify the perfect degree, environment and university for each one of our tens"&amp;" of thousands of users.
No need to scour through dozens of less than well designed university websites. With Anue all you need is a phone and 10 minutes of time to find the educational path that is right for you.")</f>
        <v/>
      </c>
      <c r="G705" s="1">
        <f>IFERROR(__xludf.DUMMYFUNCTION("""COMPUTED_VALUE"""),"I'm not part of any EdTech association")</f>
        <v/>
      </c>
      <c r="H705" s="1" t="n"/>
      <c r="I705" s="1">
        <f>IFERROR(__xludf.DUMMYFUNCTION("""COMPUTED_VALUE"""),"info@anue.eu")</f>
        <v/>
      </c>
      <c r="J705" s="1">
        <f>IFERROR(__xludf.DUMMYFUNCTION("""COMPUTED_VALUE"""),"+491606370823")</f>
        <v/>
      </c>
      <c r="K705" s="1">
        <f>IFERROR(__xludf.DUMMYFUNCTION("""COMPUTED_VALUE"""),"Berlin")</f>
        <v/>
      </c>
      <c r="L705" s="1">
        <f>IFERROR(__xludf.DUMMYFUNCTION("""COMPUTED_VALUE"""),"Germany")</f>
        <v/>
      </c>
      <c r="M705" s="1">
        <f>IFERROR(__xludf.DUMMYFUNCTION("""COMPUTED_VALUE"""),"Germany")</f>
        <v/>
      </c>
      <c r="N705" s="1">
        <f>IFERROR(__xludf.DUMMYFUNCTION("""COMPUTED_VALUE"""),"0 to 10")</f>
        <v/>
      </c>
      <c r="O705" s="1">
        <f>IFERROR(__xludf.DUMMYFUNCTION("""COMPUTED_VALUE"""),"Business to Business")</f>
        <v/>
      </c>
      <c r="P705" s="1">
        <f>IFERROR(__xludf.DUMMYFUNCTION("""COMPUTED_VALUE"""),"Higher Education")</f>
        <v/>
      </c>
      <c r="Q705" s="1">
        <f>IFERROR(__xludf.DUMMYFUNCTION("""COMPUTED_VALUE"""),"System/Administrative, Student interfacing, Teacher interfacing")</f>
        <v/>
      </c>
      <c r="R705" s="1" t="n"/>
      <c r="S705" s="1" t="n"/>
      <c r="T705" s="1" t="n"/>
      <c r="U705" s="1" t="n"/>
      <c r="V705" s="1" t="n"/>
      <c r="W705" s="1" t="n"/>
      <c r="X705" s="1" t="n"/>
      <c r="Y705" s="15">
        <f>IFERROR(__xludf.DUMMYFUNCTION("""COMPUTED_VALUE"""),"https://drive.google.com/uc?export=view&amp;id=1-R51MtZHmElVVSgiZnftLpeFicoOSzFZ")</f>
        <v/>
      </c>
      <c r="Z705" s="1">
        <f>IFERROR(__xludf.DUMMYFUNCTION("""COMPUTED_VALUE"""),"Unverified")</f>
        <v/>
      </c>
      <c r="AA705" s="1" t="n"/>
      <c r="AB705" s="1" t="n"/>
      <c r="AC705" s="1" t="n"/>
      <c r="AD705" s="1" t="n"/>
      <c r="AE705" s="1" t="n"/>
    </row>
    <row r="706" ht="42" customHeight="1">
      <c r="A706" s="14">
        <f>IFERROR(__xludf.DUMMYFUNCTION("""COMPUTED_VALUE"""),45181)</f>
        <v/>
      </c>
      <c r="B706" s="1">
        <f>IFERROR(__xludf.DUMMYFUNCTION("""COMPUTED_VALUE"""),"ORG_1348")</f>
        <v/>
      </c>
      <c r="C706" s="1">
        <f>IFERROR(__xludf.DUMMYFUNCTION("""COMPUTED_VALUE"""),TRUE)</f>
        <v/>
      </c>
      <c r="D706" s="1">
        <f>IFERROR(__xludf.DUMMYFUNCTION("""COMPUTED_VALUE"""),"Didask")</f>
        <v/>
      </c>
      <c r="E706" s="15">
        <f>IFERROR(__xludf.DUMMYFUNCTION("""COMPUTED_VALUE"""),"https://www.didask.com")</f>
        <v/>
      </c>
      <c r="F706" s="1">
        <f>IFERROR(__xludf.DUMMYFUNCTION("""COMPUTED_VALUE"""),"Didask is the LMS which takes into account the real challenges of learning and allows to create 10 x faster impactful eLearning!
A complete platform, Didask draws its pedagogical effectiveness from its expertise in cognitive sciences. Its methodology tak"&amp;"es into account the cognitive challenges of learners to propose the most effective teaching methods for each context.
Didask joins the 1st pedagogical Artificial Intelligence. In just a few minutes, it makes it possible to transform raw content into an e"&amp;"fficient eLearning module, ready to use without any formatting work. Each time, she selects the most appropriate teaching methods and then personalizes the experience for each learner (adaptive learning).
Didask is accessible as a complete LMS platform ("&amp;"design, distribution, administration) or as an extension of an existing LMS.")</f>
        <v/>
      </c>
      <c r="G706" s="1">
        <f>IFERROR(__xludf.DUMMYFUNCTION("""COMPUTED_VALUE"""),"EdTech France")</f>
        <v/>
      </c>
      <c r="H706" s="1" t="n"/>
      <c r="I706" s="1">
        <f>IFERROR(__xludf.DUMMYFUNCTION("""COMPUTED_VALUE"""),"benjamin.poucin@didask.com")</f>
        <v/>
      </c>
      <c r="J706" s="1">
        <f>IFERROR(__xludf.DUMMYFUNCTION("""COMPUTED_VALUE"""),"+33 (0) 7 68 10 52 90")</f>
        <v/>
      </c>
      <c r="K706" s="1">
        <f>IFERROR(__xludf.DUMMYFUNCTION("""COMPUTED_VALUE"""),"BAGNOLET")</f>
        <v/>
      </c>
      <c r="L706" s="1">
        <f>IFERROR(__xludf.DUMMYFUNCTION("""COMPUTED_VALUE"""),"France")</f>
        <v/>
      </c>
      <c r="M706" s="1">
        <f>IFERROR(__xludf.DUMMYFUNCTION("""COMPUTED_VALUE"""),"France, Switzerland")</f>
        <v/>
      </c>
      <c r="N706" s="1">
        <f>IFERROR(__xludf.DUMMYFUNCTION("""COMPUTED_VALUE"""),"11 to 50")</f>
        <v/>
      </c>
      <c r="O706" s="1">
        <f>IFERROR(__xludf.DUMMYFUNCTION("""COMPUTED_VALUE"""),"Business to Business, Business to Consumer, Business to Schools")</f>
        <v/>
      </c>
      <c r="P706" s="1">
        <f>IFERROR(__xludf.DUMMYFUNCTION("""COMPUTED_VALUE"""),"Higher Education, Corporate Training, Lifelong learning/Adult education")</f>
        <v/>
      </c>
      <c r="Q706" s="1">
        <f>IFERROR(__xludf.DUMMYFUNCTION("""COMPUTED_VALUE"""),"System/Administrative")</f>
        <v/>
      </c>
      <c r="R706" s="15">
        <f>IFERROR(__xludf.DUMMYFUNCTION("""COMPUTED_VALUE"""),"https://www.instagram.com/didask_learning/")</f>
        <v/>
      </c>
      <c r="S706" s="15">
        <f>IFERROR(__xludf.DUMMYFUNCTION("""COMPUTED_VALUE"""),"https://twitter.com/Didask")</f>
        <v/>
      </c>
      <c r="T706" s="15">
        <f>IFERROR(__xludf.DUMMYFUNCTION("""COMPUTED_VALUE"""),"https://www.linkedin.com/company/didask/")</f>
        <v/>
      </c>
      <c r="U706" s="1">
        <f>IFERROR(__xludf.DUMMYFUNCTION("""COMPUTED_VALUE"""),"LMS Didask")</f>
        <v/>
      </c>
      <c r="V706" s="1">
        <f>IFERROR(__xludf.DUMMYFUNCTION("""COMPUTED_VALUE"""),"The full eLearning platform with integrated educational artificial intelligence, to design, disseminate and administer all its eLearning.
Also available as an extension for LMS.")</f>
        <v/>
      </c>
      <c r="W706" s="1" t="n"/>
      <c r="X706" s="1" t="n"/>
      <c r="Y706" s="15">
        <f>IFERROR(__xludf.DUMMYFUNCTION("""COMPUTED_VALUE"""),"https://drive.google.com/uc?export=view&amp;id=1xUgM2EG9A1C7zxL4RD9iOPBD7r3cBsQs")</f>
        <v/>
      </c>
      <c r="Z706" s="1">
        <f>IFERROR(__xludf.DUMMYFUNCTION("""COMPUTED_VALUE"""),"Unverified")</f>
        <v/>
      </c>
      <c r="AA706" s="1" t="n"/>
      <c r="AB706" s="1" t="n"/>
      <c r="AC706" s="1" t="n"/>
      <c r="AD706" s="1" t="n"/>
      <c r="AE706" s="1" t="n"/>
    </row>
    <row r="707" ht="42" customHeight="1">
      <c r="A707" s="14">
        <f>IFERROR(__xludf.DUMMYFUNCTION("""COMPUTED_VALUE"""),45181)</f>
        <v/>
      </c>
      <c r="B707" s="1">
        <f>IFERROR(__xludf.DUMMYFUNCTION("""COMPUTED_VALUE"""),"ORG_1871")</f>
        <v/>
      </c>
      <c r="C707" s="1">
        <f>IFERROR(__xludf.DUMMYFUNCTION("""COMPUTED_VALUE"""),TRUE)</f>
        <v/>
      </c>
      <c r="D707" s="1">
        <f>IFERROR(__xludf.DUMMYFUNCTION("""COMPUTED_VALUE"""),"LIFE Foundation")</f>
        <v/>
      </c>
      <c r="E707" s="15">
        <f>IFERROR(__xludf.DUMMYFUNCTION("""COMPUTED_VALUE"""),"LIFE.dk")</f>
        <v/>
      </c>
      <c r="F707" s="1">
        <f>IFERROR(__xludf.DUMMYFUNCTION("""COMPUTED_VALUE"""),"The LIFE Foundation is a Danish non-profit foundation with corporate interests. The foundation’s purpose is to strengthen scientific learning, education and research as well as promoting motivation among children and adolescents to engage themselves in na"&amp;"tural science. 
The LIFE Foundation develops and offers enquiry-based science education courses free of charge for schools across all of Denmark. In a LIFE teaching course, the school class works hands-on with real-life cases that are developed together "&amp;"with businesses and research institutions. 
The LIFE Foundation is supported by the Novo Nordisk Foundation.")</f>
        <v/>
      </c>
      <c r="G707" s="1">
        <f>IFERROR(__xludf.DUMMYFUNCTION("""COMPUTED_VALUE"""),"EdTech Denmark")</f>
        <v/>
      </c>
      <c r="H707" s="1" t="n"/>
      <c r="I707" s="1">
        <f>IFERROR(__xludf.DUMMYFUNCTION("""COMPUTED_VALUE"""),"information@life.dk")</f>
        <v/>
      </c>
      <c r="J707" s="1">
        <f>IFERROR(__xludf.DUMMYFUNCTION("""COMPUTED_VALUE"""),"+45 22344896")</f>
        <v/>
      </c>
      <c r="K707" s="1">
        <f>IFERROR(__xludf.DUMMYFUNCTION("""COMPUTED_VALUE"""),"KONGENS LYNGBY")</f>
        <v/>
      </c>
      <c r="L707" s="1">
        <f>IFERROR(__xludf.DUMMYFUNCTION("""COMPUTED_VALUE"""),"Denmark")</f>
        <v/>
      </c>
      <c r="M707" s="1">
        <f>IFERROR(__xludf.DUMMYFUNCTION("""COMPUTED_VALUE"""),"Denmark")</f>
        <v/>
      </c>
      <c r="N707" s="1">
        <f>IFERROR(__xludf.DUMMYFUNCTION("""COMPUTED_VALUE"""),"51 to 100")</f>
        <v/>
      </c>
      <c r="O707" s="1">
        <f>IFERROR(__xludf.DUMMYFUNCTION("""COMPUTED_VALUE"""),"Business to Schools")</f>
        <v/>
      </c>
      <c r="P707" s="1">
        <f>IFERROR(__xludf.DUMMYFUNCTION("""COMPUTED_VALUE"""),"Primary Education, Secondary Education")</f>
        <v/>
      </c>
      <c r="Q707" s="1">
        <f>IFERROR(__xludf.DUMMYFUNCTION("""COMPUTED_VALUE"""),"Student interfacing, Teacher interfacing")</f>
        <v/>
      </c>
      <c r="R707" s="15">
        <f>IFERROR(__xludf.DUMMYFUNCTION("""COMPUTED_VALUE"""),"https://www.instagram.com/life_fonden/")</f>
        <v/>
      </c>
      <c r="S707" s="15">
        <f>IFERROR(__xludf.DUMMYFUNCTION("""COMPUTED_VALUE"""),"https://twitter.com/LIFEFonden")</f>
        <v/>
      </c>
      <c r="T707" s="15">
        <f>IFERROR(__xludf.DUMMYFUNCTION("""COMPUTED_VALUE"""),"https://www.linkedin.com/company/life-fonden/mycompany/")</f>
        <v/>
      </c>
      <c r="U707" s="1">
        <f>IFERROR(__xludf.DUMMYFUNCTION("""COMPUTED_VALUE"""),"LIFE Courses")</f>
        <v/>
      </c>
      <c r="V707" s="1">
        <f>IFERROR(__xludf.DUMMYFUNCTION("""COMPUTED_VALUE"""),"We develop enquiry-based education courses and offer them free of charge to public and private schools throughout Denmark.
School classes work on LIFE natural science courses for up to 5 weeks before visiting (or being visited by) our labs.
In all LIFE "&amp;"natural science courses, school classes address and examine current societal challenges in ways that support the UN Sustainable Development Goals. 
All LIFE courses meet the schools’ learning objectives.
​
In the development of LIFE natural science cours"&amp;"es, we cooperate with schools, companies and research institutions in order to work on real-life cases.")</f>
        <v/>
      </c>
      <c r="W707" s="1" t="n"/>
      <c r="X707" s="1" t="n"/>
      <c r="Y707" s="15">
        <f>IFERROR(__xludf.DUMMYFUNCTION("""COMPUTED_VALUE"""),"https://drive.google.com/uc?export=view&amp;id=1-1qRhU9UQZAsKOszo-QFcgvJmxNLPkLH")</f>
        <v/>
      </c>
      <c r="Z707" s="1">
        <f>IFERROR(__xludf.DUMMYFUNCTION("""COMPUTED_VALUE"""),"Unverified")</f>
        <v/>
      </c>
      <c r="AA707" s="1" t="n"/>
      <c r="AB707" s="1" t="n"/>
      <c r="AC707" s="1" t="n"/>
      <c r="AD707" s="1" t="n"/>
      <c r="AE707" s="1" t="n"/>
    </row>
    <row r="708" ht="42" customHeight="1">
      <c r="A708" s="14">
        <f>IFERROR(__xludf.DUMMYFUNCTION("""COMPUTED_VALUE"""),45181)</f>
        <v/>
      </c>
      <c r="B708" s="1">
        <f>IFERROR(__xludf.DUMMYFUNCTION("""COMPUTED_VALUE"""),"ORG_1019")</f>
        <v/>
      </c>
      <c r="C708" s="1">
        <f>IFERROR(__xludf.DUMMYFUNCTION("""COMPUTED_VALUE"""),TRUE)</f>
        <v/>
      </c>
      <c r="D708" s="1">
        <f>IFERROR(__xludf.DUMMYFUNCTION("""COMPUTED_VALUE"""),"A-Maze ApS")</f>
        <v/>
      </c>
      <c r="E708" s="15">
        <f>IFERROR(__xludf.DUMMYFUNCTION("""COMPUTED_VALUE"""),"http://a-mazego.dk/")</f>
        <v/>
      </c>
      <c r="F708" s="1">
        <f>IFERROR(__xludf.DUMMYFUNCTION("""COMPUTED_VALUE"""),"A-Maze promotes learning through movement with a timesaving, digital, and evidencebased plug'n'play game/platform.")</f>
        <v/>
      </c>
      <c r="G708" s="1">
        <f>IFERROR(__xludf.DUMMYFUNCTION("""COMPUTED_VALUE"""),"EdTech Denmark")</f>
        <v/>
      </c>
      <c r="H708" s="1" t="n"/>
      <c r="I708" s="1">
        <f>IFERROR(__xludf.DUMMYFUNCTION("""COMPUTED_VALUE"""),"alu@a-mazego.dk")</f>
        <v/>
      </c>
      <c r="J708" s="1">
        <f>IFERROR(__xludf.DUMMYFUNCTION("""COMPUTED_VALUE"""),"+45 29 13 29 28")</f>
        <v/>
      </c>
      <c r="K708" s="1">
        <f>IFERROR(__xludf.DUMMYFUNCTION("""COMPUTED_VALUE"""),"ODENSE C")</f>
        <v/>
      </c>
      <c r="L708" s="1">
        <f>IFERROR(__xludf.DUMMYFUNCTION("""COMPUTED_VALUE"""),"Denmark")</f>
        <v/>
      </c>
      <c r="M708" s="1">
        <f>IFERROR(__xludf.DUMMYFUNCTION("""COMPUTED_VALUE"""),"Denmark")</f>
        <v/>
      </c>
      <c r="N708" s="1">
        <f>IFERROR(__xludf.DUMMYFUNCTION("""COMPUTED_VALUE"""),"0 to 10")</f>
        <v/>
      </c>
      <c r="O708" s="1">
        <f>IFERROR(__xludf.DUMMYFUNCTION("""COMPUTED_VALUE"""),"Business to Consumer, Business to Government")</f>
        <v/>
      </c>
      <c r="P708" s="1">
        <f>IFERROR(__xludf.DUMMYFUNCTION("""COMPUTED_VALUE"""),"Primary Education")</f>
        <v/>
      </c>
      <c r="Q708" s="1">
        <f>IFERROR(__xludf.DUMMYFUNCTION("""COMPUTED_VALUE"""),"Student interfacing, Teacher interfacing")</f>
        <v/>
      </c>
      <c r="R708" s="1" t="n"/>
      <c r="S708" s="1" t="n"/>
      <c r="T708" s="15">
        <f>IFERROR(__xludf.DUMMYFUNCTION("""COMPUTED_VALUE"""),"https://www.linkedin.com/company/a-mazeaps/")</f>
        <v/>
      </c>
      <c r="U708" s="1">
        <f>IFERROR(__xludf.DUMMYFUNCTION("""COMPUTED_VALUE"""),"A-Maze")</f>
        <v/>
      </c>
      <c r="V708" s="1">
        <f>IFERROR(__xludf.DUMMYFUNCTION("""COMPUTED_VALUE"""),"A-Maze promotes learning through movement with a timesaving, digital, and evidencebased plug'n'play game/platform.")</f>
        <v/>
      </c>
      <c r="W708" s="1" t="n"/>
      <c r="X708" s="1" t="n"/>
      <c r="Y708" s="15">
        <f>IFERROR(__xludf.DUMMYFUNCTION("""COMPUTED_VALUE"""),"https://drive.google.com/uc?export=view&amp;id=1v9ikIee_AhwJ1kr-o8x42TE2LQq9Pge6")</f>
        <v/>
      </c>
      <c r="Z708" s="1">
        <f>IFERROR(__xludf.DUMMYFUNCTION("""COMPUTED_VALUE"""),"Unverified")</f>
        <v/>
      </c>
      <c r="AA708" s="1" t="n"/>
      <c r="AB708" s="1" t="n"/>
      <c r="AC708" s="1" t="n"/>
      <c r="AD708" s="1" t="n"/>
      <c r="AE708" s="1" t="n"/>
    </row>
    <row r="709" ht="42" customHeight="1">
      <c r="A709" s="14">
        <f>IFERROR(__xludf.DUMMYFUNCTION("""COMPUTED_VALUE"""),45181)</f>
        <v/>
      </c>
      <c r="B709" s="1">
        <f>IFERROR(__xludf.DUMMYFUNCTION("""COMPUTED_VALUE"""),"ORG_1618")</f>
        <v/>
      </c>
      <c r="C709" s="1">
        <f>IFERROR(__xludf.DUMMYFUNCTION("""COMPUTED_VALUE"""),TRUE)</f>
        <v/>
      </c>
      <c r="D709" s="1">
        <f>IFERROR(__xludf.DUMMYFUNCTION("""COMPUTED_VALUE"""),"GeoGebra GmbH")</f>
        <v/>
      </c>
      <c r="E709" s="15">
        <f>IFERROR(__xludf.DUMMYFUNCTION("""COMPUTED_VALUE"""),"https://www.geogebra.org/")</f>
        <v/>
      </c>
      <c r="F709" s="1">
        <f>IFERROR(__xludf.DUMMYFUNCTION("""COMPUTED_VALUE"""),"GeoGebra is a dynamic mathematics software that offers innovative and engaging tools for teaching and learning mathematics. With its user-friendly interface and extensive features, GeoGebra empowers students and educators to explore and visualize mathemat"&amp;"ical concepts in a more interactive and intuitive way.
GeoGebra's products range from the classic GeoGebra Graphing Calculator to the advanced GeoGebra Math Apps, which include Geometry, Algebra, 3D Calculator, and more. These tools are available for des"&amp;"ktop, tablet, and mobile devices, making it easy for eyerone to access and use them anytime, anywhere.
GeoGebra is trusted by millions of users around the world, from K-12 schools to universities and beyond. Its comprehensive and versatile suite of produ"&amp;"cts has been used in various settings, from traditional classrooms to remote learning environments.")</f>
        <v/>
      </c>
      <c r="G709" s="1">
        <f>IFERROR(__xludf.DUMMYFUNCTION("""COMPUTED_VALUE"""),"I'm not part of any EdTech association")</f>
        <v/>
      </c>
      <c r="H709" s="1" t="n"/>
      <c r="I709" s="1">
        <f>IFERROR(__xludf.DUMMYFUNCTION("""COMPUTED_VALUE"""),"office@geogebra.org")</f>
        <v/>
      </c>
      <c r="J709" s="1">
        <f>IFERROR(__xludf.DUMMYFUNCTION("""COMPUTED_VALUE"""),"+43 677 6137 2693")</f>
        <v/>
      </c>
      <c r="K709" s="1">
        <f>IFERROR(__xludf.DUMMYFUNCTION("""COMPUTED_VALUE"""),"Linz")</f>
        <v/>
      </c>
      <c r="L709" s="1">
        <f>IFERROR(__xludf.DUMMYFUNCTION("""COMPUTED_VALUE"""),"Austria")</f>
        <v/>
      </c>
      <c r="M709" s="1">
        <f>IFERROR(__xludf.DUMMYFUNCTION("""COMPUTED_VALUE"""),"Andorra, Austria, Belgium, Bosnia and Herzegovina, Bulgaria, Croatia, Cyprus, Czechia, Denmark, Finland, France, Germany, Hungary, Ireland, Italy, Kazakhstan, Lithuania, Luxembourg, North Macedonia, Norway, Poland, Portugal, Romania, Russia, Serbia, Slove"&amp;"nia, Spain, Sweden, Switzerland, Turkey, United Kingdom")</f>
        <v/>
      </c>
      <c r="N709" s="1">
        <f>IFERROR(__xludf.DUMMYFUNCTION("""COMPUTED_VALUE"""),"11 to 50")</f>
        <v/>
      </c>
      <c r="O709" s="1">
        <f>IFERROR(__xludf.DUMMYFUNCTION("""COMPUTED_VALUE"""),"Business to Business")</f>
        <v/>
      </c>
      <c r="P709" s="1">
        <f>IFERROR(__xludf.DUMMYFUNCTION("""COMPUTED_VALUE"""),"Primary Education, Secondary Education, Lifelong learning/Adult education")</f>
        <v/>
      </c>
      <c r="Q709" s="1">
        <f>IFERROR(__xludf.DUMMYFUNCTION("""COMPUTED_VALUE"""),"Teacher interfacing, System/Administrative")</f>
        <v/>
      </c>
      <c r="R709" s="1" t="n"/>
      <c r="S709" s="1" t="n"/>
      <c r="T709" s="1" t="n"/>
      <c r="U709" s="1" t="n"/>
      <c r="V709" s="1" t="n"/>
      <c r="W709" s="1" t="n"/>
      <c r="X709" s="1" t="n"/>
      <c r="Y709" s="15">
        <f>IFERROR(__xludf.DUMMYFUNCTION("""COMPUTED_VALUE"""),"https://drive.google.com/uc?export=view&amp;id=1sjPEoqb7PgiNAYPPz44P1ZXCykQXm9r2")</f>
        <v/>
      </c>
      <c r="Z709" s="1">
        <f>IFERROR(__xludf.DUMMYFUNCTION("""COMPUTED_VALUE"""),"Unverified")</f>
        <v/>
      </c>
      <c r="AA709" s="1" t="n"/>
      <c r="AB709" s="1" t="n"/>
      <c r="AC709" s="1" t="n"/>
      <c r="AD709" s="1" t="n"/>
      <c r="AE709" s="1" t="n"/>
    </row>
    <row r="710" ht="42" customHeight="1">
      <c r="A710" s="14">
        <f>IFERROR(__xludf.DUMMYFUNCTION("""COMPUTED_VALUE"""),45181)</f>
        <v/>
      </c>
      <c r="B710" s="1">
        <f>IFERROR(__xludf.DUMMYFUNCTION("""COMPUTED_VALUE"""),"ORG_1792")</f>
        <v/>
      </c>
      <c r="C710" s="1">
        <f>IFERROR(__xludf.DUMMYFUNCTION("""COMPUTED_VALUE"""),TRUE)</f>
        <v/>
      </c>
      <c r="D710" s="1">
        <f>IFERROR(__xludf.DUMMYFUNCTION("""COMPUTED_VALUE"""),"KUMUBOX")</f>
        <v/>
      </c>
      <c r="E710" s="15">
        <f>IFERROR(__xludf.DUMMYFUNCTION("""COMPUTED_VALUE"""),"https://app.kumubox.com/")</f>
        <v/>
      </c>
      <c r="F710" s="1">
        <f>IFERROR(__xludf.DUMMYFUNCTION("""COMPUTED_VALUE"""),"Kumubox is a unique educational platform where you can find training, didactic resources, and innovative tools to make your classroom education the most advanced. With over 1000 downloadable resources and more than 40 practical courses created by active t"&amp;"eachers, Kumubox offers a highly visual platform that makes courses easily consumable, almost like a streaming service. With Kumubox, you can access a wide range of resources and courses to help you enhance your teaching skills and improve your students' "&amp;"learning experience.")</f>
        <v/>
      </c>
      <c r="G710" s="1">
        <f>IFERROR(__xludf.DUMMYFUNCTION("""COMPUTED_VALUE"""),"I'm not part of any EdTech association")</f>
        <v/>
      </c>
      <c r="H710" s="1">
        <f>IFERROR(__xludf.DUMMYFUNCTION("""COMPUTED_VALUE"""),"Spanish")</f>
        <v/>
      </c>
      <c r="I710" s="1">
        <f>IFERROR(__xludf.DUMMYFUNCTION("""COMPUTED_VALUE"""),"hola@kumubox.com")</f>
        <v/>
      </c>
      <c r="J710" s="1">
        <f>IFERROR(__xludf.DUMMYFUNCTION("""COMPUTED_VALUE"""),"0034 910 608 006")</f>
        <v/>
      </c>
      <c r="K710" s="1">
        <f>IFERROR(__xludf.DUMMYFUNCTION("""COMPUTED_VALUE"""),"MADRID")</f>
        <v/>
      </c>
      <c r="L710" s="1">
        <f>IFERROR(__xludf.DUMMYFUNCTION("""COMPUTED_VALUE"""),"Spain")</f>
        <v/>
      </c>
      <c r="M710" s="1">
        <f>IFERROR(__xludf.DUMMYFUNCTION("""COMPUTED_VALUE"""),"Spain")</f>
        <v/>
      </c>
      <c r="N710" s="1">
        <f>IFERROR(__xludf.DUMMYFUNCTION("""COMPUTED_VALUE"""),"3 to 5")</f>
        <v/>
      </c>
      <c r="O710" s="1">
        <f>IFERROR(__xludf.DUMMYFUNCTION("""COMPUTED_VALUE"""),"Business to Business, Business to Consumer, Business to Government, Business to Schools")</f>
        <v/>
      </c>
      <c r="P710" s="1">
        <f>IFERROR(__xludf.DUMMYFUNCTION("""COMPUTED_VALUE"""),"Early childhood development (0-5 years)")</f>
        <v/>
      </c>
      <c r="Q710" s="1">
        <f>IFERROR(__xludf.DUMMYFUNCTION("""COMPUTED_VALUE"""),"Teacher interfacing")</f>
        <v/>
      </c>
      <c r="R710" s="15">
        <f>IFERROR(__xludf.DUMMYFUNCTION("""COMPUTED_VALUE"""),"https://www.instagram.com/kumubox/")</f>
        <v/>
      </c>
      <c r="S710" s="15">
        <f>IFERROR(__xludf.DUMMYFUNCTION("""COMPUTED_VALUE"""),"https://twitter.com/kumuboxoficial")</f>
        <v/>
      </c>
      <c r="T710" s="15">
        <f>IFERROR(__xludf.DUMMYFUNCTION("""COMPUTED_VALUE"""),"https://es.linkedin.com/company/kumubox")</f>
        <v/>
      </c>
      <c r="U710" s="1">
        <f>IFERROR(__xludf.DUMMYFUNCTION("""COMPUTED_VALUE"""),"Kumubox Premium Mensual")</f>
        <v/>
      </c>
      <c r="V710" s="1">
        <f>IFERROR(__xludf.DUMMYFUNCTION("""COMPUTED_VALUE"""),"Kumubox Premium Monthly is perfect for teachers seeking high-quality resources and training. It provides unlimited access to practical courses and top-notch educational materials. With this monthly subscription, educators can consistently enhance their sk"&amp;"ills and enrich their lessons, all on an intuitive and user-friendly platform.")</f>
        <v/>
      </c>
      <c r="W710" s="1">
        <f>IFERROR(__xludf.DUMMYFUNCTION("""COMPUTED_VALUE"""),"Kumubox Premium Anual")</f>
        <v/>
      </c>
      <c r="X710" s="1">
        <f>IFERROR(__xludf.DUMMYFUNCTION("""COMPUTED_VALUE"""),"Kumubox Premium Anual is perfect for teachers seeking high-quality resources and training. It provides unlimited access to practical courses and top-notch educational materials. With this monthly subscription, educators can consistently enhance their skil"&amp;"ls and enrich their lessons, all on an intuitive and user-friendly platform.")</f>
        <v/>
      </c>
      <c r="Y710" s="15">
        <f>IFERROR(__xludf.DUMMYFUNCTION("""COMPUTED_VALUE"""),"https://drive.google.com/uc?export=view&amp;id=1DwzkIMY5C7nuEFTNy9EHXRwJVbp4aWFK")</f>
        <v/>
      </c>
      <c r="Z710" s="1">
        <f>IFERROR(__xludf.DUMMYFUNCTION("""COMPUTED_VALUE"""),"Unverified")</f>
        <v/>
      </c>
      <c r="AA710" s="1" t="n"/>
      <c r="AB710" s="1" t="n"/>
      <c r="AC710" s="1" t="n"/>
      <c r="AD710" s="1" t="n"/>
      <c r="AE710" s="1" t="n"/>
    </row>
    <row r="711" ht="42" customHeight="1">
      <c r="A711" s="14">
        <f>IFERROR(__xludf.DUMMYFUNCTION("""COMPUTED_VALUE"""),45181)</f>
        <v/>
      </c>
      <c r="B711" s="1">
        <f>IFERROR(__xludf.DUMMYFUNCTION("""COMPUTED_VALUE"""),"ORG_2443")</f>
        <v/>
      </c>
      <c r="C711" s="1">
        <f>IFERROR(__xludf.DUMMYFUNCTION("""COMPUTED_VALUE"""),TRUE)</f>
        <v/>
      </c>
      <c r="D711" s="1">
        <f>IFERROR(__xludf.DUMMYFUNCTION("""COMPUTED_VALUE"""),"tutory")</f>
        <v/>
      </c>
      <c r="E711" s="15">
        <f>IFERROR(__xludf.DUMMYFUNCTION("""COMPUTED_VALUE"""),"https://www.tutory.de/")</f>
        <v/>
      </c>
      <c r="F711" s="1">
        <f>IFERROR(__xludf.DUMMYFUNCTION("""COMPUTED_VALUE"""),"Tutory is an online editor for creating analoge and digital worksheets. It supports teachers in creating visually appealing educational materials in the shortest time. Tutory works with tiles that can be dragged and dropped onto the worksheet, where they "&amp;"can be customized. For each tile added to the sheet, users can provide solutions. Worksheets may be downloaded as PDF or be filled out by students digitally. If documents are published they are available as Open Educational Resources.
The clean design of "&amp;"the documents created with tutory makes them ideal for secondary schools and further education.
Data is stored in JSON format, tagged with a content license and maybe accessed via simple APIs. Tutory whitelabels its technology to publishers, universities "&amp;"and other content projects.")</f>
        <v/>
      </c>
      <c r="G711" s="1">
        <f>IFERROR(__xludf.DUMMYFUNCTION("""COMPUTED_VALUE"""),"EDUvation")</f>
        <v/>
      </c>
      <c r="H711" s="1" t="n"/>
      <c r="I711" s="1">
        <f>IFERROR(__xludf.DUMMYFUNCTION("""COMPUTED_VALUE"""),"hallo@tutory.de")</f>
        <v/>
      </c>
      <c r="J711" s="1">
        <f>IFERROR(__xludf.DUMMYFUNCTION("""COMPUTED_VALUE"""),"+49 341 42348535")</f>
        <v/>
      </c>
      <c r="K711" s="1">
        <f>IFERROR(__xludf.DUMMYFUNCTION("""COMPUTED_VALUE"""),"LEIPZIG")</f>
        <v/>
      </c>
      <c r="L711" s="1">
        <f>IFERROR(__xludf.DUMMYFUNCTION("""COMPUTED_VALUE"""),"Germany")</f>
        <v/>
      </c>
      <c r="M711" s="1">
        <f>IFERROR(__xludf.DUMMYFUNCTION("""COMPUTED_VALUE"""),"Austria, France, Germany, Italy, Luxembourg, Switzerland")</f>
        <v/>
      </c>
      <c r="N711" s="1">
        <f>IFERROR(__xludf.DUMMYFUNCTION("""COMPUTED_VALUE"""),"0 to 10")</f>
        <v/>
      </c>
      <c r="O711" s="1">
        <f>IFERROR(__xludf.DUMMYFUNCTION("""COMPUTED_VALUE"""),"Business to Consumer, Business to Schools")</f>
        <v/>
      </c>
      <c r="P711" s="1">
        <f>IFERROR(__xludf.DUMMYFUNCTION("""COMPUTED_VALUE"""),"Secondary Education, Higher Education")</f>
        <v/>
      </c>
      <c r="Q711" s="1">
        <f>IFERROR(__xludf.DUMMYFUNCTION("""COMPUTED_VALUE"""),"Teacher interfacing, System/Administrative")</f>
        <v/>
      </c>
      <c r="R711" s="15">
        <f>IFERROR(__xludf.DUMMYFUNCTION("""COMPUTED_VALUE"""),"https://www.instagram.com/tutoryde/")</f>
        <v/>
      </c>
      <c r="S711" s="15">
        <f>IFERROR(__xludf.DUMMYFUNCTION("""COMPUTED_VALUE"""),"https://twitter.com/tutoryde")</f>
        <v/>
      </c>
      <c r="T711" s="15">
        <f>IFERROR(__xludf.DUMMYFUNCTION("""COMPUTED_VALUE"""),"https://www.linkedin.com/company/tutory-de/")</f>
        <v/>
      </c>
      <c r="U711" s="1">
        <f>IFERROR(__xludf.DUMMYFUNCTION("""COMPUTED_VALUE"""),"tutory-FREE")</f>
        <v/>
      </c>
      <c r="V711" s="1">
        <f>IFERROR(__xludf.DUMMYFUNCTION("""COMPUTED_VALUE"""),"tutory-FREE is available to everybody without additional costs. It allows users to indefinitely use the basic tutory editor functions for up to 6 privately saved worksheets. All our products cater the needs of teachers in secondary and further education.")</f>
        <v/>
      </c>
      <c r="W711" s="1">
        <f>IFERROR(__xludf.DUMMYFUNCTION("""COMPUTED_VALUE"""),"tutory-BASIC")</f>
        <v/>
      </c>
      <c r="X711" s="1">
        <f>IFERROR(__xludf.DUMMYFUNCTION("""COMPUTED_VALUE"""),"tutory-BASIC adds more functions to our FREE tier. More tiles, more fonts, more functions. It targets teachers that use tutory on a regular basis and want to use it's potential for normal educational purposes.")</f>
        <v/>
      </c>
      <c r="Y711" s="15">
        <f>IFERROR(__xludf.DUMMYFUNCTION("""COMPUTED_VALUE"""),"https://drive.google.com/uc?export=view&amp;id=1dlvNSdxBDXg9oikLKHhICwf02gHN12Of")</f>
        <v/>
      </c>
      <c r="Z711" s="1">
        <f>IFERROR(__xludf.DUMMYFUNCTION("""COMPUTED_VALUE"""),"Unverified")</f>
        <v/>
      </c>
      <c r="AA711" s="1" t="n"/>
      <c r="AB711" s="1" t="n"/>
      <c r="AC711" s="1" t="n"/>
      <c r="AD711" s="1" t="n"/>
      <c r="AE711" s="1" t="n"/>
    </row>
    <row r="712" ht="42" customHeight="1">
      <c r="A712" s="14">
        <f>IFERROR(__xludf.DUMMYFUNCTION("""COMPUTED_VALUE"""),45181)</f>
        <v/>
      </c>
      <c r="B712" s="1">
        <f>IFERROR(__xludf.DUMMYFUNCTION("""COMPUTED_VALUE"""),"ORG_1881")</f>
        <v/>
      </c>
      <c r="C712" s="1">
        <f>IFERROR(__xludf.DUMMYFUNCTION("""COMPUTED_VALUE"""),TRUE)</f>
        <v/>
      </c>
      <c r="D712" s="1">
        <f>IFERROR(__xludf.DUMMYFUNCTION("""COMPUTED_VALUE"""),"Lingobo")</f>
        <v/>
      </c>
      <c r="E712" s="15">
        <f>IFERROR(__xludf.DUMMYFUNCTION("""COMPUTED_VALUE"""),"https://lingobo.com")</f>
        <v/>
      </c>
      <c r="F712" s="1">
        <f>IFERROR(__xludf.DUMMYFUNCTION("""COMPUTED_VALUE"""),"Lingobo is a B2B e-learning company that helps business teams master English through daily conversations with an AI")</f>
        <v/>
      </c>
      <c r="G712" s="1">
        <f>IFERROR(__xludf.DUMMYFUNCTION("""COMPUTED_VALUE"""),"EdTech Estonia")</f>
        <v/>
      </c>
      <c r="H712" s="1" t="n"/>
      <c r="I712" s="1">
        <f>IFERROR(__xludf.DUMMYFUNCTION("""COMPUTED_VALUE"""),"hello@lingobo.com")</f>
        <v/>
      </c>
      <c r="J712" s="1" t="n"/>
      <c r="K712" s="1">
        <f>IFERROR(__xludf.DUMMYFUNCTION("""COMPUTED_VALUE"""),"Tallinn")</f>
        <v/>
      </c>
      <c r="L712" s="1">
        <f>IFERROR(__xludf.DUMMYFUNCTION("""COMPUTED_VALUE"""),"Estonia")</f>
        <v/>
      </c>
      <c r="M712" s="1">
        <f>IFERROR(__xludf.DUMMYFUNCTION("""COMPUTED_VALUE"""),"Spain")</f>
        <v/>
      </c>
      <c r="N712" s="1">
        <f>IFERROR(__xludf.DUMMYFUNCTION("""COMPUTED_VALUE"""),"0 to 10")</f>
        <v/>
      </c>
      <c r="O712" s="1">
        <f>IFERROR(__xludf.DUMMYFUNCTION("""COMPUTED_VALUE"""),"Business to Business")</f>
        <v/>
      </c>
      <c r="P712" s="1">
        <f>IFERROR(__xludf.DUMMYFUNCTION("""COMPUTED_VALUE"""),"Corporate Training")</f>
        <v/>
      </c>
      <c r="Q712" s="1">
        <f>IFERROR(__xludf.DUMMYFUNCTION("""COMPUTED_VALUE"""),"System/Administrative")</f>
        <v/>
      </c>
      <c r="R712" s="1" t="n"/>
      <c r="S712" s="15">
        <f>IFERROR(__xludf.DUMMYFUNCTION("""COMPUTED_VALUE"""),"https://twitter.com/lingobo_es")</f>
        <v/>
      </c>
      <c r="T712" s="15">
        <f>IFERROR(__xludf.DUMMYFUNCTION("""COMPUTED_VALUE"""),"https://www.linkedin.com/company/lingobo")</f>
        <v/>
      </c>
      <c r="U712" s="1">
        <f>IFERROR(__xludf.DUMMYFUNCTION("""COMPUTED_VALUE"""),"Lingobo")</f>
        <v/>
      </c>
      <c r="V712" s="1">
        <f>IFERROR(__xludf.DUMMYFUNCTION("""COMPUTED_VALUE"""),"Lingobo enables businesses to upskill their teams in English communication quickly and cost-effectively. Our AI-powered platform provides interactive and personalized learning experiences that help employees gain the confidence they need to succeed in the"&amp;"ir roles. By leveraging state-of-the-art technology, Lingobo eliminates the need for expensive, time-consuming language classes and provides employees with the tools and skills they need to communicate more effectively with colleagues, customers, and part"&amp;"ners.")</f>
        <v/>
      </c>
      <c r="W712" s="1" t="n"/>
      <c r="X712" s="1" t="n"/>
      <c r="Y712" s="15">
        <f>IFERROR(__xludf.DUMMYFUNCTION("""COMPUTED_VALUE"""),"https://drive.google.com/uc?export=view&amp;id=1FqRpqAOWuDawLl4PIUbcgmY3N6nnHPuE")</f>
        <v/>
      </c>
      <c r="Z712" s="1">
        <f>IFERROR(__xludf.DUMMYFUNCTION("""COMPUTED_VALUE"""),"Unverified")</f>
        <v/>
      </c>
      <c r="AA712" s="1" t="n"/>
      <c r="AB712" s="1" t="n"/>
      <c r="AC712" s="1" t="n"/>
      <c r="AD712" s="1" t="n"/>
      <c r="AE712" s="1" t="n"/>
    </row>
    <row r="713" ht="42" customHeight="1">
      <c r="A713" s="14">
        <f>IFERROR(__xludf.DUMMYFUNCTION("""COMPUTED_VALUE"""),45181)</f>
        <v/>
      </c>
      <c r="B713" s="1">
        <f>IFERROR(__xludf.DUMMYFUNCTION("""COMPUTED_VALUE"""),"ORG_1503")</f>
        <v/>
      </c>
      <c r="C713" s="1">
        <f>IFERROR(__xludf.DUMMYFUNCTION("""COMPUTED_VALUE"""),TRUE)</f>
        <v/>
      </c>
      <c r="D713" s="1">
        <f>IFERROR(__xludf.DUMMYFUNCTION("""COMPUTED_VALUE"""),"EO Space")</f>
        <v/>
      </c>
      <c r="E713" s="15">
        <f>IFERROR(__xludf.DUMMYFUNCTION("""COMPUTED_VALUE"""),"eo-space.com")</f>
        <v/>
      </c>
      <c r="F713" s="1">
        <f>IFERROR(__xludf.DUMMYFUNCTION("""COMPUTED_VALUE"""),"EO space is an educational environment for 6-12 years that helps young students master skills in math complemented with acquiring soft skills like critical thinking, problem-solving, and decision-making. 
We have 3 core product which collected into the e"&amp;"cosystem:
1. Adventure Math Lessons offers an interactive, story-based approach to math learning that combines classroom teaching with an online practice web-based application. 
2. StemJam is a large-scale educational festival to increase children's inter"&amp;"est in mathematics and STEM. It is a stress-free and fun event where children can choose the difficulty level of tasks and spend earned points on workshops, science experiments, and other activities after the competition part. 
3. EO Space is a community-"&amp;"based math game with real-world challenges.
Our team is creating a new school concept. Our priority target is to make children love to learn in an emotionally involved environment.")</f>
        <v/>
      </c>
      <c r="G713" s="1">
        <f>IFERROR(__xludf.DUMMYFUNCTION("""COMPUTED_VALUE"""),"I'm not part of any EdTech association")</f>
        <v/>
      </c>
      <c r="H713" s="1" t="n"/>
      <c r="I713" s="1">
        <f>IFERROR(__xludf.DUMMYFUNCTION("""COMPUTED_VALUE"""),"eugene.k@eo-space.com")</f>
        <v/>
      </c>
      <c r="J713" s="1">
        <f>IFERROR(__xludf.DUMMYFUNCTION("""COMPUTED_VALUE"""),"+358 942732133")</f>
        <v/>
      </c>
      <c r="K713" s="1">
        <f>IFERROR(__xludf.DUMMYFUNCTION("""COMPUTED_VALUE"""),"HELSINKI")</f>
        <v/>
      </c>
      <c r="L713" s="1">
        <f>IFERROR(__xludf.DUMMYFUNCTION("""COMPUTED_VALUE"""),"Finland")</f>
        <v/>
      </c>
      <c r="M713" s="1">
        <f>IFERROR(__xludf.DUMMYFUNCTION("""COMPUTED_VALUE"""),"Finland, United Kingdom")</f>
        <v/>
      </c>
      <c r="N713" s="1">
        <f>IFERROR(__xludf.DUMMYFUNCTION("""COMPUTED_VALUE"""),"0 to 10")</f>
        <v/>
      </c>
      <c r="O713" s="1">
        <f>IFERROR(__xludf.DUMMYFUNCTION("""COMPUTED_VALUE"""),"Business to Business, Business to Schools")</f>
        <v/>
      </c>
      <c r="P713" s="1">
        <f>IFERROR(__xludf.DUMMYFUNCTION("""COMPUTED_VALUE"""),"Primary Education")</f>
        <v/>
      </c>
      <c r="Q713" s="1">
        <f>IFERROR(__xludf.DUMMYFUNCTION("""COMPUTED_VALUE"""),"Teacher interfacing")</f>
        <v/>
      </c>
      <c r="R713" s="1" t="n"/>
      <c r="S713" s="1" t="n"/>
      <c r="T713" s="1" t="n"/>
      <c r="U713" s="1" t="n"/>
      <c r="V713" s="1" t="n"/>
      <c r="W713" s="1" t="n"/>
      <c r="X713" s="1" t="n"/>
      <c r="Y713" s="15">
        <f>IFERROR(__xludf.DUMMYFUNCTION("""COMPUTED_VALUE"""),"https://drive.google.com/uc?export=view&amp;id=1qB6GzmSy5oPKKHQoOGmIo-8pjQA5Jefk")</f>
        <v/>
      </c>
      <c r="Z713" s="1">
        <f>IFERROR(__xludf.DUMMYFUNCTION("""COMPUTED_VALUE"""),"Unverified")</f>
        <v/>
      </c>
      <c r="AA713" s="1" t="n"/>
      <c r="AB713" s="1" t="n"/>
      <c r="AC713" s="1" t="n"/>
      <c r="AD713" s="1" t="n"/>
      <c r="AE713" s="1" t="n"/>
    </row>
    <row r="714" ht="42" customHeight="1">
      <c r="A714" s="14">
        <f>IFERROR(__xludf.DUMMYFUNCTION("""COMPUTED_VALUE"""),45181)</f>
        <v/>
      </c>
      <c r="B714" s="1">
        <f>IFERROR(__xludf.DUMMYFUNCTION("""COMPUTED_VALUE"""),"ORG_2320")</f>
        <v/>
      </c>
      <c r="C714" s="1">
        <f>IFERROR(__xludf.DUMMYFUNCTION("""COMPUTED_VALUE"""),TRUE)</f>
        <v/>
      </c>
      <c r="D714" s="1">
        <f>IFERROR(__xludf.DUMMYFUNCTION("""COMPUTED_VALUE"""),"STE.education")</f>
        <v/>
      </c>
      <c r="E714" s="15">
        <f>IFERROR(__xludf.DUMMYFUNCTION("""COMPUTED_VALUE"""),"https://ste.education/en/")</f>
        <v/>
      </c>
      <c r="F714" s="1">
        <f>IFERROR(__xludf.DUMMYFUNCTION("""COMPUTED_VALUE"""),"STE.education (trade name) operates to improve Estonian education by raising digital competence and using the BYOD principle, and all this is ensured through teacher training, the creation of new digital learning materials, and the adoption of software in"&amp;" accordance with the Estonian school curriculum.
We are sure that digital learning tools and ready-made materials would allow teachers to be more effective in lesson preparation and more visual in a complex phenomena explanation. The study process for st"&amp;"udents should go through examples and practical assignments. That's why we prepare bandles, which include devices, software, materials for teachers and students + online training. Even if we specialize in the local market we are sure, that our reach exper"&amp;"ience could be used for international collaborations.")</f>
        <v/>
      </c>
      <c r="G714" s="1">
        <f>IFERROR(__xludf.DUMMYFUNCTION("""COMPUTED_VALUE"""),"I'm not part of any EdTech association")</f>
        <v/>
      </c>
      <c r="H714" s="1" t="n"/>
      <c r="I714" s="1">
        <f>IFERROR(__xludf.DUMMYFUNCTION("""COMPUTED_VALUE"""),"ask@ste.education")</f>
        <v/>
      </c>
      <c r="J714" s="1">
        <f>IFERROR(__xludf.DUMMYFUNCTION("""COMPUTED_VALUE"""),"+372 6 41 55 51")</f>
        <v/>
      </c>
      <c r="K714" s="1">
        <f>IFERROR(__xludf.DUMMYFUNCTION("""COMPUTED_VALUE"""),"TALLINN")</f>
        <v/>
      </c>
      <c r="L714" s="1">
        <f>IFERROR(__xludf.DUMMYFUNCTION("""COMPUTED_VALUE"""),"Estonia")</f>
        <v/>
      </c>
      <c r="M714" s="1">
        <f>IFERROR(__xludf.DUMMYFUNCTION("""COMPUTED_VALUE"""),"Estonia, Finland, Latvia, Lithuania")</f>
        <v/>
      </c>
      <c r="N714" s="1">
        <f>IFERROR(__xludf.DUMMYFUNCTION("""COMPUTED_VALUE"""),"0 to 10")</f>
        <v/>
      </c>
      <c r="O714" s="1">
        <f>IFERROR(__xludf.DUMMYFUNCTION("""COMPUTED_VALUE"""),"Business to Business, Business to Government, Business to Schools")</f>
        <v/>
      </c>
      <c r="P714" s="1">
        <f>IFERROR(__xludf.DUMMYFUNCTION("""COMPUTED_VALUE"""),"Early childhood development (0-5 years), Primary Education, Higher Education")</f>
        <v/>
      </c>
      <c r="Q714" s="1">
        <f>IFERROR(__xludf.DUMMYFUNCTION("""COMPUTED_VALUE"""),"Teacher interfacing, System/Administrative, Student interfacing")</f>
        <v/>
      </c>
      <c r="R714" s="1" t="n"/>
      <c r="S714" s="1" t="n"/>
      <c r="T714" s="1" t="n"/>
      <c r="U714" s="1" t="n"/>
      <c r="V714" s="1" t="n"/>
      <c r="W714" s="1" t="n"/>
      <c r="X714" s="1" t="n"/>
      <c r="Y714" s="15">
        <f>IFERROR(__xludf.DUMMYFUNCTION("""COMPUTED_VALUE"""),"https://drive.google.com/uc?export=view&amp;id=1vSmmNno_c5HxQ47ga4u-uBObAzbA7_S_")</f>
        <v/>
      </c>
      <c r="Z714" s="1">
        <f>IFERROR(__xludf.DUMMYFUNCTION("""COMPUTED_VALUE"""),"Unverified")</f>
        <v/>
      </c>
      <c r="AA714" s="1" t="n"/>
      <c r="AB714" s="1" t="n"/>
      <c r="AC714" s="1" t="n"/>
      <c r="AD714" s="1" t="n"/>
      <c r="AE714" s="1" t="n"/>
    </row>
    <row r="715" ht="42" customHeight="1">
      <c r="A715" s="14">
        <f>IFERROR(__xludf.DUMMYFUNCTION("""COMPUTED_VALUE"""),45181)</f>
        <v/>
      </c>
      <c r="B715" s="1">
        <f>IFERROR(__xludf.DUMMYFUNCTION("""COMPUTED_VALUE"""),"ORG_1423")</f>
        <v/>
      </c>
      <c r="C715" s="1">
        <f>IFERROR(__xludf.DUMMYFUNCTION("""COMPUTED_VALUE"""),TRUE)</f>
        <v/>
      </c>
      <c r="D715" s="1">
        <f>IFERROR(__xludf.DUMMYFUNCTION("""COMPUTED_VALUE"""),"Educabiz")</f>
        <v/>
      </c>
      <c r="E715" s="15">
        <f>IFERROR(__xludf.DUMMYFUNCTION("""COMPUTED_VALUE"""),"www.educabiz.com")</f>
        <v/>
      </c>
      <c r="F715" s="1">
        <f>IFERROR(__xludf.DUMMYFUNCTION("""COMPUTED_VALUE"""),"Educabiz is a SaaS management software specifically tailored for kindergartens and nurseries.
Created out of the idea that management should be simple and intuitive, Educabiz was built to address two specific issues: empowering schools with a tool that c"&amp;"an simplify their daily management and create enhanced capabilities to communicate with parents.")</f>
        <v/>
      </c>
      <c r="G715" s="1">
        <f>IFERROR(__xludf.DUMMYFUNCTION("""COMPUTED_VALUE"""),"I'm not part of any EdTech association")</f>
        <v/>
      </c>
      <c r="H715" s="1" t="n"/>
      <c r="I715" s="1">
        <f>IFERROR(__xludf.DUMMYFUNCTION("""COMPUTED_VALUE"""),"info@educabiz.com")</f>
        <v/>
      </c>
      <c r="J715" s="1">
        <f>IFERROR(__xludf.DUMMYFUNCTION("""COMPUTED_VALUE"""),"+351222400196")</f>
        <v/>
      </c>
      <c r="K715" s="1">
        <f>IFERROR(__xludf.DUMMYFUNCTION("""COMPUTED_VALUE"""),"Porto")</f>
        <v/>
      </c>
      <c r="L715" s="1">
        <f>IFERROR(__xludf.DUMMYFUNCTION("""COMPUTED_VALUE"""),"Portugal")</f>
        <v/>
      </c>
      <c r="M715" s="1">
        <f>IFERROR(__xludf.DUMMYFUNCTION("""COMPUTED_VALUE"""),"Portugal")</f>
        <v/>
      </c>
      <c r="N715" s="1">
        <f>IFERROR(__xludf.DUMMYFUNCTION("""COMPUTED_VALUE"""),"11 to 50")</f>
        <v/>
      </c>
      <c r="O715" s="1">
        <f>IFERROR(__xludf.DUMMYFUNCTION("""COMPUTED_VALUE"""),"Business to Business")</f>
        <v/>
      </c>
      <c r="P715" s="1">
        <f>IFERROR(__xludf.DUMMYFUNCTION("""COMPUTED_VALUE"""),"Early childhood development (0-5 years)")</f>
        <v/>
      </c>
      <c r="Q715" s="1">
        <f>IFERROR(__xludf.DUMMYFUNCTION("""COMPUTED_VALUE"""),"Teacher interfacing, System/Administrative")</f>
        <v/>
      </c>
      <c r="R715" s="1" t="n"/>
      <c r="S715" s="1" t="n"/>
      <c r="T715" s="1" t="n"/>
      <c r="U715" s="1" t="n"/>
      <c r="V715" s="1" t="n"/>
      <c r="W715" s="1" t="n"/>
      <c r="X715" s="1" t="n"/>
      <c r="Y715" s="15">
        <f>IFERROR(__xludf.DUMMYFUNCTION("""COMPUTED_VALUE"""),"https://drive.google.com/uc?export=view&amp;id=1oYZENRaok24WudfC6n64pfNaHsjoMDhQ")</f>
        <v/>
      </c>
      <c r="Z715" s="1">
        <f>IFERROR(__xludf.DUMMYFUNCTION("""COMPUTED_VALUE"""),"Unverified")</f>
        <v/>
      </c>
      <c r="AA715" s="1" t="n"/>
      <c r="AB715" s="1" t="n"/>
      <c r="AC715" s="1" t="n"/>
      <c r="AD715" s="1" t="n"/>
      <c r="AE715" s="1" t="n"/>
    </row>
    <row r="716" ht="42" customHeight="1">
      <c r="A716" s="14">
        <f>IFERROR(__xludf.DUMMYFUNCTION("""COMPUTED_VALUE"""),45181)</f>
        <v/>
      </c>
      <c r="B716" s="1">
        <f>IFERROR(__xludf.DUMMYFUNCTION("""COMPUTED_VALUE"""),"ORG_2267")</f>
        <v/>
      </c>
      <c r="C716" s="1">
        <f>IFERROR(__xludf.DUMMYFUNCTION("""COMPUTED_VALUE"""),TRUE)</f>
        <v/>
      </c>
      <c r="D716" s="1">
        <f>IFERROR(__xludf.DUMMYFUNCTION("""COMPUTED_VALUE"""),"Skolen Fri")</f>
        <v/>
      </c>
      <c r="E716" s="15">
        <f>IFERROR(__xludf.DUMMYFUNCTION("""COMPUTED_VALUE"""),"www.skolenfri.dk")</f>
        <v/>
      </c>
      <c r="F716" s="1">
        <f>IFERROR(__xludf.DUMMYFUNCTION("""COMPUTED_VALUE"""),"We help children with a safe, exciting, motivating online schooling
framework that can include everyone. It is done with exclusively
seminar-educated teachers to ensure high quality. School Free is for
children of primary school age, but also other young "&amp;"people who need a safe environment place to upgrade your qualifications. We help both children and young people who have school challenges, diagnoses etc. but also children without. Helpfulness, freedom and a good mood are the basic starting points for ge"&amp;"tting together. This provides good well-being, high self-esteem and security for all the school's children.")</f>
        <v/>
      </c>
      <c r="G716" s="1">
        <f>IFERROR(__xludf.DUMMYFUNCTION("""COMPUTED_VALUE"""),"EdTech Denmark")</f>
        <v/>
      </c>
      <c r="H716" s="1">
        <f>IFERROR(__xludf.DUMMYFUNCTION("""COMPUTED_VALUE"""),"Danish")</f>
        <v/>
      </c>
      <c r="I716" s="1">
        <f>IFERROR(__xludf.DUMMYFUNCTION("""COMPUTED_VALUE"""),"kontakt@skolenfri.dk")</f>
        <v/>
      </c>
      <c r="J716" s="1">
        <f>IFERROR(__xludf.DUMMYFUNCTION("""COMPUTED_VALUE"""),"+45 30526393")</f>
        <v/>
      </c>
      <c r="K716" s="1">
        <f>IFERROR(__xludf.DUMMYFUNCTION("""COMPUTED_VALUE"""),"NIBE")</f>
        <v/>
      </c>
      <c r="L716" s="1">
        <f>IFERROR(__xludf.DUMMYFUNCTION("""COMPUTED_VALUE"""),"Denmark")</f>
        <v/>
      </c>
      <c r="M716" s="1">
        <f>IFERROR(__xludf.DUMMYFUNCTION("""COMPUTED_VALUE"""),"Denmark")</f>
        <v/>
      </c>
      <c r="N716" s="1">
        <f>IFERROR(__xludf.DUMMYFUNCTION("""COMPUTED_VALUE"""),"3 to 5")</f>
        <v/>
      </c>
      <c r="O716" s="1">
        <f>IFERROR(__xludf.DUMMYFUNCTION("""COMPUTED_VALUE"""),"Business to Consumer, Business to Government, Business to Schools")</f>
        <v/>
      </c>
      <c r="P716" s="1">
        <f>IFERROR(__xludf.DUMMYFUNCTION("""COMPUTED_VALUE"""),"Early childhood development (0-5 years), Primary Education")</f>
        <v/>
      </c>
      <c r="Q716" s="1">
        <f>IFERROR(__xludf.DUMMYFUNCTION("""COMPUTED_VALUE"""),"System/Administrative, Student interfacing, Teacher interfacing")</f>
        <v/>
      </c>
      <c r="R716" s="15">
        <f>IFERROR(__xludf.DUMMYFUNCTION("""COMPUTED_VALUE"""),"https://www.instagram.com/skolenfri/")</f>
        <v/>
      </c>
      <c r="S716" s="1" t="n"/>
      <c r="T716" s="15">
        <f>IFERROR(__xludf.DUMMYFUNCTION("""COMPUTED_VALUE"""),"https://www.linkedin.com/company/77617145")</f>
        <v/>
      </c>
      <c r="U716" s="1">
        <f>IFERROR(__xludf.DUMMYFUNCTION("""COMPUTED_VALUE"""),"Skolen Fri")</f>
        <v/>
      </c>
      <c r="V716" s="1">
        <f>IFERROR(__xludf.DUMMYFUNCTION("""COMPUTED_VALUE"""),"We help children with a safe, exciting, motivating online schooling
framework that can include everyone. It is done with exclusively
seminar-educated teachers to ensure high quality. School Free is for
children of primary school age, but also other young "&amp;"people who need a safe environment place to upgrade your qualifications. We help both children and young people who have school challenges, diagnoses etc. but also children without. Helpfulness, freedom and a good mood are the basic starting points for ge"&amp;"tting together. This provides good well-being, high self-esteem and security for all the school's children.")</f>
        <v/>
      </c>
      <c r="W716" s="1" t="n"/>
      <c r="X716" s="1" t="n"/>
      <c r="Y716" s="15">
        <f>IFERROR(__xludf.DUMMYFUNCTION("""COMPUTED_VALUE"""),"https://drive.google.com/uc?export=view&amp;id=1cZFJB9wD_vCk1pSkTLsHiWVtW4_ZvYTd")</f>
        <v/>
      </c>
      <c r="Z716" s="1">
        <f>IFERROR(__xludf.DUMMYFUNCTION("""COMPUTED_VALUE"""),"Unverified")</f>
        <v/>
      </c>
      <c r="AA716" s="1" t="n"/>
      <c r="AB716" s="1" t="n"/>
      <c r="AC716" s="1" t="n"/>
      <c r="AD716" s="1" t="n"/>
      <c r="AE716" s="1" t="n"/>
    </row>
    <row r="717" ht="42" customHeight="1">
      <c r="A717" s="14">
        <f>IFERROR(__xludf.DUMMYFUNCTION("""COMPUTED_VALUE"""),45181)</f>
        <v/>
      </c>
      <c r="B717" s="1">
        <f>IFERROR(__xludf.DUMMYFUNCTION("""COMPUTED_VALUE"""),"ORG_1053")</f>
        <v/>
      </c>
      <c r="C717" s="1">
        <f>IFERROR(__xludf.DUMMYFUNCTION("""COMPUTED_VALUE"""),TRUE)</f>
        <v/>
      </c>
      <c r="D717" s="1">
        <f>IFERROR(__xludf.DUMMYFUNCTION("""COMPUTED_VALUE"""),"Allcourses")</f>
        <v/>
      </c>
      <c r="E717" s="15">
        <f>IFERROR(__xludf.DUMMYFUNCTION("""COMPUTED_VALUE"""),"https://allcourses.ie/")</f>
        <v/>
      </c>
      <c r="F717" s="1">
        <f>IFERROR(__xludf.DUMMYFUNCTION("""COMPUTED_VALUE"""),"Allcourses is a new course comparison website launched by Candlefox, which looks to help learners within Ireland connect with learning courses provided by training providers from across Ireland and the UK. These courses aim to help learners develop their "&amp;"employable skills and earn industry qualifications, through which they can take the next step up in their careers.")</f>
        <v/>
      </c>
      <c r="G717" s="1">
        <f>IFERROR(__xludf.DUMMYFUNCTION("""COMPUTED_VALUE"""),"I'm not part of any EdTech association")</f>
        <v/>
      </c>
      <c r="H717" s="1" t="n"/>
      <c r="I717" s="1" t="n"/>
      <c r="J717" s="1" t="n"/>
      <c r="K717" s="1">
        <f>IFERROR(__xludf.DUMMYFUNCTION("""COMPUTED_VALUE"""),"London")</f>
        <v/>
      </c>
      <c r="L717" s="1">
        <f>IFERROR(__xludf.DUMMYFUNCTION("""COMPUTED_VALUE"""),"United Kingdom")</f>
        <v/>
      </c>
      <c r="M717" s="1">
        <f>IFERROR(__xludf.DUMMYFUNCTION("""COMPUTED_VALUE"""),"Ireland")</f>
        <v/>
      </c>
      <c r="N717" s="1">
        <f>IFERROR(__xludf.DUMMYFUNCTION("""COMPUTED_VALUE"""),"11 to 50")</f>
        <v/>
      </c>
      <c r="O717" s="1">
        <f>IFERROR(__xludf.DUMMYFUNCTION("""COMPUTED_VALUE"""),"Business to Business, Business to Consumer")</f>
        <v/>
      </c>
      <c r="P717" s="1">
        <f>IFERROR(__xludf.DUMMYFUNCTION("""COMPUTED_VALUE"""),"Higher Education, Corporate Training, Lifelong learning/Adult education")</f>
        <v/>
      </c>
      <c r="Q717" s="1">
        <f>IFERROR(__xludf.DUMMYFUNCTION("""COMPUTED_VALUE"""),"Student interfacing, System/Administrative")</f>
        <v/>
      </c>
      <c r="R717" s="1" t="n"/>
      <c r="S717" s="1" t="n"/>
      <c r="T717" s="1" t="n"/>
      <c r="U717" s="1" t="n"/>
      <c r="V717" s="1" t="n"/>
      <c r="W717" s="1" t="n"/>
      <c r="X717" s="1" t="n"/>
      <c r="Y717" s="15">
        <f>IFERROR(__xludf.DUMMYFUNCTION("""COMPUTED_VALUE"""),"https://drive.google.com/uc?export=view&amp;id=15Q4zvPfU_0Vq87tD9zJWNfQyKKlir97p")</f>
        <v/>
      </c>
      <c r="Z717" s="1">
        <f>IFERROR(__xludf.DUMMYFUNCTION("""COMPUTED_VALUE"""),"Unverified")</f>
        <v/>
      </c>
      <c r="AA717" s="1" t="n"/>
      <c r="AB717" s="1" t="n"/>
      <c r="AC717" s="1" t="n"/>
      <c r="AD717" s="1" t="n"/>
      <c r="AE717" s="1" t="n"/>
    </row>
    <row r="718" ht="42" customHeight="1">
      <c r="A718" s="14">
        <f>IFERROR(__xludf.DUMMYFUNCTION("""COMPUTED_VALUE"""),45181)</f>
        <v/>
      </c>
      <c r="B718" s="1">
        <f>IFERROR(__xludf.DUMMYFUNCTION("""COMPUTED_VALUE"""),"ORG_2193")</f>
        <v/>
      </c>
      <c r="C718" s="1">
        <f>IFERROR(__xludf.DUMMYFUNCTION("""COMPUTED_VALUE"""),TRUE)</f>
        <v/>
      </c>
      <c r="D718" s="1">
        <f>IFERROR(__xludf.DUMMYFUNCTION("""COMPUTED_VALUE"""),"Robot Emil")</f>
        <v/>
      </c>
      <c r="E718" s="15">
        <f>IFERROR(__xludf.DUMMYFUNCTION("""COMPUTED_VALUE"""),"www.robotemil.com")</f>
        <v/>
      </c>
      <c r="F718" s="1">
        <f>IFERROR(__xludf.DUMMYFUNCTION("""COMPUTED_VALUE"""),"Emil is a unique method of teaching computing in schools in years 1-5 – from early primary years, for every learner in the class, for the joy of exploring, creating, and learning. Based on our educational research and many years of working with teachers a"&amp;"nd pupils in several countries, it implements the idea of modern computing education as a complex and systematic learning process in regular and formal classes in primary schools. Emil is amusing but not just for a while. Pupils gradually learn all the im"&amp;"portant constructs of programming in a playful way.
Emil draws on international experience in teaching computing and programming, grounded in recent learning theories. At the same time, it also meets the requirements of the new and developing national cu"&amp;"rricula. Instead of merely teaching how to program, Emil brings into the classroom exploration, algorithmic and mathematical thinking development, problem solving, and collaboration between subjects. It teaches pupils to live and work responsibly in a dig"&amp;"ital environment, to learn about the world and how to change it. Computing with Emil offers an evidence-based complex method for several primary years, comprising its own pedagogy, software programming environments, workbooks for pupils, teacher materials"&amp;", and professional development content.")</f>
        <v/>
      </c>
      <c r="G718" s="1">
        <f>IFERROR(__xludf.DUMMYFUNCTION("""COMPUTED_VALUE"""),"I'm not part of any EdTech association")</f>
        <v/>
      </c>
      <c r="H718" s="1" t="n"/>
      <c r="I718" s="1">
        <f>IFERROR(__xludf.DUMMYFUNCTION("""COMPUTED_VALUE"""),"emil@robotemil.com")</f>
        <v/>
      </c>
      <c r="J718" s="1">
        <f>IFERROR(__xludf.DUMMYFUNCTION("""COMPUTED_VALUE"""),"+421 948 895 170")</f>
        <v/>
      </c>
      <c r="K718" s="1">
        <f>IFERROR(__xludf.DUMMYFUNCTION("""COMPUTED_VALUE"""),"BRATISLAVA")</f>
        <v/>
      </c>
      <c r="L718" s="1">
        <f>IFERROR(__xludf.DUMMYFUNCTION("""COMPUTED_VALUE"""),"Slovakia")</f>
        <v/>
      </c>
      <c r="M718" s="1">
        <f>IFERROR(__xludf.DUMMYFUNCTION("""COMPUTED_VALUE"""),"Czechia, Norway, Slovakia, United Kingdom")</f>
        <v/>
      </c>
      <c r="N718" s="1">
        <f>IFERROR(__xludf.DUMMYFUNCTION("""COMPUTED_VALUE"""),"0 to 10")</f>
        <v/>
      </c>
      <c r="O718" s="1">
        <f>IFERROR(__xludf.DUMMYFUNCTION("""COMPUTED_VALUE"""),"Business to Schools")</f>
        <v/>
      </c>
      <c r="P718" s="1">
        <f>IFERROR(__xludf.DUMMYFUNCTION("""COMPUTED_VALUE"""),"Early childhood development (0-5 years), Primary Education")</f>
        <v/>
      </c>
      <c r="Q718" s="1">
        <f>IFERROR(__xludf.DUMMYFUNCTION("""COMPUTED_VALUE"""),"Teacher interfacing, System/Administrative")</f>
        <v/>
      </c>
      <c r="R718" s="1" t="n"/>
      <c r="S718" s="1" t="n"/>
      <c r="T718" s="1" t="n"/>
      <c r="U718" s="1" t="n"/>
      <c r="V718" s="1" t="n"/>
      <c r="W718" s="1" t="n"/>
      <c r="X718" s="1" t="n"/>
      <c r="Y718" s="15">
        <f>IFERROR(__xludf.DUMMYFUNCTION("""COMPUTED_VALUE"""),"https://drive.google.com/uc?export=view&amp;id=1Ihn_2r98TvoY226YqSIpj8D3EBCRS4VZ")</f>
        <v/>
      </c>
      <c r="Z718" s="1">
        <f>IFERROR(__xludf.DUMMYFUNCTION("""COMPUTED_VALUE"""),"Unverified")</f>
        <v/>
      </c>
      <c r="AA718" s="1" t="n"/>
      <c r="AB718" s="1" t="n"/>
      <c r="AC718" s="1" t="n"/>
      <c r="AD718" s="1" t="n"/>
      <c r="AE718" s="1" t="n"/>
    </row>
    <row r="719" ht="42" customHeight="1">
      <c r="A719" s="14">
        <f>IFERROR(__xludf.DUMMYFUNCTION("""COMPUTED_VALUE"""),45181)</f>
        <v/>
      </c>
      <c r="B719" s="1">
        <f>IFERROR(__xludf.DUMMYFUNCTION("""COMPUTED_VALUE"""),"ORG_1650")</f>
        <v/>
      </c>
      <c r="C719" s="1">
        <f>IFERROR(__xludf.DUMMYFUNCTION("""COMPUTED_VALUE"""),TRUE)</f>
        <v/>
      </c>
      <c r="D719" s="1">
        <f>IFERROR(__xludf.DUMMYFUNCTION("""COMPUTED_VALUE"""),"Grupo Vértice")</f>
        <v/>
      </c>
      <c r="E719" s="15">
        <f>IFERROR(__xludf.DUMMYFUNCTION("""COMPUTED_VALUE"""),"https://grupovertice.com/")</f>
        <v/>
      </c>
      <c r="F719" s="1">
        <f>IFERROR(__xludf.DUMMYFUNCTION("""COMPUTED_VALUE"""),"Creamos soluciones eLearning a medida y ecosistemas de aprendizaje colaborativo que permiten el desembarco profesional y global en el mundo de la formación online.")</f>
        <v/>
      </c>
      <c r="G719" s="1">
        <f>IFERROR(__xludf.DUMMYFUNCTION("""COMPUTED_VALUE"""),"I'm not part of any EdTech association")</f>
        <v/>
      </c>
      <c r="H719" s="1" t="n"/>
      <c r="I719" s="1">
        <f>IFERROR(__xludf.DUMMYFUNCTION("""COMPUTED_VALUE"""),"info@grupovertice.com")</f>
        <v/>
      </c>
      <c r="J719" s="1">
        <f>IFERROR(__xludf.DUMMYFUNCTION("""COMPUTED_VALUE"""),"952040533")</f>
        <v/>
      </c>
      <c r="K719" s="1">
        <f>IFERROR(__xludf.DUMMYFUNCTION("""COMPUTED_VALUE"""),"Málaga")</f>
        <v/>
      </c>
      <c r="L719" s="1">
        <f>IFERROR(__xludf.DUMMYFUNCTION("""COMPUTED_VALUE"""),"Spain")</f>
        <v/>
      </c>
      <c r="M719" s="1">
        <f>IFERROR(__xludf.DUMMYFUNCTION("""COMPUTED_VALUE"""),"Spain")</f>
        <v/>
      </c>
      <c r="N719" s="1">
        <f>IFERROR(__xludf.DUMMYFUNCTION("""COMPUTED_VALUE"""),"100+")</f>
        <v/>
      </c>
      <c r="O719" s="1">
        <f>IFERROR(__xludf.DUMMYFUNCTION("""COMPUTED_VALUE"""),"Business to Business, Business to Government, Business to Schools")</f>
        <v/>
      </c>
      <c r="P719" s="1">
        <f>IFERROR(__xludf.DUMMYFUNCTION("""COMPUTED_VALUE"""),"Higher Education, Corporate Training, Lifelong learning/Adult education")</f>
        <v/>
      </c>
      <c r="Q719" s="1">
        <f>IFERROR(__xludf.DUMMYFUNCTION("""COMPUTED_VALUE"""),"Student interfacing, Teacher interfacing, System/Administrative")</f>
        <v/>
      </c>
      <c r="R719" s="1" t="n"/>
      <c r="S719" s="1" t="n"/>
      <c r="T719" s="1" t="n"/>
      <c r="U719" s="1" t="n"/>
      <c r="V719" s="1" t="n"/>
      <c r="W719" s="1" t="n"/>
      <c r="X719" s="1" t="n"/>
      <c r="Y719" s="15">
        <f>IFERROR(__xludf.DUMMYFUNCTION("""COMPUTED_VALUE"""),"https://drive.google.com/uc?export=view&amp;id=1mJy8rh0q7nBZlB9qjdMAiLpZbJixleeU")</f>
        <v/>
      </c>
      <c r="Z719" s="1">
        <f>IFERROR(__xludf.DUMMYFUNCTION("""COMPUTED_VALUE"""),"Unverified")</f>
        <v/>
      </c>
      <c r="AA719" s="1" t="n"/>
      <c r="AB719" s="1" t="n"/>
      <c r="AC719" s="1" t="n"/>
      <c r="AD719" s="1" t="n"/>
      <c r="AE719" s="1" t="n"/>
    </row>
    <row r="720" ht="42" customHeight="1">
      <c r="A720" s="14">
        <f>IFERROR(__xludf.DUMMYFUNCTION("""COMPUTED_VALUE"""),45181)</f>
        <v/>
      </c>
      <c r="B720" s="1">
        <f>IFERROR(__xludf.DUMMYFUNCTION("""COMPUTED_VALUE"""),"ORG_1606")</f>
        <v/>
      </c>
      <c r="C720" s="1">
        <f>IFERROR(__xludf.DUMMYFUNCTION("""COMPUTED_VALUE"""),TRUE)</f>
        <v/>
      </c>
      <c r="D720" s="1">
        <f>IFERROR(__xludf.DUMMYFUNCTION("""COMPUTED_VALUE"""),"Gamoteca")</f>
        <v/>
      </c>
      <c r="E720" s="15">
        <f>IFERROR(__xludf.DUMMYFUNCTION("""COMPUTED_VALUE"""),"https://www.gamoteca.com/")</f>
        <v/>
      </c>
      <c r="F720" s="1">
        <f>IFERROR(__xludf.DUMMYFUNCTION("""COMPUTED_VALUE"""),"Gamoteca is a collaborative platform for trainers to easily create and publish micro-learning experiences that use real-time learner-to-learner and facilitator-to-learner interactions, e.g. coaching &amp; feedback.
Gamoteca provides an open access platform t"&amp;"o thousands of learners and trainers, while providing bespoke design consultancy services on game-based learning and other emerging educational technologies to organisations.")</f>
        <v/>
      </c>
      <c r="G720" s="1">
        <f>IFERROR(__xludf.DUMMYFUNCTION("""COMPUTED_VALUE"""),"I'm not part of any EdTech association")</f>
        <v/>
      </c>
      <c r="H720" s="1" t="n"/>
      <c r="I720" s="1">
        <f>IFERROR(__xludf.DUMMYFUNCTION("""COMPUTED_VALUE"""),"contact@gamoteca.com")</f>
        <v/>
      </c>
      <c r="J720" s="1" t="n"/>
      <c r="K720" s="1">
        <f>IFERROR(__xludf.DUMMYFUNCTION("""COMPUTED_VALUE"""),"London")</f>
        <v/>
      </c>
      <c r="L720" s="1">
        <f>IFERROR(__xludf.DUMMYFUNCTION("""COMPUTED_VALUE"""),"United Kingdom")</f>
        <v/>
      </c>
      <c r="M720" s="1">
        <f>IFERROR(__xludf.DUMMYFUNCTION("""COMPUTED_VALUE"""),"France, Germany, Hungary, Italy, Spain, Switzerland, United Kingdom")</f>
        <v/>
      </c>
      <c r="N720" s="1">
        <f>IFERROR(__xludf.DUMMYFUNCTION("""COMPUTED_VALUE"""),"0 to 10")</f>
        <v/>
      </c>
      <c r="O720" s="1">
        <f>IFERROR(__xludf.DUMMYFUNCTION("""COMPUTED_VALUE"""),"Business to Business")</f>
        <v/>
      </c>
      <c r="P720" s="1">
        <f>IFERROR(__xludf.DUMMYFUNCTION("""COMPUTED_VALUE"""),"Higher Education, Corporate Training, Lifelong learning/Adult education")</f>
        <v/>
      </c>
      <c r="Q720" s="1">
        <f>IFERROR(__xludf.DUMMYFUNCTION("""COMPUTED_VALUE"""),"Teacher interfacing, Student interfacing, System/Administrative")</f>
        <v/>
      </c>
      <c r="R720" s="1" t="n"/>
      <c r="S720" s="1" t="n"/>
      <c r="T720" s="1" t="n"/>
      <c r="U720" s="1" t="n"/>
      <c r="V720" s="1" t="n"/>
      <c r="W720" s="1" t="n"/>
      <c r="X720" s="1" t="n"/>
      <c r="Y720" s="15">
        <f>IFERROR(__xludf.DUMMYFUNCTION("""COMPUTED_VALUE"""),"https://drive.google.com/uc?export=view&amp;id=1YIY0K40cGnCUUtZ0HtjuShn51_07dz5D")</f>
        <v/>
      </c>
      <c r="Z720" s="1">
        <f>IFERROR(__xludf.DUMMYFUNCTION("""COMPUTED_VALUE"""),"Unverified")</f>
        <v/>
      </c>
      <c r="AA720" s="1" t="n"/>
      <c r="AB720" s="1" t="n"/>
      <c r="AC720" s="1" t="n"/>
      <c r="AD720" s="1" t="n"/>
      <c r="AE720" s="1" t="n"/>
    </row>
    <row r="721" ht="42" customHeight="1">
      <c r="A721" s="14">
        <f>IFERROR(__xludf.DUMMYFUNCTION("""COMPUTED_VALUE"""),45181)</f>
        <v/>
      </c>
      <c r="B721" s="1">
        <f>IFERROR(__xludf.DUMMYFUNCTION("""COMPUTED_VALUE"""),"ORG_2410")</f>
        <v/>
      </c>
      <c r="C721" s="1">
        <f>IFERROR(__xludf.DUMMYFUNCTION("""COMPUTED_VALUE"""),TRUE)</f>
        <v/>
      </c>
      <c r="D721" s="1">
        <f>IFERROR(__xludf.DUMMYFUNCTION("""COMPUTED_VALUE"""),"Three Cubes")</f>
        <v/>
      </c>
      <c r="E721" s="15">
        <f>IFERROR(__xludf.DUMMYFUNCTION("""COMPUTED_VALUE"""),"https://three-cubes.net/")</f>
        <v/>
      </c>
      <c r="F721" s="1">
        <f>IFERROR(__xludf.DUMMYFUNCTION("""COMPUTED_VALUE"""),"“Three Cubes” startup is the leading game-based learning organization for K12 in the Baltic States. We are already ahead of the global education shift — we are automating soft skills education, while gaining knowledge and enabling teachers to be facilitat"&amp;"ors of the self-driven educational play of students.
In 2020, we were selected as one of the 16 best digital solutions in Europe (Young Innovators category) in the international World Summit Awards.
Markets we have launched in:
200+ organizations have u"&amp;"sed and uses our programmes;
30,000+ children have gone through our learning platform;
6+ years in Lithuanian market;
Piloting in U.K. and U.S. market.")</f>
        <v/>
      </c>
      <c r="G721" s="1">
        <f>IFERROR(__xludf.DUMMYFUNCTION("""COMPUTED_VALUE"""),"EdTech Lithuania")</f>
        <v/>
      </c>
      <c r="H721" s="1" t="n"/>
      <c r="I721" s="1">
        <f>IFERROR(__xludf.DUMMYFUNCTION("""COMPUTED_VALUE"""),"info@tryskubai.lt")</f>
        <v/>
      </c>
      <c r="J721" s="1">
        <f>IFERROR(__xludf.DUMMYFUNCTION("""COMPUTED_VALUE"""),"+370 (602) 91 919")</f>
        <v/>
      </c>
      <c r="K721" s="1">
        <f>IFERROR(__xludf.DUMMYFUNCTION("""COMPUTED_VALUE"""),"Vilnius")</f>
        <v/>
      </c>
      <c r="L721" s="1">
        <f>IFERROR(__xludf.DUMMYFUNCTION("""COMPUTED_VALUE"""),"Lithuania")</f>
        <v/>
      </c>
      <c r="M721" s="1">
        <f>IFERROR(__xludf.DUMMYFUNCTION("""COMPUTED_VALUE"""),"Lithuania, United Kingdom")</f>
        <v/>
      </c>
      <c r="N721" s="1">
        <f>IFERROR(__xludf.DUMMYFUNCTION("""COMPUTED_VALUE"""),"11 to 50")</f>
        <v/>
      </c>
      <c r="O721" s="1">
        <f>IFERROR(__xludf.DUMMYFUNCTION("""COMPUTED_VALUE"""),"Business to Business")</f>
        <v/>
      </c>
      <c r="P721" s="1">
        <f>IFERROR(__xludf.DUMMYFUNCTION("""COMPUTED_VALUE"""),"Primary Education, Secondary Education")</f>
        <v/>
      </c>
      <c r="Q721" s="1">
        <f>IFERROR(__xludf.DUMMYFUNCTION("""COMPUTED_VALUE"""),"System/Administrative, Student interfacing, Teacher interfacing")</f>
        <v/>
      </c>
      <c r="R721" s="15">
        <f>IFERROR(__xludf.DUMMYFUNCTION("""COMPUTED_VALUE"""),"https://www.instagram.com/threecubescompany/")</f>
        <v/>
      </c>
      <c r="S721" s="1" t="n"/>
      <c r="T721" s="15">
        <f>IFERROR(__xludf.DUMMYFUNCTION("""COMPUTED_VALUE"""),"https://www.linkedin.com/company/three-cubes/")</f>
        <v/>
      </c>
      <c r="U721" s="1">
        <f>IFERROR(__xludf.DUMMYFUNCTION("""COMPUTED_VALUE"""),"Game-based learning platform")</f>
        <v/>
      </c>
      <c r="V721" s="1">
        <f>IFERROR(__xludf.DUMMYFUNCTION("""COMPUTED_VALUE"""),"""Three Cubes"" team of experts create formal and informal lessons in a virtual game world and provide this immersive educational learning platform to schools. Our content is integrated into the schools’ curriculum. Our target group is 2nd to 12th grade s"&amp;"chool students. The monthly subscription buyers of lessons are their parents or schools. Our game-based lessons are easily scalable — the content can be translated into different languages and used all over the world.")</f>
        <v/>
      </c>
      <c r="W721" s="1" t="n"/>
      <c r="X721" s="1" t="n"/>
      <c r="Y721" s="15">
        <f>IFERROR(__xludf.DUMMYFUNCTION("""COMPUTED_VALUE"""),"https://drive.google.com/uc?export=view&amp;id=1mmzOosgg2TkNlKmk7kFidY7TZjMHTJNL")</f>
        <v/>
      </c>
      <c r="Z721" s="1">
        <f>IFERROR(__xludf.DUMMYFUNCTION("""COMPUTED_VALUE"""),"Unverified")</f>
        <v/>
      </c>
      <c r="AA721" s="1" t="n"/>
      <c r="AB721" s="1" t="n"/>
      <c r="AC721" s="1" t="n"/>
      <c r="AD721" s="1" t="n"/>
      <c r="AE721" s="1" t="n"/>
    </row>
    <row r="722" ht="42" customHeight="1">
      <c r="A722" s="14">
        <f>IFERROR(__xludf.DUMMYFUNCTION("""COMPUTED_VALUE"""),45181)</f>
        <v/>
      </c>
      <c r="B722" s="1">
        <f>IFERROR(__xludf.DUMMYFUNCTION("""COMPUTED_VALUE"""),"ORG_2412")</f>
        <v/>
      </c>
      <c r="C722" s="1">
        <f>IFERROR(__xludf.DUMMYFUNCTION("""COMPUTED_VALUE"""),TRUE)</f>
        <v/>
      </c>
      <c r="D722" s="1">
        <f>IFERROR(__xludf.DUMMYFUNCTION("""COMPUTED_VALUE"""),"Timelinefy")</f>
        <v/>
      </c>
      <c r="E722" s="15">
        <f>IFERROR(__xludf.DUMMYFUNCTION("""COMPUTED_VALUE"""),"www.timelinefy.com")</f>
        <v/>
      </c>
      <c r="F722" s="1">
        <f>IFERROR(__xludf.DUMMYFUNCTION("""COMPUTED_VALUE"""),"Timelinefy is an edtech startup that aims to help students learn more efficiently and easily. We understand that supports are crucial for the learning process. Paper is an example of a support that can help us do math or design a piece of equipment. We wa"&amp;"nt to offer a digital support to help people think about issues that require reflection and analysis of a large amount of information, and that benefits from considering different perspectives. Our tool is a digital timeline, which offers an intuitive and"&amp;" interactive graphical interface. With it, users can in a way ""visualize"" and ""manipulate"" time, making connections and relationships between relevant events visible, in order to think about issues from economic theory to wars or climate change.")</f>
        <v/>
      </c>
      <c r="G722" s="1">
        <f>IFERROR(__xludf.DUMMYFUNCTION("""COMPUTED_VALUE"""),"I'm not part of any EdTech association")</f>
        <v/>
      </c>
      <c r="H722" s="1" t="n"/>
      <c r="I722" s="1" t="n"/>
      <c r="J722" s="1" t="n"/>
      <c r="K722" s="1">
        <f>IFERROR(__xludf.DUMMYFUNCTION("""COMPUTED_VALUE"""),"CASCAIS")</f>
        <v/>
      </c>
      <c r="L722" s="1">
        <f>IFERROR(__xludf.DUMMYFUNCTION("""COMPUTED_VALUE"""),"Portugal")</f>
        <v/>
      </c>
      <c r="M722" s="1">
        <f>IFERROR(__xludf.DUMMYFUNCTION("""COMPUTED_VALUE"""),"Portugal")</f>
        <v/>
      </c>
      <c r="N722" s="1">
        <f>IFERROR(__xludf.DUMMYFUNCTION("""COMPUTED_VALUE"""),"0 to 10")</f>
        <v/>
      </c>
      <c r="O722" s="1">
        <f>IFERROR(__xludf.DUMMYFUNCTION("""COMPUTED_VALUE"""),"Business to Business")</f>
        <v/>
      </c>
      <c r="P722" s="1">
        <f>IFERROR(__xludf.DUMMYFUNCTION("""COMPUTED_VALUE"""),"Secondary Education")</f>
        <v/>
      </c>
      <c r="Q722" s="1">
        <f>IFERROR(__xludf.DUMMYFUNCTION("""COMPUTED_VALUE"""),"Student interfacing, Teacher interfacing")</f>
        <v/>
      </c>
      <c r="R722" s="1" t="n"/>
      <c r="S722" s="1" t="n"/>
      <c r="T722" s="1" t="n"/>
      <c r="U722" s="1" t="n"/>
      <c r="V722" s="1" t="n"/>
      <c r="W722" s="1" t="n"/>
      <c r="X722" s="1" t="n"/>
      <c r="Y722" s="15">
        <f>IFERROR(__xludf.DUMMYFUNCTION("""COMPUTED_VALUE"""),"https://drive.google.com/uc?export=view&amp;id=1ff7ez4UHFj29d0-3cukPQCjUBR309QEp")</f>
        <v/>
      </c>
      <c r="Z722" s="1">
        <f>IFERROR(__xludf.DUMMYFUNCTION("""COMPUTED_VALUE"""),"Unverified")</f>
        <v/>
      </c>
      <c r="AA722" s="1" t="n"/>
      <c r="AB722" s="1" t="n"/>
      <c r="AC722" s="1" t="n"/>
      <c r="AD722" s="1" t="n"/>
      <c r="AE722" s="1" t="n"/>
    </row>
    <row r="723" ht="42" customHeight="1">
      <c r="A723" s="14">
        <f>IFERROR(__xludf.DUMMYFUNCTION("""COMPUTED_VALUE"""),45181)</f>
        <v/>
      </c>
      <c r="B723" s="1">
        <f>IFERROR(__xludf.DUMMYFUNCTION("""COMPUTED_VALUE"""),"ORG_2468")</f>
        <v/>
      </c>
      <c r="C723" s="1">
        <f>IFERROR(__xludf.DUMMYFUNCTION("""COMPUTED_VALUE"""),TRUE)</f>
        <v/>
      </c>
      <c r="D723" s="1">
        <f>IFERROR(__xludf.DUMMYFUNCTION("""COMPUTED_VALUE"""),"UNIwise")</f>
        <v/>
      </c>
      <c r="E723" s="15">
        <f>IFERROR(__xludf.DUMMYFUNCTION("""COMPUTED_VALUE"""),"www.uniwise.co.uk")</f>
        <v/>
      </c>
      <c r="F723" s="1">
        <f>IFERROR(__xludf.DUMMYFUNCTION("""COMPUTED_VALUE"""),"UNIwise supports educational institutions to take advantage of the power of digital assessment. WISEflow, our digital assessment platform, manages the complete assessment and feedback lifecycle across a wide range of assessment types and formats. While wo"&amp;"rking in higher education, our founders identified the need for digital assessment, using their experience in research and management to develop WISEflow is a platform that meets both teaching and learning and administrative needs. As a result, WISEflow h"&amp;"elps universities to streamline the assessment process, ensure consistency, improve feedback and raise student satisfaction. UNIwise employees are specialists from within higher education, and our expertise is now trusted by more than 100 institutions acr"&amp;"oss Europe to improve their students’ learning and transform education.")</f>
        <v/>
      </c>
      <c r="G723" s="1">
        <f>IFERROR(__xludf.DUMMYFUNCTION("""COMPUTED_VALUE"""),"EdTech Denmark")</f>
        <v/>
      </c>
      <c r="H723" s="1" t="n"/>
      <c r="I723" s="1" t="n"/>
      <c r="J723" s="1" t="n"/>
      <c r="K723" s="1">
        <f>IFERROR(__xludf.DUMMYFUNCTION("""COMPUTED_VALUE"""),"AARHUS")</f>
        <v/>
      </c>
      <c r="L723" s="1">
        <f>IFERROR(__xludf.DUMMYFUNCTION("""COMPUTED_VALUE"""),"Denmark")</f>
        <v/>
      </c>
      <c r="M723" s="1">
        <f>IFERROR(__xludf.DUMMYFUNCTION("""COMPUTED_VALUE"""),"Austria, Belgium, Denmark, Finland, France, Germany, Iceland, Malta, Netherlands, Norway, Portugal, Sweden, Switzerland, United Kingdom")</f>
        <v/>
      </c>
      <c r="N723" s="1">
        <f>IFERROR(__xludf.DUMMYFUNCTION("""COMPUTED_VALUE"""),"51 to 100")</f>
        <v/>
      </c>
      <c r="O723" s="1">
        <f>IFERROR(__xludf.DUMMYFUNCTION("""COMPUTED_VALUE"""),"Business to Business, Business to Consumer, Business to Government, Business to Schools")</f>
        <v/>
      </c>
      <c r="P723" s="1">
        <f>IFERROR(__xludf.DUMMYFUNCTION("""COMPUTED_VALUE"""),"Higher Education, Corporate Training")</f>
        <v/>
      </c>
      <c r="Q723" s="1">
        <f>IFERROR(__xludf.DUMMYFUNCTION("""COMPUTED_VALUE"""),"Teacher interfacing, System/Administrative")</f>
        <v/>
      </c>
      <c r="R723" s="1" t="n"/>
      <c r="S723" s="15">
        <f>IFERROR(__xludf.DUMMYFUNCTION("""COMPUTED_VALUE"""),"https://twitter.com/UNIwiseDK")</f>
        <v/>
      </c>
      <c r="T723" s="15">
        <f>IFERROR(__xludf.DUMMYFUNCTION("""COMPUTED_VALUE"""),"https://www.linkedin.com/company/uniwise-aps/")</f>
        <v/>
      </c>
      <c r="U723" s="1">
        <f>IFERROR(__xludf.DUMMYFUNCTION("""COMPUTED_VALUE"""),"WISEflow")</f>
        <v/>
      </c>
      <c r="V723" s="1">
        <f>IFERROR(__xludf.DUMMYFUNCTION("""COMPUTED_VALUE"""),"WISEflow is a digital assessment platform that manages the complete assessment and feedback lifecycle across a wide range of assessment types and formats. WISEflow helps universities to streamline the assessment process, ensure consistency, improve feedba"&amp;"ck and raise student satisfaction.")</f>
        <v/>
      </c>
      <c r="W723" s="1" t="n"/>
      <c r="X723" s="1" t="n"/>
      <c r="Y723" s="15">
        <f>IFERROR(__xludf.DUMMYFUNCTION("""COMPUTED_VALUE"""),"https://drive.google.com/uc?export=view&amp;id=1RVBCyR6pERkc5iarVMl1p5lLI-sQr6I3")</f>
        <v/>
      </c>
      <c r="Z723" s="1">
        <f>IFERROR(__xludf.DUMMYFUNCTION("""COMPUTED_VALUE"""),"Unverified")</f>
        <v/>
      </c>
      <c r="AA723" s="1" t="n"/>
      <c r="AB723" s="1" t="n"/>
      <c r="AC723" s="1" t="n"/>
      <c r="AD723" s="1" t="n"/>
      <c r="AE723" s="1" t="n"/>
    </row>
    <row r="724" ht="42" customHeight="1">
      <c r="A724" s="14">
        <f>IFERROR(__xludf.DUMMYFUNCTION("""COMPUTED_VALUE"""),45181)</f>
        <v/>
      </c>
      <c r="B724" s="1">
        <f>IFERROR(__xludf.DUMMYFUNCTION("""COMPUTED_VALUE"""),"ORG_2277")</f>
        <v/>
      </c>
      <c r="C724" s="1">
        <f>IFERROR(__xludf.DUMMYFUNCTION("""COMPUTED_VALUE"""),TRUE)</f>
        <v/>
      </c>
      <c r="D724" s="1">
        <f>IFERROR(__xludf.DUMMYFUNCTION("""COMPUTED_VALUE"""),"SmartCoding")</f>
        <v/>
      </c>
      <c r="E724" s="15">
        <f>IFERROR(__xludf.DUMMYFUNCTION("""COMPUTED_VALUE"""),"http://smartcoding.se")</f>
        <v/>
      </c>
      <c r="F724" s="1">
        <f>IFERROR(__xludf.DUMMYFUNCTION("""COMPUTED_VALUE"""),"SmartCoding brings a complex solution to the “women in IT” challenge by offering niche education programs which combine hands-on learning, mentoring, career coaching and connecting graduates with the job market, and the entire program is free of charge fo"&amp;"r participants! During the intensive courses we simulate a real IT work environment and the students work on real IT projects provided by our partners – companies or startups. That model of education allows students to practice their new skills with the e"&amp;"ngaging hands-on learning experience, and also helps them build their real projects’ portfolio to show to the potential employer.")</f>
        <v/>
      </c>
      <c r="G724" s="1">
        <f>IFERROR(__xludf.DUMMYFUNCTION("""COMPUTED_VALUE"""),"I'm not part of any EdTech association")</f>
        <v/>
      </c>
      <c r="H724" s="1" t="n"/>
      <c r="I724" s="1" t="n"/>
      <c r="J724" s="1" t="n"/>
      <c r="K724" s="1">
        <f>IFERROR(__xludf.DUMMYFUNCTION("""COMPUTED_VALUE"""),"Stockholm")</f>
        <v/>
      </c>
      <c r="L724" s="1">
        <f>IFERROR(__xludf.DUMMYFUNCTION("""COMPUTED_VALUE"""),"Sweden")</f>
        <v/>
      </c>
      <c r="M724" s="1">
        <f>IFERROR(__xludf.DUMMYFUNCTION("""COMPUTED_VALUE"""),"Sweden")</f>
        <v/>
      </c>
      <c r="N724" s="1">
        <f>IFERROR(__xludf.DUMMYFUNCTION("""COMPUTED_VALUE"""),"0 to 10")</f>
        <v/>
      </c>
      <c r="O724" s="1">
        <f>IFERROR(__xludf.DUMMYFUNCTION("""COMPUTED_VALUE"""),"Business to Business, Business to Consumer")</f>
        <v/>
      </c>
      <c r="P724" s="1">
        <f>IFERROR(__xludf.DUMMYFUNCTION("""COMPUTED_VALUE"""),"Corporate Training, Lifelong learning/Adult education")</f>
        <v/>
      </c>
      <c r="Q724" s="1">
        <f>IFERROR(__xludf.DUMMYFUNCTION("""COMPUTED_VALUE"""),"Student interfacing, System/Administrative")</f>
        <v/>
      </c>
      <c r="R724" s="1" t="n"/>
      <c r="S724" s="1" t="n"/>
      <c r="T724" s="1" t="n"/>
      <c r="U724" s="1" t="n"/>
      <c r="V724" s="1" t="n"/>
      <c r="W724" s="1" t="n"/>
      <c r="X724" s="1" t="n"/>
      <c r="Y724" s="15">
        <f>IFERROR(__xludf.DUMMYFUNCTION("""COMPUTED_VALUE"""),"https://drive.google.com/uc?export=view&amp;id=1s4hOjStIwnkt_0F89dQIv8a4e4gy3RLi")</f>
        <v/>
      </c>
      <c r="Z724" s="1">
        <f>IFERROR(__xludf.DUMMYFUNCTION("""COMPUTED_VALUE"""),"Unverified")</f>
        <v/>
      </c>
      <c r="AA724" s="1" t="n"/>
      <c r="AB724" s="1" t="n"/>
      <c r="AC724" s="1" t="n"/>
      <c r="AD724" s="1" t="n"/>
      <c r="AE724" s="1" t="n"/>
    </row>
    <row r="725" ht="42" customHeight="1">
      <c r="A725" s="14">
        <f>IFERROR(__xludf.DUMMYFUNCTION("""COMPUTED_VALUE"""),45181)</f>
        <v/>
      </c>
      <c r="B725" s="1">
        <f>IFERROR(__xludf.DUMMYFUNCTION("""COMPUTED_VALUE"""),"ORG_2050")</f>
        <v/>
      </c>
      <c r="C725" s="1">
        <f>IFERROR(__xludf.DUMMYFUNCTION("""COMPUTED_VALUE"""),TRUE)</f>
        <v/>
      </c>
      <c r="D725" s="1">
        <f>IFERROR(__xludf.DUMMYFUNCTION("""COMPUTED_VALUE"""),"Nualang")</f>
        <v/>
      </c>
      <c r="E725" s="15">
        <f>IFERROR(__xludf.DUMMYFUNCTION("""COMPUTED_VALUE"""),"https://nualang.com")</f>
        <v/>
      </c>
      <c r="F725" s="1">
        <f>IFERROR(__xludf.DUMMYFUNCTION("""COMPUTED_VALUE"""),"An innovative language learning platform built with teachers, students, and publishers in mind. Teachers can supplement their lesson plans and teaching methods with customisable content on Nualang. Likewise, Publishers can complement their print media wit"&amp;"h interactive digital activities. Nualang focuses on building students' confidence in speaking their target language with instant feedback across all exercises. A fun, new solution to learning a new language.")</f>
        <v/>
      </c>
      <c r="G725" s="1">
        <f>IFERROR(__xludf.DUMMYFUNCTION("""COMPUTED_VALUE"""),"I'm not part of any EdTech association")</f>
        <v/>
      </c>
      <c r="H725" s="1" t="n"/>
      <c r="I725" s="1">
        <f>IFERROR(__xludf.DUMMYFUNCTION("""COMPUTED_VALUE"""),"info@nualang.com")</f>
        <v/>
      </c>
      <c r="J725" s="1" t="n"/>
      <c r="K725" s="1">
        <f>IFERROR(__xludf.DUMMYFUNCTION("""COMPUTED_VALUE"""),"DUBLIN 2")</f>
        <v/>
      </c>
      <c r="L725" s="1">
        <f>IFERROR(__xludf.DUMMYFUNCTION("""COMPUTED_VALUE"""),"Ireland")</f>
        <v/>
      </c>
      <c r="M725" s="1">
        <f>IFERROR(__xludf.DUMMYFUNCTION("""COMPUTED_VALUE"""),"France, Germany, Ireland, Italy, Portugal, Spain, United Kingdom")</f>
        <v/>
      </c>
      <c r="N725" s="1">
        <f>IFERROR(__xludf.DUMMYFUNCTION("""COMPUTED_VALUE"""),"11 to 50")</f>
        <v/>
      </c>
      <c r="O725" s="1">
        <f>IFERROR(__xludf.DUMMYFUNCTION("""COMPUTED_VALUE"""),"Business to Business, Business to Consumer, Business to Schools")</f>
        <v/>
      </c>
      <c r="P725" s="1">
        <f>IFERROR(__xludf.DUMMYFUNCTION("""COMPUTED_VALUE"""),"Primary Education, Secondary Education, Higher Education")</f>
        <v/>
      </c>
      <c r="Q725" s="1">
        <f>IFERROR(__xludf.DUMMYFUNCTION("""COMPUTED_VALUE"""),"Teacher interfacing")</f>
        <v/>
      </c>
      <c r="R725" s="1" t="n"/>
      <c r="S725" s="1" t="n"/>
      <c r="T725" s="1" t="n"/>
      <c r="U725" s="1" t="n"/>
      <c r="V725" s="1" t="n"/>
      <c r="W725" s="1" t="n"/>
      <c r="X725" s="1" t="n"/>
      <c r="Y725" s="15">
        <f>IFERROR(__xludf.DUMMYFUNCTION("""COMPUTED_VALUE"""),"https://drive.google.com/uc?export=view&amp;id=1dj0dmjDlliLUhJQUJCyjWPAxFZlp8_Zn")</f>
        <v/>
      </c>
      <c r="Z725" s="1">
        <f>IFERROR(__xludf.DUMMYFUNCTION("""COMPUTED_VALUE"""),"Unverified")</f>
        <v/>
      </c>
      <c r="AA725" s="1" t="n"/>
      <c r="AB725" s="1" t="n"/>
      <c r="AC725" s="1" t="n"/>
      <c r="AD725" s="1" t="n"/>
      <c r="AE725" s="1" t="n"/>
    </row>
    <row r="726" ht="42" customHeight="1">
      <c r="A726" s="14">
        <f>IFERROR(__xludf.DUMMYFUNCTION("""COMPUTED_VALUE"""),45181)</f>
        <v/>
      </c>
      <c r="B726" s="1">
        <f>IFERROR(__xludf.DUMMYFUNCTION("""COMPUTED_VALUE"""),"ORG_1330")</f>
        <v/>
      </c>
      <c r="C726" s="1">
        <f>IFERROR(__xludf.DUMMYFUNCTION("""COMPUTED_VALUE"""),TRUE)</f>
        <v/>
      </c>
      <c r="D726" s="1">
        <f>IFERROR(__xludf.DUMMYFUNCTION("""COMPUTED_VALUE"""),"Datorium")</f>
        <v/>
      </c>
      <c r="E726" s="15">
        <f>IFERROR(__xludf.DUMMYFUNCTION("""COMPUTED_VALUE"""),"https://datorium.eu")</f>
        <v/>
      </c>
      <c r="F726" s="1">
        <f>IFERROR(__xludf.DUMMYFUNCTION("""COMPUTED_VALUE"""),"We are actively developing EdTech solutions for online student engagement, real-time performance assessment and study process gamification. Our solutions are used by 70 schools and we are conducting teaching activities with our innovative technologies for"&amp;" more than 4500 students.")</f>
        <v/>
      </c>
      <c r="G726" s="1">
        <f>IFERROR(__xludf.DUMMYFUNCTION("""COMPUTED_VALUE"""),"I'm not part of any EdTech association")</f>
        <v/>
      </c>
      <c r="H726" s="1" t="n"/>
      <c r="I726" s="1">
        <f>IFERROR(__xludf.DUMMYFUNCTION("""COMPUTED_VALUE"""),"hello@datorium.eu")</f>
        <v/>
      </c>
      <c r="J726" s="1" t="n"/>
      <c r="K726" s="1">
        <f>IFERROR(__xludf.DUMMYFUNCTION("""COMPUTED_VALUE"""),"Riga")</f>
        <v/>
      </c>
      <c r="L726" s="1">
        <f>IFERROR(__xludf.DUMMYFUNCTION("""COMPUTED_VALUE"""),"Latvia")</f>
        <v/>
      </c>
      <c r="M726" s="1">
        <f>IFERROR(__xludf.DUMMYFUNCTION("""COMPUTED_VALUE"""),"Czechia, Estonia, Finland, Latvia, Lithuania, Poland, Sweden")</f>
        <v/>
      </c>
      <c r="N726" s="1">
        <f>IFERROR(__xludf.DUMMYFUNCTION("""COMPUTED_VALUE"""),"11 to 50")</f>
        <v/>
      </c>
      <c r="O726" s="1">
        <f>IFERROR(__xludf.DUMMYFUNCTION("""COMPUTED_VALUE"""),"Business to Business, Business to Government, Business to Schools")</f>
        <v/>
      </c>
      <c r="P726" s="1">
        <f>IFERROR(__xludf.DUMMYFUNCTION("""COMPUTED_VALUE"""),"Secondary Education, Higher Education, Corporate Training")</f>
        <v/>
      </c>
      <c r="Q726" s="1">
        <f>IFERROR(__xludf.DUMMYFUNCTION("""COMPUTED_VALUE"""),"Student interfacing, Teacher interfacing, System/Administrative")</f>
        <v/>
      </c>
      <c r="R726" s="1" t="n"/>
      <c r="S726" s="1" t="n"/>
      <c r="T726" s="1" t="n"/>
      <c r="U726" s="1" t="n"/>
      <c r="V726" s="1" t="n"/>
      <c r="W726" s="1" t="n"/>
      <c r="X726" s="1" t="n"/>
      <c r="Y726" s="15">
        <f>IFERROR(__xludf.DUMMYFUNCTION("""COMPUTED_VALUE"""),"https://drive.google.com/uc?export=view&amp;id=1ATH7fBNgzG5jtccR774xWsOpHAYYtFqk")</f>
        <v/>
      </c>
      <c r="Z726" s="1">
        <f>IFERROR(__xludf.DUMMYFUNCTION("""COMPUTED_VALUE"""),"Unverified")</f>
        <v/>
      </c>
      <c r="AA726" s="1" t="n"/>
      <c r="AB726" s="1" t="n"/>
      <c r="AC726" s="1" t="n"/>
      <c r="AD726" s="1" t="n"/>
      <c r="AE726" s="1" t="n"/>
    </row>
    <row r="727" ht="42" customHeight="1">
      <c r="A727" s="14">
        <f>IFERROR(__xludf.DUMMYFUNCTION("""COMPUTED_VALUE"""),45181)</f>
        <v/>
      </c>
      <c r="B727" s="1">
        <f>IFERROR(__xludf.DUMMYFUNCTION("""COMPUTED_VALUE"""),"ORG_2028")</f>
        <v/>
      </c>
      <c r="C727" s="1">
        <f>IFERROR(__xludf.DUMMYFUNCTION("""COMPUTED_VALUE"""),TRUE)</f>
        <v/>
      </c>
      <c r="D727" s="1">
        <f>IFERROR(__xludf.DUMMYFUNCTION("""COMPUTED_VALUE"""),"Neotica")</f>
        <v/>
      </c>
      <c r="E727" s="15">
        <f>IFERROR(__xludf.DUMMYFUNCTION("""COMPUTED_VALUE"""),"neotica.net")</f>
        <v/>
      </c>
      <c r="F727" s="1">
        <f>IFERROR(__xludf.DUMMYFUNCTION("""COMPUTED_VALUE"""),"Neotica was born in 2006 as a consultancy specialized in Information and Communication Technologies (ICT).
We offer technological services and solutions for Infrastructures, Communications and Information Security. We deploy services based on agile metho"&amp;"dologies and good industry practices.
“We prioritize simplicity and flexibility. We promote technological minimalism”
Computer security is our priority and is present when defining architecture, systems integration, applications and services.")</f>
        <v/>
      </c>
      <c r="G727" s="1">
        <f>IFERROR(__xludf.DUMMYFUNCTION("""COMPUTED_VALUE"""),"EduTech Cluster Spain")</f>
        <v/>
      </c>
      <c r="H727" s="1" t="n"/>
      <c r="I727" s="1">
        <f>IFERROR(__xludf.DUMMYFUNCTION("""COMPUTED_VALUE"""),"fjsanchez@neotica.net")</f>
        <v/>
      </c>
      <c r="J727" s="1">
        <f>IFERROR(__xludf.DUMMYFUNCTION("""COMPUTED_VALUE"""),"+34 159 31 31")</f>
        <v/>
      </c>
      <c r="K727" s="1">
        <f>IFERROR(__xludf.DUMMYFUNCTION("""COMPUTED_VALUE"""),"TERRASSA")</f>
        <v/>
      </c>
      <c r="L727" s="1">
        <f>IFERROR(__xludf.DUMMYFUNCTION("""COMPUTED_VALUE"""),"Spain")</f>
        <v/>
      </c>
      <c r="M727" s="1">
        <f>IFERROR(__xludf.DUMMYFUNCTION("""COMPUTED_VALUE"""),"Andorra, Portugal, Spain")</f>
        <v/>
      </c>
      <c r="N727" s="1">
        <f>IFERROR(__xludf.DUMMYFUNCTION("""COMPUTED_VALUE"""),"0 to 10")</f>
        <v/>
      </c>
      <c r="O727" s="1">
        <f>IFERROR(__xludf.DUMMYFUNCTION("""COMPUTED_VALUE"""),"Business to Business, Business to Government, Business to Schools")</f>
        <v/>
      </c>
      <c r="P727" s="1">
        <f>IFERROR(__xludf.DUMMYFUNCTION("""COMPUTED_VALUE"""),"Primary Education, Secondary Education, Corporate Training, Lifelong learning/Adult education")</f>
        <v/>
      </c>
      <c r="Q727" s="1">
        <f>IFERROR(__xludf.DUMMYFUNCTION("""COMPUTED_VALUE"""),"Teacher interfacing, Student interfacing, System/Administrative")</f>
        <v/>
      </c>
      <c r="R727" s="1" t="n"/>
      <c r="S727" s="15">
        <f>IFERROR(__xludf.DUMMYFUNCTION("""COMPUTED_VALUE"""),"https://twitter.com/neoticasolution?s=20&amp;t=Ok5IOuFs3PMviPFZ2PDQvQ")</f>
        <v/>
      </c>
      <c r="T727" s="15">
        <f>IFERROR(__xludf.DUMMYFUNCTION("""COMPUTED_VALUE"""),"https://www.linkedin.com/company/neotica-solutions/")</f>
        <v/>
      </c>
      <c r="U727" s="1">
        <f>IFERROR(__xludf.DUMMYFUNCTION("""COMPUTED_VALUE"""),"autenticae")</f>
        <v/>
      </c>
      <c r="V727" s="1">
        <f>IFERROR(__xludf.DUMMYFUNCTION("""COMPUTED_VALUE"""),"At a school we seek to solve problems in the easiest, most efficient and safest way possible. With the rise of new technologies, recent years have meant that more and more students and teachers enter a classroom with devices that connect to the school's W"&amp;"iFi networks. If we count mobile phones, tablets and laptops, it is relatively easy for each user to have two or more devices connected to the Wi-Fi network. A reality for which few organizations are prepared and that can lead to a slowdown in the perform"&amp;"ance of the tasks that are indeed their objective. For all this, autenticae has designed an ideal proposal to solve this type of problem and guarantee the good work of this type of connections, guaranteeing a correct performance of the connection in an ef"&amp;"ficient and secure way.")</f>
        <v/>
      </c>
      <c r="W727" s="1" t="n"/>
      <c r="X727" s="1" t="n"/>
      <c r="Y727" s="15">
        <f>IFERROR(__xludf.DUMMYFUNCTION("""COMPUTED_VALUE"""),"https://drive.google.com/uc?export=view&amp;id=1FzK_HWgbHCWMc0pGFQ0LefHahvhx2-6v")</f>
        <v/>
      </c>
      <c r="Z727" s="1">
        <f>IFERROR(__xludf.DUMMYFUNCTION("""COMPUTED_VALUE"""),"Unverified")</f>
        <v/>
      </c>
      <c r="AA727" s="1" t="n"/>
      <c r="AB727" s="1" t="n"/>
      <c r="AC727" s="1" t="n"/>
      <c r="AD727" s="1" t="n"/>
      <c r="AE727" s="1" t="n"/>
    </row>
    <row r="728" ht="42" customHeight="1">
      <c r="A728" s="14">
        <f>IFERROR(__xludf.DUMMYFUNCTION("""COMPUTED_VALUE"""),45181)</f>
        <v/>
      </c>
      <c r="B728" s="1">
        <f>IFERROR(__xludf.DUMMYFUNCTION("""COMPUTED_VALUE"""),"ORG_2360")</f>
        <v/>
      </c>
      <c r="C728" s="1">
        <f>IFERROR(__xludf.DUMMYFUNCTION("""COMPUTED_VALUE"""),TRUE)</f>
        <v/>
      </c>
      <c r="D728" s="1">
        <f>IFERROR(__xludf.DUMMYFUNCTION("""COMPUTED_VALUE"""),"Synergetics Education")</f>
        <v/>
      </c>
      <c r="E728" s="15">
        <f>IFERROR(__xludf.DUMMYFUNCTION("""COMPUTED_VALUE"""),"https://synergetics.us")</f>
        <v/>
      </c>
      <c r="F728" s="1">
        <f>IFERROR(__xludf.DUMMYFUNCTION("""COMPUTED_VALUE"""),"Synergetics Education creates a dynamic flow between content, language, technology, and impact so that 'thinking' systems emerge synergistically to provide value as each human actor in the network emerges in conscious 'thought.' As a result, we open new w"&amp;"ays of financing and measuring education, support various economic segments, use smart contract and distributed ledger technology to synergize various parts of education into a greater whole.")</f>
        <v/>
      </c>
      <c r="G728" s="1">
        <f>IFERROR(__xludf.DUMMYFUNCTION("""COMPUTED_VALUE"""),"I'm not part of any EdTech association")</f>
        <v/>
      </c>
      <c r="H728" s="1" t="n"/>
      <c r="I728" s="1">
        <f>IFERROR(__xludf.DUMMYFUNCTION("""COMPUTED_VALUE"""),"contact@synergetics.us")</f>
        <v/>
      </c>
      <c r="J728" s="1">
        <f>IFERROR(__xludf.DUMMYFUNCTION("""COMPUTED_VALUE"""),"+43 660 967 3268")</f>
        <v/>
      </c>
      <c r="K728" s="1">
        <f>IFERROR(__xludf.DUMMYFUNCTION("""COMPUTED_VALUE"""),"Vienna")</f>
        <v/>
      </c>
      <c r="L728" s="1">
        <f>IFERROR(__xludf.DUMMYFUNCTION("""COMPUTED_VALUE"""),"Austria")</f>
        <v/>
      </c>
      <c r="M728" s="1">
        <f>IFERROR(__xludf.DUMMYFUNCTION("""COMPUTED_VALUE"""),"Austria, Belgium, France, Germany, Italy, Lithuania, Malta, Netherlands, Poland, Serbia, Spain, United Kingdom")</f>
        <v/>
      </c>
      <c r="N728" s="1">
        <f>IFERROR(__xludf.DUMMYFUNCTION("""COMPUTED_VALUE"""),"0 to 10")</f>
        <v/>
      </c>
      <c r="O728" s="1">
        <f>IFERROR(__xludf.DUMMYFUNCTION("""COMPUTED_VALUE"""),"Business to Business, Business to Government")</f>
        <v/>
      </c>
      <c r="P728" s="1">
        <f>IFERROR(__xludf.DUMMYFUNCTION("""COMPUTED_VALUE"""),"Corporate Training, Lifelong learning/Adult education")</f>
        <v/>
      </c>
      <c r="Q728" s="1">
        <f>IFERROR(__xludf.DUMMYFUNCTION("""COMPUTED_VALUE"""),"Student interfacing, System/Administrative")</f>
        <v/>
      </c>
      <c r="R728" s="1" t="n"/>
      <c r="S728" s="1" t="n"/>
      <c r="T728" s="1" t="n"/>
      <c r="U728" s="1" t="n"/>
      <c r="V728" s="1" t="n"/>
      <c r="W728" s="1" t="n"/>
      <c r="X728" s="1" t="n"/>
      <c r="Y728" s="15">
        <f>IFERROR(__xludf.DUMMYFUNCTION("""COMPUTED_VALUE"""),"https://drive.google.com/uc?export=view&amp;id=1yN8Yrn7LtfYhqQudK2RC_Q9QESOLmIkJ")</f>
        <v/>
      </c>
      <c r="Z728" s="1">
        <f>IFERROR(__xludf.DUMMYFUNCTION("""COMPUTED_VALUE"""),"Unverified")</f>
        <v/>
      </c>
      <c r="AA728" s="1" t="n"/>
      <c r="AB728" s="1" t="n"/>
      <c r="AC728" s="1" t="n"/>
      <c r="AD728" s="1" t="n"/>
      <c r="AE728" s="1" t="n"/>
    </row>
    <row r="729" ht="42" customHeight="1">
      <c r="A729" s="14">
        <f>IFERROR(__xludf.DUMMYFUNCTION("""COMPUTED_VALUE"""),45181)</f>
        <v/>
      </c>
      <c r="B729" s="1">
        <f>IFERROR(__xludf.DUMMYFUNCTION("""COMPUTED_VALUE"""),"ORG_2305")</f>
        <v/>
      </c>
      <c r="C729" s="1">
        <f>IFERROR(__xludf.DUMMYFUNCTION("""COMPUTED_VALUE"""),TRUE)</f>
        <v/>
      </c>
      <c r="D729" s="15">
        <f>IFERROR(__xludf.DUMMYFUNCTION("""COMPUTED_VALUE"""),"spatium.bg")</f>
        <v/>
      </c>
      <c r="E729" s="15">
        <f>IFERROR(__xludf.DUMMYFUNCTION("""COMPUTED_VALUE"""),"https://spatium.bg/")</f>
        <v/>
      </c>
      <c r="F729" s="1">
        <f>IFERROR(__xludf.DUMMYFUNCTION("""COMPUTED_VALUE"""),"We adamantly pursue our mission to give everyone access to trustworthy information by creating exceptional, state of the art dynamic maps!
Our aim is to digitaze history &amp; geography education by creating digital dynamic maps with change over time and als"&amp;"o geographic maps with unique features.")</f>
        <v/>
      </c>
      <c r="G729" s="1">
        <f>IFERROR(__xludf.DUMMYFUNCTION("""COMPUTED_VALUE"""),"I'm not part of any EdTech association")</f>
        <v/>
      </c>
      <c r="H729" s="1" t="n"/>
      <c r="I729" s="1">
        <f>IFERROR(__xludf.DUMMYFUNCTION("""COMPUTED_VALUE"""),"spatium.bg@gmail.com")</f>
        <v/>
      </c>
      <c r="J729" s="1">
        <f>IFERROR(__xludf.DUMMYFUNCTION("""COMPUTED_VALUE"""),"+359898433345")</f>
        <v/>
      </c>
      <c r="K729" s="1">
        <f>IFERROR(__xludf.DUMMYFUNCTION("""COMPUTED_VALUE"""),"Sofia")</f>
        <v/>
      </c>
      <c r="L729" s="1">
        <f>IFERROR(__xludf.DUMMYFUNCTION("""COMPUTED_VALUE"""),"Bulgaria")</f>
        <v/>
      </c>
      <c r="M729" s="1">
        <f>IFERROR(__xludf.DUMMYFUNCTION("""COMPUTED_VALUE"""),"Bulgaria")</f>
        <v/>
      </c>
      <c r="N729" s="1">
        <f>IFERROR(__xludf.DUMMYFUNCTION("""COMPUTED_VALUE"""),"0 to 10")</f>
        <v/>
      </c>
      <c r="O729" s="1">
        <f>IFERROR(__xludf.DUMMYFUNCTION("""COMPUTED_VALUE"""),"Business to Consumer, Business to Government")</f>
        <v/>
      </c>
      <c r="P729" s="1">
        <f>IFERROR(__xludf.DUMMYFUNCTION("""COMPUTED_VALUE"""),"Primary Education, Secondary Education, Higher Education")</f>
        <v/>
      </c>
      <c r="Q729" s="1">
        <f>IFERROR(__xludf.DUMMYFUNCTION("""COMPUTED_VALUE"""),"System/Administrative, Student interfacing, Teacher interfacing")</f>
        <v/>
      </c>
      <c r="R729" s="1" t="n"/>
      <c r="S729" s="1" t="n"/>
      <c r="T729" s="1" t="n"/>
      <c r="U729" s="1" t="n"/>
      <c r="V729" s="1" t="n"/>
      <c r="W729" s="1" t="n"/>
      <c r="X729" s="1" t="n"/>
      <c r="Y729" s="15">
        <f>IFERROR(__xludf.DUMMYFUNCTION("""COMPUTED_VALUE"""),"https://drive.google.com/uc?export=view&amp;id=1kgLR5bh9rN9D5WI8QqgWZhahGMXUGaar")</f>
        <v/>
      </c>
      <c r="Z729" s="1">
        <f>IFERROR(__xludf.DUMMYFUNCTION("""COMPUTED_VALUE"""),"Unverified")</f>
        <v/>
      </c>
      <c r="AA729" s="1" t="n"/>
      <c r="AB729" s="1" t="n"/>
      <c r="AC729" s="1" t="n"/>
      <c r="AD729" s="1" t="n"/>
      <c r="AE729" s="1" t="n"/>
    </row>
    <row r="730" ht="42" customHeight="1">
      <c r="A730" s="14">
        <f>IFERROR(__xludf.DUMMYFUNCTION("""COMPUTED_VALUE"""),45181)</f>
        <v/>
      </c>
      <c r="B730" s="1">
        <f>IFERROR(__xludf.DUMMYFUNCTION("""COMPUTED_VALUE"""),"ORG_2422")</f>
        <v/>
      </c>
      <c r="C730" s="1">
        <f>IFERROR(__xludf.DUMMYFUNCTION("""COMPUTED_VALUE"""),TRUE)</f>
        <v/>
      </c>
      <c r="D730" s="1">
        <f>IFERROR(__xludf.DUMMYFUNCTION("""COMPUTED_VALUE"""),"TopTutors")</f>
        <v/>
      </c>
      <c r="E730" s="15">
        <f>IFERROR(__xludf.DUMMYFUNCTION("""COMPUTED_VALUE"""),"https://toptutors.dk/")</f>
        <v/>
      </c>
      <c r="F730" s="1">
        <f>IFERROR(__xludf.DUMMYFUNCTION("""COMPUTED_VALUE"""),"Online tutoring platform for school kids.")</f>
        <v/>
      </c>
      <c r="G730" s="1">
        <f>IFERROR(__xludf.DUMMYFUNCTION("""COMPUTED_VALUE"""),"I'm not part of any EdTech association")</f>
        <v/>
      </c>
      <c r="H730" s="1" t="n"/>
      <c r="I730" s="1">
        <f>IFERROR(__xludf.DUMMYFUNCTION("""COMPUTED_VALUE"""),"elmar@toptutors.dk")</f>
        <v/>
      </c>
      <c r="J730" s="1">
        <f>IFERROR(__xludf.DUMMYFUNCTION("""COMPUTED_VALUE"""),"+4593839757")</f>
        <v/>
      </c>
      <c r="K730" s="1">
        <f>IFERROR(__xludf.DUMMYFUNCTION("""COMPUTED_VALUE"""),"Frederiksberg")</f>
        <v/>
      </c>
      <c r="L730" s="1">
        <f>IFERROR(__xludf.DUMMYFUNCTION("""COMPUTED_VALUE"""),"Denmark")</f>
        <v/>
      </c>
      <c r="M730" s="1">
        <f>IFERROR(__xludf.DUMMYFUNCTION("""COMPUTED_VALUE"""),"Denmark")</f>
        <v/>
      </c>
      <c r="N730" s="1">
        <f>IFERROR(__xludf.DUMMYFUNCTION("""COMPUTED_VALUE"""),"0 to 10")</f>
        <v/>
      </c>
      <c r="O730" s="1">
        <f>IFERROR(__xludf.DUMMYFUNCTION("""COMPUTED_VALUE"""),"Business to Consumer")</f>
        <v/>
      </c>
      <c r="P730" s="1">
        <f>IFERROR(__xludf.DUMMYFUNCTION("""COMPUTED_VALUE"""),"Primary Education, Secondary Education")</f>
        <v/>
      </c>
      <c r="Q730" s="1">
        <f>IFERROR(__xludf.DUMMYFUNCTION("""COMPUTED_VALUE"""),"System/Administrative, Student interfacing")</f>
        <v/>
      </c>
      <c r="R730" s="1" t="n"/>
      <c r="S730" s="1" t="n"/>
      <c r="T730" s="1" t="n"/>
      <c r="U730" s="1" t="n"/>
      <c r="V730" s="1" t="n"/>
      <c r="W730" s="1" t="n"/>
      <c r="X730" s="1" t="n"/>
      <c r="Y730" s="15">
        <f>IFERROR(__xludf.DUMMYFUNCTION("""COMPUTED_VALUE"""),"https://drive.google.com/uc?export=view&amp;id=1c_RUpubaZy_QmHPx46iXQhy5rUoL92dJ")</f>
        <v/>
      </c>
      <c r="Z730" s="1">
        <f>IFERROR(__xludf.DUMMYFUNCTION("""COMPUTED_VALUE"""),"Unverified")</f>
        <v/>
      </c>
      <c r="AA730" s="1" t="n"/>
      <c r="AB730" s="1" t="n"/>
      <c r="AC730" s="1" t="n"/>
      <c r="AD730" s="1" t="n"/>
      <c r="AE730" s="1" t="n"/>
    </row>
    <row r="731" ht="42" customHeight="1">
      <c r="A731" s="14">
        <f>IFERROR(__xludf.DUMMYFUNCTION("""COMPUTED_VALUE"""),45181)</f>
        <v/>
      </c>
      <c r="B731" s="1">
        <f>IFERROR(__xludf.DUMMYFUNCTION("""COMPUTED_VALUE"""),"ORG_1046")</f>
        <v/>
      </c>
      <c r="C731" s="1">
        <f>IFERROR(__xludf.DUMMYFUNCTION("""COMPUTED_VALUE"""),TRUE)</f>
        <v/>
      </c>
      <c r="D731" s="1">
        <f>IFERROR(__xludf.DUMMYFUNCTION("""COMPUTED_VALUE"""),"AktivTime ApS")</f>
        <v/>
      </c>
      <c r="E731" s="15">
        <f>IFERROR(__xludf.DUMMYFUNCTION("""COMPUTED_VALUE"""),"https://aktivtime.dk/")</f>
        <v/>
      </c>
      <c r="F731" s="1">
        <f>IFERROR(__xludf.DUMMYFUNCTION("""COMPUTED_VALUE"""),"Make learning awesome
We believe that movement strengthens children and youngsters learning and motivation
Several studies show that movement counteracts restlessness and helps with concentration. With Aktiv Time you can easily activate your students, opt"&amp;"imize their learning and secure their well-being.")</f>
        <v/>
      </c>
      <c r="G731" s="1">
        <f>IFERROR(__xludf.DUMMYFUNCTION("""COMPUTED_VALUE"""),"EdTech Denmark")</f>
        <v/>
      </c>
      <c r="H731" s="1" t="n"/>
      <c r="I731" s="1">
        <f>IFERROR(__xludf.DUMMYFUNCTION("""COMPUTED_VALUE"""),"tkt@aktivtime.dk")</f>
        <v/>
      </c>
      <c r="J731" s="1">
        <f>IFERROR(__xludf.DUMMYFUNCTION("""COMPUTED_VALUE"""),"+4521753317")</f>
        <v/>
      </c>
      <c r="K731" s="1">
        <f>IFERROR(__xludf.DUMMYFUNCTION("""COMPUTED_VALUE"""),"Viborg")</f>
        <v/>
      </c>
      <c r="L731" s="1">
        <f>IFERROR(__xludf.DUMMYFUNCTION("""COMPUTED_VALUE"""),"Denmark")</f>
        <v/>
      </c>
      <c r="M731" s="1">
        <f>IFERROR(__xludf.DUMMYFUNCTION("""COMPUTED_VALUE"""),"Denmark, Germany, Ireland, Malta, Netherlands, Norway, Sweden, United Kingdom")</f>
        <v/>
      </c>
      <c r="N731" s="1">
        <f>IFERROR(__xludf.DUMMYFUNCTION("""COMPUTED_VALUE"""),"0 to 10")</f>
        <v/>
      </c>
      <c r="O731" s="1">
        <f>IFERROR(__xludf.DUMMYFUNCTION("""COMPUTED_VALUE"""),"Business to Business, Business to Consumer, Business to Government, Business to Schools")</f>
        <v/>
      </c>
      <c r="P731" s="1">
        <f>IFERROR(__xludf.DUMMYFUNCTION("""COMPUTED_VALUE"""),"Early childhood development (0-5 years), Primary Education, Secondary Education, Higher Education, Corporate Training, Lifelong learning/Adult education")</f>
        <v/>
      </c>
      <c r="Q731" s="1">
        <f>IFERROR(__xludf.DUMMYFUNCTION("""COMPUTED_VALUE"""),"System/Administrative, Student interfacing, Teacher interfacing")</f>
        <v/>
      </c>
      <c r="R731" s="15">
        <f>IFERROR(__xludf.DUMMYFUNCTION("""COMPUTED_VALUE"""),"https://www.instagram.com/aktivtime.dk/")</f>
        <v/>
      </c>
      <c r="S731" s="1">
        <f>IFERROR(__xludf.DUMMYFUNCTION("""COMPUTED_VALUE"""),"AktivTime ApS")</f>
        <v/>
      </c>
      <c r="T731" s="15">
        <f>IFERROR(__xludf.DUMMYFUNCTION("""COMPUTED_VALUE"""),"https://www.linkedin.com/company/aktivtime/")</f>
        <v/>
      </c>
      <c r="U731" s="15">
        <f>IFERROR(__xludf.DUMMYFUNCTION("""COMPUTED_VALUE"""),"AktivTime.dk")</f>
        <v/>
      </c>
      <c r="V731" s="1">
        <f>IFERROR(__xludf.DUMMYFUNCTION("""COMPUTED_VALUE"""),"Make learning awesome
We believe that movement strengthens children and youngsters learning and motivation
Several studies show that movement counteracts restlessness and helps with concentration. With Aktiv Time you can easily activate your students, opt"&amp;"imize their learning and secure their well-being.")</f>
        <v/>
      </c>
      <c r="W731" s="1" t="n"/>
      <c r="X731" s="1" t="n"/>
      <c r="Y731" s="15">
        <f>IFERROR(__xludf.DUMMYFUNCTION("""COMPUTED_VALUE"""),"https://drive.google.com/uc?export=view&amp;id=1pi4VHV5nWHpT34pZO0fytTJQxq8COk0q")</f>
        <v/>
      </c>
      <c r="Z731" s="1">
        <f>IFERROR(__xludf.DUMMYFUNCTION("""COMPUTED_VALUE"""),"Unverified")</f>
        <v/>
      </c>
      <c r="AA731" s="1" t="n"/>
      <c r="AB731" s="1" t="n"/>
      <c r="AC731" s="1" t="n"/>
      <c r="AD731" s="1" t="n"/>
      <c r="AE731" s="1" t="n"/>
    </row>
    <row r="732" ht="42" customHeight="1">
      <c r="A732" s="14">
        <f>IFERROR(__xludf.DUMMYFUNCTION("""COMPUTED_VALUE"""),45181)</f>
        <v/>
      </c>
      <c r="B732" s="1">
        <f>IFERROR(__xludf.DUMMYFUNCTION("""COMPUTED_VALUE"""),"ORG_1754")</f>
        <v/>
      </c>
      <c r="C732" s="1">
        <f>IFERROR(__xludf.DUMMYFUNCTION("""COMPUTED_VALUE"""),TRUE)</f>
        <v/>
      </c>
      <c r="D732" s="1">
        <f>IFERROR(__xludf.DUMMYFUNCTION("""COMPUTED_VALUE"""),"Jeulin")</f>
        <v/>
      </c>
      <c r="E732" s="15">
        <f>IFERROR(__xludf.DUMMYFUNCTION("""COMPUTED_VALUE"""),"www.jeulin.com")</f>
        <v/>
      </c>
      <c r="F732" s="1">
        <f>IFERROR(__xludf.DUMMYFUNCTION("""COMPUTED_VALUE"""),"Jeulin is a long experience French EdTech company, publisher of teaching online resources and supplier of teaching materials serving scientific and technical education. Jeulin designs, manufactures and markets teaching tools for experimental sciences (Phy"&amp;"sics, Chemistry, Biology and Earth Sciences) and Technology in primary, secondary and higher education.")</f>
        <v/>
      </c>
      <c r="G732" s="1">
        <f>IFERROR(__xludf.DUMMYFUNCTION("""COMPUTED_VALUE"""),"AFINEF")</f>
        <v/>
      </c>
      <c r="H732" s="1">
        <f>IFERROR(__xludf.DUMMYFUNCTION("""COMPUTED_VALUE"""),"English")</f>
        <v/>
      </c>
      <c r="I732" s="1">
        <f>IFERROR(__xludf.DUMMYFUNCTION("""COMPUTED_VALUE"""),"gburel@jeulin.fr")</f>
        <v/>
      </c>
      <c r="J732" s="1">
        <f>IFERROR(__xludf.DUMMYFUNCTION("""COMPUTED_VALUE"""),"+33 2 32 29 40 00")</f>
        <v/>
      </c>
      <c r="K732" s="1">
        <f>IFERROR(__xludf.DUMMYFUNCTION("""COMPUTED_VALUE"""),"EVREUX")</f>
        <v/>
      </c>
      <c r="L732" s="1">
        <f>IFERROR(__xludf.DUMMYFUNCTION("""COMPUTED_VALUE"""),"France")</f>
        <v/>
      </c>
      <c r="M732" s="1">
        <f>IFERROR(__xludf.DUMMYFUNCTION("""COMPUTED_VALUE"""),"Albania, Andorra, Austria, Belgium, Bosnia and Herzegovina, Bulgaria, Croatia, Cyprus, Czechia, Denmark, Estonia, Finland, France, Germany, Greece, Hungary, Ireland, Italy, Liechtenstein, Lithuania, Luxembourg, Malta, Monaco, Montenegro, Netherlands, Nort"&amp;"h Macedonia, Norway, Poland, Portugal, Romania, San Marino, Serbia, Slovakia, Slovenia, Spain, Sweden, Switzerland, United Kingdom")</f>
        <v/>
      </c>
      <c r="N732" s="1">
        <f>IFERROR(__xludf.DUMMYFUNCTION("""COMPUTED_VALUE"""),"101 to 500")</f>
        <v/>
      </c>
      <c r="O732" s="1">
        <f>IFERROR(__xludf.DUMMYFUNCTION("""COMPUTED_VALUE"""),"Business to Consumer, Business to Schools")</f>
        <v/>
      </c>
      <c r="P732" s="1">
        <f>IFERROR(__xludf.DUMMYFUNCTION("""COMPUTED_VALUE"""),"Primary Education, Secondary Education, Higher Education")</f>
        <v/>
      </c>
      <c r="Q732" s="1">
        <f>IFERROR(__xludf.DUMMYFUNCTION("""COMPUTED_VALUE"""),"Student interfacing, Teacher interfacing")</f>
        <v/>
      </c>
      <c r="R732" s="1" t="n"/>
      <c r="S732" s="15">
        <f>IFERROR(__xludf.DUMMYFUNCTION("""COMPUTED_VALUE"""),"https://twitter.com/Jeulin_fr")</f>
        <v/>
      </c>
      <c r="T732" s="1" t="n"/>
      <c r="U732" s="1">
        <f>IFERROR(__xludf.DUMMYFUNCTION("""COMPUTED_VALUE"""),"Jeulin online learning platform")</f>
        <v/>
      </c>
      <c r="V732" s="1">
        <f>IFERROR(__xludf.DUMMYFUNCTION("""COMPUTED_VALUE"""),"Access to Jeulin online learning platform (www.plateformenum.jeulin.fr) and discover a wide range of teaching resources (online softwares, applications, experiments guides, videos, images, posters, ...) dedicated to Science. These resources are designed t"&amp;"o be used in a hybrid way, either in full autonomy by students. They adapt to any type of device: computer, tablet and smartphone.")</f>
        <v/>
      </c>
      <c r="W732" s="1" t="n"/>
      <c r="X732" s="1" t="n"/>
      <c r="Y732" s="15">
        <f>IFERROR(__xludf.DUMMYFUNCTION("""COMPUTED_VALUE"""),"https://drive.google.com/uc?export=view&amp;id=1FqYCzcmA-BNTHznSnWftxBwydxXdgce1")</f>
        <v/>
      </c>
      <c r="Z732" s="1">
        <f>IFERROR(__xludf.DUMMYFUNCTION("""COMPUTED_VALUE"""),"Unverified")</f>
        <v/>
      </c>
      <c r="AA732" s="1" t="n"/>
      <c r="AB732" s="1" t="n"/>
      <c r="AC732" s="1" t="n"/>
      <c r="AD732" s="1" t="n"/>
      <c r="AE732" s="1" t="n"/>
    </row>
    <row r="733" ht="42" customHeight="1">
      <c r="A733" s="14">
        <f>IFERROR(__xludf.DUMMYFUNCTION("""COMPUTED_VALUE"""),45181)</f>
        <v/>
      </c>
      <c r="B733" s="1">
        <f>IFERROR(__xludf.DUMMYFUNCTION("""COMPUTED_VALUE"""),"ORG_1149")</f>
        <v/>
      </c>
      <c r="C733" s="1">
        <f>IFERROR(__xludf.DUMMYFUNCTION("""COMPUTED_VALUE"""),TRUE)</f>
        <v/>
      </c>
      <c r="D733" s="1">
        <f>IFERROR(__xludf.DUMMYFUNCTION("""COMPUTED_VALUE"""),"BeeSpeaker")</f>
        <v/>
      </c>
      <c r="E733" s="15">
        <f>IFERROR(__xludf.DUMMYFUNCTION("""COMPUTED_VALUE"""),"https://beespeaker.com")</f>
        <v/>
      </c>
      <c r="F733" s="1">
        <f>IFERROR(__xludf.DUMMYFUNCTION("""COMPUTED_VALUE"""),"BeeSpeaker is an AI-powered Digital Language Tutor app for learning foreign languages naturally with interactive AI-tutor.")</f>
        <v/>
      </c>
      <c r="G733" s="1">
        <f>IFERROR(__xludf.DUMMYFUNCTION("""COMPUTED_VALUE"""),"I'm not part of any EdTech association")</f>
        <v/>
      </c>
      <c r="H733" s="1">
        <f>IFERROR(__xludf.DUMMYFUNCTION("""COMPUTED_VALUE"""),"Polish, Spanish, English, Russian, German, French, Italian")</f>
        <v/>
      </c>
      <c r="I733" s="1">
        <f>IFERROR(__xludf.DUMMYFUNCTION("""COMPUTED_VALUE"""),"hello@beespeaker.com")</f>
        <v/>
      </c>
      <c r="J733" s="1" t="n"/>
      <c r="K733" s="1">
        <f>IFERROR(__xludf.DUMMYFUNCTION("""COMPUTED_VALUE"""),"Stockholm")</f>
        <v/>
      </c>
      <c r="L733" s="1">
        <f>IFERROR(__xludf.DUMMYFUNCTION("""COMPUTED_VALUE"""),"Sweden")</f>
        <v/>
      </c>
      <c r="M733" s="1">
        <f>IFERROR(__xludf.DUMMYFUNCTION("""COMPUTED_VALUE"""),"Czechia, Germany, Ireland, Italy, Poland, Slovakia, Spain, Sweden, Switzerland, United Kingdom")</f>
        <v/>
      </c>
      <c r="N733" s="1">
        <f>IFERROR(__xludf.DUMMYFUNCTION("""COMPUTED_VALUE"""),"6 to 10")</f>
        <v/>
      </c>
      <c r="O733" s="1">
        <f>IFERROR(__xludf.DUMMYFUNCTION("""COMPUTED_VALUE"""),"Business to Consumer")</f>
        <v/>
      </c>
      <c r="P733" s="1">
        <f>IFERROR(__xludf.DUMMYFUNCTION("""COMPUTED_VALUE"""),"Lifelong learning/Adult education")</f>
        <v/>
      </c>
      <c r="Q733" s="1">
        <f>IFERROR(__xludf.DUMMYFUNCTION("""COMPUTED_VALUE"""),"System/Administrative, Student interfacing")</f>
        <v/>
      </c>
      <c r="R733" s="15">
        <f>IFERROR(__xludf.DUMMYFUNCTION("""COMPUTED_VALUE"""),"https://www.instagram.com/beespeakerapp")</f>
        <v/>
      </c>
      <c r="S733" s="1" t="n"/>
      <c r="T733" s="15">
        <f>IFERROR(__xludf.DUMMYFUNCTION("""COMPUTED_VALUE"""),"https://www.linkedin.com/company/beespeaker/")</f>
        <v/>
      </c>
      <c r="U733" s="1">
        <f>IFERROR(__xludf.DUMMYFUNCTION("""COMPUTED_VALUE"""),"BeeSpeaker")</f>
        <v/>
      </c>
      <c r="V733" s="1">
        <f>IFERROR(__xludf.DUMMYFUNCTION("""COMPUTED_VALUE"""),"BeeSpeaker is an AI-powered language tutor.")</f>
        <v/>
      </c>
      <c r="W733" s="1" t="n"/>
      <c r="X733" s="1" t="n"/>
      <c r="Y733" s="15">
        <f>IFERROR(__xludf.DUMMYFUNCTION("""COMPUTED_VALUE"""),"https://drive.google.com/uc?export=view&amp;id=15IOuQQnvl-ZT9cjW7hRqwiuDbMY6L4st")</f>
        <v/>
      </c>
      <c r="Z733" s="1">
        <f>IFERROR(__xludf.DUMMYFUNCTION("""COMPUTED_VALUE"""),"Unverified")</f>
        <v/>
      </c>
      <c r="AA733" s="1" t="n"/>
      <c r="AB733" s="1" t="n"/>
      <c r="AC733" s="1" t="n"/>
      <c r="AD733" s="1" t="n"/>
      <c r="AE733" s="1" t="n"/>
    </row>
    <row r="734" ht="42" customHeight="1">
      <c r="A734" s="14">
        <f>IFERROR(__xludf.DUMMYFUNCTION("""COMPUTED_VALUE"""),45181)</f>
        <v/>
      </c>
      <c r="B734" s="1">
        <f>IFERROR(__xludf.DUMMYFUNCTION("""COMPUTED_VALUE"""),"ORG_1103")</f>
        <v/>
      </c>
      <c r="C734" s="1">
        <f>IFERROR(__xludf.DUMMYFUNCTION("""COMPUTED_VALUE"""),TRUE)</f>
        <v/>
      </c>
      <c r="D734" s="1">
        <f>IFERROR(__xludf.DUMMYFUNCTION("""COMPUTED_VALUE"""),"Artologik")</f>
        <v/>
      </c>
      <c r="E734" s="15">
        <f>IFERROR(__xludf.DUMMYFUNCTION("""COMPUTED_VALUE"""),"https://www.artologik.com/en/survey-report/solutions/schools-universities")</f>
        <v/>
      </c>
      <c r="F734" s="1">
        <f>IFERROR(__xludf.DUMMYFUNCTION("""COMPUTED_VALUE"""),"We at Artisan Global Media provide survey solutions that support schools and universities in their work to provide opportunities for lifelong learning.
With our survey tool Artologik Survey&amp;Report, schools and universities can gather and evaluate feedbac"&amp;"k from students and teachers to improve quality, equity and learning.
The survey tool is easy to integrate with learning platforms, such as Canvas, Blackboard and Moodle, which allows students to give feedback in the tools they use on a daily basis. This"&amp;" also benefits teachers, who can create and administer course evaluations directly in their LMS tool.
Both Swedish and European schools and universities trust and use the software. In Sweden, over 50% of all higher education institutions use our survey t"&amp;"ool via the computer network of Swedish universities, SUNET. 
Our company and data centre are ISO 27001 certified and located in Sweden, and our surveys are WCAG 2.1 AA compliant.")</f>
        <v/>
      </c>
      <c r="G734" s="1">
        <f>IFERROR(__xludf.DUMMYFUNCTION("""COMPUTED_VALUE"""),"Swedish EdTech Industry")</f>
        <v/>
      </c>
      <c r="H734" s="1" t="n"/>
      <c r="I734" s="1">
        <f>IFERROR(__xludf.DUMMYFUNCTION("""COMPUTED_VALUE"""),"info@artologik.com")</f>
        <v/>
      </c>
      <c r="J734" s="1">
        <f>IFERROR(__xludf.DUMMYFUNCTION("""COMPUTED_VALUE"""),"+46 470 538500")</f>
        <v/>
      </c>
      <c r="K734" s="1">
        <f>IFERROR(__xludf.DUMMYFUNCTION("""COMPUTED_VALUE"""),"Framtidsvägen 12 B")</f>
        <v/>
      </c>
      <c r="L734" s="1">
        <f>IFERROR(__xludf.DUMMYFUNCTION("""COMPUTED_VALUE"""),"Sweden")</f>
        <v/>
      </c>
      <c r="M734" s="1">
        <f>IFERROR(__xludf.DUMMYFUNCTION("""COMPUTED_VALUE"""),"Andorra, Austria, Belgium, Denmark, Finland, France, Germany, Iceland, Ireland, Luxembourg, Monaco, Netherlands, Norway, Spain, Sweden, Switzerland, United Kingdom")</f>
        <v/>
      </c>
      <c r="N734" s="1">
        <f>IFERROR(__xludf.DUMMYFUNCTION("""COMPUTED_VALUE"""),"11 to 50")</f>
        <v/>
      </c>
      <c r="O734" s="1">
        <f>IFERROR(__xludf.DUMMYFUNCTION("""COMPUTED_VALUE"""),"Business to Business, Business to Government, Business to Schools")</f>
        <v/>
      </c>
      <c r="P734" s="1">
        <f>IFERROR(__xludf.DUMMYFUNCTION("""COMPUTED_VALUE"""),"Early childhood development (0-5 years), Primary Education, Secondary Education, Higher Education, Corporate Training, Lifelong learning/Adult education")</f>
        <v/>
      </c>
      <c r="Q734" s="1">
        <f>IFERROR(__xludf.DUMMYFUNCTION("""COMPUTED_VALUE"""),"Teacher interfacing, System/Administrative, Student interfacing")</f>
        <v/>
      </c>
      <c r="R734" s="1" t="n"/>
      <c r="S734" s="1" t="n"/>
      <c r="T734" s="15">
        <f>IFERROR(__xludf.DUMMYFUNCTION("""COMPUTED_VALUE"""),"https://www.linkedin.com/company/artologik")</f>
        <v/>
      </c>
      <c r="U734" s="1">
        <f>IFERROR(__xludf.DUMMYFUNCTION("""COMPUTED_VALUE"""),"Artologik Survey&amp;Report")</f>
        <v/>
      </c>
      <c r="V734" s="1">
        <f>IFERROR(__xludf.DUMMYFUNCTION("""COMPUTED_VALUE"""),"Artologik Survey&amp;Report is a highly flexible survey tool suitable for many different purposes. You use the tool to construct, design and distribute professional course evaluations, subject assessments and other school surveys.
The intuitive and secure sur"&amp;"vey tool lets you follow up on results in real time and generate reports automatically based on predefined templates. With its learning platform integration, the survey tool is the perfect solution for schools and universities since it allows students and"&amp;" teachers to work directly on their LMS.")</f>
        <v/>
      </c>
      <c r="W734" s="1" t="n"/>
      <c r="X734" s="1" t="n"/>
      <c r="Y734" s="15">
        <f>IFERROR(__xludf.DUMMYFUNCTION("""COMPUTED_VALUE"""),"https://drive.google.com/uc?export=view&amp;id=1svAe06Bmq8_eIcLyFaIV2yCER4w-aSw2")</f>
        <v/>
      </c>
      <c r="Z734" s="1">
        <f>IFERROR(__xludf.DUMMYFUNCTION("""COMPUTED_VALUE"""),"Unverified")</f>
        <v/>
      </c>
      <c r="AA734" s="1" t="n"/>
      <c r="AB734" s="1" t="n"/>
      <c r="AC734" s="1" t="n"/>
      <c r="AD734" s="1" t="n"/>
      <c r="AE734" s="1" t="n"/>
    </row>
    <row r="735" ht="42" customHeight="1">
      <c r="A735" s="14">
        <f>IFERROR(__xludf.DUMMYFUNCTION("""COMPUTED_VALUE"""),45181)</f>
        <v/>
      </c>
      <c r="B735" s="1">
        <f>IFERROR(__xludf.DUMMYFUNCTION("""COMPUTED_VALUE"""),"ORG_1129")</f>
        <v/>
      </c>
      <c r="C735" s="1">
        <f>IFERROR(__xludf.DUMMYFUNCTION("""COMPUTED_VALUE"""),TRUE)</f>
        <v/>
      </c>
      <c r="D735" s="1">
        <f>IFERROR(__xludf.DUMMYFUNCTION("""COMPUTED_VALUE"""),"Avetica")</f>
        <v/>
      </c>
      <c r="E735" s="15">
        <f>IFERROR(__xludf.DUMMYFUNCTION("""COMPUTED_VALUE"""),"https://avetica.nl/")</f>
        <v/>
      </c>
      <c r="F735" s="1">
        <f>IFERROR(__xludf.DUMMYFUNCTION("""COMPUTED_VALUE"""),"Avetica is the dedicated Premium Moodle Partner in the Netherlands and Belgium. We offers full Moodle Workplace services for corporate companies, non-profit, higher education as well as small business.")</f>
        <v/>
      </c>
      <c r="G735" s="1">
        <f>IFERROR(__xludf.DUMMYFUNCTION("""COMPUTED_VALUE"""),"I'm not part of any EdTech association")</f>
        <v/>
      </c>
      <c r="H735" s="1" t="n"/>
      <c r="I735" s="1">
        <f>IFERROR(__xludf.DUMMYFUNCTION("""COMPUTED_VALUE"""),"sales@avetica.nl")</f>
        <v/>
      </c>
      <c r="J735" s="1">
        <f>IFERROR(__xludf.DUMMYFUNCTION("""COMPUTED_VALUE"""),"003188-6644800")</f>
        <v/>
      </c>
      <c r="K735" s="1">
        <f>IFERROR(__xludf.DUMMYFUNCTION("""COMPUTED_VALUE"""),"MAASDAM")</f>
        <v/>
      </c>
      <c r="L735" s="1">
        <f>IFERROR(__xludf.DUMMYFUNCTION("""COMPUTED_VALUE"""),"The Netherlands")</f>
        <v/>
      </c>
      <c r="M735" s="1">
        <f>IFERROR(__xludf.DUMMYFUNCTION("""COMPUTED_VALUE"""),"Belgium, Netherlands")</f>
        <v/>
      </c>
      <c r="N735" s="1">
        <f>IFERROR(__xludf.DUMMYFUNCTION("""COMPUTED_VALUE"""),"11 to 50")</f>
        <v/>
      </c>
      <c r="O735" s="1">
        <f>IFERROR(__xludf.DUMMYFUNCTION("""COMPUTED_VALUE"""),"Business to Business, Business to Government, Business to Schools")</f>
        <v/>
      </c>
      <c r="P735" s="1">
        <f>IFERROR(__xludf.DUMMYFUNCTION("""COMPUTED_VALUE"""),"Higher Education, Corporate Training")</f>
        <v/>
      </c>
      <c r="Q735" s="1">
        <f>IFERROR(__xludf.DUMMYFUNCTION("""COMPUTED_VALUE"""),"Teacher interfacing, System/Administrative")</f>
        <v/>
      </c>
      <c r="R735" s="1" t="n"/>
      <c r="S735" s="1" t="n"/>
      <c r="T735" s="1" t="n"/>
      <c r="U735" s="1" t="n"/>
      <c r="V735" s="1" t="n"/>
      <c r="W735" s="1" t="n"/>
      <c r="X735" s="1" t="n"/>
      <c r="Y735" s="15">
        <f>IFERROR(__xludf.DUMMYFUNCTION("""COMPUTED_VALUE"""),"https://drive.google.com/uc?export=view&amp;id=1e-Ep0bWYs2lPGR4xKiPT9HqvutJayA8o")</f>
        <v/>
      </c>
      <c r="Z735" s="1">
        <f>IFERROR(__xludf.DUMMYFUNCTION("""COMPUTED_VALUE"""),"Unverified")</f>
        <v/>
      </c>
      <c r="AA735" s="1" t="n"/>
      <c r="AB735" s="1" t="n"/>
      <c r="AC735" s="1" t="n"/>
      <c r="AD735" s="1" t="n"/>
      <c r="AE735" s="1" t="n"/>
    </row>
    <row r="736" ht="42" customHeight="1">
      <c r="A736" s="14">
        <f>IFERROR(__xludf.DUMMYFUNCTION("""COMPUTED_VALUE"""),45181)</f>
        <v/>
      </c>
      <c r="B736" s="1">
        <f>IFERROR(__xludf.DUMMYFUNCTION("""COMPUTED_VALUE"""),"ORG_2145")</f>
        <v/>
      </c>
      <c r="C736" s="1">
        <f>IFERROR(__xludf.DUMMYFUNCTION("""COMPUTED_VALUE"""),TRUE)</f>
        <v/>
      </c>
      <c r="D736" s="1">
        <f>IFERROR(__xludf.DUMMYFUNCTION("""COMPUTED_VALUE"""),"Questa Kids")</f>
        <v/>
      </c>
      <c r="E736" s="15">
        <f>IFERROR(__xludf.DUMMYFUNCTION("""COMPUTED_VALUE"""),"www.questakids.com")</f>
        <v/>
      </c>
      <c r="F736" s="1">
        <f>IFERROR(__xludf.DUMMYFUNCTION("""COMPUTED_VALUE"""),"Questa is an online learning platform helping kids aged 6-12 explore the cultures of the world, via an immersive learning quest through the histories and traditions of different countries, with a strong emphasis on the perspectives and stories of women.
"&amp;"Questa works hard to include the voices missing from mainstream history, with a particular focus on the women of the world. Exploring history from the perspective of women allows children to consider different views, explore the ideas of others, and chall"&amp;"enge the notion of one simple narrative of history and culture. Despite the focus on female perspectives, Questa works for children of any gender.")</f>
        <v/>
      </c>
      <c r="G736" s="1">
        <f>IFERROR(__xludf.DUMMYFUNCTION("""COMPUTED_VALUE"""),"I'm not part of any EdTech association")</f>
        <v/>
      </c>
      <c r="H736" s="1" t="n"/>
      <c r="I736" s="1">
        <f>IFERROR(__xludf.DUMMYFUNCTION("""COMPUTED_VALUE"""),"info@questakids.com")</f>
        <v/>
      </c>
      <c r="J736" s="1" t="n"/>
      <c r="K736" s="1">
        <f>IFERROR(__xludf.DUMMYFUNCTION("""COMPUTED_VALUE"""),"MANCHESTER")</f>
        <v/>
      </c>
      <c r="L736" s="1">
        <f>IFERROR(__xludf.DUMMYFUNCTION("""COMPUTED_VALUE"""),"United Kingdom")</f>
        <v/>
      </c>
      <c r="M736" s="1">
        <f>IFERROR(__xludf.DUMMYFUNCTION("""COMPUTED_VALUE"""),"United Kingdom")</f>
        <v/>
      </c>
      <c r="N736" s="1">
        <f>IFERROR(__xludf.DUMMYFUNCTION("""COMPUTED_VALUE"""),"0 to 10")</f>
        <v/>
      </c>
      <c r="O736" s="1">
        <f>IFERROR(__xludf.DUMMYFUNCTION("""COMPUTED_VALUE"""),"Business to Business")</f>
        <v/>
      </c>
      <c r="P736" s="1">
        <f>IFERROR(__xludf.DUMMYFUNCTION("""COMPUTED_VALUE"""),"Primary Education")</f>
        <v/>
      </c>
      <c r="Q736" s="1">
        <f>IFERROR(__xludf.DUMMYFUNCTION("""COMPUTED_VALUE"""),"System/Administrative, Student interfacing, Teacher interfacing")</f>
        <v/>
      </c>
      <c r="R736" s="1" t="n"/>
      <c r="S736" s="1" t="n"/>
      <c r="T736" s="1" t="n"/>
      <c r="U736" s="1" t="n"/>
      <c r="V736" s="1" t="n"/>
      <c r="W736" s="1" t="n"/>
      <c r="X736" s="1" t="n"/>
      <c r="Y736" s="15">
        <f>IFERROR(__xludf.DUMMYFUNCTION("""COMPUTED_VALUE"""),"https://drive.google.com/uc?export=view&amp;id=1klwF-uxPHZzKB5UC-syrd0iZpu66XB06")</f>
        <v/>
      </c>
      <c r="Z736" s="1">
        <f>IFERROR(__xludf.DUMMYFUNCTION("""COMPUTED_VALUE"""),"Unverified")</f>
        <v/>
      </c>
      <c r="AA736" s="1" t="n"/>
      <c r="AB736" s="1" t="n"/>
      <c r="AC736" s="1" t="n"/>
      <c r="AD736" s="1" t="n"/>
      <c r="AE736" s="1" t="n"/>
    </row>
    <row r="737" ht="42" customHeight="1">
      <c r="A737" s="14">
        <f>IFERROR(__xludf.DUMMYFUNCTION("""COMPUTED_VALUE"""),45181)</f>
        <v/>
      </c>
      <c r="B737" s="1">
        <f>IFERROR(__xludf.DUMMYFUNCTION("""COMPUTED_VALUE"""),"ORG_2465")</f>
        <v/>
      </c>
      <c r="C737" s="1">
        <f>IFERROR(__xludf.DUMMYFUNCTION("""COMPUTED_VALUE"""),TRUE)</f>
        <v/>
      </c>
      <c r="D737" s="1">
        <f>IFERROR(__xludf.DUMMYFUNCTION("""COMPUTED_VALUE"""),"Unitz IT")</f>
        <v/>
      </c>
      <c r="E737" s="15">
        <f>IFERROR(__xludf.DUMMYFUNCTION("""COMPUTED_VALUE"""),"https://unitz.biz/en/")</f>
        <v/>
      </c>
      <c r="F737" s="1">
        <f>IFERROR(__xludf.DUMMYFUNCTION("""COMPUTED_VALUE"""),"We provide an stress-free, fun and easy-to-use learning platform for adult education, with an encouraging environment where students can grow and develop. Our platform is innovative, interactive, and has a focus on providing all users involved a better le"&amp;"arning experience. Our platform is innovative, interactive, and has a focus on providing a better learning experience.
Our target group are all organisations in the adult education sector. So our current customers are for example a language center, a d"&amp;"riving school, as well as different types of adult education centres.
We provide school administration with an interface that shows them everything they need to know about the teachers, the students, the classes that are going on. This overview dashboa"&amp;"rd provides on time automatic reporting for attendance and evaluation for every single lesson or course. Furthermore, it allows teachers to request the substitute if they are sick, or for the school admins to assign another teachers for the class. 
We "&amp;"provide teachers a stress free, all-in-one solution with automatic attendance reports. In addition, we created an easy to use timetable for teachers as well as for students. Our focus is on the well-being of all the people involved in the learning process"&amp;".
For students, we provide a working space with worksheets, learning games, group work and a lot of interaction to take place. Additionally, we're providing a chat box for teachers and students to communicate during the lesson. Our multi-tool classroom"&amp;" aims to provide an engaging and interactive learning environment for all the different learning types. We encourage personal development of the learners by providing a wide range of learning tools.")</f>
        <v/>
      </c>
      <c r="G737" s="1">
        <f>IFERROR(__xludf.DUMMYFUNCTION("""COMPUTED_VALUE"""),"I'm not part of any EdTech association")</f>
        <v/>
      </c>
      <c r="H737" s="1" t="n"/>
      <c r="I737" s="1">
        <f>IFERROR(__xludf.DUMMYFUNCTION("""COMPUTED_VALUE"""),"hi@unitz.biz")</f>
        <v/>
      </c>
      <c r="J737" s="1">
        <f>IFERROR(__xludf.DUMMYFUNCTION("""COMPUTED_VALUE"""),"+4915205855609")</f>
        <v/>
      </c>
      <c r="K737" s="1">
        <f>IFERROR(__xludf.DUMMYFUNCTION("""COMPUTED_VALUE"""),"Berlin")</f>
        <v/>
      </c>
      <c r="L737" s="1">
        <f>IFERROR(__xludf.DUMMYFUNCTION("""COMPUTED_VALUE"""),"Germany")</f>
        <v/>
      </c>
      <c r="M737" s="1">
        <f>IFERROR(__xludf.DUMMYFUNCTION("""COMPUTED_VALUE"""),"Germany")</f>
        <v/>
      </c>
      <c r="N737" s="1">
        <f>IFERROR(__xludf.DUMMYFUNCTION("""COMPUTED_VALUE"""),"0 to 10")</f>
        <v/>
      </c>
      <c r="O737" s="1">
        <f>IFERROR(__xludf.DUMMYFUNCTION("""COMPUTED_VALUE"""),"Business to Consumer")</f>
        <v/>
      </c>
      <c r="P737" s="1">
        <f>IFERROR(__xludf.DUMMYFUNCTION("""COMPUTED_VALUE"""),"Primary Education, Secondary Education, Higher Education, Corporate Training, Lifelong learning/Adult education")</f>
        <v/>
      </c>
      <c r="Q737" s="1">
        <f>IFERROR(__xludf.DUMMYFUNCTION("""COMPUTED_VALUE"""),"Student interfacing, Teacher interfacing, System/Administrative")</f>
        <v/>
      </c>
      <c r="R737" s="1" t="n"/>
      <c r="S737" s="1" t="n"/>
      <c r="T737" s="1" t="n"/>
      <c r="U737" s="1" t="n"/>
      <c r="V737" s="1" t="n"/>
      <c r="W737" s="1" t="n"/>
      <c r="X737" s="1" t="n"/>
      <c r="Y737" s="15">
        <f>IFERROR(__xludf.DUMMYFUNCTION("""COMPUTED_VALUE"""),"https://drive.google.com/uc?export=view&amp;id=1sOPDuWAwgDwEzDsTp2C24jlkxJ--8PTH")</f>
        <v/>
      </c>
      <c r="Z737" s="1">
        <f>IFERROR(__xludf.DUMMYFUNCTION("""COMPUTED_VALUE"""),"Unverified")</f>
        <v/>
      </c>
      <c r="AA737" s="1" t="n"/>
      <c r="AB737" s="1" t="n"/>
      <c r="AC737" s="1" t="n"/>
      <c r="AD737" s="1" t="n"/>
      <c r="AE737" s="1" t="n"/>
    </row>
    <row r="738" ht="42" customHeight="1">
      <c r="A738" s="14">
        <f>IFERROR(__xludf.DUMMYFUNCTION("""COMPUTED_VALUE"""),45181)</f>
        <v/>
      </c>
      <c r="B738" s="1">
        <f>IFERROR(__xludf.DUMMYFUNCTION("""COMPUTED_VALUE"""),"ORG_1419")</f>
        <v/>
      </c>
      <c r="C738" s="1">
        <f>IFERROR(__xludf.DUMMYFUNCTION("""COMPUTED_VALUE"""),TRUE)</f>
        <v/>
      </c>
      <c r="D738" s="1">
        <f>IFERROR(__xludf.DUMMYFUNCTION("""COMPUTED_VALUE"""),"Edtech Conference &amp; Hackathon")</f>
        <v/>
      </c>
      <c r="E738" s="15">
        <f>IFERROR(__xludf.DUMMYFUNCTION("""COMPUTED_VALUE"""),"https://www.vuhackathon.lt/")</f>
        <v/>
      </c>
      <c r="F738" s="1">
        <f>IFERROR(__xludf.DUMMYFUNCTION("""COMPUTED_VALUE"""),"An annual Edtech event series with a dedicated international and open Conference and hackathon that brings together top tier innovators and futurists together with educators to present bright and tech savy future of education. Each year different subtopic"&amp;"s are chosen. 2019 - general Edtech, 2020 - solutions to fight Covid in education, 2021 - hack hybrid learning &amp; future of work, 2021 - Education inside Metaverse.")</f>
        <v/>
      </c>
      <c r="G738" s="1">
        <f>IFERROR(__xludf.DUMMYFUNCTION("""COMPUTED_VALUE"""),"I'm not part of any EdTech association")</f>
        <v/>
      </c>
      <c r="H738" s="1" t="n"/>
      <c r="I738" s="1" t="n"/>
      <c r="J738" s="1">
        <f>IFERROR(__xludf.DUMMYFUNCTION("""COMPUTED_VALUE"""),"+370 5 2366898")</f>
        <v/>
      </c>
      <c r="K738" s="1">
        <f>IFERROR(__xludf.DUMMYFUNCTION("""COMPUTED_VALUE"""),"Vilnius")</f>
        <v/>
      </c>
      <c r="L738" s="1">
        <f>IFERROR(__xludf.DUMMYFUNCTION("""COMPUTED_VALUE"""),"Lithuania")</f>
        <v/>
      </c>
      <c r="M738" s="1">
        <f>IFERROR(__xludf.DUMMYFUNCTION("""COMPUTED_VALUE"""),"Azerbaijan, Estonia, Georgia, Latvia, Lithuania, Poland, Sweden, United Kingdom")</f>
        <v/>
      </c>
      <c r="N738" s="1">
        <f>IFERROR(__xludf.DUMMYFUNCTION("""COMPUTED_VALUE"""),"0 to 10")</f>
        <v/>
      </c>
      <c r="O738" s="1">
        <f>IFERROR(__xludf.DUMMYFUNCTION("""COMPUTED_VALUE"""),"Business to Schools")</f>
        <v/>
      </c>
      <c r="P738" s="1">
        <f>IFERROR(__xludf.DUMMYFUNCTION("""COMPUTED_VALUE"""),"Primary Education, Secondary Education, Higher Education, Corporate Training")</f>
        <v/>
      </c>
      <c r="Q738" s="1">
        <f>IFERROR(__xludf.DUMMYFUNCTION("""COMPUTED_VALUE"""),"Teacher interfacing, System/Administrative, Student interfacing")</f>
        <v/>
      </c>
      <c r="R738" s="1" t="n"/>
      <c r="S738" s="1" t="n"/>
      <c r="T738" s="1" t="n"/>
      <c r="U738" s="1" t="n"/>
      <c r="V738" s="1" t="n"/>
      <c r="W738" s="1" t="n"/>
      <c r="X738" s="1" t="n"/>
      <c r="Y738" s="15">
        <f>IFERROR(__xludf.DUMMYFUNCTION("""COMPUTED_VALUE"""),"https://drive.google.com/uc?export=view&amp;id=1s9AKJ65DnEN5R8ezeRU2-Rwsow5S84mg")</f>
        <v/>
      </c>
      <c r="Z738" s="1">
        <f>IFERROR(__xludf.DUMMYFUNCTION("""COMPUTED_VALUE"""),"Unverified")</f>
        <v/>
      </c>
      <c r="AA738" s="1" t="n"/>
      <c r="AB738" s="1" t="n"/>
      <c r="AC738" s="1" t="n"/>
      <c r="AD738" s="1" t="n"/>
      <c r="AE738" s="1" t="n"/>
    </row>
    <row r="739" ht="42" customHeight="1">
      <c r="A739" s="14">
        <f>IFERROR(__xludf.DUMMYFUNCTION("""COMPUTED_VALUE"""),45181)</f>
        <v/>
      </c>
      <c r="B739" s="1">
        <f>IFERROR(__xludf.DUMMYFUNCTION("""COMPUTED_VALUE"""),"ORG_1338")</f>
        <v/>
      </c>
      <c r="C739" s="1">
        <f>IFERROR(__xludf.DUMMYFUNCTION("""COMPUTED_VALUE"""),TRUE)</f>
        <v/>
      </c>
      <c r="D739" s="1">
        <f>IFERROR(__xludf.DUMMYFUNCTION("""COMPUTED_VALUE"""),"Designing Education Project Lab")</f>
        <v/>
      </c>
      <c r="E739" s="15">
        <f>IFERROR(__xludf.DUMMYFUNCTION("""COMPUTED_VALUE"""),"https://designingeducationprojectlab.notion.site/")</f>
        <v/>
      </c>
      <c r="F739" s="1">
        <f>IFERROR(__xludf.DUMMYFUNCTION("""COMPUTED_VALUE"""),"The Designing Education Project Lab is a challenge-based EdTech maker space in Berlin.
Students develop technology-driven solutions in independent projects to contribute to global educational challenges in higher education and the labor market.
The starti"&amp;"ng point are real world education challenges from university and corporate partners.
The prototyping process is supported by impulse lectures from experts, as well as expert interviews recorded by the students as a podcast.")</f>
        <v/>
      </c>
      <c r="G739" s="1">
        <f>IFERROR(__xludf.DUMMYFUNCTION("""COMPUTED_VALUE"""),"I'm not part of any EdTech association")</f>
        <v/>
      </c>
      <c r="H739" s="1" t="n"/>
      <c r="I739" s="1">
        <f>IFERROR(__xludf.DUMMYFUNCTION("""COMPUTED_VALUE"""),"designingeductionlab@gmail.com")</f>
        <v/>
      </c>
      <c r="J739" s="1" t="n"/>
      <c r="K739" s="1">
        <f>IFERROR(__xludf.DUMMYFUNCTION("""COMPUTED_VALUE"""),"Berlin")</f>
        <v/>
      </c>
      <c r="L739" s="1">
        <f>IFERROR(__xludf.DUMMYFUNCTION("""COMPUTED_VALUE"""),"Germany")</f>
        <v/>
      </c>
      <c r="M739" s="1">
        <f>IFERROR(__xludf.DUMMYFUNCTION("""COMPUTED_VALUE"""),"Germany")</f>
        <v/>
      </c>
      <c r="N739" s="1">
        <f>IFERROR(__xludf.DUMMYFUNCTION("""COMPUTED_VALUE"""),"0 to 10")</f>
        <v/>
      </c>
      <c r="O739" s="1">
        <f>IFERROR(__xludf.DUMMYFUNCTION("""COMPUTED_VALUE"""),"Business to Business")</f>
        <v/>
      </c>
      <c r="P739" s="1">
        <f>IFERROR(__xludf.DUMMYFUNCTION("""COMPUTED_VALUE"""),"Higher Education, Corporate Training, Lifelong learning/Adult education")</f>
        <v/>
      </c>
      <c r="Q739" s="1">
        <f>IFERROR(__xludf.DUMMYFUNCTION("""COMPUTED_VALUE"""),"Student interfacing, Teacher interfacing, System/Administrative")</f>
        <v/>
      </c>
      <c r="R739" s="1" t="n"/>
      <c r="S739" s="1" t="n"/>
      <c r="T739" s="1" t="n"/>
      <c r="U739" s="1" t="n"/>
      <c r="V739" s="1" t="n"/>
      <c r="W739" s="1" t="n"/>
      <c r="X739" s="1" t="n"/>
      <c r="Y739" s="15">
        <f>IFERROR(__xludf.DUMMYFUNCTION("""COMPUTED_VALUE"""),"https://drive.google.com/uc?export=view&amp;id=1Lh5meoBuGuN7jFEGCkmQNLVVgf5ReHuN")</f>
        <v/>
      </c>
      <c r="Z739" s="1">
        <f>IFERROR(__xludf.DUMMYFUNCTION("""COMPUTED_VALUE"""),"Unverified")</f>
        <v/>
      </c>
      <c r="AA739" s="1" t="n"/>
      <c r="AB739" s="1" t="n"/>
      <c r="AC739" s="1" t="n"/>
      <c r="AD739" s="1" t="n"/>
      <c r="AE739" s="1" t="n"/>
    </row>
    <row r="740" ht="42" customHeight="1">
      <c r="A740" s="14">
        <f>IFERROR(__xludf.DUMMYFUNCTION("""COMPUTED_VALUE"""),45181)</f>
        <v/>
      </c>
      <c r="B740" s="1">
        <f>IFERROR(__xludf.DUMMYFUNCTION("""COMPUTED_VALUE"""),"ORG_2297")</f>
        <v/>
      </c>
      <c r="C740" s="1">
        <f>IFERROR(__xludf.DUMMYFUNCTION("""COMPUTED_VALUE"""),TRUE)</f>
        <v/>
      </c>
      <c r="D740" s="1">
        <f>IFERROR(__xludf.DUMMYFUNCTION("""COMPUTED_VALUE"""),"Sourcer")</f>
        <v/>
      </c>
      <c r="E740" s="15">
        <f>IFERROR(__xludf.DUMMYFUNCTION("""COMPUTED_VALUE"""),"https://getsourcer.com")</f>
        <v/>
      </c>
      <c r="F740" s="1">
        <f>IFERROR(__xludf.DUMMYFUNCTION("""COMPUTED_VALUE"""),"Sourcer is an easy-to-use browser extension that aims to educate users on media literacy and make their process of reading news more efficient. We do that by providing insight that broadens readers’ knowledge in a time-saving manner.
We aim to help acade"&amp;"mia educate students  on media literacy, give them tools to supplement their research, and ultimately contribute to creating a more  open-minded society.")</f>
        <v/>
      </c>
      <c r="G740" s="1">
        <f>IFERROR(__xludf.DUMMYFUNCTION("""COMPUTED_VALUE"""),"Dutch EdTech")</f>
        <v/>
      </c>
      <c r="H740" s="1" t="n"/>
      <c r="I740" s="1">
        <f>IFERROR(__xludf.DUMMYFUNCTION("""COMPUTED_VALUE"""),"info@getsourcer.com")</f>
        <v/>
      </c>
      <c r="J740" s="1" t="n"/>
      <c r="K740" s="1">
        <f>IFERROR(__xludf.DUMMYFUNCTION("""COMPUTED_VALUE"""),"DELFT")</f>
        <v/>
      </c>
      <c r="L740" s="1">
        <f>IFERROR(__xludf.DUMMYFUNCTION("""COMPUTED_VALUE"""),"The Netherlands")</f>
        <v/>
      </c>
      <c r="M740" s="1">
        <f>IFERROR(__xludf.DUMMYFUNCTION("""COMPUTED_VALUE"""),"Netherlands")</f>
        <v/>
      </c>
      <c r="N740" s="1">
        <f>IFERROR(__xludf.DUMMYFUNCTION("""COMPUTED_VALUE"""),"0 to 10")</f>
        <v/>
      </c>
      <c r="O740" s="1">
        <f>IFERROR(__xludf.DUMMYFUNCTION("""COMPUTED_VALUE"""),"Business to Business")</f>
        <v/>
      </c>
      <c r="P740" s="1">
        <f>IFERROR(__xludf.DUMMYFUNCTION("""COMPUTED_VALUE"""),"Higher Education")</f>
        <v/>
      </c>
      <c r="Q740" s="1">
        <f>IFERROR(__xludf.DUMMYFUNCTION("""COMPUTED_VALUE"""),"Student interfacing, Teacher interfacing, System/Administrative")</f>
        <v/>
      </c>
      <c r="R740" s="1" t="n"/>
      <c r="S740" s="1" t="n"/>
      <c r="T740" s="15">
        <f>IFERROR(__xludf.DUMMYFUNCTION("""COMPUTED_VALUE"""),"https://www.linkedin.com/company/getsourcer")</f>
        <v/>
      </c>
      <c r="U740" s="1">
        <f>IFERROR(__xludf.DUMMYFUNCTION("""COMPUTED_VALUE"""),"Sourcer Browser Extension")</f>
        <v/>
      </c>
      <c r="V740" s="1">
        <f>IFERROR(__xludf.DUMMYFUNCTION("""COMPUTED_VALUE"""),"Sourcer is an easy-to-use browser extension that aims to educate users on media literacy and make their process of reading news more efficient. We do that by providing insight that broadens readers’ knowledge in a time-saving manner.
We aim to help acade"&amp;"mia educate students  on media literacy, give them tools to supplement their research, and ultimately contribute to creating a more  open-minded society.")</f>
        <v/>
      </c>
      <c r="W740" s="1" t="n"/>
      <c r="X740" s="1" t="n"/>
      <c r="Y740" s="15">
        <f>IFERROR(__xludf.DUMMYFUNCTION("""COMPUTED_VALUE"""),"https://drive.google.com/uc?export=view&amp;id=1TlwrCKAKn1Iwb5U1q9tav-XBPir2n1VS")</f>
        <v/>
      </c>
      <c r="Z740" s="1">
        <f>IFERROR(__xludf.DUMMYFUNCTION("""COMPUTED_VALUE"""),"Unverified")</f>
        <v/>
      </c>
      <c r="AA740" s="1" t="n"/>
      <c r="AB740" s="1" t="n"/>
      <c r="AC740" s="1" t="n"/>
      <c r="AD740" s="1" t="n"/>
      <c r="AE740" s="1" t="n"/>
    </row>
    <row r="741" ht="42" customHeight="1">
      <c r="A741" s="14">
        <f>IFERROR(__xludf.DUMMYFUNCTION("""COMPUTED_VALUE"""),45181)</f>
        <v/>
      </c>
      <c r="B741" s="1">
        <f>IFERROR(__xludf.DUMMYFUNCTION("""COMPUTED_VALUE"""),"ORG_1237")</f>
        <v/>
      </c>
      <c r="C741" s="1">
        <f>IFERROR(__xludf.DUMMYFUNCTION("""COMPUTED_VALUE"""),TRUE)</f>
        <v/>
      </c>
      <c r="D741" s="1">
        <f>IFERROR(__xludf.DUMMYFUNCTION("""COMPUTED_VALUE"""),"chunkx")</f>
        <v/>
      </c>
      <c r="E741" s="15">
        <f>IFERROR(__xludf.DUMMYFUNCTION("""COMPUTED_VALUE"""),"https://chunkx.net/")</f>
        <v/>
      </c>
      <c r="F741" s="1">
        <f>IFERROR(__xludf.DUMMYFUNCTION("""COMPUTED_VALUE"""),"Continuous microlearning for all the company's learning measure!
Our microlearning solution chunkx connects all your learning activities into user-specific learning feeds. For this, our content team creates continuous follow-ups and updates for your exis"&amp;"ting courses, whether eLearning, webinars, face-to-face training, or third-party learning content, at no extra cost. Your employees benefit via email from repetitions adaptively selected for them, regular contributions, and recommendations of the latest a"&amp;"rticles on relevant learning topics. By doing so, chunkx reinforces its existing measures and ensures a sustainable transfer of learning on the job. Via LTI and REST APIs, chunkx can be connected to your LMS / LXP and can also be used as a stand-alone sol"&amp;"ution for new content developed by hand or with the support of our AI.")</f>
        <v/>
      </c>
      <c r="G741" s="1">
        <f>IFERROR(__xludf.DUMMYFUNCTION("""COMPUTED_VALUE"""),"I'm not part of any EdTech association")</f>
        <v/>
      </c>
      <c r="H741" s="1" t="n"/>
      <c r="I741" s="1">
        <f>IFERROR(__xludf.DUMMYFUNCTION("""COMPUTED_VALUE"""),"info@chunkx.io")</f>
        <v/>
      </c>
      <c r="J741" s="1" t="n"/>
      <c r="K741" s="1">
        <f>IFERROR(__xludf.DUMMYFUNCTION("""COMPUTED_VALUE"""),"Eindhoven")</f>
        <v/>
      </c>
      <c r="L741" s="1">
        <f>IFERROR(__xludf.DUMMYFUNCTION("""COMPUTED_VALUE"""),"The Netherlands")</f>
        <v/>
      </c>
      <c r="M741" s="1">
        <f>IFERROR(__xludf.DUMMYFUNCTION("""COMPUTED_VALUE"""),"Austria, Belgium, Germany, Netherlands")</f>
        <v/>
      </c>
      <c r="N741" s="1">
        <f>IFERROR(__xludf.DUMMYFUNCTION("""COMPUTED_VALUE"""),"0 to 10")</f>
        <v/>
      </c>
      <c r="O741" s="1">
        <f>IFERROR(__xludf.DUMMYFUNCTION("""COMPUTED_VALUE"""),"Business to Business")</f>
        <v/>
      </c>
      <c r="P741" s="1">
        <f>IFERROR(__xludf.DUMMYFUNCTION("""COMPUTED_VALUE"""),"Higher Education, Corporate Training, Lifelong learning/Adult education")</f>
        <v/>
      </c>
      <c r="Q741" s="1">
        <f>IFERROR(__xludf.DUMMYFUNCTION("""COMPUTED_VALUE"""),"System/Administrative")</f>
        <v/>
      </c>
      <c r="R741" s="1" t="n"/>
      <c r="S741" s="1" t="n"/>
      <c r="T741" s="1" t="n"/>
      <c r="U741" s="1" t="n"/>
      <c r="V741" s="1" t="n"/>
      <c r="W741" s="1" t="n"/>
      <c r="X741" s="1" t="n"/>
      <c r="Y741" s="15">
        <f>IFERROR(__xludf.DUMMYFUNCTION("""COMPUTED_VALUE"""),"https://drive.google.com/uc?export=view&amp;id=1KYncQoy4JP9bbNFEFNqcgXOuMDMnoqEU")</f>
        <v/>
      </c>
      <c r="Z741" s="1">
        <f>IFERROR(__xludf.DUMMYFUNCTION("""COMPUTED_VALUE"""),"Unverified")</f>
        <v/>
      </c>
      <c r="AA741" s="1" t="n"/>
      <c r="AB741" s="1" t="n"/>
      <c r="AC741" s="1" t="n"/>
      <c r="AD741" s="1" t="n"/>
      <c r="AE741" s="1" t="n"/>
    </row>
    <row r="742" ht="42" customHeight="1">
      <c r="A742" s="14">
        <f>IFERROR(__xludf.DUMMYFUNCTION("""COMPUTED_VALUE"""),45181)</f>
        <v/>
      </c>
      <c r="B742" s="1">
        <f>IFERROR(__xludf.DUMMYFUNCTION("""COMPUTED_VALUE"""),"ORG_2292")</f>
        <v/>
      </c>
      <c r="C742" s="1">
        <f>IFERROR(__xludf.DUMMYFUNCTION("""COMPUTED_VALUE"""),TRUE)</f>
        <v/>
      </c>
      <c r="D742" s="1">
        <f>IFERROR(__xludf.DUMMYFUNCTION("""COMPUTED_VALUE"""),"Solutio")</f>
        <v/>
      </c>
      <c r="E742" s="15">
        <f>IFERROR(__xludf.DUMMYFUNCTION("""COMPUTED_VALUE"""),"www.solutio.app")</f>
        <v/>
      </c>
      <c r="F742" s="1">
        <f>IFERROR(__xludf.DUMMYFUNCTION("""COMPUTED_VALUE"""),"By leveraging a proprietary management tool specifically designed for tutors and plug-and-play units of small-scale social entrepreneurship, Solutio minimizes the financial gap between the tutee's cost and the tutor's compensation. At Solutio, we believe "&amp;"in qualitative tutoring available for all without the need for an excessive price tag.")</f>
        <v/>
      </c>
      <c r="G742" s="1">
        <f>IFERROR(__xludf.DUMMYFUNCTION("""COMPUTED_VALUE"""),"edtechstation")</f>
        <v/>
      </c>
      <c r="H742" s="1" t="n"/>
      <c r="I742" s="1">
        <f>IFERROR(__xludf.DUMMYFUNCTION("""COMPUTED_VALUE"""),"info@solutio.app")</f>
        <v/>
      </c>
      <c r="J742" s="1">
        <f>IFERROR(__xludf.DUMMYFUNCTION("""COMPUTED_VALUE"""),"+32 4 79 54 33 06")</f>
        <v/>
      </c>
      <c r="K742" s="1">
        <f>IFERROR(__xludf.DUMMYFUNCTION("""COMPUTED_VALUE"""),"OVERIJSE")</f>
        <v/>
      </c>
      <c r="L742" s="1">
        <f>IFERROR(__xludf.DUMMYFUNCTION("""COMPUTED_VALUE"""),"Belgium")</f>
        <v/>
      </c>
      <c r="M742" s="1">
        <f>IFERROR(__xludf.DUMMYFUNCTION("""COMPUTED_VALUE"""),"Belgium, Netherlands")</f>
        <v/>
      </c>
      <c r="N742" s="1">
        <f>IFERROR(__xludf.DUMMYFUNCTION("""COMPUTED_VALUE"""),"3 to 5")</f>
        <v/>
      </c>
      <c r="O742" s="1">
        <f>IFERROR(__xludf.DUMMYFUNCTION("""COMPUTED_VALUE"""),"Business to Business")</f>
        <v/>
      </c>
      <c r="P742" s="1">
        <f>IFERROR(__xludf.DUMMYFUNCTION("""COMPUTED_VALUE"""),"Primary Education, Secondary Education")</f>
        <v/>
      </c>
      <c r="Q742" s="1">
        <f>IFERROR(__xludf.DUMMYFUNCTION("""COMPUTED_VALUE"""),"System/Administrative, Student interfacing")</f>
        <v/>
      </c>
      <c r="R742" s="15">
        <f>IFERROR(__xludf.DUMMYFUNCTION("""COMPUTED_VALUE"""),"https://www.instagram.com/solutio.app")</f>
        <v/>
      </c>
      <c r="S742" s="1" t="n"/>
      <c r="T742" s="15">
        <f>IFERROR(__xludf.DUMMYFUNCTION("""COMPUTED_VALUE"""),"https://www.linkedin.com/company/solutio-app/")</f>
        <v/>
      </c>
      <c r="U742" s="1">
        <f>IFERROR(__xludf.DUMMYFUNCTION("""COMPUTED_VALUE"""),"Solutio Web App")</f>
        <v/>
      </c>
      <c r="V742" s="1">
        <f>IFERROR(__xludf.DUMMYFUNCTION("""COMPUTED_VALUE"""),"The proprietary Solutio Web App has three interfaces:
1. For small-scale tutoring companies, called Tribes, to expand their clientele, track their performances, and manage their finances. 
2. For parents and tutees to find suitable tutoring and track thei"&amp;"r expenses. 
3. For tutors to track their hours and track their earnings. 
Only the first group pays for access to the application.")</f>
        <v/>
      </c>
      <c r="W742" s="1" t="n"/>
      <c r="X742" s="1" t="n"/>
      <c r="Y742" s="15">
        <f>IFERROR(__xludf.DUMMYFUNCTION("""COMPUTED_VALUE"""),"https://drive.google.com/uc?export=view&amp;id=1OI7k7ncHnZSEM4NQe69jWfgTV9E8tQC2")</f>
        <v/>
      </c>
      <c r="Z742" s="1">
        <f>IFERROR(__xludf.DUMMYFUNCTION("""COMPUTED_VALUE"""),"Unverified")</f>
        <v/>
      </c>
      <c r="AA742" s="1" t="n"/>
      <c r="AB742" s="1" t="n"/>
      <c r="AC742" s="1" t="n"/>
      <c r="AD742" s="1" t="n"/>
      <c r="AE742" s="1" t="n"/>
    </row>
    <row r="743" ht="42" customHeight="1">
      <c r="A743" s="14">
        <f>IFERROR(__xludf.DUMMYFUNCTION("""COMPUTED_VALUE"""),45181)</f>
        <v/>
      </c>
      <c r="B743" s="1">
        <f>IFERROR(__xludf.DUMMYFUNCTION("""COMPUTED_VALUE"""),"ORG_2315")</f>
        <v/>
      </c>
      <c r="C743" s="1">
        <f>IFERROR(__xludf.DUMMYFUNCTION("""COMPUTED_VALUE"""),TRUE)</f>
        <v/>
      </c>
      <c r="D743" s="1">
        <f>IFERROR(__xludf.DUMMYFUNCTION("""COMPUTED_VALUE"""),"Squidll")</f>
        <v/>
      </c>
      <c r="E743" s="15">
        <f>IFERROR(__xludf.DUMMYFUNCTION("""COMPUTED_VALUE"""),"https://www.squidll.com/")</f>
        <v/>
      </c>
      <c r="F743" s="1">
        <f>IFERROR(__xludf.DUMMYFUNCTION("""COMPUTED_VALUE"""),"We are Squidll and we believe in life-long learning. Our objective is to support professionals in reaching their language goals, whatever they might be. 
We offer online on-demand language coaching and support by experienced business language coaches. Fo"&amp;"cus during your online session on more than just grammar and vocabulary, but on the business skills you really need in your job. Immerse yourself in real life topics so you learn to speak with confidence in other languages. Choose your coach and book an o"&amp;"nline session whenever your want (24/7).")</f>
        <v/>
      </c>
      <c r="G743" s="1">
        <f>IFERROR(__xludf.DUMMYFUNCTION("""COMPUTED_VALUE"""),"edtechstation")</f>
        <v/>
      </c>
      <c r="H743" s="1">
        <f>IFERROR(__xludf.DUMMYFUNCTION("""COMPUTED_VALUE"""),"English, French, German, Dutch")</f>
        <v/>
      </c>
      <c r="I743" s="1">
        <f>IFERROR(__xludf.DUMMYFUNCTION("""COMPUTED_VALUE"""),"hello@squidll.com")</f>
        <v/>
      </c>
      <c r="J743" s="1" t="n"/>
      <c r="K743" s="1">
        <f>IFERROR(__xludf.DUMMYFUNCTION("""COMPUTED_VALUE"""),"Kortrijk")</f>
        <v/>
      </c>
      <c r="L743" s="1">
        <f>IFERROR(__xludf.DUMMYFUNCTION("""COMPUTED_VALUE"""),"Belgium")</f>
        <v/>
      </c>
      <c r="M743" s="1">
        <f>IFERROR(__xludf.DUMMYFUNCTION("""COMPUTED_VALUE"""),"Belgium, France, Germany, Italy, Luxembourg, Netherlands, Turkey")</f>
        <v/>
      </c>
      <c r="N743" s="1">
        <f>IFERROR(__xludf.DUMMYFUNCTION("""COMPUTED_VALUE"""),"3 to 5")</f>
        <v/>
      </c>
      <c r="O743" s="1">
        <f>IFERROR(__xludf.DUMMYFUNCTION("""COMPUTED_VALUE"""),"Business to Business, Business to Consumer")</f>
        <v/>
      </c>
      <c r="P743" s="1">
        <f>IFERROR(__xludf.DUMMYFUNCTION("""COMPUTED_VALUE"""),"Corporate Training")</f>
        <v/>
      </c>
      <c r="Q743" s="1">
        <f>IFERROR(__xludf.DUMMYFUNCTION("""COMPUTED_VALUE"""),"System/Administrative, Student interfacing")</f>
        <v/>
      </c>
      <c r="R743" s="15">
        <f>IFERROR(__xludf.DUMMYFUNCTION("""COMPUTED_VALUE"""),"https://www.instagram.com/squidll_languagelearning/")</f>
        <v/>
      </c>
      <c r="S743" s="1" t="n"/>
      <c r="T743" s="15">
        <f>IFERROR(__xludf.DUMMYFUNCTION("""COMPUTED_VALUE"""),"https://www.linkedin.com/company/squidll")</f>
        <v/>
      </c>
      <c r="U743" s="1">
        <f>IFERROR(__xludf.DUMMYFUNCTION("""COMPUTED_VALUE"""),"Boost your business English")</f>
        <v/>
      </c>
      <c r="V743" s="1">
        <f>IFERROR(__xludf.DUMMYFUNCTION("""COMPUTED_VALUE"""),"Do you need targeted help with a specific topic? Do you have a business appointment our presentation coming up in English and you need to practice? Or, do you need structured and extensive support to master your English and reach your goals? Our experienc"&amp;"ed business language coaches help you overcome language barriers so you perform at your best in English as well.")</f>
        <v/>
      </c>
      <c r="W743" s="1">
        <f>IFERROR(__xludf.DUMMYFUNCTION("""COMPUTED_VALUE"""),"Boost your business Dutch")</f>
        <v/>
      </c>
      <c r="X743" s="1">
        <f>IFERROR(__xludf.DUMMYFUNCTION("""COMPUTED_VALUE"""),"Do you need targeted help with a specific topic? Do you have a business appointment our presentation coming up in Dutch and you need to practice? Or, do you need structured and extensive support to master your Dutch and reach your goals? Our experienced b"&amp;"usiness language coaches help you overcome language barriers so you perform at your best in Dutch as well.")</f>
        <v/>
      </c>
      <c r="Y743" s="15">
        <f>IFERROR(__xludf.DUMMYFUNCTION("""COMPUTED_VALUE"""),"https://drive.google.com/uc?export=view&amp;id=1l1Fkx4JqoycVDfhVajMOaqh0pkImtsM0")</f>
        <v/>
      </c>
      <c r="Z743" s="1">
        <f>IFERROR(__xludf.DUMMYFUNCTION("""COMPUTED_VALUE"""),"Unverified")</f>
        <v/>
      </c>
      <c r="AA743" s="1" t="n"/>
      <c r="AB743" s="1" t="n"/>
      <c r="AC743" s="1" t="n"/>
      <c r="AD743" s="1" t="n"/>
      <c r="AE743" s="1" t="n"/>
    </row>
    <row r="744" ht="42" customHeight="1">
      <c r="A744" s="14">
        <f>IFERROR(__xludf.DUMMYFUNCTION("""COMPUTED_VALUE"""),45181)</f>
        <v/>
      </c>
      <c r="B744" s="1">
        <f>IFERROR(__xludf.DUMMYFUNCTION("""COMPUTED_VALUE"""),"ORG_1187")</f>
        <v/>
      </c>
      <c r="C744" s="1">
        <f>IFERROR(__xludf.DUMMYFUNCTION("""COMPUTED_VALUE"""),TRUE)</f>
        <v/>
      </c>
      <c r="D744" s="1">
        <f>IFERROR(__xludf.DUMMYFUNCTION("""COMPUTED_VALUE"""),"BookWidgets")</f>
        <v/>
      </c>
      <c r="E744" s="15">
        <f>IFERROR(__xludf.DUMMYFUNCTION("""COMPUTED_VALUE"""),"www.bookwidgets.com")</f>
        <v/>
      </c>
      <c r="F744" s="1">
        <f>IFERROR(__xludf.DUMMYFUNCTION("""COMPUTED_VALUE"""),"BookWidgets is a content creation tool allowing teachers to create over 40 types of interactive exercises and auto-graded assignments with over 35 different question types. BookWidgets can be used for any subject and for students of all ages. 
Teachers c"&amp;"an easily integrate BookWidgets inside platforms like Google Classroom, Microsoft Teams, Moodle, itslearning... These integrations enable teachers to follow student progress in real-time when they are working on a BookWidgets assignment. This way, teacher"&amp;"s can quickly guide their students in the right direction when they need help.
BookWidgets is being used by teachers all over the world for both summative and formative evaluation. The grading dashboard allows teachers to review student work efficiently "&amp;"and easily give comprehensive feedback.
The company's head quarter is based in Belgium and a second office in the US was opened in January 2022.")</f>
        <v/>
      </c>
      <c r="G744" s="1">
        <f>IFERROR(__xludf.DUMMYFUNCTION("""COMPUTED_VALUE"""),"edtechstation")</f>
        <v/>
      </c>
      <c r="H744" s="1" t="n"/>
      <c r="I744" s="1">
        <f>IFERROR(__xludf.DUMMYFUNCTION("""COMPUTED_VALUE"""),"info@bookwidgets.com")</f>
        <v/>
      </c>
      <c r="J744" s="1" t="n"/>
      <c r="K744" s="1">
        <f>IFERROR(__xludf.DUMMYFUNCTION("""COMPUTED_VALUE"""),"Lummen")</f>
        <v/>
      </c>
      <c r="L744" s="1">
        <f>IFERROR(__xludf.DUMMYFUNCTION("""COMPUTED_VALUE"""),"Belgium")</f>
        <v/>
      </c>
      <c r="M744" s="1">
        <f>IFERROR(__xludf.DUMMYFUNCTION("""COMPUTED_VALUE"""),"Austria, Belarus, Belgium, Bulgaria, Croatia, Czechia, Denmark, Estonia, Finland, France, Georgia, Germany, Greece, Hungary, Iceland, Ireland, Italy, Latvia, Lithuania, Luxembourg, Montenegro, Netherlands, North Macedonia, Norway, Poland, Portugal, Romani"&amp;"a, Russia, Serbia, Slovakia, Slovenia, Spain, Sweden, Switzerland, Turkey, Ukraine, United Kingdom")</f>
        <v/>
      </c>
      <c r="N744" s="1">
        <f>IFERROR(__xludf.DUMMYFUNCTION("""COMPUTED_VALUE"""),"11 to 50")</f>
        <v/>
      </c>
      <c r="O744" s="1">
        <f>IFERROR(__xludf.DUMMYFUNCTION("""COMPUTED_VALUE"""),"Business to Business, Business to Consumer, Business to Government, Business to Schools")</f>
        <v/>
      </c>
      <c r="P744" s="1">
        <f>IFERROR(__xludf.DUMMYFUNCTION("""COMPUTED_VALUE"""),"Primary Education, Secondary Education, Higher Education")</f>
        <v/>
      </c>
      <c r="Q744" s="1">
        <f>IFERROR(__xludf.DUMMYFUNCTION("""COMPUTED_VALUE"""),"Teacher interfacing")</f>
        <v/>
      </c>
      <c r="R744" s="1" t="n"/>
      <c r="S744" s="15">
        <f>IFERROR(__xludf.DUMMYFUNCTION("""COMPUTED_VALUE"""),"https://twitter.com/ibookwidgets")</f>
        <v/>
      </c>
      <c r="T744" s="15">
        <f>IFERROR(__xludf.DUMMYFUNCTION("""COMPUTED_VALUE"""),"https://www.linkedin.com/company/bookwidgets/")</f>
        <v/>
      </c>
      <c r="U744" s="1">
        <f>IFERROR(__xludf.DUMMYFUNCTION("""COMPUTED_VALUE"""),"BookWidgets")</f>
        <v/>
      </c>
      <c r="V744" s="1">
        <f>IFERROR(__xludf.DUMMYFUNCTION("""COMPUTED_VALUE"""),"With BookWidgets, teachers can create over 40 interactive exercises and auto-graded assignments with over 30 different question types. All teachers from all courses can use BookWidgets.
Teachers can easily integrate BookWidgets inside Google Classroom. T"&amp;"he integration enables teachers to follow student progress in realtime when they are working on a BookWidgets assignment. This way, teachers can quickly guide their students in the right direction when they need help.")</f>
        <v/>
      </c>
      <c r="W744" s="1" t="n"/>
      <c r="X744" s="1" t="n"/>
      <c r="Y744" s="15">
        <f>IFERROR(__xludf.DUMMYFUNCTION("""COMPUTED_VALUE"""),"https://drive.google.com/uc?export=view&amp;id=1vPHJvs5pKCIy1msQFUKEn1CP0ZOjfLVY")</f>
        <v/>
      </c>
      <c r="Z744" s="1">
        <f>IFERROR(__xludf.DUMMYFUNCTION("""COMPUTED_VALUE"""),"Unverified")</f>
        <v/>
      </c>
      <c r="AA744" s="1" t="n"/>
      <c r="AB744" s="1" t="n"/>
      <c r="AC744" s="1" t="n"/>
      <c r="AD744" s="1" t="n"/>
      <c r="AE744" s="1" t="n"/>
    </row>
    <row r="745" ht="42" customHeight="1">
      <c r="A745" s="14">
        <f>IFERROR(__xludf.DUMMYFUNCTION("""COMPUTED_VALUE"""),45181)</f>
        <v/>
      </c>
      <c r="B745" s="1">
        <f>IFERROR(__xludf.DUMMYFUNCTION("""COMPUTED_VALUE"""),"ORG_1328")</f>
        <v/>
      </c>
      <c r="C745" s="1">
        <f>IFERROR(__xludf.DUMMYFUNCTION("""COMPUTED_VALUE"""),TRUE)</f>
        <v/>
      </c>
      <c r="D745" s="1">
        <f>IFERROR(__xludf.DUMMYFUNCTION("""COMPUTED_VALUE"""),"Danberg Micro-credentials")</f>
        <v/>
      </c>
      <c r="E745" s="15">
        <f>IFERROR(__xludf.DUMMYFUNCTION("""COMPUTED_VALUE"""),"https://www.danberg.org/")</f>
        <v/>
      </c>
      <c r="F745" s="1">
        <f>IFERROR(__xludf.DUMMYFUNCTION("""COMPUTED_VALUE"""),"Danberg develops future-proof re-skilling and up-skilling Micro-credentials for business management professionals in the corporate world. Danberg is a Danish firm backed by Scandinavian values and the latest knowledge. Danberg was established in 2020 in C"&amp;"openhagen.
University lecturers, business leaders, and hiring managers are involved in designing all courses in Danberg Micro-credentials. 
Danberg Micro-credentials are powered by gamified business simulations, where you can take strategic decisions a"&amp;"nd manage the business virtually as the c-suite leader.")</f>
        <v/>
      </c>
      <c r="G745" s="1">
        <f>IFERROR(__xludf.DUMMYFUNCTION("""COMPUTED_VALUE"""),"EdTech Denmark")</f>
        <v/>
      </c>
      <c r="H745" s="1" t="n"/>
      <c r="I745" s="1">
        <f>IFERROR(__xludf.DUMMYFUNCTION("""COMPUTED_VALUE"""),"kasun.s@danberg.org")</f>
        <v/>
      </c>
      <c r="J745" s="1">
        <f>IFERROR(__xludf.DUMMYFUNCTION("""COMPUTED_VALUE"""),"91411742")</f>
        <v/>
      </c>
      <c r="K745" s="1">
        <f>IFERROR(__xludf.DUMMYFUNCTION("""COMPUTED_VALUE"""),"Hillerød")</f>
        <v/>
      </c>
      <c r="L745" s="1">
        <f>IFERROR(__xludf.DUMMYFUNCTION("""COMPUTED_VALUE"""),"Denmark")</f>
        <v/>
      </c>
      <c r="M745" s="1">
        <f>IFERROR(__xludf.DUMMYFUNCTION("""COMPUTED_VALUE"""),"Denmark")</f>
        <v/>
      </c>
      <c r="N745" s="1">
        <f>IFERROR(__xludf.DUMMYFUNCTION("""COMPUTED_VALUE"""),"0 to 10")</f>
        <v/>
      </c>
      <c r="O745" s="1">
        <f>IFERROR(__xludf.DUMMYFUNCTION("""COMPUTED_VALUE"""),"Business to Business")</f>
        <v/>
      </c>
      <c r="P745" s="1">
        <f>IFERROR(__xludf.DUMMYFUNCTION("""COMPUTED_VALUE"""),"Corporate Training, Lifelong learning/Adult education")</f>
        <v/>
      </c>
      <c r="Q745" s="1">
        <f>IFERROR(__xludf.DUMMYFUNCTION("""COMPUTED_VALUE"""),"Teacher interfacing, System/Administrative")</f>
        <v/>
      </c>
      <c r="R745" s="1" t="n"/>
      <c r="S745" s="1" t="n"/>
      <c r="T745" s="15">
        <f>IFERROR(__xludf.DUMMYFUNCTION("""COMPUTED_VALUE"""),"https://www.linkedin.com/company/82704373/")</f>
        <v/>
      </c>
      <c r="U745" s="1">
        <f>IFERROR(__xludf.DUMMYFUNCTION("""COMPUTED_VALUE"""),"Danberg Mini MBA")</f>
        <v/>
      </c>
      <c r="V745" s="1">
        <f>IFERROR(__xludf.DUMMYFUNCTION("""COMPUTED_VALUE"""),"Danberg Mini-MBA is a practical and cost-effective way to reach your next career goal and boost your employment profile. 
Danberg Mini MBA is powered by gamified business simulations, where you can take strategic decisions and manage the business virtual"&amp;"ly as the c-suite leader. 
Industry experts develop Danberg Mini MBA to equip you with practical management skills that you can apply to work immediately and improve your performance.
Danberg Mini MBA focusing on crucial management areas such as strateg"&amp;"y, marketing, finance, and human resources will also give you a clear advantage to perform in a volatile global business environment.")</f>
        <v/>
      </c>
      <c r="W745" s="1" t="n"/>
      <c r="X745" s="1" t="n"/>
      <c r="Y745" s="15">
        <f>IFERROR(__xludf.DUMMYFUNCTION("""COMPUTED_VALUE"""),"https://drive.google.com/uc?export=view&amp;id=1aIoPSmLQI1jDjZbZPZfFD-3O0wGIs-Rj")</f>
        <v/>
      </c>
      <c r="Z745" s="1">
        <f>IFERROR(__xludf.DUMMYFUNCTION("""COMPUTED_VALUE"""),"Unverified")</f>
        <v/>
      </c>
      <c r="AA745" s="1" t="n"/>
      <c r="AB745" s="1" t="n"/>
      <c r="AC745" s="1" t="n"/>
      <c r="AD745" s="1" t="n"/>
      <c r="AE745" s="1" t="n"/>
    </row>
    <row r="746" ht="42" customHeight="1">
      <c r="A746" s="14">
        <f>IFERROR(__xludf.DUMMYFUNCTION("""COMPUTED_VALUE"""),45181)</f>
        <v/>
      </c>
      <c r="B746" s="1">
        <f>IFERROR(__xludf.DUMMYFUNCTION("""COMPUTED_VALUE"""),"ORG_2309")</f>
        <v/>
      </c>
      <c r="C746" s="1">
        <f>IFERROR(__xludf.DUMMYFUNCTION("""COMPUTED_VALUE"""),TRUE)</f>
        <v/>
      </c>
      <c r="D746" s="1">
        <f>IFERROR(__xludf.DUMMYFUNCTION("""COMPUTED_VALUE"""),"SplendEd")</f>
        <v/>
      </c>
      <c r="E746" s="15">
        <f>IFERROR(__xludf.DUMMYFUNCTION("""COMPUTED_VALUE"""),"https://splended.co")</f>
        <v/>
      </c>
      <c r="F746" s="1">
        <f>IFERROR(__xludf.DUMMYFUNCTION("""COMPUTED_VALUE"""),"High School students currently waste 70% of their time on inadequate learning tasks, accounting for 306.5 Billion wasted hours. SplendEd empowers student growth and transforming education by creating an interactive learning toolbox that aids in fostering "&amp;"student-teacher relationships where students gain access to personalized and scientifically proven methods. SplendEd works closely with (IB) International Schools and will launch its first product pilot testing in November 2022. Get in touch with us at in"&amp;"fo@splended.co to learn more about our journey!")</f>
        <v/>
      </c>
      <c r="G746" s="1">
        <f>IFERROR(__xludf.DUMMYFUNCTION("""COMPUTED_VALUE"""),"I'm not part of any EdTech association")</f>
        <v/>
      </c>
      <c r="H746" s="1" t="n"/>
      <c r="I746" s="1">
        <f>IFERROR(__xludf.DUMMYFUNCTION("""COMPUTED_VALUE"""),"rishab.gourisaria@splended.co")</f>
        <v/>
      </c>
      <c r="J746" s="1">
        <f>IFERROR(__xludf.DUMMYFUNCTION("""COMPUTED_VALUE"""),"+49 1626796493")</f>
        <v/>
      </c>
      <c r="K746" s="1">
        <f>IFERROR(__xludf.DUMMYFUNCTION("""COMPUTED_VALUE"""),"Berlin")</f>
        <v/>
      </c>
      <c r="L746" s="1">
        <f>IFERROR(__xludf.DUMMYFUNCTION("""COMPUTED_VALUE"""),"Germany")</f>
        <v/>
      </c>
      <c r="M746" s="1">
        <f>IFERROR(__xludf.DUMMYFUNCTION("""COMPUTED_VALUE"""),"Denmark, Germany")</f>
        <v/>
      </c>
      <c r="N746" s="1">
        <f>IFERROR(__xludf.DUMMYFUNCTION("""COMPUTED_VALUE"""),"0 to 10")</f>
        <v/>
      </c>
      <c r="O746" s="1">
        <f>IFERROR(__xludf.DUMMYFUNCTION("""COMPUTED_VALUE"""),"Business to Schools")</f>
        <v/>
      </c>
      <c r="P746" s="1">
        <f>IFERROR(__xludf.DUMMYFUNCTION("""COMPUTED_VALUE"""),"Secondary Education")</f>
        <v/>
      </c>
      <c r="Q746" s="1">
        <f>IFERROR(__xludf.DUMMYFUNCTION("""COMPUTED_VALUE"""),"Student interfacing, Teacher interfacing")</f>
        <v/>
      </c>
      <c r="R746" s="1" t="n"/>
      <c r="S746" s="1" t="n"/>
      <c r="T746" s="1" t="n"/>
      <c r="U746" s="1" t="n"/>
      <c r="V746" s="1" t="n"/>
      <c r="W746" s="1" t="n"/>
      <c r="X746" s="1" t="n"/>
      <c r="Y746" s="15">
        <f>IFERROR(__xludf.DUMMYFUNCTION("""COMPUTED_VALUE"""),"https://drive.google.com/uc?export=view&amp;id=1fC6OGmsfLLIUZAVqd0JYpl6TYWWHTdHb")</f>
        <v/>
      </c>
      <c r="Z746" s="1">
        <f>IFERROR(__xludf.DUMMYFUNCTION("""COMPUTED_VALUE"""),"Unverified")</f>
        <v/>
      </c>
      <c r="AA746" s="1" t="n"/>
      <c r="AB746" s="1" t="n"/>
      <c r="AC746" s="1" t="n"/>
      <c r="AD746" s="1" t="n"/>
      <c r="AE746" s="1" t="n"/>
    </row>
    <row r="747" ht="42" customHeight="1">
      <c r="A747" s="14">
        <f>IFERROR(__xludf.DUMMYFUNCTION("""COMPUTED_VALUE"""),45181)</f>
        <v/>
      </c>
      <c r="B747" s="1">
        <f>IFERROR(__xludf.DUMMYFUNCTION("""COMPUTED_VALUE"""),"ORG_2425")</f>
        <v/>
      </c>
      <c r="C747" s="1">
        <f>IFERROR(__xludf.DUMMYFUNCTION("""COMPUTED_VALUE"""),TRUE)</f>
        <v/>
      </c>
      <c r="D747" s="1">
        <f>IFERROR(__xludf.DUMMYFUNCTION("""COMPUTED_VALUE"""),"TotalYmage")</f>
        <v/>
      </c>
      <c r="E747" s="15">
        <f>IFERROR(__xludf.DUMMYFUNCTION("""COMPUTED_VALUE"""),"https://www.totalymage.com")</f>
        <v/>
      </c>
      <c r="F747" s="1">
        <f>IFERROR(__xludf.DUMMYFUNCTION("""COMPUTED_VALUE"""),"Created in 2013 at the EPFL Innovation Park, Time2Market is a Swiss technology company, operating in France, Spain, Canada and Singapore.
Time2Market developed 360° video twin globally patented technologies: the quickest way to reconstruct complex facilit"&amp;"ies in real images, and enrich them with 3D-positioned digital content.
Time2Market publishes the TotalYmage software video twin platform, available on the cloud and on-premises.")</f>
        <v/>
      </c>
      <c r="G747" s="1">
        <f>IFERROR(__xludf.DUMMYFUNCTION("""COMPUTED_VALUE"""),"Swiss EdTech Collider")</f>
        <v/>
      </c>
      <c r="H747" s="1" t="n"/>
      <c r="I747" s="1">
        <f>IFERROR(__xludf.DUMMYFUNCTION("""COMPUTED_VALUE"""),"contact@totalymage.com")</f>
        <v/>
      </c>
      <c r="J747" s="1" t="n"/>
      <c r="K747" s="1">
        <f>IFERROR(__xludf.DUMMYFUNCTION("""COMPUTED_VALUE"""),"ECUBLENS")</f>
        <v/>
      </c>
      <c r="L747" s="1">
        <f>IFERROR(__xludf.DUMMYFUNCTION("""COMPUTED_VALUE"""),"Switzerland")</f>
        <v/>
      </c>
      <c r="M747" s="1">
        <f>IFERROR(__xludf.DUMMYFUNCTION("""COMPUTED_VALUE"""),"France, Norway, Spain, Switzerland, United Kingdom")</f>
        <v/>
      </c>
      <c r="N747" s="1">
        <f>IFERROR(__xludf.DUMMYFUNCTION("""COMPUTED_VALUE"""),"0 to 10")</f>
        <v/>
      </c>
      <c r="O747" s="1">
        <f>IFERROR(__xludf.DUMMYFUNCTION("""COMPUTED_VALUE"""),"Business to Business")</f>
        <v/>
      </c>
      <c r="P747" s="1">
        <f>IFERROR(__xludf.DUMMYFUNCTION("""COMPUTED_VALUE"""),"Corporate Training")</f>
        <v/>
      </c>
      <c r="Q747" s="1">
        <f>IFERROR(__xludf.DUMMYFUNCTION("""COMPUTED_VALUE"""),"System/Administrative")</f>
        <v/>
      </c>
      <c r="R747" s="1" t="n"/>
      <c r="S747" s="1" t="n"/>
      <c r="T747" s="15">
        <f>IFERROR(__xludf.DUMMYFUNCTION("""COMPUTED_VALUE"""),"https://www.linkedin.com/company/totalymage/")</f>
        <v/>
      </c>
      <c r="U747" s="1">
        <f>IFERROR(__xludf.DUMMYFUNCTION("""COMPUTED_VALUE"""),"TotalYmage")</f>
        <v/>
      </c>
      <c r="V747" s="1">
        <f>IFERROR(__xludf.DUMMYFUNCTION("""COMPUTED_VALUE"""),"The TotalYmage software platform allows corporate companies to create training environments of their distant, complex and difficult to access facilities, in a few hours.
Learners access the virtual (in real images) environments from their own devices, and"&amp;" learn from the geopositioned content.
Training becomes safe, gives a total understanding of the processes and facilities in which they will operate.
No-code, quick and intuitive, economic.")</f>
        <v/>
      </c>
      <c r="W747" s="1">
        <f>IFERROR(__xludf.DUMMYFUNCTION("""COMPUTED_VALUE"""),"Realigned")</f>
        <v/>
      </c>
      <c r="X747" s="1">
        <f>IFERROR(__xludf.DUMMYFUNCTION("""COMPUTED_VALUE"""),"The Realigned software platform gives robotics hardware manufacturers (robot, drone) new tools to capture on-site sensor-based data and 360° images, analyse them and report 3D-localized measurements, issues and regulatory checks.
Used for inspections in c"&amp;"omplex and difficult to access environments.
Reports in 2D, 3D, 360° reports, csv")</f>
        <v/>
      </c>
      <c r="Y747" s="15">
        <f>IFERROR(__xludf.DUMMYFUNCTION("""COMPUTED_VALUE"""),"https://drive.google.com/uc?export=view&amp;id=1lH1ewN-scErwQ5D4ISMxj-LuCIvbPSI5")</f>
        <v/>
      </c>
      <c r="Z747" s="1">
        <f>IFERROR(__xludf.DUMMYFUNCTION("""COMPUTED_VALUE"""),"Unverified")</f>
        <v/>
      </c>
      <c r="AA747" s="1" t="n"/>
      <c r="AB747" s="1" t="n"/>
      <c r="AC747" s="1" t="n"/>
      <c r="AD747" s="1" t="n"/>
      <c r="AE747" s="1" t="n"/>
    </row>
    <row r="748" ht="42" customHeight="1">
      <c r="A748" s="14">
        <f>IFERROR(__xludf.DUMMYFUNCTION("""COMPUTED_VALUE"""),45181)</f>
        <v/>
      </c>
      <c r="B748" s="1">
        <f>IFERROR(__xludf.DUMMYFUNCTION("""COMPUTED_VALUE"""),"ORG_1157")</f>
        <v/>
      </c>
      <c r="C748" s="1">
        <f>IFERROR(__xludf.DUMMYFUNCTION("""COMPUTED_VALUE"""),TRUE)</f>
        <v/>
      </c>
      <c r="D748" s="1">
        <f>IFERROR(__xludf.DUMMYFUNCTION("""COMPUTED_VALUE"""),"BetterStudy Online Training in Accounting")</f>
        <v/>
      </c>
      <c r="E748" s="15">
        <f>IFERROR(__xludf.DUMMYFUNCTION("""COMPUTED_VALUE"""),"https://betterstudy.ch")</f>
        <v/>
      </c>
      <c r="F748" s="1">
        <f>IFERROR(__xludf.DUMMYFUNCTION("""COMPUTED_VALUE"""),"Founded in January 2015, BetterStudy is the only 100% online vocational training institute in accounting and HR in Switzerland.
BetterStudy delivers its own certificates and offer programs preparation with the skills needed to pass external State exams, "&amp;"until the level of Specialist in Accounting and Finance. 
BetterStudy developed a platform with custom questions and a unique learning method allowing our learners to complete their training 20% ​​to 30% faster (on average), and their exam pass rates are"&amp;" also above average.
The company is profitable and cash positive.")</f>
        <v/>
      </c>
      <c r="G748" s="1">
        <f>IFERROR(__xludf.DUMMYFUNCTION("""COMPUTED_VALUE"""),"Swiss EdTech Collider")</f>
        <v/>
      </c>
      <c r="H748" s="1" t="n"/>
      <c r="I748" s="1">
        <f>IFERROR(__xludf.DUMMYFUNCTION("""COMPUTED_VALUE"""),"chris@betterstudy.ch")</f>
        <v/>
      </c>
      <c r="J748" s="1">
        <f>IFERROR(__xludf.DUMMYFUNCTION("""COMPUTED_VALUE"""),"+41 22 535 41 94")</f>
        <v/>
      </c>
      <c r="K748" s="1">
        <f>IFERROR(__xludf.DUMMYFUNCTION("""COMPUTED_VALUE"""),"Petit-Lancy")</f>
        <v/>
      </c>
      <c r="L748" s="1">
        <f>IFERROR(__xludf.DUMMYFUNCTION("""COMPUTED_VALUE"""),"Switzerland")</f>
        <v/>
      </c>
      <c r="M748" s="1">
        <f>IFERROR(__xludf.DUMMYFUNCTION("""COMPUTED_VALUE"""),"France, Switzerland")</f>
        <v/>
      </c>
      <c r="N748" s="1">
        <f>IFERROR(__xludf.DUMMYFUNCTION("""COMPUTED_VALUE"""),"0 to 10")</f>
        <v/>
      </c>
      <c r="O748" s="1">
        <f>IFERROR(__xludf.DUMMYFUNCTION("""COMPUTED_VALUE"""),"Business to Business, Business to Consumer")</f>
        <v/>
      </c>
      <c r="P748" s="1">
        <f>IFERROR(__xludf.DUMMYFUNCTION("""COMPUTED_VALUE"""),"Higher Education, Corporate Training, Lifelong learning/Adult education")</f>
        <v/>
      </c>
      <c r="Q748" s="1">
        <f>IFERROR(__xludf.DUMMYFUNCTION("""COMPUTED_VALUE"""),"Student interfacing, System/Administrative")</f>
        <v/>
      </c>
      <c r="R748" s="15">
        <f>IFERROR(__xludf.DUMMYFUNCTION("""COMPUTED_VALUE"""),"https://www.instagram.com/betterstudy_online_course")</f>
        <v/>
      </c>
      <c r="S748" s="1" t="n"/>
      <c r="T748" s="15">
        <f>IFERROR(__xludf.DUMMYFUNCTION("""COMPUTED_VALUE"""),"https://www.linkedin.com/school/betterstudy-cours-en-ligne/")</f>
        <v/>
      </c>
      <c r="U748" s="1">
        <f>IFERROR(__xludf.DUMMYFUNCTION("""COMPUTED_VALUE"""),"Different courses in accounting and HR")</f>
        <v/>
      </c>
      <c r="V748" s="1">
        <f>IFERROR(__xludf.DUMMYFUNCTION("""COMPUTED_VALUE"""),"13 trainings programs, most of them leading to a professional certificate, from the entry level in accounting to specialist level. 
Vidéos, texts, interactives questions.
A team of trainers is available to answer the learners' questions.")</f>
        <v/>
      </c>
      <c r="W748" s="1" t="n"/>
      <c r="X748" s="1" t="n"/>
      <c r="Y748" s="15">
        <f>IFERROR(__xludf.DUMMYFUNCTION("""COMPUTED_VALUE"""),"https://drive.google.com/uc?export=view&amp;id=153eeYwOMnR9XiUKtTshubB1yRtrXy5zv")</f>
        <v/>
      </c>
      <c r="Z748" s="1">
        <f>IFERROR(__xludf.DUMMYFUNCTION("""COMPUTED_VALUE"""),"Unverified")</f>
        <v/>
      </c>
      <c r="AA748" s="1" t="n"/>
      <c r="AB748" s="1" t="n"/>
      <c r="AC748" s="1" t="n"/>
      <c r="AD748" s="1" t="n"/>
      <c r="AE748" s="1" t="n"/>
    </row>
    <row r="749" ht="42" customHeight="1">
      <c r="A749" s="14">
        <f>IFERROR(__xludf.DUMMYFUNCTION("""COMPUTED_VALUE"""),45181)</f>
        <v/>
      </c>
      <c r="B749" s="1">
        <f>IFERROR(__xludf.DUMMYFUNCTION("""COMPUTED_VALUE"""),"ORG_2429")</f>
        <v/>
      </c>
      <c r="C749" s="1">
        <f>IFERROR(__xludf.DUMMYFUNCTION("""COMPUTED_VALUE"""),TRUE)</f>
        <v/>
      </c>
      <c r="D749" s="1">
        <f>IFERROR(__xludf.DUMMYFUNCTION("""COMPUTED_VALUE"""),"TRALALERE")</f>
        <v/>
      </c>
      <c r="E749" s="15">
        <f>IFERROR(__xludf.DUMMYFUNCTION("""COMPUTED_VALUE"""),"https://www.tralalere.com")</f>
        <v/>
      </c>
      <c r="F749" s="1">
        <f>IFERROR(__xludf.DUMMYFUNCTION("""COMPUTED_VALUE"""),"Digital edutainer, TRALALERE is a leading French producer of engaging resources for K12 education. This center for innovation is the operator of the French “Safer Internet France” program, on the outlook for changes in digital usages. TRALALERE disseminat"&amp;"es cross-media educational programs (serious games, not-so-silly games, audiovisual series, pedagogical platforms) for learners and teachers to scale up good practice and develop youth digital skills.")</f>
        <v/>
      </c>
      <c r="G749" s="1">
        <f>IFERROR(__xludf.DUMMYFUNCTION("""COMPUTED_VALUE"""),"EdTech France")</f>
        <v/>
      </c>
      <c r="H749" s="1" t="n"/>
      <c r="I749" s="1">
        <f>IFERROR(__xludf.DUMMYFUNCTION("""COMPUTED_VALUE"""),"contact@tralalere.com")</f>
        <v/>
      </c>
      <c r="J749" s="1">
        <f>IFERROR(__xludf.DUMMYFUNCTION("""COMPUTED_VALUE"""),"+33149294525")</f>
        <v/>
      </c>
      <c r="K749" s="1">
        <f>IFERROR(__xludf.DUMMYFUNCTION("""COMPUTED_VALUE"""),"PARIS")</f>
        <v/>
      </c>
      <c r="L749" s="1">
        <f>IFERROR(__xludf.DUMMYFUNCTION("""COMPUTED_VALUE"""),"France")</f>
        <v/>
      </c>
      <c r="M749" s="1">
        <f>IFERROR(__xludf.DUMMYFUNCTION("""COMPUTED_VALUE"""),"France, Germany, Ireland, Italy, Spain, Switzerland")</f>
        <v/>
      </c>
      <c r="N749" s="1">
        <f>IFERROR(__xludf.DUMMYFUNCTION("""COMPUTED_VALUE"""),"11 to 50")</f>
        <v/>
      </c>
      <c r="O749" s="1">
        <f>IFERROR(__xludf.DUMMYFUNCTION("""COMPUTED_VALUE"""),"Business to Business, Business to Government")</f>
        <v/>
      </c>
      <c r="P749" s="1">
        <f>IFERROR(__xludf.DUMMYFUNCTION("""COMPUTED_VALUE"""),"Primary Education, Secondary Education")</f>
        <v/>
      </c>
      <c r="Q749" s="1">
        <f>IFERROR(__xludf.DUMMYFUNCTION("""COMPUTED_VALUE"""),"System/Administrative, Student interfacing, Teacher interfacing")</f>
        <v/>
      </c>
      <c r="R749" s="15">
        <f>IFERROR(__xludf.DUMMYFUNCTION("""COMPUTED_VALUE"""),"https://www.instagram.com/internetsanscrainte/")</f>
        <v/>
      </c>
      <c r="S749" s="15">
        <f>IFERROR(__xludf.DUMMYFUNCTION("""COMPUTED_VALUE"""),"https://twitter.com/tralalere")</f>
        <v/>
      </c>
      <c r="T749" s="15">
        <f>IFERROR(__xludf.DUMMYFUNCTION("""COMPUTED_VALUE"""),"https://linkedin.com/showcase/tralalere")</f>
        <v/>
      </c>
      <c r="U749" s="1">
        <f>IFERROR(__xludf.DUMMYFUNCTION("""COMPUTED_VALUE"""),"CitizenCode")</f>
        <v/>
      </c>
      <c r="V749" s="1">
        <f>IFERROR(__xludf.DUMMYFUNCTION("""COMPUTED_VALUE"""),"Citizen Code is a new format of turnkey digital interactive workshops to introduce kids (9 to 77) to coding and digital culture (from digital citizenship to digital jobs). 
Using CitizenCode for classroom activities, workshops or home learning, kids becom"&amp;"e actors (rather than consumers) in their digital life: they code, create, understand key digital stakes.")</f>
        <v/>
      </c>
      <c r="W749" s="1">
        <f>IFERROR(__xludf.DUMMYFUNCTION("""COMPUTED_VALUE"""),"Safer Internet suite")</f>
        <v/>
      </c>
      <c r="X749" s="1">
        <f>IFERROR(__xludf.DUMMYFUNCTION("""COMPUTED_VALUE"""),"A collection of digital resources to help youth master digital life and prevent risks
- FamiNum, a platform to help families with digital parenting
- InfoHunter, an interactive tool to organise media literacy workshops, to question perception of media and"&amp;" learn how to decrypt information
- Stopviolence, a serious game to tackle cyber bullying with junior highschool students
- Vinz and Lou, a series to tackle societal challenges for 7-11 year olds")</f>
        <v/>
      </c>
      <c r="Y749" s="15">
        <f>IFERROR(__xludf.DUMMYFUNCTION("""COMPUTED_VALUE"""),"https://drive.google.com/uc?export=view&amp;id=1v82qqWW9-G2zQOb-ebl6_0VEWMR2-Trs")</f>
        <v/>
      </c>
      <c r="Z749" s="1">
        <f>IFERROR(__xludf.DUMMYFUNCTION("""COMPUTED_VALUE"""),"Unverified")</f>
        <v/>
      </c>
      <c r="AA749" s="1" t="n"/>
      <c r="AB749" s="1" t="n"/>
      <c r="AC749" s="1" t="n"/>
      <c r="AD749" s="1" t="n"/>
      <c r="AE749" s="1" t="n"/>
    </row>
    <row r="750" ht="42" customHeight="1">
      <c r="A750" s="14">
        <f>IFERROR(__xludf.DUMMYFUNCTION("""COMPUTED_VALUE"""),45181)</f>
        <v/>
      </c>
      <c r="B750" s="1">
        <f>IFERROR(__xludf.DUMMYFUNCTION("""COMPUTED_VALUE"""),"ORG_2564")</f>
        <v/>
      </c>
      <c r="C750" s="1">
        <f>IFERROR(__xludf.DUMMYFUNCTION("""COMPUTED_VALUE"""),TRUE)</f>
        <v/>
      </c>
      <c r="D750" s="1">
        <f>IFERROR(__xludf.DUMMYFUNCTION("""COMPUTED_VALUE"""),"Youni")</f>
        <v/>
      </c>
      <c r="E750" s="15">
        <f>IFERROR(__xludf.DUMMYFUNCTION("""COMPUTED_VALUE"""),"younichoice.com")</f>
        <v/>
      </c>
      <c r="F750" s="1">
        <f>IFERROR(__xludf.DUMMYFUNCTION("""COMPUTED_VALUE"""),"Youni is an international educational platform for applying to universities worldwide. For high schools, Youni is the students’ educational counsellor &amp; advisor")</f>
        <v/>
      </c>
      <c r="G750" s="1">
        <f>IFERROR(__xludf.DUMMYFUNCTION("""COMPUTED_VALUE"""),"I'm not part of any EdTech association")</f>
        <v/>
      </c>
      <c r="H750" s="1">
        <f>IFERROR(__xludf.DUMMYFUNCTION("""COMPUTED_VALUE"""),"English, Romanian, Russian")</f>
        <v/>
      </c>
      <c r="I750" s="1">
        <f>IFERROR(__xludf.DUMMYFUNCTION("""COMPUTED_VALUE"""),"stefan@younichoice.com")</f>
        <v/>
      </c>
      <c r="J750" s="1">
        <f>IFERROR(__xludf.DUMMYFUNCTION("""COMPUTED_VALUE"""),"+40 770 974 203")</f>
        <v/>
      </c>
      <c r="K750" s="1">
        <f>IFERROR(__xludf.DUMMYFUNCTION("""COMPUTED_VALUE"""),"Bucharest")</f>
        <v/>
      </c>
      <c r="L750" s="1">
        <f>IFERROR(__xludf.DUMMYFUNCTION("""COMPUTED_VALUE"""),"Romania")</f>
        <v/>
      </c>
      <c r="M750" s="1">
        <f>IFERROR(__xludf.DUMMYFUNCTION("""COMPUTED_VALUE"""),"Bulgaria, Czechia, France, Germany, Italy, Kazakhstan, Netherlands, Poland, Romania, Spain, Switzerland")</f>
        <v/>
      </c>
      <c r="N750" s="1">
        <f>IFERROR(__xludf.DUMMYFUNCTION("""COMPUTED_VALUE"""),"11 to 50")</f>
        <v/>
      </c>
      <c r="O750" s="1">
        <f>IFERROR(__xludf.DUMMYFUNCTION("""COMPUTED_VALUE"""),"Business to Business")</f>
        <v/>
      </c>
      <c r="P750" s="1">
        <f>IFERROR(__xludf.DUMMYFUNCTION("""COMPUTED_VALUE"""),"Secondary Education, Corporate Training, Lifelong learning/Adult education, Vocational Education and Training (VET), Higher Education")</f>
        <v/>
      </c>
      <c r="Q750" s="1">
        <f>IFERROR(__xludf.DUMMYFUNCTION("""COMPUTED_VALUE"""),"System/Administrative, Student interfacing")</f>
        <v/>
      </c>
      <c r="R750" s="15">
        <f>IFERROR(__xludf.DUMMYFUNCTION("""COMPUTED_VALUE"""),"https://instagram.com/younichoice?igshid=MzRlODBiNWFlZA==")</f>
        <v/>
      </c>
      <c r="S750" s="1" t="n"/>
      <c r="T750" s="15">
        <f>IFERROR(__xludf.DUMMYFUNCTION("""COMPUTED_VALUE"""),"https://www.linkedin.com/company/younichoice")</f>
        <v/>
      </c>
      <c r="U750" s="1">
        <f>IFERROR(__xludf.DUMMYFUNCTION("""COMPUTED_VALUE"""),"Younichoice")</f>
        <v/>
      </c>
      <c r="V750" s="1">
        <f>IFERROR(__xludf.DUMMYFUNCTION("""COMPUTED_VALUE"""),"Primarily, our users are students, ranging from teenagers gearing up for their undergrad to professionals eyeing postgraduate courses or a career shift. Additionally, educational institutions and organizations looking to tap into student insights and pref"&amp;"erences also benefit immensely from our platform, making their offerings more aligned and effective.
Many students, regardless of age or background, grapple with several persistent issues when considering higher education and career paths:
Overwhelming"&amp;" Choices: The sheer number of universities and career paths available can be daunting, often leading to confusion and, at times, suboptimal choices.
Mismatched Aspirations and Opportunities: Frequently, students find themselves pursuing courses or career"&amp;"s that don't align with their innate interests or strengths. This misalignment can lead to dissatisfaction and reduced performance.
Financial Constraints: Higher education, especially in reputed institutions, can be prohibitively expensive. Many students"&amp;" are unaware of financial aids or scholarships they might be eligible for.
Lack of Comprehensive Information: In the age of information, the challenge is often finding relevant, accurate, and comprehensive information all in one place.
Isolation in Deci"&amp;"sion Making: Many students feel isolated in their journey, lacking a community or peer group for sharing concerns, asking questions, or gaining insights.
Uninformed Decision-making: Without a system that understands individual profiles and preferences, s"&amp;"tudents often make decisions based on generic advice or superficial research.
Inadequate Preparation: Many students are unaware of the preparatory resources, certifications, or exams required to secure admission to their desired courses or institutions.
"&amp;"
How Our Product Solves These Problems:
AI-Powered Guidance: With the AI Search and Recommendation System, students receive curated suggestions on universities, careers, and resources tailored to their profile. This personalized guidance reduces the over"&amp;"whelming number of choices to a more manageable and relevant set.
Strategic University and Career Selection: By connecting students to over 500 universities globally and utilizing AI for best-fit recommendations, we ensure students' aspirations match the"&amp;"ir chosen paths.
Democratizing Education with Financial Aids: Our platform actively scans and suggests scholarships and awards, making education financially accessible to a wider audience.
Centralized Information Hub: By consolidating resources like adm"&amp;"ission exams, preparatory materials, and certifications, we address the problem of scattered information. Everything a student needs is available in one intuitive space.
Building a Community: The Social Component fosters a community where students can en"&amp;"gage with peers, share experiences, and even find mentors, ensuring they're not isolated in their journey.
Tailored Insights with ""Shout-Eye"" System: Institutions can now understand students' needs and pain points in real-time, ensuring that offerings "&amp;"are continuously optimized to student requirements.
Streamlined Preparatory Path: With the AI search function highlighting relevant certifications and prep resources, students are better equipped to prepare for their academic pursuits.")</f>
        <v/>
      </c>
      <c r="W750" s="1" t="n"/>
      <c r="X750" s="1" t="n"/>
      <c r="Y750" s="15">
        <f>IFERROR(__xludf.DUMMYFUNCTION("""COMPUTED_VALUE"""),"https://drive.google.com/uc?export=view&amp;id=1P-OeIhNlALtw_mWRRoqF63w8Darlee_0")</f>
        <v/>
      </c>
      <c r="Z750" s="1">
        <f>IFERROR(__xludf.DUMMYFUNCTION("""COMPUTED_VALUE"""),"Unverified")</f>
        <v/>
      </c>
      <c r="AA750" s="1" t="n"/>
      <c r="AB750" s="1" t="n"/>
      <c r="AC750" s="1" t="n"/>
      <c r="AD750" s="1" t="n"/>
      <c r="AE750" s="1" t="n"/>
    </row>
    <row r="751" ht="42" customHeight="1">
      <c r="A751" s="14">
        <f>IFERROR(__xludf.DUMMYFUNCTION("""COMPUTED_VALUE"""),45181)</f>
        <v/>
      </c>
      <c r="B751" s="1">
        <f>IFERROR(__xludf.DUMMYFUNCTION("""COMPUTED_VALUE"""),"ORG_1873")</f>
        <v/>
      </c>
      <c r="C751" s="1">
        <f>IFERROR(__xludf.DUMMYFUNCTION("""COMPUTED_VALUE"""),TRUE)</f>
        <v/>
      </c>
      <c r="D751" s="1">
        <f>IFERROR(__xludf.DUMMYFUNCTION("""COMPUTED_VALUE"""),"LifeTeachUs")</f>
        <v/>
      </c>
      <c r="E751" s="15">
        <f>IFERROR(__xludf.DUMMYFUNCTION("""COMPUTED_VALUE"""),"https://lifeteachus.org/")</f>
        <v/>
      </c>
      <c r="F751" s="1">
        <f>IFERROR(__xludf.DUMMYFUNCTION("""COMPUTED_VALUE"""),"What do we do?
We bring people from all walks of life to school whenever classes are cancelled. In this way, we expand the educational offering to include inspiring people outside the usual environment. With a million hours of downtime per week in Germany"&amp;", we have plenty of time to do this.
How do we do it?
We have developed an app that schools use to indicate short- and long-term lesson cancellations, and in real time we find suitable people who bring valuable life knowledge and life experience to schoo"&amp;"l in 45 minutes. We test and qualify these people beforehand as so-called LifeTeachers.")</f>
        <v/>
      </c>
      <c r="G751" s="1">
        <f>IFERROR(__xludf.DUMMYFUNCTION("""COMPUTED_VALUE"""),"I'm not part of any EdTech association")</f>
        <v/>
      </c>
      <c r="H751" s="1" t="n"/>
      <c r="I751" s="1">
        <f>IFERROR(__xludf.DUMMYFUNCTION("""COMPUTED_VALUE"""),"kontakt@lifeteachus.org")</f>
        <v/>
      </c>
      <c r="J751" s="1" t="n"/>
      <c r="K751" s="1">
        <f>IFERROR(__xludf.DUMMYFUNCTION("""COMPUTED_VALUE"""),"MÜNCHEN")</f>
        <v/>
      </c>
      <c r="L751" s="1">
        <f>IFERROR(__xludf.DUMMYFUNCTION("""COMPUTED_VALUE"""),"Germany")</f>
        <v/>
      </c>
      <c r="M751" s="1">
        <f>IFERROR(__xludf.DUMMYFUNCTION("""COMPUTED_VALUE"""),"Austria, Germany")</f>
        <v/>
      </c>
      <c r="N751" s="1">
        <f>IFERROR(__xludf.DUMMYFUNCTION("""COMPUTED_VALUE"""),"0 to 10")</f>
        <v/>
      </c>
      <c r="O751" s="1">
        <f>IFERROR(__xludf.DUMMYFUNCTION("""COMPUTED_VALUE"""),"Business to Business, Business to Consumer")</f>
        <v/>
      </c>
      <c r="P751" s="1">
        <f>IFERROR(__xludf.DUMMYFUNCTION("""COMPUTED_VALUE"""),"Secondary Education")</f>
        <v/>
      </c>
      <c r="Q751" s="1">
        <f>IFERROR(__xludf.DUMMYFUNCTION("""COMPUTED_VALUE"""),"Student interfacing")</f>
        <v/>
      </c>
      <c r="R751" s="1" t="n"/>
      <c r="S751" s="1" t="n"/>
      <c r="T751" s="1" t="n"/>
      <c r="U751" s="1" t="n"/>
      <c r="V751" s="1" t="n"/>
      <c r="W751" s="1" t="n"/>
      <c r="X751" s="1" t="n"/>
      <c r="Y751" s="15">
        <f>IFERROR(__xludf.DUMMYFUNCTION("""COMPUTED_VALUE"""),"https://drive.google.com/uc?export=view&amp;id=1EgXqwnz-Uen_Iza8AA1gRlpjCkD5zSvW")</f>
        <v/>
      </c>
      <c r="Z751" s="1">
        <f>IFERROR(__xludf.DUMMYFUNCTION("""COMPUTED_VALUE"""),"Unverified")</f>
        <v/>
      </c>
      <c r="AA751" s="1" t="n"/>
      <c r="AB751" s="1" t="n"/>
      <c r="AC751" s="1" t="n"/>
      <c r="AD751" s="1" t="n"/>
      <c r="AE751" s="1" t="n"/>
    </row>
    <row r="752" ht="42" customHeight="1">
      <c r="A752" s="14">
        <f>IFERROR(__xludf.DUMMYFUNCTION("""COMPUTED_VALUE"""),45181)</f>
        <v/>
      </c>
      <c r="B752" s="1">
        <f>IFERROR(__xludf.DUMMYFUNCTION("""COMPUTED_VALUE"""),"ORG_2408")</f>
        <v/>
      </c>
      <c r="C752" s="1">
        <f>IFERROR(__xludf.DUMMYFUNCTION("""COMPUTED_VALUE"""),TRUE)</f>
        <v/>
      </c>
      <c r="D752" s="1">
        <f>IFERROR(__xludf.DUMMYFUNCTION("""COMPUTED_VALUE"""),"thing.online")</f>
        <v/>
      </c>
      <c r="E752" s="15">
        <f>IFERROR(__xludf.DUMMYFUNCTION("""COMPUTED_VALUE"""),"https://www.thing.online")</f>
        <v/>
      </c>
      <c r="F752" s="1">
        <f>IFERROR(__xludf.DUMMYFUNCTION("""COMPUTED_VALUE"""),"hing.online enables organizations and teams to run effortless virtual workshops, achieving high-quality results in structured conversations. The web application supports moderators to structure the flow of virtual meetings and allows participants to have "&amp;"engaging conversations and collaborate. It assists with meeting flow control, so facilitators can refocus on group dynamics and guide participants to valuable outcomes. thing.online significantly reduces the barriers to well-structured meetings, hence ena"&amp;"bling more organizations to be prepared for a hybrid future of work.")</f>
        <v/>
      </c>
      <c r="G752" s="1">
        <f>IFERROR(__xludf.DUMMYFUNCTION("""COMPUTED_VALUE"""),"I'm not part of any EdTech association")</f>
        <v/>
      </c>
      <c r="H752" s="1" t="n"/>
      <c r="I752" s="1">
        <f>IFERROR(__xludf.DUMMYFUNCTION("""COMPUTED_VALUE"""),"team@thing.online")</f>
        <v/>
      </c>
      <c r="J752" s="1" t="n"/>
      <c r="K752" s="1">
        <f>IFERROR(__xludf.DUMMYFUNCTION("""COMPUTED_VALUE"""),"KARLSRUHE")</f>
        <v/>
      </c>
      <c r="L752" s="1">
        <f>IFERROR(__xludf.DUMMYFUNCTION("""COMPUTED_VALUE"""),"Germany")</f>
        <v/>
      </c>
      <c r="M75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752" s="1">
        <f>IFERROR(__xludf.DUMMYFUNCTION("""COMPUTED_VALUE"""),"0 to 10")</f>
        <v/>
      </c>
      <c r="O752" s="1">
        <f>IFERROR(__xludf.DUMMYFUNCTION("""COMPUTED_VALUE"""),"Business to Business, Business to Government, Business to Schools")</f>
        <v/>
      </c>
      <c r="P752" s="1">
        <f>IFERROR(__xludf.DUMMYFUNCTION("""COMPUTED_VALUE"""),"Higher Education, Corporate Training, Lifelong learning/Adult education")</f>
        <v/>
      </c>
      <c r="Q752" s="1">
        <f>IFERROR(__xludf.DUMMYFUNCTION("""COMPUTED_VALUE"""),"Student interfacing, Teacher interfacing, System/Administrative")</f>
        <v/>
      </c>
      <c r="R752" s="1" t="n"/>
      <c r="S752" s="1" t="n"/>
      <c r="T752" s="1" t="n"/>
      <c r="U752" s="1" t="n"/>
      <c r="V752" s="1" t="n"/>
      <c r="W752" s="1" t="n"/>
      <c r="X752" s="1" t="n"/>
      <c r="Y752" s="15">
        <f>IFERROR(__xludf.DUMMYFUNCTION("""COMPUTED_VALUE"""),"https://drive.google.com/uc?export=view&amp;id=1nsjh1wzdW1WIepT09Jxoiu0WGloOL0We")</f>
        <v/>
      </c>
      <c r="Z752" s="1">
        <f>IFERROR(__xludf.DUMMYFUNCTION("""COMPUTED_VALUE"""),"Unverified")</f>
        <v/>
      </c>
      <c r="AA752" s="1" t="n"/>
      <c r="AB752" s="1" t="n"/>
      <c r="AC752" s="1" t="n"/>
      <c r="AD752" s="1" t="n"/>
      <c r="AE752" s="1" t="n"/>
    </row>
    <row r="753" ht="42" customHeight="1">
      <c r="A753" s="14">
        <f>IFERROR(__xludf.DUMMYFUNCTION("""COMPUTED_VALUE"""),45181)</f>
        <v/>
      </c>
      <c r="B753" s="1">
        <f>IFERROR(__xludf.DUMMYFUNCTION("""COMPUTED_VALUE"""),"ORG_1621")</f>
        <v/>
      </c>
      <c r="C753" s="1">
        <f>IFERROR(__xludf.DUMMYFUNCTION("""COMPUTED_VALUE"""),TRUE)</f>
        <v/>
      </c>
      <c r="D753" s="1">
        <f>IFERROR(__xludf.DUMMYFUNCTION("""COMPUTED_VALUE"""),"Gility")</f>
        <v/>
      </c>
      <c r="E753" s="15">
        <f>IFERROR(__xludf.DUMMYFUNCTION("""COMPUTED_VALUE"""),"www.gility.it")</f>
        <v/>
      </c>
      <c r="F753" s="1">
        <f>IFERROR(__xludf.DUMMYFUNCTION("""COMPUTED_VALUE"""),"Gility is the education technology founded by BPER and CDP Venture Capital focused on upskilling and reskilling of Italian small medium enterprises.")</f>
        <v/>
      </c>
      <c r="G753" s="1">
        <f>IFERROR(__xludf.DUMMYFUNCTION("""COMPUTED_VALUE"""),"EdTech Italia, edtechstation")</f>
        <v/>
      </c>
      <c r="H753" s="1" t="n"/>
      <c r="I753" s="1">
        <f>IFERROR(__xludf.DUMMYFUNCTION("""COMPUTED_VALUE"""),"f.bulega@gility.it")</f>
        <v/>
      </c>
      <c r="J753" s="1">
        <f>IFERROR(__xludf.DUMMYFUNCTION("""COMPUTED_VALUE"""),"3396624783")</f>
        <v/>
      </c>
      <c r="K753" s="1">
        <f>IFERROR(__xludf.DUMMYFUNCTION("""COMPUTED_VALUE"""),"MILANO")</f>
        <v/>
      </c>
      <c r="L753" s="1">
        <f>IFERROR(__xludf.DUMMYFUNCTION("""COMPUTED_VALUE"""),"Italy")</f>
        <v/>
      </c>
      <c r="M753" s="1">
        <f>IFERROR(__xludf.DUMMYFUNCTION("""COMPUTED_VALUE"""),"Italy")</f>
        <v/>
      </c>
      <c r="N753" s="1">
        <f>IFERROR(__xludf.DUMMYFUNCTION("""COMPUTED_VALUE"""),"0 to 10")</f>
        <v/>
      </c>
      <c r="O753" s="1">
        <f>IFERROR(__xludf.DUMMYFUNCTION("""COMPUTED_VALUE"""),"Business to Business, Business to Consumer")</f>
        <v/>
      </c>
      <c r="P753" s="1">
        <f>IFERROR(__xludf.DUMMYFUNCTION("""COMPUTED_VALUE"""),"Corporate Training")</f>
        <v/>
      </c>
      <c r="Q753" s="1">
        <f>IFERROR(__xludf.DUMMYFUNCTION("""COMPUTED_VALUE"""),"System/Administrative")</f>
        <v/>
      </c>
      <c r="R753" s="1">
        <f>IFERROR(__xludf.DUMMYFUNCTION("""COMPUTED_VALUE"""),"Società di Reskilling s.r.l")</f>
        <v/>
      </c>
      <c r="S753" s="1">
        <f>IFERROR(__xludf.DUMMYFUNCTION("""COMPUTED_VALUE"""),"Società di Reskilling s.r.l")</f>
        <v/>
      </c>
      <c r="T753" s="15">
        <f>IFERROR(__xludf.DUMMYFUNCTION("""COMPUTED_VALUE"""),"https://www.linkedin.com/company/gility-italia/")</f>
        <v/>
      </c>
      <c r="U753" s="1">
        <f>IFERROR(__xludf.DUMMYFUNCTION("""COMPUTED_VALUE"""),"Gility")</f>
        <v/>
      </c>
      <c r="V753" s="1">
        <f>IFERROR(__xludf.DUMMYFUNCTION("""COMPUTED_VALUE"""),"Digital Learning Platform aimed at upskilling and reskilling of SMEs employees")</f>
        <v/>
      </c>
      <c r="W753" s="1" t="n"/>
      <c r="X753" s="1" t="n"/>
      <c r="Y753" s="15">
        <f>IFERROR(__xludf.DUMMYFUNCTION("""COMPUTED_VALUE"""),"https://drive.google.com/uc?export=view&amp;id=11F5SD1J0H2Gegp816nHzTfnQhjUuiGU2")</f>
        <v/>
      </c>
      <c r="Z753" s="1">
        <f>IFERROR(__xludf.DUMMYFUNCTION("""COMPUTED_VALUE"""),"Unverified")</f>
        <v/>
      </c>
      <c r="AA753" s="1" t="n"/>
      <c r="AB753" s="1" t="n"/>
      <c r="AC753" s="1" t="n"/>
      <c r="AD753" s="1" t="n"/>
      <c r="AE753" s="1" t="n"/>
    </row>
    <row r="754" ht="42" customHeight="1">
      <c r="A754" s="14">
        <f>IFERROR(__xludf.DUMMYFUNCTION("""COMPUTED_VALUE"""),45181)</f>
        <v/>
      </c>
      <c r="B754" s="1">
        <f>IFERROR(__xludf.DUMMYFUNCTION("""COMPUTED_VALUE"""),"ORG_1521")</f>
        <v/>
      </c>
      <c r="C754" s="1">
        <f>IFERROR(__xludf.DUMMYFUNCTION("""COMPUTED_VALUE"""),TRUE)</f>
        <v/>
      </c>
      <c r="D754" s="1">
        <f>IFERROR(__xludf.DUMMYFUNCTION("""COMPUTED_VALUE"""),"eTutee")</f>
        <v/>
      </c>
      <c r="E754" s="15">
        <f>IFERROR(__xludf.DUMMYFUNCTION("""COMPUTED_VALUE"""),"http://etutee.eu")</f>
        <v/>
      </c>
      <c r="F754" s="1">
        <f>IFERROR(__xludf.DUMMYFUNCTION("""COMPUTED_VALUE"""),"We are an online tutoring company specialized in personalized tutoring for our customers.")</f>
        <v/>
      </c>
      <c r="G754" s="1">
        <f>IFERROR(__xludf.DUMMYFUNCTION("""COMPUTED_VALUE"""),"I'm not part of any EdTech association")</f>
        <v/>
      </c>
      <c r="H754" s="1" t="n"/>
      <c r="I754" s="1">
        <f>IFERROR(__xludf.DUMMYFUNCTION("""COMPUTED_VALUE"""),"office@etut.ee")</f>
        <v/>
      </c>
      <c r="J754" s="1">
        <f>IFERROR(__xludf.DUMMYFUNCTION("""COMPUTED_VALUE"""),"+436505554433")</f>
        <v/>
      </c>
      <c r="K754" s="1">
        <f>IFERROR(__xludf.DUMMYFUNCTION("""COMPUTED_VALUE"""),"Graz")</f>
        <v/>
      </c>
      <c r="L754" s="1">
        <f>IFERROR(__xludf.DUMMYFUNCTION("""COMPUTED_VALUE"""),"Austria")</f>
        <v/>
      </c>
      <c r="M754" s="1">
        <f>IFERROR(__xludf.DUMMYFUNCTION("""COMPUTED_VALUE"""),"Austria, Croatia, Slovenia")</f>
        <v/>
      </c>
      <c r="N754" s="1">
        <f>IFERROR(__xludf.DUMMYFUNCTION("""COMPUTED_VALUE"""),"0 to 10")</f>
        <v/>
      </c>
      <c r="O754" s="1">
        <f>IFERROR(__xludf.DUMMYFUNCTION("""COMPUTED_VALUE"""),"Business to Business, Business to Consumer")</f>
        <v/>
      </c>
      <c r="P754" s="1">
        <f>IFERROR(__xludf.DUMMYFUNCTION("""COMPUTED_VALUE"""),"Primary Education, Secondary Education, Higher Education, Corporate Training")</f>
        <v/>
      </c>
      <c r="Q754" s="1">
        <f>IFERROR(__xludf.DUMMYFUNCTION("""COMPUTED_VALUE"""),"System/Administrative, Student interfacing")</f>
        <v/>
      </c>
      <c r="R754" s="1" t="n"/>
      <c r="S754" s="1" t="n"/>
      <c r="T754" s="1" t="n"/>
      <c r="U754" s="1" t="n"/>
      <c r="V754" s="1" t="n"/>
      <c r="W754" s="1" t="n"/>
      <c r="X754" s="1" t="n"/>
      <c r="Y754" s="15">
        <f>IFERROR(__xludf.DUMMYFUNCTION("""COMPUTED_VALUE"""),"https://drive.google.com/uc?export=view&amp;id=1QY2kDuDqae0K8W4vr5ifz1-7Zs5qoGh7")</f>
        <v/>
      </c>
      <c r="Z754" s="1">
        <f>IFERROR(__xludf.DUMMYFUNCTION("""COMPUTED_VALUE"""),"Unverified")</f>
        <v/>
      </c>
      <c r="AA754" s="1" t="n"/>
      <c r="AB754" s="1" t="n"/>
      <c r="AC754" s="1" t="n"/>
      <c r="AD754" s="1" t="n"/>
      <c r="AE754" s="1" t="n"/>
    </row>
    <row r="755" ht="42" customHeight="1">
      <c r="A755" s="14">
        <f>IFERROR(__xludf.DUMMYFUNCTION("""COMPUTED_VALUE"""),45181)</f>
        <v/>
      </c>
      <c r="B755" s="1">
        <f>IFERROR(__xludf.DUMMYFUNCTION("""COMPUTED_VALUE"""),"ORG_1459")</f>
        <v/>
      </c>
      <c r="C755" s="1">
        <f>IFERROR(__xludf.DUMMYFUNCTION("""COMPUTED_VALUE"""),TRUE)</f>
        <v/>
      </c>
      <c r="D755" s="1">
        <f>IFERROR(__xludf.DUMMYFUNCTION("""COMPUTED_VALUE"""),"Edusearch GmbH")</f>
        <v/>
      </c>
      <c r="E755" s="15">
        <f>IFERROR(__xludf.DUMMYFUNCTION("""COMPUTED_VALUE"""),"http://www.edcompass.net/")</f>
        <v/>
      </c>
      <c r="F755" s="1">
        <f>IFERROR(__xludf.DUMMYFUNCTION("""COMPUTED_VALUE"""),"Edusearch is a Berlin based company focused on search in educational space. The company was founded by Ferdinand Habsburg and Joseph Millogo. Our initial product, Edcompass, is a metasearch engine which helps teachers finding the best educational content "&amp;"for class preparation.")</f>
        <v/>
      </c>
      <c r="G755" s="1">
        <f>IFERROR(__xludf.DUMMYFUNCTION("""COMPUTED_VALUE"""),"I'm not part of any EdTech association")</f>
        <v/>
      </c>
      <c r="H755" s="1" t="n"/>
      <c r="I755" s="1">
        <f>IFERROR(__xludf.DUMMYFUNCTION("""COMPUTED_VALUE"""),"fh@edusearch.info")</f>
        <v/>
      </c>
      <c r="J755" s="1" t="n"/>
      <c r="K755" s="1">
        <f>IFERROR(__xludf.DUMMYFUNCTION("""COMPUTED_VALUE"""),"Berlin")</f>
        <v/>
      </c>
      <c r="L755" s="1">
        <f>IFERROR(__xludf.DUMMYFUNCTION("""COMPUTED_VALUE"""),"Germany")</f>
        <v/>
      </c>
      <c r="M755" s="1">
        <f>IFERROR(__xludf.DUMMYFUNCTION("""COMPUTED_VALUE"""),"United Kingdom")</f>
        <v/>
      </c>
      <c r="N755" s="1">
        <f>IFERROR(__xludf.DUMMYFUNCTION("""COMPUTED_VALUE"""),"0 to 10")</f>
        <v/>
      </c>
      <c r="O755" s="1">
        <f>IFERROR(__xludf.DUMMYFUNCTION("""COMPUTED_VALUE"""),"Business to Business")</f>
        <v/>
      </c>
      <c r="P755" s="1">
        <f>IFERROR(__xludf.DUMMYFUNCTION("""COMPUTED_VALUE"""),"Secondary Education")</f>
        <v/>
      </c>
      <c r="Q755" s="1">
        <f>IFERROR(__xludf.DUMMYFUNCTION("""COMPUTED_VALUE"""),"Teacher interfacing")</f>
        <v/>
      </c>
      <c r="R755" s="1" t="n"/>
      <c r="S755" s="1" t="n"/>
      <c r="T755" s="1" t="n"/>
      <c r="U755" s="1" t="n"/>
      <c r="V755" s="1" t="n"/>
      <c r="W755" s="1" t="n"/>
      <c r="X755" s="1" t="n"/>
      <c r="Y755" s="15">
        <f>IFERROR(__xludf.DUMMYFUNCTION("""COMPUTED_VALUE"""),"https://drive.google.com/uc?export=view&amp;id=1bQD0qP6x513BjDXMQs71GVHkAXz4oXwQ")</f>
        <v/>
      </c>
      <c r="Z755" s="1">
        <f>IFERROR(__xludf.DUMMYFUNCTION("""COMPUTED_VALUE"""),"Unverified")</f>
        <v/>
      </c>
      <c r="AA755" s="1" t="n"/>
      <c r="AB755" s="1" t="n"/>
      <c r="AC755" s="1" t="n"/>
      <c r="AD755" s="1" t="n"/>
      <c r="AE755" s="1" t="n"/>
    </row>
    <row r="756" ht="42" customHeight="1">
      <c r="A756" s="14">
        <f>IFERROR(__xludf.DUMMYFUNCTION("""COMPUTED_VALUE"""),45181)</f>
        <v/>
      </c>
      <c r="B756" s="1">
        <f>IFERROR(__xludf.DUMMYFUNCTION("""COMPUTED_VALUE"""),"ORG_1355")</f>
        <v/>
      </c>
      <c r="C756" s="1">
        <f>IFERROR(__xludf.DUMMYFUNCTION("""COMPUTED_VALUE"""),TRUE)</f>
        <v/>
      </c>
      <c r="D756" s="1">
        <f>IFERROR(__xludf.DUMMYFUNCTION("""COMPUTED_VALUE"""),"Digiscovery GmbH")</f>
        <v/>
      </c>
      <c r="E756" s="15">
        <f>IFERROR(__xludf.DUMMYFUNCTION("""COMPUTED_VALUE"""),"https://digiscovery.de/")</f>
        <v/>
      </c>
      <c r="F756" s="1">
        <f>IFERROR(__xludf.DUMMYFUNCTION("""COMPUTED_VALUE"""),"Digiscovery treibt das zukunftsorientierte digitale Lernen an Schulen und Universitäten voran, unterstützt durch State-of-the-Art-Lerntechnologien. Schülerinnen und Schüler sowie Studierende brauchen innovative digitale Lerntechnologien, die sie unterstüt"&amp;"zen, individuell zu lernen und ihre Talente und ihr Potenzial maximal auszuschöpfen.
Symby ist die innovativste Lösung für smarte und sichere Wissensvermittlung in Schule oder Uni.")</f>
        <v/>
      </c>
      <c r="G756" s="1">
        <f>IFERROR(__xludf.DUMMYFUNCTION("""COMPUTED_VALUE"""),"I'm not part of any EdTech association")</f>
        <v/>
      </c>
      <c r="H756" s="1" t="n"/>
      <c r="I756" s="1">
        <f>IFERROR(__xludf.DUMMYFUNCTION("""COMPUTED_VALUE"""),"hello@digiscovery.de")</f>
        <v/>
      </c>
      <c r="J756" s="1" t="n"/>
      <c r="K756" s="1">
        <f>IFERROR(__xludf.DUMMYFUNCTION("""COMPUTED_VALUE"""),"Wiesloch")</f>
        <v/>
      </c>
      <c r="L756" s="1">
        <f>IFERROR(__xludf.DUMMYFUNCTION("""COMPUTED_VALUE"""),"Germany")</f>
        <v/>
      </c>
      <c r="M756" s="1">
        <f>IFERROR(__xludf.DUMMYFUNCTION("""COMPUTED_VALUE"""),"Austria, Germany, Switzerland")</f>
        <v/>
      </c>
      <c r="N756" s="1">
        <f>IFERROR(__xludf.DUMMYFUNCTION("""COMPUTED_VALUE"""),"0 to 10")</f>
        <v/>
      </c>
      <c r="O756" s="1">
        <f>IFERROR(__xludf.DUMMYFUNCTION("""COMPUTED_VALUE"""),"Business to Business, Business to Consumer, Business to Schools")</f>
        <v/>
      </c>
      <c r="P756" s="1">
        <f>IFERROR(__xludf.DUMMYFUNCTION("""COMPUTED_VALUE"""),"Secondary Education, Higher Education, Lifelong learning/Adult education")</f>
        <v/>
      </c>
      <c r="Q756" s="1">
        <f>IFERROR(__xludf.DUMMYFUNCTION("""COMPUTED_VALUE"""),"Student interfacing, Teacher interfacing, System/Administrative")</f>
        <v/>
      </c>
      <c r="R756" s="1" t="n"/>
      <c r="S756" s="1" t="n"/>
      <c r="T756" s="1" t="n"/>
      <c r="U756" s="1" t="n"/>
      <c r="V756" s="1" t="n"/>
      <c r="W756" s="1" t="n"/>
      <c r="X756" s="1" t="n"/>
      <c r="Y756" s="15">
        <f>IFERROR(__xludf.DUMMYFUNCTION("""COMPUTED_VALUE"""),"https://drive.google.com/uc?export=view&amp;id=1iYfS9PxvLej3mZuLJLo_X1YeLkY84BNe")</f>
        <v/>
      </c>
      <c r="Z756" s="1">
        <f>IFERROR(__xludf.DUMMYFUNCTION("""COMPUTED_VALUE"""),"Unverified")</f>
        <v/>
      </c>
      <c r="AA756" s="1" t="n"/>
      <c r="AB756" s="1" t="n"/>
      <c r="AC756" s="1" t="n"/>
      <c r="AD756" s="1" t="n"/>
      <c r="AE756" s="1" t="n"/>
    </row>
    <row r="757" ht="42" customHeight="1">
      <c r="A757" s="14">
        <f>IFERROR(__xludf.DUMMYFUNCTION("""COMPUTED_VALUE"""),45181)</f>
        <v/>
      </c>
      <c r="B757" s="1">
        <f>IFERROR(__xludf.DUMMYFUNCTION("""COMPUTED_VALUE"""),"ORG_1027")</f>
        <v/>
      </c>
      <c r="C757" s="1">
        <f>IFERROR(__xludf.DUMMYFUNCTION("""COMPUTED_VALUE"""),TRUE)</f>
        <v/>
      </c>
      <c r="D757" s="1">
        <f>IFERROR(__xludf.DUMMYFUNCTION("""COMPUTED_VALUE"""),"Acceleralia")</f>
        <v/>
      </c>
      <c r="E757" s="15">
        <f>IFERROR(__xludf.DUMMYFUNCTION("""COMPUTED_VALUE"""),"www.acceleralia.com")</f>
        <v/>
      </c>
      <c r="F757" s="1">
        <f>IFERROR(__xludf.DUMMYFUNCTION("""COMPUTED_VALUE"""),"We are a deep Edtech company that use AI and Machine learning gathering 2 sectors: Education and Acceleration. Transforming knowledge to tangible results.
What do we do?
For corporates: We digitalize training solutions, developing customized digital acade"&amp;"mies.
For clusters or public administrations: We create smart digital ecosystems with experts incubating / accelerating projects.
For Universities:
We organize academic digital innovation ecosystems/hubs increasing international synergies.
Products: -Chal"&amp;"lenge solvers: Inlab -Customized Academies -Acceleralia Platform for incubation and Acceleration
Certifications: -CDTI -Enisa -Innovative SME Our mission is to transform education into tangible results through action, bringing together education and accel"&amp;"eration. :rocket: We support corporations, enterprises, educational institutions, public administrations, accelerators, and incubators to transform ideas into tangible reality.")</f>
        <v/>
      </c>
      <c r="G757" s="1">
        <f>IFERROR(__xludf.DUMMYFUNCTION("""COMPUTED_VALUE"""),"I'm not part of any EdTech association")</f>
        <v/>
      </c>
      <c r="H757" s="1" t="n"/>
      <c r="I757" s="1">
        <f>IFERROR(__xludf.DUMMYFUNCTION("""COMPUTED_VALUE"""),"info@acceleralia.com")</f>
        <v/>
      </c>
      <c r="J757" s="1">
        <f>IFERROR(__xludf.DUMMYFUNCTION("""COMPUTED_VALUE"""),"623140545")</f>
        <v/>
      </c>
      <c r="K757" s="1">
        <f>IFERROR(__xludf.DUMMYFUNCTION("""COMPUTED_VALUE"""),"Barcelona")</f>
        <v/>
      </c>
      <c r="L757" s="1">
        <f>IFERROR(__xludf.DUMMYFUNCTION("""COMPUTED_VALUE"""),"Spain")</f>
        <v/>
      </c>
      <c r="M757" s="1">
        <f>IFERROR(__xludf.DUMMYFUNCTION("""COMPUTED_VALUE"""),"Spain")</f>
        <v/>
      </c>
      <c r="N757" s="1">
        <f>IFERROR(__xludf.DUMMYFUNCTION("""COMPUTED_VALUE"""),"11 to 50")</f>
        <v/>
      </c>
      <c r="O757" s="1">
        <f>IFERROR(__xludf.DUMMYFUNCTION("""COMPUTED_VALUE"""),"Business to Business")</f>
        <v/>
      </c>
      <c r="P757" s="1">
        <f>IFERROR(__xludf.DUMMYFUNCTION("""COMPUTED_VALUE"""),"Secondary Education, Higher Education, Corporate Training, Lifelong learning/Adult education")</f>
        <v/>
      </c>
      <c r="Q757" s="1">
        <f>IFERROR(__xludf.DUMMYFUNCTION("""COMPUTED_VALUE"""),"Teacher interfacing, Student interfacing, System/Administrative")</f>
        <v/>
      </c>
      <c r="R757" s="1" t="n"/>
      <c r="S757" s="1" t="n"/>
      <c r="T757" s="1" t="n"/>
      <c r="U757" s="1" t="n"/>
      <c r="V757" s="1" t="n"/>
      <c r="W757" s="1" t="n"/>
      <c r="X757" s="1" t="n"/>
      <c r="Y757" s="15">
        <f>IFERROR(__xludf.DUMMYFUNCTION("""COMPUTED_VALUE"""),"https://drive.google.com/uc?export=view&amp;id=1tFPGwgBx9Y5O9LhRqwdc9Na_NFucrdCs")</f>
        <v/>
      </c>
      <c r="Z757" s="1">
        <f>IFERROR(__xludf.DUMMYFUNCTION("""COMPUTED_VALUE"""),"Unverified")</f>
        <v/>
      </c>
      <c r="AA757" s="1" t="n"/>
      <c r="AB757" s="1" t="n"/>
      <c r="AC757" s="1" t="n"/>
      <c r="AD757" s="1" t="n"/>
      <c r="AE757" s="1" t="n"/>
    </row>
    <row r="758" ht="42" customHeight="1">
      <c r="A758" s="14">
        <f>IFERROR(__xludf.DUMMYFUNCTION("""COMPUTED_VALUE"""),45181)</f>
        <v/>
      </c>
      <c r="B758" s="1">
        <f>IFERROR(__xludf.DUMMYFUNCTION("""COMPUTED_VALUE"""),"ORG_1164")</f>
        <v/>
      </c>
      <c r="C758" s="1">
        <f>IFERROR(__xludf.DUMMYFUNCTION("""COMPUTED_VALUE"""),TRUE)</f>
        <v/>
      </c>
      <c r="D758" s="1">
        <f>IFERROR(__xludf.DUMMYFUNCTION("""COMPUTED_VALUE"""),"bidi")</f>
        <v/>
      </c>
      <c r="E758" s="15">
        <f>IFERROR(__xludf.DUMMYFUNCTION("""COMPUTED_VALUE"""),"www.bidi.one")</f>
        <v/>
      </c>
      <c r="F758" s="1">
        <f>IFERROR(__xludf.DUMMYFUNCTION("""COMPUTED_VALUE"""),"bidi provides inclusive access to high quality, and 1on1 tutoring sessions for school students. Within our digital environment, students can learn and connect with qualified and motivated tutors. With the partnerships of many schools, the tutoring session"&amp;"s can be subsidized in order to support families with low income. This provides for all students a fair chance to achieve good results in their educational journey, and is a true innovative impact for the German and European school system.")</f>
        <v/>
      </c>
      <c r="G758" s="1">
        <f>IFERROR(__xludf.DUMMYFUNCTION("""COMPUTED_VALUE"""),"I'm not part of any EdTech association")</f>
        <v/>
      </c>
      <c r="H758" s="1" t="n"/>
      <c r="I758" s="1">
        <f>IFERROR(__xludf.DUMMYFUNCTION("""COMPUTED_VALUE"""),"support@bidi.one")</f>
        <v/>
      </c>
      <c r="J758" s="1">
        <f>IFERROR(__xludf.DUMMYFUNCTION("""COMPUTED_VALUE"""),"+4980020403040")</f>
        <v/>
      </c>
      <c r="K758" s="1">
        <f>IFERROR(__xludf.DUMMYFUNCTION("""COMPUTED_VALUE"""),"DRESDEN")</f>
        <v/>
      </c>
      <c r="L758" s="1">
        <f>IFERROR(__xludf.DUMMYFUNCTION("""COMPUTED_VALUE"""),"Germany")</f>
        <v/>
      </c>
      <c r="M758" s="1">
        <f>IFERROR(__xludf.DUMMYFUNCTION("""COMPUTED_VALUE"""),"Austria, Germany")</f>
        <v/>
      </c>
      <c r="N758" s="1">
        <f>IFERROR(__xludf.DUMMYFUNCTION("""COMPUTED_VALUE"""),"11 to 50")</f>
        <v/>
      </c>
      <c r="O758" s="1">
        <f>IFERROR(__xludf.DUMMYFUNCTION("""COMPUTED_VALUE"""),"Business to Business")</f>
        <v/>
      </c>
      <c r="P758" s="1">
        <f>IFERROR(__xludf.DUMMYFUNCTION("""COMPUTED_VALUE"""),"Primary Education, Secondary Education")</f>
        <v/>
      </c>
      <c r="Q758" s="1">
        <f>IFERROR(__xludf.DUMMYFUNCTION("""COMPUTED_VALUE"""),"System/Administrative, Student interfacing, Teacher interfacing")</f>
        <v/>
      </c>
      <c r="R758" s="1" t="n"/>
      <c r="S758" s="1" t="n"/>
      <c r="T758" s="1" t="n"/>
      <c r="U758" s="1" t="n"/>
      <c r="V758" s="1" t="n"/>
      <c r="W758" s="1" t="n"/>
      <c r="X758" s="1" t="n"/>
      <c r="Y758" s="15">
        <f>IFERROR(__xludf.DUMMYFUNCTION("""COMPUTED_VALUE"""),"https://drive.google.com/uc?export=view&amp;id=1U4yjI2otexzgkvLalSVRamXMfm2s8fVO")</f>
        <v/>
      </c>
      <c r="Z758" s="1">
        <f>IFERROR(__xludf.DUMMYFUNCTION("""COMPUTED_VALUE"""),"Unverified")</f>
        <v/>
      </c>
      <c r="AA758" s="1" t="n"/>
      <c r="AB758" s="1" t="n"/>
      <c r="AC758" s="1" t="n"/>
      <c r="AD758" s="1" t="n"/>
      <c r="AE758" s="1" t="n"/>
    </row>
    <row r="759" ht="42" customHeight="1">
      <c r="A759" s="14">
        <f>IFERROR(__xludf.DUMMYFUNCTION("""COMPUTED_VALUE"""),45181)</f>
        <v/>
      </c>
      <c r="B759" s="1">
        <f>IFERROR(__xludf.DUMMYFUNCTION("""COMPUTED_VALUE"""),"ORG_1329")</f>
        <v/>
      </c>
      <c r="C759" s="1">
        <f>IFERROR(__xludf.DUMMYFUNCTION("""COMPUTED_VALUE"""),TRUE)</f>
        <v/>
      </c>
      <c r="D759" s="1">
        <f>IFERROR(__xludf.DUMMYFUNCTION("""COMPUTED_VALUE"""),"Data Booster")</f>
        <v/>
      </c>
      <c r="E759" s="15">
        <f>IFERROR(__xludf.DUMMYFUNCTION("""COMPUTED_VALUE"""),"https://www.databooster.io")</f>
        <v/>
      </c>
      <c r="F759" s="1">
        <f>IFERROR(__xludf.DUMMYFUNCTION("""COMPUTED_VALUE"""),"At Data Booster it's our mission to enable data-driven decision making in your organization. With our customized data fluency courses we help every professional to make great decisions fast.")</f>
        <v/>
      </c>
      <c r="G759" s="1">
        <f>IFERROR(__xludf.DUMMYFUNCTION("""COMPUTED_VALUE"""),"Dutch EdTech")</f>
        <v/>
      </c>
      <c r="H759" s="1" t="n"/>
      <c r="I759" s="1">
        <f>IFERROR(__xludf.DUMMYFUNCTION("""COMPUTED_VALUE"""),"support@databooster.io")</f>
        <v/>
      </c>
      <c r="J759" s="1">
        <f>IFERROR(__xludf.DUMMYFUNCTION("""COMPUTED_VALUE"""),"+31 850 80 51 09")</f>
        <v/>
      </c>
      <c r="K759" s="1">
        <f>IFERROR(__xludf.DUMMYFUNCTION("""COMPUTED_VALUE"""),"Teleportboulevard 130")</f>
        <v/>
      </c>
      <c r="L759" s="1">
        <f>IFERROR(__xludf.DUMMYFUNCTION("""COMPUTED_VALUE"""),"The Netherlands")</f>
        <v/>
      </c>
      <c r="M759" s="1">
        <f>IFERROR(__xludf.DUMMYFUNCTION("""COMPUTED_VALUE"""),"Austria, Belgium, Czechia, Denmark, Finland, France, Germany, Greece, Hungary, Ireland, Italy, Netherlands, Norway, Poland, Portugal, Romania, Slovakia, Spain, Sweden, Switzerland, Turkey, United Kingdom")</f>
        <v/>
      </c>
      <c r="N759" s="1">
        <f>IFERROR(__xludf.DUMMYFUNCTION("""COMPUTED_VALUE"""),"0 to 10")</f>
        <v/>
      </c>
      <c r="O759" s="1">
        <f>IFERROR(__xludf.DUMMYFUNCTION("""COMPUTED_VALUE"""),"Business to Consumer, Business to Government, Business to Schools")</f>
        <v/>
      </c>
      <c r="P759" s="1">
        <f>IFERROR(__xludf.DUMMYFUNCTION("""COMPUTED_VALUE"""),"Corporate Training, Lifelong learning/Adult education")</f>
        <v/>
      </c>
      <c r="Q759" s="1">
        <f>IFERROR(__xludf.DUMMYFUNCTION("""COMPUTED_VALUE"""),"System/Administrative")</f>
        <v/>
      </c>
      <c r="R759" s="1">
        <f>IFERROR(__xludf.DUMMYFUNCTION("""COMPUTED_VALUE"""),"Data Booster")</f>
        <v/>
      </c>
      <c r="S759" s="1">
        <f>IFERROR(__xludf.DUMMYFUNCTION("""COMPUTED_VALUE"""),"Data Booster")</f>
        <v/>
      </c>
      <c r="T759" s="15">
        <f>IFERROR(__xludf.DUMMYFUNCTION("""COMPUTED_VALUE"""),"https://www.linkedin.com/company/data-booster")</f>
        <v/>
      </c>
      <c r="U759" s="1">
        <f>IFERROR(__xludf.DUMMYFUNCTION("""COMPUTED_VALUE"""),"Data Booster")</f>
        <v/>
      </c>
      <c r="V759" s="1">
        <f>IFERROR(__xludf.DUMMYFUNCTION("""COMPUTED_VALUE"""),"At Data Booster it's our mission to enable data-driven decision making in your organization. With our customized data fluency courses we help every professional to make great decisions fast.")</f>
        <v/>
      </c>
      <c r="W759" s="1" t="n"/>
      <c r="X759" s="1" t="n"/>
      <c r="Y759" s="15">
        <f>IFERROR(__xludf.DUMMYFUNCTION("""COMPUTED_VALUE"""),"https://drive.google.com/uc?export=view&amp;id=1hxKq_gy7X4i88hHpk9PkL-HZfgDVFPAk")</f>
        <v/>
      </c>
      <c r="Z759" s="1">
        <f>IFERROR(__xludf.DUMMYFUNCTION("""COMPUTED_VALUE"""),"Unverified")</f>
        <v/>
      </c>
      <c r="AA759" s="1" t="n"/>
      <c r="AB759" s="1" t="n"/>
      <c r="AC759" s="1" t="n"/>
      <c r="AD759" s="1" t="n"/>
      <c r="AE759" s="1" t="n"/>
    </row>
    <row r="760" ht="42" customHeight="1">
      <c r="A760" s="14">
        <f>IFERROR(__xludf.DUMMYFUNCTION("""COMPUTED_VALUE"""),45181)</f>
        <v/>
      </c>
      <c r="B760" s="1">
        <f>IFERROR(__xludf.DUMMYFUNCTION("""COMPUTED_VALUE"""),"ORG_1352")</f>
        <v/>
      </c>
      <c r="C760" s="1">
        <f>IFERROR(__xludf.DUMMYFUNCTION("""COMPUTED_VALUE"""),TRUE)</f>
        <v/>
      </c>
      <c r="D760" s="1">
        <f>IFERROR(__xludf.DUMMYFUNCTION("""COMPUTED_VALUE"""),"Digi-EP")</f>
        <v/>
      </c>
      <c r="E760" s="15">
        <f>IFERROR(__xludf.DUMMYFUNCTION("""COMPUTED_VALUE"""),"digiep.com")</f>
        <v/>
      </c>
      <c r="F760" s="1">
        <f>IFERROR(__xludf.DUMMYFUNCTION("""COMPUTED_VALUE"""),"We öfter digital adventure education (Erlebnispädagogik in German), in order to support social work and allow pupils to have more contact to the beneficial effects of adventure education.")</f>
        <v/>
      </c>
      <c r="G760" s="1">
        <f>IFERROR(__xludf.DUMMYFUNCTION("""COMPUTED_VALUE"""),"I'm not part of any EdTech association")</f>
        <v/>
      </c>
      <c r="H760" s="1" t="n"/>
      <c r="I760" s="1">
        <f>IFERROR(__xludf.DUMMYFUNCTION("""COMPUTED_VALUE"""),"jonas.gruenewald@digiep.de")</f>
        <v/>
      </c>
      <c r="J760" s="1">
        <f>IFERROR(__xludf.DUMMYFUNCTION("""COMPUTED_VALUE"""),"1778407633")</f>
        <v/>
      </c>
      <c r="K760" s="1">
        <f>IFERROR(__xludf.DUMMYFUNCTION("""COMPUTED_VALUE"""),"Köln")</f>
        <v/>
      </c>
      <c r="L760" s="1">
        <f>IFERROR(__xludf.DUMMYFUNCTION("""COMPUTED_VALUE"""),"Germany")</f>
        <v/>
      </c>
      <c r="M760" s="1">
        <f>IFERROR(__xludf.DUMMYFUNCTION("""COMPUTED_VALUE"""),"Germany")</f>
        <v/>
      </c>
      <c r="N760" s="1">
        <f>IFERROR(__xludf.DUMMYFUNCTION("""COMPUTED_VALUE"""),"0 to 10")</f>
        <v/>
      </c>
      <c r="O760" s="1">
        <f>IFERROR(__xludf.DUMMYFUNCTION("""COMPUTED_VALUE"""),"Business to Business, Business to Consumer, Business to Government, Business to Schools")</f>
        <v/>
      </c>
      <c r="P760" s="1">
        <f>IFERROR(__xludf.DUMMYFUNCTION("""COMPUTED_VALUE"""),"Secondary Education")</f>
        <v/>
      </c>
      <c r="Q760" s="1">
        <f>IFERROR(__xludf.DUMMYFUNCTION("""COMPUTED_VALUE"""),"Student interfacing, Teacher interfacing")</f>
        <v/>
      </c>
      <c r="R760" s="1" t="n"/>
      <c r="S760" s="1" t="n"/>
      <c r="T760" s="1" t="n"/>
      <c r="U760" s="1" t="n"/>
      <c r="V760" s="1" t="n"/>
      <c r="W760" s="1" t="n"/>
      <c r="X760" s="1" t="n"/>
      <c r="Y760" s="15">
        <f>IFERROR(__xludf.DUMMYFUNCTION("""COMPUTED_VALUE"""),"https://drive.google.com/uc?export=view&amp;id=1DA84O7PM3aTBbui_L9NIFttaWsYRQRuB")</f>
        <v/>
      </c>
      <c r="Z760" s="1">
        <f>IFERROR(__xludf.DUMMYFUNCTION("""COMPUTED_VALUE"""),"Unverified")</f>
        <v/>
      </c>
      <c r="AA760" s="1" t="n"/>
      <c r="AB760" s="1" t="n"/>
      <c r="AC760" s="1" t="n"/>
      <c r="AD760" s="1" t="n"/>
      <c r="AE760" s="1" t="n"/>
    </row>
    <row r="761" ht="42" customHeight="1">
      <c r="A761" s="14">
        <f>IFERROR(__xludf.DUMMYFUNCTION("""COMPUTED_VALUE"""),45181)</f>
        <v/>
      </c>
      <c r="B761" s="1">
        <f>IFERROR(__xludf.DUMMYFUNCTION("""COMPUTED_VALUE"""),"ORG_1524")</f>
        <v/>
      </c>
      <c r="C761" s="1">
        <f>IFERROR(__xludf.DUMMYFUNCTION("""COMPUTED_VALUE"""),TRUE)</f>
        <v/>
      </c>
      <c r="D761" s="1">
        <f>IFERROR(__xludf.DUMMYFUNCTION("""COMPUTED_VALUE"""),"European Centre for Career Education")</f>
        <v/>
      </c>
      <c r="E761" s="15">
        <f>IFERROR(__xludf.DUMMYFUNCTION("""COMPUTED_VALUE"""),"www.eccedu.net")</f>
        <v/>
      </c>
      <c r="F761" s="1">
        <f>IFERROR(__xludf.DUMMYFUNCTION("""COMPUTED_VALUE"""),"European Centre for Career Education (ECCEDU) solves the lasting problem of students and young professionals not being truly ready for their careers and not understanding what their fields are about in the real world. 
Our focus is primarily on developin"&amp;"g practical skills and sharing experience via short-term intensive offline and online educational programs. Having support from more than 500 companies from all European countries, the USA and the UAE allows us to design practical programs in any given fi"&amp;"eld. Our main focus is on architecture, business, law, IT, art, economy, engineering, and sustainability programs. 
ECCEDU represents the vision of focused learning of skills and knowledge needed for life after university and supports it with internships"&amp;" and very intensive cooperation with key players in described sectors.")</f>
        <v/>
      </c>
      <c r="G761" s="1">
        <f>IFERROR(__xludf.DUMMYFUNCTION("""COMPUTED_VALUE"""),"I'm not part of any EdTech association")</f>
        <v/>
      </c>
      <c r="H761" s="1" t="n"/>
      <c r="I761" s="1">
        <f>IFERROR(__xludf.DUMMYFUNCTION("""COMPUTED_VALUE"""),"office@eccedu.net")</f>
        <v/>
      </c>
      <c r="J761" s="1">
        <f>IFERROR(__xludf.DUMMYFUNCTION("""COMPUTED_VALUE"""),"+420 730 874 884")</f>
        <v/>
      </c>
      <c r="K761" s="1">
        <f>IFERROR(__xludf.DUMMYFUNCTION("""COMPUTED_VALUE"""),"PRAGUE 2")</f>
        <v/>
      </c>
      <c r="L761" s="1">
        <f>IFERROR(__xludf.DUMMYFUNCTION("""COMPUTED_VALUE"""),"Czech Republic")</f>
        <v/>
      </c>
      <c r="M761" s="1">
        <f>IFERROR(__xludf.DUMMYFUNCTION("""COMPUTED_VALUE"""),"Austria, Belgium, Bosnia and Herzegovina, Bulgaria, Croatia, Cyprus, Czechia, Denmark, Estonia, Finland, France, Germany, Greece, Hungary, Ireland, Italy, Kazakhstan, Latvia, Lithuania, Netherlands, Norway, Poland, Portugal, Romania, Russia, Serbia, Slova"&amp;"kia, Slovenia, Spain, Sweden, Switzerland, Turkey, Ukraine, United Kingdom")</f>
        <v/>
      </c>
      <c r="N761" s="1">
        <f>IFERROR(__xludf.DUMMYFUNCTION("""COMPUTED_VALUE"""),"11 to 50")</f>
        <v/>
      </c>
      <c r="O761" s="1">
        <f>IFERROR(__xludf.DUMMYFUNCTION("""COMPUTED_VALUE"""),"Business to Government, Business to Schools")</f>
        <v/>
      </c>
      <c r="P761" s="1">
        <f>IFERROR(__xludf.DUMMYFUNCTION("""COMPUTED_VALUE"""),"Higher Education, Corporate Training")</f>
        <v/>
      </c>
      <c r="Q761" s="1">
        <f>IFERROR(__xludf.DUMMYFUNCTION("""COMPUTED_VALUE"""),"System/Administrative, Student interfacing, Teacher interfacing")</f>
        <v/>
      </c>
      <c r="R761" s="1" t="n"/>
      <c r="S761" s="1" t="n"/>
      <c r="T761" s="1" t="n"/>
      <c r="U761" s="1" t="n"/>
      <c r="V761" s="1" t="n"/>
      <c r="W761" s="1" t="n"/>
      <c r="X761" s="1" t="n"/>
      <c r="Y761" s="15">
        <f>IFERROR(__xludf.DUMMYFUNCTION("""COMPUTED_VALUE"""),"https://drive.google.com/uc?export=view&amp;id=1doh5HeaKMY1-T140TCP40egIw-z1sba9")</f>
        <v/>
      </c>
      <c r="Z761" s="1">
        <f>IFERROR(__xludf.DUMMYFUNCTION("""COMPUTED_VALUE"""),"Unverified")</f>
        <v/>
      </c>
      <c r="AA761" s="1" t="n"/>
      <c r="AB761" s="1" t="n"/>
      <c r="AC761" s="1" t="n"/>
      <c r="AD761" s="1" t="n"/>
      <c r="AE761" s="1" t="n"/>
    </row>
    <row r="762" ht="42" customHeight="1">
      <c r="A762" s="14">
        <f>IFERROR(__xludf.DUMMYFUNCTION("""COMPUTED_VALUE"""),45181)</f>
        <v/>
      </c>
      <c r="B762" s="1">
        <f>IFERROR(__xludf.DUMMYFUNCTION("""COMPUTED_VALUE"""),"ORG_1850")</f>
        <v/>
      </c>
      <c r="C762" s="1">
        <f>IFERROR(__xludf.DUMMYFUNCTION("""COMPUTED_VALUE"""),TRUE)</f>
        <v/>
      </c>
      <c r="D762" s="1">
        <f>IFERROR(__xludf.DUMMYFUNCTION("""COMPUTED_VALUE"""),"Lektionsakuten")</f>
        <v/>
      </c>
      <c r="E762" s="15">
        <f>IFERROR(__xludf.DUMMYFUNCTION("""COMPUTED_VALUE"""),"www.lektionsakuten.com")</f>
        <v/>
      </c>
      <c r="F762" s="1">
        <f>IFERROR(__xludf.DUMMYFUNCTION("""COMPUTED_VALUE"""),"Lektionsakuten offers pre-recorded lessons online performed by certified teachers:
- for competence supply
- to enable support for students, and
- to support new teachers and help employers become more attractive.")</f>
        <v/>
      </c>
      <c r="G762" s="1">
        <f>IFERROR(__xludf.DUMMYFUNCTION("""COMPUTED_VALUE"""),"Swedish EdTech Industry")</f>
        <v/>
      </c>
      <c r="H762" s="1" t="n"/>
      <c r="I762" s="1">
        <f>IFERROR(__xludf.DUMMYFUNCTION("""COMPUTED_VALUE"""),"info@lektionsakuten.com")</f>
        <v/>
      </c>
      <c r="J762" s="1">
        <f>IFERROR(__xludf.DUMMYFUNCTION("""COMPUTED_VALUE"""),"+46 (0)703827328")</f>
        <v/>
      </c>
      <c r="K762" s="1">
        <f>IFERROR(__xludf.DUMMYFUNCTION("""COMPUTED_VALUE"""),"Luleå")</f>
        <v/>
      </c>
      <c r="L762" s="1">
        <f>IFERROR(__xludf.DUMMYFUNCTION("""COMPUTED_VALUE"""),"Sweden")</f>
        <v/>
      </c>
      <c r="M762" s="1">
        <f>IFERROR(__xludf.DUMMYFUNCTION("""COMPUTED_VALUE"""),"Sweden")</f>
        <v/>
      </c>
      <c r="N762" s="1">
        <f>IFERROR(__xludf.DUMMYFUNCTION("""COMPUTED_VALUE"""),"0 to 10")</f>
        <v/>
      </c>
      <c r="O762" s="1">
        <f>IFERROR(__xludf.DUMMYFUNCTION("""COMPUTED_VALUE"""),"Business to Business, Business to Government, Business to Schools")</f>
        <v/>
      </c>
      <c r="P762" s="1">
        <f>IFERROR(__xludf.DUMMYFUNCTION("""COMPUTED_VALUE"""),"Secondary Education, Lifelong learning/Adult education")</f>
        <v/>
      </c>
      <c r="Q762" s="1">
        <f>IFERROR(__xludf.DUMMYFUNCTION("""COMPUTED_VALUE"""),"Student interfacing, Teacher interfacing, System/Administrative")</f>
        <v/>
      </c>
      <c r="R762" s="15">
        <f>IFERROR(__xludf.DUMMYFUNCTION("""COMPUTED_VALUE"""),"www.instagram.com/lektionsakuten_sverige")</f>
        <v/>
      </c>
      <c r="S762" s="1" t="n"/>
      <c r="T762" s="15">
        <f>IFERROR(__xludf.DUMMYFUNCTION("""COMPUTED_VALUE"""),"https://www.linkedin.com/company/lektionsakuten/")</f>
        <v/>
      </c>
      <c r="U762" s="1">
        <f>IFERROR(__xludf.DUMMYFUNCTION("""COMPUTED_VALUE"""),"Lektionsakuten")</f>
        <v/>
      </c>
      <c r="V762" s="1">
        <f>IFERROR(__xludf.DUMMYFUNCTION("""COMPUTED_VALUE"""),"We offer pre-recorded lessons online for schools to subscribe. All lessons are created by certified teachers. We offer: 
- Competence supply 
- Study support for students 
- Support for recent graduated teachers
The value it brings for schools: 
- bett"&amp;"er work environment for school staff: teachers, principles, students
- a possibility to offer support so that more students reach an exam
- a larger possibility to keep recent graduated teachers by offering them real support")</f>
        <v/>
      </c>
      <c r="W762" s="1">
        <f>IFERROR(__xludf.DUMMYFUNCTION("""COMPUTED_VALUE"""),"Pluggoteket")</f>
        <v/>
      </c>
      <c r="X762" s="1">
        <f>IFERROR(__xludf.DUMMYFUNCTION("""COMPUTED_VALUE"""),"Filmed lessons and self-correcting tests to use in order to reach higher grades, for repetition as study support.")</f>
        <v/>
      </c>
      <c r="Y762" s="15">
        <f>IFERROR(__xludf.DUMMYFUNCTION("""COMPUTED_VALUE"""),"https://drive.google.com/uc?export=view&amp;id=175VQOERsSyJ0yPCPlyRlFA21REzdD0ad")</f>
        <v/>
      </c>
      <c r="Z762" s="1">
        <f>IFERROR(__xludf.DUMMYFUNCTION("""COMPUTED_VALUE"""),"Unverified")</f>
        <v/>
      </c>
      <c r="AA762" s="1" t="n"/>
      <c r="AB762" s="1" t="n"/>
      <c r="AC762" s="1" t="n"/>
      <c r="AD762" s="1" t="n"/>
      <c r="AE762" s="1" t="n"/>
    </row>
    <row r="763" ht="42" customHeight="1">
      <c r="A763" s="14">
        <f>IFERROR(__xludf.DUMMYFUNCTION("""COMPUTED_VALUE"""),45181)</f>
        <v/>
      </c>
      <c r="B763" s="1">
        <f>IFERROR(__xludf.DUMMYFUNCTION("""COMPUTED_VALUE"""),"ORG_2252")</f>
        <v/>
      </c>
      <c r="C763" s="1">
        <f>IFERROR(__xludf.DUMMYFUNCTION("""COMPUTED_VALUE"""),TRUE)</f>
        <v/>
      </c>
      <c r="D763" s="1">
        <f>IFERROR(__xludf.DUMMYFUNCTION("""COMPUTED_VALUE"""),"skillbest")</f>
        <v/>
      </c>
      <c r="E763" s="15">
        <f>IFERROR(__xludf.DUMMYFUNCTION("""COMPUTED_VALUE"""),"https://skillbest.com/")</f>
        <v/>
      </c>
      <c r="F763" s="1">
        <f>IFERROR(__xludf.DUMMYFUNCTION("""COMPUTED_VALUE"""),"Thoroughly learned instead of just participated!
We are an Austrian e-learning company with the focus on individual course development to put the learning success in the foreground. Whatever trainings area you want to cover, we deliver you the best packag"&amp;"e. Here you will receive technical and didactic know-how that will lead to your perfect e-learning product.")</f>
        <v/>
      </c>
      <c r="G763" s="1">
        <f>IFERROR(__xludf.DUMMYFUNCTION("""COMPUTED_VALUE"""),"EdTech Austria")</f>
        <v/>
      </c>
      <c r="H763" s="1" t="n"/>
      <c r="I763" s="1">
        <f>IFERROR(__xludf.DUMMYFUNCTION("""COMPUTED_VALUE"""),"office@skillbest.com")</f>
        <v/>
      </c>
      <c r="J763" s="1">
        <f>IFERROR(__xludf.DUMMYFUNCTION("""COMPUTED_VALUE"""),"+43316341995")</f>
        <v/>
      </c>
      <c r="K763" s="1">
        <f>IFERROR(__xludf.DUMMYFUNCTION("""COMPUTED_VALUE"""),"GRAZ")</f>
        <v/>
      </c>
      <c r="L763" s="1">
        <f>IFERROR(__xludf.DUMMYFUNCTION("""COMPUTED_VALUE"""),"Austria")</f>
        <v/>
      </c>
      <c r="M763" s="1">
        <f>IFERROR(__xludf.DUMMYFUNCTION("""COMPUTED_VALUE"""),"Austria, Croatia, Finland, France, Germany, Hungary, Italy, Norway, Poland, Portugal, Slovenia, Spain, Sweden, Switzerland, United Kingdom")</f>
        <v/>
      </c>
      <c r="N763" s="1">
        <f>IFERROR(__xludf.DUMMYFUNCTION("""COMPUTED_VALUE"""),"0 to 10")</f>
        <v/>
      </c>
      <c r="O763" s="1">
        <f>IFERROR(__xludf.DUMMYFUNCTION("""COMPUTED_VALUE"""),"Business to Business, Business to Schools")</f>
        <v/>
      </c>
      <c r="P763" s="1">
        <f>IFERROR(__xludf.DUMMYFUNCTION("""COMPUTED_VALUE"""),"Corporate Training, Lifelong learning/Adult education")</f>
        <v/>
      </c>
      <c r="Q763" s="1">
        <f>IFERROR(__xludf.DUMMYFUNCTION("""COMPUTED_VALUE"""),"Student interfacing, System/Administrative")</f>
        <v/>
      </c>
      <c r="R763" s="1" t="n"/>
      <c r="S763" s="1" t="n"/>
      <c r="T763" s="15">
        <f>IFERROR(__xludf.DUMMYFUNCTION("""COMPUTED_VALUE"""),"https://www.linkedin.com/company/skillbest/")</f>
        <v/>
      </c>
      <c r="U763" s="1">
        <f>IFERROR(__xludf.DUMMYFUNCTION("""COMPUTED_VALUE"""),"Interactive learning videos")</f>
        <v/>
      </c>
      <c r="V763" s="1">
        <f>IFERROR(__xludf.DUMMYFUNCTION("""COMPUTED_VALUE"""),"With skillvid you use an e-learning format that can simulate real situations. The learning content is presented in the form of an interview and is perfect for training courses that focus on social skills – such as sales training or negotiation skills.")</f>
        <v/>
      </c>
      <c r="W763" s="1">
        <f>IFERROR(__xludf.DUMMYFUNCTION("""COMPUTED_VALUE"""),"Digital factory and company presentations")</f>
        <v/>
      </c>
      <c r="X763" s="1">
        <f>IFERROR(__xludf.DUMMYFUNCTION("""COMPUTED_VALUE"""),"Whether you are a global player or have a corporate location; With a combination of different media, skilltour enables you not only to present your company in the best possible way to newcomers, but also to your customers. Start the big tour!")</f>
        <v/>
      </c>
      <c r="Y763" s="15">
        <f>IFERROR(__xludf.DUMMYFUNCTION("""COMPUTED_VALUE"""),"https://drive.google.com/uc?export=view&amp;id=1Hn3ZnqEZa2Bw3qfxP5c2Kr3SYAZkdmOe")</f>
        <v/>
      </c>
      <c r="Z763" s="1">
        <f>IFERROR(__xludf.DUMMYFUNCTION("""COMPUTED_VALUE"""),"Unverified")</f>
        <v/>
      </c>
      <c r="AA763" s="1" t="n"/>
      <c r="AB763" s="1" t="n"/>
      <c r="AC763" s="1" t="n"/>
      <c r="AD763" s="1" t="n"/>
      <c r="AE763" s="1" t="n"/>
    </row>
    <row r="764" ht="42" customHeight="1">
      <c r="A764" s="14">
        <f>IFERROR(__xludf.DUMMYFUNCTION("""COMPUTED_VALUE"""),45181)</f>
        <v/>
      </c>
      <c r="B764" s="1">
        <f>IFERROR(__xludf.DUMMYFUNCTION("""COMPUTED_VALUE"""),"ORG_2540")</f>
        <v/>
      </c>
      <c r="C764" s="1">
        <f>IFERROR(__xludf.DUMMYFUNCTION("""COMPUTED_VALUE"""),TRUE)</f>
        <v/>
      </c>
      <c r="D764" s="1">
        <f>IFERROR(__xludf.DUMMYFUNCTION("""COMPUTED_VALUE"""),"WiseShot")</f>
        <v/>
      </c>
      <c r="E764" s="15">
        <f>IFERROR(__xludf.DUMMYFUNCTION("""COMPUTED_VALUE"""),"https://www.wiseshot.io/")</f>
        <v/>
      </c>
      <c r="F764" s="1">
        <f>IFERROR(__xludf.DUMMYFUNCTION("""COMPUTED_VALUE"""),"WiseShot is a platform that helps learners follow expert-curated learning paths for developing new skills.")</f>
        <v/>
      </c>
      <c r="G764" s="1">
        <f>IFERROR(__xludf.DUMMYFUNCTION("""COMPUTED_VALUE"""),"I'm not part of any EdTech association")</f>
        <v/>
      </c>
      <c r="H764" s="1" t="n"/>
      <c r="I764" s="1" t="n"/>
      <c r="J764" s="1" t="n"/>
      <c r="K764" s="1">
        <f>IFERROR(__xludf.DUMMYFUNCTION("""COMPUTED_VALUE"""),"Porto")</f>
        <v/>
      </c>
      <c r="L764" s="1">
        <f>IFERROR(__xludf.DUMMYFUNCTION("""COMPUTED_VALUE"""),"Portugal")</f>
        <v/>
      </c>
      <c r="M764" s="1">
        <f>IFERROR(__xludf.DUMMYFUNCTION("""COMPUTED_VALUE"""),"Belgium, Finland, France, Germany, Italy, Netherlands")</f>
        <v/>
      </c>
      <c r="N764" s="1">
        <f>IFERROR(__xludf.DUMMYFUNCTION("""COMPUTED_VALUE"""),"0 to 10")</f>
        <v/>
      </c>
      <c r="O764" s="1">
        <f>IFERROR(__xludf.DUMMYFUNCTION("""COMPUTED_VALUE"""),"Business to Consumer")</f>
        <v/>
      </c>
      <c r="P764" s="1">
        <f>IFERROR(__xludf.DUMMYFUNCTION("""COMPUTED_VALUE"""),"Higher Education")</f>
        <v/>
      </c>
      <c r="Q764" s="1">
        <f>IFERROR(__xludf.DUMMYFUNCTION("""COMPUTED_VALUE"""),"Teacher interfacing, System/Administrative")</f>
        <v/>
      </c>
      <c r="R764" s="1" t="n"/>
      <c r="S764" s="1" t="n"/>
      <c r="T764" s="1" t="n"/>
      <c r="U764" s="1" t="n"/>
      <c r="V764" s="1" t="n"/>
      <c r="W764" s="1" t="n"/>
      <c r="X764" s="1" t="n"/>
      <c r="Y764" s="15">
        <f>IFERROR(__xludf.DUMMYFUNCTION("""COMPUTED_VALUE"""),"https://drive.google.com/uc?export=view&amp;id=123X7fO-nyjH0zdgvZ2zirwR7egkYcXsW")</f>
        <v/>
      </c>
      <c r="Z764" s="1">
        <f>IFERROR(__xludf.DUMMYFUNCTION("""COMPUTED_VALUE"""),"Unverified")</f>
        <v/>
      </c>
      <c r="AA764" s="1" t="n"/>
      <c r="AB764" s="1" t="n"/>
      <c r="AC764" s="1" t="n"/>
      <c r="AD764" s="1" t="n"/>
      <c r="AE764" s="1" t="n"/>
    </row>
    <row r="765" ht="42" customHeight="1">
      <c r="A765" s="14">
        <f>IFERROR(__xludf.DUMMYFUNCTION("""COMPUTED_VALUE"""),45181)</f>
        <v/>
      </c>
      <c r="B765" s="1">
        <f>IFERROR(__xludf.DUMMYFUNCTION("""COMPUTED_VALUE"""),"ORG_2221")</f>
        <v/>
      </c>
      <c r="C765" s="1">
        <f>IFERROR(__xludf.DUMMYFUNCTION("""COMPUTED_VALUE"""),TRUE)</f>
        <v/>
      </c>
      <c r="D765" s="1">
        <f>IFERROR(__xludf.DUMMYFUNCTION("""COMPUTED_VALUE"""),"Scorion")</f>
        <v/>
      </c>
      <c r="E765" s="15">
        <f>IFERROR(__xludf.DUMMYFUNCTION("""COMPUTED_VALUE"""),"scorionportfolio.com")</f>
        <v/>
      </c>
      <c r="F765" s="1">
        <f>IFERROR(__xludf.DUMMYFUNCTION("""COMPUTED_VALUE"""),"Scorion: The portfolio tool for programmatic assessment and flexible education")</f>
        <v/>
      </c>
      <c r="G765" s="1">
        <f>IFERROR(__xludf.DUMMYFUNCTION("""COMPUTED_VALUE"""),"Dutch EdTech")</f>
        <v/>
      </c>
      <c r="H765" s="1" t="n"/>
      <c r="I765" s="1" t="n"/>
      <c r="J765" s="1" t="n"/>
      <c r="K765" s="1">
        <f>IFERROR(__xludf.DUMMYFUNCTION("""COMPUTED_VALUE"""),"DEVENTER")</f>
        <v/>
      </c>
      <c r="L765" s="1">
        <f>IFERROR(__xludf.DUMMYFUNCTION("""COMPUTED_VALUE"""),"The Netherlands")</f>
        <v/>
      </c>
      <c r="M765" s="1">
        <f>IFERROR(__xludf.DUMMYFUNCTION("""COMPUTED_VALUE"""),"Belgium, Germany, Netherlands")</f>
        <v/>
      </c>
      <c r="N765" s="1">
        <f>IFERROR(__xludf.DUMMYFUNCTION("""COMPUTED_VALUE"""),"11 to 50")</f>
        <v/>
      </c>
      <c r="O765" s="1">
        <f>IFERROR(__xludf.DUMMYFUNCTION("""COMPUTED_VALUE"""),"Business to Business, Business to Schools")</f>
        <v/>
      </c>
      <c r="P765" s="1">
        <f>IFERROR(__xludf.DUMMYFUNCTION("""COMPUTED_VALUE"""),"Higher Education, Corporate Training, Lifelong learning/Adult education")</f>
        <v/>
      </c>
      <c r="Q765" s="1">
        <f>IFERROR(__xludf.DUMMYFUNCTION("""COMPUTED_VALUE"""),"Student interfacing, Teacher interfacing, System/Administrative")</f>
        <v/>
      </c>
      <c r="R765" s="1" t="n"/>
      <c r="S765" s="1">
        <f>IFERROR(__xludf.DUMMYFUNCTION("""COMPUTED_VALUE"""),"@parantion")</f>
        <v/>
      </c>
      <c r="T765" s="15">
        <f>IFERROR(__xludf.DUMMYFUNCTION("""COMPUTED_VALUE"""),"https://www.linkedin.com/showcase/scorion-nederland/")</f>
        <v/>
      </c>
      <c r="U765" s="1">
        <f>IFERROR(__xludf.DUMMYFUNCTION("""COMPUTED_VALUE"""),"Scorion")</f>
        <v/>
      </c>
      <c r="V765" s="1">
        <f>IFERROR(__xludf.DUMMYFUNCTION("""COMPUTED_VALUE"""),"Scorion: The portfolio tool for programmatic assessment and flexible education")</f>
        <v/>
      </c>
      <c r="W765" s="1" t="n"/>
      <c r="X765" s="1" t="n"/>
      <c r="Y765" s="15">
        <f>IFERROR(__xludf.DUMMYFUNCTION("""COMPUTED_VALUE"""),"https://drive.google.com/uc?export=view&amp;id=1REP-C_d6joDzOtJ3t0tg0tkoyHk1rh_Y")</f>
        <v/>
      </c>
      <c r="Z765" s="1">
        <f>IFERROR(__xludf.DUMMYFUNCTION("""COMPUTED_VALUE"""),"Unverified")</f>
        <v/>
      </c>
      <c r="AA765" s="1" t="n"/>
      <c r="AB765" s="1" t="n"/>
      <c r="AC765" s="1" t="n"/>
      <c r="AD765" s="1" t="n"/>
      <c r="AE765" s="1" t="n"/>
    </row>
    <row r="766" ht="42" customHeight="1">
      <c r="A766" s="14">
        <f>IFERROR(__xludf.DUMMYFUNCTION("""COMPUTED_VALUE"""),45181)</f>
        <v/>
      </c>
      <c r="B766" s="1">
        <f>IFERROR(__xludf.DUMMYFUNCTION("""COMPUTED_VALUE"""),"ORG_1647")</f>
        <v/>
      </c>
      <c r="C766" s="1">
        <f>IFERROR(__xludf.DUMMYFUNCTION("""COMPUTED_VALUE"""),TRUE)</f>
        <v/>
      </c>
      <c r="D766" s="1">
        <f>IFERROR(__xludf.DUMMYFUNCTION("""COMPUTED_VALUE"""),"Growify")</f>
        <v/>
      </c>
      <c r="E766" s="15">
        <f>IFERROR(__xludf.DUMMYFUNCTION("""COMPUTED_VALUE"""),"https://www.growify.de/")</f>
        <v/>
      </c>
      <c r="F766" s="1">
        <f>IFERROR(__xludf.DUMMYFUNCTION("""COMPUTED_VALUE"""),"Growify is a software platform for building sustainable personnel development in companies. It is based on the three building blocks: skill mapping, skill (gap) analysis and skill development. Through various elements of appreciation and gamification, emp"&amp;"loyees are motivated and a learning culture is promoted.")</f>
        <v/>
      </c>
      <c r="G766" s="1">
        <f>IFERROR(__xludf.DUMMYFUNCTION("""COMPUTED_VALUE"""),"I'm not part of any EdTech association")</f>
        <v/>
      </c>
      <c r="H766" s="1" t="n"/>
      <c r="I766" s="1">
        <f>IFERROR(__xludf.DUMMYFUNCTION("""COMPUTED_VALUE"""),"info@growify.de")</f>
        <v/>
      </c>
      <c r="J766" s="1">
        <f>IFERROR(__xludf.DUMMYFUNCTION("""COMPUTED_VALUE"""),"+49 (030) 800931082")</f>
        <v/>
      </c>
      <c r="K766" s="1">
        <f>IFERROR(__xludf.DUMMYFUNCTION("""COMPUTED_VALUE"""),"BERLIN")</f>
        <v/>
      </c>
      <c r="L766" s="1">
        <f>IFERROR(__xludf.DUMMYFUNCTION("""COMPUTED_VALUE"""),"Germany")</f>
        <v/>
      </c>
      <c r="M766" s="1">
        <f>IFERROR(__xludf.DUMMYFUNCTION("""COMPUTED_VALUE"""),"Germany")</f>
        <v/>
      </c>
      <c r="N766" s="1">
        <f>IFERROR(__xludf.DUMMYFUNCTION("""COMPUTED_VALUE"""),"11 to 50")</f>
        <v/>
      </c>
      <c r="O766" s="1">
        <f>IFERROR(__xludf.DUMMYFUNCTION("""COMPUTED_VALUE"""),"Business to Business")</f>
        <v/>
      </c>
      <c r="P766" s="1">
        <f>IFERROR(__xludf.DUMMYFUNCTION("""COMPUTED_VALUE"""),"Lifelong learning/Adult education")</f>
        <v/>
      </c>
      <c r="Q766" s="1">
        <f>IFERROR(__xludf.DUMMYFUNCTION("""COMPUTED_VALUE"""),"Student interfacing, System/Administrative")</f>
        <v/>
      </c>
      <c r="R766" s="1" t="n"/>
      <c r="S766" s="1" t="n"/>
      <c r="T766" s="1" t="n"/>
      <c r="U766" s="1" t="n"/>
      <c r="V766" s="1" t="n"/>
      <c r="W766" s="1" t="n"/>
      <c r="X766" s="1" t="n"/>
      <c r="Y766" s="15">
        <f>IFERROR(__xludf.DUMMYFUNCTION("""COMPUTED_VALUE"""),"https://drive.google.com/uc?export=view&amp;id=1Q8NtsauMey7bHakZonsAAiQPemAVU3Gd")</f>
        <v/>
      </c>
      <c r="Z766" s="1">
        <f>IFERROR(__xludf.DUMMYFUNCTION("""COMPUTED_VALUE"""),"Unverified")</f>
        <v/>
      </c>
      <c r="AA766" s="1" t="n"/>
      <c r="AB766" s="1" t="n"/>
      <c r="AC766" s="1" t="n"/>
      <c r="AD766" s="1" t="n"/>
      <c r="AE766" s="1" t="n"/>
    </row>
    <row r="767" ht="42" customHeight="1">
      <c r="A767" s="14">
        <f>IFERROR(__xludf.DUMMYFUNCTION("""COMPUTED_VALUE"""),45181)</f>
        <v/>
      </c>
      <c r="B767" s="1">
        <f>IFERROR(__xludf.DUMMYFUNCTION("""COMPUTED_VALUE"""),"ORG_1376")</f>
        <v/>
      </c>
      <c r="C767" s="1">
        <f>IFERROR(__xludf.DUMMYFUNCTION("""COMPUTED_VALUE"""),TRUE)</f>
        <v/>
      </c>
      <c r="D767" s="1">
        <f>IFERROR(__xludf.DUMMYFUNCTION("""COMPUTED_VALUE"""),"Doqua")</f>
        <v/>
      </c>
      <c r="E767" s="15">
        <f>IFERROR(__xludf.DUMMYFUNCTION("""COMPUTED_VALUE"""),"www.doquagroup.com")</f>
        <v/>
      </c>
      <c r="F767" s="1">
        <f>IFERROR(__xludf.DUMMYFUNCTION("""COMPUTED_VALUE"""),"We offer solutions to teachers, either through training, materials, or a reading comprehension tool for schools.")</f>
        <v/>
      </c>
      <c r="G767" s="1">
        <f>IFERROR(__xludf.DUMMYFUNCTION("""COMPUTED_VALUE"""),"EduTech Cluster Spain")</f>
        <v/>
      </c>
      <c r="H767" s="1" t="n"/>
      <c r="I767" s="1">
        <f>IFERROR(__xludf.DUMMYFUNCTION("""COMPUTED_VALUE"""),"damia@doqua.cat")</f>
        <v/>
      </c>
      <c r="J767" s="1">
        <f>IFERROR(__xludf.DUMMYFUNCTION("""COMPUTED_VALUE"""),"+34 973 720 554")</f>
        <v/>
      </c>
      <c r="K767" s="1">
        <f>IFERROR(__xludf.DUMMYFUNCTION("""COMPUTED_VALUE"""),"Lleida")</f>
        <v/>
      </c>
      <c r="L767" s="1">
        <f>IFERROR(__xludf.DUMMYFUNCTION("""COMPUTED_VALUE"""),"Spain")</f>
        <v/>
      </c>
      <c r="M767" s="1">
        <f>IFERROR(__xludf.DUMMYFUNCTION("""COMPUTED_VALUE"""),"Spain")</f>
        <v/>
      </c>
      <c r="N767" s="1">
        <f>IFERROR(__xludf.DUMMYFUNCTION("""COMPUTED_VALUE"""),"11 to 50")</f>
        <v/>
      </c>
      <c r="O767" s="1">
        <f>IFERROR(__xludf.DUMMYFUNCTION("""COMPUTED_VALUE"""),"Business to Schools")</f>
        <v/>
      </c>
      <c r="P767" s="1">
        <f>IFERROR(__xludf.DUMMYFUNCTION("""COMPUTED_VALUE"""),"Primary Education, Secondary Education")</f>
        <v/>
      </c>
      <c r="Q767" s="1">
        <f>IFERROR(__xludf.DUMMYFUNCTION("""COMPUTED_VALUE"""),"Student interfacing, Teacher interfacing")</f>
        <v/>
      </c>
      <c r="R767" s="1">
        <f>IFERROR(__xludf.DUMMYFUNCTION("""COMPUTED_VALUE"""),"doqua_edu")</f>
        <v/>
      </c>
      <c r="S767" s="1">
        <f>IFERROR(__xludf.DUMMYFUNCTION("""COMPUTED_VALUE"""),"@doqua_")</f>
        <v/>
      </c>
      <c r="T767" s="15">
        <f>IFERROR(__xludf.DUMMYFUNCTION("""COMPUTED_VALUE"""),"https://es.linkedin.com/company/doqua")</f>
        <v/>
      </c>
      <c r="U767" s="1">
        <f>IFERROR(__xludf.DUMMYFUNCTION("""COMPUTED_VALUE"""),"dllengua")</f>
        <v/>
      </c>
      <c r="V767" s="1">
        <f>IFERROR(__xludf.DUMMYFUNCTION("""COMPUTED_VALUE"""),"Gamified tool to improve the reading comprehension of students at school. We seek the individualization of learning taking into account the diversity in the classroom.
The goal is to ensure that the teacher is the guide of the student. The application wil"&amp;"l facilitate teaching and the teacher can dedicate time to those students who need it most.")</f>
        <v/>
      </c>
      <c r="W767" s="1" t="n"/>
      <c r="X767" s="1" t="n"/>
      <c r="Y767" s="15">
        <f>IFERROR(__xludf.DUMMYFUNCTION("""COMPUTED_VALUE"""),"https://drive.google.com/uc?export=view&amp;id=1yYT_VWAC63ZZmDc1bQkFfzDXVJudcZj6")</f>
        <v/>
      </c>
      <c r="Z767" s="1">
        <f>IFERROR(__xludf.DUMMYFUNCTION("""COMPUTED_VALUE"""),"Unverified")</f>
        <v/>
      </c>
      <c r="AA767" s="1" t="n"/>
      <c r="AB767" s="1" t="n"/>
      <c r="AC767" s="1" t="n"/>
      <c r="AD767" s="1" t="n"/>
      <c r="AE767" s="1" t="n"/>
    </row>
    <row r="768" ht="42" customHeight="1">
      <c r="A768" s="14">
        <f>IFERROR(__xludf.DUMMYFUNCTION("""COMPUTED_VALUE"""),45181)</f>
        <v/>
      </c>
      <c r="B768" s="1">
        <f>IFERROR(__xludf.DUMMYFUNCTION("""COMPUTED_VALUE"""),"ORG_2067")</f>
        <v/>
      </c>
      <c r="C768" s="1">
        <f>IFERROR(__xludf.DUMMYFUNCTION("""COMPUTED_VALUE"""),TRUE)</f>
        <v/>
      </c>
      <c r="D768" s="1">
        <f>IFERROR(__xludf.DUMMYFUNCTION("""COMPUTED_VALUE"""),"Online Kids Academy")</f>
        <v/>
      </c>
      <c r="E768" s="15">
        <f>IFERROR(__xludf.DUMMYFUNCTION("""COMPUTED_VALUE"""),"https://onlinekidsacademy.org")</f>
        <v/>
      </c>
      <c r="F768" s="1">
        <f>IFERROR(__xludf.DUMMYFUNCTION("""COMPUTED_VALUE"""),"In light of recent research and cutting-edge technology in education, Almina Online Kids Academy created a unique and innovative self-study platform targeting fluent and accurate use of language: The Online Kids Academy Language Learning Platform. 
Provid"&amp;"ing a virtual environment for permanent self-study learning for children at home, the Platform is the only solution in the educational market, guaranteeing a Cambridge Pre-A1 Starters level of English. The Platform has many speaking and pronunciation acti"&amp;"vities to quickly develop the kid’s speaking skills and achieve the pre-A1 requirements. The “Record your voice and the playback” feature creates a solid foundation for their fluent and accurate use of English throughout their learning. The significance o"&amp;"f skills development by doing at a young age indeed leads the learners to speak the foreign language accurately and fluently. Parents instantly monitor their children’s achievements through the sophisticated and easy-to-understand dashboard. Thus, parents"&amp;", as well, who do not speak English can check their children’s progress simply by accessing the Online Kids Academy Dynamic Language Learning Platform Progress Dashboard. The successful completion indicates that children have achieved the skill level requ"&amp;"ired by the Cambridge Pre-A1 Starters on that topic. To explore all the features of the Online Kids Academy Language Learning Platform, please click https://onlinekidsacademy.org/oka/interactive_presentation/story.html for the Interactive Presentation to "&amp;"start.")</f>
        <v/>
      </c>
      <c r="G768" s="1">
        <f>IFERROR(__xludf.DUMMYFUNCTION("""COMPUTED_VALUE"""),"I'm not part of any EdTech association")</f>
        <v/>
      </c>
      <c r="H768" s="1" t="n"/>
      <c r="I768" s="1">
        <f>IFERROR(__xludf.DUMMYFUNCTION("""COMPUTED_VALUE"""),"info@onlinekidsacademy.org")</f>
        <v/>
      </c>
      <c r="J768" s="1">
        <f>IFERROR(__xludf.DUMMYFUNCTION("""COMPUTED_VALUE"""),"+31641196665")</f>
        <v/>
      </c>
      <c r="K768" s="1">
        <f>IFERROR(__xludf.DUMMYFUNCTION("""COMPUTED_VALUE"""),"AMSTERDAM")</f>
        <v/>
      </c>
      <c r="L768" s="1">
        <f>IFERROR(__xludf.DUMMYFUNCTION("""COMPUTED_VALUE"""),"The Netherlands")</f>
        <v/>
      </c>
      <c r="M768"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768" s="1">
        <f>IFERROR(__xludf.DUMMYFUNCTION("""COMPUTED_VALUE"""),"0 to 10")</f>
        <v/>
      </c>
      <c r="O768" s="1">
        <f>IFERROR(__xludf.DUMMYFUNCTION("""COMPUTED_VALUE"""),"Business to Consumer")</f>
        <v/>
      </c>
      <c r="P768" s="1">
        <f>IFERROR(__xludf.DUMMYFUNCTION("""COMPUTED_VALUE"""),"Primary Education")</f>
        <v/>
      </c>
      <c r="Q768" s="1">
        <f>IFERROR(__xludf.DUMMYFUNCTION("""COMPUTED_VALUE"""),"System/Administrative")</f>
        <v/>
      </c>
      <c r="R768" s="1" t="n"/>
      <c r="S768" s="1" t="n"/>
      <c r="T768" s="1" t="n"/>
      <c r="U768" s="1" t="n"/>
      <c r="V768" s="1" t="n"/>
      <c r="W768" s="1" t="n"/>
      <c r="X768" s="1" t="n"/>
      <c r="Y768" s="15">
        <f>IFERROR(__xludf.DUMMYFUNCTION("""COMPUTED_VALUE"""),"https://drive.google.com/uc?export=view&amp;id=1mPLWBnUGuuxQmVcLFbMi6IpEJvNP0nCg")</f>
        <v/>
      </c>
      <c r="Z768" s="1">
        <f>IFERROR(__xludf.DUMMYFUNCTION("""COMPUTED_VALUE"""),"Unverified")</f>
        <v/>
      </c>
      <c r="AA768" s="1" t="n"/>
      <c r="AB768" s="1" t="n"/>
      <c r="AC768" s="1" t="n"/>
      <c r="AD768" s="1" t="n"/>
      <c r="AE768" s="1" t="n"/>
    </row>
    <row r="769" ht="42" customHeight="1">
      <c r="A769" s="14">
        <f>IFERROR(__xludf.DUMMYFUNCTION("""COMPUTED_VALUE"""),45181)</f>
        <v/>
      </c>
      <c r="B769" s="1">
        <f>IFERROR(__xludf.DUMMYFUNCTION("""COMPUTED_VALUE"""),"ORG_1304")</f>
        <v/>
      </c>
      <c r="C769" s="1">
        <f>IFERROR(__xludf.DUMMYFUNCTION("""COMPUTED_VALUE"""),TRUE)</f>
        <v/>
      </c>
      <c r="D769" s="1">
        <f>IFERROR(__xludf.DUMMYFUNCTION("""COMPUTED_VALUE"""),"CoursesOnline")</f>
        <v/>
      </c>
      <c r="E769" s="15">
        <f>IFERROR(__xludf.DUMMYFUNCTION("""COMPUTED_VALUE"""),"https://www.coursesonline.co.uk/")</f>
        <v/>
      </c>
      <c r="F769" s="1">
        <f>IFERROR(__xludf.DUMMYFUNCTION("""COMPUTED_VALUE"""),"CoursesOnline helps connect training providers with those individuals and teams who are looking to develop their skills and broader their knowledge. We list online learning courses from providers from across the UK, with offerings covering all sorts of su"&amp;"bjects and industries.")</f>
        <v/>
      </c>
      <c r="G769" s="1">
        <f>IFERROR(__xludf.DUMMYFUNCTION("""COMPUTED_VALUE"""),"I'm not part of any EdTech association")</f>
        <v/>
      </c>
      <c r="H769" s="1" t="n"/>
      <c r="I769" s="1" t="n"/>
      <c r="J769" s="1" t="n"/>
      <c r="K769" s="1">
        <f>IFERROR(__xludf.DUMMYFUNCTION("""COMPUTED_VALUE"""),"LONDON")</f>
        <v/>
      </c>
      <c r="L769" s="1">
        <f>IFERROR(__xludf.DUMMYFUNCTION("""COMPUTED_VALUE"""),"United Kingdom")</f>
        <v/>
      </c>
      <c r="M769" s="1">
        <f>IFERROR(__xludf.DUMMYFUNCTION("""COMPUTED_VALUE"""),"United Kingdom")</f>
        <v/>
      </c>
      <c r="N769" s="1">
        <f>IFERROR(__xludf.DUMMYFUNCTION("""COMPUTED_VALUE"""),"0 to 10")</f>
        <v/>
      </c>
      <c r="O769" s="1">
        <f>IFERROR(__xludf.DUMMYFUNCTION("""COMPUTED_VALUE"""),"Business to Business, Business to Consumer")</f>
        <v/>
      </c>
      <c r="P769" s="1">
        <f>IFERROR(__xludf.DUMMYFUNCTION("""COMPUTED_VALUE"""),"Higher Education, Corporate Training, Lifelong learning/Adult education")</f>
        <v/>
      </c>
      <c r="Q769" s="1">
        <f>IFERROR(__xludf.DUMMYFUNCTION("""COMPUTED_VALUE"""),"Teacher interfacing, Student interfacing, System/Administrative")</f>
        <v/>
      </c>
      <c r="R769" s="1" t="n"/>
      <c r="S769" s="1" t="n"/>
      <c r="T769" s="1" t="n"/>
      <c r="U769" s="1" t="n"/>
      <c r="V769" s="1" t="n"/>
      <c r="W769" s="1" t="n"/>
      <c r="X769" s="1" t="n"/>
      <c r="Y769" s="15">
        <f>IFERROR(__xludf.DUMMYFUNCTION("""COMPUTED_VALUE"""),"https://drive.google.com/uc?export=view&amp;id=1aS02suLdlUJJPOfa7xXW1WubJLAMHsEl")</f>
        <v/>
      </c>
      <c r="Z769" s="1">
        <f>IFERROR(__xludf.DUMMYFUNCTION("""COMPUTED_VALUE"""),"Unverified")</f>
        <v/>
      </c>
      <c r="AA769" s="1" t="n"/>
      <c r="AB769" s="1" t="n"/>
      <c r="AC769" s="1" t="n"/>
      <c r="AD769" s="1" t="n"/>
      <c r="AE769" s="1" t="n"/>
    </row>
    <row r="770" ht="42" customHeight="1">
      <c r="A770" s="14">
        <f>IFERROR(__xludf.DUMMYFUNCTION("""COMPUTED_VALUE"""),45181)</f>
        <v/>
      </c>
      <c r="B770" s="1">
        <f>IFERROR(__xludf.DUMMYFUNCTION("""COMPUTED_VALUE"""),"ORG_1274")</f>
        <v/>
      </c>
      <c r="C770" s="1">
        <f>IFERROR(__xludf.DUMMYFUNCTION("""COMPUTED_VALUE"""),TRUE)</f>
        <v/>
      </c>
      <c r="D770" s="1">
        <f>IFERROR(__xludf.DUMMYFUNCTION("""COMPUTED_VALUE"""),"Codum")</f>
        <v/>
      </c>
      <c r="E770" s="15">
        <f>IFERROR(__xludf.DUMMYFUNCTION("""COMPUTED_VALUE"""),"https://www.codum.cc")</f>
        <v/>
      </c>
      <c r="F770" s="1">
        <f>IFERROR(__xludf.DUMMYFUNCTION("""COMPUTED_VALUE"""),"Codum is a goal-achievement platform for aspiring coders that are teaching themselves to code without any teacher or institution.")</f>
        <v/>
      </c>
      <c r="G770" s="1">
        <f>IFERROR(__xludf.DUMMYFUNCTION("""COMPUTED_VALUE"""),"I'm not part of any EdTech association")</f>
        <v/>
      </c>
      <c r="H770" s="1" t="n"/>
      <c r="I770" s="1">
        <f>IFERROR(__xludf.DUMMYFUNCTION("""COMPUTED_VALUE"""),"contact@codum.cc")</f>
        <v/>
      </c>
      <c r="J770" s="1" t="n"/>
      <c r="K770" s="1">
        <f>IFERROR(__xludf.DUMMYFUNCTION("""COMPUTED_VALUE"""),"Ebenhausen-Schäftlarn")</f>
        <v/>
      </c>
      <c r="L770" s="1">
        <f>IFERROR(__xludf.DUMMYFUNCTION("""COMPUTED_VALUE"""),"Germany")</f>
        <v/>
      </c>
      <c r="M770" s="1">
        <f>IFERROR(__xludf.DUMMYFUNCTION("""COMPUTED_VALUE"""),"France, Germany, Switzerland, United Kingdom")</f>
        <v/>
      </c>
      <c r="N770" s="1">
        <f>IFERROR(__xludf.DUMMYFUNCTION("""COMPUTED_VALUE"""),"0 to 10")</f>
        <v/>
      </c>
      <c r="O770" s="1">
        <f>IFERROR(__xludf.DUMMYFUNCTION("""COMPUTED_VALUE"""),"Business to Business, Business to Consumer")</f>
        <v/>
      </c>
      <c r="P770" s="1">
        <f>IFERROR(__xludf.DUMMYFUNCTION("""COMPUTED_VALUE"""),"Lifelong learning/Adult education")</f>
        <v/>
      </c>
      <c r="Q770" s="1">
        <f>IFERROR(__xludf.DUMMYFUNCTION("""COMPUTED_VALUE"""),"Student interfacing, System/Administrative")</f>
        <v/>
      </c>
      <c r="R770" s="1" t="n"/>
      <c r="S770" s="1" t="n"/>
      <c r="T770" s="1" t="n"/>
      <c r="U770" s="1" t="n"/>
      <c r="V770" s="1" t="n"/>
      <c r="W770" s="1" t="n"/>
      <c r="X770" s="1" t="n"/>
      <c r="Y770" s="15">
        <f>IFERROR(__xludf.DUMMYFUNCTION("""COMPUTED_VALUE"""),"https://drive.google.com/uc?export=view&amp;id=16VgmG-LhxpKU8UEk-7q3_kjq2Ye6wq-T")</f>
        <v/>
      </c>
      <c r="Z770" s="1">
        <f>IFERROR(__xludf.DUMMYFUNCTION("""COMPUTED_VALUE"""),"Unverified")</f>
        <v/>
      </c>
      <c r="AA770" s="1" t="n"/>
      <c r="AB770" s="1" t="n"/>
      <c r="AC770" s="1" t="n"/>
      <c r="AD770" s="1" t="n"/>
      <c r="AE770" s="1" t="n"/>
    </row>
    <row r="771" ht="42" customHeight="1">
      <c r="A771" s="14">
        <f>IFERROR(__xludf.DUMMYFUNCTION("""COMPUTED_VALUE"""),45181)</f>
        <v/>
      </c>
      <c r="B771" s="1">
        <f>IFERROR(__xludf.DUMMYFUNCTION("""COMPUTED_VALUE"""),"ORG_2189")</f>
        <v/>
      </c>
      <c r="C771" s="1">
        <f>IFERROR(__xludf.DUMMYFUNCTION("""COMPUTED_VALUE"""),TRUE)</f>
        <v/>
      </c>
      <c r="D771" s="1">
        <f>IFERROR(__xludf.DUMMYFUNCTION("""COMPUTED_VALUE"""),"Robocodeuk")</f>
        <v/>
      </c>
      <c r="E771" s="15">
        <f>IFERROR(__xludf.DUMMYFUNCTION("""COMPUTED_VALUE"""),"Robocode.uk")</f>
        <v/>
      </c>
      <c r="F771" s="1">
        <f>IFERROR(__xludf.DUMMYFUNCTION("""COMPUTED_VALUE"""),"We offer robotics and coding courses to schools and the local community tailoring our solutions to their needs.")</f>
        <v/>
      </c>
      <c r="G771" s="1">
        <f>IFERROR(__xludf.DUMMYFUNCTION("""COMPUTED_VALUE"""),"I'm not part of any EdTech association")</f>
        <v/>
      </c>
      <c r="H771" s="1" t="n"/>
      <c r="I771" s="1">
        <f>IFERROR(__xludf.DUMMYFUNCTION("""COMPUTED_VALUE"""),"admin@robocode.uk")</f>
        <v/>
      </c>
      <c r="J771" s="1">
        <f>IFERROR(__xludf.DUMMYFUNCTION("""COMPUTED_VALUE"""),"7918388757")</f>
        <v/>
      </c>
      <c r="K771" s="1">
        <f>IFERROR(__xludf.DUMMYFUNCTION("""COMPUTED_VALUE"""),"Birmingham")</f>
        <v/>
      </c>
      <c r="L771" s="1">
        <f>IFERROR(__xludf.DUMMYFUNCTION("""COMPUTED_VALUE"""),"United Kingdom")</f>
        <v/>
      </c>
      <c r="M771" s="1">
        <f>IFERROR(__xludf.DUMMYFUNCTION("""COMPUTED_VALUE"""),"United Kingdom")</f>
        <v/>
      </c>
      <c r="N771" s="1">
        <f>IFERROR(__xludf.DUMMYFUNCTION("""COMPUTED_VALUE"""),"0 to 10")</f>
        <v/>
      </c>
      <c r="O771" s="1">
        <f>IFERROR(__xludf.DUMMYFUNCTION("""COMPUTED_VALUE"""),"Business to Consumer, Business to Schools")</f>
        <v/>
      </c>
      <c r="P771" s="1">
        <f>IFERROR(__xludf.DUMMYFUNCTION("""COMPUTED_VALUE"""),"Primary Education, Secondary Education")</f>
        <v/>
      </c>
      <c r="Q771" s="1">
        <f>IFERROR(__xludf.DUMMYFUNCTION("""COMPUTED_VALUE"""),"Student interfacing, Teacher interfacing")</f>
        <v/>
      </c>
      <c r="R771" s="1" t="n"/>
      <c r="S771" s="1" t="n"/>
      <c r="T771" s="1" t="n"/>
      <c r="U771" s="1" t="n"/>
      <c r="V771" s="1" t="n"/>
      <c r="W771" s="1" t="n"/>
      <c r="X771" s="1" t="n"/>
      <c r="Y771" s="15">
        <f>IFERROR(__xludf.DUMMYFUNCTION("""COMPUTED_VALUE"""),"https://drive.google.com/uc?export=view&amp;id=1Em-Y7aLAXPQRKmo0L6qBJ7U67KuxIZya")</f>
        <v/>
      </c>
      <c r="Z771" s="1">
        <f>IFERROR(__xludf.DUMMYFUNCTION("""COMPUTED_VALUE"""),"Unverified")</f>
        <v/>
      </c>
      <c r="AA771" s="1" t="n"/>
      <c r="AB771" s="1" t="n"/>
      <c r="AC771" s="1" t="n"/>
      <c r="AD771" s="1" t="n"/>
      <c r="AE771" s="1" t="n"/>
    </row>
    <row r="772" ht="42" customHeight="1">
      <c r="A772" s="14">
        <f>IFERROR(__xludf.DUMMYFUNCTION("""COMPUTED_VALUE"""),45181)</f>
        <v/>
      </c>
      <c r="B772" s="1">
        <f>IFERROR(__xludf.DUMMYFUNCTION("""COMPUTED_VALUE"""),"ORG_2219")</f>
        <v/>
      </c>
      <c r="C772" s="1">
        <f>IFERROR(__xludf.DUMMYFUNCTION("""COMPUTED_VALUE"""),TRUE)</f>
        <v/>
      </c>
      <c r="D772" s="1">
        <f>IFERROR(__xludf.DUMMYFUNCTION("""COMPUTED_VALUE"""),"Scoolsy")</f>
        <v/>
      </c>
      <c r="E772" s="15">
        <f>IFERROR(__xludf.DUMMYFUNCTION("""COMPUTED_VALUE"""),"https://scoolsy.com/")</f>
        <v/>
      </c>
      <c r="F772" s="1">
        <f>IFERROR(__xludf.DUMMYFUNCTION("""COMPUTED_VALUE"""),"Scoolsy - empowers teachers to easily personalize learning for their students by providing tools, content, training and support all the way! It helps to:
1. Increase student engagement - students stay more engaged, motivated and focused;
2. Improve academ"&amp;"ic outcomes - various studies show that personalized learning approach to education improve academic results by up to 35%;
3. Reduce achievement gaps - with personalized learning journey each student receives support needed to identify and reduce possible"&amp;" learning gaps in time;
4. Prepare students better for universities and careers. With Scoolsy students take ownership and responsibility of their learning providing them an opportunity to choose how they learn with content in different formats and multipl"&amp;"e assessment possibilities. This approach helps students to develop self-regulation and other soft skills to become successful life-long learners.")</f>
        <v/>
      </c>
      <c r="G772" s="1">
        <f>IFERROR(__xludf.DUMMYFUNCTION("""COMPUTED_VALUE"""),"I'm not part of any EdTech association")</f>
        <v/>
      </c>
      <c r="H772" s="1">
        <f>IFERROR(__xludf.DUMMYFUNCTION("""COMPUTED_VALUE"""),"Lithuanian, English")</f>
        <v/>
      </c>
      <c r="I772" s="1">
        <f>IFERROR(__xludf.DUMMYFUNCTION("""COMPUTED_VALUE"""),"skaiste@scoolsy.lt")</f>
        <v/>
      </c>
      <c r="J772" s="1" t="n"/>
      <c r="K772" s="1">
        <f>IFERROR(__xludf.DUMMYFUNCTION("""COMPUTED_VALUE"""),"VILNIUS")</f>
        <v/>
      </c>
      <c r="L772" s="1">
        <f>IFERROR(__xludf.DUMMYFUNCTION("""COMPUTED_VALUE"""),"Lithuania")</f>
        <v/>
      </c>
      <c r="M772" s="1">
        <f>IFERROR(__xludf.DUMMYFUNCTION("""COMPUTED_VALUE"""),"Lithuania")</f>
        <v/>
      </c>
      <c r="N772" s="1">
        <f>IFERROR(__xludf.DUMMYFUNCTION("""COMPUTED_VALUE"""),"6 to 10")</f>
        <v/>
      </c>
      <c r="O772" s="1">
        <f>IFERROR(__xludf.DUMMYFUNCTION("""COMPUTED_VALUE"""),"Business to Schools")</f>
        <v/>
      </c>
      <c r="P772" s="1">
        <f>IFERROR(__xludf.DUMMYFUNCTION("""COMPUTED_VALUE"""),"Secondary Education")</f>
        <v/>
      </c>
      <c r="Q772" s="1">
        <f>IFERROR(__xludf.DUMMYFUNCTION("""COMPUTED_VALUE"""),"Student interfacing, Teacher interfacing")</f>
        <v/>
      </c>
      <c r="R772" s="1" t="n"/>
      <c r="S772" s="1" t="n"/>
      <c r="T772" s="15">
        <f>IFERROR(__xludf.DUMMYFUNCTION("""COMPUTED_VALUE"""),"https://www.linkedin.com/company/scoolsy")</f>
        <v/>
      </c>
      <c r="U772" s="1">
        <f>IFERROR(__xludf.DUMMYFUNCTION("""COMPUTED_VALUE"""),"Scoolsy")</f>
        <v/>
      </c>
      <c r="V772" s="1">
        <f>IFERROR(__xludf.DUMMYFUNCTION("""COMPUTED_VALUE"""),"Scoolsy is an online solution for teachers and learners which helps to manage personalized learning at any school. Scoolsy has:
1. subject matrixes that help to see the whole curriculum scope. Learning goals from basic to advanced level in each subject;
2"&amp;". diagnostics where student's knowledge in each subject might have gapped or exceeded the requirements;
3. personalized learning plans with personal learning goals;
4. a way to empower students to learn independently or in a group in the way suitable for "&amp;"them by providing content in different formats and multiple assessment possibilities;
5. automated tracking of individual learner progress.")</f>
        <v/>
      </c>
      <c r="W772" s="1" t="n"/>
      <c r="X772" s="1" t="n"/>
      <c r="Y772" s="15">
        <f>IFERROR(__xludf.DUMMYFUNCTION("""COMPUTED_VALUE"""),"https://drive.google.com/uc?export=view&amp;id=1KFPffP8UrrwcWkA2pybECVI3ZfRJ_mBL")</f>
        <v/>
      </c>
      <c r="Z772" s="1">
        <f>IFERROR(__xludf.DUMMYFUNCTION("""COMPUTED_VALUE"""),"Unverified")</f>
        <v/>
      </c>
      <c r="AA772" s="1" t="n"/>
      <c r="AB772" s="1" t="n"/>
      <c r="AC772" s="1" t="n"/>
      <c r="AD772" s="1" t="n"/>
      <c r="AE772" s="1" t="n"/>
    </row>
    <row r="773" ht="42" customHeight="1">
      <c r="A773" s="14">
        <f>IFERROR(__xludf.DUMMYFUNCTION("""COMPUTED_VALUE"""),45181)</f>
        <v/>
      </c>
      <c r="B773" s="1">
        <f>IFERROR(__xludf.DUMMYFUNCTION("""COMPUTED_VALUE"""),"ORG_2155")</f>
        <v/>
      </c>
      <c r="C773" s="1">
        <f>IFERROR(__xludf.DUMMYFUNCTION("""COMPUTED_VALUE"""),TRUE)</f>
        <v/>
      </c>
      <c r="D773" s="1">
        <f>IFERROR(__xludf.DUMMYFUNCTION("""COMPUTED_VALUE"""),"Raisingfreekids")</f>
        <v/>
      </c>
      <c r="E773" s="1">
        <f>IFERROR(__xludf.DUMMYFUNCTION("""COMPUTED_VALUE"""),"Raisingfreekids.com, raisingfinanciallyfreekids.com")</f>
        <v/>
      </c>
      <c r="F773" s="1">
        <f>IFERROR(__xludf.DUMMYFUNCTION("""COMPUTED_VALUE"""),"Raisingfreekids helps busy parents raise financially free kids by providing standardized online course solutions")</f>
        <v/>
      </c>
      <c r="G773" s="1">
        <f>IFERROR(__xludf.DUMMYFUNCTION("""COMPUTED_VALUE"""),"I'm not part of any EdTech association")</f>
        <v/>
      </c>
      <c r="H773" s="1" t="n"/>
      <c r="I773" s="1">
        <f>IFERROR(__xludf.DUMMYFUNCTION("""COMPUTED_VALUE"""),"lina@raisingfreekids.com")</f>
        <v/>
      </c>
      <c r="J773" s="1">
        <f>IFERROR(__xludf.DUMMYFUNCTION("""COMPUTED_VALUE"""),"+37068625488")</f>
        <v/>
      </c>
      <c r="K773" s="1">
        <f>IFERROR(__xludf.DUMMYFUNCTION("""COMPUTED_VALUE"""),"Versmiu 123")</f>
        <v/>
      </c>
      <c r="L773" s="1">
        <f>IFERROR(__xludf.DUMMYFUNCTION("""COMPUTED_VALUE"""),"Lithuania")</f>
        <v/>
      </c>
      <c r="M773" s="1">
        <f>IFERROR(__xludf.DUMMYFUNCTION("""COMPUTED_VALUE"""),"Austria, Belgium, Bulgaria, Croatia, Cyprus, Czechia, Denmark, Estonia, Finland, France, Germany, Greece, Hungary, Iceland, Ireland, Italy, Latvia, Liechtenstein, Lithuania, Luxembourg, Malta, Netherlands, Norway, Poland, Portugal, Romania, Slovakia, Slov"&amp;"enia, Spain, Sweden, Switzerland, Turkey, United Kingdom")</f>
        <v/>
      </c>
      <c r="N773" s="1">
        <f>IFERROR(__xludf.DUMMYFUNCTION("""COMPUTED_VALUE"""),"0 to 10")</f>
        <v/>
      </c>
      <c r="O773" s="1">
        <f>IFERROR(__xludf.DUMMYFUNCTION("""COMPUTED_VALUE"""),"Business to Consumer")</f>
        <v/>
      </c>
      <c r="P773" s="1">
        <f>IFERROR(__xludf.DUMMYFUNCTION("""COMPUTED_VALUE"""),"Lifelong learning/Adult education")</f>
        <v/>
      </c>
      <c r="Q773" s="1">
        <f>IFERROR(__xludf.DUMMYFUNCTION("""COMPUTED_VALUE"""),"System/Administrative")</f>
        <v/>
      </c>
      <c r="R773" s="1" t="n"/>
      <c r="S773" s="1" t="n"/>
      <c r="T773" s="1" t="n"/>
      <c r="U773" s="1" t="n"/>
      <c r="V773" s="1" t="n"/>
      <c r="W773" s="1" t="n"/>
      <c r="X773" s="1" t="n"/>
      <c r="Y773" s="15">
        <f>IFERROR(__xludf.DUMMYFUNCTION("""COMPUTED_VALUE"""),"https://drive.google.com/uc?export=view&amp;id=12We5N84tGGc6F_1TB6b_TdW6liFeBBuf")</f>
        <v/>
      </c>
      <c r="Z773" s="1">
        <f>IFERROR(__xludf.DUMMYFUNCTION("""COMPUTED_VALUE"""),"Unverified")</f>
        <v/>
      </c>
      <c r="AA773" s="1" t="n"/>
      <c r="AB773" s="1" t="n"/>
      <c r="AC773" s="1" t="n"/>
      <c r="AD773" s="1" t="n"/>
      <c r="AE773" s="1" t="n"/>
    </row>
    <row r="774" ht="42" customHeight="1">
      <c r="A774" s="14">
        <f>IFERROR(__xludf.DUMMYFUNCTION("""COMPUTED_VALUE"""),45181)</f>
        <v/>
      </c>
      <c r="B774" s="1">
        <f>IFERROR(__xludf.DUMMYFUNCTION("""COMPUTED_VALUE"""),"ORG_2153")</f>
        <v/>
      </c>
      <c r="C774" s="1">
        <f>IFERROR(__xludf.DUMMYFUNCTION("""COMPUTED_VALUE"""),TRUE)</f>
        <v/>
      </c>
      <c r="D774" s="1">
        <f>IFERROR(__xludf.DUMMYFUNCTION("""COMPUTED_VALUE"""),"RADICAL HR")</f>
        <v/>
      </c>
      <c r="E774" s="15">
        <f>IFERROR(__xludf.DUMMYFUNCTION("""COMPUTED_VALUE"""),"https://radicalhr.it/")</f>
        <v/>
      </c>
      <c r="F774" s="1">
        <f>IFERROR(__xludf.DUMMYFUNCTION("""COMPUTED_VALUE"""),"RADICAL HR is the new perspective on the future of work, the enabler of HR and organizations to drive and accelerate the people transformation.
RADICAL HR is the first Italian edtech company fully dedicated to the corporate learning strategy.
We design "&amp;"the future of work together!")</f>
        <v/>
      </c>
      <c r="G774" s="1">
        <f>IFERROR(__xludf.DUMMYFUNCTION("""COMPUTED_VALUE"""),"EdTech Italia")</f>
        <v/>
      </c>
      <c r="H774" s="1" t="n"/>
      <c r="I774" s="1">
        <f>IFERROR(__xludf.DUMMYFUNCTION("""COMPUTED_VALUE"""),"alessandra.lupinacci@radicalhr.it")</f>
        <v/>
      </c>
      <c r="J774" s="1" t="n"/>
      <c r="K774" s="1">
        <f>IFERROR(__xludf.DUMMYFUNCTION("""COMPUTED_VALUE"""),"Milan")</f>
        <v/>
      </c>
      <c r="L774" s="1">
        <f>IFERROR(__xludf.DUMMYFUNCTION("""COMPUTED_VALUE"""),"Italy")</f>
        <v/>
      </c>
      <c r="M774" s="1">
        <f>IFERROR(__xludf.DUMMYFUNCTION("""COMPUTED_VALUE"""),"Italy")</f>
        <v/>
      </c>
      <c r="N774" s="1">
        <f>IFERROR(__xludf.DUMMYFUNCTION("""COMPUTED_VALUE"""),"11 to 50")</f>
        <v/>
      </c>
      <c r="O774" s="1">
        <f>IFERROR(__xludf.DUMMYFUNCTION("""COMPUTED_VALUE"""),"Business to Business, Business to Consumer")</f>
        <v/>
      </c>
      <c r="P774" s="1">
        <f>IFERROR(__xludf.DUMMYFUNCTION("""COMPUTED_VALUE"""),"Corporate Training, Lifelong learning/Adult education")</f>
        <v/>
      </c>
      <c r="Q774" s="1">
        <f>IFERROR(__xludf.DUMMYFUNCTION("""COMPUTED_VALUE"""),"System/Administrative, Student interfacing")</f>
        <v/>
      </c>
      <c r="R774" s="15">
        <f>IFERROR(__xludf.DUMMYFUNCTION("""COMPUTED_VALUE"""),"https://www.instagram.com/radical_hr/")</f>
        <v/>
      </c>
      <c r="S774" s="1" t="n"/>
      <c r="T774" s="15">
        <f>IFERROR(__xludf.DUMMYFUNCTION("""COMPUTED_VALUE"""),"https://www.linkedin.com/school/radicalhr/?viewAsMember=true")</f>
        <v/>
      </c>
      <c r="U774" s="1" t="n"/>
      <c r="V774" s="1" t="n"/>
      <c r="W774" s="1" t="n"/>
      <c r="X774" s="1" t="n"/>
      <c r="Y774" s="15">
        <f>IFERROR(__xludf.DUMMYFUNCTION("""COMPUTED_VALUE"""),"https://drive.google.com/uc?export=view&amp;id=15ywo_F2QF6oy5jvXPf0W5yN_1ihPwwQT")</f>
        <v/>
      </c>
      <c r="Z774" s="1">
        <f>IFERROR(__xludf.DUMMYFUNCTION("""COMPUTED_VALUE"""),"Unverified")</f>
        <v/>
      </c>
      <c r="AA774" s="1" t="n"/>
      <c r="AB774" s="1" t="n"/>
      <c r="AC774" s="1" t="n"/>
      <c r="AD774" s="1" t="n"/>
      <c r="AE774" s="1" t="n"/>
    </row>
    <row r="775" ht="42" customHeight="1">
      <c r="A775" s="14">
        <f>IFERROR(__xludf.DUMMYFUNCTION("""COMPUTED_VALUE"""),45181)</f>
        <v/>
      </c>
      <c r="B775" s="1">
        <f>IFERROR(__xludf.DUMMYFUNCTION("""COMPUTED_VALUE"""),"ORG_2261")</f>
        <v/>
      </c>
      <c r="C775" s="1">
        <f>IFERROR(__xludf.DUMMYFUNCTION("""COMPUTED_VALUE"""),TRUE)</f>
        <v/>
      </c>
      <c r="D775" s="1">
        <f>IFERROR(__xludf.DUMMYFUNCTION("""COMPUTED_VALUE"""),"SkillsTown")</f>
        <v/>
      </c>
      <c r="E775" s="1">
        <f>IFERROR(__xludf.DUMMYFUNCTION("""COMPUTED_VALUE"""),"www.skillstown.com www.skillstown.com")</f>
        <v/>
      </c>
      <c r="F775" s="1">
        <f>IFERROR(__xludf.DUMMYFUNCTION("""COMPUTED_VALUE"""),"SkillsTown is the online educator for professionals. With our innovative online learning platform, we help you to get the best out of your organisation and employees.")</f>
        <v/>
      </c>
      <c r="G775" s="1">
        <f>IFERROR(__xludf.DUMMYFUNCTION("""COMPUTED_VALUE"""),"Dutch EdTech")</f>
        <v/>
      </c>
      <c r="H775" s="1" t="n"/>
      <c r="I775" s="1">
        <f>IFERROR(__xludf.DUMMYFUNCTION("""COMPUTED_VALUE"""),"gijs.wetzer@skillstown.com")</f>
        <v/>
      </c>
      <c r="J775" s="1">
        <f>IFERROR(__xludf.DUMMYFUNCTION("""COMPUTED_VALUE"""),"+31(0)881410000")</f>
        <v/>
      </c>
      <c r="K775" s="1">
        <f>IFERROR(__xludf.DUMMYFUNCTION("""COMPUTED_VALUE"""),"EINDHOVEN")</f>
        <v/>
      </c>
      <c r="L775" s="1">
        <f>IFERROR(__xludf.DUMMYFUNCTION("""COMPUTED_VALUE"""),"The Netherlands")</f>
        <v/>
      </c>
      <c r="M775" s="1">
        <f>IFERROR(__xludf.DUMMYFUNCTION("""COMPUTED_VALUE"""),"Belgium, Netherlands, United Kingdom")</f>
        <v/>
      </c>
      <c r="N775" s="1">
        <f>IFERROR(__xludf.DUMMYFUNCTION("""COMPUTED_VALUE"""),"51 to 100")</f>
        <v/>
      </c>
      <c r="O775" s="1">
        <f>IFERROR(__xludf.DUMMYFUNCTION("""COMPUTED_VALUE"""),"Business to Business, Business to Consumer")</f>
        <v/>
      </c>
      <c r="P775" s="1">
        <f>IFERROR(__xludf.DUMMYFUNCTION("""COMPUTED_VALUE"""),"Primary Education, Secondary Education, Higher Education, Corporate Training, Lifelong learning/Adult education")</f>
        <v/>
      </c>
      <c r="Q775" s="1">
        <f>IFERROR(__xludf.DUMMYFUNCTION("""COMPUTED_VALUE"""),"Student interfacing, Teacher interfacing, System/Administrative")</f>
        <v/>
      </c>
      <c r="R775" s="1" t="n"/>
      <c r="S775" s="1" t="n"/>
      <c r="T775" s="15">
        <f>IFERROR(__xludf.DUMMYFUNCTION("""COMPUTED_VALUE"""),"https://www.linkedin.com/company/skillstown/")</f>
        <v/>
      </c>
      <c r="U775" s="1">
        <f>IFERROR(__xludf.DUMMYFUNCTION("""COMPUTED_VALUE"""),"Online learning platform")</f>
        <v/>
      </c>
      <c r="V775" s="1">
        <f>IFERROR(__xludf.DUMMYFUNCTION("""COMPUTED_VALUE"""),"Innovative learning platform to help achieve your employees their learning needs;
Build-in authoring tool;
Learning record store")</f>
        <v/>
      </c>
      <c r="W775" s="1">
        <f>IFERROR(__xludf.DUMMYFUNCTION("""COMPUTED_VALUE"""),"Content")</f>
        <v/>
      </c>
      <c r="X775" s="1">
        <f>IFERROR(__xludf.DUMMYFUNCTION("""COMPUTED_VALUE"""),"Large library in Dutch, English, Spanish and French with 8 different learning methods. Soon German as well.")</f>
        <v/>
      </c>
      <c r="Y775" s="15">
        <f>IFERROR(__xludf.DUMMYFUNCTION("""COMPUTED_VALUE"""),"https://drive.google.com/uc?export=view&amp;id=1cdFaS1LdnPlz1j8V6gV_2FYEhjsSetf1")</f>
        <v/>
      </c>
      <c r="Z775" s="1">
        <f>IFERROR(__xludf.DUMMYFUNCTION("""COMPUTED_VALUE"""),"Unverified")</f>
        <v/>
      </c>
      <c r="AA775" s="1" t="n"/>
      <c r="AB775" s="1" t="n"/>
      <c r="AC775" s="1" t="n"/>
      <c r="AD775" s="1" t="n"/>
      <c r="AE775" s="1" t="n"/>
    </row>
    <row r="776" ht="42" customHeight="1">
      <c r="A776" s="14">
        <f>IFERROR(__xludf.DUMMYFUNCTION("""COMPUTED_VALUE"""),45181)</f>
        <v/>
      </c>
      <c r="B776" s="1">
        <f>IFERROR(__xludf.DUMMYFUNCTION("""COMPUTED_VALUE"""),"ORG_2333")</f>
        <v/>
      </c>
      <c r="C776" s="1">
        <f>IFERROR(__xludf.DUMMYFUNCTION("""COMPUTED_VALUE"""),TRUE)</f>
        <v/>
      </c>
      <c r="D776" s="1">
        <f>IFERROR(__xludf.DUMMYFUNCTION("""COMPUTED_VALUE"""),"StudentLINK")</f>
        <v/>
      </c>
      <c r="E776" s="15">
        <f>IFERROR(__xludf.DUMMYFUNCTION("""COMPUTED_VALUE"""),"www.studentlink.it")</f>
        <v/>
      </c>
      <c r="F776" s="1">
        <f>IFERROR(__xludf.DUMMYFUNCTION("""COMPUTED_VALUE"""),"StudentLINK is identified as an aggregator of services and functions useful to the student in order to speed up the integration process and have all the information he or she needs, instantly, finding a real point of reference.")</f>
        <v/>
      </c>
      <c r="G776" s="1">
        <f>IFERROR(__xludf.DUMMYFUNCTION("""COMPUTED_VALUE"""),"EdTech Italia")</f>
        <v/>
      </c>
      <c r="H776" s="1" t="n"/>
      <c r="I776" s="1">
        <f>IFERROR(__xludf.DUMMYFUNCTION("""COMPUTED_VALUE"""),"marco.larocca@studentlink.it")</f>
        <v/>
      </c>
      <c r="J776" s="1">
        <f>IFERROR(__xludf.DUMMYFUNCTION("""COMPUTED_VALUE"""),"3889369346")</f>
        <v/>
      </c>
      <c r="K776" s="1">
        <f>IFERROR(__xludf.DUMMYFUNCTION("""COMPUTED_VALUE"""),"LEGNANO")</f>
        <v/>
      </c>
      <c r="L776" s="1">
        <f>IFERROR(__xludf.DUMMYFUNCTION("""COMPUTED_VALUE"""),"Italy")</f>
        <v/>
      </c>
      <c r="M776" s="1">
        <f>IFERROR(__xludf.DUMMYFUNCTION("""COMPUTED_VALUE"""),"Italy")</f>
        <v/>
      </c>
      <c r="N776" s="1">
        <f>IFERROR(__xludf.DUMMYFUNCTION("""COMPUTED_VALUE"""),"0 to 10")</f>
        <v/>
      </c>
      <c r="O776" s="1">
        <f>IFERROR(__xludf.DUMMYFUNCTION("""COMPUTED_VALUE"""),"Business to Business, Business to Consumer, Business to Government, Business to Schools")</f>
        <v/>
      </c>
      <c r="P776" s="1">
        <f>IFERROR(__xludf.DUMMYFUNCTION("""COMPUTED_VALUE"""),"Secondary Education, Higher Education")</f>
        <v/>
      </c>
      <c r="Q776" s="1">
        <f>IFERROR(__xludf.DUMMYFUNCTION("""COMPUTED_VALUE"""),"Student interfacing, System/Administrative")</f>
        <v/>
      </c>
      <c r="R776" s="15">
        <f>IFERROR(__xludf.DUMMYFUNCTION("""COMPUTED_VALUE"""),"https://www.instagram.com/studentlink_ita/")</f>
        <v/>
      </c>
      <c r="S776" s="1" t="n"/>
      <c r="T776" s="15">
        <f>IFERROR(__xludf.DUMMYFUNCTION("""COMPUTED_VALUE"""),"https://www.linkedin.com/company/studentlinkita/?viewAsMember=true")</f>
        <v/>
      </c>
      <c r="U776" s="1">
        <f>IFERROR(__xludf.DUMMYFUNCTION("""COMPUTED_VALUE"""),"StudentLINK")</f>
        <v/>
      </c>
      <c r="V776" s="1">
        <f>IFERROR(__xludf.DUMMYFUNCTION("""COMPUTED_VALUE"""),"StudentLINK is a social network that aims to go to meet the needs and requirements that characterize the student from entry to exit from the university world. The main features are:
o Content Dashboard
o Free Sharing of Learning Materials
o Tutoring and S"&amp;"upport
o Real Estate Network and Interactive Map
o Car Pooling
o Social Events
o Alumni Section")</f>
        <v/>
      </c>
      <c r="W776" s="1" t="n"/>
      <c r="X776" s="1" t="n"/>
      <c r="Y776" s="15">
        <f>IFERROR(__xludf.DUMMYFUNCTION("""COMPUTED_VALUE"""),"https://drive.google.com/uc?export=view&amp;id=1Q_s-CMGEQWUlgcRM2GpSqqCb-EILYK-L")</f>
        <v/>
      </c>
      <c r="Z776" s="1">
        <f>IFERROR(__xludf.DUMMYFUNCTION("""COMPUTED_VALUE"""),"Unverified")</f>
        <v/>
      </c>
      <c r="AA776" s="1" t="n"/>
      <c r="AB776" s="1" t="n"/>
      <c r="AC776" s="1" t="n"/>
      <c r="AD776" s="1" t="n"/>
      <c r="AE776" s="1" t="n"/>
    </row>
    <row r="777" ht="42" customHeight="1">
      <c r="A777" s="14">
        <f>IFERROR(__xludf.DUMMYFUNCTION("""COMPUTED_VALUE"""),45181)</f>
        <v/>
      </c>
      <c r="B777" s="1">
        <f>IFERROR(__xludf.DUMMYFUNCTION("""COMPUTED_VALUE"""),"ORG_2062")</f>
        <v/>
      </c>
      <c r="C777" s="1">
        <f>IFERROR(__xludf.DUMMYFUNCTION("""COMPUTED_VALUE"""),TRUE)</f>
        <v/>
      </c>
      <c r="D777" s="1">
        <f>IFERROR(__xludf.DUMMYFUNCTION("""COMPUTED_VALUE"""),"Omniscol")</f>
        <v/>
      </c>
      <c r="E777" s="15">
        <f>IFERROR(__xludf.DUMMYFUNCTION("""COMPUTED_VALUE"""),"www.omniscol.com")</f>
        <v/>
      </c>
      <c r="F777" s="1">
        <f>IFERROR(__xludf.DUMMYFUNCTION("""COMPUTED_VALUE"""),"Omniscol provides schools with a unique fully online tool to generate and manage timetables and absences. It's simple and intuitive, yet very powerful. Our fast algorithm can solve and optimize the most complex scheduling problems. Our user interface allo"&amp;"ws dealing with conflicts or teacher availabilities, and show you available teachers and rooms for daily management. Advanced statistics facilitate the supervision of your school. We deal with all sorts of timetables, for K12, higher education, or trainin"&amp;"g centers (as a calendar). It's very easy to integrate into your current information system, to export (and import) to Excel or iCal.")</f>
        <v/>
      </c>
      <c r="G777" s="1">
        <f>IFERROR(__xludf.DUMMYFUNCTION("""COMPUTED_VALUE"""),"EdTech France")</f>
        <v/>
      </c>
      <c r="H777" s="1" t="n"/>
      <c r="I777" s="1">
        <f>IFERROR(__xludf.DUMMYFUNCTION("""COMPUTED_VALUE"""),"contact@omniscol.com")</f>
        <v/>
      </c>
      <c r="J777" s="1">
        <f>IFERROR(__xludf.DUMMYFUNCTION("""COMPUTED_VALUE"""),"+33 186 656 984")</f>
        <v/>
      </c>
      <c r="K777" s="1">
        <f>IFERROR(__xludf.DUMMYFUNCTION("""COMPUTED_VALUE"""),"Paris")</f>
        <v/>
      </c>
      <c r="L777" s="1">
        <f>IFERROR(__xludf.DUMMYFUNCTION("""COMPUTED_VALUE"""),"France")</f>
        <v/>
      </c>
      <c r="M777" s="1">
        <f>IFERROR(__xludf.DUMMYFUNCTION("""COMPUTED_VALUE"""),"France, Italy, Kazakhstan, Norway, United Kingdom")</f>
        <v/>
      </c>
      <c r="N777" s="1">
        <f>IFERROR(__xludf.DUMMYFUNCTION("""COMPUTED_VALUE"""),"0 to 10")</f>
        <v/>
      </c>
      <c r="O777" s="1">
        <f>IFERROR(__xludf.DUMMYFUNCTION("""COMPUTED_VALUE"""),"Business to Business, Business to Government, Business to Schools")</f>
        <v/>
      </c>
      <c r="P777" s="1">
        <f>IFERROR(__xludf.DUMMYFUNCTION("""COMPUTED_VALUE"""),"Early childhood development (0-5 years), Primary Education, Secondary Education, Higher Education, Corporate Training, Lifelong learning/Adult education")</f>
        <v/>
      </c>
      <c r="Q777" s="1">
        <f>IFERROR(__xludf.DUMMYFUNCTION("""COMPUTED_VALUE"""),"System/Administrative, Student interfacing, Teacher interfacing")</f>
        <v/>
      </c>
      <c r="R777" s="15">
        <f>IFERROR(__xludf.DUMMYFUNCTION("""COMPUTED_VALUE"""),"https://www.instagram.com/omniscol/")</f>
        <v/>
      </c>
      <c r="S777" s="15">
        <f>IFERROR(__xludf.DUMMYFUNCTION("""COMPUTED_VALUE"""),"https://twitter.com/omniscol")</f>
        <v/>
      </c>
      <c r="T777" s="15">
        <f>IFERROR(__xludf.DUMMYFUNCTION("""COMPUTED_VALUE"""),"https://www.linkedin.com/company/omniscol")</f>
        <v/>
      </c>
      <c r="U777" s="1">
        <f>IFERROR(__xludf.DUMMYFUNCTION("""COMPUTED_VALUE"""),"Omniscol")</f>
        <v/>
      </c>
      <c r="V777" s="1">
        <f>IFERROR(__xludf.DUMMYFUNCTION("""COMPUTED_VALUE"""),"Timetable software, fully online, intuitive &amp; powerful, for all kinds of schools or training centers, and all kinds of schedules.")</f>
        <v/>
      </c>
      <c r="W777" s="1" t="n"/>
      <c r="X777" s="1" t="n"/>
      <c r="Y777" s="15">
        <f>IFERROR(__xludf.DUMMYFUNCTION("""COMPUTED_VALUE"""),"https://drive.google.com/uc?export=view&amp;id=1UmzTkbJ0pht1WtBI2g4ZfTpKn9m__Fgd")</f>
        <v/>
      </c>
      <c r="Z777" s="1">
        <f>IFERROR(__xludf.DUMMYFUNCTION("""COMPUTED_VALUE"""),"Unverified")</f>
        <v/>
      </c>
      <c r="AA777" s="1" t="n"/>
      <c r="AB777" s="1" t="n"/>
      <c r="AC777" s="1" t="n"/>
      <c r="AD777" s="1" t="n"/>
      <c r="AE777" s="1" t="n"/>
    </row>
    <row r="778" ht="42" customHeight="1">
      <c r="A778" s="14">
        <f>IFERROR(__xludf.DUMMYFUNCTION("""COMPUTED_VALUE"""),45181)</f>
        <v/>
      </c>
      <c r="B778" s="1">
        <f>IFERROR(__xludf.DUMMYFUNCTION("""COMPUTED_VALUE"""),"ORG_1969")</f>
        <v/>
      </c>
      <c r="C778" s="1">
        <f>IFERROR(__xludf.DUMMYFUNCTION("""COMPUTED_VALUE"""),TRUE)</f>
        <v/>
      </c>
      <c r="D778" s="1">
        <f>IFERROR(__xludf.DUMMYFUNCTION("""COMPUTED_VALUE"""),"MinnaLearn")</f>
        <v/>
      </c>
      <c r="E778" s="15">
        <f>IFERROR(__xludf.DUMMYFUNCTION("""COMPUTED_VALUE"""),"https://www.minnalearn.com/")</f>
        <v/>
      </c>
      <c r="F778" s="1">
        <f>IFERROR(__xludf.DUMMYFUNCTION("""COMPUTED_VALUE"""),"MinnaLearn equips people for the future of work with the most useful online learning. From AI to entrepreneurship to agile methods, our educational tools guide nations, citizens, companies, and employees towards a more equitable, skilled, and enjoyable fu"&amp;"ture. Our Learning Groups combine the scalability of online training with the engagement of classrooms. MinnaLearn is known especially for the award winning Elements of AI online course conducted together with the University of Helsinki.")</f>
        <v/>
      </c>
      <c r="G778" s="1">
        <f>IFERROR(__xludf.DUMMYFUNCTION("""COMPUTED_VALUE"""),"EdTech Finland")</f>
        <v/>
      </c>
      <c r="H778" s="1" t="n"/>
      <c r="I778" s="1" t="n"/>
      <c r="J778" s="1" t="n"/>
      <c r="K778" s="1">
        <f>IFERROR(__xludf.DUMMYFUNCTION("""COMPUTED_VALUE"""),"HELSINKI")</f>
        <v/>
      </c>
      <c r="L778" s="1">
        <f>IFERROR(__xludf.DUMMYFUNCTION("""COMPUTED_VALUE"""),"Finland")</f>
        <v/>
      </c>
      <c r="M778" s="1">
        <f>IFERROR(__xludf.DUMMYFUNCTION("""COMPUTED_VALUE"""),"Austria, Belgium, Croatia, Czechia, Denmark, Estonia, Finland, France, Germany, Greece, Hungary, Iceland, Ireland, Italy, Latvia, Lithuania, Malta, Netherlands, Norway, Poland, Portugal, Slovakia, Slovenia, Spain, Sweden, Switzerland")</f>
        <v/>
      </c>
      <c r="N778" s="1">
        <f>IFERROR(__xludf.DUMMYFUNCTION("""COMPUTED_VALUE"""),"11 to 50")</f>
        <v/>
      </c>
      <c r="O778" s="1">
        <f>IFERROR(__xludf.DUMMYFUNCTION("""COMPUTED_VALUE"""),"Business to Business, Business to Consumer, Business to Government")</f>
        <v/>
      </c>
      <c r="P778" s="1">
        <f>IFERROR(__xludf.DUMMYFUNCTION("""COMPUTED_VALUE"""),"Higher Education, Corporate Training, Lifelong learning/Adult education")</f>
        <v/>
      </c>
      <c r="Q778" s="1">
        <f>IFERROR(__xludf.DUMMYFUNCTION("""COMPUTED_VALUE"""),"Student interfacing, System/Administrative")</f>
        <v/>
      </c>
      <c r="R778" s="1" t="n"/>
      <c r="S778" s="1" t="n"/>
      <c r="T778" s="1" t="n"/>
      <c r="U778" s="1" t="n"/>
      <c r="V778" s="1" t="n"/>
      <c r="W778" s="1" t="n"/>
      <c r="X778" s="1" t="n"/>
      <c r="Y778" s="15">
        <f>IFERROR(__xludf.DUMMYFUNCTION("""COMPUTED_VALUE"""),"https://drive.google.com/uc?export=view&amp;id=1LWlcMZcH8IAHVrH__vqdI-qNvyWHZZPd")</f>
        <v/>
      </c>
      <c r="Z778" s="1">
        <f>IFERROR(__xludf.DUMMYFUNCTION("""COMPUTED_VALUE"""),"Unverified")</f>
        <v/>
      </c>
      <c r="AA778" s="1" t="n"/>
      <c r="AB778" s="1" t="n"/>
      <c r="AC778" s="1" t="n"/>
      <c r="AD778" s="1" t="n"/>
      <c r="AE778" s="1" t="n"/>
    </row>
    <row r="779" ht="42" customHeight="1">
      <c r="A779" s="14">
        <f>IFERROR(__xludf.DUMMYFUNCTION("""COMPUTED_VALUE"""),45181)</f>
        <v/>
      </c>
      <c r="B779" s="1">
        <f>IFERROR(__xludf.DUMMYFUNCTION("""COMPUTED_VALUE"""),"ORG_1990")</f>
        <v/>
      </c>
      <c r="C779" s="1">
        <f>IFERROR(__xludf.DUMMYFUNCTION("""COMPUTED_VALUE"""),TRUE)</f>
        <v/>
      </c>
      <c r="D779" s="1">
        <f>IFERROR(__xludf.DUMMYFUNCTION("""COMPUTED_VALUE"""),"Motivum Games")</f>
        <v/>
      </c>
      <c r="E779" s="15">
        <f>IFERROR(__xludf.DUMMYFUNCTION("""COMPUTED_VALUE"""),"https://www.linkedin.com/company/motivum-games/")</f>
        <v/>
      </c>
      <c r="F779" s="1">
        <f>IFERROR(__xludf.DUMMYFUNCTION("""COMPUTED_VALUE"""),"Motivum Games is developing an exergaming app called PAWS. The aim is to provide context and extra motivation for the users in order to increase their physical activity level and thereby have a positive impact on their health.")</f>
        <v/>
      </c>
      <c r="G779" s="1">
        <f>IFERROR(__xludf.DUMMYFUNCTION("""COMPUTED_VALUE"""),"EdTech Estonia")</f>
        <v/>
      </c>
      <c r="H779" s="1" t="n"/>
      <c r="I779" s="1">
        <f>IFERROR(__xludf.DUMMYFUNCTION("""COMPUTED_VALUE"""),"raul.kubarsepp@gmail.com")</f>
        <v/>
      </c>
      <c r="J779" s="1">
        <f>IFERROR(__xludf.DUMMYFUNCTION("""COMPUTED_VALUE"""),"56666565")</f>
        <v/>
      </c>
      <c r="K779" s="1">
        <f>IFERROR(__xludf.DUMMYFUNCTION("""COMPUTED_VALUE"""),"Tartu")</f>
        <v/>
      </c>
      <c r="L779" s="1">
        <f>IFERROR(__xludf.DUMMYFUNCTION("""COMPUTED_VALUE"""),"Estonia")</f>
        <v/>
      </c>
      <c r="M779" s="1">
        <f>IFERROR(__xludf.DUMMYFUNCTION("""COMPUTED_VALUE"""),"Estonia")</f>
        <v/>
      </c>
      <c r="N779" s="1">
        <f>IFERROR(__xludf.DUMMYFUNCTION("""COMPUTED_VALUE"""),"0 to 10")</f>
        <v/>
      </c>
      <c r="O779" s="1">
        <f>IFERROR(__xludf.DUMMYFUNCTION("""COMPUTED_VALUE"""),"Business to Business")</f>
        <v/>
      </c>
      <c r="P779" s="1">
        <f>IFERROR(__xludf.DUMMYFUNCTION("""COMPUTED_VALUE"""),"Primary Education, Secondary Education, Higher Education, Corporate Training, Lifelong learning/Adult education")</f>
        <v/>
      </c>
      <c r="Q779" s="1">
        <f>IFERROR(__xludf.DUMMYFUNCTION("""COMPUTED_VALUE"""),"System/Administrative, Student interfacing, Teacher interfacing")</f>
        <v/>
      </c>
      <c r="R779" s="1" t="n"/>
      <c r="S779" s="1" t="n"/>
      <c r="T779" s="1" t="n"/>
      <c r="U779" s="1" t="n"/>
      <c r="V779" s="1" t="n"/>
      <c r="W779" s="1" t="n"/>
      <c r="X779" s="1" t="n"/>
      <c r="Y779" s="15">
        <f>IFERROR(__xludf.DUMMYFUNCTION("""COMPUTED_VALUE"""),"https://drive.google.com/uc?export=view&amp;id=1YGz0APIElIvSE_Sdt7u6RVXgkTwOW__j")</f>
        <v/>
      </c>
      <c r="Z779" s="1">
        <f>IFERROR(__xludf.DUMMYFUNCTION("""COMPUTED_VALUE"""),"Unverified")</f>
        <v/>
      </c>
      <c r="AA779" s="1" t="n"/>
      <c r="AB779" s="1" t="n"/>
      <c r="AC779" s="1" t="n"/>
      <c r="AD779" s="1" t="n"/>
      <c r="AE779" s="1" t="n"/>
    </row>
    <row r="780" ht="42" customHeight="1">
      <c r="A780" s="14">
        <f>IFERROR(__xludf.DUMMYFUNCTION("""COMPUTED_VALUE"""),45181)</f>
        <v/>
      </c>
      <c r="B780" s="1">
        <f>IFERROR(__xludf.DUMMYFUNCTION("""COMPUTED_VALUE"""),"ORG_2030")</f>
        <v/>
      </c>
      <c r="C780" s="1">
        <f>IFERROR(__xludf.DUMMYFUNCTION("""COMPUTED_VALUE"""),TRUE)</f>
        <v/>
      </c>
      <c r="D780" s="1">
        <f>IFERROR(__xludf.DUMMYFUNCTION("""COMPUTED_VALUE"""),"NeuKurs Microlearning")</f>
        <v/>
      </c>
      <c r="E780" s="15">
        <f>IFERROR(__xludf.DUMMYFUNCTION("""COMPUTED_VALUE"""),"www.neukurs.com")</f>
        <v/>
      </c>
      <c r="F780" s="1">
        <f>IFERROR(__xludf.DUMMYFUNCTION("""COMPUTED_VALUE"""),"NeuKurs - the microlearning company 
NeuKurs activates your knowledge for effective trainings and powerful sales. 
NeuKurs delivers methodically and didactically optimal trainings for your target group: microlearning videos, audios and on high quality pa"&amp;"per.
Our products
LMS Content in Articulate Rise or Storyline
Content library with 90+ ready-to-use eLearnings
Microlearning workshops for internal knowledge building
Software for easy and fast hosting of your content")</f>
        <v/>
      </c>
      <c r="G780" s="1">
        <f>IFERROR(__xludf.DUMMYFUNCTION("""COMPUTED_VALUE"""),"EdTech Austria")</f>
        <v/>
      </c>
      <c r="H780" s="1" t="n"/>
      <c r="I780" s="1">
        <f>IFERROR(__xludf.DUMMYFUNCTION("""COMPUTED_VALUE"""),"hello@neukurs.com")</f>
        <v/>
      </c>
      <c r="J780" s="1">
        <f>IFERROR(__xludf.DUMMYFUNCTION("""COMPUTED_VALUE"""),"+4319621122")</f>
        <v/>
      </c>
      <c r="K780" s="1">
        <f>IFERROR(__xludf.DUMMYFUNCTION("""COMPUTED_VALUE"""),"VIENNA")</f>
        <v/>
      </c>
      <c r="L780" s="1">
        <f>IFERROR(__xludf.DUMMYFUNCTION("""COMPUTED_VALUE"""),"Austria")</f>
        <v/>
      </c>
      <c r="M780" s="1">
        <f>IFERROR(__xludf.DUMMYFUNCTION("""COMPUTED_VALUE"""),"Austria, Czechia, Germany, Poland, Switzerland")</f>
        <v/>
      </c>
      <c r="N780" s="1">
        <f>IFERROR(__xludf.DUMMYFUNCTION("""COMPUTED_VALUE"""),"0 to 10")</f>
        <v/>
      </c>
      <c r="O780" s="1">
        <f>IFERROR(__xludf.DUMMYFUNCTION("""COMPUTED_VALUE"""),"Business to Business, Business to Consumer, Business to Government, Business to Schools")</f>
        <v/>
      </c>
      <c r="P780" s="1">
        <f>IFERROR(__xludf.DUMMYFUNCTION("""COMPUTED_VALUE"""),"Higher Education, Corporate Training, Lifelong learning/Adult education")</f>
        <v/>
      </c>
      <c r="Q780" s="1">
        <f>IFERROR(__xludf.DUMMYFUNCTION("""COMPUTED_VALUE"""),"Teacher interfacing, System/Administrative")</f>
        <v/>
      </c>
      <c r="R780" s="15">
        <f>IFERROR(__xludf.DUMMYFUNCTION("""COMPUTED_VALUE"""),"https://www.instagram.com/neukurs/?hl=de")</f>
        <v/>
      </c>
      <c r="S780" s="1" t="n"/>
      <c r="T780" s="15">
        <f>IFERROR(__xludf.DUMMYFUNCTION("""COMPUTED_VALUE"""),"https://www.linkedin.com/company/neukurs/")</f>
        <v/>
      </c>
      <c r="U780" s="1">
        <f>IFERROR(__xludf.DUMMYFUNCTION("""COMPUTED_VALUE"""),"eLearning courses")</f>
        <v/>
      </c>
      <c r="V780" s="1">
        <f>IFERROR(__xludf.DUMMYFUNCTION("""COMPUTED_VALUE"""),"Learning videos from top experts
Choose from more than 2,000 microlearnings in different forms: Learning and explainer videos, illustrations, texts, podcasts, and transfer materials.
The high-quality online trainings can be obtained as a license for your"&amp;" LMS or directly via our online learning platform.
On request, you can receive all content as a finished Scorm 1.2 package, including didactic preparation.")</f>
        <v/>
      </c>
      <c r="W780" s="1">
        <f>IFERROR(__xludf.DUMMYFUNCTION("""COMPUTED_VALUE"""),"Content Design")</f>
        <v/>
      </c>
      <c r="X780" s="1">
        <f>IFERROR(__xludf.DUMMYFUNCTION("""COMPUTED_VALUE"""),"Didactic microlearnings transform content into attractive knowledge nuggets. 
We activate contents with storytelling, memory anchors, attention stimuli and many more tools. This is how we make training attractive and effective.
Microlearning Video, Audio"&amp;", Podcast")</f>
        <v/>
      </c>
      <c r="Y780" s="15">
        <f>IFERROR(__xludf.DUMMYFUNCTION("""COMPUTED_VALUE"""),"https://drive.google.com/uc?export=view&amp;id=1DX0gooIYeIEei_UM52AtLhBtxUMQC6-4")</f>
        <v/>
      </c>
      <c r="Z780" s="1">
        <f>IFERROR(__xludf.DUMMYFUNCTION("""COMPUTED_VALUE"""),"Unverified")</f>
        <v/>
      </c>
      <c r="AA780" s="1" t="n"/>
      <c r="AB780" s="1" t="n"/>
      <c r="AC780" s="1" t="n"/>
      <c r="AD780" s="1" t="n"/>
      <c r="AE780" s="1" t="n"/>
    </row>
    <row r="781" ht="42" customHeight="1">
      <c r="A781" s="14">
        <f>IFERROR(__xludf.DUMMYFUNCTION("""COMPUTED_VALUE"""),45181)</f>
        <v/>
      </c>
      <c r="B781" s="1">
        <f>IFERROR(__xludf.DUMMYFUNCTION("""COMPUTED_VALUE"""),"ORG_1052")</f>
        <v/>
      </c>
      <c r="C781" s="1">
        <f>IFERROR(__xludf.DUMMYFUNCTION("""COMPUTED_VALUE"""),TRUE)</f>
        <v/>
      </c>
      <c r="D781" s="1">
        <f>IFERROR(__xludf.DUMMYFUNCTION("""COMPUTED_VALUE"""),"All Right")</f>
        <v/>
      </c>
      <c r="E781" s="15">
        <f>IFERROR(__xludf.DUMMYFUNCTION("""COMPUTED_VALUE"""),"allright.com")</f>
        <v/>
      </c>
      <c r="F781" s="1">
        <f>IFERROR(__xludf.DUMMYFUNCTION("""COMPUTED_VALUE"""),"All Right is online English school for kids from Ukraine. Our mission is to provide children around the world with access to quality education. We offer our students a personalized gamified program based on the interests of the child. Each student can cho"&amp;"ose what materials to study - Minecraft, dinosaurs, travel, sports or the academy of magic.
Our program is based on the Cambridge methodology. Lessons take place in an interactive classroom or mobile app. The mobile application also allows students to con"&amp;"solidate the material covered in the lesson, memorize new words in the game format and improve pronunciation.")</f>
        <v/>
      </c>
      <c r="G781" s="1">
        <f>IFERROR(__xludf.DUMMYFUNCTION("""COMPUTED_VALUE"""),"I'm not part of any EdTech association")</f>
        <v/>
      </c>
      <c r="H781" s="1" t="n"/>
      <c r="I781" s="1">
        <f>IFERROR(__xludf.DUMMYFUNCTION("""COMPUTED_VALUE"""),"support@allright.com")</f>
        <v/>
      </c>
      <c r="J781" s="1">
        <f>IFERROR(__xludf.DUMMYFUNCTION("""COMPUTED_VALUE"""),"+48 22 602 25 13")</f>
        <v/>
      </c>
      <c r="K781" s="1">
        <f>IFERROR(__xludf.DUMMYFUNCTION("""COMPUTED_VALUE"""),"BELGRADE")</f>
        <v/>
      </c>
      <c r="L781" s="1">
        <f>IFERROR(__xludf.DUMMYFUNCTION("""COMPUTED_VALUE"""),"Serbia")</f>
        <v/>
      </c>
      <c r="M781" s="1">
        <f>IFERROR(__xludf.DUMMYFUNCTION("""COMPUTED_VALUE"""),"Czechia, Denmark, France, Germany, Greece, Italy, Poland, Portugal, Romania, Slovakia, Spain, Turkey, Ukraine")</f>
        <v/>
      </c>
      <c r="N781" s="1">
        <f>IFERROR(__xludf.DUMMYFUNCTION("""COMPUTED_VALUE"""),"100+")</f>
        <v/>
      </c>
      <c r="O781" s="1">
        <f>IFERROR(__xludf.DUMMYFUNCTION("""COMPUTED_VALUE"""),"Business to Business")</f>
        <v/>
      </c>
      <c r="P781" s="1">
        <f>IFERROR(__xludf.DUMMYFUNCTION("""COMPUTED_VALUE"""),"Early childhood development (0-5 years), Primary Education")</f>
        <v/>
      </c>
      <c r="Q781" s="1">
        <f>IFERROR(__xludf.DUMMYFUNCTION("""COMPUTED_VALUE"""),"System/Administrative, Student interfacing")</f>
        <v/>
      </c>
      <c r="R781" s="1" t="n"/>
      <c r="S781" s="1" t="n"/>
      <c r="T781" s="1" t="n"/>
      <c r="U781" s="1" t="n"/>
      <c r="V781" s="1" t="n"/>
      <c r="W781" s="1" t="n"/>
      <c r="X781" s="1" t="n"/>
      <c r="Y781" s="1" t="n"/>
      <c r="Z781" s="1">
        <f>IFERROR(__xludf.DUMMYFUNCTION("""COMPUTED_VALUE"""),"Unverified")</f>
        <v/>
      </c>
      <c r="AA781" s="1" t="n"/>
      <c r="AB781" s="1" t="n"/>
      <c r="AC781" s="1" t="n"/>
      <c r="AD781" s="1" t="n"/>
      <c r="AE781" s="1" t="n"/>
    </row>
    <row r="782" ht="42" customHeight="1">
      <c r="A782" s="14">
        <f>IFERROR(__xludf.DUMMYFUNCTION("""COMPUTED_VALUE"""),45181)</f>
        <v/>
      </c>
      <c r="B782" s="1">
        <f>IFERROR(__xludf.DUMMYFUNCTION("""COMPUTED_VALUE"""),"ORG_2419")</f>
        <v/>
      </c>
      <c r="C782" s="1">
        <f>IFERROR(__xludf.DUMMYFUNCTION("""COMPUTED_VALUE"""),TRUE)</f>
        <v/>
      </c>
      <c r="D782" s="1">
        <f>IFERROR(__xludf.DUMMYFUNCTION("""COMPUTED_VALUE"""),"Tomorrows University of Applied Sciences")</f>
        <v/>
      </c>
      <c r="E782" s="15">
        <f>IFERROR(__xludf.DUMMYFUNCTION("""COMPUTED_VALUE"""),"https://www.tomorrow.university/")</f>
        <v/>
      </c>
      <c r="F782" s="1">
        <f>IFERROR(__xludf.DUMMYFUNCTION("""COMPUTED_VALUE"""),"Tomorrow University of Applied Sciences is the first startup University to be founded in Europe. It was founded in 2020 by serial entrepreneurs Christian Rebernik and Dr. Thomas Funke at the height of the pandemic to drastically change the future of educa"&amp;"tion. The University teaches students the 21st-century skills needed in the areas of sustainability, entrepreneurship, and technology through a revolutionary approach to education using a cutting-edge mobile-app. Apart from the academics and learning expe"&amp;"rience, there is a dedicated community of students, mentors, and industry experts who are consistently connecting and making an impact in the world and for our future.")</f>
        <v/>
      </c>
      <c r="G782" s="1">
        <f>IFERROR(__xludf.DUMMYFUNCTION("""COMPUTED_VALUE"""),"I'm not part of any EdTech association")</f>
        <v/>
      </c>
      <c r="H782" s="1" t="n"/>
      <c r="I782" s="1">
        <f>IFERROR(__xludf.DUMMYFUNCTION("""COMPUTED_VALUE"""),"info@tomorrowseducation.com")</f>
        <v/>
      </c>
      <c r="J782" s="1" t="n"/>
      <c r="K782" s="1">
        <f>IFERROR(__xludf.DUMMYFUNCTION("""COMPUTED_VALUE"""),"FRANKFURT AM MAIN")</f>
        <v/>
      </c>
      <c r="L782" s="1">
        <f>IFERROR(__xludf.DUMMYFUNCTION("""COMPUTED_VALUE"""),"Germany")</f>
        <v/>
      </c>
      <c r="M782" s="1">
        <f>IFERROR(__xludf.DUMMYFUNCTION("""COMPUTED_VALUE"""),"Albania, Andorra, Armenia, Austria, Belgium, Bulgaria, Croatia, Cyprus, Czechia, Denmark, Estonia, Finland, France, Georgia, Germany, Greece, Hungary, Iceland, Ireland, Italy, Latvia, Liechtenstein, Lithuania, Luxembourg, Malta, Montenegro, Netherlands, N"&amp;"orth Macedonia, Norway, Poland, Portugal, Romania, Russia, San Marino, Serbia, Slovakia, Slovenia, Spain, Sweden, Switzerland, Turkey, Ukraine, United Kingdom")</f>
        <v/>
      </c>
      <c r="N782" s="1">
        <f>IFERROR(__xludf.DUMMYFUNCTION("""COMPUTED_VALUE"""),"11 to 50")</f>
        <v/>
      </c>
      <c r="O782" s="1">
        <f>IFERROR(__xludf.DUMMYFUNCTION("""COMPUTED_VALUE"""),"Business to Consumer")</f>
        <v/>
      </c>
      <c r="P782" s="1">
        <f>IFERROR(__xludf.DUMMYFUNCTION("""COMPUTED_VALUE"""),"Higher Education")</f>
        <v/>
      </c>
      <c r="Q782" s="1">
        <f>IFERROR(__xludf.DUMMYFUNCTION("""COMPUTED_VALUE"""),"Student interfacing, Teacher interfacing, System/Administrative")</f>
        <v/>
      </c>
      <c r="R782" s="1" t="n"/>
      <c r="S782" s="1" t="n"/>
      <c r="T782" s="1" t="n"/>
      <c r="U782" s="1" t="n"/>
      <c r="V782" s="1" t="n"/>
      <c r="W782" s="1" t="n"/>
      <c r="X782" s="1" t="n"/>
      <c r="Y782" s="15">
        <f>IFERROR(__xludf.DUMMYFUNCTION("""COMPUTED_VALUE"""),"https://drive.google.com/uc?export=view&amp;id=12MQXfLPoWfWwEsopMf8ey1c-wZ2ZSqF4")</f>
        <v/>
      </c>
      <c r="Z782" s="1">
        <f>IFERROR(__xludf.DUMMYFUNCTION("""COMPUTED_VALUE"""),"Unverified")</f>
        <v/>
      </c>
      <c r="AA782" s="1" t="n"/>
      <c r="AB782" s="1" t="n"/>
      <c r="AC782" s="1" t="n"/>
      <c r="AD782" s="1" t="n"/>
      <c r="AE782" s="1" t="n"/>
    </row>
    <row r="783" ht="42" customHeight="1">
      <c r="A783" s="14">
        <f>IFERROR(__xludf.DUMMYFUNCTION("""COMPUTED_VALUE"""),45181)</f>
        <v/>
      </c>
      <c r="B783" s="1">
        <f>IFERROR(__xludf.DUMMYFUNCTION("""COMPUTED_VALUE"""),"ORG_1132")</f>
        <v/>
      </c>
      <c r="C783" s="1">
        <f>IFERROR(__xludf.DUMMYFUNCTION("""COMPUTED_VALUE"""),TRUE)</f>
        <v/>
      </c>
      <c r="D783" s="1">
        <f>IFERROR(__xludf.DUMMYFUNCTION("""COMPUTED_VALUE"""),"Azumuta")</f>
        <v/>
      </c>
      <c r="E783" s="15">
        <f>IFERROR(__xludf.DUMMYFUNCTION("""COMPUTED_VALUE"""),"https://www.azumuta.com/en/how-it-works/learning-management-system/")</f>
        <v/>
      </c>
      <c r="F783" s="1">
        <f>IFERROR(__xludf.DUMMYFUNCTION("""COMPUTED_VALUE"""),"Train your employees with digital work instructions and checklists, using images and video to document processes. Track operator skill level and gain instant visibility into the skill set of your workforce.
Bring employees onboard more efficiently with s"&amp;"elf-learning and on-the-job learning.")</f>
        <v/>
      </c>
      <c r="G783" s="1">
        <f>IFERROR(__xludf.DUMMYFUNCTION("""COMPUTED_VALUE"""),"I'm not part of any EdTech association")</f>
        <v/>
      </c>
      <c r="H783" s="1" t="n"/>
      <c r="I783" s="1" t="n"/>
      <c r="J783" s="1" t="n"/>
      <c r="K783" s="1">
        <f>IFERROR(__xludf.DUMMYFUNCTION("""COMPUTED_VALUE"""),"GHENT")</f>
        <v/>
      </c>
      <c r="L783" s="1">
        <f>IFERROR(__xludf.DUMMYFUNCTION("""COMPUTED_VALUE"""),"Belgium")</f>
        <v/>
      </c>
      <c r="M783" s="1">
        <f>IFERROR(__xludf.DUMMYFUNCTION("""COMPUTED_VALUE"""),"Belgium, Bulgaria, Croatia, Denmark, Finland, France, Germany, Greece, Hungary, Ireland, Italy, Luxembourg, Netherlands, Norway, Poland, Portugal, Slovakia, Slovenia, Spain, Sweden, Switzerland, Turkey, United Kingdom")</f>
        <v/>
      </c>
      <c r="N783" s="1">
        <f>IFERROR(__xludf.DUMMYFUNCTION("""COMPUTED_VALUE"""),"11 to 50")</f>
        <v/>
      </c>
      <c r="O783" s="1">
        <f>IFERROR(__xludf.DUMMYFUNCTION("""COMPUTED_VALUE"""),"Business to Business")</f>
        <v/>
      </c>
      <c r="P783" s="1">
        <f>IFERROR(__xludf.DUMMYFUNCTION("""COMPUTED_VALUE"""),"Corporate Training, Lifelong learning/Adult education")</f>
        <v/>
      </c>
      <c r="Q783" s="1">
        <f>IFERROR(__xludf.DUMMYFUNCTION("""COMPUTED_VALUE"""),"Teacher interfacing, Student interfacing, System/Administrative")</f>
        <v/>
      </c>
      <c r="R783" s="15">
        <f>IFERROR(__xludf.DUMMYFUNCTION("""COMPUTED_VALUE"""),"https://www.instagram.com/azumuta")</f>
        <v/>
      </c>
      <c r="S783" s="15">
        <f>IFERROR(__xludf.DUMMYFUNCTION("""COMPUTED_VALUE"""),"https://twitter.com/azumuta")</f>
        <v/>
      </c>
      <c r="T783" s="15">
        <f>IFERROR(__xludf.DUMMYFUNCTION("""COMPUTED_VALUE"""),"https://www.linkedin.com/company/azumuta/")</f>
        <v/>
      </c>
      <c r="U783" s="1">
        <f>IFERROR(__xludf.DUMMYFUNCTION("""COMPUTED_VALUE"""),"Azumuta")</f>
        <v/>
      </c>
      <c r="V783" s="1">
        <f>IFERROR(__xludf.DUMMYFUNCTION("""COMPUTED_VALUE"""),"Train your employees with digital work instructions and checklists, using images and video to document processes. Track operator skill level and gain instant visibility into the skill set of your workforce.
Bring employees onboard more efficiently with s"&amp;"elf-learning and on-the-job learning.")</f>
        <v/>
      </c>
      <c r="W783" s="1" t="n"/>
      <c r="X783" s="1" t="n"/>
      <c r="Y783" s="15">
        <f>IFERROR(__xludf.DUMMYFUNCTION("""COMPUTED_VALUE"""),"https://drive.google.com/uc?export=view&amp;id=1c3pBPGmkOwR9Dk3XSQe7ObvfVehdlli9")</f>
        <v/>
      </c>
      <c r="Z783" s="1">
        <f>IFERROR(__xludf.DUMMYFUNCTION("""COMPUTED_VALUE"""),"Unverified")</f>
        <v/>
      </c>
      <c r="AA783" s="1" t="n"/>
      <c r="AB783" s="1" t="n"/>
      <c r="AC783" s="1" t="n"/>
      <c r="AD783" s="1" t="n"/>
      <c r="AE783" s="1" t="n"/>
    </row>
    <row r="784" ht="42" customHeight="1">
      <c r="A784" s="14">
        <f>IFERROR(__xludf.DUMMYFUNCTION("""COMPUTED_VALUE"""),45181)</f>
        <v/>
      </c>
      <c r="B784" s="1">
        <f>IFERROR(__xludf.DUMMYFUNCTION("""COMPUTED_VALUE"""),"ORG_1844")</f>
        <v/>
      </c>
      <c r="C784" s="1">
        <f>IFERROR(__xludf.DUMMYFUNCTION("""COMPUTED_VALUE"""),TRUE)</f>
        <v/>
      </c>
      <c r="D784" s="1">
        <f>IFERROR(__xludf.DUMMYFUNCTION("""COMPUTED_VALUE"""),"LearnWorlds (CY) Ltd")</f>
        <v/>
      </c>
      <c r="E784" s="15">
        <f>IFERROR(__xludf.DUMMYFUNCTION("""COMPUTED_VALUE"""),"www.learnworlds.com")</f>
        <v/>
      </c>
      <c r="F784" s="1">
        <f>IFERROR(__xludf.DUMMYFUNCTION("""COMPUTED_VALUE"""),"LearnWorlds is a powerful, easy-to-use, and reliable training solution for individuals and enterprises.
A fully customizable, white-label solution to train employees and associates, educate customers, or sell online courses to a wide audience. Our cloud-b"&amp;"ased e-learning platform offers to Professionals, Entrepreneurs &amp; Training Managers a solution tailored to their specific needs and a team of experts to help achieve your goals.")</f>
        <v/>
      </c>
      <c r="G784" s="1">
        <f>IFERROR(__xludf.DUMMYFUNCTION("""COMPUTED_VALUE"""),"I'm not part of any EdTech association")</f>
        <v/>
      </c>
      <c r="H784" s="1" t="n"/>
      <c r="I784" s="1">
        <f>IFERROR(__xludf.DUMMYFUNCTION("""COMPUTED_VALUE"""),"hello@learnworlds.com")</f>
        <v/>
      </c>
      <c r="J784" s="1">
        <f>IFERROR(__xludf.DUMMYFUNCTION("""COMPUTED_VALUE"""),"35725880001")</f>
        <v/>
      </c>
      <c r="K784" s="1">
        <f>IFERROR(__xludf.DUMMYFUNCTION("""COMPUTED_VALUE"""),"LIMASSOL")</f>
        <v/>
      </c>
      <c r="L784" s="1">
        <f>IFERROR(__xludf.DUMMYFUNCTION("""COMPUTED_VALUE"""),"Cyprus")</f>
        <v/>
      </c>
      <c r="M78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784" s="1">
        <f>IFERROR(__xludf.DUMMYFUNCTION("""COMPUTED_VALUE"""),"100+")</f>
        <v/>
      </c>
      <c r="O784" s="1">
        <f>IFERROR(__xludf.DUMMYFUNCTION("""COMPUTED_VALUE"""),"Business to Business, Business to Consumer, Business to Government, Business to Schools")</f>
        <v/>
      </c>
      <c r="P784" s="1">
        <f>IFERROR(__xludf.DUMMYFUNCTION("""COMPUTED_VALUE"""),"Early childhood development (0-5 years), Primary Education, Secondary Education, Higher Education, Corporate Training, Lifelong learning/Adult education")</f>
        <v/>
      </c>
      <c r="Q784" s="1">
        <f>IFERROR(__xludf.DUMMYFUNCTION("""COMPUTED_VALUE"""),"System/Administrative, Student interfacing, Teacher interfacing")</f>
        <v/>
      </c>
      <c r="R784" s="1" t="n"/>
      <c r="S784" s="1" t="n"/>
      <c r="T784" s="1" t="n"/>
      <c r="U784" s="1" t="n"/>
      <c r="V784" s="1" t="n"/>
      <c r="W784" s="1" t="n"/>
      <c r="X784" s="1" t="n"/>
      <c r="Y784" s="1" t="n"/>
      <c r="Z784" s="1">
        <f>IFERROR(__xludf.DUMMYFUNCTION("""COMPUTED_VALUE"""),"Unverified")</f>
        <v/>
      </c>
      <c r="AA784" s="1" t="n"/>
      <c r="AB784" s="1" t="n"/>
      <c r="AC784" s="1" t="n"/>
      <c r="AD784" s="1" t="n"/>
      <c r="AE784" s="1" t="n"/>
    </row>
    <row r="785" ht="42" customHeight="1">
      <c r="A785" s="14">
        <f>IFERROR(__xludf.DUMMYFUNCTION("""COMPUTED_VALUE"""),45181)</f>
        <v/>
      </c>
      <c r="B785" s="1">
        <f>IFERROR(__xludf.DUMMYFUNCTION("""COMPUTED_VALUE"""),"ORG_1127")</f>
        <v/>
      </c>
      <c r="C785" s="1">
        <f>IFERROR(__xludf.DUMMYFUNCTION("""COMPUTED_VALUE"""),TRUE)</f>
        <v/>
      </c>
      <c r="D785" s="1">
        <f>IFERROR(__xludf.DUMMYFUNCTION("""COMPUTED_VALUE"""),"Automatus")</f>
        <v/>
      </c>
      <c r="E785" s="15">
        <f>IFERROR(__xludf.DUMMYFUNCTION("""COMPUTED_VALUE"""),"https://automatus.be/")</f>
        <v/>
      </c>
      <c r="F785" s="1">
        <f>IFERROR(__xludf.DUMMYFUNCTION("""COMPUTED_VALUE"""),"Super adaptive &amp; fun exercises for primary school kids that help closing the learning gap")</f>
        <v/>
      </c>
      <c r="G785" s="1">
        <f>IFERROR(__xludf.DUMMYFUNCTION("""COMPUTED_VALUE"""),"edtechstation")</f>
        <v/>
      </c>
      <c r="H785" s="1">
        <f>IFERROR(__xludf.DUMMYFUNCTION("""COMPUTED_VALUE"""),"Dutch")</f>
        <v/>
      </c>
      <c r="I785" s="1">
        <f>IFERROR(__xludf.DUMMYFUNCTION("""COMPUTED_VALUE"""),"hi@automatus.be")</f>
        <v/>
      </c>
      <c r="J785" s="1">
        <f>IFERROR(__xludf.DUMMYFUNCTION("""COMPUTED_VALUE"""),"+32 471 45 81 30")</f>
        <v/>
      </c>
      <c r="K785" s="1">
        <f>IFERROR(__xludf.DUMMYFUNCTION("""COMPUTED_VALUE"""),"Hasselt")</f>
        <v/>
      </c>
      <c r="L785" s="1">
        <f>IFERROR(__xludf.DUMMYFUNCTION("""COMPUTED_VALUE"""),"Belgium")</f>
        <v/>
      </c>
      <c r="M785" s="1">
        <f>IFERROR(__xludf.DUMMYFUNCTION("""COMPUTED_VALUE"""),"Belgium, Netherlands")</f>
        <v/>
      </c>
      <c r="N785" s="1">
        <f>IFERROR(__xludf.DUMMYFUNCTION("""COMPUTED_VALUE"""),"0 to 2")</f>
        <v/>
      </c>
      <c r="O785" s="1">
        <f>IFERROR(__xludf.DUMMYFUNCTION("""COMPUTED_VALUE"""),"Business to Schools")</f>
        <v/>
      </c>
      <c r="P785" s="1">
        <f>IFERROR(__xludf.DUMMYFUNCTION("""COMPUTED_VALUE"""),"Primary Education")</f>
        <v/>
      </c>
      <c r="Q785" s="1">
        <f>IFERROR(__xludf.DUMMYFUNCTION("""COMPUTED_VALUE"""),"Teacher interfacing")</f>
        <v/>
      </c>
      <c r="R785" s="1" t="n"/>
      <c r="S785" s="1" t="n"/>
      <c r="T785" s="15">
        <f>IFERROR(__xludf.DUMMYFUNCTION("""COMPUTED_VALUE"""),"https://www.linkedin.com/company/automatus-edu/")</f>
        <v/>
      </c>
      <c r="U785" s="1">
        <f>IFERROR(__xludf.DUMMYFUNCTION("""COMPUTED_VALUE"""),"Automatus")</f>
        <v/>
      </c>
      <c r="V785" s="1">
        <f>IFERROR(__xludf.DUMMYFUNCTION("""COMPUTED_VALUE"""),"Conquer the lands of Automatus together!
Automatus is a new app to train math fluency in a playful way.
The whole class needs to work together to conquer the lands of Automatus.
Through adaptive target times every child can help his class to become the"&amp;" ruler of automatus.
Do you dare to take on this challenge? Start your free trail today!")</f>
        <v/>
      </c>
      <c r="W785" s="1" t="n"/>
      <c r="X785" s="1" t="n"/>
      <c r="Y785" s="15">
        <f>IFERROR(__xludf.DUMMYFUNCTION("""COMPUTED_VALUE"""),"https://drive.google.com/uc?export=view&amp;id=1drAXtOuKAjv_fNf8QSXIMGJpttPiRC14")</f>
        <v/>
      </c>
      <c r="Z785" s="1">
        <f>IFERROR(__xludf.DUMMYFUNCTION("""COMPUTED_VALUE"""),"Unverified")</f>
        <v/>
      </c>
      <c r="AA785" s="1" t="n"/>
      <c r="AB785" s="1" t="n"/>
      <c r="AC785" s="1" t="n"/>
      <c r="AD785" s="1" t="n"/>
      <c r="AE785" s="1" t="n"/>
    </row>
    <row r="786" ht="42" customHeight="1">
      <c r="A786" s="14">
        <f>IFERROR(__xludf.DUMMYFUNCTION("""COMPUTED_VALUE"""),45181)</f>
        <v/>
      </c>
      <c r="B786" s="1">
        <f>IFERROR(__xludf.DUMMYFUNCTION("""COMPUTED_VALUE"""),"ORG_1003")</f>
        <v/>
      </c>
      <c r="C786" s="1">
        <f>IFERROR(__xludf.DUMMYFUNCTION("""COMPUTED_VALUE"""),TRUE)</f>
        <v/>
      </c>
      <c r="D786" s="1">
        <f>IFERROR(__xludf.DUMMYFUNCTION("""COMPUTED_VALUE"""),"10 Academy")</f>
        <v/>
      </c>
      <c r="E786" s="15">
        <f>IFERROR(__xludf.DUMMYFUNCTION("""COMPUTED_VALUE"""),"10academy.org")</f>
        <v/>
      </c>
      <c r="F786" s="1">
        <f>IFERROR(__xludf.DUMMYFUNCTION("""COMPUTED_VALUE"""),"10 Academy is a not-for-profit community-owned initiative that has developed scalable, financially sustainable, and effective training programs to place young Africans into careers for the 4th Industrial Revolution.")</f>
        <v/>
      </c>
      <c r="G786" s="1">
        <f>IFERROR(__xludf.DUMMYFUNCTION("""COMPUTED_VALUE"""),"I'm not part of any EdTech association")</f>
        <v/>
      </c>
      <c r="H786" s="1" t="n"/>
      <c r="I786" s="1">
        <f>IFERROR(__xludf.DUMMYFUNCTION("""COMPUTED_VALUE"""),"team@10academy.org")</f>
        <v/>
      </c>
      <c r="J786" s="1" t="n"/>
      <c r="K786" s="1">
        <f>IFERROR(__xludf.DUMMYFUNCTION("""COMPUTED_VALUE"""),"Berlin")</f>
        <v/>
      </c>
      <c r="L786" s="1">
        <f>IFERROR(__xludf.DUMMYFUNCTION("""COMPUTED_VALUE"""),"Germany")</f>
        <v/>
      </c>
      <c r="M786" s="1">
        <f>IFERROR(__xludf.DUMMYFUNCTION("""COMPUTED_VALUE"""),"Germany")</f>
        <v/>
      </c>
      <c r="N786" s="1">
        <f>IFERROR(__xludf.DUMMYFUNCTION("""COMPUTED_VALUE"""),"11 to 50")</f>
        <v/>
      </c>
      <c r="O786" s="1">
        <f>IFERROR(__xludf.DUMMYFUNCTION("""COMPUTED_VALUE"""),"Business to Consumer")</f>
        <v/>
      </c>
      <c r="P786" s="1">
        <f>IFERROR(__xludf.DUMMYFUNCTION("""COMPUTED_VALUE"""),"Higher Education, Corporate Training")</f>
        <v/>
      </c>
      <c r="Q786" s="1">
        <f>IFERROR(__xludf.DUMMYFUNCTION("""COMPUTED_VALUE"""),"System/Administrative")</f>
        <v/>
      </c>
      <c r="R786" s="1" t="n"/>
      <c r="S786" s="1" t="n"/>
      <c r="T786" s="1" t="n"/>
      <c r="U786" s="1" t="n"/>
      <c r="V786" s="1" t="n"/>
      <c r="W786" s="1" t="n"/>
      <c r="X786" s="1" t="n"/>
      <c r="Y786" s="15">
        <f>IFERROR(__xludf.DUMMYFUNCTION("""COMPUTED_VALUE"""),"https://drive.google.com/uc?export=view&amp;id=14Li43vYRdPTZpkMIkjsRDYHF43tWKPzV")</f>
        <v/>
      </c>
      <c r="Z786" s="1">
        <f>IFERROR(__xludf.DUMMYFUNCTION("""COMPUTED_VALUE"""),"Unverified")</f>
        <v/>
      </c>
      <c r="AA786" s="1" t="n"/>
      <c r="AB786" s="1" t="n"/>
      <c r="AC786" s="1" t="n"/>
      <c r="AD786" s="1" t="n"/>
      <c r="AE786" s="1" t="n"/>
    </row>
    <row r="787" ht="42" customHeight="1">
      <c r="A787" s="14">
        <f>IFERROR(__xludf.DUMMYFUNCTION("""COMPUTED_VALUE"""),45181)</f>
        <v/>
      </c>
      <c r="B787" s="1">
        <f>IFERROR(__xludf.DUMMYFUNCTION("""COMPUTED_VALUE"""),"ORG_1081")</f>
        <v/>
      </c>
      <c r="C787" s="1">
        <f>IFERROR(__xludf.DUMMYFUNCTION("""COMPUTED_VALUE"""),TRUE)</f>
        <v/>
      </c>
      <c r="D787" s="1">
        <f>IFERROR(__xludf.DUMMYFUNCTION("""COMPUTED_VALUE"""),"AOZ Studio")</f>
        <v/>
      </c>
      <c r="E787" s="15">
        <f>IFERROR(__xludf.DUMMYFUNCTION("""COMPUTED_VALUE"""),"www.aoz.studio")</f>
        <v/>
      </c>
      <c r="F787" s="1">
        <f>IFERROR(__xludf.DUMMYFUNCTION("""COMPUTED_VALUE"""),"We are www.aoz.studio with a new and unique creative studio. A development platform to publish any app, game or website you can dream up, with zero coding experience. Zero!
Our goal is that everyone can start from scratch and create a first bug-free prog"&amp;"ram in 15 minutes.
We created AOZ Studio with a mission, to help Kids and grown-ups understand, learn. 
The AOZ Studio team is made of game veterans, ... having founded several successful game and media company.")</f>
        <v/>
      </c>
      <c r="G787" s="1">
        <f>IFERROR(__xludf.DUMMYFUNCTION("""COMPUTED_VALUE"""),"EdTech France")</f>
        <v/>
      </c>
      <c r="H787" s="1">
        <f>IFERROR(__xludf.DUMMYFUNCTION("""COMPUTED_VALUE"""),"English, French")</f>
        <v/>
      </c>
      <c r="I787" s="1">
        <f>IFERROR(__xludf.DUMMYFUNCTION("""COMPUTED_VALUE"""),"contact@aoz.studio")</f>
        <v/>
      </c>
      <c r="J787" s="1" t="n"/>
      <c r="K787" s="1">
        <f>IFERROR(__xludf.DUMMYFUNCTION("""COMPUTED_VALUE"""),"CHEMIN DE FAVREUSE")</f>
        <v/>
      </c>
      <c r="L787" s="1">
        <f>IFERROR(__xludf.DUMMYFUNCTION("""COMPUTED_VALUE"""),"France")</f>
        <v/>
      </c>
      <c r="M787" s="1">
        <f>IFERROR(__xludf.DUMMYFUNCTION("""COMPUTED_VALUE"""),"Belgium, Denmark, France, Germany, Greece, Ireland, Italy, Luxembourg, Monaco, Netherlands, Norway, Poland, Portugal, Spain, Sweden, Switzerland, United Kingdom")</f>
        <v/>
      </c>
      <c r="N787" s="1">
        <f>IFERROR(__xludf.DUMMYFUNCTION("""COMPUTED_VALUE"""),"3 to 5")</f>
        <v/>
      </c>
      <c r="O787" s="1">
        <f>IFERROR(__xludf.DUMMYFUNCTION("""COMPUTED_VALUE"""),"Business to Business, Business to Consumer")</f>
        <v/>
      </c>
      <c r="P787" s="1">
        <f>IFERROR(__xludf.DUMMYFUNCTION("""COMPUTED_VALUE"""),"Secondary Education, Corporate Training, Lifelong learning/Adult education")</f>
        <v/>
      </c>
      <c r="Q787" s="1">
        <f>IFERROR(__xludf.DUMMYFUNCTION("""COMPUTED_VALUE"""),"System/Administrative, Student interfacing, Teacher interfacing")</f>
        <v/>
      </c>
      <c r="R787" s="15">
        <f>IFERROR(__xludf.DUMMYFUNCTION("""COMPUTED_VALUE"""),"https://www.instagram.com/aozstudioofficial/")</f>
        <v/>
      </c>
      <c r="S787" s="15">
        <f>IFERROR(__xludf.DUMMYFUNCTION("""COMPUTED_VALUE"""),"https://twitter.com/aoz_studio")</f>
        <v/>
      </c>
      <c r="T787" s="15">
        <f>IFERROR(__xludf.DUMMYFUNCTION("""COMPUTED_VALUE"""),"https://www.linkedin.com/company/aoz-studio/")</f>
        <v/>
      </c>
      <c r="U787" s="1">
        <f>IFERROR(__xludf.DUMMYFUNCTION("""COMPUTED_VALUE"""),"AOZ STUDIO")</f>
        <v/>
      </c>
      <c r="V787" s="1">
        <f>IFERROR(__xludf.DUMMYFUNCTION("""COMPUTED_VALUE"""),"If you remember the BASIC language standard, it was easy to learn and use, we put it on steroids so that everyone can create casual or sophisticated games for PC, Smartphones,… but also Pro applications. 
It is free for kids and educational associations.
"&amp;"
Companies such as LOREAL for example uses it even though we are still in beta. The French Ministry of National Education is deploying it in schools, we have a first State organizing a Game Contest, etc ...
Nowadays computer programming should be our se"&amp;"cond language, the needs are considerable. 
AOZ Studio is the only product to our knowledge that allows this.
 ")</f>
        <v/>
      </c>
      <c r="W787" s="1" t="n"/>
      <c r="X787" s="1" t="n"/>
      <c r="Y787" s="15">
        <f>IFERROR(__xludf.DUMMYFUNCTION("""COMPUTED_VALUE"""),"https://drive.google.com/uc?export=view&amp;id=15_IB2EPsBeULnDx-NXyD9JZyj8FnQ81L")</f>
        <v/>
      </c>
      <c r="Z787" s="1">
        <f>IFERROR(__xludf.DUMMYFUNCTION("""COMPUTED_VALUE"""),"Unverified")</f>
        <v/>
      </c>
      <c r="AA787" s="1" t="n"/>
      <c r="AB787" s="1" t="n"/>
      <c r="AC787" s="1" t="n"/>
      <c r="AD787" s="1" t="n"/>
      <c r="AE787" s="1" t="n"/>
    </row>
    <row r="788" ht="42" customHeight="1">
      <c r="A788" s="14">
        <f>IFERROR(__xludf.DUMMYFUNCTION("""COMPUTED_VALUE"""),45181)</f>
        <v/>
      </c>
      <c r="B788" s="1">
        <f>IFERROR(__xludf.DUMMYFUNCTION("""COMPUTED_VALUE"""),"ORG_1346")</f>
        <v/>
      </c>
      <c r="C788" s="1">
        <f>IFERROR(__xludf.DUMMYFUNCTION("""COMPUTED_VALUE"""),TRUE)</f>
        <v/>
      </c>
      <c r="D788" s="1">
        <f>IFERROR(__xludf.DUMMYFUNCTION("""COMPUTED_VALUE"""),"Didactech")</f>
        <v/>
      </c>
      <c r="E788" s="15">
        <f>IFERROR(__xludf.DUMMYFUNCTION("""COMPUTED_VALUE"""),"https://didactech.nl/")</f>
        <v/>
      </c>
      <c r="F788" s="1">
        <f>IFERROR(__xludf.DUMMYFUNCTION("""COMPUTED_VALUE"""),"We educate the educators about educational technology and media literacy, and build lessons with them.")</f>
        <v/>
      </c>
      <c r="G788" s="1">
        <f>IFERROR(__xludf.DUMMYFUNCTION("""COMPUTED_VALUE"""),"Dutch EdTech")</f>
        <v/>
      </c>
      <c r="H788" s="1" t="n"/>
      <c r="I788" s="1">
        <f>IFERROR(__xludf.DUMMYFUNCTION("""COMPUTED_VALUE"""),"info@didactech.nl")</f>
        <v/>
      </c>
      <c r="J788" s="1">
        <f>IFERROR(__xludf.DUMMYFUNCTION("""COMPUTED_VALUE"""),"+31616611414")</f>
        <v/>
      </c>
      <c r="K788" s="1">
        <f>IFERROR(__xludf.DUMMYFUNCTION("""COMPUTED_VALUE"""),"LOSSER")</f>
        <v/>
      </c>
      <c r="L788" s="1">
        <f>IFERROR(__xludf.DUMMYFUNCTION("""COMPUTED_VALUE"""),"The Netherlands")</f>
        <v/>
      </c>
      <c r="M788" s="1">
        <f>IFERROR(__xludf.DUMMYFUNCTION("""COMPUTED_VALUE"""),"Belgium, Netherlands")</f>
        <v/>
      </c>
      <c r="N788" s="1">
        <f>IFERROR(__xludf.DUMMYFUNCTION("""COMPUTED_VALUE"""),"0 to 10")</f>
        <v/>
      </c>
      <c r="O788" s="1">
        <f>IFERROR(__xludf.DUMMYFUNCTION("""COMPUTED_VALUE"""),"Business to Business, Business to Consumer, Business to Government, Business to Schools")</f>
        <v/>
      </c>
      <c r="P788" s="1">
        <f>IFERROR(__xludf.DUMMYFUNCTION("""COMPUTED_VALUE"""),"Primary Education, Secondary Education, Higher Education")</f>
        <v/>
      </c>
      <c r="Q788" s="1">
        <f>IFERROR(__xludf.DUMMYFUNCTION("""COMPUTED_VALUE"""),"Teacher interfacing, System/Administrative")</f>
        <v/>
      </c>
      <c r="R788" s="1" t="n"/>
      <c r="S788" s="1" t="n"/>
      <c r="T788" s="15">
        <f>IFERROR(__xludf.DUMMYFUNCTION("""COMPUTED_VALUE"""),"https://www.linkedin.com/company/didactechnl/")</f>
        <v/>
      </c>
      <c r="U788" s="1">
        <f>IFERROR(__xludf.DUMMYFUNCTION("""COMPUTED_VALUE"""),"Training: Educational Technologist")</f>
        <v/>
      </c>
      <c r="V788" s="1">
        <f>IFERROR(__xludf.DUMMYFUNCTION("""COMPUTED_VALUE"""),"In 9 modules we learn teachers about;
- Digital tools
- Multimedia learning
- Graphic design
- Gamification
- Virtual reality
- Augmented reality
- Artificial intelligence
- Computational thinking
and Media literacy and how to use it directly into their l"&amp;"essons.")</f>
        <v/>
      </c>
      <c r="W788" s="1">
        <f>IFERROR(__xludf.DUMMYFUNCTION("""COMPUTED_VALUE"""),"Workshops")</f>
        <v/>
      </c>
      <c r="X788" s="1">
        <f>IFERROR(__xludf.DUMMYFUNCTION("""COMPUTED_VALUE"""),"We give workshops to teachers about;
- Digital tools
- Multimedia learning
- Graphic design
- Gamification
- Virtual reality
- Augmented reality
- Artificial intelligence
- Computational thinking
- Media literacy 
- Microsoft 365
and Minecraft Education E"&amp;"dition")</f>
        <v/>
      </c>
      <c r="Y788" s="15">
        <f>IFERROR(__xludf.DUMMYFUNCTION("""COMPUTED_VALUE"""),"https://drive.google.com/uc?export=view&amp;id=18wr-j_HvN8uM6ZF_ZIQqDsRM3wwulr6J")</f>
        <v/>
      </c>
      <c r="Z788" s="1">
        <f>IFERROR(__xludf.DUMMYFUNCTION("""COMPUTED_VALUE"""),"Unverified")</f>
        <v/>
      </c>
      <c r="AA788" s="1" t="n"/>
      <c r="AB788" s="1" t="n"/>
      <c r="AC788" s="1" t="n"/>
      <c r="AD788" s="1" t="n"/>
      <c r="AE788" s="1" t="n"/>
    </row>
    <row r="789" ht="42" customHeight="1">
      <c r="A789" s="14">
        <f>IFERROR(__xludf.DUMMYFUNCTION("""COMPUTED_VALUE"""),45181)</f>
        <v/>
      </c>
      <c r="B789" s="1">
        <f>IFERROR(__xludf.DUMMYFUNCTION("""COMPUTED_VALUE"""),"ORG_1001")</f>
        <v/>
      </c>
      <c r="C789" s="1">
        <f>IFERROR(__xludf.DUMMYFUNCTION("""COMPUTED_VALUE"""),TRUE)</f>
        <v/>
      </c>
      <c r="D789" s="1">
        <f>IFERROR(__xludf.DUMMYFUNCTION("""COMPUTED_VALUE"""),"01Talent")</f>
        <v/>
      </c>
      <c r="E789" s="15">
        <f>IFERROR(__xludf.DUMMYFUNCTION("""COMPUTED_VALUE"""),"www.01talent.com")</f>
        <v/>
      </c>
      <c r="F789" s="1">
        <f>IFERROR(__xludf.DUMMYFUNCTION("""COMPUTED_VALUE"""),"01Talent is both a talent factory and a talent agency in Tech, which aims to identify, develop and connect to the professional world 1 million high-level developers worldwide by 2035 through the combination of a proven pedagogical model and a sustainable "&amp;"and exponential business model.
01Talent is based on 01Edu platform, the ultimate upgrade of the ""peer-to-peer"" (teacherless) and gamified pedagogical approach developed by Nicolas Sadirac and his team, an active learning platform designed to address th"&amp;"e growing shortage of IT developers in the world.
This pedagogical model that develops entrepreneurial spirit, creativity and collective intelligence has already been deployed by our co-founder Nicolas Sadirac and his Alumni in more than 40 countries arou"&amp;"nd the world, training more than 25,000 digital talents over the last 10 years.
Note: ""01Talent"" is pronounced ""Zero one talent"" and not ""One talent"".")</f>
        <v/>
      </c>
      <c r="G789" s="1">
        <f>IFERROR(__xludf.DUMMYFUNCTION("""COMPUTED_VALUE"""),"I'm not part of any EdTech association")</f>
        <v/>
      </c>
      <c r="H789" s="1" t="n"/>
      <c r="I789" s="1">
        <f>IFERROR(__xludf.DUMMYFUNCTION("""COMPUTED_VALUE"""),"contact@01talent.com")</f>
        <v/>
      </c>
      <c r="J789" s="1">
        <f>IFERROR(__xludf.DUMMYFUNCTION("""COMPUTED_VALUE"""),"+33680996382")</f>
        <v/>
      </c>
      <c r="K789" s="1">
        <f>IFERROR(__xludf.DUMMYFUNCTION("""COMPUTED_VALUE"""),"Funchal - Madeira")</f>
        <v/>
      </c>
      <c r="L789" s="1">
        <f>IFERROR(__xludf.DUMMYFUNCTION("""COMPUTED_VALUE"""),"Portugal")</f>
        <v/>
      </c>
      <c r="M789" s="1">
        <f>IFERROR(__xludf.DUMMYFUNCTION("""COMPUTED_VALUE"""),"Estonia, Finland, France, Kazakhstan, United Kingdom")</f>
        <v/>
      </c>
      <c r="N789" s="1">
        <f>IFERROR(__xludf.DUMMYFUNCTION("""COMPUTED_VALUE"""),"11 to 50")</f>
        <v/>
      </c>
      <c r="O789" s="1">
        <f>IFERROR(__xludf.DUMMYFUNCTION("""COMPUTED_VALUE"""),"Business to Business, Business to Government, Business to Schools")</f>
        <v/>
      </c>
      <c r="P789" s="1">
        <f>IFERROR(__xludf.DUMMYFUNCTION("""COMPUTED_VALUE"""),"Secondary Education, Higher Education, Corporate Training")</f>
        <v/>
      </c>
      <c r="Q789" s="1">
        <f>IFERROR(__xludf.DUMMYFUNCTION("""COMPUTED_VALUE"""),"Student interfacing, System/Administrative")</f>
        <v/>
      </c>
      <c r="R789" s="1" t="n"/>
      <c r="S789" s="1" t="n"/>
      <c r="T789" s="1" t="n"/>
      <c r="U789" s="1" t="n"/>
      <c r="V789" s="1" t="n"/>
      <c r="W789" s="1" t="n"/>
      <c r="X789" s="1" t="n"/>
      <c r="Y789" s="15">
        <f>IFERROR(__xludf.DUMMYFUNCTION("""COMPUTED_VALUE"""),"https://drive.google.com/uc?export=view&amp;id=1oEcSbcBQHOP5Df81ohvQv1XPasW4uuIb")</f>
        <v/>
      </c>
      <c r="Z789" s="1">
        <f>IFERROR(__xludf.DUMMYFUNCTION("""COMPUTED_VALUE"""),"Unverified")</f>
        <v/>
      </c>
      <c r="AA789" s="1" t="n"/>
      <c r="AB789" s="1" t="n"/>
      <c r="AC789" s="1" t="n"/>
      <c r="AD789" s="1" t="n"/>
      <c r="AE789" s="1" t="n"/>
    </row>
    <row r="790" ht="42" customHeight="1">
      <c r="A790" s="14">
        <f>IFERROR(__xludf.DUMMYFUNCTION("""COMPUTED_VALUE"""),45181)</f>
        <v/>
      </c>
      <c r="B790" s="1">
        <f>IFERROR(__xludf.DUMMYFUNCTION("""COMPUTED_VALUE"""),"ORG_1744")</f>
        <v/>
      </c>
      <c r="C790" s="1">
        <f>IFERROR(__xludf.DUMMYFUNCTION("""COMPUTED_VALUE"""),TRUE)</f>
        <v/>
      </c>
      <c r="D790" s="1">
        <f>IFERROR(__xludf.DUMMYFUNCTION("""COMPUTED_VALUE"""),"IST Norge AS")</f>
        <v/>
      </c>
      <c r="E790" s="15">
        <f>IFERROR(__xludf.DUMMYFUNCTION("""COMPUTED_VALUE"""),"https://www.ist.com/no/")</f>
        <v/>
      </c>
      <c r="F790" s="1">
        <f>IFERROR(__xludf.DUMMYFUNCTION("""COMPUTED_VALUE"""),"Enkle og smarte løsninger utviklet for fremtidens skole. Når du er i læringsbransjen trenger du gode verktøy for å oppnå store ting. Vi sørger for at du får dem. Med digitale løsninger for administrasjon, læring og planlegging gjør vi hverdagen enklere fo"&amp;"r elever, foresatte, lærere og ledere. Hver dag utgjør våre løsninger en forskjell for millioner av mennesker. Vi bygger fremtiden til EdTech!")</f>
        <v/>
      </c>
      <c r="G790" s="1">
        <f>IFERROR(__xludf.DUMMYFUNCTION("""COMPUTED_VALUE"""),"ICT Norway")</f>
        <v/>
      </c>
      <c r="H790" s="1" t="n"/>
      <c r="I790" s="1">
        <f>IFERROR(__xludf.DUMMYFUNCTION("""COMPUTED_VALUE"""),"post@ist.com")</f>
        <v/>
      </c>
      <c r="J790" s="1">
        <f>IFERROR(__xludf.DUMMYFUNCTION("""COMPUTED_VALUE"""),"+47 21 52 50 00")</f>
        <v/>
      </c>
      <c r="K790" s="1">
        <f>IFERROR(__xludf.DUMMYFUNCTION("""COMPUTED_VALUE"""),"Oslo")</f>
        <v/>
      </c>
      <c r="L790" s="1">
        <f>IFERROR(__xludf.DUMMYFUNCTION("""COMPUTED_VALUE"""),"Norway")</f>
        <v/>
      </c>
      <c r="M790" s="1">
        <f>IFERROR(__xludf.DUMMYFUNCTION("""COMPUTED_VALUE"""),"Denmark, Germany, Sweden")</f>
        <v/>
      </c>
      <c r="N790" s="1">
        <f>IFERROR(__xludf.DUMMYFUNCTION("""COMPUTED_VALUE"""),"11 to 50")</f>
        <v/>
      </c>
      <c r="O790" s="1">
        <f>IFERROR(__xludf.DUMMYFUNCTION("""COMPUTED_VALUE"""),"Business to Business, Business to Consumer")</f>
        <v/>
      </c>
      <c r="P790" s="1">
        <f>IFERROR(__xludf.DUMMYFUNCTION("""COMPUTED_VALUE"""),"Early childhood development (0-5 years), Primary Education, Secondary Education, Higher Education")</f>
        <v/>
      </c>
      <c r="Q790" s="1">
        <f>IFERROR(__xludf.DUMMYFUNCTION("""COMPUTED_VALUE"""),"System/Administrative, Student interfacing, Teacher interfacing")</f>
        <v/>
      </c>
      <c r="R790" s="1" t="n"/>
      <c r="S790" s="1" t="n"/>
      <c r="T790" s="15">
        <f>IFERROR(__xludf.DUMMYFUNCTION("""COMPUTED_VALUE"""),"https://www.linkedin.com/company/509615/admin/")</f>
        <v/>
      </c>
      <c r="U790" s="1">
        <f>IFERROR(__xludf.DUMMYFUNCTION("""COMPUTED_VALUE"""),"IST Administrasjon")</f>
        <v/>
      </c>
      <c r="V790" s="1">
        <f>IFERROR(__xludf.DUMMYFUNCTION("""COMPUTED_VALUE"""),"IST Administration er en skybasert løsning som gir et bredt spekter av smarte og effektive verktøy for skoleadministrasjon på alle nivåer. Systemet er brukervennlig, rollebasert og tilbyr støtte gjennom alle prosesser – fra årsplanlegging til daglige admi"&amp;"nistrative oppgaver. Automatiserte rutiner gir raskere og sikrere håndtering av oppgaver. Ved å registrere data sentralt og distribuere dem for lokal bruk, får du en sikker håndtering og høyere kvalitet på data. IST Administration er utviklet både for bar"&amp;"nehage, grunnskole, videregående skole og SFO.")</f>
        <v/>
      </c>
      <c r="W790" s="1" t="n"/>
      <c r="X790" s="1" t="n"/>
      <c r="Y790" s="1" t="n"/>
      <c r="Z790" s="1">
        <f>IFERROR(__xludf.DUMMYFUNCTION("""COMPUTED_VALUE"""),"Unverified")</f>
        <v/>
      </c>
      <c r="AA790" s="1" t="n"/>
      <c r="AB790" s="1" t="n"/>
      <c r="AC790" s="1" t="n"/>
      <c r="AD790" s="1" t="n"/>
      <c r="AE790" s="1" t="n"/>
    </row>
    <row r="791" ht="42" customHeight="1">
      <c r="A791" s="14">
        <f>IFERROR(__xludf.DUMMYFUNCTION("""COMPUTED_VALUE"""),45181)</f>
        <v/>
      </c>
      <c r="B791" s="1">
        <f>IFERROR(__xludf.DUMMYFUNCTION("""COMPUTED_VALUE"""),"ORG_2409")</f>
        <v/>
      </c>
      <c r="C791" s="1">
        <f>IFERROR(__xludf.DUMMYFUNCTION("""COMPUTED_VALUE"""),TRUE)</f>
        <v/>
      </c>
      <c r="D791" s="1">
        <f>IFERROR(__xludf.DUMMYFUNCTION("""COMPUTED_VALUE"""),"THIRDROOM")</f>
        <v/>
      </c>
      <c r="E791" s="15">
        <f>IFERROR(__xludf.DUMMYFUNCTION("""COMPUTED_VALUE"""),"thirdroom.org")</f>
        <v/>
      </c>
      <c r="F791" s="1">
        <f>IFERROR(__xludf.DUMMYFUNCTION("""COMPUTED_VALUE"""),"Thirdroom is a digital community platform based on Nordic Tech principles. Thirdroom specialises in open and collaborative science and innovation from students and researchers to start-ups and corporates with scalable and global solutions, and specialises"&amp;" in AI match-making, networking and collaborative infrastructures.")</f>
        <v/>
      </c>
      <c r="G791" s="1">
        <f>IFERROR(__xludf.DUMMYFUNCTION("""COMPUTED_VALUE"""),"EdTech Denmark")</f>
        <v/>
      </c>
      <c r="H791" s="1" t="n"/>
      <c r="I791" s="1">
        <f>IFERROR(__xludf.DUMMYFUNCTION("""COMPUTED_VALUE"""),"mail@thirdroom.ai")</f>
        <v/>
      </c>
      <c r="J791" s="1">
        <f>IFERROR(__xludf.DUMMYFUNCTION("""COMPUTED_VALUE"""),"50526323")</f>
        <v/>
      </c>
      <c r="K791" s="1">
        <f>IFERROR(__xludf.DUMMYFUNCTION("""COMPUTED_VALUE"""),"COPENHAGEN")</f>
        <v/>
      </c>
      <c r="L791" s="1">
        <f>IFERROR(__xludf.DUMMYFUNCTION("""COMPUTED_VALUE"""),"Denmark")</f>
        <v/>
      </c>
      <c r="M791" s="1">
        <f>IFERROR(__xludf.DUMMYFUNCTION("""COMPUTED_VALUE"""),"Denmark")</f>
        <v/>
      </c>
      <c r="N791" s="1">
        <f>IFERROR(__xludf.DUMMYFUNCTION("""COMPUTED_VALUE"""),"0 to 10")</f>
        <v/>
      </c>
      <c r="O791" s="1">
        <f>IFERROR(__xludf.DUMMYFUNCTION("""COMPUTED_VALUE"""),"Business to Business, Business to Schools")</f>
        <v/>
      </c>
      <c r="P791" s="1">
        <f>IFERROR(__xludf.DUMMYFUNCTION("""COMPUTED_VALUE"""),"Higher Education, Corporate Training, Lifelong learning/Adult education")</f>
        <v/>
      </c>
      <c r="Q791" s="1">
        <f>IFERROR(__xludf.DUMMYFUNCTION("""COMPUTED_VALUE"""),"Student interfacing, Teacher interfacing, System/Administrative")</f>
        <v/>
      </c>
      <c r="R791" s="1" t="n"/>
      <c r="S791" s="1" t="n"/>
      <c r="T791" s="1" t="n"/>
      <c r="U791" s="1" t="n"/>
      <c r="V791" s="1" t="n"/>
      <c r="W791" s="1" t="n"/>
      <c r="X791" s="1" t="n"/>
      <c r="Y791" s="15">
        <f>IFERROR(__xludf.DUMMYFUNCTION("""COMPUTED_VALUE"""),"https://drive.google.com/uc?export=view&amp;id=1eJbX5AmZT7uh0wWV-qK3lhTJ6O1YXhg_")</f>
        <v/>
      </c>
      <c r="Z791" s="1">
        <f>IFERROR(__xludf.DUMMYFUNCTION("""COMPUTED_VALUE"""),"Unverified")</f>
        <v/>
      </c>
      <c r="AA791" s="1" t="n"/>
      <c r="AB791" s="1" t="n"/>
      <c r="AC791" s="1" t="n"/>
      <c r="AD791" s="1" t="n"/>
      <c r="AE791" s="1" t="n"/>
    </row>
    <row r="792" ht="42" customHeight="1">
      <c r="A792" s="14">
        <f>IFERROR(__xludf.DUMMYFUNCTION("""COMPUTED_VALUE"""),45181)</f>
        <v/>
      </c>
      <c r="B792" s="1">
        <f>IFERROR(__xludf.DUMMYFUNCTION("""COMPUTED_VALUE"""),"ORG_1372")</f>
        <v/>
      </c>
      <c r="C792" s="1">
        <f>IFERROR(__xludf.DUMMYFUNCTION("""COMPUTED_VALUE"""),TRUE)</f>
        <v/>
      </c>
      <c r="D792" s="1">
        <f>IFERROR(__xludf.DUMMYFUNCTION("""COMPUTED_VALUE"""),"DoctorateHub")</f>
        <v/>
      </c>
      <c r="E792" s="15">
        <f>IFERROR(__xludf.DUMMYFUNCTION("""COMPUTED_VALUE"""),"https://www.doctoratehub.com/")</f>
        <v/>
      </c>
      <c r="F792" s="1">
        <f>IFERROR(__xludf.DUMMYFUNCTION("""COMPUTED_VALUE"""),"DoctorateHub is an online mentoring community that provides relevant advice to doctoral students on what to do next and how to do it quickly.")</f>
        <v/>
      </c>
      <c r="G792" s="1">
        <f>IFERROR(__xludf.DUMMYFUNCTION("""COMPUTED_VALUE"""),"SuperCharger Ventures")</f>
        <v/>
      </c>
      <c r="H792" s="1" t="n"/>
      <c r="I792" s="1">
        <f>IFERROR(__xludf.DUMMYFUNCTION("""COMPUTED_VALUE"""),"support@doctoratehub.com")</f>
        <v/>
      </c>
      <c r="J792" s="1" t="n"/>
      <c r="K792" s="1">
        <f>IFERROR(__xludf.DUMMYFUNCTION("""COMPUTED_VALUE"""),"Vila Nova de Gaia")</f>
        <v/>
      </c>
      <c r="L792" s="1">
        <f>IFERROR(__xludf.DUMMYFUNCTION("""COMPUTED_VALUE"""),"Portugal")</f>
        <v/>
      </c>
      <c r="M792" s="1">
        <f>IFERROR(__xludf.DUMMYFUNCTION("""COMPUTED_VALUE"""),"Denmark, Germany, Ireland, Spain, Switzerland, United Kingdom")</f>
        <v/>
      </c>
      <c r="N792" s="1">
        <f>IFERROR(__xludf.DUMMYFUNCTION("""COMPUTED_VALUE"""),"0 to 10")</f>
        <v/>
      </c>
      <c r="O792" s="1">
        <f>IFERROR(__xludf.DUMMYFUNCTION("""COMPUTED_VALUE"""),"Business to Business, Business to Consumer")</f>
        <v/>
      </c>
      <c r="P792" s="1">
        <f>IFERROR(__xludf.DUMMYFUNCTION("""COMPUTED_VALUE"""),"Corporate Training, Lifelong learning/Adult education")</f>
        <v/>
      </c>
      <c r="Q792" s="1">
        <f>IFERROR(__xludf.DUMMYFUNCTION("""COMPUTED_VALUE"""),"Student interfacing, System/Administrative")</f>
        <v/>
      </c>
      <c r="R792" s="1" t="n"/>
      <c r="S792" s="1" t="n"/>
      <c r="T792" s="1" t="n"/>
      <c r="U792" s="1" t="n"/>
      <c r="V792" s="1" t="n"/>
      <c r="W792" s="1" t="n"/>
      <c r="X792" s="1" t="n"/>
      <c r="Y792" s="15">
        <f>IFERROR(__xludf.DUMMYFUNCTION("""COMPUTED_VALUE"""),"https://drive.google.com/uc?export=view&amp;id=11HsBW9G0izPFfixDKJ_edT_Q2Kg2YEyN")</f>
        <v/>
      </c>
      <c r="Z792" s="1">
        <f>IFERROR(__xludf.DUMMYFUNCTION("""COMPUTED_VALUE"""),"Unverified")</f>
        <v/>
      </c>
      <c r="AA792" s="1" t="n"/>
      <c r="AB792" s="1" t="n"/>
      <c r="AC792" s="1" t="n"/>
      <c r="AD792" s="1" t="n"/>
      <c r="AE792" s="1" t="n"/>
    </row>
    <row r="793" ht="42" customHeight="1">
      <c r="A793" s="14">
        <f>IFERROR(__xludf.DUMMYFUNCTION("""COMPUTED_VALUE"""),45181)</f>
        <v/>
      </c>
      <c r="B793" s="1">
        <f>IFERROR(__xludf.DUMMYFUNCTION("""COMPUTED_VALUE"""),"ORG_2238")</f>
        <v/>
      </c>
      <c r="C793" s="1">
        <f>IFERROR(__xludf.DUMMYFUNCTION("""COMPUTED_VALUE"""),TRUE)</f>
        <v/>
      </c>
      <c r="D793" s="1">
        <f>IFERROR(__xludf.DUMMYFUNCTION("""COMPUTED_VALUE"""),"Signpost")</f>
        <v/>
      </c>
      <c r="E793" s="15">
        <f>IFERROR(__xludf.DUMMYFUNCTION("""COMPUTED_VALUE"""),"www.signpost.eu")</f>
        <v/>
      </c>
      <c r="F793" s="1">
        <f>IFERROR(__xludf.DUMMYFUNCTION("""COMPUTED_VALUE"""),"Signpost is the European ICT Partner for Education.
Our goal is to serve educational institutions, schools, employees, teachers, and students. Education is all we do. We know the sector and its peculiarities very well and take good care of its IT needs.")</f>
        <v/>
      </c>
      <c r="G793" s="1">
        <f>IFERROR(__xludf.DUMMYFUNCTION("""COMPUTED_VALUE"""),"I'm not part of any EdTech association")</f>
        <v/>
      </c>
      <c r="H793" s="1" t="n"/>
      <c r="I793" s="1">
        <f>IFERROR(__xludf.DUMMYFUNCTION("""COMPUTED_VALUE"""),"info@signpost.eu")</f>
        <v/>
      </c>
      <c r="J793" s="1" t="n"/>
      <c r="K793" s="1">
        <f>IFERROR(__xludf.DUMMYFUNCTION("""COMPUTED_VALUE"""),"Lokeren")</f>
        <v/>
      </c>
      <c r="L793" s="1">
        <f>IFERROR(__xludf.DUMMYFUNCTION("""COMPUTED_VALUE"""),"Belgium")</f>
        <v/>
      </c>
      <c r="M793" s="1">
        <f>IFERROR(__xludf.DUMMYFUNCTION("""COMPUTED_VALUE"""),"Belgium, France, Netherlands, Spain")</f>
        <v/>
      </c>
      <c r="N793" s="1">
        <f>IFERROR(__xludf.DUMMYFUNCTION("""COMPUTED_VALUE"""),"100+")</f>
        <v/>
      </c>
      <c r="O793" s="1">
        <f>IFERROR(__xludf.DUMMYFUNCTION("""COMPUTED_VALUE"""),"Business to Business")</f>
        <v/>
      </c>
      <c r="P793" s="1">
        <f>IFERROR(__xludf.DUMMYFUNCTION("""COMPUTED_VALUE"""),"Early childhood development (0-5 years), Primary Education, Secondary Education, Higher Education")</f>
        <v/>
      </c>
      <c r="Q793" s="1">
        <f>IFERROR(__xludf.DUMMYFUNCTION("""COMPUTED_VALUE"""),"Student interfacing, Teacher interfacing")</f>
        <v/>
      </c>
      <c r="R793" s="1" t="n"/>
      <c r="S793" s="1" t="n"/>
      <c r="T793" s="15">
        <f>IFERROR(__xludf.DUMMYFUNCTION("""COMPUTED_VALUE"""),"https://www.linkedin.com/company/1739838/admin/notifications/all/")</f>
        <v/>
      </c>
      <c r="U793" s="1">
        <f>IFERROR(__xludf.DUMMYFUNCTION("""COMPUTED_VALUE"""),"BYOD projects for schools")</f>
        <v/>
      </c>
      <c r="V793" s="1">
        <f>IFERROR(__xludf.DUMMYFUNCTION("""COMPUTED_VALUE"""),"Servicing of schools in laptop projects for students")</f>
        <v/>
      </c>
      <c r="W793" s="1" t="n"/>
      <c r="X793" s="1" t="n"/>
      <c r="Y793" s="15">
        <f>IFERROR(__xludf.DUMMYFUNCTION("""COMPUTED_VALUE"""),"https://drive.google.com/uc?export=view&amp;id=15COuXar2WIG37p919rJuC6Q-l5emfWVA")</f>
        <v/>
      </c>
      <c r="Z793" s="1">
        <f>IFERROR(__xludf.DUMMYFUNCTION("""COMPUTED_VALUE"""),"Unverified")</f>
        <v/>
      </c>
      <c r="AA793" s="1" t="n"/>
      <c r="AB793" s="1" t="n"/>
      <c r="AC793" s="1" t="n"/>
      <c r="AD793" s="1" t="n"/>
      <c r="AE793" s="1" t="n"/>
    </row>
    <row r="794" ht="42" customHeight="1">
      <c r="A794" s="14">
        <f>IFERROR(__xludf.DUMMYFUNCTION("""COMPUTED_VALUE"""),45181)</f>
        <v/>
      </c>
      <c r="B794" s="1">
        <f>IFERROR(__xludf.DUMMYFUNCTION("""COMPUTED_VALUE"""),"ORG_1092")</f>
        <v/>
      </c>
      <c r="C794" s="1">
        <f>IFERROR(__xludf.DUMMYFUNCTION("""COMPUTED_VALUE"""),TRUE)</f>
        <v/>
      </c>
      <c r="D794" s="1">
        <f>IFERROR(__xludf.DUMMYFUNCTION("""COMPUTED_VALUE"""),"Arduino Education")</f>
        <v/>
      </c>
      <c r="E794" s="15">
        <f>IFERROR(__xludf.DUMMYFUNCTION("""COMPUTED_VALUE"""),"https://www.arduino.cc/education")</f>
        <v/>
      </c>
      <c r="F794" s="1">
        <f>IFERROR(__xludf.DUMMYFUNCTION("""COMPUTED_VALUE"""),"Arduino Education is committed to empowering the scientists, engineers and artists of the future by providing them with the best set of tools to learn, grow and innovate. Arduino Education's learning solutions help students progress through STEAM from mid"&amp;"dle school to university, increasing in complexity to challenge them as they develop their skills.")</f>
        <v/>
      </c>
      <c r="G794" s="1">
        <f>IFERROR(__xludf.DUMMYFUNCTION("""COMPUTED_VALUE"""),"I'm not part of any EdTech association")</f>
        <v/>
      </c>
      <c r="H794" s="1" t="n"/>
      <c r="I794" s="1" t="n"/>
      <c r="J794" s="1" t="n"/>
      <c r="K794" s="1">
        <f>IFERROR(__xludf.DUMMYFUNCTION("""COMPUTED_VALUE"""),"MALMÖ")</f>
        <v/>
      </c>
      <c r="L794" s="1">
        <f>IFERROR(__xludf.DUMMYFUNCTION("""COMPUTED_VALUE"""),"Sweden")</f>
        <v/>
      </c>
      <c r="M79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794" s="1">
        <f>IFERROR(__xludf.DUMMYFUNCTION("""COMPUTED_VALUE"""),"100+")</f>
        <v/>
      </c>
      <c r="O794" s="1">
        <f>IFERROR(__xludf.DUMMYFUNCTION("""COMPUTED_VALUE"""),"Business to Business, Business to Consumer, Business to Government, Business to Schools")</f>
        <v/>
      </c>
      <c r="P794" s="1">
        <f>IFERROR(__xludf.DUMMYFUNCTION("""COMPUTED_VALUE"""),"Secondary Education, Higher Education, Corporate Training, Lifelong learning/Adult education")</f>
        <v/>
      </c>
      <c r="Q794" s="1">
        <f>IFERROR(__xludf.DUMMYFUNCTION("""COMPUTED_VALUE"""),"System/Administrative, Student interfacing, Teacher interfacing")</f>
        <v/>
      </c>
      <c r="R794" s="1" t="n"/>
      <c r="S794" s="1" t="n"/>
      <c r="T794" s="1" t="n"/>
      <c r="U794" s="1" t="n"/>
      <c r="V794" s="1" t="n"/>
      <c r="W794" s="1" t="n"/>
      <c r="X794" s="1" t="n"/>
      <c r="Y794" s="15">
        <f>IFERROR(__xludf.DUMMYFUNCTION("""COMPUTED_VALUE"""),"https://drive.google.com/uc?export=view&amp;id=1YMDsleMIZD80Z5fzMbzy1uDV335yitYZ")</f>
        <v/>
      </c>
      <c r="Z794" s="1">
        <f>IFERROR(__xludf.DUMMYFUNCTION("""COMPUTED_VALUE"""),"Unverified")</f>
        <v/>
      </c>
      <c r="AA794" s="1" t="n"/>
      <c r="AB794" s="1" t="n"/>
      <c r="AC794" s="1" t="n"/>
      <c r="AD794" s="1" t="n"/>
      <c r="AE794" s="1" t="n"/>
    </row>
    <row r="795" ht="42" customHeight="1">
      <c r="A795" s="14">
        <f>IFERROR(__xludf.DUMMYFUNCTION("""COMPUTED_VALUE"""),45181)</f>
        <v/>
      </c>
      <c r="B795" s="1">
        <f>IFERROR(__xludf.DUMMYFUNCTION("""COMPUTED_VALUE"""),"ORG_1580")</f>
        <v/>
      </c>
      <c r="C795" s="1">
        <f>IFERROR(__xludf.DUMMYFUNCTION("""COMPUTED_VALUE"""),TRUE)</f>
        <v/>
      </c>
      <c r="D795" s="1">
        <f>IFERROR(__xludf.DUMMYFUNCTION("""COMPUTED_VALUE"""),"FoxEducation Services SAS")</f>
        <v/>
      </c>
      <c r="E795" s="15">
        <f>IFERROR(__xludf.DUMMYFUNCTION("""COMPUTED_VALUE"""),"https://foxeducation.com/fr")</f>
        <v/>
      </c>
      <c r="F795" s="1">
        <f>IFERROR(__xludf.DUMMYFUNCTION("""COMPUTED_VALUE"""),"FoxEducation helps every educational institution taking the next step into the digital world. As a reliable partner to thousands of schools, daycare centers, boards and municipalities, we support your digitisation at every stage.")</f>
        <v/>
      </c>
      <c r="G795" s="1">
        <f>IFERROR(__xludf.DUMMYFUNCTION("""COMPUTED_VALUE"""),"EdTech France")</f>
        <v/>
      </c>
      <c r="H795" s="1" t="n"/>
      <c r="I795" s="1" t="n"/>
      <c r="J795" s="1" t="n"/>
      <c r="K795" s="1">
        <f>IFERROR(__xludf.DUMMYFUNCTION("""COMPUTED_VALUE"""),"Vienna")</f>
        <v/>
      </c>
      <c r="L795" s="1">
        <f>IFERROR(__xludf.DUMMYFUNCTION("""COMPUTED_VALUE"""),"Austria")</f>
        <v/>
      </c>
      <c r="M795" s="1">
        <f>IFERROR(__xludf.DUMMYFUNCTION("""COMPUTED_VALUE"""),"Austria, France, Germany, Italy, Spain, Switzerland, Turkey")</f>
        <v/>
      </c>
      <c r="N795" s="1">
        <f>IFERROR(__xludf.DUMMYFUNCTION("""COMPUTED_VALUE"""),"0 to 10")</f>
        <v/>
      </c>
      <c r="O795" s="1">
        <f>IFERROR(__xludf.DUMMYFUNCTION("""COMPUTED_VALUE"""),"Business to Business, Business to Government")</f>
        <v/>
      </c>
      <c r="P795" s="1">
        <f>IFERROR(__xludf.DUMMYFUNCTION("""COMPUTED_VALUE"""),"Early childhood development (0-5 years), Primary Education, Secondary Education, Higher Education")</f>
        <v/>
      </c>
      <c r="Q795" s="1">
        <f>IFERROR(__xludf.DUMMYFUNCTION("""COMPUTED_VALUE"""),"Teacher interfacing")</f>
        <v/>
      </c>
      <c r="R795" s="15">
        <f>IFERROR(__xludf.DUMMYFUNCTION("""COMPUTED_VALUE"""),"https://www.instagram.com/foxeducation_fr/")</f>
        <v/>
      </c>
      <c r="S795" s="1" t="n"/>
      <c r="T795" s="15">
        <f>IFERROR(__xludf.DUMMYFUNCTION("""COMPUTED_VALUE"""),"https://www.linkedin.com/company/foxeducation-france/")</f>
        <v/>
      </c>
      <c r="U795" s="1">
        <f>IFERROR(__xludf.DUMMYFUNCTION("""COMPUTED_VALUE"""),"SchoolFox")</f>
        <v/>
      </c>
      <c r="V795" s="1">
        <f>IFERROR(__xludf.DUMMYFUNCTION("""COMPUTED_VALUE"""),"SchoolFox is an integrated messenger, organiser and LMS. With file storage, group chats and video lessons. For all school types and age groups. This is how school works from anywhere!")</f>
        <v/>
      </c>
      <c r="W795" s="1">
        <f>IFERROR(__xludf.DUMMYFUNCTION("""COMPUTED_VALUE"""),"KidsFox")</f>
        <v/>
      </c>
      <c r="X795" s="1">
        <f>IFERROR(__xludf.DUMMYFUNCTION("""COMPUTED_VALUE"""),"The Daycare-Messenger 3 in 1: Messenger, digital assistant and organisation. With cloud storage, video conference &amp; group chats. Especially for daycare centers and kindergartens.")</f>
        <v/>
      </c>
      <c r="Y795" s="15">
        <f>IFERROR(__xludf.DUMMYFUNCTION("""COMPUTED_VALUE"""),"https://drive.google.com/uc?export=view&amp;id=1q_3SDTgatc_qWNB_MCxUNABrcAe9dBjz")</f>
        <v/>
      </c>
      <c r="Z795" s="1">
        <f>IFERROR(__xludf.DUMMYFUNCTION("""COMPUTED_VALUE"""),"Unverified")</f>
        <v/>
      </c>
      <c r="AA795" s="1" t="n"/>
      <c r="AB795" s="1" t="n"/>
      <c r="AC795" s="1" t="n"/>
      <c r="AD795" s="1" t="n"/>
      <c r="AE795" s="1" t="n"/>
    </row>
    <row r="796" ht="42" customHeight="1">
      <c r="A796" s="14">
        <f>IFERROR(__xludf.DUMMYFUNCTION("""COMPUTED_VALUE"""),45181)</f>
        <v/>
      </c>
      <c r="B796" s="1">
        <f>IFERROR(__xludf.DUMMYFUNCTION("""COMPUTED_VALUE"""),"ORG_1687")</f>
        <v/>
      </c>
      <c r="C796" s="1">
        <f>IFERROR(__xludf.DUMMYFUNCTION("""COMPUTED_VALUE"""),TRUE)</f>
        <v/>
      </c>
      <c r="D796" s="1">
        <f>IFERROR(__xludf.DUMMYFUNCTION("""COMPUTED_VALUE"""),"HP-appen")</f>
        <v/>
      </c>
      <c r="E796" s="15">
        <f>IFERROR(__xludf.DUMMYFUNCTION("""COMPUTED_VALUE"""),"Hpappen.se")</f>
        <v/>
      </c>
      <c r="F796" s="1">
        <f>IFERROR(__xludf.DUMMYFUNCTION("""COMPUTED_VALUE"""),"HP-appen is an upcoming learning platform where student can prepare for the SweSAT exam (Högskoleprovet), a Swedish university admission exam with 100k test takers yearly.")</f>
        <v/>
      </c>
      <c r="G796" s="1">
        <f>IFERROR(__xludf.DUMMYFUNCTION("""COMPUTED_VALUE"""),"I'm not part of any EdTech association")</f>
        <v/>
      </c>
      <c r="H796" s="1" t="n"/>
      <c r="I796" s="1" t="n"/>
      <c r="J796" s="1">
        <f>IFERROR(__xludf.DUMMYFUNCTION("""COMPUTED_VALUE"""),"+46704326924")</f>
        <v/>
      </c>
      <c r="K796" s="1">
        <f>IFERROR(__xludf.DUMMYFUNCTION("""COMPUTED_VALUE"""),"HANDEN")</f>
        <v/>
      </c>
      <c r="L796" s="1">
        <f>IFERROR(__xludf.DUMMYFUNCTION("""COMPUTED_VALUE"""),"Sweden")</f>
        <v/>
      </c>
      <c r="M796" s="1">
        <f>IFERROR(__xludf.DUMMYFUNCTION("""COMPUTED_VALUE"""),"Sweden")</f>
        <v/>
      </c>
      <c r="N796" s="1">
        <f>IFERROR(__xludf.DUMMYFUNCTION("""COMPUTED_VALUE"""),"0 to 10")</f>
        <v/>
      </c>
      <c r="O796" s="1">
        <f>IFERROR(__xludf.DUMMYFUNCTION("""COMPUTED_VALUE"""),"Business to Consumer")</f>
        <v/>
      </c>
      <c r="P796" s="1">
        <f>IFERROR(__xludf.DUMMYFUNCTION("""COMPUTED_VALUE"""),"Higher Education")</f>
        <v/>
      </c>
      <c r="Q796" s="1">
        <f>IFERROR(__xludf.DUMMYFUNCTION("""COMPUTED_VALUE"""),"Student interfacing")</f>
        <v/>
      </c>
      <c r="R796" s="1" t="n"/>
      <c r="S796" s="1" t="n"/>
      <c r="T796" s="1" t="n"/>
      <c r="U796" s="1" t="n"/>
      <c r="V796" s="1" t="n"/>
      <c r="W796" s="1" t="n"/>
      <c r="X796" s="1" t="n"/>
      <c r="Y796" s="15">
        <f>IFERROR(__xludf.DUMMYFUNCTION("""COMPUTED_VALUE"""),"https://drive.google.com/uc?export=view&amp;id=1NQnIfzFykDi1DSvhIjBsyUJng4L8bkFI")</f>
        <v/>
      </c>
      <c r="Z796" s="1">
        <f>IFERROR(__xludf.DUMMYFUNCTION("""COMPUTED_VALUE"""),"Unverified")</f>
        <v/>
      </c>
      <c r="AA796" s="1" t="n"/>
      <c r="AB796" s="1" t="n"/>
      <c r="AC796" s="1" t="n"/>
      <c r="AD796" s="1" t="n"/>
      <c r="AE796" s="1" t="n"/>
    </row>
    <row r="797" ht="42" customHeight="1">
      <c r="A797" s="14">
        <f>IFERROR(__xludf.DUMMYFUNCTION("""COMPUTED_VALUE"""),45181)</f>
        <v/>
      </c>
      <c r="B797" s="1">
        <f>IFERROR(__xludf.DUMMYFUNCTION("""COMPUTED_VALUE"""),"ORG_1975")</f>
        <v/>
      </c>
      <c r="C797" s="1">
        <f>IFERROR(__xludf.DUMMYFUNCTION("""COMPUTED_VALUE"""),TRUE)</f>
        <v/>
      </c>
      <c r="D797" s="1">
        <f>IFERROR(__xludf.DUMMYFUNCTION("""COMPUTED_VALUE"""),"Mobile Learning Labs")</f>
        <v/>
      </c>
      <c r="E797" s="15">
        <f>IFERROR(__xludf.DUMMYFUNCTION("""COMPUTED_VALUE"""),"www.ml-labs.com")</f>
        <v/>
      </c>
      <c r="F797" s="1">
        <f>IFERROR(__xludf.DUMMYFUNCTION("""COMPUTED_VALUE"""),"Quizzer® is the perfect complement to seminars or web-based training when it comes to turning information into lasting knowledge. Other practical applications include employer branding.
The ""learning is fun"" approach of Quizzer® ensures high acceptance"&amp;" among employees and, although it is an optional training tool, encourages intensive use.
Quizzer is offered as a whitelabel solution and each customer uses individual apps and customised systems.
Quizzer® has been used for years in companies of various"&amp;" sizes, including associations, schools, training providers and also various DAX companies.")</f>
        <v/>
      </c>
      <c r="G797" s="1">
        <f>IFERROR(__xludf.DUMMYFUNCTION("""COMPUTED_VALUE"""),"I'm not part of any EdTech association")</f>
        <v/>
      </c>
      <c r="H797" s="1" t="n"/>
      <c r="I797" s="1">
        <f>IFERROR(__xludf.DUMMYFUNCTION("""COMPUTED_VALUE"""),"christian.kiefer@ml-labs.com")</f>
        <v/>
      </c>
      <c r="J797" s="1">
        <f>IFERROR(__xludf.DUMMYFUNCTION("""COMPUTED_VALUE"""),"+491608220200")</f>
        <v/>
      </c>
      <c r="K797" s="1">
        <f>IFERROR(__xludf.DUMMYFUNCTION("""COMPUTED_VALUE"""),"Berlin")</f>
        <v/>
      </c>
      <c r="L797" s="1">
        <f>IFERROR(__xludf.DUMMYFUNCTION("""COMPUTED_VALUE"""),"Germany")</f>
        <v/>
      </c>
      <c r="M797" s="1">
        <f>IFERROR(__xludf.DUMMYFUNCTION("""COMPUTED_VALUE"""),"Austria, Germany, Italy, Switzerland")</f>
        <v/>
      </c>
      <c r="N797" s="1">
        <f>IFERROR(__xludf.DUMMYFUNCTION("""COMPUTED_VALUE"""),"0 to 10")</f>
        <v/>
      </c>
      <c r="O797" s="1">
        <f>IFERROR(__xludf.DUMMYFUNCTION("""COMPUTED_VALUE"""),"Business to Business")</f>
        <v/>
      </c>
      <c r="P797" s="1">
        <f>IFERROR(__xludf.DUMMYFUNCTION("""COMPUTED_VALUE"""),"Primary Education, Secondary Education, Higher Education, Corporate Training, Lifelong learning/Adult education")</f>
        <v/>
      </c>
      <c r="Q797" s="1">
        <f>IFERROR(__xludf.DUMMYFUNCTION("""COMPUTED_VALUE"""),"Student interfacing, System/Administrative")</f>
        <v/>
      </c>
      <c r="R797" s="1" t="n"/>
      <c r="S797" s="1" t="n"/>
      <c r="T797" s="1" t="n"/>
      <c r="U797" s="1" t="n"/>
      <c r="V797" s="1" t="n"/>
      <c r="W797" s="1" t="n"/>
      <c r="X797" s="1" t="n"/>
      <c r="Y797" s="15">
        <f>IFERROR(__xludf.DUMMYFUNCTION("""COMPUTED_VALUE"""),"https://drive.google.com/uc?export=view&amp;id=1hQpW_3yEuyVf-D2tWTHeTVB_6ovLHOum")</f>
        <v/>
      </c>
      <c r="Z797" s="1">
        <f>IFERROR(__xludf.DUMMYFUNCTION("""COMPUTED_VALUE"""),"Unverified")</f>
        <v/>
      </c>
      <c r="AA797" s="1" t="n"/>
      <c r="AB797" s="1" t="n"/>
      <c r="AC797" s="1" t="n"/>
      <c r="AD797" s="1" t="n"/>
      <c r="AE797" s="1" t="n"/>
    </row>
    <row r="798" ht="42" customHeight="1">
      <c r="A798" s="14">
        <f>IFERROR(__xludf.DUMMYFUNCTION("""COMPUTED_VALUE"""),45181)</f>
        <v/>
      </c>
      <c r="B798" s="1">
        <f>IFERROR(__xludf.DUMMYFUNCTION("""COMPUTED_VALUE"""),"ORG_1035")</f>
        <v/>
      </c>
      <c r="C798" s="1">
        <f>IFERROR(__xludf.DUMMYFUNCTION("""COMPUTED_VALUE"""),TRUE)</f>
        <v/>
      </c>
      <c r="D798" s="1">
        <f>IFERROR(__xludf.DUMMYFUNCTION("""COMPUTED_VALUE"""),"Adaptiv Me")</f>
        <v/>
      </c>
      <c r="E798" s="15">
        <f>IFERROR(__xludf.DUMMYFUNCTION("""COMPUTED_VALUE"""),"https://www.adaptiv.me/")</f>
        <v/>
      </c>
      <c r="F798" s="1">
        <f>IFERROR(__xludf.DUMMYFUNCTION("""COMPUTED_VALUE"""),"A full-stack career intelligence platform that helps students and young professionals achieve their professional goals by providing them AI-generated career recipes mapped to tailor-made micro-courses.")</f>
        <v/>
      </c>
      <c r="G798" s="1">
        <f>IFERROR(__xludf.DUMMYFUNCTION("""COMPUTED_VALUE"""),"I'm not part of any EdTech association")</f>
        <v/>
      </c>
      <c r="H798" s="1">
        <f>IFERROR(__xludf.DUMMYFUNCTION("""COMPUTED_VALUE"""),"English")</f>
        <v/>
      </c>
      <c r="I798" s="1">
        <f>IFERROR(__xludf.DUMMYFUNCTION("""COMPUTED_VALUE"""),"hello@adaptiv.me")</f>
        <v/>
      </c>
      <c r="J798" s="1" t="n"/>
      <c r="K798" s="1">
        <f>IFERROR(__xludf.DUMMYFUNCTION("""COMPUTED_VALUE"""),"MEYLAN")</f>
        <v/>
      </c>
      <c r="L798" s="1">
        <f>IFERROR(__xludf.DUMMYFUNCTION("""COMPUTED_VALUE"""),"France")</f>
        <v/>
      </c>
      <c r="M798" s="1">
        <f>IFERROR(__xludf.DUMMYFUNCTION("""COMPUTED_VALUE"""),"Belgium, Denmark, France, Germany, Ireland, Italy, Luxembourg, Monaco, Netherlands, Spain, Sweden, Switzerland, United Kingdom")</f>
        <v/>
      </c>
      <c r="N798" s="1">
        <f>IFERROR(__xludf.DUMMYFUNCTION("""COMPUTED_VALUE"""),"3 to 5")</f>
        <v/>
      </c>
      <c r="O798" s="1">
        <f>IFERROR(__xludf.DUMMYFUNCTION("""COMPUTED_VALUE"""),"Business to Consumer")</f>
        <v/>
      </c>
      <c r="P798" s="1">
        <f>IFERROR(__xludf.DUMMYFUNCTION("""COMPUTED_VALUE"""),"Lifelong learning/Adult education")</f>
        <v/>
      </c>
      <c r="Q798" s="1">
        <f>IFERROR(__xludf.DUMMYFUNCTION("""COMPUTED_VALUE"""),"Student interfacing")</f>
        <v/>
      </c>
      <c r="R798" s="15">
        <f>IFERROR(__xludf.DUMMYFUNCTION("""COMPUTED_VALUE"""),"https://www.instagram.com/adaptiv.me/")</f>
        <v/>
      </c>
      <c r="S798" s="15">
        <f>IFERROR(__xludf.DUMMYFUNCTION("""COMPUTED_VALUE"""),"https://twitter.com/adaptiv_me")</f>
        <v/>
      </c>
      <c r="T798" s="15">
        <f>IFERROR(__xludf.DUMMYFUNCTION("""COMPUTED_VALUE"""),"https://www.linkedin.com/company/adaptiv-me")</f>
        <v/>
      </c>
      <c r="U798" s="1">
        <f>IFERROR(__xludf.DUMMYFUNCTION("""COMPUTED_VALUE"""),"Adaptiv Me")</f>
        <v/>
      </c>
      <c r="V798" s="1">
        <f>IFERROR(__xludf.DUMMYFUNCTION("""COMPUTED_VALUE"""),"Users can rely on the algorithms of Ada, the AI-powered career mentor to get career recipes generated for our users based on their professional goals, skills and interests by Ada’s AI. They can explore career recipes generated for other users, or chat wit"&amp;"h Ada about their current skills, passions and career objectives, to get a tailor-made career recipe generated.")</f>
        <v/>
      </c>
      <c r="W798" s="1" t="n"/>
      <c r="X798" s="1" t="n"/>
      <c r="Y798" s="15">
        <f>IFERROR(__xludf.DUMMYFUNCTION("""COMPUTED_VALUE"""),"https://drive.google.com/uc?export=view&amp;id=1ZvKT6Z_QgF3m-ji_Emh35Iw1TWAZW2Sf")</f>
        <v/>
      </c>
      <c r="Z798" s="1">
        <f>IFERROR(__xludf.DUMMYFUNCTION("""COMPUTED_VALUE"""),"Unverified")</f>
        <v/>
      </c>
      <c r="AA798" s="1" t="n"/>
      <c r="AB798" s="1" t="n"/>
      <c r="AC798" s="1" t="n"/>
      <c r="AD798" s="1" t="n"/>
      <c r="AE798" s="1" t="n"/>
    </row>
    <row r="799" ht="42" customHeight="1">
      <c r="A799" s="14">
        <f>IFERROR(__xludf.DUMMYFUNCTION("""COMPUTED_VALUE"""),45181)</f>
        <v/>
      </c>
      <c r="B799" s="1">
        <f>IFERROR(__xludf.DUMMYFUNCTION("""COMPUTED_VALUE"""),"ORG_1217")</f>
        <v/>
      </c>
      <c r="C799" s="1">
        <f>IFERROR(__xludf.DUMMYFUNCTION("""COMPUTED_VALUE"""),TRUE)</f>
        <v/>
      </c>
      <c r="D799" s="1">
        <f>IFERROR(__xludf.DUMMYFUNCTION("""COMPUTED_VALUE"""),"Capitan Pomelo")</f>
        <v/>
      </c>
      <c r="E799" s="15">
        <f>IFERROR(__xludf.DUMMYFUNCTION("""COMPUTED_VALUE"""),"www.capitanpomelo.com")</f>
        <v/>
      </c>
      <c r="F799" s="1">
        <f>IFERROR(__xludf.DUMMYFUNCTION("""COMPUTED_VALUE"""),"Our company loves communication and intercultural projects. We believe each individual has power to change and make their community better 
Capitan Pomelo empower kids and teens using comunication in different languages to think, create and understand cul"&amp;"tural differences being part of the same community. 
Its main pillars are students, gamification and tech tools to make each experience unique and out of this world.")</f>
        <v/>
      </c>
      <c r="G799" s="1">
        <f>IFERROR(__xludf.DUMMYFUNCTION("""COMPUTED_VALUE"""),"EduTech Cluster Spain")</f>
        <v/>
      </c>
      <c r="H799" s="1" t="n"/>
      <c r="I799" s="1">
        <f>IFERROR(__xludf.DUMMYFUNCTION("""COMPUTED_VALUE"""),"hello@capitanpomelo.com")</f>
        <v/>
      </c>
      <c r="J799" s="1">
        <f>IFERROR(__xludf.DUMMYFUNCTION("""COMPUTED_VALUE"""),"+34617658142")</f>
        <v/>
      </c>
      <c r="K799" s="1">
        <f>IFERROR(__xludf.DUMMYFUNCTION("""COMPUTED_VALUE"""),"MURCIA")</f>
        <v/>
      </c>
      <c r="L799" s="1">
        <f>IFERROR(__xludf.DUMMYFUNCTION("""COMPUTED_VALUE"""),"Spain")</f>
        <v/>
      </c>
      <c r="M799" s="1">
        <f>IFERROR(__xludf.DUMMYFUNCTION("""COMPUTED_VALUE"""),"Spain")</f>
        <v/>
      </c>
      <c r="N799" s="1">
        <f>IFERROR(__xludf.DUMMYFUNCTION("""COMPUTED_VALUE"""),"0 to 10")</f>
        <v/>
      </c>
      <c r="O799" s="1">
        <f>IFERROR(__xludf.DUMMYFUNCTION("""COMPUTED_VALUE"""),"Business to Consumer")</f>
        <v/>
      </c>
      <c r="P799" s="1">
        <f>IFERROR(__xludf.DUMMYFUNCTION("""COMPUTED_VALUE"""),"Primary Education, Secondary Education")</f>
        <v/>
      </c>
      <c r="Q799" s="1">
        <f>IFERROR(__xludf.DUMMYFUNCTION("""COMPUTED_VALUE"""),"System/Administrative, Student interfacing")</f>
        <v/>
      </c>
      <c r="R799" s="15">
        <f>IFERROR(__xludf.DUMMYFUNCTION("""COMPUTED_VALUE"""),"https://www.instagram.com/capitan.pomelo/")</f>
        <v/>
      </c>
      <c r="S799" s="1" t="n"/>
      <c r="T799" s="15">
        <f>IFERROR(__xludf.DUMMYFUNCTION("""COMPUTED_VALUE"""),"https://www.linkedin.com/in/sanda-luca-939b32140/")</f>
        <v/>
      </c>
      <c r="U799" s="1">
        <f>IFERROR(__xludf.DUMMYFUNCTION("""COMPUTED_VALUE"""),"Pack Pro: Kids")</f>
        <v/>
      </c>
      <c r="V799" s="1">
        <f>IFERROR(__xludf.DUMMYFUNCTION("""COMPUTED_VALUE"""),"3-month packs
Age: 6 to 10
How long: 2 28' sessions per week.
How?: individual sessions.
Methodology: communication and gamification
Progress: measure CEFL
AIM: create the habit of having conversation feeling in control from an early age")</f>
        <v/>
      </c>
      <c r="W799" s="1">
        <f>IFERROR(__xludf.DUMMYFUNCTION("""COMPUTED_VALUE"""),"Pack Mix: Teens")</f>
        <v/>
      </c>
      <c r="X799" s="1">
        <f>IFERROR(__xludf.DUMMYFUNCTION("""COMPUTED_VALUE"""),"3-month packs
Age: 11 to 18
How long: 2 28' sessions per week.
How?: 1 individual &amp; 1 in a group.
Methodology: communication and developing personal professional and intercultural skills
Progress: measure CEFL
AIM: create the habit of active listening wit"&amp;"h an open mindset, using critical thinking, and practical tools that could help them to collaborate with others and solve problems both at work and life.")</f>
        <v/>
      </c>
      <c r="Y799" s="15">
        <f>IFERROR(__xludf.DUMMYFUNCTION("""COMPUTED_VALUE"""),"https://drive.google.com/uc?export=view&amp;id=1ZxTAqVCIHAu44PZoSP1D462Ebi4Se1Dk")</f>
        <v/>
      </c>
      <c r="Z799" s="1">
        <f>IFERROR(__xludf.DUMMYFUNCTION("""COMPUTED_VALUE"""),"Unverified")</f>
        <v/>
      </c>
      <c r="AA799" s="1" t="n"/>
      <c r="AB799" s="1" t="n"/>
      <c r="AC799" s="1" t="n"/>
      <c r="AD799" s="1" t="n"/>
      <c r="AE799" s="1" t="n"/>
    </row>
    <row r="800" ht="42" customHeight="1">
      <c r="A800" s="14">
        <f>IFERROR(__xludf.DUMMYFUNCTION("""COMPUTED_VALUE"""),45181)</f>
        <v/>
      </c>
      <c r="B800" s="1">
        <f>IFERROR(__xludf.DUMMYFUNCTION("""COMPUTED_VALUE"""),"ORG_1565")</f>
        <v/>
      </c>
      <c r="C800" s="1">
        <f>IFERROR(__xludf.DUMMYFUNCTION("""COMPUTED_VALUE"""),TRUE)</f>
        <v/>
      </c>
      <c r="D800" s="1">
        <f>IFERROR(__xludf.DUMMYFUNCTION("""COMPUTED_VALUE"""),"Find My Programme")</f>
        <v/>
      </c>
      <c r="E800" s="15">
        <f>IFERROR(__xludf.DUMMYFUNCTION("""COMPUTED_VALUE"""),"www.findmyprogramme.com")</f>
        <v/>
      </c>
      <c r="F800" s="1">
        <f>IFERROR(__xludf.DUMMYFUNCTION("""COMPUTED_VALUE"""),"In Find My Programme we believe that education can be life-changing and everybody should have access to it. We know first-hand how transformational higher education can be. That’s why we’ve joined forces to create an educational portal where prospective s"&amp;"tudents can browse and compare university programmes to find the best fit for them. 
Our aim is to help prospect students to make the right study choice for their future. We’re inspired by the many stories we’ve heard from students, who have furthered th"&amp;"eir own success and helped their communities through education.
We realize that decision about education is a very important step in everybody's life and we want to help with making this decision a little easier.")</f>
        <v/>
      </c>
      <c r="G800" s="1">
        <f>IFERROR(__xludf.DUMMYFUNCTION("""COMPUTED_VALUE"""),"Dutch EdTech")</f>
        <v/>
      </c>
      <c r="H800" s="1" t="n"/>
      <c r="I800" s="1">
        <f>IFERROR(__xludf.DUMMYFUNCTION("""COMPUTED_VALUE"""),"bgalkowska@findmyprogramme.com")</f>
        <v/>
      </c>
      <c r="J800" s="1">
        <f>IFERROR(__xludf.DUMMYFUNCTION("""COMPUTED_VALUE"""),"+31623448087")</f>
        <v/>
      </c>
      <c r="K800" s="1">
        <f>IFERROR(__xludf.DUMMYFUNCTION("""COMPUTED_VALUE"""),"AMSTELVEEN")</f>
        <v/>
      </c>
      <c r="L800" s="1">
        <f>IFERROR(__xludf.DUMMYFUNCTION("""COMPUTED_VALUE"""),"The Netherlands")</f>
        <v/>
      </c>
      <c r="M800"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800" s="1">
        <f>IFERROR(__xludf.DUMMYFUNCTION("""COMPUTED_VALUE"""),"0 to 10")</f>
        <v/>
      </c>
      <c r="O800" s="1">
        <f>IFERROR(__xludf.DUMMYFUNCTION("""COMPUTED_VALUE"""),"Business to Schools")</f>
        <v/>
      </c>
      <c r="P800" s="1">
        <f>IFERROR(__xludf.DUMMYFUNCTION("""COMPUTED_VALUE"""),"Higher Education, Corporate Training, Lifelong learning/Adult education")</f>
        <v/>
      </c>
      <c r="Q800" s="1">
        <f>IFERROR(__xludf.DUMMYFUNCTION("""COMPUTED_VALUE"""),"System/Administrative, Student interfacing")</f>
        <v/>
      </c>
      <c r="R800" s="1" t="n"/>
      <c r="S800" s="1" t="n"/>
      <c r="T800" s="1" t="n"/>
      <c r="U800" s="1" t="n"/>
      <c r="V800" s="1" t="n"/>
      <c r="W800" s="1" t="n"/>
      <c r="X800" s="1" t="n"/>
      <c r="Y800" s="15">
        <f>IFERROR(__xludf.DUMMYFUNCTION("""COMPUTED_VALUE"""),"https://drive.google.com/uc?export=view&amp;id=1slKGj5SF0KLAUM7kFDXa-957HEIIRA4v")</f>
        <v/>
      </c>
      <c r="Z800" s="1">
        <f>IFERROR(__xludf.DUMMYFUNCTION("""COMPUTED_VALUE"""),"Unverified")</f>
        <v/>
      </c>
      <c r="AA800" s="1" t="n"/>
      <c r="AB800" s="1" t="n"/>
      <c r="AC800" s="1" t="n"/>
      <c r="AD800" s="1" t="n"/>
      <c r="AE800" s="1" t="n"/>
    </row>
    <row r="801" ht="42" customHeight="1">
      <c r="A801" s="14">
        <f>IFERROR(__xludf.DUMMYFUNCTION("""COMPUTED_VALUE"""),45181)</f>
        <v/>
      </c>
      <c r="B801" s="1">
        <f>IFERROR(__xludf.DUMMYFUNCTION("""COMPUTED_VALUE"""),"ORG_1225")</f>
        <v/>
      </c>
      <c r="C801" s="1">
        <f>IFERROR(__xludf.DUMMYFUNCTION("""COMPUTED_VALUE"""),TRUE)</f>
        <v/>
      </c>
      <c r="D801" s="1">
        <f>IFERROR(__xludf.DUMMYFUNCTION("""COMPUTED_VALUE"""),"Cephalus AI")</f>
        <v/>
      </c>
      <c r="E801" s="15">
        <f>IFERROR(__xludf.DUMMYFUNCTION("""COMPUTED_VALUE"""),"https://cephalus.ai/")</f>
        <v/>
      </c>
      <c r="F801" s="1">
        <f>IFERROR(__xludf.DUMMYFUNCTION("""COMPUTED_VALUE"""),"Cephalus AI is a mentorship platform, having real insight into employees’ potentials and capabilities observed directly from real tasks employees are performing in the company.
Cephalus AI system is doing sophisticated analysis and provides guidance and a"&amp;"ssistance in creating an optimal career path for every employee.")</f>
        <v/>
      </c>
      <c r="G801" s="1">
        <f>IFERROR(__xludf.DUMMYFUNCTION("""COMPUTED_VALUE"""),"I'm not part of any EdTech association")</f>
        <v/>
      </c>
      <c r="H801" s="1" t="n"/>
      <c r="I801" s="1">
        <f>IFERROR(__xludf.DUMMYFUNCTION("""COMPUTED_VALUE"""),"info@cephalus.ai")</f>
        <v/>
      </c>
      <c r="J801" s="1">
        <f>IFERROR(__xludf.DUMMYFUNCTION("""COMPUTED_VALUE"""),"+420 607 087 374")</f>
        <v/>
      </c>
      <c r="K801" s="1">
        <f>IFERROR(__xludf.DUMMYFUNCTION("""COMPUTED_VALUE"""),"BRNO")</f>
        <v/>
      </c>
      <c r="L801" s="1">
        <f>IFERROR(__xludf.DUMMYFUNCTION("""COMPUTED_VALUE"""),"Czech Republic")</f>
        <v/>
      </c>
      <c r="M801" s="1">
        <f>IFERROR(__xludf.DUMMYFUNCTION("""COMPUTED_VALUE"""),"Czechia, Serbia")</f>
        <v/>
      </c>
      <c r="N801" s="1">
        <f>IFERROR(__xludf.DUMMYFUNCTION("""COMPUTED_VALUE"""),"0 to 10")</f>
        <v/>
      </c>
      <c r="O801" s="1">
        <f>IFERROR(__xludf.DUMMYFUNCTION("""COMPUTED_VALUE"""),"Business to Business, Business to Consumer")</f>
        <v/>
      </c>
      <c r="P801" s="1">
        <f>IFERROR(__xludf.DUMMYFUNCTION("""COMPUTED_VALUE"""),"Early childhood development (0-5 years), Primary Education, Secondary Education, Higher Education, Corporate Training, Lifelong learning/Adult education")</f>
        <v/>
      </c>
      <c r="Q801" s="1">
        <f>IFERROR(__xludf.DUMMYFUNCTION("""COMPUTED_VALUE"""),"Student interfacing, Teacher interfacing, System/Administrative")</f>
        <v/>
      </c>
      <c r="R801" s="1" t="n"/>
      <c r="S801" s="1" t="n"/>
      <c r="T801" s="1" t="n"/>
      <c r="U801" s="1" t="n"/>
      <c r="V801" s="1" t="n"/>
      <c r="W801" s="1" t="n"/>
      <c r="X801" s="1" t="n"/>
      <c r="Y801" s="15">
        <f>IFERROR(__xludf.DUMMYFUNCTION("""COMPUTED_VALUE"""),"https://drive.google.com/uc?export=view&amp;id=1wSOF2Mndr2rYocRVnCbYYchVfD1Wyefa")</f>
        <v/>
      </c>
      <c r="Z801" s="1">
        <f>IFERROR(__xludf.DUMMYFUNCTION("""COMPUTED_VALUE"""),"Unverified")</f>
        <v/>
      </c>
      <c r="AA801" s="1" t="n"/>
      <c r="AB801" s="1" t="n"/>
      <c r="AC801" s="1" t="n"/>
      <c r="AD801" s="1" t="n"/>
      <c r="AE801" s="1" t="n"/>
    </row>
    <row r="802" ht="42" customHeight="1">
      <c r="A802" s="14">
        <f>IFERROR(__xludf.DUMMYFUNCTION("""COMPUTED_VALUE"""),45181)</f>
        <v/>
      </c>
      <c r="B802" s="1">
        <f>IFERROR(__xludf.DUMMYFUNCTION("""COMPUTED_VALUE"""),"ORG_1751")</f>
        <v/>
      </c>
      <c r="C802" s="1">
        <f>IFERROR(__xludf.DUMMYFUNCTION("""COMPUTED_VALUE"""),TRUE)</f>
        <v/>
      </c>
      <c r="D802" s="1">
        <f>IFERROR(__xludf.DUMMYFUNCTION("""COMPUTED_VALUE"""),"IZZI")</f>
        <v/>
      </c>
      <c r="E802" s="1">
        <f>IFERROR(__xludf.DUMMYFUNCTION("""COMPUTED_VALUE"""),"izzi.digital")</f>
        <v/>
      </c>
      <c r="F802" s="1">
        <f>IFERROR(__xludf.DUMMYFUNCTION("""COMPUTED_VALUE"""),"IZZI is a brand name for a set of tools, services and applications for creation and distribution of digital educational content. It was created by Profil Klett, educational publisher from Croatia, EU, which is a part of Klett group – an education company "&amp;"that operates around the world with more than 70 companies in 17 countries.
If you have a need to create digital educational publications, we are here to offer our services, knowledge and experience together with the tool we created to stand out from the "&amp;"outdated solutions present on the market today.")</f>
        <v/>
      </c>
      <c r="G802" s="1">
        <f>IFERROR(__xludf.DUMMYFUNCTION("""COMPUTED_VALUE"""),"I'm not part of any EdTech association")</f>
        <v/>
      </c>
      <c r="H802" s="1" t="n"/>
      <c r="I802" s="1">
        <f>IFERROR(__xludf.DUMMYFUNCTION("""COMPUTED_VALUE"""),"team@izzi.digital")</f>
        <v/>
      </c>
      <c r="J802" s="1">
        <f>IFERROR(__xludf.DUMMYFUNCTION("""COMPUTED_VALUE"""),"-")</f>
        <v/>
      </c>
      <c r="K802" s="1">
        <f>IFERROR(__xludf.DUMMYFUNCTION("""COMPUTED_VALUE"""),"ZAGREB")</f>
        <v/>
      </c>
      <c r="L802" s="1">
        <f>IFERROR(__xludf.DUMMYFUNCTION("""COMPUTED_VALUE"""),"Croatia")</f>
        <v/>
      </c>
      <c r="M802" s="1">
        <f>IFERROR(__xludf.DUMMYFUNCTION("""COMPUTED_VALUE"""),"Bosnia and Herzegovina, Bulgaria, Croatia, Czechia, Germany, Montenegro, Poland, Romania, Serbia, Slovakia, Slovenia, Ukraine")</f>
        <v/>
      </c>
      <c r="N802" s="1">
        <f>IFERROR(__xludf.DUMMYFUNCTION("""COMPUTED_VALUE"""),"11 to 50")</f>
        <v/>
      </c>
      <c r="O802" s="1">
        <f>IFERROR(__xludf.DUMMYFUNCTION("""COMPUTED_VALUE"""),"Business to Business, Business to Government, Business to Schools")</f>
        <v/>
      </c>
      <c r="P802" s="1">
        <f>IFERROR(__xludf.DUMMYFUNCTION("""COMPUTED_VALUE"""),"Primary Education, Secondary Education, Higher Education")</f>
        <v/>
      </c>
      <c r="Q802" s="1">
        <f>IFERROR(__xludf.DUMMYFUNCTION("""COMPUTED_VALUE"""),"Teacher interfacing, System/Administrative")</f>
        <v/>
      </c>
      <c r="R802" s="1" t="n"/>
      <c r="S802" s="1" t="n"/>
      <c r="T802" s="1" t="n"/>
      <c r="U802" s="1" t="n"/>
      <c r="V802" s="1" t="n"/>
      <c r="W802" s="1" t="n"/>
      <c r="X802" s="1" t="n"/>
      <c r="Y802" s="15">
        <f>IFERROR(__xludf.DUMMYFUNCTION("""COMPUTED_VALUE"""),"https://drive.google.com/uc?export=view&amp;id=1BT-mXZUoOdNTNUdcbqRuQxQ7oucb1x5m")</f>
        <v/>
      </c>
      <c r="Z802" s="1">
        <f>IFERROR(__xludf.DUMMYFUNCTION("""COMPUTED_VALUE"""),"Unverified")</f>
        <v/>
      </c>
      <c r="AA802" s="1" t="n"/>
      <c r="AB802" s="1" t="n"/>
      <c r="AC802" s="1" t="n"/>
      <c r="AD802" s="1" t="n"/>
      <c r="AE802" s="1" t="n"/>
    </row>
    <row r="803" ht="42" customHeight="1">
      <c r="A803" s="14">
        <f>IFERROR(__xludf.DUMMYFUNCTION("""COMPUTED_VALUE"""),45181)</f>
        <v/>
      </c>
      <c r="B803" s="1">
        <f>IFERROR(__xludf.DUMMYFUNCTION("""COMPUTED_VALUE"""),"ORG_2073")</f>
        <v/>
      </c>
      <c r="C803" s="1">
        <f>IFERROR(__xludf.DUMMYFUNCTION("""COMPUTED_VALUE"""),TRUE)</f>
        <v/>
      </c>
      <c r="D803" s="1">
        <f>IFERROR(__xludf.DUMMYFUNCTION("""COMPUTED_VALUE"""),"OpenBootcamp")</f>
        <v/>
      </c>
      <c r="E803" s="15">
        <f>IFERROR(__xludf.DUMMYFUNCTION("""COMPUTED_VALUE"""),"https://open-bootcamp.com/")</f>
        <v/>
      </c>
      <c r="F803" s="1">
        <f>IFERROR(__xludf.DUMMYFUNCTION("""COMPUTED_VALUE"""),"OpenBootcamp is a pioneer Spanish initiative in the education sector that offers continuous quality training for future programmers/developers and a level of employability with real opportunities for professional development, in a unique business model in"&amp;" Spanish, where the cost of training is assumed by the company that hires the student. It is the first free technological training school for developers in Spanish, where the training offer is and always will be totally free for the student. OpenBootcamp "&amp;"aims to promote the development of the technological training most in demand by companies and make it accessible to any citizen free of charge so that, in the future, they can also participate actively and professionally in our digital society, regardless"&amp;" of their socioeconomic conditions. Currently, after reaching 55,000 students, the company has consolidated its position as the largest educational community of Spanish-speaking developers.")</f>
        <v/>
      </c>
      <c r="G803" s="1">
        <f>IFERROR(__xludf.DUMMYFUNCTION("""COMPUTED_VALUE"""),"I'm not part of any EdTech association")</f>
        <v/>
      </c>
      <c r="H803" s="1" t="n"/>
      <c r="I803" s="1">
        <f>IFERROR(__xludf.DUMMYFUNCTION("""COMPUTED_VALUE"""),"hola@open-bootcamp.com")</f>
        <v/>
      </c>
      <c r="J803" s="1" t="n"/>
      <c r="K803" s="1">
        <f>IFERROR(__xludf.DUMMYFUNCTION("""COMPUTED_VALUE"""),"VALENCIA")</f>
        <v/>
      </c>
      <c r="L803" s="1">
        <f>IFERROR(__xludf.DUMMYFUNCTION("""COMPUTED_VALUE"""),"Spain")</f>
        <v/>
      </c>
      <c r="M803" s="1">
        <f>IFERROR(__xludf.DUMMYFUNCTION("""COMPUTED_VALUE"""),"Andorra, Spain")</f>
        <v/>
      </c>
      <c r="N803" s="1">
        <f>IFERROR(__xludf.DUMMYFUNCTION("""COMPUTED_VALUE"""),"11 to 50")</f>
        <v/>
      </c>
      <c r="O803" s="1">
        <f>IFERROR(__xludf.DUMMYFUNCTION("""COMPUTED_VALUE"""),"Business to Business, Business to Schools")</f>
        <v/>
      </c>
      <c r="P803" s="1">
        <f>IFERROR(__xludf.DUMMYFUNCTION("""COMPUTED_VALUE"""),"Higher Education, Corporate Training, Lifelong learning/Adult education")</f>
        <v/>
      </c>
      <c r="Q803" s="1">
        <f>IFERROR(__xludf.DUMMYFUNCTION("""COMPUTED_VALUE"""),"Student interfacing, Teacher interfacing, System/Administrative")</f>
        <v/>
      </c>
      <c r="R803" s="1" t="n"/>
      <c r="S803" s="1" t="n"/>
      <c r="T803" s="1" t="n"/>
      <c r="U803" s="1" t="n"/>
      <c r="V803" s="1" t="n"/>
      <c r="W803" s="1" t="n"/>
      <c r="X803" s="1" t="n"/>
      <c r="Y803" s="15">
        <f>IFERROR(__xludf.DUMMYFUNCTION("""COMPUTED_VALUE"""),"https://drive.google.com/uc?export=view&amp;id=1OD0nv1m3JInncAGQqVek24VRoCr3Y9IC")</f>
        <v/>
      </c>
      <c r="Z803" s="1">
        <f>IFERROR(__xludf.DUMMYFUNCTION("""COMPUTED_VALUE"""),"Unverified")</f>
        <v/>
      </c>
      <c r="AA803" s="1" t="n"/>
      <c r="AB803" s="1" t="n"/>
      <c r="AC803" s="1" t="n"/>
      <c r="AD803" s="1" t="n"/>
      <c r="AE803" s="1" t="n"/>
    </row>
    <row r="804" ht="42" customHeight="1">
      <c r="A804" s="14">
        <f>IFERROR(__xludf.DUMMYFUNCTION("""COMPUTED_VALUE"""),45181)</f>
        <v/>
      </c>
      <c r="B804" s="1">
        <f>IFERROR(__xludf.DUMMYFUNCTION("""COMPUTED_VALUE"""),"ORG_2231")</f>
        <v/>
      </c>
      <c r="C804" s="1">
        <f>IFERROR(__xludf.DUMMYFUNCTION("""COMPUTED_VALUE"""),TRUE)</f>
        <v/>
      </c>
      <c r="D804" s="1">
        <f>IFERROR(__xludf.DUMMYFUNCTION("""COMPUTED_VALUE"""),"Session ApS")</f>
        <v/>
      </c>
      <c r="E804" s="15">
        <f>IFERROR(__xludf.DUMMYFUNCTION("""COMPUTED_VALUE"""),"getsession.com")</f>
        <v/>
      </c>
      <c r="F804" s="1">
        <f>IFERROR(__xludf.DUMMYFUNCTION("""COMPUTED_VALUE"""),"Session is an online platform, connecting educators with students, coaches with coachees, mentors with mentees. We offer a smooth learning experience, onboarding the clients to the platform and helping them connect with the best teachers, coaches and ment"&amp;"ors in the world.
Once on the platform (which can be whitelabelled), you easily book and reschedule sessions, chat with your teacher/coach/mentor/employer, follow the learning journey and track progress. Administrators can easily add and remove students/e"&amp;"mployees, get an overview of their journey, and all payment is automated.")</f>
        <v/>
      </c>
      <c r="G804" s="1">
        <f>IFERROR(__xludf.DUMMYFUNCTION("""COMPUTED_VALUE"""),"EdTech Denmark")</f>
        <v/>
      </c>
      <c r="H804" s="1" t="n"/>
      <c r="I804" s="1">
        <f>IFERROR(__xludf.DUMMYFUNCTION("""COMPUTED_VALUE"""),"phb@getsession.com")</f>
        <v/>
      </c>
      <c r="J804" s="1">
        <f>IFERROR(__xludf.DUMMYFUNCTION("""COMPUTED_VALUE"""),"+45 70605015")</f>
        <v/>
      </c>
      <c r="K804" s="1">
        <f>IFERROR(__xludf.DUMMYFUNCTION("""COMPUTED_VALUE"""),"København K")</f>
        <v/>
      </c>
      <c r="L804" s="1">
        <f>IFERROR(__xludf.DUMMYFUNCTION("""COMPUTED_VALUE"""),"Denmark")</f>
        <v/>
      </c>
      <c r="M804" s="1">
        <f>IFERROR(__xludf.DUMMYFUNCTION("""COMPUTED_VALUE"""),"Austria, Belgium, Denmark, Estonia, Finland, France, Germany, Greece, Hungary, Iceland, Ireland, Italy, Netherlands, Norway, Poland, Portugal, Romania, Spain, Sweden, Switzerland, Turkey, Ukraine, United Kingdom")</f>
        <v/>
      </c>
      <c r="N804" s="1">
        <f>IFERROR(__xludf.DUMMYFUNCTION("""COMPUTED_VALUE"""),"0 to 10")</f>
        <v/>
      </c>
      <c r="O804" s="1">
        <f>IFERROR(__xludf.DUMMYFUNCTION("""COMPUTED_VALUE"""),"Business to Consumer, Business to Government, Business to Schools")</f>
        <v/>
      </c>
      <c r="P804" s="1">
        <f>IFERROR(__xludf.DUMMYFUNCTION("""COMPUTED_VALUE"""),"Higher Education, Corporate Training, Lifelong learning/Adult education")</f>
        <v/>
      </c>
      <c r="Q804" s="1">
        <f>IFERROR(__xludf.DUMMYFUNCTION("""COMPUTED_VALUE"""),"Teacher interfacing, System/Administrative")</f>
        <v/>
      </c>
      <c r="R804" s="15">
        <f>IFERROR(__xludf.DUMMYFUNCTION("""COMPUTED_VALUE"""),"GetSession.com")</f>
        <v/>
      </c>
      <c r="S804" s="1">
        <f>IFERROR(__xludf.DUMMYFUNCTION("""COMPUTED_VALUE"""),"@sessioncoaching")</f>
        <v/>
      </c>
      <c r="T804" s="15">
        <f>IFERROR(__xludf.DUMMYFUNCTION("""COMPUTED_VALUE"""),"https://www.linkedin.com/company/71248948")</f>
        <v/>
      </c>
      <c r="U804" s="1">
        <f>IFERROR(__xludf.DUMMYFUNCTION("""COMPUTED_VALUE"""),"Online Learning Journeys")</f>
        <v/>
      </c>
      <c r="V804" s="1">
        <f>IFERROR(__xludf.DUMMYFUNCTION("""COMPUTED_VALUE"""),"Quick overview of the profile, journey, and coaching/learning needs
Communication through chat
Online booking of sessions - automatic calendar invite
Video sessions held on the platform - online, easy, and flexible")</f>
        <v/>
      </c>
      <c r="W804" s="1">
        <f>IFERROR(__xludf.DUMMYFUNCTION("""COMPUTED_VALUE"""),"Scheduling")</f>
        <v/>
      </c>
      <c r="X804" s="1">
        <f>IFERROR(__xludf.DUMMYFUNCTION("""COMPUTED_VALUE"""),"Easy and smooth scheduling and rescheduling of sessions with coach/mentor/employer. When you book, a calendar invite is sent directly to the inbox and calendar of the coach-coachee / teacher-student")</f>
        <v/>
      </c>
      <c r="Y804" s="15">
        <f>IFERROR(__xludf.DUMMYFUNCTION("""COMPUTED_VALUE"""),"https://drive.google.com/uc?export=view&amp;id=1Hl_NLJ_KaoYgkg17U1QrM-0s9NU6ktHx")</f>
        <v/>
      </c>
      <c r="Z804" s="1">
        <f>IFERROR(__xludf.DUMMYFUNCTION("""COMPUTED_VALUE"""),"Unverified")</f>
        <v/>
      </c>
      <c r="AA804" s="1" t="n"/>
      <c r="AB804" s="1" t="n"/>
      <c r="AC804" s="1" t="n"/>
      <c r="AD804" s="1" t="n"/>
      <c r="AE804" s="1" t="n"/>
    </row>
    <row r="805" ht="42" customHeight="1">
      <c r="A805" s="14">
        <f>IFERROR(__xludf.DUMMYFUNCTION("""COMPUTED_VALUE"""),45181)</f>
        <v/>
      </c>
      <c r="B805" s="1">
        <f>IFERROR(__xludf.DUMMYFUNCTION("""COMPUTED_VALUE"""),"ORG_1362")</f>
        <v/>
      </c>
      <c r="C805" s="1">
        <f>IFERROR(__xludf.DUMMYFUNCTION("""COMPUTED_VALUE"""),TRUE)</f>
        <v/>
      </c>
      <c r="D805" s="1">
        <f>IFERROR(__xludf.DUMMYFUNCTION("""COMPUTED_VALUE"""),"Digitalizap")</f>
        <v/>
      </c>
      <c r="E805" s="15">
        <f>IFERROR(__xludf.DUMMYFUNCTION("""COMPUTED_VALUE"""),"https://digitalizap.com/")</f>
        <v/>
      </c>
      <c r="F805" s="1">
        <f>IFERROR(__xludf.DUMMYFUNCTION("""COMPUTED_VALUE"""),"Digitalitzap is an online training service that offers a wide range of content for the digitization of small businesses.
Our vision is supporting businesses in their adaptation to the digital environment.
Digitalizap app and web is a space where you wil"&amp;"l find online resources to drive a profitable local business.
Every little business has a story, unique and that’s what makes it special.")</f>
        <v/>
      </c>
      <c r="G805" s="1">
        <f>IFERROR(__xludf.DUMMYFUNCTION("""COMPUTED_VALUE"""),"EduTech Cluster Spain")</f>
        <v/>
      </c>
      <c r="H805" s="1" t="n"/>
      <c r="I805" s="1">
        <f>IFERROR(__xludf.DUMMYFUNCTION("""COMPUTED_VALUE"""),"hola@digitalizap.com")</f>
        <v/>
      </c>
      <c r="J805" s="1">
        <f>IFERROR(__xludf.DUMMYFUNCTION("""COMPUTED_VALUE"""),"+34 680 35 73 24")</f>
        <v/>
      </c>
      <c r="K805" s="1">
        <f>IFERROR(__xludf.DUMMYFUNCTION("""COMPUTED_VALUE"""),"barcelona")</f>
        <v/>
      </c>
      <c r="L805" s="1">
        <f>IFERROR(__xludf.DUMMYFUNCTION("""COMPUTED_VALUE"""),"Spain")</f>
        <v/>
      </c>
      <c r="M805" s="1">
        <f>IFERROR(__xludf.DUMMYFUNCTION("""COMPUTED_VALUE"""),"Portugal, Spain")</f>
        <v/>
      </c>
      <c r="N805" s="1">
        <f>IFERROR(__xludf.DUMMYFUNCTION("""COMPUTED_VALUE"""),"0 to 10")</f>
        <v/>
      </c>
      <c r="O805" s="1">
        <f>IFERROR(__xludf.DUMMYFUNCTION("""COMPUTED_VALUE"""),"Business to Business")</f>
        <v/>
      </c>
      <c r="P805" s="1">
        <f>IFERROR(__xludf.DUMMYFUNCTION("""COMPUTED_VALUE"""),"Corporate Training, Lifelong learning/Adult education")</f>
        <v/>
      </c>
      <c r="Q805" s="1">
        <f>IFERROR(__xludf.DUMMYFUNCTION("""COMPUTED_VALUE"""),"System/Administrative")</f>
        <v/>
      </c>
      <c r="R805" s="15">
        <f>IFERROR(__xludf.DUMMYFUNCTION("""COMPUTED_VALUE"""),"https://www.instagram.com/digitalizap.es/")</f>
        <v/>
      </c>
      <c r="S805" s="1" t="n"/>
      <c r="T805" s="15">
        <f>IFERROR(__xludf.DUMMYFUNCTION("""COMPUTED_VALUE"""),"https://www.linkedin.com/company/digitalizap/")</f>
        <v/>
      </c>
      <c r="U805" s="1">
        <f>IFERROR(__xludf.DUMMYFUNCTION("""COMPUTED_VALUE"""),"Digitalizap")</f>
        <v/>
      </c>
      <c r="V805" s="1">
        <f>IFERROR(__xludf.DUMMYFUNCTION("""COMPUTED_VALUE"""),"Digitalitzap is an online training service that offers a wide range of content for the digitization of small shops.
Our vision is supporting businesses in their adaptation to the digital environment.
Digitalizap app and web is a space where you will fin"&amp;"d online resources to drive a profitable local business.
Every little business has a story, unique and that’s what makes it special.")</f>
        <v/>
      </c>
      <c r="W805" s="1" t="n"/>
      <c r="X805" s="1" t="n"/>
      <c r="Y805" s="15">
        <f>IFERROR(__xludf.DUMMYFUNCTION("""COMPUTED_VALUE"""),"https://drive.google.com/uc?export=view&amp;id=1g4v0NOlcnSS4t9hK9U70Mare-6IPIe60")</f>
        <v/>
      </c>
      <c r="Z805" s="1">
        <f>IFERROR(__xludf.DUMMYFUNCTION("""COMPUTED_VALUE"""),"Unverified")</f>
        <v/>
      </c>
      <c r="AA805" s="1" t="n"/>
      <c r="AB805" s="1" t="n"/>
      <c r="AC805" s="1" t="n"/>
      <c r="AD805" s="1" t="n"/>
      <c r="AE805" s="1" t="n"/>
    </row>
    <row r="806" ht="42" customHeight="1">
      <c r="A806" s="14">
        <f>IFERROR(__xludf.DUMMYFUNCTION("""COMPUTED_VALUE"""),45181)</f>
        <v/>
      </c>
      <c r="B806" s="1">
        <f>IFERROR(__xludf.DUMMYFUNCTION("""COMPUTED_VALUE"""),"ORG_1421")</f>
        <v/>
      </c>
      <c r="C806" s="1">
        <f>IFERROR(__xludf.DUMMYFUNCTION("""COMPUTED_VALUE"""),TRUE)</f>
        <v/>
      </c>
      <c r="D806" s="1">
        <f>IFERROR(__xludf.DUMMYFUNCTION("""COMPUTED_VALUE"""),"educ8all")</f>
        <v/>
      </c>
      <c r="E806" s="15">
        <f>IFERROR(__xludf.DUMMYFUNCTION("""COMPUTED_VALUE"""),"https://educ8all.com")</f>
        <v/>
      </c>
      <c r="F806" s="1">
        <f>IFERROR(__xludf.DUMMYFUNCTION("""COMPUTED_VALUE"""),"At educ8all, students can buy:
-Video lesson courses aligned to exam board specifications
-Related downloadable materials such as revision notes
-Sessions with a tutor")</f>
        <v/>
      </c>
      <c r="G806" s="1">
        <f>IFERROR(__xludf.DUMMYFUNCTION("""COMPUTED_VALUE"""),"I'm not part of any EdTech association")</f>
        <v/>
      </c>
      <c r="H806" s="1" t="n"/>
      <c r="I806" s="1">
        <f>IFERROR(__xludf.DUMMYFUNCTION("""COMPUTED_VALUE"""),"info@educ8all.com")</f>
        <v/>
      </c>
      <c r="J806" s="1">
        <f>IFERROR(__xludf.DUMMYFUNCTION("""COMPUTED_VALUE"""),"+447508245108")</f>
        <v/>
      </c>
      <c r="K806" s="1">
        <f>IFERROR(__xludf.DUMMYFUNCTION("""COMPUTED_VALUE"""),"London")</f>
        <v/>
      </c>
      <c r="L806" s="1">
        <f>IFERROR(__xludf.DUMMYFUNCTION("""COMPUTED_VALUE"""),"United Kingdom")</f>
        <v/>
      </c>
      <c r="M806" s="1">
        <f>IFERROR(__xludf.DUMMYFUNCTION("""COMPUTED_VALUE"""),"United Kingdom")</f>
        <v/>
      </c>
      <c r="N806" s="1">
        <f>IFERROR(__xludf.DUMMYFUNCTION("""COMPUTED_VALUE"""),"0 to 10")</f>
        <v/>
      </c>
      <c r="O806" s="1">
        <f>IFERROR(__xludf.DUMMYFUNCTION("""COMPUTED_VALUE"""),"Business to Consumer")</f>
        <v/>
      </c>
      <c r="P806" s="1">
        <f>IFERROR(__xludf.DUMMYFUNCTION("""COMPUTED_VALUE"""),"Secondary Education")</f>
        <v/>
      </c>
      <c r="Q806" s="1">
        <f>IFERROR(__xludf.DUMMYFUNCTION("""COMPUTED_VALUE"""),"System/Administrative, Student interfacing, Teacher interfacing")</f>
        <v/>
      </c>
      <c r="R806" s="1" t="n"/>
      <c r="S806" s="1" t="n"/>
      <c r="T806" s="1" t="n"/>
      <c r="U806" s="1" t="n"/>
      <c r="V806" s="1" t="n"/>
      <c r="W806" s="1" t="n"/>
      <c r="X806" s="1" t="n"/>
      <c r="Y806" s="15">
        <f>IFERROR(__xludf.DUMMYFUNCTION("""COMPUTED_VALUE"""),"https://drive.google.com/uc?export=view&amp;id=1xYuFlZ-0FvLfFf1Y5YII4VUiN-teA6-f")</f>
        <v/>
      </c>
      <c r="Z806" s="1">
        <f>IFERROR(__xludf.DUMMYFUNCTION("""COMPUTED_VALUE"""),"Unverified")</f>
        <v/>
      </c>
      <c r="AA806" s="1" t="n"/>
      <c r="AB806" s="1" t="n"/>
      <c r="AC806" s="1" t="n"/>
      <c r="AD806" s="1" t="n"/>
      <c r="AE806" s="1" t="n"/>
    </row>
    <row r="807" ht="42" customHeight="1">
      <c r="A807" s="14">
        <f>IFERROR(__xludf.DUMMYFUNCTION("""COMPUTED_VALUE"""),45181)</f>
        <v/>
      </c>
      <c r="B807" s="1">
        <f>IFERROR(__xludf.DUMMYFUNCTION("""COMPUTED_VALUE"""),"ORG_1732")</f>
        <v/>
      </c>
      <c r="C807" s="1">
        <f>IFERROR(__xludf.DUMMYFUNCTION("""COMPUTED_VALUE"""),TRUE)</f>
        <v/>
      </c>
      <c r="D807" s="1">
        <f>IFERROR(__xludf.DUMMYFUNCTION("""COMPUTED_VALUE"""),"INTO Financial Coaching")</f>
        <v/>
      </c>
      <c r="E807" s="15">
        <f>IFERROR(__xludf.DUMMYFUNCTION("""COMPUTED_VALUE"""),"https://www.independent-together.com/")</f>
        <v/>
      </c>
      <c r="F807" s="1">
        <f>IFERROR(__xludf.DUMMYFUNCTION("""COMPUTED_VALUE"""),"INTO democratizes financial well-being. We deeply believe that our behavior and mindset are key when it comes to managing our money in a healthy and thriving manner.
We offer a range of classes using a behavioral group-coaching model that enables indepen"&amp;"dent, self-reliant decision-making. We also hold you accountable to actually act on your learnings and offer a wide range of unique tools that will make your personal money management easy. 
Our members meet regularly online and offline. Together we form"&amp;" an engaging, fun and safe tribe where you can work your own financial well being. Independent yet together with likeminded spirits. 
We promise, if you walk the walk with us, you will be at peace with your money within a couple of months. Do it yourself"&amp;" – supported by a strong tribe!")</f>
        <v/>
      </c>
      <c r="G807" s="1">
        <f>IFERROR(__xludf.DUMMYFUNCTION("""COMPUTED_VALUE"""),"I'm not part of any EdTech association")</f>
        <v/>
      </c>
      <c r="H807" s="1" t="n"/>
      <c r="I807" s="1">
        <f>IFERROR(__xludf.DUMMYFUNCTION("""COMPUTED_VALUE"""),"connect@independent-together.com")</f>
        <v/>
      </c>
      <c r="J807" s="1" t="n"/>
      <c r="K807" s="1">
        <f>IFERROR(__xludf.DUMMYFUNCTION("""COMPUTED_VALUE"""),"Berlin")</f>
        <v/>
      </c>
      <c r="L807" s="1">
        <f>IFERROR(__xludf.DUMMYFUNCTION("""COMPUTED_VALUE"""),"Germany")</f>
        <v/>
      </c>
      <c r="M807" s="1">
        <f>IFERROR(__xludf.DUMMYFUNCTION("""COMPUTED_VALUE"""),"Austria, France, Germany, Greece, Ireland, Norway, Poland, Portugal, Spain, Sweden, Switzerland, Ukraine, United Kingdom")</f>
        <v/>
      </c>
      <c r="N807" s="1">
        <f>IFERROR(__xludf.DUMMYFUNCTION("""COMPUTED_VALUE"""),"0 to 10")</f>
        <v/>
      </c>
      <c r="O807" s="1">
        <f>IFERROR(__xludf.DUMMYFUNCTION("""COMPUTED_VALUE"""),"Business to Business, Business to Consumer")</f>
        <v/>
      </c>
      <c r="P807" s="1">
        <f>IFERROR(__xludf.DUMMYFUNCTION("""COMPUTED_VALUE"""),"Corporate Training, Lifelong learning/Adult education")</f>
        <v/>
      </c>
      <c r="Q807" s="1">
        <f>IFERROR(__xludf.DUMMYFUNCTION("""COMPUTED_VALUE"""),"Student interfacing, System/Administrative")</f>
        <v/>
      </c>
      <c r="R807" s="1" t="n"/>
      <c r="S807" s="1" t="n"/>
      <c r="T807" s="1" t="n"/>
      <c r="U807" s="1" t="n"/>
      <c r="V807" s="1" t="n"/>
      <c r="W807" s="1" t="n"/>
      <c r="X807" s="1" t="n"/>
      <c r="Y807" s="15">
        <f>IFERROR(__xludf.DUMMYFUNCTION("""COMPUTED_VALUE"""),"https://drive.google.com/uc?export=view&amp;id=1PMY6h4jIX_XXvo_ySf4kjH1pKHWXjKR_")</f>
        <v/>
      </c>
      <c r="Z807" s="1">
        <f>IFERROR(__xludf.DUMMYFUNCTION("""COMPUTED_VALUE"""),"Unverified")</f>
        <v/>
      </c>
      <c r="AA807" s="1" t="n"/>
      <c r="AB807" s="1" t="n"/>
      <c r="AC807" s="1" t="n"/>
      <c r="AD807" s="1" t="n"/>
      <c r="AE807" s="1" t="n"/>
    </row>
    <row r="808" ht="42" customHeight="1">
      <c r="A808" s="14">
        <f>IFERROR(__xludf.DUMMYFUNCTION("""COMPUTED_VALUE"""),45181)</f>
        <v/>
      </c>
      <c r="B808" s="1">
        <f>IFERROR(__xludf.DUMMYFUNCTION("""COMPUTED_VALUE"""),"ORG_1581")</f>
        <v/>
      </c>
      <c r="C808" s="1">
        <f>IFERROR(__xludf.DUMMYFUNCTION("""COMPUTED_VALUE"""),TRUE)</f>
        <v/>
      </c>
      <c r="D808" s="1">
        <f>IFERROR(__xludf.DUMMYFUNCTION("""COMPUTED_VALUE"""),"FoxEducation Spain")</f>
        <v/>
      </c>
      <c r="E808" s="15">
        <f>IFERROR(__xludf.DUMMYFUNCTION("""COMPUTED_VALUE"""),"https://foxeducation.com/es/")</f>
        <v/>
      </c>
      <c r="F808" s="1">
        <f>IFERROR(__xludf.DUMMYFUNCTION("""COMPUTED_VALUE"""),"FoxEducation helps every educational institution taking the next step into the digital world. As a reliable partner to thousands of schools, daycare centers, boards and municipalities, we support your digitisation at every stage.")</f>
        <v/>
      </c>
      <c r="G808" s="1">
        <f>IFERROR(__xludf.DUMMYFUNCTION("""COMPUTED_VALUE"""),"EduTech Cluster Spain")</f>
        <v/>
      </c>
      <c r="H808" s="1" t="n"/>
      <c r="I808" s="1">
        <f>IFERROR(__xludf.DUMMYFUNCTION("""COMPUTED_VALUE"""),"espana@foxeducation.com")</f>
        <v/>
      </c>
      <c r="J808" s="1" t="n"/>
      <c r="K808" s="1">
        <f>IFERROR(__xludf.DUMMYFUNCTION("""COMPUTED_VALUE"""),"MADRID")</f>
        <v/>
      </c>
      <c r="L808" s="1">
        <f>IFERROR(__xludf.DUMMYFUNCTION("""COMPUTED_VALUE"""),"Spain")</f>
        <v/>
      </c>
      <c r="M808" s="1">
        <f>IFERROR(__xludf.DUMMYFUNCTION("""COMPUTED_VALUE"""),"Spain")</f>
        <v/>
      </c>
      <c r="N808" s="1">
        <f>IFERROR(__xludf.DUMMYFUNCTION("""COMPUTED_VALUE"""),"0 to 10")</f>
        <v/>
      </c>
      <c r="O808" s="1">
        <f>IFERROR(__xludf.DUMMYFUNCTION("""COMPUTED_VALUE"""),"Business to Business")</f>
        <v/>
      </c>
      <c r="P808" s="1">
        <f>IFERROR(__xludf.DUMMYFUNCTION("""COMPUTED_VALUE"""),"Primary Education, Secondary Education")</f>
        <v/>
      </c>
      <c r="Q808" s="1">
        <f>IFERROR(__xludf.DUMMYFUNCTION("""COMPUTED_VALUE"""),"System/Administrative, Teacher interfacing")</f>
        <v/>
      </c>
      <c r="R808" s="15">
        <f>IFERROR(__xludf.DUMMYFUNCTION("""COMPUTED_VALUE"""),"https://www.instagram.com/foxeducation_es/")</f>
        <v/>
      </c>
      <c r="S808" s="1" t="n"/>
      <c r="T808" s="15">
        <f>IFERROR(__xludf.DUMMYFUNCTION("""COMPUTED_VALUE"""),"https://www.linkedin.com/company/foxeducation-espana")</f>
        <v/>
      </c>
      <c r="U808" s="1">
        <f>IFERROR(__xludf.DUMMYFUNCTION("""COMPUTED_VALUE"""),"SchoolFox")</f>
        <v/>
      </c>
      <c r="V808" s="1">
        <f>IFERROR(__xludf.DUMMYFUNCTION("""COMPUTED_VALUE"""),"SchoolFox is an integrated messenger, organiser and LMS. With file storage, group chats and video lessons. For all school types and age groups. This is how school works from anywhere!")</f>
        <v/>
      </c>
      <c r="W808" s="1">
        <f>IFERROR(__xludf.DUMMYFUNCTION("""COMPUTED_VALUE"""),"KidsFox")</f>
        <v/>
      </c>
      <c r="X808" s="1">
        <f>IFERROR(__xludf.DUMMYFUNCTION("""COMPUTED_VALUE"""),"The Daycare-Messenger 3 in 1: Messenger, digital assistant and organisation. With cloud storage, video conference &amp; group chats. Especially for daycare centers and kindergartens.")</f>
        <v/>
      </c>
      <c r="Y808" s="15">
        <f>IFERROR(__xludf.DUMMYFUNCTION("""COMPUTED_VALUE"""),"https://drive.google.com/uc?export=view&amp;id=10jSYGqK0qNd3hBVzcdBQFWbn91Zc8saE")</f>
        <v/>
      </c>
      <c r="Z808" s="1">
        <f>IFERROR(__xludf.DUMMYFUNCTION("""COMPUTED_VALUE"""),"Unverified")</f>
        <v/>
      </c>
      <c r="AA808" s="1" t="n"/>
      <c r="AB808" s="1" t="n"/>
      <c r="AC808" s="1" t="n"/>
      <c r="AD808" s="1" t="n"/>
      <c r="AE808" s="1" t="n"/>
    </row>
    <row r="809" ht="42" customHeight="1">
      <c r="A809" s="14">
        <f>IFERROR(__xludf.DUMMYFUNCTION("""COMPUTED_VALUE"""),45181)</f>
        <v/>
      </c>
      <c r="B809" s="1">
        <f>IFERROR(__xludf.DUMMYFUNCTION("""COMPUTED_VALUE"""),"ORG_1733")</f>
        <v/>
      </c>
      <c r="C809" s="1">
        <f>IFERROR(__xludf.DUMMYFUNCTION("""COMPUTED_VALUE"""),TRUE)</f>
        <v/>
      </c>
      <c r="D809" s="1">
        <f>IFERROR(__xludf.DUMMYFUNCTION("""COMPUTED_VALUE"""),"Intralíneas")</f>
        <v/>
      </c>
      <c r="E809" s="15">
        <f>IFERROR(__xludf.DUMMYFUNCTION("""COMPUTED_VALUE"""),"https://www.intralineas.com/")</f>
        <v/>
      </c>
      <c r="F809" s="1">
        <f>IFERROR(__xludf.DUMMYFUNCTION("""COMPUTED_VALUE"""),"Intralíneas offers a wide selection of texts classified in three levels of dificulty, enriched with questions, notes and tasks to improve reading comprehension, based on best practices in this area; including resources for the explicit teaching of reading"&amp;" comprehension strategies. Teachers can interact with students from the texts, personalise their reading assiggnments and track their performance as a group and individually.")</f>
        <v/>
      </c>
      <c r="G809" s="1">
        <f>IFERROR(__xludf.DUMMYFUNCTION("""COMPUTED_VALUE"""),"I'm not part of any EdTech association")</f>
        <v/>
      </c>
      <c r="H809" s="1" t="n"/>
      <c r="I809" s="1">
        <f>IFERROR(__xludf.DUMMYFUNCTION("""COMPUTED_VALUE"""),"info@intralineas.com")</f>
        <v/>
      </c>
      <c r="J809" s="1">
        <f>IFERROR(__xludf.DUMMYFUNCTION("""COMPUTED_VALUE"""),"+34654411720")</f>
        <v/>
      </c>
      <c r="K809" s="1">
        <f>IFERROR(__xludf.DUMMYFUNCTION("""COMPUTED_VALUE"""),"Madrid")</f>
        <v/>
      </c>
      <c r="L809" s="1">
        <f>IFERROR(__xludf.DUMMYFUNCTION("""COMPUTED_VALUE"""),"Spain")</f>
        <v/>
      </c>
      <c r="M809" s="1">
        <f>IFERROR(__xludf.DUMMYFUNCTION("""COMPUTED_VALUE"""),"Spain")</f>
        <v/>
      </c>
      <c r="N809" s="1">
        <f>IFERROR(__xludf.DUMMYFUNCTION("""COMPUTED_VALUE"""),"0 to 10")</f>
        <v/>
      </c>
      <c r="O809" s="1">
        <f>IFERROR(__xludf.DUMMYFUNCTION("""COMPUTED_VALUE"""),"Business to Government, Business to Schools")</f>
        <v/>
      </c>
      <c r="P809" s="1">
        <f>IFERROR(__xludf.DUMMYFUNCTION("""COMPUTED_VALUE"""),"Primary Education, Secondary Education")</f>
        <v/>
      </c>
      <c r="Q809" s="1">
        <f>IFERROR(__xludf.DUMMYFUNCTION("""COMPUTED_VALUE"""),"Student interfacing, Teacher interfacing")</f>
        <v/>
      </c>
      <c r="R809" s="1" t="n"/>
      <c r="S809" s="1" t="n"/>
      <c r="T809" s="1" t="n"/>
      <c r="U809" s="1" t="n"/>
      <c r="V809" s="1" t="n"/>
      <c r="W809" s="1" t="n"/>
      <c r="X809" s="1" t="n"/>
      <c r="Y809" s="15">
        <f>IFERROR(__xludf.DUMMYFUNCTION("""COMPUTED_VALUE"""),"https://drive.google.com/uc?export=view&amp;id=1T-ztAP3TrpHpfeY97B3FssXt2YiScdrZ")</f>
        <v/>
      </c>
      <c r="Z809" s="1">
        <f>IFERROR(__xludf.DUMMYFUNCTION("""COMPUTED_VALUE"""),"Unverified")</f>
        <v/>
      </c>
      <c r="AA809" s="1" t="n"/>
      <c r="AB809" s="1" t="n"/>
      <c r="AC809" s="1" t="n"/>
      <c r="AD809" s="1" t="n"/>
      <c r="AE809" s="1" t="n"/>
    </row>
    <row r="810" ht="42" customHeight="1">
      <c r="A810" s="14">
        <f>IFERROR(__xludf.DUMMYFUNCTION("""COMPUTED_VALUE"""),45181)</f>
        <v/>
      </c>
      <c r="B810" s="1">
        <f>IFERROR(__xludf.DUMMYFUNCTION("""COMPUTED_VALUE"""),"ORG_2244")</f>
        <v/>
      </c>
      <c r="C810" s="1">
        <f>IFERROR(__xludf.DUMMYFUNCTION("""COMPUTED_VALUE"""),TRUE)</f>
        <v/>
      </c>
      <c r="D810" s="1">
        <f>IFERROR(__xludf.DUMMYFUNCTION("""COMPUTED_VALUE"""),"simpleclub")</f>
        <v/>
      </c>
      <c r="E810" s="15">
        <f>IFERROR(__xludf.DUMMYFUNCTION("""COMPUTED_VALUE"""),"https://simpleclub.com/")</f>
        <v/>
      </c>
      <c r="F810" s="1">
        <f>IFERROR(__xludf.DUMMYFUNCTION("""COMPUTED_VALUE"""),"simpleclub is the most loved learning app for students in Germany with over 2M monthly users. The company offers the best digital learning content for secondary school and apprenticeships, powered by state-of-the art technology.
The content consists of l"&amp;"earning videos, interactive exercises, summaries, personalised learning plans and flashcards. The learning experience is personalised and engaging by using gamification and an at eye level UX.
Created by experts and used by thousands of teachers, simplec"&amp;"lub is not only a product in the afternoon market but already a replacement for traditional learning material.
The company just raised a 7M€ Series A (backed by investors like HV capital) and will start the international expansion to Spain &amp; LATAM end of"&amp;" this year.")</f>
        <v/>
      </c>
      <c r="G810" s="1">
        <f>IFERROR(__xludf.DUMMYFUNCTION("""COMPUTED_VALUE"""),"I'm not part of any EdTech association")</f>
        <v/>
      </c>
      <c r="H810" s="1" t="n"/>
      <c r="I810" s="1">
        <f>IFERROR(__xludf.DUMMYFUNCTION("""COMPUTED_VALUE"""),"support@simpleclub.com")</f>
        <v/>
      </c>
      <c r="J810" s="1" t="n"/>
      <c r="K810" s="1">
        <f>IFERROR(__xludf.DUMMYFUNCTION("""COMPUTED_VALUE"""),"GRUENWALD")</f>
        <v/>
      </c>
      <c r="L810" s="1">
        <f>IFERROR(__xludf.DUMMYFUNCTION("""COMPUTED_VALUE"""),"Germany")</f>
        <v/>
      </c>
      <c r="M810" s="1">
        <f>IFERROR(__xludf.DUMMYFUNCTION("""COMPUTED_VALUE"""),"Austria, Germany, Switzerland")</f>
        <v/>
      </c>
      <c r="N810" s="1">
        <f>IFERROR(__xludf.DUMMYFUNCTION("""COMPUTED_VALUE"""),"51 to 100")</f>
        <v/>
      </c>
      <c r="O810" s="1">
        <f>IFERROR(__xludf.DUMMYFUNCTION("""COMPUTED_VALUE"""),"Business to Business, Business to Consumer")</f>
        <v/>
      </c>
      <c r="P810" s="1">
        <f>IFERROR(__xludf.DUMMYFUNCTION("""COMPUTED_VALUE"""),"Secondary Education, Higher Education, Corporate Training")</f>
        <v/>
      </c>
      <c r="Q810" s="1">
        <f>IFERROR(__xludf.DUMMYFUNCTION("""COMPUTED_VALUE"""),"System/Administrative, Student interfacing, Teacher interfacing")</f>
        <v/>
      </c>
      <c r="R810" s="1" t="n"/>
      <c r="S810" s="1" t="n"/>
      <c r="T810" s="1" t="n"/>
      <c r="U810" s="1" t="n"/>
      <c r="V810" s="1" t="n"/>
      <c r="W810" s="1" t="n"/>
      <c r="X810" s="1" t="n"/>
      <c r="Y810" s="15">
        <f>IFERROR(__xludf.DUMMYFUNCTION("""COMPUTED_VALUE"""),"https://drive.google.com/uc?export=view&amp;id=1mJ9OZBMs2DTmrPAlAMZ4KyaoGXGXhv3G")</f>
        <v/>
      </c>
      <c r="Z810" s="1">
        <f>IFERROR(__xludf.DUMMYFUNCTION("""COMPUTED_VALUE"""),"Unverified")</f>
        <v/>
      </c>
      <c r="AA810" s="1" t="n"/>
      <c r="AB810" s="1" t="n"/>
      <c r="AC810" s="1" t="n"/>
      <c r="AD810" s="1" t="n"/>
      <c r="AE810" s="1" t="n"/>
    </row>
    <row r="811" ht="42" customHeight="1">
      <c r="A811" s="14">
        <f>IFERROR(__xludf.DUMMYFUNCTION("""COMPUTED_VALUE"""),45181)</f>
        <v/>
      </c>
      <c r="B811" s="1">
        <f>IFERROR(__xludf.DUMMYFUNCTION("""COMPUTED_VALUE"""),"ORG_1040")</f>
        <v/>
      </c>
      <c r="C811" s="1">
        <f>IFERROR(__xludf.DUMMYFUNCTION("""COMPUTED_VALUE"""),TRUE)</f>
        <v/>
      </c>
      <c r="D811" s="1">
        <f>IFERROR(__xludf.DUMMYFUNCTION("""COMPUTED_VALUE"""),"Aequaland Studio SA")</f>
        <v/>
      </c>
      <c r="E811" s="15">
        <f>IFERROR(__xludf.DUMMYFUNCTION("""COMPUTED_VALUE"""),"https://aequaland.com/")</f>
        <v/>
      </c>
      <c r="F811" s="1">
        <f>IFERROR(__xludf.DUMMYFUNCTION("""COMPUTED_VALUE"""),"We are making learning inclusive and fun. Here’s how: we are an impact-driven edtech company building a video game platform on a mission to create meaningful games that inspire positive change in the world. We aim to encourage children to celebrate their "&amp;"uniqueness, foster their differences and pursue their dreams. We offer a fully gamified learning platform to schools for kids 6 to 11 years old. We focus on gaming for empowerment versus entertainment. Our digital and physical games foster metacognition, "&amp;"reinforce learning and enhance 21st-century skills. With over 30 years of experience in the field of games and education; we want to create a better world through the experiences we make to inspire and develop the game-changers of tomorrow. Women-owned-fo"&amp;"unded-led edtech startup on a mission to disrupt traditional education!")</f>
        <v/>
      </c>
      <c r="G811" s="1">
        <f>IFERROR(__xludf.DUMMYFUNCTION("""COMPUTED_VALUE"""),"Swiss EdTech Collider")</f>
        <v/>
      </c>
      <c r="H811" s="1" t="n"/>
      <c r="I811" s="1">
        <f>IFERROR(__xludf.DUMMYFUNCTION("""COMPUTED_VALUE"""),"hello@aequaland.com")</f>
        <v/>
      </c>
      <c r="J811" s="1">
        <f>IFERROR(__xludf.DUMMYFUNCTION("""COMPUTED_VALUE"""),"+41787712779")</f>
        <v/>
      </c>
      <c r="K811" s="1">
        <f>IFERROR(__xludf.DUMMYFUNCTION("""COMPUTED_VALUE"""),"LAUSANNE")</f>
        <v/>
      </c>
      <c r="L811" s="1">
        <f>IFERROR(__xludf.DUMMYFUNCTION("""COMPUTED_VALUE"""),"Switzerland")</f>
        <v/>
      </c>
      <c r="M811" s="1">
        <f>IFERROR(__xludf.DUMMYFUNCTION("""COMPUTED_VALUE"""),"Switzerland, United Kingdom")</f>
        <v/>
      </c>
      <c r="N811" s="1">
        <f>IFERROR(__xludf.DUMMYFUNCTION("""COMPUTED_VALUE"""),"0 to 10")</f>
        <v/>
      </c>
      <c r="O811" s="1">
        <f>IFERROR(__xludf.DUMMYFUNCTION("""COMPUTED_VALUE"""),"Business to Business, Business to Schools")</f>
        <v/>
      </c>
      <c r="P811" s="1">
        <f>IFERROR(__xludf.DUMMYFUNCTION("""COMPUTED_VALUE"""),"Primary Education")</f>
        <v/>
      </c>
      <c r="Q811" s="1">
        <f>IFERROR(__xludf.DUMMYFUNCTION("""COMPUTED_VALUE"""),"System/Administrative, Student interfacing, Teacher interfacing")</f>
        <v/>
      </c>
      <c r="R811" s="15">
        <f>IFERROR(__xludf.DUMMYFUNCTION("""COMPUTED_VALUE"""),"https://www.instagram.com/aequaland/")</f>
        <v/>
      </c>
      <c r="S811" s="15">
        <f>IFERROR(__xludf.DUMMYFUNCTION("""COMPUTED_VALUE"""),"https://twitter.com/aequaland")</f>
        <v/>
      </c>
      <c r="T811" s="15">
        <f>IFERROR(__xludf.DUMMYFUNCTION("""COMPUTED_VALUE"""),"https://www.linkedin.com/company/equaland")</f>
        <v/>
      </c>
      <c r="U811" s="1">
        <f>IFERROR(__xludf.DUMMYFUNCTION("""COMPUTED_VALUE"""),"Shivering Slopes")</f>
        <v/>
      </c>
      <c r="V811" s="1">
        <f>IFERROR(__xludf.DUMMYFUNCTION("""COMPUTED_VALUE"""),"The first mini-games are set in the North Pole to bring learning about climate change.")</f>
        <v/>
      </c>
      <c r="W811" s="1">
        <f>IFERROR(__xludf.DUMMYFUNCTION("""COMPUTED_VALUE"""),"Mellow Meadows")</f>
        <v/>
      </c>
      <c r="X811" s="1">
        <f>IFERROR(__xludf.DUMMYFUNCTION("""COMPUTED_VALUE"""),"The second focused on bees and conservation.")</f>
        <v/>
      </c>
      <c r="Y811" s="15">
        <f>IFERROR(__xludf.DUMMYFUNCTION("""COMPUTED_VALUE"""),"https://drive.google.com/uc?export=view&amp;id=1N5Ty4o3b_NDTZ_bP-Uk2ycUv0WIg1Jd5")</f>
        <v/>
      </c>
      <c r="Z811" s="1">
        <f>IFERROR(__xludf.DUMMYFUNCTION("""COMPUTED_VALUE"""),"Unverified")</f>
        <v/>
      </c>
      <c r="AA811" s="1" t="n"/>
      <c r="AB811" s="1" t="n"/>
      <c r="AC811" s="1" t="n"/>
      <c r="AD811" s="1" t="n"/>
      <c r="AE811" s="1" t="n"/>
    </row>
    <row r="812" ht="42" customHeight="1">
      <c r="A812" s="14">
        <f>IFERROR(__xludf.DUMMYFUNCTION("""COMPUTED_VALUE"""),45181)</f>
        <v/>
      </c>
      <c r="B812" s="1">
        <f>IFERROR(__xludf.DUMMYFUNCTION("""COMPUTED_VALUE"""),"ORG_1415")</f>
        <v/>
      </c>
      <c r="C812" s="1">
        <f>IFERROR(__xludf.DUMMYFUNCTION("""COMPUTED_VALUE"""),TRUE)</f>
        <v/>
      </c>
      <c r="D812" s="1">
        <f>IFERROR(__xludf.DUMMYFUNCTION("""COMPUTED_VALUE"""),"Edquip")</f>
        <v/>
      </c>
      <c r="E812" s="15">
        <f>IFERROR(__xludf.DUMMYFUNCTION("""COMPUTED_VALUE"""),"https://edquip.co/")</f>
        <v/>
      </c>
      <c r="F812" s="1">
        <f>IFERROR(__xludf.DUMMYFUNCTION("""COMPUTED_VALUE"""),"Edquip is a B2B marketplace for technical training tools used in vocational training and engineering education. We help customers educate themselves before making purchase decisions, and suppliers to reach a wider audience of decision makers.")</f>
        <v/>
      </c>
      <c r="G812" s="1">
        <f>IFERROR(__xludf.DUMMYFUNCTION("""COMPUTED_VALUE"""),"I'm not part of any EdTech association")</f>
        <v/>
      </c>
      <c r="H812" s="1" t="n"/>
      <c r="I812" s="1">
        <f>IFERROR(__xludf.DUMMYFUNCTION("""COMPUTED_VALUE"""),"info@edquip.co")</f>
        <v/>
      </c>
      <c r="J812" s="1">
        <f>IFERROR(__xludf.DUMMYFUNCTION("""COMPUTED_VALUE"""),"+420 777 036 056")</f>
        <v/>
      </c>
      <c r="K812" s="1">
        <f>IFERROR(__xludf.DUMMYFUNCTION("""COMPUTED_VALUE"""),"PRAGUE")</f>
        <v/>
      </c>
      <c r="L812" s="1">
        <f>IFERROR(__xludf.DUMMYFUNCTION("""COMPUTED_VALUE"""),"Czech Republic")</f>
        <v/>
      </c>
      <c r="M812" s="1">
        <f>IFERROR(__xludf.DUMMYFUNCTION("""COMPUTED_VALUE"""),"United Kingdom")</f>
        <v/>
      </c>
      <c r="N812" s="1">
        <f>IFERROR(__xludf.DUMMYFUNCTION("""COMPUTED_VALUE"""),"0 to 10")</f>
        <v/>
      </c>
      <c r="O812" s="1">
        <f>IFERROR(__xludf.DUMMYFUNCTION("""COMPUTED_VALUE"""),"Business to Business")</f>
        <v/>
      </c>
      <c r="P812" s="1">
        <f>IFERROR(__xludf.DUMMYFUNCTION("""COMPUTED_VALUE"""),"Higher Education, Corporate Training")</f>
        <v/>
      </c>
      <c r="Q812" s="1">
        <f>IFERROR(__xludf.DUMMYFUNCTION("""COMPUTED_VALUE"""),"Teacher interfacing, System/Administrative")</f>
        <v/>
      </c>
      <c r="R812" s="1" t="n"/>
      <c r="S812" s="1" t="n"/>
      <c r="T812" s="1" t="n"/>
      <c r="U812" s="1" t="n"/>
      <c r="V812" s="1" t="n"/>
      <c r="W812" s="1" t="n"/>
      <c r="X812" s="1" t="n"/>
      <c r="Y812" s="15">
        <f>IFERROR(__xludf.DUMMYFUNCTION("""COMPUTED_VALUE"""),"https://drive.google.com/uc?export=view&amp;id=1USL7CzgOEfx-k5YxDIm-OI5zYys5ycCD")</f>
        <v/>
      </c>
      <c r="Z812" s="1">
        <f>IFERROR(__xludf.DUMMYFUNCTION("""COMPUTED_VALUE"""),"Unverified")</f>
        <v/>
      </c>
      <c r="AA812" s="1" t="n"/>
      <c r="AB812" s="1" t="n"/>
      <c r="AC812" s="1" t="n"/>
      <c r="AD812" s="1" t="n"/>
      <c r="AE812" s="1" t="n"/>
    </row>
    <row r="813" ht="42" customHeight="1">
      <c r="A813" s="14">
        <f>IFERROR(__xludf.DUMMYFUNCTION("""COMPUTED_VALUE"""),45181)</f>
        <v/>
      </c>
      <c r="B813" s="1">
        <f>IFERROR(__xludf.DUMMYFUNCTION("""COMPUTED_VALUE"""),"ORG_2118")</f>
        <v/>
      </c>
      <c r="C813" s="1">
        <f>IFERROR(__xludf.DUMMYFUNCTION("""COMPUTED_VALUE"""),TRUE)</f>
        <v/>
      </c>
      <c r="D813" s="1">
        <f>IFERROR(__xludf.DUMMYFUNCTION("""COMPUTED_VALUE"""),"Poppins &amp; Wayne")</f>
        <v/>
      </c>
      <c r="E813" s="15">
        <f>IFERROR(__xludf.DUMMYFUNCTION("""COMPUTED_VALUE"""),"https://poppinswayne.com/")</f>
        <v/>
      </c>
      <c r="F813" s="1">
        <f>IFERROR(__xludf.DUMMYFUNCTION("""COMPUTED_VALUE"""),"When Story meets Technology, Imagination comes to Life.")</f>
        <v/>
      </c>
      <c r="G813" s="1">
        <f>IFERROR(__xludf.DUMMYFUNCTION("""COMPUTED_VALUE"""),"I'm not part of any EdTech association")</f>
        <v/>
      </c>
      <c r="H813" s="1" t="n"/>
      <c r="I813" s="1">
        <f>IFERROR(__xludf.DUMMYFUNCTION("""COMPUTED_VALUE"""),"hello@poppinswayne.com")</f>
        <v/>
      </c>
      <c r="J813" s="1">
        <f>IFERROR(__xludf.DUMMYFUNCTION("""COMPUTED_VALUE"""),"+32479678996")</f>
        <v/>
      </c>
      <c r="K813" s="1">
        <f>IFERROR(__xludf.DUMMYFUNCTION("""COMPUTED_VALUE"""),"Antwerp")</f>
        <v/>
      </c>
      <c r="L813" s="1">
        <f>IFERROR(__xludf.DUMMYFUNCTION("""COMPUTED_VALUE"""),"Belgium")</f>
        <v/>
      </c>
      <c r="M813" s="1">
        <f>IFERROR(__xludf.DUMMYFUNCTION("""COMPUTED_VALUE"""),"Belgium, Bulgaria, France, Germany, Montenegro, Netherlands, Spain")</f>
        <v/>
      </c>
      <c r="N813" s="1">
        <f>IFERROR(__xludf.DUMMYFUNCTION("""COMPUTED_VALUE"""),"0 to 10")</f>
        <v/>
      </c>
      <c r="O813" s="1">
        <f>IFERROR(__xludf.DUMMYFUNCTION("""COMPUTED_VALUE"""),"Business to Business, Business to Consumer, Business to Government, Business to Schools")</f>
        <v/>
      </c>
      <c r="P813" s="1">
        <f>IFERROR(__xludf.DUMMYFUNCTION("""COMPUTED_VALUE"""),"Early childhood development (0-5 years), Primary Education, Secondary Education, Higher Education, Corporate Training")</f>
        <v/>
      </c>
      <c r="Q813" s="1">
        <f>IFERROR(__xludf.DUMMYFUNCTION("""COMPUTED_VALUE"""),"System/Administrative")</f>
        <v/>
      </c>
      <c r="R813" s="1" t="n"/>
      <c r="S813" s="1" t="n"/>
      <c r="T813" s="1" t="n"/>
      <c r="U813" s="1" t="n"/>
      <c r="V813" s="1" t="n"/>
      <c r="W813" s="1" t="n"/>
      <c r="X813" s="1" t="n"/>
      <c r="Y813" s="15">
        <f>IFERROR(__xludf.DUMMYFUNCTION("""COMPUTED_VALUE"""),"https://drive.google.com/uc?export=view&amp;id=1tMglr_S9dNwP6dZCCB3vdoet_hyvcijE")</f>
        <v/>
      </c>
      <c r="Z813" s="1">
        <f>IFERROR(__xludf.DUMMYFUNCTION("""COMPUTED_VALUE"""),"Unverified")</f>
        <v/>
      </c>
      <c r="AA813" s="1" t="n"/>
      <c r="AB813" s="1" t="n"/>
      <c r="AC813" s="1" t="n"/>
      <c r="AD813" s="1" t="n"/>
      <c r="AE813" s="1" t="n"/>
    </row>
    <row r="814" ht="42" customHeight="1">
      <c r="A814" s="14">
        <f>IFERROR(__xludf.DUMMYFUNCTION("""COMPUTED_VALUE"""),45181)</f>
        <v/>
      </c>
      <c r="B814" s="1">
        <f>IFERROR(__xludf.DUMMYFUNCTION("""COMPUTED_VALUE"""),"ORG_2233")</f>
        <v/>
      </c>
      <c r="C814" s="1">
        <f>IFERROR(__xludf.DUMMYFUNCTION("""COMPUTED_VALUE"""),TRUE)</f>
        <v/>
      </c>
      <c r="D814" s="1">
        <f>IFERROR(__xludf.DUMMYFUNCTION("""COMPUTED_VALUE"""),"ShareLMS")</f>
        <v/>
      </c>
      <c r="E814" s="15">
        <f>IFERROR(__xludf.DUMMYFUNCTION("""COMPUTED_VALUE"""),"https://www.sharelms.com")</f>
        <v/>
      </c>
      <c r="F814" s="1">
        <f>IFERROR(__xludf.DUMMYFUNCTION("""COMPUTED_VALUE"""),"ShareLMS is a next generation lms with innovative modules-made in austria. In Curriculator national and international experts develop and evaluate online a curriculum and can create for activated results together courses with a lot of specific functions. "&amp;"With new curriculator you can also evaluate job descriptions, skills or (political) campaigns. In Clustermodule organizations, schools, universities or companies can built together educational clusters with different roles for users in different instances"&amp;". For more details and all integrated functions and modules pls. visit our homepage.")</f>
        <v/>
      </c>
      <c r="G814" s="1">
        <f>IFERROR(__xludf.DUMMYFUNCTION("""COMPUTED_VALUE"""),"I'm not part of any EdTech association")</f>
        <v/>
      </c>
      <c r="H814" s="1" t="n"/>
      <c r="I814" s="1">
        <f>IFERROR(__xludf.DUMMYFUNCTION("""COMPUTED_VALUE"""),"office@sharelms.com")</f>
        <v/>
      </c>
      <c r="J814" s="1" t="n"/>
      <c r="K814" s="1">
        <f>IFERROR(__xludf.DUMMYFUNCTION("""COMPUTED_VALUE"""),"VIENNA")</f>
        <v/>
      </c>
      <c r="L814" s="1">
        <f>IFERROR(__xludf.DUMMYFUNCTION("""COMPUTED_VALUE"""),"Austria")</f>
        <v/>
      </c>
      <c r="M814" s="1">
        <f>IFERROR(__xludf.DUMMYFUNCTION("""COMPUTED_VALUE"""),"Austria")</f>
        <v/>
      </c>
      <c r="N814" s="1">
        <f>IFERROR(__xludf.DUMMYFUNCTION("""COMPUTED_VALUE"""),"0 to 10")</f>
        <v/>
      </c>
      <c r="O814" s="1">
        <f>IFERROR(__xludf.DUMMYFUNCTION("""COMPUTED_VALUE"""),"Business to Government, Business to Schools")</f>
        <v/>
      </c>
      <c r="P814" s="1">
        <f>IFERROR(__xludf.DUMMYFUNCTION("""COMPUTED_VALUE"""),"Secondary Education, Higher Education, Corporate Training, Lifelong learning/Adult education")</f>
        <v/>
      </c>
      <c r="Q814" s="1">
        <f>IFERROR(__xludf.DUMMYFUNCTION("""COMPUTED_VALUE"""),"Student interfacing, Teacher interfacing, System/Administrative")</f>
        <v/>
      </c>
      <c r="R814" s="1" t="n"/>
      <c r="S814" s="1" t="n"/>
      <c r="T814" s="1" t="n"/>
      <c r="U814" s="1" t="n"/>
      <c r="V814" s="1" t="n"/>
      <c r="W814" s="1" t="n"/>
      <c r="X814" s="1" t="n"/>
      <c r="Y814" s="15">
        <f>IFERROR(__xludf.DUMMYFUNCTION("""COMPUTED_VALUE"""),"https://drive.google.com/uc?export=view&amp;id=1VFsBa-nQCPhfA_JZKlWRG3wvEG59EOIl")</f>
        <v/>
      </c>
      <c r="Z814" s="1">
        <f>IFERROR(__xludf.DUMMYFUNCTION("""COMPUTED_VALUE"""),"Unverified")</f>
        <v/>
      </c>
      <c r="AA814" s="1" t="n"/>
      <c r="AB814" s="1" t="n"/>
      <c r="AC814" s="1" t="n"/>
      <c r="AD814" s="1" t="n"/>
      <c r="AE814" s="1" t="n"/>
    </row>
    <row r="815" ht="42" customHeight="1">
      <c r="A815" s="14">
        <f>IFERROR(__xludf.DUMMYFUNCTION("""COMPUTED_VALUE"""),45181)</f>
        <v/>
      </c>
      <c r="B815" s="1">
        <f>IFERROR(__xludf.DUMMYFUNCTION("""COMPUTED_VALUE"""),"ORG_2486")</f>
        <v/>
      </c>
      <c r="C815" s="1">
        <f>IFERROR(__xludf.DUMMYFUNCTION("""COMPUTED_VALUE"""),TRUE)</f>
        <v/>
      </c>
      <c r="D815" s="1">
        <f>IFERROR(__xludf.DUMMYFUNCTION("""COMPUTED_VALUE"""),"Veritas")</f>
        <v/>
      </c>
      <c r="E815" s="15">
        <f>IFERROR(__xludf.DUMMYFUNCTION("""COMPUTED_VALUE"""),"www.veritas.at")</f>
        <v/>
      </c>
      <c r="F815" s="1">
        <f>IFERROR(__xludf.DUMMYFUNCTION("""COMPUTED_VALUE"""),"VERITAS is Austria's largest educational publisher and at the same time a valuable part of a strong international education group. With high-quality, innovative and practice-oriented teaching and learning products, we support teachers, students and parent"&amp;"s in achieving the best possible learning success. Our digital portfolio includes products such as E-Book PLUS, VERITAS Mediathek App, VERA or the VERITAS easy App.")</f>
        <v/>
      </c>
      <c r="G815" s="1">
        <f>IFERROR(__xludf.DUMMYFUNCTION("""COMPUTED_VALUE"""),"EdTech Austria")</f>
        <v/>
      </c>
      <c r="H815" s="1" t="n"/>
      <c r="I815" s="1" t="n"/>
      <c r="J815" s="1" t="n"/>
      <c r="K815" s="1">
        <f>IFERROR(__xludf.DUMMYFUNCTION("""COMPUTED_VALUE"""),"LINZ")</f>
        <v/>
      </c>
      <c r="L815" s="1">
        <f>IFERROR(__xludf.DUMMYFUNCTION("""COMPUTED_VALUE"""),"Austria")</f>
        <v/>
      </c>
      <c r="M815" s="1">
        <f>IFERROR(__xludf.DUMMYFUNCTION("""COMPUTED_VALUE"""),"Austria")</f>
        <v/>
      </c>
      <c r="N815" s="1">
        <f>IFERROR(__xludf.DUMMYFUNCTION("""COMPUTED_VALUE"""),"100+")</f>
        <v/>
      </c>
      <c r="O815" s="1">
        <f>IFERROR(__xludf.DUMMYFUNCTION("""COMPUTED_VALUE"""),"Business to Consumer")</f>
        <v/>
      </c>
      <c r="P815" s="1">
        <f>IFERROR(__xludf.DUMMYFUNCTION("""COMPUTED_VALUE"""),"Primary Education, Secondary Education")</f>
        <v/>
      </c>
      <c r="Q815" s="1">
        <f>IFERROR(__xludf.DUMMYFUNCTION("""COMPUTED_VALUE"""),"System/Administrative, Student interfacing, Teacher interfacing")</f>
        <v/>
      </c>
      <c r="R815" s="1" t="n"/>
      <c r="S815" s="1" t="n"/>
      <c r="T815" s="1" t="n"/>
      <c r="U815" s="1">
        <f>IFERROR(__xludf.DUMMYFUNCTION("""COMPUTED_VALUE"""),"E-Book PLUS")</f>
        <v/>
      </c>
      <c r="V815" s="1">
        <f>IFERROR(__xludf.DUMMYFUNCTION("""COMPUTED_VALUE"""),"Digital textbook, enhanced with digital exercises and assessments.")</f>
        <v/>
      </c>
      <c r="W815" s="1">
        <f>IFERROR(__xludf.DUMMYFUNCTION("""COMPUTED_VALUE"""),"VERA")</f>
        <v/>
      </c>
      <c r="X815" s="1">
        <f>IFERROR(__xludf.DUMMYFUNCTION("""COMPUTED_VALUE"""),"Digital platform that enables teachers to generate and individually combine different assignments for assessments or tests.")</f>
        <v/>
      </c>
      <c r="Y815" s="15">
        <f>IFERROR(__xludf.DUMMYFUNCTION("""COMPUTED_VALUE"""),"https://drive.google.com/uc?export=view&amp;id=1LTMtc24WebgNhkVQ2QEN8BCCgK4tL_dV")</f>
        <v/>
      </c>
      <c r="Z815" s="1">
        <f>IFERROR(__xludf.DUMMYFUNCTION("""COMPUTED_VALUE"""),"Unverified")</f>
        <v/>
      </c>
      <c r="AA815" s="1" t="n"/>
      <c r="AB815" s="1" t="n"/>
      <c r="AC815" s="1" t="n"/>
      <c r="AD815" s="1" t="n"/>
      <c r="AE815" s="1" t="n"/>
    </row>
    <row r="816" ht="42" customHeight="1">
      <c r="A816" s="14">
        <f>IFERROR(__xludf.DUMMYFUNCTION("""COMPUTED_VALUE"""),45181)</f>
        <v/>
      </c>
      <c r="B816" s="1">
        <f>IFERROR(__xludf.DUMMYFUNCTION("""COMPUTED_VALUE"""),"ORG_2431")</f>
        <v/>
      </c>
      <c r="C816" s="1">
        <f>IFERROR(__xludf.DUMMYFUNCTION("""COMPUTED_VALUE"""),TRUE)</f>
        <v/>
      </c>
      <c r="D816" s="1">
        <f>IFERROR(__xludf.DUMMYFUNCTION("""COMPUTED_VALUE"""),"Tribel")</f>
        <v/>
      </c>
      <c r="E816" s="15">
        <f>IFERROR(__xludf.DUMMYFUNCTION("""COMPUTED_VALUE"""),"www.mytribel.com")</f>
        <v/>
      </c>
      <c r="F816" s="1">
        <f>IFERROR(__xludf.DUMMYFUNCTION("""COMPUTED_VALUE"""),"UK businesses waste a combined £10,000 per employee every single year on soft skill training that doesn't work because it doesn’t include any follow up or any tangible proof that learning happened. Tribel is a simple 3 step process to ensure you understan"&amp;"d what you learn, remember it when you need it and practice it where appropriate. We help users understand by getting to the point quickly in a 40 min podcast, we follow up with a suite of memory retention tools and provide a digital portfolio to allow us"&amp;"ers to choose a time and place to deliberately practice their new knowledge.")</f>
        <v/>
      </c>
      <c r="G816" s="1">
        <f>IFERROR(__xludf.DUMMYFUNCTION("""COMPUTED_VALUE"""),"I'm not part of any EdTech association")</f>
        <v/>
      </c>
      <c r="H816" s="1" t="n"/>
      <c r="I816" s="1">
        <f>IFERROR(__xludf.DUMMYFUNCTION("""COMPUTED_VALUE"""),"kevin@mytribel.com")</f>
        <v/>
      </c>
      <c r="J816" s="1">
        <f>IFERROR(__xludf.DUMMYFUNCTION("""COMPUTED_VALUE"""),"+353876955522")</f>
        <v/>
      </c>
      <c r="K816" s="1">
        <f>IFERROR(__xludf.DUMMYFUNCTION("""COMPUTED_VALUE"""),"TRAMORE")</f>
        <v/>
      </c>
      <c r="L816" s="1">
        <f>IFERROR(__xludf.DUMMYFUNCTION("""COMPUTED_VALUE"""),"Ireland")</f>
        <v/>
      </c>
      <c r="M816" s="1">
        <f>IFERROR(__xludf.DUMMYFUNCTION("""COMPUTED_VALUE"""),"Ireland, United Kingdom")</f>
        <v/>
      </c>
      <c r="N816" s="1">
        <f>IFERROR(__xludf.DUMMYFUNCTION("""COMPUTED_VALUE"""),"0 to 10")</f>
        <v/>
      </c>
      <c r="O816" s="1">
        <f>IFERROR(__xludf.DUMMYFUNCTION("""COMPUTED_VALUE"""),"Business to Business")</f>
        <v/>
      </c>
      <c r="P816" s="1">
        <f>IFERROR(__xludf.DUMMYFUNCTION("""COMPUTED_VALUE"""),"Corporate Training, Lifelong learning/Adult education")</f>
        <v/>
      </c>
      <c r="Q816" s="1">
        <f>IFERROR(__xludf.DUMMYFUNCTION("""COMPUTED_VALUE"""),"Student interfacing, System/Administrative")</f>
        <v/>
      </c>
      <c r="R816" s="15">
        <f>IFERROR(__xludf.DUMMYFUNCTION("""COMPUTED_VALUE"""),"https://www.instagram.com/mytribel/")</f>
        <v/>
      </c>
      <c r="S816" s="15">
        <f>IFERROR(__xludf.DUMMYFUNCTION("""COMPUTED_VALUE"""),"https://twitter.com/mytribel")</f>
        <v/>
      </c>
      <c r="T816" s="15">
        <f>IFERROR(__xludf.DUMMYFUNCTION("""COMPUTED_VALUE"""),"https://www.linkedin.com/company/mytribel/")</f>
        <v/>
      </c>
      <c r="U816" s="1">
        <f>IFERROR(__xludf.DUMMYFUNCTION("""COMPUTED_VALUE"""),"Podcast+")</f>
        <v/>
      </c>
      <c r="V816" s="1">
        <f>IFERROR(__xludf.DUMMYFUNCTION("""COMPUTED_VALUE"""),"A library of podcasts discussing the key takeaways from the best business books with follow on tools to aid retention of content and space to measure and track your progress with deliberate practice.")</f>
        <v/>
      </c>
      <c r="W816" s="1" t="n"/>
      <c r="X816" s="1" t="n"/>
      <c r="Y816" s="15">
        <f>IFERROR(__xludf.DUMMYFUNCTION("""COMPUTED_VALUE"""),"https://drive.google.com/uc?export=view&amp;id=1Sb8xQ6F2UwQGU1XyS5BpxS7vWnJX7ye6")</f>
        <v/>
      </c>
      <c r="Z816" s="1">
        <f>IFERROR(__xludf.DUMMYFUNCTION("""COMPUTED_VALUE"""),"Unverified")</f>
        <v/>
      </c>
      <c r="AA816" s="1" t="n"/>
      <c r="AB816" s="1" t="n"/>
      <c r="AC816" s="1" t="n"/>
      <c r="AD816" s="1" t="n"/>
      <c r="AE816" s="1" t="n"/>
    </row>
    <row r="817" ht="42" customHeight="1">
      <c r="A817" s="14">
        <f>IFERROR(__xludf.DUMMYFUNCTION("""COMPUTED_VALUE"""),45181)</f>
        <v/>
      </c>
      <c r="B817" s="1">
        <f>IFERROR(__xludf.DUMMYFUNCTION("""COMPUTED_VALUE"""),"ORG_1515")</f>
        <v/>
      </c>
      <c r="C817" s="1">
        <f>IFERROR(__xludf.DUMMYFUNCTION("""COMPUTED_VALUE"""),TRUE)</f>
        <v/>
      </c>
      <c r="D817" s="15">
        <f>IFERROR(__xludf.DUMMYFUNCTION("""COMPUTED_VALUE"""),"eSkills.ch")</f>
        <v/>
      </c>
      <c r="E817" s="15">
        <f>IFERROR(__xludf.DUMMYFUNCTION("""COMPUTED_VALUE"""),"www.eskills.ch")</f>
        <v/>
      </c>
      <c r="F817" s="1">
        <f>IFERROR(__xludf.DUMMYFUNCTION("""COMPUTED_VALUE"""),"eSkills is a Digital Learning agency. We design and develop digital training courses in a blended mode: e-Learning modules, educational videos, MOOCS, interactive scenarios, tutorials, etc. 
Our bespoke e-Learning solutions are tailored to our clients' n"&amp;"eeds. To improve learner performance, we seek to define the best pedagogical approach for each project.
We are well known for our efficiency. 
Our multidisciplinary team manages everything from A to Z: instructional design, graphics, sound, video, illust"&amp;"rations, development with Articulate Storyline, Rise, Camtesia, and more. 
Since 2012, we have been putting our passion for pedagogy, technology, and quality ""made in Switzerland"" at the service of leading companies. Our clients include multinationals,"&amp;" public administrations, international organizations, NGOs, banks, etc.")</f>
        <v/>
      </c>
      <c r="G817" s="1">
        <f>IFERROR(__xludf.DUMMYFUNCTION("""COMPUTED_VALUE"""),"Swiss EdTech Collider")</f>
        <v/>
      </c>
      <c r="H817" s="1" t="n"/>
      <c r="I817" s="1">
        <f>IFERROR(__xludf.DUMMYFUNCTION("""COMPUTED_VALUE"""),"hello@eskills.ch")</f>
        <v/>
      </c>
      <c r="J817" s="1">
        <f>IFERROR(__xludf.DUMMYFUNCTION("""COMPUTED_VALUE"""),"+41227001201")</f>
        <v/>
      </c>
      <c r="K817" s="1">
        <f>IFERROR(__xludf.DUMMYFUNCTION("""COMPUTED_VALUE"""),"GENEVA")</f>
        <v/>
      </c>
      <c r="L817" s="1">
        <f>IFERROR(__xludf.DUMMYFUNCTION("""COMPUTED_VALUE"""),"Switzerland")</f>
        <v/>
      </c>
      <c r="M817" s="1">
        <f>IFERROR(__xludf.DUMMYFUNCTION("""COMPUTED_VALUE"""),"Switzerland")</f>
        <v/>
      </c>
      <c r="N817" s="1">
        <f>IFERROR(__xludf.DUMMYFUNCTION("""COMPUTED_VALUE"""),"0 to 10")</f>
        <v/>
      </c>
      <c r="O817" s="1">
        <f>IFERROR(__xludf.DUMMYFUNCTION("""COMPUTED_VALUE"""),"Business to Business")</f>
        <v/>
      </c>
      <c r="P817" s="1">
        <f>IFERROR(__xludf.DUMMYFUNCTION("""COMPUTED_VALUE"""),"Primary Education, Secondary Education, Higher Education, Corporate Training")</f>
        <v/>
      </c>
      <c r="Q817" s="1">
        <f>IFERROR(__xludf.DUMMYFUNCTION("""COMPUTED_VALUE"""),"Student interfacing, Teacher interfacing, System/Administrative")</f>
        <v/>
      </c>
      <c r="R817" s="1" t="n"/>
      <c r="S817" s="1" t="n"/>
      <c r="T817" s="15">
        <f>IFERROR(__xludf.DUMMYFUNCTION("""COMPUTED_VALUE"""),"https://www.linkedin.com/company/eskills-ch/")</f>
        <v/>
      </c>
      <c r="U817" s="1">
        <f>IFERROR(__xludf.DUMMYFUNCTION("""COMPUTED_VALUE"""),"Bespoke e-Learning solutions")</f>
        <v/>
      </c>
      <c r="V817" s="1">
        <f>IFERROR(__xludf.DUMMYFUNCTION("""COMPUTED_VALUE"""),"e-learning modules, branching scenarios, mobile learning, micro-learning.
We develop impactful solutions, thanks to our expertise in instructional design, our storytelling techniques, our sense of aesthetics, our gamification tools and our attention to d"&amp;"etail. 
Favorite development tool: Articulate 360 (Storyline and Rise)")</f>
        <v/>
      </c>
      <c r="W817" s="1">
        <f>IFERROR(__xludf.DUMMYFUNCTION("""COMPUTED_VALUE"""),"Educational videos")</f>
        <v/>
      </c>
      <c r="X817" s="1">
        <f>IFERROR(__xludf.DUMMYFUNCTION("""COMPUTED_VALUE"""),"Motion design, interviews, skit, tutorials, 360 videos. 
You collaborate with a multidisciplinary, effective and experienced team, at every stage of the project: from script to voiceover, including storyboard, shooting and editing.
You are advised by pro"&amp;"fessionals who adapt to your needs, your budget and your target.
You are only involved at key stages and receive the expected result within the set deadlines.")</f>
        <v/>
      </c>
      <c r="Y817" s="15">
        <f>IFERROR(__xludf.DUMMYFUNCTION("""COMPUTED_VALUE"""),"https://drive.google.com/uc?export=view&amp;id=1WWC2109rosuyV4AZjIuexozy9AUr9tjo")</f>
        <v/>
      </c>
      <c r="Z817" s="1">
        <f>IFERROR(__xludf.DUMMYFUNCTION("""COMPUTED_VALUE"""),"Unverified")</f>
        <v/>
      </c>
      <c r="AA817" s="1" t="n"/>
      <c r="AB817" s="1" t="n"/>
      <c r="AC817" s="1" t="n"/>
      <c r="AD817" s="1" t="n"/>
      <c r="AE817" s="1" t="n"/>
    </row>
    <row r="818" ht="42" customHeight="1">
      <c r="A818" s="14">
        <f>IFERROR(__xludf.DUMMYFUNCTION("""COMPUTED_VALUE"""),45181)</f>
        <v/>
      </c>
      <c r="B818" s="1">
        <f>IFERROR(__xludf.DUMMYFUNCTION("""COMPUTED_VALUE"""),"ORG_1667")</f>
        <v/>
      </c>
      <c r="C818" s="1">
        <f>IFERROR(__xludf.DUMMYFUNCTION("""COMPUTED_VALUE"""),TRUE)</f>
        <v/>
      </c>
      <c r="D818" s="1">
        <f>IFERROR(__xludf.DUMMYFUNCTION("""COMPUTED_VALUE"""),"Headstart Technology Limited")</f>
        <v/>
      </c>
      <c r="E818" s="15">
        <f>IFERROR(__xludf.DUMMYFUNCTION("""COMPUTED_VALUE"""),"www.headstart.technology")</f>
        <v/>
      </c>
      <c r="F818" s="1">
        <f>IFERROR(__xludf.DUMMYFUNCTION("""COMPUTED_VALUE"""),"Headstart Technology Ltd is an edtech solution consultancy and training provider. We specialize in helping educational institutions address the challenge of digital transformation in a holistic way, while keeping to our primary mission that we want to pro"&amp;"vide all education stakeholders with the best resources and pedagogies for 21st century learning. We work closely with some of the best edtech companies in the world, and are proud to be Microsoft Global Training partners and part of the TA network of com"&amp;"panies around the world. Our particular focus areas are education transformation, AR/VR/MR, coding, technology and game based learning.")</f>
        <v/>
      </c>
      <c r="G818" s="1">
        <f>IFERROR(__xludf.DUMMYFUNCTION("""COMPUTED_VALUE"""),"I'm not part of any EdTech association")</f>
        <v/>
      </c>
      <c r="H818" s="1" t="n"/>
      <c r="I818" s="1">
        <f>IFERROR(__xludf.DUMMYFUNCTION("""COMPUTED_VALUE"""),"klaus.conrad@headstart.technology")</f>
        <v/>
      </c>
      <c r="J818" s="1">
        <f>IFERROR(__xludf.DUMMYFUNCTION("""COMPUTED_VALUE"""),"+35699427574")</f>
        <v/>
      </c>
      <c r="K818" s="1">
        <f>IFERROR(__xludf.DUMMYFUNCTION("""COMPUTED_VALUE"""),"BALZAN")</f>
        <v/>
      </c>
      <c r="L818" s="1">
        <f>IFERROR(__xludf.DUMMYFUNCTION("""COMPUTED_VALUE"""),"Malta")</f>
        <v/>
      </c>
      <c r="M818" s="1">
        <f>IFERROR(__xludf.DUMMYFUNCTION("""COMPUTED_VALUE"""),"Austria, Cyprus, Germany, Italy, Malta, United Kingdom")</f>
        <v/>
      </c>
      <c r="N818" s="1">
        <f>IFERROR(__xludf.DUMMYFUNCTION("""COMPUTED_VALUE"""),"0 to 10")</f>
        <v/>
      </c>
      <c r="O818" s="1">
        <f>IFERROR(__xludf.DUMMYFUNCTION("""COMPUTED_VALUE"""),"Business to Business")</f>
        <v/>
      </c>
      <c r="P818" s="1">
        <f>IFERROR(__xludf.DUMMYFUNCTION("""COMPUTED_VALUE"""),"Early childhood development (0-5 years), Primary Education, Secondary Education, Higher Education, Corporate Training, Lifelong learning/Adult education")</f>
        <v/>
      </c>
      <c r="Q818" s="1">
        <f>IFERROR(__xludf.DUMMYFUNCTION("""COMPUTED_VALUE"""),"System/Administrative, Student interfacing, Teacher interfacing")</f>
        <v/>
      </c>
      <c r="R818" s="1" t="n"/>
      <c r="S818" s="1" t="n"/>
      <c r="T818" s="1" t="n"/>
      <c r="U818" s="1" t="n"/>
      <c r="V818" s="1" t="n"/>
      <c r="W818" s="1" t="n"/>
      <c r="X818" s="1" t="n"/>
      <c r="Y818" s="15">
        <f>IFERROR(__xludf.DUMMYFUNCTION("""COMPUTED_VALUE"""),"https://drive.google.com/uc?export=view&amp;id=1qjOEOlz_VoTxML5M-t7UjwZTbHgNi195")</f>
        <v/>
      </c>
      <c r="Z818" s="1">
        <f>IFERROR(__xludf.DUMMYFUNCTION("""COMPUTED_VALUE"""),"Unverified")</f>
        <v/>
      </c>
      <c r="AA818" s="1" t="n"/>
      <c r="AB818" s="1" t="n"/>
      <c r="AC818" s="1" t="n"/>
      <c r="AD818" s="1" t="n"/>
      <c r="AE818" s="1" t="n"/>
    </row>
    <row r="819" ht="42" customHeight="1">
      <c r="A819" s="14">
        <f>IFERROR(__xludf.DUMMYFUNCTION("""COMPUTED_VALUE"""),45181)</f>
        <v/>
      </c>
      <c r="B819" s="1">
        <f>IFERROR(__xludf.DUMMYFUNCTION("""COMPUTED_VALUE"""),"ORG_1675")</f>
        <v/>
      </c>
      <c r="C819" s="1">
        <f>IFERROR(__xludf.DUMMYFUNCTION("""COMPUTED_VALUE"""),TRUE)</f>
        <v/>
      </c>
      <c r="D819" s="1">
        <f>IFERROR(__xludf.DUMMYFUNCTION("""COMPUTED_VALUE"""),"Hi e-learning")</f>
        <v/>
      </c>
      <c r="E819" s="15">
        <f>IFERROR(__xludf.DUMMYFUNCTION("""COMPUTED_VALUE"""),"https://hielearning.com/")</f>
        <v/>
      </c>
      <c r="F819" s="1">
        <f>IFERROR(__xludf.DUMMYFUNCTION("""COMPUTED_VALUE"""),"Hi e-learning is one of the leading e-learning companies in Istanbul/Turkey. Our human-centered corporate e-learning solutions include LMS (Scorm), gamification, simulation, motion graphics learning videos, off-the-shelf content, and customized learning m"&amp;"aterials. We put excessive emphasis on using state of art technologies by creating our visual world in our learning videos to keep learners' attention always high.
Mercedes-Benz, Unilever, eBay, Bosch, and Ford are some of our references on a global scale"&amp;".
We can translate&amp;localize our all solutions to different languages you prefer. We care about micro-learning, mobile responders, and interactivity in our projects.")</f>
        <v/>
      </c>
      <c r="G819" s="1">
        <f>IFERROR(__xludf.DUMMYFUNCTION("""COMPUTED_VALUE"""),"I'm not part of any EdTech association")</f>
        <v/>
      </c>
      <c r="H819" s="1" t="n"/>
      <c r="I819" s="1">
        <f>IFERROR(__xludf.DUMMYFUNCTION("""COMPUTED_VALUE"""),"mertkestek@gmail.com")</f>
        <v/>
      </c>
      <c r="J819" s="1">
        <f>IFERROR(__xludf.DUMMYFUNCTION("""COMPUTED_VALUE"""),"+905304146064")</f>
        <v/>
      </c>
      <c r="K819" s="1">
        <f>IFERROR(__xludf.DUMMYFUNCTION("""COMPUTED_VALUE"""),"Dumlupinar Mah. Yumurtaci Abdi Bey Cad. Teknik Yapi Concord Sitesi 1. Etap A1-192 34720 / Kadikoy")</f>
        <v/>
      </c>
      <c r="L819" s="1">
        <f>IFERROR(__xludf.DUMMYFUNCTION("""COMPUTED_VALUE"""),"Türkiye")</f>
        <v/>
      </c>
      <c r="M819" s="1">
        <f>IFERROR(__xludf.DUMMYFUNCTION("""COMPUTED_VALUE"""),"Denmark, Estonia, Finland, France, Germany, Ireland, Italy, Lithuania, Malta, Netherlands, Norway, Poland, Portugal, Russia, Slovakia, Slovenia, Spain, Sweden, Switzerland, Turkey, United Kingdom")</f>
        <v/>
      </c>
      <c r="N819" s="1">
        <f>IFERROR(__xludf.DUMMYFUNCTION("""COMPUTED_VALUE"""),"11 to 50")</f>
        <v/>
      </c>
      <c r="O819" s="1">
        <f>IFERROR(__xludf.DUMMYFUNCTION("""COMPUTED_VALUE"""),"Business to Business, Business to Consumer, Business to Government, Business to Schools")</f>
        <v/>
      </c>
      <c r="P819" s="1">
        <f>IFERROR(__xludf.DUMMYFUNCTION("""COMPUTED_VALUE"""),"Corporate Training, Lifelong learning/Adult education")</f>
        <v/>
      </c>
      <c r="Q819" s="1">
        <f>IFERROR(__xludf.DUMMYFUNCTION("""COMPUTED_VALUE"""),"Student interfacing, System/Administrative")</f>
        <v/>
      </c>
      <c r="R819" s="1" t="n"/>
      <c r="S819" s="1" t="n"/>
      <c r="T819" s="1" t="n"/>
      <c r="U819" s="1" t="n"/>
      <c r="V819" s="1" t="n"/>
      <c r="W819" s="1" t="n"/>
      <c r="X819" s="1" t="n"/>
      <c r="Y819" s="15">
        <f>IFERROR(__xludf.DUMMYFUNCTION("""COMPUTED_VALUE"""),"https://drive.google.com/uc?export=view&amp;id=1aYTlUjwC-bAGUDScsQdbRWKeB4WMIwHM")</f>
        <v/>
      </c>
      <c r="Z819" s="1">
        <f>IFERROR(__xludf.DUMMYFUNCTION("""COMPUTED_VALUE"""),"Unverified")</f>
        <v/>
      </c>
      <c r="AA819" s="1" t="n"/>
      <c r="AB819" s="1" t="n"/>
      <c r="AC819" s="1" t="n"/>
      <c r="AD819" s="1" t="n"/>
      <c r="AE819" s="1" t="n"/>
    </row>
    <row r="820" ht="42" customHeight="1">
      <c r="A820" s="14">
        <f>IFERROR(__xludf.DUMMYFUNCTION("""COMPUTED_VALUE"""),45181)</f>
        <v/>
      </c>
      <c r="B820" s="1">
        <f>IFERROR(__xludf.DUMMYFUNCTION("""COMPUTED_VALUE"""),"ORG_2552")</f>
        <v/>
      </c>
      <c r="C820" s="1">
        <f>IFERROR(__xludf.DUMMYFUNCTION("""COMPUTED_VALUE"""),TRUE)</f>
        <v/>
      </c>
      <c r="D820" s="1">
        <f>IFERROR(__xludf.DUMMYFUNCTION("""COMPUTED_VALUE"""),"Writefull")</f>
        <v/>
      </c>
      <c r="E820" s="15">
        <f>IFERROR(__xludf.DUMMYFUNCTION("""COMPUTED_VALUE"""),"https://www.writefull.com/")</f>
        <v/>
      </c>
      <c r="F820" s="1">
        <f>IFERROR(__xludf.DUMMYFUNCTION("""COMPUTED_VALUE"""),"Writefull uses AI and big data to help students and researchers with their academic writing. It offers a range of tools that facilitate the writing process: It automatically copyedits texts, paraphrases sentences, writes abstracts, generates titles, check"&amp;"s for missing citations, and more. All of these language support services use AI-based models that have been trained on published papers, meaning that the outputs are tailored to academic writing. Writefull can be used in the browser, Microsoft Word, and "&amp;"Overleaf. It is used by individuals, institutions, scientific publishers, and author services providers.")</f>
        <v/>
      </c>
      <c r="G820" s="1">
        <f>IFERROR(__xludf.DUMMYFUNCTION("""COMPUTED_VALUE"""),"I'm not part of any EdTech association")</f>
        <v/>
      </c>
      <c r="H820" s="1" t="n"/>
      <c r="I820" s="1">
        <f>IFERROR(__xludf.DUMMYFUNCTION("""COMPUTED_VALUE"""),"hilde@writefull.com")</f>
        <v/>
      </c>
      <c r="J820" s="1" t="n"/>
      <c r="K820" s="1">
        <f>IFERROR(__xludf.DUMMYFUNCTION("""COMPUTED_VALUE"""),"Amsterdam")</f>
        <v/>
      </c>
      <c r="L820" s="1">
        <f>IFERROR(__xludf.DUMMYFUNCTION("""COMPUTED_VALUE"""),"The Netherlands")</f>
        <v/>
      </c>
      <c r="M820" s="1">
        <f>IFERROR(__xludf.DUMMYFUNCTION("""COMPUTED_VALUE"""),"Albania, Andorra, Armenia, Austria, Azerbaijan, Belarus, Belgium, Croatia, Cyprus, Czechia, Denmark, Estonia, Finland, France, Georgia, Germany, Greece, Hungary, Iceland, Ireland, Italy, Kazakhstan, Kosovo, Latvia, Liechtenstein, Lithuania, Luxembourg, Ma"&amp;"lta, Moldova, Monaco, Montenegro, Netherlands, North Macedonia, Norway, Poland, Portugal, Romania, Russia, San Marino, Serbia, Slovakia, Slovenia, Spain, Sweden, Switzerland, Turkey, Ukraine, United Kingdom")</f>
        <v/>
      </c>
      <c r="N820" s="1">
        <f>IFERROR(__xludf.DUMMYFUNCTION("""COMPUTED_VALUE"""),"0 to 10")</f>
        <v/>
      </c>
      <c r="O820" s="1">
        <f>IFERROR(__xludf.DUMMYFUNCTION("""COMPUTED_VALUE"""),"Business to Business, Business to Consumer, Business to Schools")</f>
        <v/>
      </c>
      <c r="P820" s="1">
        <f>IFERROR(__xludf.DUMMYFUNCTION("""COMPUTED_VALUE"""),"Secondary Education, Higher Education, Corporate Training")</f>
        <v/>
      </c>
      <c r="Q820" s="1">
        <f>IFERROR(__xludf.DUMMYFUNCTION("""COMPUTED_VALUE"""),"Student interfacing, Teacher interfacing, System/Administrative")</f>
        <v/>
      </c>
      <c r="R820" s="1" t="n"/>
      <c r="S820" s="1" t="n"/>
      <c r="T820" s="1" t="n"/>
      <c r="U820" s="1" t="n"/>
      <c r="V820" s="1" t="n"/>
      <c r="W820" s="1" t="n"/>
      <c r="X820" s="1" t="n"/>
      <c r="Y820" s="15">
        <f>IFERROR(__xludf.DUMMYFUNCTION("""COMPUTED_VALUE"""),"https://drive.google.com/uc?export=view&amp;id=1AyeajYUNfakKsLpSY3MM0t-YfPfLMuaz")</f>
        <v/>
      </c>
      <c r="Z820" s="1">
        <f>IFERROR(__xludf.DUMMYFUNCTION("""COMPUTED_VALUE"""),"Unverified")</f>
        <v/>
      </c>
      <c r="AA820" s="1" t="n"/>
      <c r="AB820" s="1" t="n"/>
      <c r="AC820" s="1" t="n"/>
      <c r="AD820" s="1" t="n"/>
      <c r="AE820" s="1" t="n"/>
    </row>
    <row r="821" ht="42" customHeight="1">
      <c r="A821" s="14">
        <f>IFERROR(__xludf.DUMMYFUNCTION("""COMPUTED_VALUE"""),45181)</f>
        <v/>
      </c>
      <c r="B821" s="1">
        <f>IFERROR(__xludf.DUMMYFUNCTION("""COMPUTED_VALUE"""),"ORG_1610")</f>
        <v/>
      </c>
      <c r="C821" s="1">
        <f>IFERROR(__xludf.DUMMYFUNCTION("""COMPUTED_VALUE"""),TRUE)</f>
        <v/>
      </c>
      <c r="D821" s="1">
        <f>IFERROR(__xludf.DUMMYFUNCTION("""COMPUTED_VALUE"""),"Gar Ninja")</f>
        <v/>
      </c>
      <c r="E821" s="15">
        <f>IFERROR(__xludf.DUMMYFUNCTION("""COMPUTED_VALUE"""),"https://gar.ninja/")</f>
        <v/>
      </c>
      <c r="F821" s="1">
        <f>IFERROR(__xludf.DUMMYFUNCTION("""COMPUTED_VALUE"""),"GarNinja is a pioneering company that specialises in helping publishers to dock their ressource to the GAR.
Highly involved in the industry, GarNinja co-animates AFINEF's acculturation workshops and technical workshops about the GAR. 
GarNinja offers pub"&amp;"lishers an end-to-end solution for docking to GAR. Ninjas experts will accompany you from filling in the registration up to the point your resource is into production.
GarNinja also offers post-docking NinjaConnect is a subscription that includes a range "&amp;"of services and a software suite for the commercial management of your resource.
A 10% discount is offered to AFINEF members.
Proud of its strong web experience, GarNinja also offers à la carte consultancy, for development or support in docking with othe"&amp;"r connectors (Lumni, Canotech, etc.).
Translated with www.DeepL.com/Translator (free version)")</f>
        <v/>
      </c>
      <c r="G821" s="1">
        <f>IFERROR(__xludf.DUMMYFUNCTION("""COMPUTED_VALUE"""),"AFINEF")</f>
        <v/>
      </c>
      <c r="H821" s="1" t="n"/>
      <c r="I821" s="1">
        <f>IFERROR(__xludf.DUMMYFUNCTION("""COMPUTED_VALUE"""),"contact@gar.ninja")</f>
        <v/>
      </c>
      <c r="J821" s="1">
        <f>IFERROR(__xludf.DUMMYFUNCTION("""COMPUTED_VALUE"""),"+33 2 96 36 67 87")</f>
        <v/>
      </c>
      <c r="K821" s="1">
        <f>IFERROR(__xludf.DUMMYFUNCTION("""COMPUTED_VALUE"""),"TREBRIVAN")</f>
        <v/>
      </c>
      <c r="L821" s="1">
        <f>IFERROR(__xludf.DUMMYFUNCTION("""COMPUTED_VALUE"""),"France")</f>
        <v/>
      </c>
      <c r="M821" s="1">
        <f>IFERROR(__xludf.DUMMYFUNCTION("""COMPUTED_VALUE"""),"France")</f>
        <v/>
      </c>
      <c r="N821" s="1">
        <f>IFERROR(__xludf.DUMMYFUNCTION("""COMPUTED_VALUE"""),"0 to 10")</f>
        <v/>
      </c>
      <c r="O821" s="1">
        <f>IFERROR(__xludf.DUMMYFUNCTION("""COMPUTED_VALUE"""),"Business to Business")</f>
        <v/>
      </c>
      <c r="P821" s="1">
        <f>IFERROR(__xludf.DUMMYFUNCTION("""COMPUTED_VALUE"""),"Early childhood development (0-5 years), Primary Education, Secondary Education")</f>
        <v/>
      </c>
      <c r="Q821" s="1">
        <f>IFERROR(__xludf.DUMMYFUNCTION("""COMPUTED_VALUE"""),"System/Administrative")</f>
        <v/>
      </c>
      <c r="R821" s="1" t="n"/>
      <c r="S821" s="15">
        <f>IFERROR(__xludf.DUMMYFUNCTION("""COMPUTED_VALUE"""),"https://twitter.com/gar_ninja")</f>
        <v/>
      </c>
      <c r="T821" s="15">
        <f>IFERROR(__xludf.DUMMYFUNCTION("""COMPUTED_VALUE"""),"https://www.linkedin.com/company/gar-ninja/")</f>
        <v/>
      </c>
      <c r="U821" s="1">
        <f>IFERROR(__xludf.DUMMYFUNCTION("""COMPUTED_VALUE"""),"Gar Ninja : docking to the GAR assistance")</f>
        <v/>
      </c>
      <c r="V821" s="1">
        <f>IFERROR(__xludf.DUMMYFUNCTION("""COMPUTED_VALUE"""),"* administrative support
* study and advice on the compliance of the resource publisher
* filling in the declaration of conformity
* support in setting up the SSO
* drafting of the ScoLOMFR manual(s)
* support for the implementation of the GAR API
* manag"&amp;"ement of interactions with the GAR")</f>
        <v/>
      </c>
      <c r="W821" s="1">
        <f>IFERROR(__xludf.DUMMYFUNCTION("""COMPUTED_VALUE"""),"Ninja connect : subscription offer for consulting and post-docking software suite")</f>
        <v/>
      </c>
      <c r="X821" s="1">
        <f>IFERROR(__xludf.DUMMYFUNCTION("""COMPUTED_VALUE"""),"* Subscriptions management interface (via API GAR)
* update of notices (DCP change, curriculum change...)
* integration with LDE and EMLS
* promotion of publishers (Educatec-Educatice, website, linkedIn...)
* advice and support for your support or evoluti"&amp;"on issues
* management of exchanges with the GAR
* software suite in constant evolution: record management interface, implementation of new GAR services, dedicated OAI warehouse, etc.")</f>
        <v/>
      </c>
      <c r="Y821" s="15">
        <f>IFERROR(__xludf.DUMMYFUNCTION("""COMPUTED_VALUE"""),"https://drive.google.com/uc?export=view&amp;id=1yIBqi5xEOThUapSO6uN0TSBW8CPCNIN2")</f>
        <v/>
      </c>
      <c r="Z821" s="1">
        <f>IFERROR(__xludf.DUMMYFUNCTION("""COMPUTED_VALUE"""),"Unverified")</f>
        <v/>
      </c>
      <c r="AA821" s="1" t="n"/>
      <c r="AB821" s="1" t="n"/>
      <c r="AC821" s="1" t="n"/>
      <c r="AD821" s="1" t="n"/>
      <c r="AE821" s="1" t="n"/>
    </row>
    <row r="822" ht="42" customHeight="1">
      <c r="A822" s="14">
        <f>IFERROR(__xludf.DUMMYFUNCTION("""COMPUTED_VALUE"""),45181)</f>
        <v/>
      </c>
      <c r="B822" s="1">
        <f>IFERROR(__xludf.DUMMYFUNCTION("""COMPUTED_VALUE"""),"ORG_2142")</f>
        <v/>
      </c>
      <c r="C822" s="1">
        <f>IFERROR(__xludf.DUMMYFUNCTION("""COMPUTED_VALUE"""),TRUE)</f>
        <v/>
      </c>
      <c r="D822" s="1">
        <f>IFERROR(__xludf.DUMMYFUNCTION("""COMPUTED_VALUE"""),"Quarterfall")</f>
        <v/>
      </c>
      <c r="E822" s="15">
        <f>IFERROR(__xludf.DUMMYFUNCTION("""COMPUTED_VALUE"""),"https://www.quarterfall.com/")</f>
        <v/>
      </c>
      <c r="F822" s="1">
        <f>IFERROR(__xludf.DUMMYFUNCTION("""COMPUTED_VALUE"""),"Quarterfall offers a flexible cloud-based platform that helps streamline Computer Science education.
Built by ICT teachers for ICT teachers, learning is at the core of who we are. Since 2019, our mission is to help improve higher education for students a"&amp;"nd teachers.")</f>
        <v/>
      </c>
      <c r="G822" s="1">
        <f>IFERROR(__xludf.DUMMYFUNCTION("""COMPUTED_VALUE"""),"Dutch EdTech")</f>
        <v/>
      </c>
      <c r="H822" s="1" t="n"/>
      <c r="I822" s="1">
        <f>IFERROR(__xludf.DUMMYFUNCTION("""COMPUTED_VALUE"""),"info@quarterfall.com")</f>
        <v/>
      </c>
      <c r="J822" s="1" t="n"/>
      <c r="K822" s="1">
        <f>IFERROR(__xludf.DUMMYFUNCTION("""COMPUTED_VALUE"""),"BILTHOVEN")</f>
        <v/>
      </c>
      <c r="L822" s="1">
        <f>IFERROR(__xludf.DUMMYFUNCTION("""COMPUTED_VALUE"""),"The Netherlands")</f>
        <v/>
      </c>
      <c r="M822" s="1">
        <f>IFERROR(__xludf.DUMMYFUNCTION("""COMPUTED_VALUE"""),"Netherlands")</f>
        <v/>
      </c>
      <c r="N822" s="1">
        <f>IFERROR(__xludf.DUMMYFUNCTION("""COMPUTED_VALUE"""),"0 to 10")</f>
        <v/>
      </c>
      <c r="O822" s="1">
        <f>IFERROR(__xludf.DUMMYFUNCTION("""COMPUTED_VALUE"""),"Business to Business")</f>
        <v/>
      </c>
      <c r="P822" s="1">
        <f>IFERROR(__xludf.DUMMYFUNCTION("""COMPUTED_VALUE"""),"Higher Education")</f>
        <v/>
      </c>
      <c r="Q822" s="1">
        <f>IFERROR(__xludf.DUMMYFUNCTION("""COMPUTED_VALUE"""),"Student interfacing, Teacher interfacing")</f>
        <v/>
      </c>
      <c r="R822" s="1" t="n"/>
      <c r="S822" s="1" t="n"/>
      <c r="T822" s="15">
        <f>IFERROR(__xludf.DUMMYFUNCTION("""COMPUTED_VALUE"""),"https://www.linkedin.com/company/quarterfall")</f>
        <v/>
      </c>
      <c r="U822" s="1">
        <f>IFERROR(__xludf.DUMMYFUNCTION("""COMPUTED_VALUE"""),"Quarterfall")</f>
        <v/>
      </c>
      <c r="V822" s="1">
        <f>IFERROR(__xludf.DUMMYFUNCTION("""COMPUTED_VALUE"""),"Quarterfall offers a flexible cloud-based platform that helps streamline Computer Science education.
Our cloud-based platform offers
- A flexible assignment creation process with a Markdown interface and built-in code editor
- Centralized teaching and le"&amp;"arning materials
- Automatic feedback by testing students' code
- Mathematical formulas and diagrams support
- GDPR compliance")</f>
        <v/>
      </c>
      <c r="W822" s="1" t="n"/>
      <c r="X822" s="1" t="n"/>
      <c r="Y822" s="15">
        <f>IFERROR(__xludf.DUMMYFUNCTION("""COMPUTED_VALUE"""),"https://drive.google.com/uc?export=view&amp;id=1EYpFOzxS-rRqxa0Qgi7fq4llOIRJboe-")</f>
        <v/>
      </c>
      <c r="Z822" s="1">
        <f>IFERROR(__xludf.DUMMYFUNCTION("""COMPUTED_VALUE"""),"Unverified")</f>
        <v/>
      </c>
      <c r="AA822" s="1" t="n"/>
      <c r="AB822" s="1" t="n"/>
      <c r="AC822" s="1" t="n"/>
      <c r="AD822" s="1" t="n"/>
      <c r="AE822" s="1" t="n"/>
    </row>
    <row r="823" ht="42" customHeight="1">
      <c r="A823" s="14">
        <f>IFERROR(__xludf.DUMMYFUNCTION("""COMPUTED_VALUE"""),45181)</f>
        <v/>
      </c>
      <c r="B823" s="1">
        <f>IFERROR(__xludf.DUMMYFUNCTION("""COMPUTED_VALUE"""),"ORG_1508")</f>
        <v/>
      </c>
      <c r="C823" s="1">
        <f>IFERROR(__xludf.DUMMYFUNCTION("""COMPUTED_VALUE"""),TRUE)</f>
        <v/>
      </c>
      <c r="D823" s="1">
        <f>IFERROR(__xludf.DUMMYFUNCTION("""COMPUTED_VALUE"""),"eQualifai")</f>
        <v/>
      </c>
      <c r="E823" s="15">
        <f>IFERROR(__xludf.DUMMYFUNCTION("""COMPUTED_VALUE"""),"https://equalifai.com")</f>
        <v/>
      </c>
      <c r="F823" s="1">
        <f>IFERROR(__xludf.DUMMYFUNCTION("""COMPUTED_VALUE"""),"Students find their favourite tutors!
Equalifai is designed to make education easier and more transparent. We make sure that caring professional teachers and interested students find each other, schedule lessons and actually have them in a rich video-base"&amp;"d learning environment. We provide school subjects, hobbies and personal development. So simple. So efficient.")</f>
        <v/>
      </c>
      <c r="G823" s="1">
        <f>IFERROR(__xludf.DUMMYFUNCTION("""COMPUTED_VALUE"""),"I'm not part of any EdTech association")</f>
        <v/>
      </c>
      <c r="H823" s="1">
        <f>IFERROR(__xludf.DUMMYFUNCTION("""COMPUTED_VALUE"""),"Romanian, English, Ukrainian")</f>
        <v/>
      </c>
      <c r="I823" s="1">
        <f>IFERROR(__xludf.DUMMYFUNCTION("""COMPUTED_VALUE"""),"support@equalifai.com")</f>
        <v/>
      </c>
      <c r="J823" s="1">
        <f>IFERROR(__xludf.DUMMYFUNCTION("""COMPUTED_VALUE"""),"+40729996166")</f>
        <v/>
      </c>
      <c r="K823" s="1">
        <f>IFERROR(__xludf.DUMMYFUNCTION("""COMPUTED_VALUE"""),"CLUJ-NAPOCA")</f>
        <v/>
      </c>
      <c r="L823" s="1">
        <f>IFERROR(__xludf.DUMMYFUNCTION("""COMPUTED_VALUE"""),"Romania")</f>
        <v/>
      </c>
      <c r="M823" s="1">
        <f>IFERROR(__xludf.DUMMYFUNCTION("""COMPUTED_VALUE"""),"Romania, Ukraine, United Kingdom")</f>
        <v/>
      </c>
      <c r="N823" s="1">
        <f>IFERROR(__xludf.DUMMYFUNCTION("""COMPUTED_VALUE"""),"0 to 2")</f>
        <v/>
      </c>
      <c r="O823" s="1">
        <f>IFERROR(__xludf.DUMMYFUNCTION("""COMPUTED_VALUE"""),"Business to Consumer")</f>
        <v/>
      </c>
      <c r="P823" s="1">
        <f>IFERROR(__xludf.DUMMYFUNCTION("""COMPUTED_VALUE"""),"Primary Education, Secondary Education, Lifelong learning/Adult education, Vocational Education and Training (VET), Higher Education")</f>
        <v/>
      </c>
      <c r="Q823" s="1">
        <f>IFERROR(__xludf.DUMMYFUNCTION("""COMPUTED_VALUE"""),"System/Administrative, Student interfacing, Teacher interfacing")</f>
        <v/>
      </c>
      <c r="R823" s="15">
        <f>IFERROR(__xludf.DUMMYFUNCTION("""COMPUTED_VALUE"""),"https://www.instagram.com/equalifai.ro/")</f>
        <v/>
      </c>
      <c r="S823" s="1" t="n"/>
      <c r="T823" s="15">
        <f>IFERROR(__xludf.DUMMYFUNCTION("""COMPUTED_VALUE"""),"https://ro.linkedin.com/company/equalifai")</f>
        <v/>
      </c>
      <c r="U823" s="1" t="n"/>
      <c r="V823" s="1" t="n"/>
      <c r="W823" s="1" t="n"/>
      <c r="X823" s="1" t="n"/>
      <c r="Y823" s="15">
        <f>IFERROR(__xludf.DUMMYFUNCTION("""COMPUTED_VALUE"""),"https://drive.google.com/uc?export=view&amp;id=1pdNh4NdBID3v8lfHWHLfzAx98_17mnIJ")</f>
        <v/>
      </c>
      <c r="Z823" s="1">
        <f>IFERROR(__xludf.DUMMYFUNCTION("""COMPUTED_VALUE"""),"Unverified")</f>
        <v/>
      </c>
      <c r="AA823" s="1" t="n"/>
      <c r="AB823" s="1" t="n"/>
      <c r="AC823" s="1" t="n"/>
      <c r="AD823" s="1" t="n"/>
      <c r="AE823" s="1" t="n"/>
    </row>
    <row r="824" ht="42" customHeight="1">
      <c r="A824" s="14">
        <f>IFERROR(__xludf.DUMMYFUNCTION("""COMPUTED_VALUE"""),45181)</f>
        <v/>
      </c>
      <c r="B824" s="1">
        <f>IFERROR(__xludf.DUMMYFUNCTION("""COMPUTED_VALUE"""),"ORG_2394")</f>
        <v/>
      </c>
      <c r="C824" s="1">
        <f>IFERROR(__xludf.DUMMYFUNCTION("""COMPUTED_VALUE"""),TRUE)</f>
        <v/>
      </c>
      <c r="D824" s="1">
        <f>IFERROR(__xludf.DUMMYFUNCTION("""COMPUTED_VALUE"""),"The Code to Change")</f>
        <v/>
      </c>
      <c r="E824" s="15">
        <f>IFERROR(__xludf.DUMMYFUNCTION("""COMPUTED_VALUE"""),"https://codetochange.org/")</f>
        <v/>
      </c>
      <c r="F824" s="1">
        <f>IFERROR(__xludf.DUMMYFUNCTION("""COMPUTED_VALUE"""),"The Code To Change is a diversity and Inclusion organization, working to connect high potential employees with leaders in the technology world.
The Code to Change is aimed at reducing the skills gap and associated gender divide in the ICT sector. We insp"&amp;"ire and teach women essential skills to succeed in the job market. 
The Code to Change is creating an ecosystem for a diverse and inclusive tech sector through reskilling and upskilling underrepresented groups from diverse backgrounds.")</f>
        <v/>
      </c>
      <c r="G824" s="1">
        <f>IFERROR(__xludf.DUMMYFUNCTION("""COMPUTED_VALUE"""),"Dutch EdTech")</f>
        <v/>
      </c>
      <c r="H824" s="1" t="n"/>
      <c r="I824" s="1">
        <f>IFERROR(__xludf.DUMMYFUNCTION("""COMPUTED_VALUE"""),"info@codetochange.org")</f>
        <v/>
      </c>
      <c r="J824" s="1" t="n"/>
      <c r="K824" s="1">
        <f>IFERROR(__xludf.DUMMYFUNCTION("""COMPUTED_VALUE"""),"AMSTERDAM")</f>
        <v/>
      </c>
      <c r="L824" s="1">
        <f>IFERROR(__xludf.DUMMYFUNCTION("""COMPUTED_VALUE"""),"The Netherlands")</f>
        <v/>
      </c>
      <c r="M824" s="1">
        <f>IFERROR(__xludf.DUMMYFUNCTION("""COMPUTED_VALUE"""),"Belgium, Bulgaria, Czechia, Germany, Greece, Italy, Netherlands")</f>
        <v/>
      </c>
      <c r="N824" s="1">
        <f>IFERROR(__xludf.DUMMYFUNCTION("""COMPUTED_VALUE"""),"0 to 10")</f>
        <v/>
      </c>
      <c r="O824" s="1">
        <f>IFERROR(__xludf.DUMMYFUNCTION("""COMPUTED_VALUE"""),"Business to Business, Business to Consumer, Business to Government, Business to Schools")</f>
        <v/>
      </c>
      <c r="P824" s="1">
        <f>IFERROR(__xludf.DUMMYFUNCTION("""COMPUTED_VALUE"""),"Corporate Training, Lifelong learning/Adult education")</f>
        <v/>
      </c>
      <c r="Q824" s="1">
        <f>IFERROR(__xludf.DUMMYFUNCTION("""COMPUTED_VALUE"""),"System/Administrative, Student interfacing, Teacher interfacing")</f>
        <v/>
      </c>
      <c r="R824" s="1" t="n"/>
      <c r="S824" s="1" t="n"/>
      <c r="T824" s="1" t="n"/>
      <c r="U824" s="1" t="n"/>
      <c r="V824" s="1" t="n"/>
      <c r="W824" s="1" t="n"/>
      <c r="X824" s="1" t="n"/>
      <c r="Y824" s="15">
        <f>IFERROR(__xludf.DUMMYFUNCTION("""COMPUTED_VALUE"""),"https://drive.google.com/uc?export=view&amp;id=1XB6mtDEvoe3lFMcxEqYI8IXVFljm5bRD")</f>
        <v/>
      </c>
      <c r="Z824" s="1">
        <f>IFERROR(__xludf.DUMMYFUNCTION("""COMPUTED_VALUE"""),"Unverified")</f>
        <v/>
      </c>
      <c r="AA824" s="1" t="n"/>
      <c r="AB824" s="1" t="n"/>
      <c r="AC824" s="1" t="n"/>
      <c r="AD824" s="1" t="n"/>
      <c r="AE824" s="1" t="n"/>
    </row>
    <row r="825" ht="42" customHeight="1">
      <c r="A825" s="14">
        <f>IFERROR(__xludf.DUMMYFUNCTION("""COMPUTED_VALUE"""),45181)</f>
        <v/>
      </c>
      <c r="B825" s="1">
        <f>IFERROR(__xludf.DUMMYFUNCTION("""COMPUTED_VALUE"""),"ORG_1629")</f>
        <v/>
      </c>
      <c r="C825" s="1">
        <f>IFERROR(__xludf.DUMMYFUNCTION("""COMPUTED_VALUE"""),TRUE)</f>
        <v/>
      </c>
      <c r="D825" s="1">
        <f>IFERROR(__xludf.DUMMYFUNCTION("""COMPUTED_VALUE"""),"Go Fenix")</f>
        <v/>
      </c>
      <c r="E825" s="15">
        <f>IFERROR(__xludf.DUMMYFUNCTION("""COMPUTED_VALUE"""),"gofenix.io")</f>
        <v/>
      </c>
      <c r="F825" s="1">
        <f>IFERROR(__xludf.DUMMYFUNCTION("""COMPUTED_VALUE"""),"For active workers looking to get into tech, we provide a guided journey to chat with tech experts, find a relevant course and meet local employers.")</f>
        <v/>
      </c>
      <c r="G825" s="1">
        <f>IFERROR(__xludf.DUMMYFUNCTION("""COMPUTED_VALUE"""),"I'm not part of any EdTech association")</f>
        <v/>
      </c>
      <c r="H825" s="1" t="n"/>
      <c r="I825" s="1">
        <f>IFERROR(__xludf.DUMMYFUNCTION("""COMPUTED_VALUE"""),"info@gofenix.io")</f>
        <v/>
      </c>
      <c r="J825" s="1" t="n"/>
      <c r="K825" s="1">
        <f>IFERROR(__xludf.DUMMYFUNCTION("""COMPUTED_VALUE"""),"Paris")</f>
        <v/>
      </c>
      <c r="L825" s="1">
        <f>IFERROR(__xludf.DUMMYFUNCTION("""COMPUTED_VALUE"""),"France")</f>
        <v/>
      </c>
      <c r="M825" s="1">
        <f>IFERROR(__xludf.DUMMYFUNCTION("""COMPUTED_VALUE"""),"France")</f>
        <v/>
      </c>
      <c r="N825" s="1">
        <f>IFERROR(__xludf.DUMMYFUNCTION("""COMPUTED_VALUE"""),"0 to 10")</f>
        <v/>
      </c>
      <c r="O825" s="1">
        <f>IFERROR(__xludf.DUMMYFUNCTION("""COMPUTED_VALUE"""),"Business to Business, Business to Schools")</f>
        <v/>
      </c>
      <c r="P825" s="1">
        <f>IFERROR(__xludf.DUMMYFUNCTION("""COMPUTED_VALUE"""),"Lifelong learning/Adult education")</f>
        <v/>
      </c>
      <c r="Q825" s="1">
        <f>IFERROR(__xludf.DUMMYFUNCTION("""COMPUTED_VALUE"""),"Student interfacing, System/Administrative")</f>
        <v/>
      </c>
      <c r="R825" s="1" t="n"/>
      <c r="S825" s="1" t="n"/>
      <c r="T825" s="1" t="n"/>
      <c r="U825" s="1" t="n"/>
      <c r="V825" s="1" t="n"/>
      <c r="W825" s="1" t="n"/>
      <c r="X825" s="1" t="n"/>
      <c r="Y825" s="15">
        <f>IFERROR(__xludf.DUMMYFUNCTION("""COMPUTED_VALUE"""),"https://drive.google.com/uc?export=view&amp;id=1cZItaRMVPLUreEGj4-cOHlV544sCCZ5r")</f>
        <v/>
      </c>
      <c r="Z825" s="1">
        <f>IFERROR(__xludf.DUMMYFUNCTION("""COMPUTED_VALUE"""),"Unverified")</f>
        <v/>
      </c>
      <c r="AA825" s="1" t="n"/>
      <c r="AB825" s="1" t="n"/>
      <c r="AC825" s="1" t="n"/>
      <c r="AD825" s="1" t="n"/>
      <c r="AE825" s="1" t="n"/>
    </row>
    <row r="826" ht="42" customHeight="1">
      <c r="A826" s="14">
        <f>IFERROR(__xludf.DUMMYFUNCTION("""COMPUTED_VALUE"""),45181)</f>
        <v/>
      </c>
      <c r="B826" s="1">
        <f>IFERROR(__xludf.DUMMYFUNCTION("""COMPUTED_VALUE"""),"ORG_1363")</f>
        <v/>
      </c>
      <c r="C826" s="1">
        <f>IFERROR(__xludf.DUMMYFUNCTION("""COMPUTED_VALUE"""),TRUE)</f>
        <v/>
      </c>
      <c r="D826" s="1">
        <f>IFERROR(__xludf.DUMMYFUNCTION("""COMPUTED_VALUE"""),"DigitalKidZ")</f>
        <v/>
      </c>
      <c r="E826" s="15">
        <f>IFERROR(__xludf.DUMMYFUNCTION("""COMPUTED_VALUE"""),"https://digitalkidz.school/")</f>
        <v/>
      </c>
      <c r="F826" s="1">
        <f>IFERROR(__xludf.DUMMYFUNCTION("""COMPUTED_VALUE"""),"DigitalKidZ is an edutainment to help elementary children become digital heroes and develop their full brain potential. This helps them to thrive in the educational system and set up for success.
It’s an online platform that improves the digital literacy"&amp;" of the children and helps them think BETTER, communicate BETTER, design, and engage BETTER in the world around. And it provides neuroscience-based reports to their parents to improve child’s performance and save money from private tutoring.")</f>
        <v/>
      </c>
      <c r="G826" s="1">
        <f>IFERROR(__xludf.DUMMYFUNCTION("""COMPUTED_VALUE"""),"I'm not part of any EdTech association")</f>
        <v/>
      </c>
      <c r="H826" s="1" t="n"/>
      <c r="I826" s="1">
        <f>IFERROR(__xludf.DUMMYFUNCTION("""COMPUTED_VALUE"""),"hello@digitalkidz.eu")</f>
        <v/>
      </c>
      <c r="J826" s="1">
        <f>IFERROR(__xludf.DUMMYFUNCTION("""COMPUTED_VALUE"""),"+ 359 883 329 992")</f>
        <v/>
      </c>
      <c r="K826" s="1">
        <f>IFERROR(__xludf.DUMMYFUNCTION("""COMPUTED_VALUE"""),"SOFIA")</f>
        <v/>
      </c>
      <c r="L826" s="1">
        <f>IFERROR(__xludf.DUMMYFUNCTION("""COMPUTED_VALUE"""),"Bulgaria")</f>
        <v/>
      </c>
      <c r="M826" s="1">
        <f>IFERROR(__xludf.DUMMYFUNCTION("""COMPUTED_VALUE"""),"Austria, Bulgaria, Kosovo, Serbia")</f>
        <v/>
      </c>
      <c r="N826" s="1">
        <f>IFERROR(__xludf.DUMMYFUNCTION("""COMPUTED_VALUE"""),"0 to 10")</f>
        <v/>
      </c>
      <c r="O826" s="1">
        <f>IFERROR(__xludf.DUMMYFUNCTION("""COMPUTED_VALUE"""),"Business to Business")</f>
        <v/>
      </c>
      <c r="P826" s="1">
        <f>IFERROR(__xludf.DUMMYFUNCTION("""COMPUTED_VALUE"""),"Secondary Education")</f>
        <v/>
      </c>
      <c r="Q826" s="1">
        <f>IFERROR(__xludf.DUMMYFUNCTION("""COMPUTED_VALUE"""),"System/Administrative, Student interfacing")</f>
        <v/>
      </c>
      <c r="R826" s="1" t="n"/>
      <c r="S826" s="1" t="n"/>
      <c r="T826" s="1" t="n"/>
      <c r="U826" s="1" t="n"/>
      <c r="V826" s="1" t="n"/>
      <c r="W826" s="1" t="n"/>
      <c r="X826" s="1" t="n"/>
      <c r="Y826" s="15">
        <f>IFERROR(__xludf.DUMMYFUNCTION("""COMPUTED_VALUE"""),"https://drive.google.com/uc?export=view&amp;id=13ng1Gy2F3FycAh_nAOljjTlIZ974jZwP")</f>
        <v/>
      </c>
      <c r="Z826" s="1">
        <f>IFERROR(__xludf.DUMMYFUNCTION("""COMPUTED_VALUE"""),"Unverified")</f>
        <v/>
      </c>
      <c r="AA826" s="1" t="n"/>
      <c r="AB826" s="1" t="n"/>
      <c r="AC826" s="1" t="n"/>
      <c r="AD826" s="1" t="n"/>
      <c r="AE826" s="1" t="n"/>
    </row>
    <row r="827" ht="42" customHeight="1">
      <c r="A827" s="14">
        <f>IFERROR(__xludf.DUMMYFUNCTION("""COMPUTED_VALUE"""),45181)</f>
        <v/>
      </c>
      <c r="B827" s="1">
        <f>IFERROR(__xludf.DUMMYFUNCTION("""COMPUTED_VALUE"""),"ORG_1965")</f>
        <v/>
      </c>
      <c r="C827" s="1">
        <f>IFERROR(__xludf.DUMMYFUNCTION("""COMPUTED_VALUE"""),TRUE)</f>
        <v/>
      </c>
      <c r="D827" s="1">
        <f>IFERROR(__xludf.DUMMYFUNCTION("""COMPUTED_VALUE"""),"Millionroads")</f>
        <v/>
      </c>
      <c r="E827" s="15">
        <f>IFERROR(__xludf.DUMMYFUNCTION("""COMPUTED_VALUE"""),"https://www.millionroads.com/")</f>
        <v/>
      </c>
      <c r="F827" s="1">
        <f>IFERROR(__xludf.DUMMYFUNCTION("""COMPUTED_VALUE"""),"Millionroads is an Edtech company that collects and analyses tens of millions of educational and professional backgrounds and develop business intelligence tools enabling education actors to better manage their activities, with solutions designed to reinv"&amp;"ent career guidance and integration thanks to the combined power of Big data and IA.")</f>
        <v/>
      </c>
      <c r="G827" s="1">
        <f>IFERROR(__xludf.DUMMYFUNCTION("""COMPUTED_VALUE"""),"AFINEF")</f>
        <v/>
      </c>
      <c r="H827" s="1" t="n"/>
      <c r="I827" s="1">
        <f>IFERROR(__xludf.DUMMYFUNCTION("""COMPUTED_VALUE"""),"daf@millionroads.com")</f>
        <v/>
      </c>
      <c r="J827" s="1" t="n"/>
      <c r="K827" s="1">
        <f>IFERROR(__xludf.DUMMYFUNCTION("""COMPUTED_VALUE"""),"AVIGNON")</f>
        <v/>
      </c>
      <c r="L827" s="1">
        <f>IFERROR(__xludf.DUMMYFUNCTION("""COMPUTED_VALUE"""),"France")</f>
        <v/>
      </c>
      <c r="M827" s="1">
        <f>IFERROR(__xludf.DUMMYFUNCTION("""COMPUTED_VALUE"""),"France")</f>
        <v/>
      </c>
      <c r="N827" s="1">
        <f>IFERROR(__xludf.DUMMYFUNCTION("""COMPUTED_VALUE"""),"11 to 50")</f>
        <v/>
      </c>
      <c r="O827" s="1">
        <f>IFERROR(__xludf.DUMMYFUNCTION("""COMPUTED_VALUE"""),"Business to Consumer, Business to Government, Business to Schools")</f>
        <v/>
      </c>
      <c r="P827" s="1">
        <f>IFERROR(__xludf.DUMMYFUNCTION("""COMPUTED_VALUE"""),"Secondary Education, Higher Education")</f>
        <v/>
      </c>
      <c r="Q827" s="1">
        <f>IFERROR(__xludf.DUMMYFUNCTION("""COMPUTED_VALUE"""),"Student interfacing")</f>
        <v/>
      </c>
      <c r="R827" s="1" t="n"/>
      <c r="S827" s="1" t="n"/>
      <c r="T827" s="1" t="n"/>
      <c r="U827" s="1" t="n"/>
      <c r="V827" s="1" t="n"/>
      <c r="W827" s="1" t="n"/>
      <c r="X827" s="1" t="n"/>
      <c r="Y827" s="15">
        <f>IFERROR(__xludf.DUMMYFUNCTION("""COMPUTED_VALUE"""),"https://drive.google.com/uc?export=view&amp;id=1FLLz6eloWGc0PASWNw0OUkydyJ3N-Zhu")</f>
        <v/>
      </c>
      <c r="Z827" s="1">
        <f>IFERROR(__xludf.DUMMYFUNCTION("""COMPUTED_VALUE"""),"Unverified")</f>
        <v/>
      </c>
      <c r="AA827" s="1" t="n"/>
      <c r="AB827" s="1" t="n"/>
      <c r="AC827" s="1" t="n"/>
      <c r="AD827" s="1" t="n"/>
      <c r="AE827" s="1" t="n"/>
    </row>
    <row r="828" ht="42" customHeight="1">
      <c r="A828" s="14">
        <f>IFERROR(__xludf.DUMMYFUNCTION("""COMPUTED_VALUE"""),45181)</f>
        <v/>
      </c>
      <c r="B828" s="1">
        <f>IFERROR(__xludf.DUMMYFUNCTION("""COMPUTED_VALUE"""),"ORG_1932")</f>
        <v/>
      </c>
      <c r="C828" s="1">
        <f>IFERROR(__xludf.DUMMYFUNCTION("""COMPUTED_VALUE"""),TRUE)</f>
        <v/>
      </c>
      <c r="D828" s="1">
        <f>IFERROR(__xludf.DUMMYFUNCTION("""COMPUTED_VALUE"""),"Matific")</f>
        <v/>
      </c>
      <c r="E828" s="15">
        <f>IFERROR(__xludf.DUMMYFUNCTION("""COMPUTED_VALUE"""),"https://www.matific.com/es/es/home/")</f>
        <v/>
      </c>
      <c r="F828" s="1">
        <f>IFERROR(__xludf.DUMMYFUNCTION("""COMPUTED_VALUE"""),"Matific is a digital learning resource that combines a repository of gamified mathematical activities, that develop fluency and conceptual understanding of mathematics in Early Childhood and Primary Education, with a complete suite of tools for teachers. "&amp;"
Matific provides:
- an attractive environment that sparks the natural curiosity of each child, an environment where maths comes to life as problems are presented in real life contexts.
- an environment that promotes inclusion, where each student can a"&amp;"dvance at his/her own pace, even in his/her own language.
- more than 2,500 activities aligned with different curriculums and available in more than 40 languages.
- placement tests that serve to identify the weaknesses and strengths of each student.
- "&amp;"detailed reports that allow teachers to easily identify the needs of each student and assign activities in a personalized way to help expand or reinforce different concepts.
- an easy to use interface for teachers that does not require any methodological"&amp;" changes.")</f>
        <v/>
      </c>
      <c r="G828" s="1">
        <f>IFERROR(__xludf.DUMMYFUNCTION("""COMPUTED_VALUE"""),"I'm not part of any EdTech association")</f>
        <v/>
      </c>
      <c r="H828" s="1" t="n"/>
      <c r="I828" s="1">
        <f>IFERROR(__xludf.DUMMYFUNCTION("""COMPUTED_VALUE"""),"spain@matific.com")</f>
        <v/>
      </c>
      <c r="J828" s="1" t="n"/>
      <c r="K828" s="1">
        <f>IFERROR(__xludf.DUMMYFUNCTION("""COMPUTED_VALUE"""),"Madrid")</f>
        <v/>
      </c>
      <c r="L828" s="1">
        <f>IFERROR(__xludf.DUMMYFUNCTION("""COMPUTED_VALUE"""),"Spain")</f>
        <v/>
      </c>
      <c r="M828" s="1">
        <f>IFERROR(__xludf.DUMMYFUNCTION("""COMPUTED_VALUE"""),"Andorra, Belgium, Croatia, Czechia, Estonia, France, Hungary, Ireland, Italy, Malta, Netherlands, Poland, Portugal, Romania, Spain, Switzerland, Turkey, Ukraine, United Kingdom")</f>
        <v/>
      </c>
      <c r="N828" s="1">
        <f>IFERROR(__xludf.DUMMYFUNCTION("""COMPUTED_VALUE"""),"100+")</f>
        <v/>
      </c>
      <c r="O828" s="1">
        <f>IFERROR(__xludf.DUMMYFUNCTION("""COMPUTED_VALUE"""),"Business to Business, Business to Consumer, Business to Government, Business to Schools")</f>
        <v/>
      </c>
      <c r="P828" s="1">
        <f>IFERROR(__xludf.DUMMYFUNCTION("""COMPUTED_VALUE"""),"Early childhood development (0-5 years), Primary Education")</f>
        <v/>
      </c>
      <c r="Q828" s="1">
        <f>IFERROR(__xludf.DUMMYFUNCTION("""COMPUTED_VALUE"""),"System/Administrative, Teacher interfacing")</f>
        <v/>
      </c>
      <c r="R828" s="1" t="n"/>
      <c r="S828" s="1" t="n"/>
      <c r="T828" s="1" t="n"/>
      <c r="U828" s="1" t="n"/>
      <c r="V828" s="1" t="n"/>
      <c r="W828" s="1" t="n"/>
      <c r="X828" s="1" t="n"/>
      <c r="Y828" s="15">
        <f>IFERROR(__xludf.DUMMYFUNCTION("""COMPUTED_VALUE"""),"https://drive.google.com/uc?export=view&amp;id=19bxGe1V5ozPDxqE-YccVuk9jK0QFNLYF")</f>
        <v/>
      </c>
      <c r="Z828" s="1">
        <f>IFERROR(__xludf.DUMMYFUNCTION("""COMPUTED_VALUE"""),"Unverified")</f>
        <v/>
      </c>
      <c r="AA828" s="1" t="n"/>
      <c r="AB828" s="1" t="n"/>
      <c r="AC828" s="1" t="n"/>
      <c r="AD828" s="1" t="n"/>
      <c r="AE828" s="1" t="n"/>
    </row>
    <row r="829" ht="42" customHeight="1">
      <c r="A829" s="14">
        <f>IFERROR(__xludf.DUMMYFUNCTION("""COMPUTED_VALUE"""),45181)</f>
        <v/>
      </c>
      <c r="B829" s="1">
        <f>IFERROR(__xludf.DUMMYFUNCTION("""COMPUTED_VALUE"""),"ORG_1574")</f>
        <v/>
      </c>
      <c r="C829" s="1">
        <f>IFERROR(__xludf.DUMMYFUNCTION("""COMPUTED_VALUE"""),TRUE)</f>
        <v/>
      </c>
      <c r="D829" s="1">
        <f>IFERROR(__xludf.DUMMYFUNCTION("""COMPUTED_VALUE"""),"Formación Ninja")</f>
        <v/>
      </c>
      <c r="E829" s="15">
        <f>IFERROR(__xludf.DUMMYFUNCTION("""COMPUTED_VALUE"""),"https://formacion.ninja")</f>
        <v/>
      </c>
      <c r="F829" s="1">
        <f>IFERROR(__xludf.DUMMYFUNCTION("""COMPUTED_VALUE"""),"In Formación Ninja we create academies for the preparation of specific civil exams. Our teaching method is based on the use of study techniques to more easily memorize the theoretical content of the exams. Bombero Ninja is the leading academy in its secto"&amp;"r, having been born in December 2019.")</f>
        <v/>
      </c>
      <c r="G829" s="1">
        <f>IFERROR(__xludf.DUMMYFUNCTION("""COMPUTED_VALUE"""),"SEK Lab")</f>
        <v/>
      </c>
      <c r="H829" s="1" t="n"/>
      <c r="I829" s="1">
        <f>IFERROR(__xludf.DUMMYFUNCTION("""COMPUTED_VALUE"""),"hola@formacion.ninja")</f>
        <v/>
      </c>
      <c r="J829" s="1" t="n"/>
      <c r="K829" s="1">
        <f>IFERROR(__xludf.DUMMYFUNCTION("""COMPUTED_VALUE"""),"MADRID")</f>
        <v/>
      </c>
      <c r="L829" s="1">
        <f>IFERROR(__xludf.DUMMYFUNCTION("""COMPUTED_VALUE"""),"Spain")</f>
        <v/>
      </c>
      <c r="M829" s="1">
        <f>IFERROR(__xludf.DUMMYFUNCTION("""COMPUTED_VALUE"""),"Spain")</f>
        <v/>
      </c>
      <c r="N829" s="1">
        <f>IFERROR(__xludf.DUMMYFUNCTION("""COMPUTED_VALUE"""),"11 to 50")</f>
        <v/>
      </c>
      <c r="O829" s="1">
        <f>IFERROR(__xludf.DUMMYFUNCTION("""COMPUTED_VALUE"""),"Business to Consumer")</f>
        <v/>
      </c>
      <c r="P829" s="1">
        <f>IFERROR(__xludf.DUMMYFUNCTION("""COMPUTED_VALUE"""),"Higher Education")</f>
        <v/>
      </c>
      <c r="Q829" s="1">
        <f>IFERROR(__xludf.DUMMYFUNCTION("""COMPUTED_VALUE"""),"Student interfacing")</f>
        <v/>
      </c>
      <c r="R829" s="15">
        <f>IFERROR(__xludf.DUMMYFUNCTION("""COMPUTED_VALUE"""),"https://www.instagram.com/formacion.ninja/")</f>
        <v/>
      </c>
      <c r="S829" s="15">
        <f>IFERROR(__xludf.DUMMYFUNCTION("""COMPUTED_VALUE"""),"https://twitter.com/FormacionNinja")</f>
        <v/>
      </c>
      <c r="T829" s="15">
        <f>IFERROR(__xludf.DUMMYFUNCTION("""COMPUTED_VALUE"""),"https://www.linkedin.com/company/formacionninja/")</f>
        <v/>
      </c>
      <c r="U829" s="1">
        <f>IFERROR(__xludf.DUMMYFUNCTION("""COMPUTED_VALUE"""),"Bombero Ninja")</f>
        <v/>
      </c>
      <c r="V829" s="1">
        <f>IFERROR(__xludf.DUMMYFUNCTION("""COMPUTED_VALUE"""),"The largest online academy for firefighters in Spain, literally. We prepare firefighters from the Community of Madrid, AENA, the Valencian Community, the Generalitat de Catalunya and many more oppositions.")</f>
        <v/>
      </c>
      <c r="W829" s="1">
        <f>IFERROR(__xludf.DUMMYFUNCTION("""COMPUTED_VALUE"""),"Policía Ninja")</f>
        <v/>
      </c>
      <c r="X829" s="1">
        <f>IFERROR(__xludf.DUMMYFUNCTION("""COMPUTED_VALUE"""),"It was born in October 2021 and already helps hundreds of students to get their place in Ávila. Currently we are only preparing the National Police Corps, but we are very excited and want to go further, helping opponents of the Civil Guard, local Police.."&amp;".")</f>
        <v/>
      </c>
      <c r="Y829" s="15">
        <f>IFERROR(__xludf.DUMMYFUNCTION("""COMPUTED_VALUE"""),"https://drive.google.com/uc?export=view&amp;id=1pIP0FW4HcJazFElBq996xDg5VGtEIa1o")</f>
        <v/>
      </c>
      <c r="Z829" s="1">
        <f>IFERROR(__xludf.DUMMYFUNCTION("""COMPUTED_VALUE"""),"Unverified")</f>
        <v/>
      </c>
      <c r="AA829" s="1" t="n"/>
      <c r="AB829" s="1" t="n"/>
      <c r="AC829" s="1" t="n"/>
      <c r="AD829" s="1" t="n"/>
      <c r="AE829" s="1" t="n"/>
    </row>
    <row r="830" ht="42" customHeight="1">
      <c r="A830" s="14">
        <f>IFERROR(__xludf.DUMMYFUNCTION("""COMPUTED_VALUE"""),45181)</f>
        <v/>
      </c>
      <c r="B830" s="1">
        <f>IFERROR(__xludf.DUMMYFUNCTION("""COMPUTED_VALUE"""),"ORG_1874")</f>
        <v/>
      </c>
      <c r="C830" s="1">
        <f>IFERROR(__xludf.DUMMYFUNCTION("""COMPUTED_VALUE"""),TRUE)</f>
        <v/>
      </c>
      <c r="D830" s="1">
        <f>IFERROR(__xludf.DUMMYFUNCTION("""COMPUTED_VALUE"""),"Liga-Roboter")</f>
        <v/>
      </c>
      <c r="E830" s="15">
        <f>IFERROR(__xludf.DUMMYFUNCTION("""COMPUTED_VALUE"""),"https://ligaderroboter.de/")</f>
        <v/>
      </c>
      <c r="F830" s="1">
        <f>IFERROR(__xludf.DUMMYFUNCTION("""COMPUTED_VALUE"""),"Liga der Roboter (League of Robots) is the network of robotics schools across Munich and Germany (soon). 
STEM-multidisciplinary approach to education: through robotics we teach mathematics, physics, chemistry, project activities, teamwork and even histor"&amp;"y and biology.
Up to now we created 192 fascinating lessons, transferring children to the world of discovery; 576 hours of pumping the child's intellect - algorithmic and projected thinking, technical creativity of our students is above the level of peers"&amp;".")</f>
        <v/>
      </c>
      <c r="G830" s="1">
        <f>IFERROR(__xludf.DUMMYFUNCTION("""COMPUTED_VALUE"""),"I'm not part of any EdTech association")</f>
        <v/>
      </c>
      <c r="H830" s="1" t="n"/>
      <c r="I830" s="1">
        <f>IFERROR(__xludf.DUMMYFUNCTION("""COMPUTED_VALUE"""),"charikov@gmail.com")</f>
        <v/>
      </c>
      <c r="J830" s="1" t="n"/>
      <c r="K830" s="1">
        <f>IFERROR(__xludf.DUMMYFUNCTION("""COMPUTED_VALUE"""),"München")</f>
        <v/>
      </c>
      <c r="L830" s="1">
        <f>IFERROR(__xludf.DUMMYFUNCTION("""COMPUTED_VALUE"""),"Germany")</f>
        <v/>
      </c>
      <c r="M830" s="1">
        <f>IFERROR(__xludf.DUMMYFUNCTION("""COMPUTED_VALUE"""),"Germany")</f>
        <v/>
      </c>
      <c r="N830" s="1">
        <f>IFERROR(__xludf.DUMMYFUNCTION("""COMPUTED_VALUE"""),"0 to 10")</f>
        <v/>
      </c>
      <c r="O830" s="1">
        <f>IFERROR(__xludf.DUMMYFUNCTION("""COMPUTED_VALUE"""),"Business to Consumer")</f>
        <v/>
      </c>
      <c r="P830" s="1">
        <f>IFERROR(__xludf.DUMMYFUNCTION("""COMPUTED_VALUE"""),"Early childhood development (0-5 years), Primary Education")</f>
        <v/>
      </c>
      <c r="Q830" s="1">
        <f>IFERROR(__xludf.DUMMYFUNCTION("""COMPUTED_VALUE"""),"Student interfacing")</f>
        <v/>
      </c>
      <c r="R830" s="1" t="n"/>
      <c r="S830" s="1" t="n"/>
      <c r="T830" s="1" t="n"/>
      <c r="U830" s="1" t="n"/>
      <c r="V830" s="1" t="n"/>
      <c r="W830" s="1" t="n"/>
      <c r="X830" s="1" t="n"/>
      <c r="Y830" s="1" t="n"/>
      <c r="Z830" s="1">
        <f>IFERROR(__xludf.DUMMYFUNCTION("""COMPUTED_VALUE"""),"Unverified")</f>
        <v/>
      </c>
      <c r="AA830" s="1" t="n"/>
      <c r="AB830" s="1" t="n"/>
      <c r="AC830" s="1" t="n"/>
      <c r="AD830" s="1" t="n"/>
      <c r="AE830" s="1" t="n"/>
    </row>
    <row r="831" ht="42" customHeight="1">
      <c r="A831" s="14">
        <f>IFERROR(__xludf.DUMMYFUNCTION("""COMPUTED_VALUE"""),45181)</f>
        <v/>
      </c>
      <c r="B831" s="1">
        <f>IFERROR(__xludf.DUMMYFUNCTION("""COMPUTED_VALUE"""),"ORG_2076")</f>
        <v/>
      </c>
      <c r="C831" s="1">
        <f>IFERROR(__xludf.DUMMYFUNCTION("""COMPUTED_VALUE"""),TRUE)</f>
        <v/>
      </c>
      <c r="D831" s="1">
        <f>IFERROR(__xludf.DUMMYFUNCTION("""COMPUTED_VALUE"""),"Opoland")</f>
        <v/>
      </c>
      <c r="E831" s="15">
        <f>IFERROR(__xludf.DUMMYFUNCTION("""COMPUTED_VALUE"""),"https://opo.land")</f>
        <v/>
      </c>
      <c r="F831" s="1">
        <f>IFERROR(__xludf.DUMMYFUNCTION("""COMPUTED_VALUE"""),"Opoland is an online platform for competitive video courses. In Opoland you can register as a teacher and start creating your courses, earning money based on the time your videos are played. In addition, for those people who want to teach and continue to "&amp;"compete, it is a great way to study their syllabus. Likewise, in Opoland, students will find a new way of studying the civil exams since, through subscription, they can access all the content freely and choose different teachers for each of the subjects. "&amp;"Enter now for only €27 per month.")</f>
        <v/>
      </c>
      <c r="G831" s="1">
        <f>IFERROR(__xludf.DUMMYFUNCTION("""COMPUTED_VALUE"""),"SEK Lab")</f>
        <v/>
      </c>
      <c r="H831" s="1" t="n"/>
      <c r="I831" s="1">
        <f>IFERROR(__xludf.DUMMYFUNCTION("""COMPUTED_VALUE"""),"hola@opo.land")</f>
        <v/>
      </c>
      <c r="J831" s="1" t="n"/>
      <c r="K831" s="1">
        <f>IFERROR(__xludf.DUMMYFUNCTION("""COMPUTED_VALUE"""),"MADRID")</f>
        <v/>
      </c>
      <c r="L831" s="1">
        <f>IFERROR(__xludf.DUMMYFUNCTION("""COMPUTED_VALUE"""),"Spain")</f>
        <v/>
      </c>
      <c r="M831" s="1">
        <f>IFERROR(__xludf.DUMMYFUNCTION("""COMPUTED_VALUE"""),"Spain")</f>
        <v/>
      </c>
      <c r="N831" s="1">
        <f>IFERROR(__xludf.DUMMYFUNCTION("""COMPUTED_VALUE"""),"0 to 10")</f>
        <v/>
      </c>
      <c r="O831" s="1">
        <f>IFERROR(__xludf.DUMMYFUNCTION("""COMPUTED_VALUE"""),"Business to Consumer")</f>
        <v/>
      </c>
      <c r="P831" s="1">
        <f>IFERROR(__xludf.DUMMYFUNCTION("""COMPUTED_VALUE"""),"Higher Education")</f>
        <v/>
      </c>
      <c r="Q831" s="1">
        <f>IFERROR(__xludf.DUMMYFUNCTION("""COMPUTED_VALUE"""),"Student interfacing")</f>
        <v/>
      </c>
      <c r="R831" s="15">
        <f>IFERROR(__xludf.DUMMYFUNCTION("""COMPUTED_VALUE"""),"https://www.instagram.com/opoland_es/")</f>
        <v/>
      </c>
      <c r="S831" s="15">
        <f>IFERROR(__xludf.DUMMYFUNCTION("""COMPUTED_VALUE"""),"https://twitter.com/opoland_es")</f>
        <v/>
      </c>
      <c r="T831" s="15">
        <f>IFERROR(__xludf.DUMMYFUNCTION("""COMPUTED_VALUE"""),"https://www.linkedin.com/company/opo-land")</f>
        <v/>
      </c>
      <c r="U831" s="1">
        <f>IFERROR(__xludf.DUMMYFUNCTION("""COMPUTED_VALUE"""),"Opoland")</f>
        <v/>
      </c>
      <c r="V831" s="1">
        <f>IFERROR(__xludf.DUMMYFUNCTION("""COMPUTED_VALUE"""),"Opoland is an online platform for competitive video courses. In Opoland you can register as a teacher and start creating your courses, earning money based on the time your videos are played. In addition, for those people who want to teach and continue to "&amp;"compete, it is a great way to study their syllabus. Likewise, in Opoland, students will find a new way of studying the civil exams since, through subscription, they can access all the content freely and choose different teachers for each of the subjects. "&amp;"Enter now for only €27 per month.")</f>
        <v/>
      </c>
      <c r="W831" s="1" t="n"/>
      <c r="X831" s="1" t="n"/>
      <c r="Y831" s="15">
        <f>IFERROR(__xludf.DUMMYFUNCTION("""COMPUTED_VALUE"""),"https://drive.google.com/uc?export=view&amp;id=1X3PDtnknD38ocVPvzQ2zk1I2mVJL8FLo")</f>
        <v/>
      </c>
      <c r="Z831" s="1">
        <f>IFERROR(__xludf.DUMMYFUNCTION("""COMPUTED_VALUE"""),"Unverified")</f>
        <v/>
      </c>
      <c r="AA831" s="1" t="n"/>
      <c r="AB831" s="1" t="n"/>
      <c r="AC831" s="1" t="n"/>
      <c r="AD831" s="1" t="n"/>
      <c r="AE831" s="1" t="n"/>
    </row>
    <row r="832" ht="42" customHeight="1">
      <c r="A832" s="14">
        <f>IFERROR(__xludf.DUMMYFUNCTION("""COMPUTED_VALUE"""),45181)</f>
        <v/>
      </c>
      <c r="B832" s="1">
        <f>IFERROR(__xludf.DUMMYFUNCTION("""COMPUTED_VALUE"""),"ORG_1208")</f>
        <v/>
      </c>
      <c r="C832" s="1">
        <f>IFERROR(__xludf.DUMMYFUNCTION("""COMPUTED_VALUE"""),TRUE)</f>
        <v/>
      </c>
      <c r="D832" s="1">
        <f>IFERROR(__xludf.DUMMYFUNCTION("""COMPUTED_VALUE"""),"CABRILOG")</f>
        <v/>
      </c>
      <c r="E832" s="15">
        <f>IFERROR(__xludf.DUMMYFUNCTION("""COMPUTED_VALUE"""),"https://cabri.com")</f>
        <v/>
      </c>
      <c r="F832" s="1">
        <f>IFERROR(__xludf.DUMMYFUNCTION("""COMPUTED_VALUE"""),"An EdTech located in the heart of the French Alps, Cabrilog designs, develops and markets digital learning resources and apps dedicated to maths and science education. Those are based on the concept of “Try it to learn it”. It is for both K-12 and higher "&amp;"education students and teachers. It features a smart automatic grading for assessment in maths, coding and STEAM.
1. Around 20 Ministries of Education have already deployed Cabri solutions. 
2. The solution has proven to generate a 30% increase in studen"&amp;"ts' grades. Those results come from the world’s largest research on the impact of technology in math education, including more than 15,000 students during 6 years.
3. Based on scientific results in didactics and cognitive science research through key part"&amp;"nerships.
4. The technology has been embedded in Texas Instruments calculators since the 90’s &amp; adopted by leading text-book publishers, such as Mc Graw Hill and Pearson.")</f>
        <v/>
      </c>
      <c r="G832" s="1">
        <f>IFERROR(__xludf.DUMMYFUNCTION("""COMPUTED_VALUE"""),"AFINEF")</f>
        <v/>
      </c>
      <c r="H832" s="1" t="n"/>
      <c r="I832" s="1">
        <f>IFERROR(__xludf.DUMMYFUNCTION("""COMPUTED_VALUE"""),"info@cabri.com")</f>
        <v/>
      </c>
      <c r="J832" s="1">
        <f>IFERROR(__xludf.DUMMYFUNCTION("""COMPUTED_VALUE"""),"+33 4 76 43 97 00")</f>
        <v/>
      </c>
      <c r="K832" s="1">
        <f>IFERROR(__xludf.DUMMYFUNCTION("""COMPUTED_VALUE"""),"FONTAINE")</f>
        <v/>
      </c>
      <c r="L832" s="1">
        <f>IFERROR(__xludf.DUMMYFUNCTION("""COMPUTED_VALUE"""),"France")</f>
        <v/>
      </c>
      <c r="M83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832" s="1">
        <f>IFERROR(__xludf.DUMMYFUNCTION("""COMPUTED_VALUE"""),"11 to 50")</f>
        <v/>
      </c>
      <c r="O832" s="1">
        <f>IFERROR(__xludf.DUMMYFUNCTION("""COMPUTED_VALUE"""),"Business to Business, Business to Consumer, Business to Government, Business to Schools")</f>
        <v/>
      </c>
      <c r="P832" s="1">
        <f>IFERROR(__xludf.DUMMYFUNCTION("""COMPUTED_VALUE"""),"Primary Education, Secondary Education, Higher Education, Corporate Training, Lifelong learning/Adult education")</f>
        <v/>
      </c>
      <c r="Q832" s="1">
        <f>IFERROR(__xludf.DUMMYFUNCTION("""COMPUTED_VALUE"""),"System/Administrative, Student interfacing, Teacher interfacing")</f>
        <v/>
      </c>
      <c r="R832" s="15">
        <f>IFERROR(__xludf.DUMMYFUNCTION("""COMPUTED_VALUE"""),"https://www.instagram.com/cabrilog_/")</f>
        <v/>
      </c>
      <c r="S832" s="15">
        <f>IFERROR(__xludf.DUMMYFUNCTION("""COMPUTED_VALUE"""),"https://twitter.com/Cabrilog")</f>
        <v/>
      </c>
      <c r="T832" s="15">
        <f>IFERROR(__xludf.DUMMYFUNCTION("""COMPUTED_VALUE"""),"https://www.linkedin.com/company/cabrilog/")</f>
        <v/>
      </c>
      <c r="U832" s="1">
        <f>IFERROR(__xludf.DUMMYFUNCTION("""COMPUTED_VALUE"""),"Cabri Maths")</f>
        <v/>
      </c>
      <c r="V832" s="1">
        <f>IFERROR(__xludf.DUMMYFUNCTION("""COMPUTED_VALUE"""),"CABRI Maths combines several mathematical tools, all integrated into the LMS platform
Cabri for personalized support in learning:
● The Cabri Express tool
● The Smart extension
● Cabri 3D online
The Cabri Express tool allows teachers to create digital r"&amp;"esources in line with
to the school programs and in line with the different mathematics themes:
""Numbers and calculations"", ""Organization and management functions"", ""Magnitude and measures"",""Space and geometry"". With Cabri Express, students feel i"&amp;"nvolved in mathematics, the digital mathematics, the digital tool captures their attention and attention and makes them actors of their learning. The teacher has the possibility of creating activities in mathematics using Cabri Express: they have access t"&amp;"o tools for creating statements (text, expression, numbers, etc.), dynamic geometry in 2D and 3D,
virtual instruments such as the ruler, the compass, the protractor, the calculator, etc.
Cabri 3D is a powerful software for dynamic mathematics in space.
C"&amp;"abri 3D makes it possible to overcome the difficulties of construction and visualization, and brings the advantages of dynamic geometry. Cabri 3D won the BETT Award 2007
for the best resource in the ""Secondary School Core Subjects"" category.
3D visualiz"&amp;"ation tools make it possible to exploit the properties of solid geometry and
to understand mathematical constructions that are impossible to reproduce physically. The tool allows students to develop their ability to think in 3D and their mathematical crea"&amp;"tivity, a skill sought after by companies for problem solving.")</f>
        <v/>
      </c>
      <c r="W832" s="1">
        <f>IFERROR(__xludf.DUMMYFUNCTION("""COMPUTED_VALUE"""),"Cabri STEAM")</f>
        <v/>
      </c>
      <c r="X832" s="1">
        <f>IFERROR(__xludf.DUMMYFUNCTION("""COMPUTED_VALUE"""),"Cabri STEAM is an extension using the iMuSciCA tools to learn all the STEAM notions. 
iMuSciCA is a European project which focusses on the following : 
motivating students for scientific subjects, even when things get difficult; making connections with t"&amp;"he stimulating world of music; stimulating creativity in the different disciplines through art and expression. This is why iMuSciCA proposes an interdisciplinary approach guiding students to solve real problems in a creative manner, a key competence. It i"&amp;"s about fostering creativity and enhancing learning science, technology, arts and mathematics skills in science, technology, arts and mathematics through music.
iMuSciCA is a solution developed thanks to the collaboration of five research groups and thre"&amp;"e enterprises, established in six European countries. 
Each of these actors brings its expertise on topics such as virtual reality, sound and music analysis algorithms, science and mathematics education as part of an interdisciplinary education, the desig"&amp;"n, customization and production of 3D objects ...")</f>
        <v/>
      </c>
      <c r="Y832" s="15">
        <f>IFERROR(__xludf.DUMMYFUNCTION("""COMPUTED_VALUE"""),"https://drive.google.com/uc?export=view&amp;id=1V6uKeA9mVE_k9VmSUWddHTq_byGZF2NA")</f>
        <v/>
      </c>
      <c r="Z832" s="1">
        <f>IFERROR(__xludf.DUMMYFUNCTION("""COMPUTED_VALUE"""),"Unverified")</f>
        <v/>
      </c>
      <c r="AA832" s="1" t="n"/>
      <c r="AB832" s="1" t="n"/>
      <c r="AC832" s="1" t="n"/>
      <c r="AD832" s="1" t="n"/>
      <c r="AE832" s="1" t="n"/>
    </row>
    <row r="833" ht="42" customHeight="1">
      <c r="A833" s="14">
        <f>IFERROR(__xludf.DUMMYFUNCTION("""COMPUTED_VALUE"""),45181)</f>
        <v/>
      </c>
      <c r="B833" s="1">
        <f>IFERROR(__xludf.DUMMYFUNCTION("""COMPUTED_VALUE"""),"ORG_2049")</f>
        <v/>
      </c>
      <c r="C833" s="1">
        <f>IFERROR(__xludf.DUMMYFUNCTION("""COMPUTED_VALUE"""),TRUE)</f>
        <v/>
      </c>
      <c r="D833" s="1">
        <f>IFERROR(__xludf.DUMMYFUNCTION("""COMPUTED_VALUE"""),"NUADU")</f>
        <v/>
      </c>
      <c r="E833" s="15">
        <f>IFERROR(__xludf.DUMMYFUNCTION("""COMPUTED_VALUE"""),"https://nuadu.com/")</f>
        <v/>
      </c>
      <c r="F833" s="1">
        <f>IFERROR(__xludf.DUMMYFUNCTION("""COMPUTED_VALUE"""),"NUADU is a data-driven formative, summative, and normative assessment platform with supplementary features that enhance learning. 
1. NUADU Learning - saas platform for education and automatic formative assessment. Solution for schools and learning centr"&amp;"es. Flexible and adaptive but teacher-led, housing question banks and digital materials to be used in class or for self-study. 
2. NUADU Exams - saas platform for tests and automatic assessment offering secure online exam delivery. A 360-degree solution "&amp;"for exams online dedicated for test and learning centres, certifying bodies, vocational, educational institutions, schools, universities, and the corporate HR sector. English Language Exams Mock Tests available: IELTS™, TOEIC®, TOEFL ITP®, Young Adults En"&amp;"glish Test (aligned to Cambridge English Key, Preliminary, First Test) and Young Learners English Test (aligned to Cambridge English Pre A1 Starters, A1 Movers, A2 Flyers Test).")</f>
        <v/>
      </c>
      <c r="G833" s="1">
        <f>IFERROR(__xludf.DUMMYFUNCTION("""COMPUTED_VALUE"""),"EdTech Poland")</f>
        <v/>
      </c>
      <c r="H833" s="1" t="n"/>
      <c r="I833" s="1">
        <f>IFERROR(__xludf.DUMMYFUNCTION("""COMPUTED_VALUE"""),"contact@nuadu.com")</f>
        <v/>
      </c>
      <c r="J833" s="1" t="n"/>
      <c r="K833" s="1">
        <f>IFERROR(__xludf.DUMMYFUNCTION("""COMPUTED_VALUE"""),"Gdynia")</f>
        <v/>
      </c>
      <c r="L833" s="1">
        <f>IFERROR(__xludf.DUMMYFUNCTION("""COMPUTED_VALUE"""),"Poland")</f>
        <v/>
      </c>
      <c r="M833" s="1">
        <f>IFERROR(__xludf.DUMMYFUNCTION("""COMPUTED_VALUE"""),"Bulgaria, France, Poland")</f>
        <v/>
      </c>
      <c r="N833" s="1">
        <f>IFERROR(__xludf.DUMMYFUNCTION("""COMPUTED_VALUE"""),"11 to 50")</f>
        <v/>
      </c>
      <c r="O833" s="1">
        <f>IFERROR(__xludf.DUMMYFUNCTION("""COMPUTED_VALUE"""),"Business to Business, Business to Government, Business to Schools")</f>
        <v/>
      </c>
      <c r="P833" s="1">
        <f>IFERROR(__xludf.DUMMYFUNCTION("""COMPUTED_VALUE"""),"Primary Education, Secondary Education, Higher Education, Corporate Training")</f>
        <v/>
      </c>
      <c r="Q833" s="1">
        <f>IFERROR(__xludf.DUMMYFUNCTION("""COMPUTED_VALUE"""),"Student interfacing, Teacher interfacing, System/Administrative")</f>
        <v/>
      </c>
      <c r="R833" s="1" t="n"/>
      <c r="S833" s="1" t="n"/>
      <c r="T833" s="1" t="n"/>
      <c r="U833" s="1" t="n"/>
      <c r="V833" s="1" t="n"/>
      <c r="W833" s="1" t="n"/>
      <c r="X833" s="1" t="n"/>
      <c r="Y833" s="15">
        <f>IFERROR(__xludf.DUMMYFUNCTION("""COMPUTED_VALUE"""),"https://drive.google.com/uc?export=view&amp;id=1vE3zxoXfaxMQZm3zTZWZaEOXVmGV9ksp")</f>
        <v/>
      </c>
      <c r="Z833" s="1">
        <f>IFERROR(__xludf.DUMMYFUNCTION("""COMPUTED_VALUE"""),"Unverified")</f>
        <v/>
      </c>
      <c r="AA833" s="1" t="n"/>
      <c r="AB833" s="1" t="n"/>
      <c r="AC833" s="1" t="n"/>
      <c r="AD833" s="1" t="n"/>
      <c r="AE833" s="1" t="n"/>
    </row>
    <row r="834" ht="42" customHeight="1">
      <c r="A834" s="14">
        <f>IFERROR(__xludf.DUMMYFUNCTION("""COMPUTED_VALUE"""),45181)</f>
        <v/>
      </c>
      <c r="B834" s="1">
        <f>IFERROR(__xludf.DUMMYFUNCTION("""COMPUTED_VALUE"""),"ORG_1358")</f>
        <v/>
      </c>
      <c r="C834" s="1">
        <f>IFERROR(__xludf.DUMMYFUNCTION("""COMPUTED_VALUE"""),TRUE)</f>
        <v/>
      </c>
      <c r="D834" s="1">
        <f>IFERROR(__xludf.DUMMYFUNCTION("""COMPUTED_VALUE"""),"Digital Latam - E-Learning Agency")</f>
        <v/>
      </c>
      <c r="E834" s="15">
        <f>IFERROR(__xludf.DUMMYFUNCTION("""COMPUTED_VALUE"""),"www.digitallatam.com")</f>
        <v/>
      </c>
      <c r="F834" s="1">
        <f>IFERROR(__xludf.DUMMYFUNCTION("""COMPUTED_VALUE"""),"Digital Latam is an E-learning agency offering interactive learning solutions like Digital Escape Rooms, Learning nuggets or digital workbooks mainly with a focus on soft skill development for companies. 
Apart from this we provide tailor made learning se"&amp;"rvices for any kind of branch and business with more than 8 years of experience in the international market.")</f>
        <v/>
      </c>
      <c r="G834" s="1">
        <f>IFERROR(__xludf.DUMMYFUNCTION("""COMPUTED_VALUE"""),"I'm not part of any EdTech association")</f>
        <v/>
      </c>
      <c r="H834" s="1" t="n"/>
      <c r="I834" s="1">
        <f>IFERROR(__xludf.DUMMYFUNCTION("""COMPUTED_VALUE"""),"info@digitallatam.com")</f>
        <v/>
      </c>
      <c r="J834" s="1">
        <f>IFERROR(__xludf.DUMMYFUNCTION("""COMPUTED_VALUE"""),"+49-3061744614")</f>
        <v/>
      </c>
      <c r="K834" s="1">
        <f>IFERROR(__xludf.DUMMYFUNCTION("""COMPUTED_VALUE"""),"Berlin")</f>
        <v/>
      </c>
      <c r="L834" s="1">
        <f>IFERROR(__xludf.DUMMYFUNCTION("""COMPUTED_VALUE"""),"Germany")</f>
        <v/>
      </c>
      <c r="M834" s="1">
        <f>IFERROR(__xludf.DUMMYFUNCTION("""COMPUTED_VALUE"""),"Austria, Germany, Spain, United Kingdom")</f>
        <v/>
      </c>
      <c r="N834" s="1">
        <f>IFERROR(__xludf.DUMMYFUNCTION("""COMPUTED_VALUE"""),"0 to 10")</f>
        <v/>
      </c>
      <c r="O834" s="1">
        <f>IFERROR(__xludf.DUMMYFUNCTION("""COMPUTED_VALUE"""),"Business to Business")</f>
        <v/>
      </c>
      <c r="P834" s="1">
        <f>IFERROR(__xludf.DUMMYFUNCTION("""COMPUTED_VALUE"""),"Corporate Training")</f>
        <v/>
      </c>
      <c r="Q834" s="1">
        <f>IFERROR(__xludf.DUMMYFUNCTION("""COMPUTED_VALUE"""),"Student interfacing, System/Administrative")</f>
        <v/>
      </c>
      <c r="R834" s="1" t="n"/>
      <c r="S834" s="1" t="n"/>
      <c r="T834" s="1" t="n"/>
      <c r="U834" s="1" t="n"/>
      <c r="V834" s="1" t="n"/>
      <c r="W834" s="1" t="n"/>
      <c r="X834" s="1" t="n"/>
      <c r="Y834" s="15">
        <f>IFERROR(__xludf.DUMMYFUNCTION("""COMPUTED_VALUE"""),"https://drive.google.com/uc?export=view&amp;id=1tbJjEwJwD_IAsCio2updvtJgsvJdbQLz")</f>
        <v/>
      </c>
      <c r="Z834" s="1">
        <f>IFERROR(__xludf.DUMMYFUNCTION("""COMPUTED_VALUE"""),"Unverified")</f>
        <v/>
      </c>
      <c r="AA834" s="1" t="n"/>
      <c r="AB834" s="1" t="n"/>
      <c r="AC834" s="1" t="n"/>
      <c r="AD834" s="1" t="n"/>
      <c r="AE834" s="1" t="n"/>
    </row>
    <row r="835" ht="42" customHeight="1">
      <c r="A835" s="14">
        <f>IFERROR(__xludf.DUMMYFUNCTION("""COMPUTED_VALUE"""),45181)</f>
        <v/>
      </c>
      <c r="B835" s="1">
        <f>IFERROR(__xludf.DUMMYFUNCTION("""COMPUTED_VALUE"""),"ORG_1738")</f>
        <v/>
      </c>
      <c r="C835" s="1">
        <f>IFERROR(__xludf.DUMMYFUNCTION("""COMPUTED_VALUE"""),TRUE)</f>
        <v/>
      </c>
      <c r="D835" s="1">
        <f>IFERROR(__xludf.DUMMYFUNCTION("""COMPUTED_VALUE"""),"Ironhack")</f>
        <v/>
      </c>
      <c r="E835" s="15">
        <f>IFERROR(__xludf.DUMMYFUNCTION("""COMPUTED_VALUE"""),"https://www.ironhack.com/en")</f>
        <v/>
      </c>
      <c r="F835" s="1">
        <f>IFERROR(__xludf.DUMMYFUNCTION("""COMPUTED_VALUE"""),"Ironhack is an international school with campuses in Amsterdam, Barcelona, Berlin, Lisbon, Madrid, Mexico City, Miami, Paris and Sao Paulo, that was founded to disrupt the way we learn about technology. It sucks that we’ve been learning the same way since"&amp;" the Industrial Revolution, so we empower students to find meaningful careers in Web Development, UX/UI Design and Data Analytics by offering immersive learning experiences to extremely motivated people.")</f>
        <v/>
      </c>
      <c r="G835" s="1">
        <f>IFERROR(__xludf.DUMMYFUNCTION("""COMPUTED_VALUE"""),"I'm not part of any EdTech association")</f>
        <v/>
      </c>
      <c r="H835" s="1" t="n"/>
      <c r="I835" s="1">
        <f>IFERROR(__xludf.DUMMYFUNCTION("""COMPUTED_VALUE"""),"info@ironhack.com")</f>
        <v/>
      </c>
      <c r="J835" s="1" t="n"/>
      <c r="K835" s="1">
        <f>IFERROR(__xludf.DUMMYFUNCTION("""COMPUTED_VALUE"""),"Paseo de la Chopera 14")</f>
        <v/>
      </c>
      <c r="L835" s="1">
        <f>IFERROR(__xludf.DUMMYFUNCTION("""COMPUTED_VALUE"""),"Spain")</f>
        <v/>
      </c>
      <c r="M835" s="1">
        <f>IFERROR(__xludf.DUMMYFUNCTION("""COMPUTED_VALUE"""),"Germany, Netherlands, Portugal, Spain, United Kingdom")</f>
        <v/>
      </c>
      <c r="N835" s="1">
        <f>IFERROR(__xludf.DUMMYFUNCTION("""COMPUTED_VALUE"""),"100+")</f>
        <v/>
      </c>
      <c r="O835" s="1">
        <f>IFERROR(__xludf.DUMMYFUNCTION("""COMPUTED_VALUE"""),"Business to Business, Business to Consumer, Business to Government")</f>
        <v/>
      </c>
      <c r="P835" s="1">
        <f>IFERROR(__xludf.DUMMYFUNCTION("""COMPUTED_VALUE"""),"Corporate Training")</f>
        <v/>
      </c>
      <c r="Q835" s="1">
        <f>IFERROR(__xludf.DUMMYFUNCTION("""COMPUTED_VALUE"""),"Student interfacing, System/Administrative")</f>
        <v/>
      </c>
      <c r="R835" s="1" t="n"/>
      <c r="S835" s="1" t="n"/>
      <c r="T835" s="1" t="n"/>
      <c r="U835" s="1" t="n"/>
      <c r="V835" s="1" t="n"/>
      <c r="W835" s="1" t="n"/>
      <c r="X835" s="1" t="n"/>
      <c r="Y835" s="15">
        <f>IFERROR(__xludf.DUMMYFUNCTION("""COMPUTED_VALUE"""),"https://drive.google.com/uc?export=view&amp;id=11c_KEW7kPmFpXxFE5mXfU9exo2Rgl34f")</f>
        <v/>
      </c>
      <c r="Z835" s="1">
        <f>IFERROR(__xludf.DUMMYFUNCTION("""COMPUTED_VALUE"""),"Unverified")</f>
        <v/>
      </c>
      <c r="AA835" s="1" t="n"/>
      <c r="AB835" s="1" t="n"/>
      <c r="AC835" s="1" t="n"/>
      <c r="AD835" s="1" t="n"/>
      <c r="AE835" s="1" t="n"/>
    </row>
    <row r="836" ht="42" customHeight="1">
      <c r="A836" s="14">
        <f>IFERROR(__xludf.DUMMYFUNCTION("""COMPUTED_VALUE"""),45181)</f>
        <v/>
      </c>
      <c r="B836" s="1">
        <f>IFERROR(__xludf.DUMMYFUNCTION("""COMPUTED_VALUE"""),"ORG_2165")</f>
        <v/>
      </c>
      <c r="C836" s="1">
        <f>IFERROR(__xludf.DUMMYFUNCTION("""COMPUTED_VALUE"""),TRUE)</f>
        <v/>
      </c>
      <c r="D836" s="1">
        <f>IFERROR(__xludf.DUMMYFUNCTION("""COMPUTED_VALUE"""),"Ready Education")</f>
        <v/>
      </c>
      <c r="E836" s="15">
        <f>IFERROR(__xludf.DUMMYFUNCTION("""COMPUTED_VALUE"""),"https://www.readyeducation.com/")</f>
        <v/>
      </c>
      <c r="F836" s="1">
        <f>IFERROR(__xludf.DUMMYFUNCTION("""COMPUTED_VALUE"""),"Trusted by 700+ institutions to build communities and drive retention, Ready Education is the leading mobile student engagement platform on a mission to improve student success in higher education worldwide.")</f>
        <v/>
      </c>
      <c r="G836" s="1">
        <f>IFERROR(__xludf.DUMMYFUNCTION("""COMPUTED_VALUE"""),"EdTech France, Swiss EdTech Collider")</f>
        <v/>
      </c>
      <c r="H836" s="1" t="n"/>
      <c r="I836" s="1" t="n"/>
      <c r="J836" s="1">
        <f>IFERROR(__xludf.DUMMYFUNCTION("""COMPUTED_VALUE"""),"info@readyeducation.com")</f>
        <v/>
      </c>
      <c r="K836" s="1">
        <f>IFERROR(__xludf.DUMMYFUNCTION("""COMPUTED_VALUE"""),"Utrecht")</f>
        <v/>
      </c>
      <c r="L836" s="1">
        <f>IFERROR(__xludf.DUMMYFUNCTION("""COMPUTED_VALUE"""),"The Netherlands")</f>
        <v/>
      </c>
      <c r="M836" s="1">
        <f>IFERROR(__xludf.DUMMYFUNCTION("""COMPUTED_VALUE"""),"Austria, Belgium, Cyprus, France, Germany, Greece, Ireland, Italy, Netherlands, Norway, Spain, United Kingdom")</f>
        <v/>
      </c>
      <c r="N836" s="1">
        <f>IFERROR(__xludf.DUMMYFUNCTION("""COMPUTED_VALUE"""),"100+")</f>
        <v/>
      </c>
      <c r="O836" s="1">
        <f>IFERROR(__xludf.DUMMYFUNCTION("""COMPUTED_VALUE"""),"Business to Business, Business to Government")</f>
        <v/>
      </c>
      <c r="P836" s="1">
        <f>IFERROR(__xludf.DUMMYFUNCTION("""COMPUTED_VALUE"""),"Higher Education")</f>
        <v/>
      </c>
      <c r="Q836" s="1">
        <f>IFERROR(__xludf.DUMMYFUNCTION("""COMPUTED_VALUE"""),"Student interfacing, Teacher interfacing")</f>
        <v/>
      </c>
      <c r="R836" s="1" t="n"/>
      <c r="S836" s="15">
        <f>IFERROR(__xludf.DUMMYFUNCTION("""COMPUTED_VALUE"""),"https://twitter.com/ReadyEducation")</f>
        <v/>
      </c>
      <c r="T836" s="15">
        <f>IFERROR(__xludf.DUMMYFUNCTION("""COMPUTED_VALUE"""),"https://www.linkedin.com/company/ready-education")</f>
        <v/>
      </c>
      <c r="U836" s="1">
        <f>IFERROR(__xludf.DUMMYFUNCTION("""COMPUTED_VALUE"""),"Campus App")</f>
        <v/>
      </c>
      <c r="V836" s="1">
        <f>IFERROR(__xludf.DUMMYFUNCTION("""COMPUTED_VALUE"""),"The Student Companion.
Today’s students demand tailored information and content based on their personal interests and needs. Ready uses a recommendation engine with built-in machine learning capability to suggest targeted events, services, and content to "&amp;"students.")</f>
        <v/>
      </c>
      <c r="W836" s="1">
        <f>IFERROR(__xludf.DUMMYFUNCTION("""COMPUTED_VALUE"""),"Campus Cloud")</f>
        <v/>
      </c>
      <c r="X836" s="1">
        <f>IFERROR(__xludf.DUMMYFUNCTION("""COMPUTED_VALUE"""),"The Admin Dashboard.
Finally, one place to manage all of your campus content, student communications and engagement data. With a broad suite of tools at your disposal, you can create messages, update your campus app or even extract student lists and send "&amp;"to other departments.")</f>
        <v/>
      </c>
      <c r="Y836" s="15">
        <f>IFERROR(__xludf.DUMMYFUNCTION("""COMPUTED_VALUE"""),"https://drive.google.com/uc?export=view&amp;id=1k9DzdXfLWVxVMZOIGMd2FQKY3MxSLEvu")</f>
        <v/>
      </c>
      <c r="Z836" s="1">
        <f>IFERROR(__xludf.DUMMYFUNCTION("""COMPUTED_VALUE"""),"Unverified")</f>
        <v/>
      </c>
      <c r="AA836" s="1" t="n"/>
      <c r="AB836" s="1" t="n"/>
      <c r="AC836" s="1" t="n"/>
      <c r="AD836" s="1" t="n"/>
      <c r="AE836" s="1" t="n"/>
    </row>
    <row r="837" ht="42" customHeight="1">
      <c r="A837" s="14">
        <f>IFERROR(__xludf.DUMMYFUNCTION("""COMPUTED_VALUE"""),45181)</f>
        <v/>
      </c>
      <c r="B837" s="1">
        <f>IFERROR(__xludf.DUMMYFUNCTION("""COMPUTED_VALUE"""),"ORG_1061")</f>
        <v/>
      </c>
      <c r="C837" s="1">
        <f>IFERROR(__xludf.DUMMYFUNCTION("""COMPUTED_VALUE"""),TRUE)</f>
        <v/>
      </c>
      <c r="D837" s="1">
        <f>IFERROR(__xludf.DUMMYFUNCTION("""COMPUTED_VALUE"""),"Altissia")</f>
        <v/>
      </c>
      <c r="E837" s="15">
        <f>IFERROR(__xludf.DUMMYFUNCTION("""COMPUTED_VALUE"""),"https://www.altissia.org")</f>
        <v/>
      </c>
      <c r="F837" s="1">
        <f>IFERROR(__xludf.DUMMYFUNCTION("""COMPUTED_VALUE"""),"Learn more than a language. Open the door to a new culture. 
At Altissia, we believe learning languages brings people closer together by creating harmony and mutual respect. Our goal is to make language learning accessible to all. 
We leverage technolog"&amp;"y to offer language courses in 25 languages and tests in 28 languages. Our courses and assessments are based on a rigorous academic foundation that ensures quality and efficient learning. We teach not only the language itself, but also the cultural and so"&amp;"cial aspects required for effective communication. Using technology, we make language learning easier and connect users to our wide range of tools and resources. 
Whether you need to compete in an international business landscape, expand and digitize you"&amp;"r organization’s educational offers, assess job candidates, advance your career, or more, Altissia can empower you or your organization to achieve your language goals. 
Teach better. Learn better. Become better.")</f>
        <v/>
      </c>
      <c r="G837" s="1">
        <f>IFERROR(__xludf.DUMMYFUNCTION("""COMPUTED_VALUE"""),"I'm not part of any EdTech association")</f>
        <v/>
      </c>
      <c r="H837" s="1" t="n"/>
      <c r="I837" s="1">
        <f>IFERROR(__xludf.DUMMYFUNCTION("""COMPUTED_VALUE"""),"contact@altissia.org")</f>
        <v/>
      </c>
      <c r="J837" s="1" t="n"/>
      <c r="K837" s="1">
        <f>IFERROR(__xludf.DUMMYFUNCTION("""COMPUTED_VALUE"""),"Louvain-la-Neuve")</f>
        <v/>
      </c>
      <c r="L837" s="1">
        <f>IFERROR(__xludf.DUMMYFUNCTION("""COMPUTED_VALUE"""),"Belgium")</f>
        <v/>
      </c>
      <c r="M837" s="1">
        <f>IFERROR(__xludf.DUMMYFUNCTION("""COMPUTED_VALUE"""),"Austria, Belgium, Denmark, France, Germany, Italy, Luxembourg, Netherlands, Portugal, Spain, Switzerland, Turkey, United Kingdom")</f>
        <v/>
      </c>
      <c r="N837" s="1">
        <f>IFERROR(__xludf.DUMMYFUNCTION("""COMPUTED_VALUE"""),"51 to 100")</f>
        <v/>
      </c>
      <c r="O837" s="1">
        <f>IFERROR(__xludf.DUMMYFUNCTION("""COMPUTED_VALUE"""),"Business to Business")</f>
        <v/>
      </c>
      <c r="P837" s="1">
        <f>IFERROR(__xludf.DUMMYFUNCTION("""COMPUTED_VALUE"""),"Higher Education, Corporate Training, Lifelong learning/Adult education")</f>
        <v/>
      </c>
      <c r="Q837" s="1">
        <f>IFERROR(__xludf.DUMMYFUNCTION("""COMPUTED_VALUE"""),"Student interfacing, Teacher interfacing, System/Administrative")</f>
        <v/>
      </c>
      <c r="R837" s="1" t="n"/>
      <c r="S837" s="15">
        <f>IFERROR(__xludf.DUMMYFUNCTION("""COMPUTED_VALUE"""),"https://twitter.com/Altissia")</f>
        <v/>
      </c>
      <c r="T837" s="15">
        <f>IFERROR(__xludf.DUMMYFUNCTION("""COMPUTED_VALUE"""),"https://www.linkedin.com/company/altissia/")</f>
        <v/>
      </c>
      <c r="U837" s="1">
        <f>IFERROR(__xludf.DUMMYFUNCTION("""COMPUTED_VALUE"""),"Language courses")</f>
        <v/>
      </c>
      <c r="V837" s="1">
        <f>IFERROR(__xludf.DUMMYFUNCTION("""COMPUTED_VALUE"""),"Altissia offers language courses in 25 languages on our intuitive digital platform. Do you want to improve your organization’s international collaboration, upskill your teams, or more? We can provide the tools you need.")</f>
        <v/>
      </c>
      <c r="W837" s="1">
        <f>IFERROR(__xludf.DUMMYFUNCTION("""COMPUTED_VALUE"""),"Language Tests")</f>
        <v/>
      </c>
      <c r="X837" s="1">
        <f>IFERROR(__xludf.DUMMYFUNCTION("""COMPUTED_VALUE"""),"Altissia’s language assessments give you a reliable, scalable way to evaluate anyone in 28 languages, so you can choose the best candidate and track employees’ training progress.")</f>
        <v/>
      </c>
      <c r="Y837" s="15">
        <f>IFERROR(__xludf.DUMMYFUNCTION("""COMPUTED_VALUE"""),"https://drive.google.com/uc?export=view&amp;id=19_AokzBOZUAKkW6Sbf6XKuY4WIG0uppG")</f>
        <v/>
      </c>
      <c r="Z837" s="1">
        <f>IFERROR(__xludf.DUMMYFUNCTION("""COMPUTED_VALUE"""),"Unverified")</f>
        <v/>
      </c>
      <c r="AA837" s="1" t="n"/>
      <c r="AB837" s="1" t="n"/>
      <c r="AC837" s="1" t="n"/>
      <c r="AD837" s="1" t="n"/>
      <c r="AE837" s="1" t="n"/>
    </row>
    <row r="838" ht="42" customHeight="1">
      <c r="A838" s="14">
        <f>IFERROR(__xludf.DUMMYFUNCTION("""COMPUTED_VALUE"""),45181)</f>
        <v/>
      </c>
      <c r="B838" s="1">
        <f>IFERROR(__xludf.DUMMYFUNCTION("""COMPUTED_VALUE"""),"ORG_1216")</f>
        <v/>
      </c>
      <c r="C838" s="1">
        <f>IFERROR(__xludf.DUMMYFUNCTION("""COMPUTED_VALUE"""),TRUE)</f>
        <v/>
      </c>
      <c r="D838" s="1">
        <f>IFERROR(__xludf.DUMMYFUNCTION("""COMPUTED_VALUE"""),"Cantoo")</f>
        <v/>
      </c>
      <c r="E838" s="15">
        <f>IFERROR(__xludf.DUMMYFUNCTION("""COMPUTED_VALUE"""),"https://www.cantoo.fr/")</f>
        <v/>
      </c>
      <c r="F838" s="1">
        <f>IFERROR(__xludf.DUMMYFUNCTION("""COMPUTED_VALUE"""),"Cantoo Scribe allows all elementary, middle and high school students to grade and manage their lessons with a range of application tools designed specifically for school. Thanks to its intuitive interface and its range of tools for all subjects, students "&amp;"can now experience their digital schooling with ease. Teachers can also prepare, exchange and correct lessons and assignments with them. As part of its commitment to school inclusion, the software includes all the necessary compensation tools for the spec"&amp;"ific needs of DYS students.")</f>
        <v/>
      </c>
      <c r="G838" s="1">
        <f>IFERROR(__xludf.DUMMYFUNCTION("""COMPUTED_VALUE"""),"AFINEF, EdTech France")</f>
        <v/>
      </c>
      <c r="H838" s="1" t="n"/>
      <c r="I838" s="1">
        <f>IFERROR(__xludf.DUMMYFUNCTION("""COMPUTED_VALUE"""),"contact@cantoo.fr")</f>
        <v/>
      </c>
      <c r="J838" s="1">
        <f>IFERROR(__xludf.DUMMYFUNCTION("""COMPUTED_VALUE"""),"+33 6 63 91 75 15")</f>
        <v/>
      </c>
      <c r="K838" s="1">
        <f>IFERROR(__xludf.DUMMYFUNCTION("""COMPUTED_VALUE"""),"LILLE")</f>
        <v/>
      </c>
      <c r="L838" s="1">
        <f>IFERROR(__xludf.DUMMYFUNCTION("""COMPUTED_VALUE"""),"France")</f>
        <v/>
      </c>
      <c r="M838" s="1">
        <f>IFERROR(__xludf.DUMMYFUNCTION("""COMPUTED_VALUE"""),"Belgium, France, Luxembourg, Switzerland")</f>
        <v/>
      </c>
      <c r="N838" s="1">
        <f>IFERROR(__xludf.DUMMYFUNCTION("""COMPUTED_VALUE"""),"0 to 10")</f>
        <v/>
      </c>
      <c r="O838" s="1">
        <f>IFERROR(__xludf.DUMMYFUNCTION("""COMPUTED_VALUE"""),"Business to Business, Business to Consumer")</f>
        <v/>
      </c>
      <c r="P838" s="1">
        <f>IFERROR(__xludf.DUMMYFUNCTION("""COMPUTED_VALUE"""),"Lifelong learning/Adult education")</f>
        <v/>
      </c>
      <c r="Q838" s="1">
        <f>IFERROR(__xludf.DUMMYFUNCTION("""COMPUTED_VALUE"""),"System/Administrative, Teacher interfacing, Student interfacing")</f>
        <v/>
      </c>
      <c r="R838" s="1" t="n"/>
      <c r="S838" s="1" t="n"/>
      <c r="T838" s="1" t="n"/>
      <c r="U838" s="1" t="n"/>
      <c r="V838" s="1" t="n"/>
      <c r="W838" s="1" t="n"/>
      <c r="X838" s="1" t="n"/>
      <c r="Y838" s="15">
        <f>IFERROR(__xludf.DUMMYFUNCTION("""COMPUTED_VALUE"""),"https://drive.google.com/uc?export=view&amp;id=1ZwrHCsWAKzqlVcCSkMIMXdFWbsQBFtEf")</f>
        <v/>
      </c>
      <c r="Z838" s="1">
        <f>IFERROR(__xludf.DUMMYFUNCTION("""COMPUTED_VALUE"""),"Unverified")</f>
        <v/>
      </c>
      <c r="AA838" s="1" t="n"/>
      <c r="AB838" s="1" t="n"/>
      <c r="AC838" s="1" t="n"/>
      <c r="AD838" s="1" t="n"/>
      <c r="AE838" s="1" t="n"/>
    </row>
    <row r="839" ht="42" customHeight="1">
      <c r="A839" s="14">
        <f>IFERROR(__xludf.DUMMYFUNCTION("""COMPUTED_VALUE"""),45181)</f>
        <v/>
      </c>
      <c r="B839" s="1">
        <f>IFERROR(__xludf.DUMMYFUNCTION("""COMPUTED_VALUE"""),"ORG_1993")</f>
        <v/>
      </c>
      <c r="C839" s="1">
        <f>IFERROR(__xludf.DUMMYFUNCTION("""COMPUTED_VALUE"""),TRUE)</f>
        <v/>
      </c>
      <c r="D839" s="1">
        <f>IFERROR(__xludf.DUMMYFUNCTION("""COMPUTED_VALUE"""),"Mozaik Education")</f>
        <v/>
      </c>
      <c r="E839" s="15">
        <f>IFERROR(__xludf.DUMMYFUNCTION("""COMPUTED_VALUE"""),"www.mozaweb.com")</f>
        <v/>
      </c>
      <c r="F839" s="1">
        <f>IFERROR(__xludf.DUMMYFUNCTION("""COMPUTED_VALUE"""),"Mozaik Education is active for 32 years in the education market (both textbook publishing and digital educational content and software development). It is one of the leading digital content providers worldwide and the largest privately-owned textbook publ"&amp;"isher in Hungary, developing everything in-house, from paper-based textbooks to all around digital support and interactive content (3D animations, digital lessons, educational apps and games, videos, LMS, SYS, etc.) for teachers, students, and other inter"&amp;"national publishers and ministries.")</f>
        <v/>
      </c>
      <c r="G839" s="1">
        <f>IFERROR(__xludf.DUMMYFUNCTION("""COMPUTED_VALUE"""),"I'm not part of any EdTech association")</f>
        <v/>
      </c>
      <c r="H839" s="1" t="n"/>
      <c r="I839" s="1">
        <f>IFERROR(__xludf.DUMMYFUNCTION("""COMPUTED_VALUE"""),"office@mozaweb.com")</f>
        <v/>
      </c>
      <c r="J839" s="1">
        <f>IFERROR(__xludf.DUMMYFUNCTION("""COMPUTED_VALUE"""),"+44 20 3129 5227")</f>
        <v/>
      </c>
      <c r="K839" s="1">
        <f>IFERROR(__xludf.DUMMYFUNCTION("""COMPUTED_VALUE"""),"SZEGED")</f>
        <v/>
      </c>
      <c r="L839" s="1">
        <f>IFERROR(__xludf.DUMMYFUNCTION("""COMPUTED_VALUE"""),"Hungary")</f>
        <v/>
      </c>
      <c r="M839" s="1">
        <f>IFERROR(__xludf.DUMMYFUNCTION("""COMPUTED_VALUE"""),"Austria, Belgium, Bosnia and Herzegovina, Bulgaria, Croatia, Cyprus, Czechia, Denmark, Estonia, Finland, France, Germany, Greece, Hungary, Ireland, Italy, Kazakhstan, Kosovo, Latvia, Lithuania, Moldova, Netherlands, Poland, Portugal, Romania, Serbia, Slov"&amp;"akia, Slovenia, Spain, Sweden, Turkey, Ukraine, United Kingdom")</f>
        <v/>
      </c>
      <c r="N839" s="1">
        <f>IFERROR(__xludf.DUMMYFUNCTION("""COMPUTED_VALUE"""),"100+")</f>
        <v/>
      </c>
      <c r="O839" s="1">
        <f>IFERROR(__xludf.DUMMYFUNCTION("""COMPUTED_VALUE"""),"Business to Business, Business to Consumer, Business to Government, Business to Schools")</f>
        <v/>
      </c>
      <c r="P839" s="1">
        <f>IFERROR(__xludf.DUMMYFUNCTION("""COMPUTED_VALUE"""),"Primary Education, Secondary Education, Higher Education")</f>
        <v/>
      </c>
      <c r="Q839" s="1">
        <f>IFERROR(__xludf.DUMMYFUNCTION("""COMPUTED_VALUE"""),"System/Administrative, Student interfacing, Teacher interfacing")</f>
        <v/>
      </c>
      <c r="R839" s="1" t="n"/>
      <c r="S839" s="1" t="n"/>
      <c r="T839" s="1" t="n"/>
      <c r="U839" s="1" t="n"/>
      <c r="V839" s="1" t="n"/>
      <c r="W839" s="1" t="n"/>
      <c r="X839" s="1" t="n"/>
      <c r="Y839" s="15">
        <f>IFERROR(__xludf.DUMMYFUNCTION("""COMPUTED_VALUE"""),"https://drive.google.com/uc?export=view&amp;id=1wje3Qp5PKzXTlM-zF5X3f-wWO8IkiuES")</f>
        <v/>
      </c>
      <c r="Z839" s="1">
        <f>IFERROR(__xludf.DUMMYFUNCTION("""COMPUTED_VALUE"""),"Unverified")</f>
        <v/>
      </c>
      <c r="AA839" s="1" t="n"/>
      <c r="AB839" s="1" t="n"/>
      <c r="AC839" s="1" t="n"/>
      <c r="AD839" s="1" t="n"/>
      <c r="AE839" s="1" t="n"/>
    </row>
    <row r="840" ht="42" customHeight="1">
      <c r="A840" s="14">
        <f>IFERROR(__xludf.DUMMYFUNCTION("""COMPUTED_VALUE"""),45181)</f>
        <v/>
      </c>
      <c r="B840" s="1">
        <f>IFERROR(__xludf.DUMMYFUNCTION("""COMPUTED_VALUE"""),"ORG_2307")</f>
        <v/>
      </c>
      <c r="C840" s="1">
        <f>IFERROR(__xludf.DUMMYFUNCTION("""COMPUTED_VALUE"""),TRUE)</f>
        <v/>
      </c>
      <c r="D840" s="15">
        <f>IFERROR(__xludf.DUMMYFUNCTION("""COMPUTED_VALUE"""),"SpearCareer.org")</f>
        <v/>
      </c>
      <c r="E840" s="15">
        <f>IFERROR(__xludf.DUMMYFUNCTION("""COMPUTED_VALUE"""),"www.spearcareer.org")</f>
        <v/>
      </c>
      <c r="F840" s="1">
        <f>IFERROR(__xludf.DUMMYFUNCTION("""COMPUTED_VALUE"""),"We offer interactive online tests such as The SpearCareer test of Professional Fit.")</f>
        <v/>
      </c>
      <c r="G840" s="1">
        <f>IFERROR(__xludf.DUMMYFUNCTION("""COMPUTED_VALUE"""),"I'm not part of any EdTech association")</f>
        <v/>
      </c>
      <c r="H840" s="1" t="n"/>
      <c r="I840" s="1">
        <f>IFERROR(__xludf.DUMMYFUNCTION("""COMPUTED_VALUE"""),"info@spearcareer.org")</f>
        <v/>
      </c>
      <c r="J840" s="1">
        <f>IFERROR(__xludf.DUMMYFUNCTION("""COMPUTED_VALUE"""),"+46736349602")</f>
        <v/>
      </c>
      <c r="K840" s="1">
        <f>IFERROR(__xludf.DUMMYFUNCTION("""COMPUTED_VALUE"""),"LIDINGÖ")</f>
        <v/>
      </c>
      <c r="L840" s="1">
        <f>IFERROR(__xludf.DUMMYFUNCTION("""COMPUTED_VALUE"""),"Sweden")</f>
        <v/>
      </c>
      <c r="M840" s="1">
        <f>IFERROR(__xludf.DUMMYFUNCTION("""COMPUTED_VALUE"""),"Sweden")</f>
        <v/>
      </c>
      <c r="N840" s="1">
        <f>IFERROR(__xludf.DUMMYFUNCTION("""COMPUTED_VALUE"""),"0 to 10")</f>
        <v/>
      </c>
      <c r="O840" s="1">
        <f>IFERROR(__xludf.DUMMYFUNCTION("""COMPUTED_VALUE"""),"Business to Business, Business to Consumer, Business to Government, Business to Schools")</f>
        <v/>
      </c>
      <c r="P840" s="1">
        <f>IFERROR(__xludf.DUMMYFUNCTION("""COMPUTED_VALUE"""),"Secondary Education, Higher Education, Lifelong learning/Adult education")</f>
        <v/>
      </c>
      <c r="Q840" s="1">
        <f>IFERROR(__xludf.DUMMYFUNCTION("""COMPUTED_VALUE"""),"System/Administrative, Student interfacing, Teacher interfacing")</f>
        <v/>
      </c>
      <c r="R840" s="1" t="n"/>
      <c r="S840" s="1" t="n"/>
      <c r="T840" s="1" t="n"/>
      <c r="U840" s="1" t="n"/>
      <c r="V840" s="1" t="n"/>
      <c r="W840" s="1" t="n"/>
      <c r="X840" s="1" t="n"/>
      <c r="Y840" s="15">
        <f>IFERROR(__xludf.DUMMYFUNCTION("""COMPUTED_VALUE"""),"https://drive.google.com/uc?export=view&amp;id=1cuYdp6j5W5o1I3pGvGpNc3ZUp9ElXoly")</f>
        <v/>
      </c>
      <c r="Z840" s="1">
        <f>IFERROR(__xludf.DUMMYFUNCTION("""COMPUTED_VALUE"""),"Unverified")</f>
        <v/>
      </c>
      <c r="AA840" s="1" t="n"/>
      <c r="AB840" s="1" t="n"/>
      <c r="AC840" s="1" t="n"/>
      <c r="AD840" s="1" t="n"/>
      <c r="AE840" s="1" t="n"/>
    </row>
    <row r="841" ht="42" customHeight="1">
      <c r="A841" s="14">
        <f>IFERROR(__xludf.DUMMYFUNCTION("""COMPUTED_VALUE"""),45181)</f>
        <v/>
      </c>
      <c r="B841" s="1">
        <f>IFERROR(__xludf.DUMMYFUNCTION("""COMPUTED_VALUE"""),"ORG_2570")</f>
        <v/>
      </c>
      <c r="C841" s="1">
        <f>IFERROR(__xludf.DUMMYFUNCTION("""COMPUTED_VALUE"""),TRUE)</f>
        <v/>
      </c>
      <c r="D841" s="1">
        <f>IFERROR(__xludf.DUMMYFUNCTION("""COMPUTED_VALUE"""),"Zcooly")</f>
        <v/>
      </c>
      <c r="E841" s="15">
        <f>IFERROR(__xludf.DUMMYFUNCTION("""COMPUTED_VALUE"""),"https://zcooly.se")</f>
        <v/>
      </c>
      <c r="F841" s="1">
        <f>IFERROR(__xludf.DUMMYFUNCTION("""COMPUTED_VALUE"""),"Zcooly makes learning fun with an immersive 3D game experience for kids age 5-12. Learn math while you meet Pi the space hamster, brainiac Planita, kooky Alan and the rest of the characters on the evergreen island Sasmandu.")</f>
        <v/>
      </c>
      <c r="G841" s="1" t="n"/>
      <c r="H841" s="1" t="n"/>
      <c r="I841" s="1" t="n"/>
      <c r="J841" s="1" t="n"/>
      <c r="K841" s="1">
        <f>IFERROR(__xludf.DUMMYFUNCTION("""COMPUTED_VALUE"""),"Göteborg")</f>
        <v/>
      </c>
      <c r="L841" s="1">
        <f>IFERROR(__xludf.DUMMYFUNCTION("""COMPUTED_VALUE"""),"Sweden")</f>
        <v/>
      </c>
      <c r="M841" s="1">
        <f>IFERROR(__xludf.DUMMYFUNCTION("""COMPUTED_VALUE"""),"Sweden")</f>
        <v/>
      </c>
      <c r="N841" s="1">
        <f>IFERROR(__xludf.DUMMYFUNCTION("""COMPUTED_VALUE"""),"11 to 50")</f>
        <v/>
      </c>
      <c r="O841" s="1">
        <f>IFERROR(__xludf.DUMMYFUNCTION("""COMPUTED_VALUE"""),"Business to Business, Business to Consumer, Business to Schools")</f>
        <v/>
      </c>
      <c r="P841" s="1">
        <f>IFERROR(__xludf.DUMMYFUNCTION("""COMPUTED_VALUE"""),"Early childhood development (0-5 years), Primary Education, Secondary Education")</f>
        <v/>
      </c>
      <c r="Q841" s="1">
        <f>IFERROR(__xludf.DUMMYFUNCTION("""COMPUTED_VALUE"""),"System/Administrative, Student interfacing, Teacher interfacing")</f>
        <v/>
      </c>
      <c r="R841" s="15">
        <f>IFERROR(__xludf.DUMMYFUNCTION("""COMPUTED_VALUE"""),"instagram.com/zcooly")</f>
        <v/>
      </c>
      <c r="S841" s="1">
        <f>IFERROR(__xludf.DUMMYFUNCTION("""COMPUTED_VALUE"""),"Zcooly")</f>
        <v/>
      </c>
      <c r="T841" s="1">
        <f>IFERROR(__xludf.DUMMYFUNCTION("""COMPUTED_VALUE"""),"Zcooly")</f>
        <v/>
      </c>
      <c r="U841" s="1">
        <f>IFERROR(__xludf.DUMMYFUNCTION("""COMPUTED_VALUE"""),"Zcooly")</f>
        <v/>
      </c>
      <c r="V841" s="1">
        <f>IFERROR(__xludf.DUMMYFUNCTION("""COMPUTED_VALUE"""),"Zcooly is an immersive world of 3D games where children learn math, built by educators and game developers.")</f>
        <v/>
      </c>
      <c r="W841" s="1" t="n"/>
      <c r="X841" s="1" t="n"/>
      <c r="Y841" s="15">
        <f>IFERROR(__xludf.DUMMYFUNCTION("""COMPUTED_VALUE"""),"https://drive.google.com/uc?export=view&amp;id=1DAYKfW4i6Vu26fOPJ8eLVY-wOP-KyMXa")</f>
        <v/>
      </c>
      <c r="Z841" s="1">
        <f>IFERROR(__xludf.DUMMYFUNCTION("""COMPUTED_VALUE"""),"Unverified")</f>
        <v/>
      </c>
      <c r="AA841" s="1" t="n"/>
      <c r="AB841" s="1" t="n"/>
      <c r="AC841" s="1" t="n"/>
      <c r="AD841" s="1" t="n"/>
      <c r="AE841" s="1" t="n"/>
    </row>
    <row r="842" ht="42" customHeight="1">
      <c r="A842" s="14">
        <f>IFERROR(__xludf.DUMMYFUNCTION("""COMPUTED_VALUE"""),45181)</f>
        <v/>
      </c>
      <c r="B842" s="1">
        <f>IFERROR(__xludf.DUMMYFUNCTION("""COMPUTED_VALUE"""),"ORG_1454")</f>
        <v/>
      </c>
      <c r="C842" s="1">
        <f>IFERROR(__xludf.DUMMYFUNCTION("""COMPUTED_VALUE"""),TRUE)</f>
        <v/>
      </c>
      <c r="D842" s="1">
        <f>IFERROR(__xludf.DUMMYFUNCTION("""COMPUTED_VALUE"""),"Eduneon")</f>
        <v/>
      </c>
      <c r="E842" s="15">
        <f>IFERROR(__xludf.DUMMYFUNCTION("""COMPUTED_VALUE"""),"https://www.eduneon.de/")</f>
        <v/>
      </c>
      <c r="F842" s="1">
        <f>IFERROR(__xludf.DUMMYFUNCTION("""COMPUTED_VALUE"""),"Eduneon is a digital platform that provides comprehensive support to schools and authorities to systematically ensure for a sustainable digitisation of education. Eduneon aims to realize pedagogically meaningful and high-quality media education in Europe’"&amp;"s schools and empowers schools and authorities to manage and shape the process of digitisation collaboratively. 
The government funds, made available for the development and ongoing updating of digital equipment and infrastructures in schools, will thus "&amp;"be invested in a pedagogically meaningful, fast and unbureaucratic manner in contemporary and sustainable digital education.")</f>
        <v/>
      </c>
      <c r="G842" s="1">
        <f>IFERROR(__xludf.DUMMYFUNCTION("""COMPUTED_VALUE"""),"I'm not part of any EdTech association")</f>
        <v/>
      </c>
      <c r="H842" s="1" t="n"/>
      <c r="I842" s="1">
        <f>IFERROR(__xludf.DUMMYFUNCTION("""COMPUTED_VALUE"""),"info@eduneon.de")</f>
        <v/>
      </c>
      <c r="J842" s="1">
        <f>IFERROR(__xludf.DUMMYFUNCTION("""COMPUTED_VALUE"""),"+49 176 80433015")</f>
        <v/>
      </c>
      <c r="K842" s="1">
        <f>IFERROR(__xludf.DUMMYFUNCTION("""COMPUTED_VALUE"""),"BERLIN")</f>
        <v/>
      </c>
      <c r="L842" s="1">
        <f>IFERROR(__xludf.DUMMYFUNCTION("""COMPUTED_VALUE"""),"Germany")</f>
        <v/>
      </c>
      <c r="M842" s="1">
        <f>IFERROR(__xludf.DUMMYFUNCTION("""COMPUTED_VALUE"""),"Germany")</f>
        <v/>
      </c>
      <c r="N842" s="1">
        <f>IFERROR(__xludf.DUMMYFUNCTION("""COMPUTED_VALUE"""),"0 to 10")</f>
        <v/>
      </c>
      <c r="O842" s="1">
        <f>IFERROR(__xludf.DUMMYFUNCTION("""COMPUTED_VALUE"""),"Business to Business, Business to Government")</f>
        <v/>
      </c>
      <c r="P842" s="1">
        <f>IFERROR(__xludf.DUMMYFUNCTION("""COMPUTED_VALUE"""),"Primary Education, Secondary Education")</f>
        <v/>
      </c>
      <c r="Q842" s="1">
        <f>IFERROR(__xludf.DUMMYFUNCTION("""COMPUTED_VALUE"""),"System/Administrative, Student interfacing, Teacher interfacing")</f>
        <v/>
      </c>
      <c r="R842" s="1" t="n"/>
      <c r="S842" s="1" t="n"/>
      <c r="T842" s="1" t="n"/>
      <c r="U842" s="1" t="n"/>
      <c r="V842" s="1" t="n"/>
      <c r="W842" s="1" t="n"/>
      <c r="X842" s="1" t="n"/>
      <c r="Y842" s="15">
        <f>IFERROR(__xludf.DUMMYFUNCTION("""COMPUTED_VALUE"""),"https://drive.google.com/uc?export=view&amp;id=1eI0RhO3i792ytEgC2GiKMEcICeOQqw6R")</f>
        <v/>
      </c>
      <c r="Z842" s="1">
        <f>IFERROR(__xludf.DUMMYFUNCTION("""COMPUTED_VALUE"""),"Unverified")</f>
        <v/>
      </c>
      <c r="AA842" s="1" t="n"/>
      <c r="AB842" s="1" t="n"/>
      <c r="AC842" s="1" t="n"/>
      <c r="AD842" s="1" t="n"/>
      <c r="AE842" s="1" t="n"/>
    </row>
    <row r="843" ht="42" customHeight="1">
      <c r="A843" s="14">
        <f>IFERROR(__xludf.DUMMYFUNCTION("""COMPUTED_VALUE"""),45181)</f>
        <v/>
      </c>
      <c r="B843" s="1">
        <f>IFERROR(__xludf.DUMMYFUNCTION("""COMPUTED_VALUE"""),"ORG_1498")</f>
        <v/>
      </c>
      <c r="C843" s="1">
        <f>IFERROR(__xludf.DUMMYFUNCTION("""COMPUTED_VALUE"""),TRUE)</f>
        <v/>
      </c>
      <c r="D843" s="1">
        <f>IFERROR(__xludf.DUMMYFUNCTION("""COMPUTED_VALUE"""),"EnkelEksamen")</f>
        <v/>
      </c>
      <c r="E843" s="15">
        <f>IFERROR(__xludf.DUMMYFUNCTION("""COMPUTED_VALUE"""),"https://www.enkeleksamen.no")</f>
        <v/>
      </c>
      <c r="F843" s="1">
        <f>IFERROR(__xludf.DUMMYFUNCTION("""COMPUTED_VALUE"""),"EnkelEksamen has helped more than 25 000 students get better prepared for their exams by creating and delivering high quality compressed exam prep courses. 
We have courses available to Norwegian university level students within the fields of mathematics"&amp;", finance, accounting, marketing and HR related subjects. Through our intuitive and dynamic learning platform, we're able to help students with video courses, quizzez, progress updates and direct-to-student chat.")</f>
        <v/>
      </c>
      <c r="G843" s="1">
        <f>IFERROR(__xludf.DUMMYFUNCTION("""COMPUTED_VALUE"""),"ICT Norway")</f>
        <v/>
      </c>
      <c r="H843" s="1" t="n"/>
      <c r="I843" s="1">
        <f>IFERROR(__xludf.DUMMYFUNCTION("""COMPUTED_VALUE"""),"kundeservice@enkeleksamen.no")</f>
        <v/>
      </c>
      <c r="J843" s="1" t="n"/>
      <c r="K843" s="1">
        <f>IFERROR(__xludf.DUMMYFUNCTION("""COMPUTED_VALUE"""),"Oslo")</f>
        <v/>
      </c>
      <c r="L843" s="1">
        <f>IFERROR(__xludf.DUMMYFUNCTION("""COMPUTED_VALUE"""),"Norway")</f>
        <v/>
      </c>
      <c r="M843" s="1">
        <f>IFERROR(__xludf.DUMMYFUNCTION("""COMPUTED_VALUE"""),"Norway")</f>
        <v/>
      </c>
      <c r="N843" s="1">
        <f>IFERROR(__xludf.DUMMYFUNCTION("""COMPUTED_VALUE"""),"0 to 10")</f>
        <v/>
      </c>
      <c r="O843" s="1">
        <f>IFERROR(__xludf.DUMMYFUNCTION("""COMPUTED_VALUE"""),"Business to Business, Business to Schools")</f>
        <v/>
      </c>
      <c r="P843" s="1">
        <f>IFERROR(__xludf.DUMMYFUNCTION("""COMPUTED_VALUE"""),"Higher Education")</f>
        <v/>
      </c>
      <c r="Q843" s="1">
        <f>IFERROR(__xludf.DUMMYFUNCTION("""COMPUTED_VALUE"""),"Student interfacing")</f>
        <v/>
      </c>
      <c r="R843" s="15">
        <f>IFERROR(__xludf.DUMMYFUNCTION("""COMPUTED_VALUE"""),"https://www.instagram.com/enkeleksamen.no/")</f>
        <v/>
      </c>
      <c r="S843" s="1" t="n"/>
      <c r="T843" s="15">
        <f>IFERROR(__xludf.DUMMYFUNCTION("""COMPUTED_VALUE"""),"https://www.linkedin.com/company/enkeleksamen/")</f>
        <v/>
      </c>
      <c r="U843" s="1">
        <f>IFERROR(__xludf.DUMMYFUNCTION("""COMPUTED_VALUE"""),"Video based exam prep courses")</f>
        <v/>
      </c>
      <c r="V843" s="1">
        <f>IFERROR(__xludf.DUMMYFUNCTION("""COMPUTED_VALUE"""),"More than 80 courses for university level curriculum within mathematics, finance, accounting, marketing and HR related subjects.")</f>
        <v/>
      </c>
      <c r="W843" s="1">
        <f>IFERROR(__xludf.DUMMYFUNCTION("""COMPUTED_VALUE"""),"Quizzez and progress tracking")</f>
        <v/>
      </c>
      <c r="X843" s="1">
        <f>IFERROR(__xludf.DUMMYFUNCTION("""COMPUTED_VALUE"""),"Test your own subject comprehension and track your progress with our quizzes and progress tracking tools.")</f>
        <v/>
      </c>
      <c r="Y843" s="15">
        <f>IFERROR(__xludf.DUMMYFUNCTION("""COMPUTED_VALUE"""),"https://drive.google.com/uc?export=view&amp;id=14cH94E6EP642ChVg3kCQbfLX61xby-Pt")</f>
        <v/>
      </c>
      <c r="Z843" s="1">
        <f>IFERROR(__xludf.DUMMYFUNCTION("""COMPUTED_VALUE"""),"Unverified")</f>
        <v/>
      </c>
      <c r="AA843" s="1" t="n"/>
      <c r="AB843" s="1" t="n"/>
      <c r="AC843" s="1" t="n"/>
      <c r="AD843" s="1" t="n"/>
      <c r="AE843" s="1" t="n"/>
    </row>
    <row r="844" ht="42" customHeight="1">
      <c r="A844" s="14">
        <f>IFERROR(__xludf.DUMMYFUNCTION("""COMPUTED_VALUE"""),45181)</f>
        <v/>
      </c>
      <c r="B844" s="1">
        <f>IFERROR(__xludf.DUMMYFUNCTION("""COMPUTED_VALUE"""),"ORG_1600")</f>
        <v/>
      </c>
      <c r="C844" s="1">
        <f>IFERROR(__xludf.DUMMYFUNCTION("""COMPUTED_VALUE"""),TRUE)</f>
        <v/>
      </c>
      <c r="D844" s="1">
        <f>IFERROR(__xludf.DUMMYFUNCTION("""COMPUTED_VALUE"""),"Future Ready")</f>
        <v/>
      </c>
      <c r="E844" s="15">
        <f>IFERROR(__xludf.DUMMYFUNCTION("""COMPUTED_VALUE"""),"Futureready.no")</f>
        <v/>
      </c>
      <c r="F844" s="1">
        <f>IFERROR(__xludf.DUMMYFUNCTION("""COMPUTED_VALUE"""),"Future Ready is a smart learning platform. We find sales and customer care to be somewhat neglected and not valued enough. We believe that everyone deserves a chance to succeed in sales and customer service. With smart technology, we make learning an inte"&amp;"grated part of the everyday workflow. We help companies future-proof its workforce by providing employees with the opportunity to learn new skills in their own time, without disrupting their day-to-day routine.")</f>
        <v/>
      </c>
      <c r="G844" s="1">
        <f>IFERROR(__xludf.DUMMYFUNCTION("""COMPUTED_VALUE"""),"I'm not part of any EdTech association")</f>
        <v/>
      </c>
      <c r="H844" s="1" t="n"/>
      <c r="I844" s="1">
        <f>IFERROR(__xludf.DUMMYFUNCTION("""COMPUTED_VALUE"""),"post@futureready.no")</f>
        <v/>
      </c>
      <c r="J844" s="1">
        <f>IFERROR(__xludf.DUMMYFUNCTION("""COMPUTED_VALUE"""),"+4747378202")</f>
        <v/>
      </c>
      <c r="K844" s="1">
        <f>IFERROR(__xludf.DUMMYFUNCTION("""COMPUTED_VALUE"""),"Høvik")</f>
        <v/>
      </c>
      <c r="L844" s="1">
        <f>IFERROR(__xludf.DUMMYFUNCTION("""COMPUTED_VALUE"""),"Norway")</f>
        <v/>
      </c>
      <c r="M844" s="1">
        <f>IFERROR(__xludf.DUMMYFUNCTION("""COMPUTED_VALUE"""),"Ireland, Norway, Sweden, United Kingdom")</f>
        <v/>
      </c>
      <c r="N844" s="1">
        <f>IFERROR(__xludf.DUMMYFUNCTION("""COMPUTED_VALUE"""),"0 to 10")</f>
        <v/>
      </c>
      <c r="O844" s="1">
        <f>IFERROR(__xludf.DUMMYFUNCTION("""COMPUTED_VALUE"""),"Business to Consumer")</f>
        <v/>
      </c>
      <c r="P844" s="1">
        <f>IFERROR(__xludf.DUMMYFUNCTION("""COMPUTED_VALUE"""),"Corporate Training")</f>
        <v/>
      </c>
      <c r="Q844" s="1">
        <f>IFERROR(__xludf.DUMMYFUNCTION("""COMPUTED_VALUE"""),"System/Administrative")</f>
        <v/>
      </c>
      <c r="R844" s="1" t="n"/>
      <c r="S844" s="1" t="n"/>
      <c r="T844" s="1" t="n"/>
      <c r="U844" s="1" t="n"/>
      <c r="V844" s="1" t="n"/>
      <c r="W844" s="1" t="n"/>
      <c r="X844" s="1" t="n"/>
      <c r="Y844" s="15">
        <f>IFERROR(__xludf.DUMMYFUNCTION("""COMPUTED_VALUE"""),"https://drive.google.com/uc?export=view&amp;id=1GaZ5_9j7i_FcOTfMdIlEVCYrMowCRKe2")</f>
        <v/>
      </c>
      <c r="Z844" s="1">
        <f>IFERROR(__xludf.DUMMYFUNCTION("""COMPUTED_VALUE"""),"Unverified")</f>
        <v/>
      </c>
      <c r="AA844" s="1" t="n"/>
      <c r="AB844" s="1" t="n"/>
      <c r="AC844" s="1" t="n"/>
      <c r="AD844" s="1" t="n"/>
      <c r="AE844" s="1" t="n"/>
    </row>
    <row r="845" ht="42" customHeight="1">
      <c r="A845" s="14">
        <f>IFERROR(__xludf.DUMMYFUNCTION("""COMPUTED_VALUE"""),45181)</f>
        <v/>
      </c>
      <c r="B845" s="1">
        <f>IFERROR(__xludf.DUMMYFUNCTION("""COMPUTED_VALUE"""),"ORG_1808")</f>
        <v/>
      </c>
      <c r="C845" s="1">
        <f>IFERROR(__xludf.DUMMYFUNCTION("""COMPUTED_VALUE"""),TRUE)</f>
        <v/>
      </c>
      <c r="D845" s="1">
        <f>IFERROR(__xludf.DUMMYFUNCTION("""COMPUTED_VALUE"""),"LærIT")</f>
        <v/>
      </c>
      <c r="E845" s="15">
        <f>IFERROR(__xludf.DUMMYFUNCTION("""COMPUTED_VALUE"""),"https://laerit.dk")</f>
        <v/>
      </c>
      <c r="F845" s="1">
        <f>IFERROR(__xludf.DUMMYFUNCTION("""COMPUTED_VALUE"""),"At LærIT, we believe that new forms of communication should be a natural part of teaching. We have created Skoletube the most widespread learning tool in DK. We offer 27 web-based tools to higher education through Studietube and we enrich play and learnin"&amp;"g in daycare institutions through Børnetube.")</f>
        <v/>
      </c>
      <c r="G845" s="1">
        <f>IFERROR(__xludf.DUMMYFUNCTION("""COMPUTED_VALUE"""),"EdTech Denmark")</f>
        <v/>
      </c>
      <c r="H845" s="1" t="n"/>
      <c r="I845" s="1">
        <f>IFERROR(__xludf.DUMMYFUNCTION("""COMPUTED_VALUE"""),"marcus@laerit.dk")</f>
        <v/>
      </c>
      <c r="J845" s="1">
        <f>IFERROR(__xludf.DUMMYFUNCTION("""COMPUTED_VALUE"""),"27142687")</f>
        <v/>
      </c>
      <c r="K845" s="1">
        <f>IFERROR(__xludf.DUMMYFUNCTION("""COMPUTED_VALUE"""),"HOLSTEBRO")</f>
        <v/>
      </c>
      <c r="L845" s="1">
        <f>IFERROR(__xludf.DUMMYFUNCTION("""COMPUTED_VALUE"""),"Denmark")</f>
        <v/>
      </c>
      <c r="M845" s="1">
        <f>IFERROR(__xludf.DUMMYFUNCTION("""COMPUTED_VALUE"""),"Denmark")</f>
        <v/>
      </c>
      <c r="N845" s="1">
        <f>IFERROR(__xludf.DUMMYFUNCTION("""COMPUTED_VALUE"""),"0 to 10")</f>
        <v/>
      </c>
      <c r="O845" s="1">
        <f>IFERROR(__xludf.DUMMYFUNCTION("""COMPUTED_VALUE"""),"Business to Consumer")</f>
        <v/>
      </c>
      <c r="P845" s="1">
        <f>IFERROR(__xludf.DUMMYFUNCTION("""COMPUTED_VALUE"""),"Early childhood development (0-5 years), Primary Education, Secondary Education, Higher Education")</f>
        <v/>
      </c>
      <c r="Q845" s="1">
        <f>IFERROR(__xludf.DUMMYFUNCTION("""COMPUTED_VALUE"""),"Student interfacing, Teacher interfacing")</f>
        <v/>
      </c>
      <c r="R845" s="1" t="n"/>
      <c r="S845" s="1" t="n"/>
      <c r="T845" s="1" t="n"/>
      <c r="U845" s="1">
        <f>IFERROR(__xludf.DUMMYFUNCTION("""COMPUTED_VALUE"""),"Skoletube")</f>
        <v/>
      </c>
      <c r="V845" s="1">
        <f>IFERROR(__xludf.DUMMYFUNCTION("""COMPUTED_VALUE"""),"Skoletube is a subscription based tools-on-demand platform for K12 / primary school. It offers 27 Web-tools + free upload, streaming and sharing of production made by students and teachers. It is a private platform behind the national danish single sign o"&amp;"n UNI-login.")</f>
        <v/>
      </c>
      <c r="W845" s="1">
        <f>IFERROR(__xludf.DUMMYFUNCTION("""COMPUTED_VALUE"""),"Studietube")</f>
        <v/>
      </c>
      <c r="X845" s="1">
        <f>IFERROR(__xludf.DUMMYFUNCTION("""COMPUTED_VALUE"""),"Skoletube is a subscription based tools-on-demand platform for Higher education like universities and collages. It offers 27 Web-tools + free upload, streaming and sharing of production made by students and teachers. It is a private platform behind the na"&amp;"tional danish single sign on UNI-login or behind a WAYF-login.")</f>
        <v/>
      </c>
      <c r="Y845" s="15">
        <f>IFERROR(__xludf.DUMMYFUNCTION("""COMPUTED_VALUE"""),"https://drive.google.com/uc?export=view&amp;id=12Mh4UW-MRSu98-6sFNkZjAUcY-l6o0Ex")</f>
        <v/>
      </c>
      <c r="Z845" s="1">
        <f>IFERROR(__xludf.DUMMYFUNCTION("""COMPUTED_VALUE"""),"Unverified")</f>
        <v/>
      </c>
      <c r="AA845" s="1" t="n"/>
      <c r="AB845" s="1" t="n"/>
      <c r="AC845" s="1" t="n"/>
      <c r="AD845" s="1" t="n"/>
      <c r="AE845" s="1" t="n"/>
    </row>
    <row r="846" ht="42" customHeight="1">
      <c r="A846" s="14">
        <f>IFERROR(__xludf.DUMMYFUNCTION("""COMPUTED_VALUE"""),45181)</f>
        <v/>
      </c>
      <c r="B846" s="1">
        <f>IFERROR(__xludf.DUMMYFUNCTION("""COMPUTED_VALUE"""),"ORG_2346")</f>
        <v/>
      </c>
      <c r="C846" s="1">
        <f>IFERROR(__xludf.DUMMYFUNCTION("""COMPUTED_VALUE"""),TRUE)</f>
        <v/>
      </c>
      <c r="D846" s="1">
        <f>IFERROR(__xludf.DUMMYFUNCTION("""COMPUTED_VALUE"""),"StudyTogether")</f>
        <v/>
      </c>
      <c r="E846" s="15">
        <f>IFERROR(__xludf.DUMMYFUNCTION("""COMPUTED_VALUE"""),"www.studytogether.com")</f>
        <v/>
      </c>
      <c r="F846" s="1">
        <f>IFERROR(__xludf.DUMMYFUNCTION("""COMPUTED_VALUE"""),"Study together is a global social learning platform that offers senior high school pupils and university students the perfect study environment to reach their full potential while enjoying the best learning journey. Supported by a 24x7 active community an"&amp;"d a gamified study experience that enables a sense of progress, students finally can reach a state of motivation and natural focus - the study flow.")</f>
        <v/>
      </c>
      <c r="G846" s="1">
        <f>IFERROR(__xludf.DUMMYFUNCTION("""COMPUTED_VALUE"""),"I'm not part of any EdTech association")</f>
        <v/>
      </c>
      <c r="H846" s="1" t="n"/>
      <c r="I846" s="1">
        <f>IFERROR(__xludf.DUMMYFUNCTION("""COMPUTED_VALUE"""),"info@studytogether.com")</f>
        <v/>
      </c>
      <c r="J846" s="1" t="n"/>
      <c r="K846" s="1">
        <f>IFERROR(__xludf.DUMMYFUNCTION("""COMPUTED_VALUE"""),"Berlin")</f>
        <v/>
      </c>
      <c r="L846" s="1">
        <f>IFERROR(__xludf.DUMMYFUNCTION("""COMPUTED_VALUE"""),"Germany")</f>
        <v/>
      </c>
      <c r="M84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846" s="1">
        <f>IFERROR(__xludf.DUMMYFUNCTION("""COMPUTED_VALUE"""),"11 to 50")</f>
        <v/>
      </c>
      <c r="O846" s="1">
        <f>IFERROR(__xludf.DUMMYFUNCTION("""COMPUTED_VALUE"""),"Business to Consumer, Business to Schools")</f>
        <v/>
      </c>
      <c r="P846" s="1">
        <f>IFERROR(__xludf.DUMMYFUNCTION("""COMPUTED_VALUE"""),"Primary Education, Secondary Education, Higher Education")</f>
        <v/>
      </c>
      <c r="Q846" s="1">
        <f>IFERROR(__xludf.DUMMYFUNCTION("""COMPUTED_VALUE"""),"Student interfacing, System/Administrative")</f>
        <v/>
      </c>
      <c r="R846" s="1" t="n"/>
      <c r="S846" s="1" t="n"/>
      <c r="T846" s="1" t="n"/>
      <c r="U846" s="1" t="n"/>
      <c r="V846" s="1" t="n"/>
      <c r="W846" s="1" t="n"/>
      <c r="X846" s="1" t="n"/>
      <c r="Y846" s="15">
        <f>IFERROR(__xludf.DUMMYFUNCTION("""COMPUTED_VALUE"""),"https://drive.google.com/uc?export=view&amp;id=1ThSGw85y5wFDVZh-pSvRGJcj8W4o9mWM")</f>
        <v/>
      </c>
      <c r="Z846" s="1">
        <f>IFERROR(__xludf.DUMMYFUNCTION("""COMPUTED_VALUE"""),"Unverified")</f>
        <v/>
      </c>
      <c r="AA846" s="1" t="n"/>
      <c r="AB846" s="1" t="n"/>
      <c r="AC846" s="1" t="n"/>
      <c r="AD846" s="1" t="n"/>
      <c r="AE846" s="1" t="n"/>
    </row>
    <row r="847" ht="42" customHeight="1">
      <c r="A847" s="14">
        <f>IFERROR(__xludf.DUMMYFUNCTION("""COMPUTED_VALUE"""),45181)</f>
        <v/>
      </c>
      <c r="B847" s="1">
        <f>IFERROR(__xludf.DUMMYFUNCTION("""COMPUTED_VALUE"""),"ORG_2444")</f>
        <v/>
      </c>
      <c r="C847" s="1">
        <f>IFERROR(__xludf.DUMMYFUNCTION("""COMPUTED_VALUE"""),TRUE)</f>
        <v/>
      </c>
      <c r="D847" s="1">
        <f>IFERROR(__xludf.DUMMYFUNCTION("""COMPUTED_VALUE"""),"Tuudo Oy")</f>
        <v/>
      </c>
      <c r="E847" s="15">
        <f>IFERROR(__xludf.DUMMYFUNCTION("""COMPUTED_VALUE"""),"https://www.tuudo.fi")</f>
        <v/>
      </c>
      <c r="F847" s="1">
        <f>IFERROR(__xludf.DUMMYFUNCTION("""COMPUTED_VALUE"""),"Tuudo is a free mobile application used by students and a service provider for educational institutions. Tuudo combines the services most often needed by students from the various information systems of educational institution into one place. Tuudo decrea"&amp;"ses the administrative burden of educational institutions and improves communications by allowing students to easily manage everything related to their studies and student life. Currently Tuudo is used in nearly 30 educational institutions in Finland and "&amp;"we have over 135 000 active users every month. Most educational institutions using Tuudo are universities of applied sciences or universities but we have recently expanded our operations to the upper secondary level as well.")</f>
        <v/>
      </c>
      <c r="G847" s="1">
        <f>IFERROR(__xludf.DUMMYFUNCTION("""COMPUTED_VALUE"""),"EdTech Finland")</f>
        <v/>
      </c>
      <c r="H847" s="1" t="n"/>
      <c r="I847" s="1" t="n"/>
      <c r="J847" s="1" t="n"/>
      <c r="K847" s="1">
        <f>IFERROR(__xludf.DUMMYFUNCTION("""COMPUTED_VALUE"""),"OULU")</f>
        <v/>
      </c>
      <c r="L847" s="1">
        <f>IFERROR(__xludf.DUMMYFUNCTION("""COMPUTED_VALUE"""),"Finland")</f>
        <v/>
      </c>
      <c r="M847" s="1">
        <f>IFERROR(__xludf.DUMMYFUNCTION("""COMPUTED_VALUE"""),"Finland")</f>
        <v/>
      </c>
      <c r="N847" s="1">
        <f>IFERROR(__xludf.DUMMYFUNCTION("""COMPUTED_VALUE"""),"11 to 50")</f>
        <v/>
      </c>
      <c r="O847" s="1">
        <f>IFERROR(__xludf.DUMMYFUNCTION("""COMPUTED_VALUE"""),"Business to Government, Business to Schools")</f>
        <v/>
      </c>
      <c r="P847" s="1">
        <f>IFERROR(__xludf.DUMMYFUNCTION("""COMPUTED_VALUE"""),"Higher Education")</f>
        <v/>
      </c>
      <c r="Q847" s="1">
        <f>IFERROR(__xludf.DUMMYFUNCTION("""COMPUTED_VALUE"""),"Student interfacing, System/Administrative")</f>
        <v/>
      </c>
      <c r="R847" s="15">
        <f>IFERROR(__xludf.DUMMYFUNCTION("""COMPUTED_VALUE"""),"https://www.instagram.com/tuudoapp/?hl=fi")</f>
        <v/>
      </c>
      <c r="S847" s="15">
        <f>IFERROR(__xludf.DUMMYFUNCTION("""COMPUTED_VALUE"""),"https://twitter.com/tuudo_app?lang=fi")</f>
        <v/>
      </c>
      <c r="T847" s="15">
        <f>IFERROR(__xludf.DUMMYFUNCTION("""COMPUTED_VALUE"""),"https://www.linkedin.com/company/tuudo/")</f>
        <v/>
      </c>
      <c r="U847" s="1">
        <f>IFERROR(__xludf.DUMMYFUNCTION("""COMPUTED_VALUE"""),"Tuudo")</f>
        <v/>
      </c>
      <c r="V847" s="1">
        <f>IFERROR(__xludf.DUMMYFUNCTION("""COMPUTED_VALUE"""),"Tuudo app contains a diverse range of services benefiting students, educational institutions and student associations. The service portfolio can be customized to meet the various needs of our partners and customers. The most typical Tuudo package consists"&amp;" of basic services simplifying everyday student life: schedules, courses completed, registration for courses and exams, news feeds, campus maps, jobs and internships suitable for students, restaurant menus and institutional service directories.")</f>
        <v/>
      </c>
      <c r="W847" s="1" t="n"/>
      <c r="X847" s="1" t="n"/>
      <c r="Y847" s="15">
        <f>IFERROR(__xludf.DUMMYFUNCTION("""COMPUTED_VALUE"""),"https://drive.google.com/uc?export=view&amp;id=1cQJGR9_vGsoMLfncnbMI9zLCxkaARBX2")</f>
        <v/>
      </c>
      <c r="Z847" s="1">
        <f>IFERROR(__xludf.DUMMYFUNCTION("""COMPUTED_VALUE"""),"Unverified")</f>
        <v/>
      </c>
      <c r="AA847" s="1" t="n"/>
      <c r="AB847" s="1" t="n"/>
      <c r="AC847" s="1" t="n"/>
      <c r="AD847" s="1" t="n"/>
      <c r="AE847" s="1" t="n"/>
    </row>
    <row r="848" ht="42" customHeight="1">
      <c r="A848" s="14">
        <f>IFERROR(__xludf.DUMMYFUNCTION("""COMPUTED_VALUE"""),45181)</f>
        <v/>
      </c>
      <c r="B848" s="1">
        <f>IFERROR(__xludf.DUMMYFUNCTION("""COMPUTED_VALUE"""),"ORG_1575")</f>
        <v/>
      </c>
      <c r="C848" s="1">
        <f>IFERROR(__xludf.DUMMYFUNCTION("""COMPUTED_VALUE"""),TRUE)</f>
        <v/>
      </c>
      <c r="D848" s="1">
        <f>IFERROR(__xludf.DUMMYFUNCTION("""COMPUTED_VALUE"""),"Formations - Allaitement Pour Tous")</f>
        <v/>
      </c>
      <c r="E848" s="15">
        <f>IFERROR(__xludf.DUMMYFUNCTION("""COMPUTED_VALUE"""),"https://www.allaitementpourtous.com/")</f>
        <v/>
      </c>
      <c r="F848" s="1">
        <f>IFERROR(__xludf.DUMMYFUNCTION("""COMPUTED_VALUE"""),"Allaitement Pour Tous propose des formations en allaitement maternel et dans l'allaitement face à des troubles de la succion et d'autres situations complexes. Fruit de plus de 20 d'expérience dans l'accompagnement des allaitements compliqués Charlotte Yon"&amp;"ge consultante en lactation IBCLC propose désormais des formations professionnelles 100% en ligne avec des contrôles de connaissances en QCM, des réunions Q/R en directe. Un certificat de connaissances acquises selon les critères d'Allaitement Pour Tous s"&amp;"era octroyé avec la présentation d'un étude de cas illustré, à la fin de la formation. Les formations professionnelles d'Allaitement Pour Tous sont certifiées QUALIOPI, visant les professionnels dans le secteur de la périnatalité.")</f>
        <v/>
      </c>
      <c r="G848" s="1">
        <f>IFERROR(__xludf.DUMMYFUNCTION("""COMPUTED_VALUE"""),"I'm not part of any EdTech association")</f>
        <v/>
      </c>
      <c r="H848" s="1">
        <f>IFERROR(__xludf.DUMMYFUNCTION("""COMPUTED_VALUE"""),"English")</f>
        <v/>
      </c>
      <c r="I848" s="1">
        <f>IFERROR(__xludf.DUMMYFUNCTION("""COMPUTED_VALUE"""),"allaitementpourtous@gmail.com")</f>
        <v/>
      </c>
      <c r="J848" s="1">
        <f>IFERROR(__xludf.DUMMYFUNCTION("""COMPUTED_VALUE"""),"+33616795944")</f>
        <v/>
      </c>
      <c r="K848" s="1">
        <f>IFERROR(__xludf.DUMMYFUNCTION("""COMPUTED_VALUE"""),"Paris")</f>
        <v/>
      </c>
      <c r="L848" s="1">
        <f>IFERROR(__xludf.DUMMYFUNCTION("""COMPUTED_VALUE"""),"France")</f>
        <v/>
      </c>
      <c r="M848" s="1">
        <f>IFERROR(__xludf.DUMMYFUNCTION("""COMPUTED_VALUE"""),"France")</f>
        <v/>
      </c>
      <c r="N848" s="1">
        <f>IFERROR(__xludf.DUMMYFUNCTION("""COMPUTED_VALUE"""),"0 to 2")</f>
        <v/>
      </c>
      <c r="O848" s="1">
        <f>IFERROR(__xludf.DUMMYFUNCTION("""COMPUTED_VALUE"""),"Business to Business, Business to Consumer")</f>
        <v/>
      </c>
      <c r="P848" s="1">
        <f>IFERROR(__xludf.DUMMYFUNCTION("""COMPUTED_VALUE"""),"Vocational Education and Training (VET), Higher Education")</f>
        <v/>
      </c>
      <c r="Q848" s="1">
        <f>IFERROR(__xludf.DUMMYFUNCTION("""COMPUTED_VALUE"""),"System/Administrative, Student interfacing")</f>
        <v/>
      </c>
      <c r="R848" s="15">
        <f>IFERROR(__xludf.DUMMYFUNCTION("""COMPUTED_VALUE"""),"https://www.instagram.com/yongecharlotte/?hl=fr")</f>
        <v/>
      </c>
      <c r="S848" s="1" t="n"/>
      <c r="T848" s="15">
        <f>IFERROR(__xludf.DUMMYFUNCTION("""COMPUTED_VALUE"""),"https://www.linkedin.com/in/charlotteyonge/?originalSubdomain=fr")</f>
        <v/>
      </c>
      <c r="U848" s="1">
        <f>IFERROR(__xludf.DUMMYFUNCTION("""COMPUTED_VALUE"""),"Formations en allaitement maternel.")</f>
        <v/>
      </c>
      <c r="V848" s="1">
        <f>IFERROR(__xludf.DUMMYFUNCTION("""COMPUTED_VALUE"""),"Charlotte Yonge, consultante en lactation IBCLC propose des formations professionnelles en allaitement maternel, 100% en ligne en mode ""blended"" avec des cours et contrôles de connaissances en ligne et des réunions d'accompagnement en directe avec les a"&amp;"pprenants en ligne.")</f>
        <v/>
      </c>
      <c r="W848" s="1">
        <f>IFERROR(__xludf.DUMMYFUNCTION("""COMPUTED_VALUE"""),"Allaiter malgré les troubles de la succion - Des variables dans les restrictions maxillo-oro-faciales")</f>
        <v/>
      </c>
      <c r="X848" s="1">
        <f>IFERROR(__xludf.DUMMYFUNCTION("""COMPUTED_VALUE"""),"Objectif principal de la formation : A l’issue de la formation, le stagiaire sera capable d’identifier les indices de restriction liées ou non à un frein buccal qui entravant le bon déroulement de l’allaitement, de démontrer les techniques et approches qu"&amp;"i contournent les obstacles en attendant les soins appropriés.")</f>
        <v/>
      </c>
      <c r="Y848" s="15">
        <f>IFERROR(__xludf.DUMMYFUNCTION("""COMPUTED_VALUE"""),"https://drive.google.com/uc?export=view&amp;id=1EVtU8Bo_08vPAfmzHNYM1NI3f4xZ6L1X")</f>
        <v/>
      </c>
      <c r="Z848" s="1">
        <f>IFERROR(__xludf.DUMMYFUNCTION("""COMPUTED_VALUE"""),"Unverified")</f>
        <v/>
      </c>
      <c r="AA848" s="1" t="n"/>
      <c r="AB848" s="1" t="n"/>
      <c r="AC848" s="1" t="n"/>
      <c r="AD848" s="1" t="n"/>
      <c r="AE848" s="1" t="n"/>
    </row>
    <row r="849" ht="42" customHeight="1">
      <c r="A849" s="14">
        <f>IFERROR(__xludf.DUMMYFUNCTION("""COMPUTED_VALUE"""),45181)</f>
        <v/>
      </c>
      <c r="B849" s="1">
        <f>IFERROR(__xludf.DUMMYFUNCTION("""COMPUTED_VALUE"""),"ORG_1258")</f>
        <v/>
      </c>
      <c r="C849" s="1">
        <f>IFERROR(__xludf.DUMMYFUNCTION("""COMPUTED_VALUE"""),TRUE)</f>
        <v/>
      </c>
      <c r="D849" s="1">
        <f>IFERROR(__xludf.DUMMYFUNCTION("""COMPUTED_VALUE"""),"Clic Campus")</f>
        <v/>
      </c>
      <c r="E849" s="15">
        <f>IFERROR(__xludf.DUMMYFUNCTION("""COMPUTED_VALUE"""),"www.clic-campus.fr")</f>
        <v/>
      </c>
      <c r="F849" s="1">
        <f>IFERROR(__xludf.DUMMYFUNCTION("""COMPUTED_VALUE"""),"Clic Campus is an online language learning center focusing on individual training for professionals.")</f>
        <v/>
      </c>
      <c r="G849" s="1">
        <f>IFERROR(__xludf.DUMMYFUNCTION("""COMPUTED_VALUE"""),"EdTech France")</f>
        <v/>
      </c>
      <c r="H849" s="1" t="n"/>
      <c r="I849" s="1">
        <f>IFERROR(__xludf.DUMMYFUNCTION("""COMPUTED_VALUE"""),"arthur@clic-campus.fr")</f>
        <v/>
      </c>
      <c r="J849" s="1">
        <f>IFERROR(__xludf.DUMMYFUNCTION("""COMPUTED_VALUE"""),"783514758")</f>
        <v/>
      </c>
      <c r="K849" s="1">
        <f>IFERROR(__xludf.DUMMYFUNCTION("""COMPUTED_VALUE"""),"PARIS")</f>
        <v/>
      </c>
      <c r="L849" s="1">
        <f>IFERROR(__xludf.DUMMYFUNCTION("""COMPUTED_VALUE"""),"France")</f>
        <v/>
      </c>
      <c r="M849" s="1">
        <f>IFERROR(__xludf.DUMMYFUNCTION("""COMPUTED_VALUE"""),"Belgium, France, Germany, Greece, Italy, Monaco, Switzerland")</f>
        <v/>
      </c>
      <c r="N849" s="1">
        <f>IFERROR(__xludf.DUMMYFUNCTION("""COMPUTED_VALUE"""),"11 to 50")</f>
        <v/>
      </c>
      <c r="O849" s="1">
        <f>IFERROR(__xludf.DUMMYFUNCTION("""COMPUTED_VALUE"""),"Business to Business, Business to Consumer")</f>
        <v/>
      </c>
      <c r="P849" s="1">
        <f>IFERROR(__xludf.DUMMYFUNCTION("""COMPUTED_VALUE"""),"Corporate Training, Lifelong learning/Adult education")</f>
        <v/>
      </c>
      <c r="Q849" s="1">
        <f>IFERROR(__xludf.DUMMYFUNCTION("""COMPUTED_VALUE"""),"System/Administrative, Student interfacing")</f>
        <v/>
      </c>
      <c r="R849" s="1" t="n"/>
      <c r="S849" s="1" t="n"/>
      <c r="T849" s="15">
        <f>IFERROR(__xludf.DUMMYFUNCTION("""COMPUTED_VALUE"""),"https://www.linkedin.com/company/71545098/admin/")</f>
        <v/>
      </c>
      <c r="U849" s="1">
        <f>IFERROR(__xludf.DUMMYFUNCTION("""COMPUTED_VALUE"""),"English lessons")</f>
        <v/>
      </c>
      <c r="V849" s="1">
        <f>IFERROR(__xludf.DUMMYFUNCTION("""COMPUTED_VALUE"""),"For every student our teachers create a tailor made training program based on your current level. Our pedagogy is based on blended learning : a mix of private lessons with a teacher and autonomous learning on an online platform.")</f>
        <v/>
      </c>
      <c r="W849" s="1">
        <f>IFERROR(__xludf.DUMMYFUNCTION("""COMPUTED_VALUE"""),"French lessons")</f>
        <v/>
      </c>
      <c r="X849" s="1">
        <f>IFERROR(__xludf.DUMMYFUNCTION("""COMPUTED_VALUE"""),"For every student our teachers create a tailor made training program based on your current level. Our pedagogy is based on blended learning : a mix of private lessons with a teacher and autonomous learning on an online platform.")</f>
        <v/>
      </c>
      <c r="Y849" s="15">
        <f>IFERROR(__xludf.DUMMYFUNCTION("""COMPUTED_VALUE"""),"https://drive.google.com/uc?export=view&amp;id=1f0biwlJinANNaZhIl_lKLYoA_KkEFSMQ")</f>
        <v/>
      </c>
      <c r="Z849" s="1">
        <f>IFERROR(__xludf.DUMMYFUNCTION("""COMPUTED_VALUE"""),"Unverified")</f>
        <v/>
      </c>
      <c r="AA849" s="1" t="n"/>
      <c r="AB849" s="1" t="n"/>
      <c r="AC849" s="1" t="n"/>
      <c r="AD849" s="1" t="n"/>
      <c r="AE849" s="1" t="n"/>
    </row>
    <row r="850" ht="42" customHeight="1">
      <c r="A850" s="14">
        <f>IFERROR(__xludf.DUMMYFUNCTION("""COMPUTED_VALUE"""),45181)</f>
        <v/>
      </c>
      <c r="B850" s="1">
        <f>IFERROR(__xludf.DUMMYFUNCTION("""COMPUTED_VALUE"""),"ORG_1434")</f>
        <v/>
      </c>
      <c r="C850" s="1">
        <f>IFERROR(__xludf.DUMMYFUNCTION("""COMPUTED_VALUE"""),TRUE)</f>
        <v/>
      </c>
      <c r="D850" s="1">
        <f>IFERROR(__xludf.DUMMYFUNCTION("""COMPUTED_VALUE"""),"Educational Systems LLC")</f>
        <v/>
      </c>
      <c r="E850" s="15">
        <f>IFERROR(__xludf.DUMMYFUNCTION("""COMPUTED_VALUE"""),"https://schools.by")</f>
        <v/>
      </c>
      <c r="F850" s="1">
        <f>IFERROR(__xludf.DUMMYFUNCTION("""COMPUTED_VALUE"""),"The service of electronic journals and diaries is an innovation in education, which allows translating the relationship between school and family to a higher technological level, allowing participants in the educational process to receive information abou"&amp;"t curricula, current and final grades, homework, etc. in online mode. Schools.by portal is the largest educational resource in the country, it was created specifically for educational institutions of the Republic of Belarus.")</f>
        <v/>
      </c>
      <c r="G850" s="1">
        <f>IFERROR(__xludf.DUMMYFUNCTION("""COMPUTED_VALUE"""),"I'm not part of any EdTech association")</f>
        <v/>
      </c>
      <c r="H850" s="1" t="n"/>
      <c r="I850" s="1">
        <f>IFERROR(__xludf.DUMMYFUNCTION("""COMPUTED_VALUE"""),"info@schools.by")</f>
        <v/>
      </c>
      <c r="J850" s="1">
        <f>IFERROR(__xludf.DUMMYFUNCTION("""COMPUTED_VALUE"""),"+375173894305")</f>
        <v/>
      </c>
      <c r="K850" s="1">
        <f>IFERROR(__xludf.DUMMYFUNCTION("""COMPUTED_VALUE"""),"MINSK")</f>
        <v/>
      </c>
      <c r="L850" s="1">
        <f>IFERROR(__xludf.DUMMYFUNCTION("""COMPUTED_VALUE"""),"Belarus")</f>
        <v/>
      </c>
      <c r="M850" s="1">
        <f>IFERROR(__xludf.DUMMYFUNCTION("""COMPUTED_VALUE"""),"Belarus")</f>
        <v/>
      </c>
      <c r="N850" s="1">
        <f>IFERROR(__xludf.DUMMYFUNCTION("""COMPUTED_VALUE"""),"0 to 10")</f>
        <v/>
      </c>
      <c r="O850" s="1">
        <f>IFERROR(__xludf.DUMMYFUNCTION("""COMPUTED_VALUE"""),"Business to Business, Business to Consumer")</f>
        <v/>
      </c>
      <c r="P850" s="1">
        <f>IFERROR(__xludf.DUMMYFUNCTION("""COMPUTED_VALUE"""),"Primary Education, Secondary Education")</f>
        <v/>
      </c>
      <c r="Q850" s="1">
        <f>IFERROR(__xludf.DUMMYFUNCTION("""COMPUTED_VALUE"""),"System/Administrative, Student interfacing, Teacher interfacing")</f>
        <v/>
      </c>
      <c r="R850" s="1" t="n"/>
      <c r="S850" s="1" t="n"/>
      <c r="T850" s="1" t="n"/>
      <c r="U850" s="1" t="n"/>
      <c r="V850" s="1" t="n"/>
      <c r="W850" s="1" t="n"/>
      <c r="X850" s="1" t="n"/>
      <c r="Y850" s="15">
        <f>IFERROR(__xludf.DUMMYFUNCTION("""COMPUTED_VALUE"""),"https://drive.google.com/uc?export=view&amp;id=18oqMsNnfnUyHAooOaQh0tTTymZutVUxM")</f>
        <v/>
      </c>
      <c r="Z850" s="1">
        <f>IFERROR(__xludf.DUMMYFUNCTION("""COMPUTED_VALUE"""),"Unverified")</f>
        <v/>
      </c>
      <c r="AA850" s="1" t="n"/>
      <c r="AB850" s="1" t="n"/>
      <c r="AC850" s="1" t="n"/>
      <c r="AD850" s="1" t="n"/>
      <c r="AE850" s="1" t="n"/>
    </row>
    <row r="851" ht="42" customHeight="1">
      <c r="A851" s="14">
        <f>IFERROR(__xludf.DUMMYFUNCTION("""COMPUTED_VALUE"""),45181)</f>
        <v/>
      </c>
      <c r="B851" s="1">
        <f>IFERROR(__xludf.DUMMYFUNCTION("""COMPUTED_VALUE"""),"ORG_2471")</f>
        <v/>
      </c>
      <c r="C851" s="1">
        <f>IFERROR(__xludf.DUMMYFUNCTION("""COMPUTED_VALUE"""),TRUE)</f>
        <v/>
      </c>
      <c r="D851" s="1">
        <f>IFERROR(__xludf.DUMMYFUNCTION("""COMPUTED_VALUE"""),"Unschooler")</f>
        <v/>
      </c>
      <c r="E851" s="15">
        <f>IFERROR(__xludf.DUMMYFUNCTION("""COMPUTED_VALUE"""),"https://unschooler.me/")</f>
        <v/>
      </c>
      <c r="F851" s="1">
        <f>IFERROR(__xludf.DUMMYFUNCTION("""COMPUTED_VALUE"""),"Unschooler is a platform that generates personalized AI video courses. 
We help educators, universities, and colleges set up a school with AI for a few days and generate courses with their own content for a few minutes instead of months. 
People can gen"&amp;"erate unique learning paths to discover new skills and careers.")</f>
        <v/>
      </c>
      <c r="G851" s="1">
        <f>IFERROR(__xludf.DUMMYFUNCTION("""COMPUTED_VALUE"""),"I'm not part of any EdTech association")</f>
        <v/>
      </c>
      <c r="H851" s="1">
        <f>IFERROR(__xludf.DUMMYFUNCTION("""COMPUTED_VALUE"""),"English, Swedish, Arabic, Spanish, French, German, Portuguese, Polish, Hindi, Chinese, Russian")</f>
        <v/>
      </c>
      <c r="I851" s="1">
        <f>IFERROR(__xludf.DUMMYFUNCTION("""COMPUTED_VALUE"""),"info@unschooler.me")</f>
        <v/>
      </c>
      <c r="J851" s="1">
        <f>IFERROR(__xludf.DUMMYFUNCTION("""COMPUTED_VALUE"""),"+48780601784")</f>
        <v/>
      </c>
      <c r="K851" s="1">
        <f>IFERROR(__xludf.DUMMYFUNCTION("""COMPUTED_VALUE"""),"Tallinn")</f>
        <v/>
      </c>
      <c r="L851" s="1">
        <f>IFERROR(__xludf.DUMMYFUNCTION("""COMPUTED_VALUE"""),"Estonia")</f>
        <v/>
      </c>
      <c r="M851" s="1">
        <f>IFERROR(__xludf.DUMMYFUNCTION("""COMPUTED_VALUE"""),"Cyprus, France, Germany, Ireland, Netherlands, Norway, Poland, Portugal, Sweden, United Kingdom")</f>
        <v/>
      </c>
      <c r="N851" s="1">
        <f>IFERROR(__xludf.DUMMYFUNCTION("""COMPUTED_VALUE"""),"3 to 5")</f>
        <v/>
      </c>
      <c r="O851" s="1">
        <f>IFERROR(__xludf.DUMMYFUNCTION("""COMPUTED_VALUE"""),"Business to Consumer, Business to Schools")</f>
        <v/>
      </c>
      <c r="P851" s="1">
        <f>IFERROR(__xludf.DUMMYFUNCTION("""COMPUTED_VALUE"""),"Corporate Training, Lifelong learning/Adult education, Vocational Education and Training (VET)")</f>
        <v/>
      </c>
      <c r="Q851" s="1">
        <f>IFERROR(__xludf.DUMMYFUNCTION("""COMPUTED_VALUE"""),"Student interfacing, Teacher interfacing, System/Administrative")</f>
        <v/>
      </c>
      <c r="R851" s="15">
        <f>IFERROR(__xludf.DUMMYFUNCTION("""COMPUTED_VALUE"""),"https://www.instagram.com/unschooler_en/")</f>
        <v/>
      </c>
      <c r="S851" s="15">
        <f>IFERROR(__xludf.DUMMYFUNCTION("""COMPUTED_VALUE"""),"https://twitter.com/unschooler_me")</f>
        <v/>
      </c>
      <c r="T851" s="15">
        <f>IFERROR(__xludf.DUMMYFUNCTION("""COMPUTED_VALUE"""),"https://www.linkedin.com/company/69407492/admin/")</f>
        <v/>
      </c>
      <c r="U851" s="1">
        <f>IFERROR(__xludf.DUMMYFUNCTION("""COMPUTED_VALUE"""),"Unschooler AI LMS")</f>
        <v/>
      </c>
      <c r="V851" s="1">
        <f>IFERROR(__xludf.DUMMYFUNCTION("""COMPUTED_VALUE"""),"We help educators, universities, and colleges set up a school with AI for a few days and generate courses with their own content for a few minutes instead of months.")</f>
        <v/>
      </c>
      <c r="W851" s="1">
        <f>IFERROR(__xludf.DUMMYFUNCTION("""COMPUTED_VALUE"""),"Unschooler AI courses")</f>
        <v/>
      </c>
      <c r="X851" s="1">
        <f>IFERROR(__xludf.DUMMYFUNCTION("""COMPUTED_VALUE"""),"People can generate unique learning paths to discover new skills and careers.")</f>
        <v/>
      </c>
      <c r="Y851" s="15">
        <f>IFERROR(__xludf.DUMMYFUNCTION("""COMPUTED_VALUE"""),"https://drive.google.com/uc?export=view&amp;id=14u08dmQm9LLJ2hvlOzs-I10rM0W8i0gz")</f>
        <v/>
      </c>
      <c r="Z851" s="1">
        <f>IFERROR(__xludf.DUMMYFUNCTION("""COMPUTED_VALUE"""),"Unverified")</f>
        <v/>
      </c>
      <c r="AA851" s="1" t="n"/>
      <c r="AB851" s="1" t="n"/>
      <c r="AC851" s="1" t="n"/>
      <c r="AD851" s="1" t="n"/>
      <c r="AE851" s="1" t="n"/>
    </row>
    <row r="852" ht="42" customHeight="1">
      <c r="A852" s="14">
        <f>IFERROR(__xludf.DUMMYFUNCTION("""COMPUTED_VALUE"""),45181)</f>
        <v/>
      </c>
      <c r="B852" s="1">
        <f>IFERROR(__xludf.DUMMYFUNCTION("""COMPUTED_VALUE"""),"ORG_1080")</f>
        <v/>
      </c>
      <c r="C852" s="1">
        <f>IFERROR(__xludf.DUMMYFUNCTION("""COMPUTED_VALUE"""),TRUE)</f>
        <v/>
      </c>
      <c r="D852" s="1">
        <f>IFERROR(__xludf.DUMMYFUNCTION("""COMPUTED_VALUE"""),"Aonia Educación")</f>
        <v/>
      </c>
      <c r="E852" s="15">
        <f>IFERROR(__xludf.DUMMYFUNCTION("""COMPUTED_VALUE"""),"www.aonia.es")</f>
        <v/>
      </c>
      <c r="F852" s="1">
        <f>IFERROR(__xludf.DUMMYFUNCTION("""COMPUTED_VALUE"""),"Aonia is a consultancy company focused on Education, Digital Transformation and Innovation. We do operate in +40 countries developing projects for Teachers Professional Development, Computational Thinking, Educational Innovation, etc.")</f>
        <v/>
      </c>
      <c r="G852" s="1">
        <f>IFERROR(__xludf.DUMMYFUNCTION("""COMPUTED_VALUE"""),"EduTech Cluster Spain")</f>
        <v/>
      </c>
      <c r="H852" s="1" t="n"/>
      <c r="I852" s="1">
        <f>IFERROR(__xludf.DUMMYFUNCTION("""COMPUTED_VALUE"""),"david.vidal@aonia.es")</f>
        <v/>
      </c>
      <c r="J852" s="1">
        <f>IFERROR(__xludf.DUMMYFUNCTION("""COMPUTED_VALUE"""),"+34608123851")</f>
        <v/>
      </c>
      <c r="K852" s="1">
        <f>IFERROR(__xludf.DUMMYFUNCTION("""COMPUTED_VALUE"""),"SEVILLA")</f>
        <v/>
      </c>
      <c r="L852" s="1">
        <f>IFERROR(__xludf.DUMMYFUNCTION("""COMPUTED_VALUE"""),"Spain")</f>
        <v/>
      </c>
      <c r="M852" s="1">
        <f>IFERROR(__xludf.DUMMYFUNCTION("""COMPUTED_VALUE"""),"Spain")</f>
        <v/>
      </c>
      <c r="N852" s="1">
        <f>IFERROR(__xludf.DUMMYFUNCTION("""COMPUTED_VALUE"""),"11 to 50")</f>
        <v/>
      </c>
      <c r="O852" s="1">
        <f>IFERROR(__xludf.DUMMYFUNCTION("""COMPUTED_VALUE"""),"Business to Business")</f>
        <v/>
      </c>
      <c r="P852" s="1">
        <f>IFERROR(__xludf.DUMMYFUNCTION("""COMPUTED_VALUE"""),"Early childhood development (0-5 years), Primary Education, Secondary Education, Higher Education, Corporate Training, Lifelong learning/Adult education")</f>
        <v/>
      </c>
      <c r="Q852" s="1">
        <f>IFERROR(__xludf.DUMMYFUNCTION("""COMPUTED_VALUE"""),"Teacher interfacing, Student interfacing, System/Administrative")</f>
        <v/>
      </c>
      <c r="R852" s="1" t="n"/>
      <c r="S852" s="1" t="n"/>
      <c r="T852" s="1" t="n"/>
      <c r="U852" s="1" t="n"/>
      <c r="V852" s="1" t="n"/>
      <c r="W852" s="1" t="n"/>
      <c r="X852" s="1" t="n"/>
      <c r="Y852" s="1" t="n"/>
      <c r="Z852" s="1">
        <f>IFERROR(__xludf.DUMMYFUNCTION("""COMPUTED_VALUE"""),"Unverified")</f>
        <v/>
      </c>
      <c r="AA852" s="1" t="n"/>
      <c r="AB852" s="1" t="n"/>
      <c r="AC852" s="1" t="n"/>
      <c r="AD852" s="1" t="n"/>
      <c r="AE852" s="1" t="n"/>
    </row>
    <row r="853" ht="42" customHeight="1">
      <c r="A853" s="14">
        <f>IFERROR(__xludf.DUMMYFUNCTION("""COMPUTED_VALUE"""),45181)</f>
        <v/>
      </c>
      <c r="B853" s="1">
        <f>IFERROR(__xludf.DUMMYFUNCTION("""COMPUTED_VALUE"""),"ORG_1152")</f>
        <v/>
      </c>
      <c r="C853" s="1">
        <f>IFERROR(__xludf.DUMMYFUNCTION("""COMPUTED_VALUE"""),TRUE)</f>
        <v/>
      </c>
      <c r="D853" s="1">
        <f>IFERROR(__xludf.DUMMYFUNCTION("""COMPUTED_VALUE"""),"BeSolver")</f>
        <v/>
      </c>
      <c r="E853" s="15">
        <f>IFERROR(__xludf.DUMMYFUNCTION("""COMPUTED_VALUE"""),"besolver.io")</f>
        <v/>
      </c>
      <c r="F853" s="1">
        <f>IFERROR(__xludf.DUMMYFUNCTION("""COMPUTED_VALUE"""),"BeSolver es una plataforma de aprendizaje que guía a docentes y estudiantes en el diseño de ABP y en el desarrollo de las habilidades del siglo XXI.
BeSolver is a learning platform that guides teachers and students in designing PBL and developing 21st ce"&amp;"ntury skills.")</f>
        <v/>
      </c>
      <c r="G853" s="1">
        <f>IFERROR(__xludf.DUMMYFUNCTION("""COMPUTED_VALUE"""),"I'm not part of any EdTech association")</f>
        <v/>
      </c>
      <c r="H853" s="1" t="n"/>
      <c r="I853" s="1">
        <f>IFERROR(__xludf.DUMMYFUNCTION("""COMPUTED_VALUE"""),"hola@besolver.io")</f>
        <v/>
      </c>
      <c r="J853" s="1">
        <f>IFERROR(__xludf.DUMMYFUNCTION("""COMPUTED_VALUE"""),"+34699435996")</f>
        <v/>
      </c>
      <c r="K853" s="1">
        <f>IFERROR(__xludf.DUMMYFUNCTION("""COMPUTED_VALUE"""),"C/ Almogavers, 165")</f>
        <v/>
      </c>
      <c r="L853" s="1">
        <f>IFERROR(__xludf.DUMMYFUNCTION("""COMPUTED_VALUE"""),"Spain")</f>
        <v/>
      </c>
      <c r="M853" s="1">
        <f>IFERROR(__xludf.DUMMYFUNCTION("""COMPUTED_VALUE"""),"Spain")</f>
        <v/>
      </c>
      <c r="N853" s="1">
        <f>IFERROR(__xludf.DUMMYFUNCTION("""COMPUTED_VALUE"""),"0 to 10")</f>
        <v/>
      </c>
      <c r="O853" s="1">
        <f>IFERROR(__xludf.DUMMYFUNCTION("""COMPUTED_VALUE"""),"Business to Business, Business to Consumer")</f>
        <v/>
      </c>
      <c r="P853" s="1">
        <f>IFERROR(__xludf.DUMMYFUNCTION("""COMPUTED_VALUE"""),"Primary Education, Secondary Education, Lifelong learning/Adult education")</f>
        <v/>
      </c>
      <c r="Q853" s="1">
        <f>IFERROR(__xludf.DUMMYFUNCTION("""COMPUTED_VALUE"""),"Teacher interfacing, System/Administrative")</f>
        <v/>
      </c>
      <c r="R853" s="1" t="n"/>
      <c r="S853" s="1" t="n"/>
      <c r="T853" s="1" t="n"/>
      <c r="U853" s="1" t="n"/>
      <c r="V853" s="1" t="n"/>
      <c r="W853" s="1" t="n"/>
      <c r="X853" s="1" t="n"/>
      <c r="Y853" s="15">
        <f>IFERROR(__xludf.DUMMYFUNCTION("""COMPUTED_VALUE"""),"https://drive.google.com/uc?export=view&amp;id=1Dlxh2oZGh0bAo2cgbDtE1EC-hgpDy671")</f>
        <v/>
      </c>
      <c r="Z853" s="1">
        <f>IFERROR(__xludf.DUMMYFUNCTION("""COMPUTED_VALUE"""),"Unverified")</f>
        <v/>
      </c>
      <c r="AA853" s="1" t="n"/>
      <c r="AB853" s="1" t="n"/>
      <c r="AC853" s="1" t="n"/>
      <c r="AD853" s="1" t="n"/>
      <c r="AE853" s="1" t="n"/>
    </row>
    <row r="854" ht="42" customHeight="1">
      <c r="A854" s="14">
        <f>IFERROR(__xludf.DUMMYFUNCTION("""COMPUTED_VALUE"""),45181)</f>
        <v/>
      </c>
      <c r="B854" s="1">
        <f>IFERROR(__xludf.DUMMYFUNCTION("""COMPUTED_VALUE"""),"ORG_1318")</f>
        <v/>
      </c>
      <c r="C854" s="1">
        <f>IFERROR(__xludf.DUMMYFUNCTION("""COMPUTED_VALUE"""),TRUE)</f>
        <v/>
      </c>
      <c r="D854" s="1">
        <f>IFERROR(__xludf.DUMMYFUNCTION("""COMPUTED_VALUE"""),"Cybeerly")</f>
        <v/>
      </c>
      <c r="E854" s="15">
        <f>IFERROR(__xludf.DUMMYFUNCTION("""COMPUTED_VALUE"""),"https://cybeerly.com/")</f>
        <v/>
      </c>
      <c r="F854" s="1">
        <f>IFERROR(__xludf.DUMMYFUNCTION("""COMPUTED_VALUE"""),"A platform from the future that enables effective virtual lessons")</f>
        <v/>
      </c>
      <c r="G854" s="1">
        <f>IFERROR(__xludf.DUMMYFUNCTION("""COMPUTED_VALUE"""),"EdTech Estonia")</f>
        <v/>
      </c>
      <c r="H854" s="1" t="n"/>
      <c r="I854" s="1">
        <f>IFERROR(__xludf.DUMMYFUNCTION("""COMPUTED_VALUE"""),"rufatgulmalizadeh@gmail.com")</f>
        <v/>
      </c>
      <c r="J854" s="1">
        <f>IFERROR(__xludf.DUMMYFUNCTION("""COMPUTED_VALUE"""),"+994503474947")</f>
        <v/>
      </c>
      <c r="K854" s="1">
        <f>IFERROR(__xludf.DUMMYFUNCTION("""COMPUTED_VALUE"""),"TALLİN")</f>
        <v/>
      </c>
      <c r="L854" s="1">
        <f>IFERROR(__xludf.DUMMYFUNCTION("""COMPUTED_VALUE"""),"Estonia")</f>
        <v/>
      </c>
      <c r="M854" s="1">
        <f>IFERROR(__xludf.DUMMYFUNCTION("""COMPUTED_VALUE"""),"Russia, Spain, Sweden, Turkey, Ukraine, United Kingdom")</f>
        <v/>
      </c>
      <c r="N854" s="1">
        <f>IFERROR(__xludf.DUMMYFUNCTION("""COMPUTED_VALUE"""),"0 to 10")</f>
        <v/>
      </c>
      <c r="O854" s="1">
        <f>IFERROR(__xludf.DUMMYFUNCTION("""COMPUTED_VALUE"""),"Business to Business, Business to Consumer, Business to Government, Business to Schools")</f>
        <v/>
      </c>
      <c r="P854" s="1">
        <f>IFERROR(__xludf.DUMMYFUNCTION("""COMPUTED_VALUE"""),"Early childhood development (0-5 years), Primary Education, Secondary Education, Higher Education, Corporate Training")</f>
        <v/>
      </c>
      <c r="Q854" s="1">
        <f>IFERROR(__xludf.DUMMYFUNCTION("""COMPUTED_VALUE"""),"Teacher interfacing, System/Administrative")</f>
        <v/>
      </c>
      <c r="R854" s="1" t="n"/>
      <c r="S854" s="1" t="n"/>
      <c r="T854" s="1" t="n"/>
      <c r="U854" s="1" t="n"/>
      <c r="V854" s="1" t="n"/>
      <c r="W854" s="1" t="n"/>
      <c r="X854" s="1" t="n"/>
      <c r="Y854" s="15">
        <f>IFERROR(__xludf.DUMMYFUNCTION("""COMPUTED_VALUE"""),"https://drive.google.com/uc?export=view&amp;id=1jyM6AWb4T_JqkyUH9dIz6Cx8872G1kqV")</f>
        <v/>
      </c>
      <c r="Z854" s="1">
        <f>IFERROR(__xludf.DUMMYFUNCTION("""COMPUTED_VALUE"""),"Unverified")</f>
        <v/>
      </c>
      <c r="AA854" s="1" t="n"/>
      <c r="AB854" s="1" t="n"/>
      <c r="AC854" s="1" t="n"/>
      <c r="AD854" s="1" t="n"/>
      <c r="AE854" s="1" t="n"/>
    </row>
    <row r="855" ht="42" customHeight="1">
      <c r="A855" s="14">
        <f>IFERROR(__xludf.DUMMYFUNCTION("""COMPUTED_VALUE"""),45181)</f>
        <v/>
      </c>
      <c r="B855" s="1">
        <f>IFERROR(__xludf.DUMMYFUNCTION("""COMPUTED_VALUE"""),"ORG_1520")</f>
        <v/>
      </c>
      <c r="C855" s="1">
        <f>IFERROR(__xludf.DUMMYFUNCTION("""COMPUTED_VALUE"""),TRUE)</f>
        <v/>
      </c>
      <c r="D855" s="1">
        <f>IFERROR(__xludf.DUMMYFUNCTION("""COMPUTED_VALUE"""),"ETS GLOBAL")</f>
        <v/>
      </c>
      <c r="E855" s="15">
        <f>IFERROR(__xludf.DUMMYFUNCTION("""COMPUTED_VALUE"""),"https://www.etsglobal.org")</f>
        <v/>
      </c>
      <c r="F855" s="1">
        <f>IFERROR(__xludf.DUMMYFUNCTION("""COMPUTED_VALUE"""),"ETS Global B.V., a wholly owned subsidiary of ETS, is the international arm of ETS that brings ETS expertise to educational and business communities around the world.
At ETS Global B.V., we bring expertise to educational and business communities around th"&amp;"e world, including companies, language schools, academic institutions and public service organisations. Our teams serve 80 countries across Europe, South America, Asia, the Middle East and Africa. We offer a range of ETS products, services and learning so"&amp;"lutions, including English-language assessments, standardized assessments, training and consulting. www.etsglobal.org
About the TOEIC® Tests
With more than 40 years as an industry leader, the TOEIC programme has set the standard for assessing English-lan"&amp;"guage communication skills needed in the workplace. The TOEIC tests are the most widely used around the world. Over 14 000 organisations across more than 160 countries, trust TOEIC scores to inform the decisions that matter. The TOEIC assessment portfolio"&amp;" measures all 4 language skills for a comprehensive understanding of English-language proficiency. Accurate, reliable and comparable scores can help organisations evaluate individuals with the English language skills needed to succeed in the global workpl"&amp;"ace.
In 2020, ETS Global B.V. has acquired Pipplet, a start-up specialising in language assessment used for recruitment, internal mobility, language audits and skills certification for companies. Since its foundation, Pipplet has allowed recruiters from "&amp;"all over the world to verify candidates’ abilities to work in a foreign language. With assessments in 28 different languages, from English to Vietnamese, Pipplet is speeding up the recruitment process for hundreds of companies, from fast-growing start-ups"&amp;" to large consulting groups.")</f>
        <v/>
      </c>
      <c r="G855" s="1">
        <f>IFERROR(__xludf.DUMMYFUNCTION("""COMPUTED_VALUE"""),"AFINEF")</f>
        <v/>
      </c>
      <c r="H855" s="1" t="n"/>
      <c r="I855" s="1">
        <f>IFERROR(__xludf.DUMMYFUNCTION("""COMPUTED_VALUE"""),"lcarlinet@etsglobal.org")</f>
        <v/>
      </c>
      <c r="J855" s="1">
        <f>IFERROR(__xludf.DUMMYFUNCTION("""COMPUTED_VALUE"""),"+ 33 1 40 75 95 44")</f>
        <v/>
      </c>
      <c r="K855" s="1">
        <f>IFERROR(__xludf.DUMMYFUNCTION("""COMPUTED_VALUE"""),"Amsterdam")</f>
        <v/>
      </c>
      <c r="L855" s="1">
        <f>IFERROR(__xludf.DUMMYFUNCTION("""COMPUTED_VALUE"""),"The Netherlands")</f>
        <v/>
      </c>
      <c r="M855"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f>
        <v/>
      </c>
      <c r="N855" s="1">
        <f>IFERROR(__xludf.DUMMYFUNCTION("""COMPUTED_VALUE"""),"100+")</f>
        <v/>
      </c>
      <c r="O855" s="1">
        <f>IFERROR(__xludf.DUMMYFUNCTION("""COMPUTED_VALUE"""),"Business to Business, Business to Consumer, Business to Schools")</f>
        <v/>
      </c>
      <c r="P855" s="1">
        <f>IFERROR(__xludf.DUMMYFUNCTION("""COMPUTED_VALUE"""),"Primary Education, Secondary Education, Higher Education, Corporate Training, Lifelong learning/Adult education")</f>
        <v/>
      </c>
      <c r="Q855" s="1">
        <f>IFERROR(__xludf.DUMMYFUNCTION("""COMPUTED_VALUE"""),"System/Administrative, Student interfacing, Teacher interfacing")</f>
        <v/>
      </c>
      <c r="R855" s="1" t="n"/>
      <c r="S855" s="15">
        <f>IFERROR(__xludf.DUMMYFUNCTION("""COMPUTED_VALUE"""),"https://twitter.com/ETSGlobal")</f>
        <v/>
      </c>
      <c r="T855" s="15">
        <f>IFERROR(__xludf.DUMMYFUNCTION("""COMPUTED_VALUE"""),"https://fr.linkedin.com/company/ets-global")</f>
        <v/>
      </c>
      <c r="U855" s="1">
        <f>IFERROR(__xludf.DUMMYFUNCTION("""COMPUTED_VALUE"""),"the TOEIC® Tests")</f>
        <v/>
      </c>
      <c r="V855" s="1">
        <f>IFERROR(__xludf.DUMMYFUNCTION("""COMPUTED_VALUE"""),"With more than 40 years as an industry leader, the TOEIC programme has set the standard for assessing English-language communication skills needed in the workplace. The TOEIC tests are the most widely used around the world. Over 14 000 organisations acros"&amp;"s more than 160 countries, trust TOEIC scores to inform the decisions that matter. The TOEIC assessment portfolio measures all 4 language skills for a comprehensive understanding of English-language proficiency. Accurate, reliable and comparable scores ca"&amp;"n help organisations evaluate individuals with the English language skills needed to succeed in the global workplace.")</f>
        <v/>
      </c>
      <c r="W855" s="1">
        <f>IFERROR(__xludf.DUMMYFUNCTION("""COMPUTED_VALUE"""),"the TOEFL® Family of Assessments")</f>
        <v/>
      </c>
      <c r="X855" s="1">
        <f>IFERROR(__xludf.DUMMYFUNCTION("""COMPUTED_VALUE"""),"Wherever students want to study, the TOEFL® test can help them get there. The TOEFL® Family of Assessments provides trusted and valuable information about students’ English proficiency to help guide decisions that can have a long-term impact on students’ "&amp;"language learning ability and even their academic future. Each TOEFL® test is based on a specific range of English proficiency and academic levels to ensure the information you get back is meaningful and useful. Whether for admissions or for programme pla"&amp;"cement, advancement or exiting, or monitoring progress, the TOEFL® Family of Assessments provide the information you need to help you make confident decisions.")</f>
        <v/>
      </c>
      <c r="Y855" s="15">
        <f>IFERROR(__xludf.DUMMYFUNCTION("""COMPUTED_VALUE"""),"https://drive.google.com/uc?export=view&amp;id=18GM1R_idr4ybNaNOmn5WWE6jKVrKgi6-")</f>
        <v/>
      </c>
      <c r="Z855" s="1">
        <f>IFERROR(__xludf.DUMMYFUNCTION("""COMPUTED_VALUE"""),"Unverified")</f>
        <v/>
      </c>
      <c r="AA855" s="1" t="n"/>
      <c r="AB855" s="1" t="n"/>
      <c r="AC855" s="1" t="n"/>
      <c r="AD855" s="1" t="n"/>
      <c r="AE855" s="1" t="n"/>
    </row>
    <row r="856" ht="42" customHeight="1">
      <c r="A856" s="14">
        <f>IFERROR(__xludf.DUMMYFUNCTION("""COMPUTED_VALUE"""),45181)</f>
        <v/>
      </c>
      <c r="B856" s="1">
        <f>IFERROR(__xludf.DUMMYFUNCTION("""COMPUTED_VALUE"""),"ORG_1734")</f>
        <v/>
      </c>
      <c r="C856" s="1">
        <f>IFERROR(__xludf.DUMMYFUNCTION("""COMPUTED_VALUE"""),TRUE)</f>
        <v/>
      </c>
      <c r="D856" s="1">
        <f>IFERROR(__xludf.DUMMYFUNCTION("""COMPUTED_VALUE"""),"Intrepid-stars")</f>
        <v/>
      </c>
      <c r="E856" s="15">
        <f>IFERROR(__xludf.DUMMYFUNCTION("""COMPUTED_VALUE"""),"https://www.intrepid-stars.club/")</f>
        <v/>
      </c>
      <c r="F856" s="1">
        <f>IFERROR(__xludf.DUMMYFUNCTION("""COMPUTED_VALUE"""),"We empower teenagers through education about RISK LITERACY, simply by leveraging the prevention behaviour as a method to decrease (de)risk and avoid perils. The prevention behaviour might be rewarded - incentivized with a ""social token"" or earn NFTs as "&amp;"loyalty for achieving RISK LITERACY – during the path of education &amp; achievement of certain prevention habits.
For each type of RISK, teenagers get enrolment and assignments for prevention behaviour that decrease risk (perils).
Achieved prevention will "&amp;"define a scoring - track of teenagers' path to decrease risk (perils).
Game Avatar LIFE PREVENTION
@Discord we present an insurance innovation💡, that is Life PREVENTION #coverage for Game Avatars🥼👔👘👙👜👠👑 {skin}")</f>
        <v/>
      </c>
      <c r="G856" s="1">
        <f>IFERROR(__xludf.DUMMYFUNCTION("""COMPUTED_VALUE"""),"I'm not part of any EdTech association")</f>
        <v/>
      </c>
      <c r="H856" s="1" t="n"/>
      <c r="I856" s="1">
        <f>IFERROR(__xludf.DUMMYFUNCTION("""COMPUTED_VALUE"""),"fearlessparenthood@gmail.com")</f>
        <v/>
      </c>
      <c r="J856" s="1">
        <f>IFERROR(__xludf.DUMMYFUNCTION("""COMPUTED_VALUE"""),"+386 31609873")</f>
        <v/>
      </c>
      <c r="K856" s="1">
        <f>IFERROR(__xludf.DUMMYFUNCTION("""COMPUTED_VALUE"""),"Ljubljana")</f>
        <v/>
      </c>
      <c r="L856" s="1">
        <f>IFERROR(__xludf.DUMMYFUNCTION("""COMPUTED_VALUE"""),"Slovenia")</f>
        <v/>
      </c>
      <c r="M856" s="1">
        <f>IFERROR(__xludf.DUMMYFUNCTION("""COMPUTED_VALUE"""),"Austria, Germany, Italy, Liechtenstein, Luxembourg, San Marino, Switzerland, United Kingdom")</f>
        <v/>
      </c>
      <c r="N856" s="1">
        <f>IFERROR(__xludf.DUMMYFUNCTION("""COMPUTED_VALUE"""),"0 to 10")</f>
        <v/>
      </c>
      <c r="O856" s="1">
        <f>IFERROR(__xludf.DUMMYFUNCTION("""COMPUTED_VALUE"""),"Business to Business, Business to Consumer, Business to Schools")</f>
        <v/>
      </c>
      <c r="P856" s="1">
        <f>IFERROR(__xludf.DUMMYFUNCTION("""COMPUTED_VALUE"""),"Primary Education, Secondary Education, Corporate Training, Lifelong learning/Adult education")</f>
        <v/>
      </c>
      <c r="Q856" s="1">
        <f>IFERROR(__xludf.DUMMYFUNCTION("""COMPUTED_VALUE"""),"System/Administrative, Student interfacing, Teacher interfacing")</f>
        <v/>
      </c>
      <c r="R856" s="1" t="n"/>
      <c r="S856" s="1" t="n"/>
      <c r="T856" s="1" t="n"/>
      <c r="U856" s="1" t="n"/>
      <c r="V856" s="1" t="n"/>
      <c r="W856" s="1" t="n"/>
      <c r="X856" s="1" t="n"/>
      <c r="Y856" s="15">
        <f>IFERROR(__xludf.DUMMYFUNCTION("""COMPUTED_VALUE"""),"https://drive.google.com/uc?export=view&amp;id=1Mw8diKUFkYVJ33WWDPU1J5AM7Q9fRVXB")</f>
        <v/>
      </c>
      <c r="Z856" s="1">
        <f>IFERROR(__xludf.DUMMYFUNCTION("""COMPUTED_VALUE"""),"Unverified")</f>
        <v/>
      </c>
      <c r="AA856" s="1" t="n"/>
      <c r="AB856" s="1" t="n"/>
      <c r="AC856" s="1" t="n"/>
      <c r="AD856" s="1" t="n"/>
      <c r="AE856" s="1" t="n"/>
    </row>
    <row r="857" ht="42" customHeight="1">
      <c r="A857" s="14">
        <f>IFERROR(__xludf.DUMMYFUNCTION("""COMPUTED_VALUE"""),45181)</f>
        <v/>
      </c>
      <c r="B857" s="1">
        <f>IFERROR(__xludf.DUMMYFUNCTION("""COMPUTED_VALUE"""),"ORG_1837")</f>
        <v/>
      </c>
      <c r="C857" s="1">
        <f>IFERROR(__xludf.DUMMYFUNCTION("""COMPUTED_VALUE"""),TRUE)</f>
        <v/>
      </c>
      <c r="D857" s="1">
        <f>IFERROR(__xludf.DUMMYFUNCTION("""COMPUTED_VALUE"""),"LearningTour")</f>
        <v/>
      </c>
      <c r="E857" s="15">
        <f>IFERROR(__xludf.DUMMYFUNCTION("""COMPUTED_VALUE"""),"www.learningtour.nl")</f>
        <v/>
      </c>
      <c r="F857" s="1">
        <f>IFERROR(__xludf.DUMMYFUNCTION("""COMPUTED_VALUE"""),"LearningTour is a developer of niche tool to support learning &amp; performance.
AI for Learning: training, support and tools
Check &amp; Learn tool:
Smart checklists combined with microlearning. 
Log2learn tool:
Tool for collecting &amp; analyzing learning data.")</f>
        <v/>
      </c>
      <c r="G857" s="1">
        <f>IFERROR(__xludf.DUMMYFUNCTION("""COMPUTED_VALUE"""),"I'm not part of any EdTech association")</f>
        <v/>
      </c>
      <c r="H857" s="1">
        <f>IFERROR(__xludf.DUMMYFUNCTION("""COMPUTED_VALUE"""),"Dutch, English, German")</f>
        <v/>
      </c>
      <c r="I857" s="1">
        <f>IFERROR(__xludf.DUMMYFUNCTION("""COMPUTED_VALUE"""),"serge@learningtour.nl")</f>
        <v/>
      </c>
      <c r="J857" s="1">
        <f>IFERROR(__xludf.DUMMYFUNCTION("""COMPUTED_VALUE"""),"31641867460")</f>
        <v/>
      </c>
      <c r="K857" s="1">
        <f>IFERROR(__xludf.DUMMYFUNCTION("""COMPUTED_VALUE"""),"WESTERVOORT")</f>
        <v/>
      </c>
      <c r="L857" s="1">
        <f>IFERROR(__xludf.DUMMYFUNCTION("""COMPUTED_VALUE"""),"The Netherlands")</f>
        <v/>
      </c>
      <c r="M857" s="1">
        <f>IFERROR(__xludf.DUMMYFUNCTION("""COMPUTED_VALUE"""),"Belgium, Germany, Netherlands")</f>
        <v/>
      </c>
      <c r="N857" s="1">
        <f>IFERROR(__xludf.DUMMYFUNCTION("""COMPUTED_VALUE"""),"0 to 2")</f>
        <v/>
      </c>
      <c r="O857" s="1">
        <f>IFERROR(__xludf.DUMMYFUNCTION("""COMPUTED_VALUE"""),"Business to Business, Business to Government, Business to Schools")</f>
        <v/>
      </c>
      <c r="P857" s="1">
        <f>IFERROR(__xludf.DUMMYFUNCTION("""COMPUTED_VALUE"""),"Primary Education, Secondary Education, Corporate Training, Lifelong learning/Adult education, Vocational Education and Training (VET)")</f>
        <v/>
      </c>
      <c r="Q857" s="1">
        <f>IFERROR(__xludf.DUMMYFUNCTION("""COMPUTED_VALUE"""),"Student interfacing, Teacher interfacing, System/Administrative")</f>
        <v/>
      </c>
      <c r="R857" s="1" t="n"/>
      <c r="S857" s="1" t="n"/>
      <c r="T857" s="15">
        <f>IFERROR(__xludf.DUMMYFUNCTION("""COMPUTED_VALUE"""),"https://www.linkedin.com/company/learningtour")</f>
        <v/>
      </c>
      <c r="U857" s="1">
        <f>IFERROR(__xludf.DUMMYFUNCTION("""COMPUTED_VALUE"""),"AI for Learning")</f>
        <v/>
      </c>
      <c r="V857" s="1">
        <f>IFERROR(__xludf.DUMMYFUNCTION("""COMPUTED_VALUE"""),"Training, support and tools for practical AI in education and L&amp;D")</f>
        <v/>
      </c>
      <c r="W857" s="1" t="n"/>
      <c r="X857" s="1" t="n"/>
      <c r="Y857" s="15">
        <f>IFERROR(__xludf.DUMMYFUNCTION("""COMPUTED_VALUE"""),"https://drive.google.com/uc?export=view&amp;id=1TsDz-8LIchFQs71vbcFg_tanRPwU06q1")</f>
        <v/>
      </c>
      <c r="Z857" s="1">
        <f>IFERROR(__xludf.DUMMYFUNCTION("""COMPUTED_VALUE"""),"Unverified")</f>
        <v/>
      </c>
      <c r="AA857" s="1" t="n"/>
      <c r="AB857" s="1" t="n"/>
      <c r="AC857" s="1" t="n"/>
      <c r="AD857" s="1" t="n"/>
      <c r="AE857" s="1" t="n"/>
    </row>
    <row r="858" ht="42" customHeight="1">
      <c r="A858" s="14">
        <f>IFERROR(__xludf.DUMMYFUNCTION("""COMPUTED_VALUE"""),45181)</f>
        <v/>
      </c>
      <c r="B858" s="1">
        <f>IFERROR(__xludf.DUMMYFUNCTION("""COMPUTED_VALUE"""),"ORG_1195")</f>
        <v/>
      </c>
      <c r="C858" s="1">
        <f>IFERROR(__xludf.DUMMYFUNCTION("""COMPUTED_VALUE"""),TRUE)</f>
        <v/>
      </c>
      <c r="D858" s="1">
        <f>IFERROR(__xludf.DUMMYFUNCTION("""COMPUTED_VALUE"""),"Brainix")</f>
        <v/>
      </c>
      <c r="E858" s="15">
        <f>IFERROR(__xludf.DUMMYFUNCTION("""COMPUTED_VALUE"""),"www.brainix.org")</f>
        <v/>
      </c>
      <c r="F858" s="1">
        <f>IFERROR(__xludf.DUMMYFUNCTION("""COMPUTED_VALUE"""),"Brainix is a holistic learning software for schools in Bavaria, Germany. It is a WebApp and can therefore be accessed via the browser on tablets, laptops and PCs.
At the moment we cover Gymnasium 6th grade Math and English and are developing more curricul"&amp;"a.")</f>
        <v/>
      </c>
      <c r="G858" s="1">
        <f>IFERROR(__xludf.DUMMYFUNCTION("""COMPUTED_VALUE"""),"I'm not part of any EdTech association")</f>
        <v/>
      </c>
      <c r="H858" s="1" t="n"/>
      <c r="I858" s="1">
        <f>IFERROR(__xludf.DUMMYFUNCTION("""COMPUTED_VALUE"""),"info@brainix.org")</f>
        <v/>
      </c>
      <c r="J858" s="1">
        <f>IFERROR(__xludf.DUMMYFUNCTION("""COMPUTED_VALUE"""),"+498219861133")</f>
        <v/>
      </c>
      <c r="K858" s="1">
        <f>IFERROR(__xludf.DUMMYFUNCTION("""COMPUTED_VALUE"""),"GERMERING")</f>
        <v/>
      </c>
      <c r="L858" s="1">
        <f>IFERROR(__xludf.DUMMYFUNCTION("""COMPUTED_VALUE"""),"Germany")</f>
        <v/>
      </c>
      <c r="M858" s="1">
        <f>IFERROR(__xludf.DUMMYFUNCTION("""COMPUTED_VALUE"""),"Germany")</f>
        <v/>
      </c>
      <c r="N858" s="1">
        <f>IFERROR(__xludf.DUMMYFUNCTION("""COMPUTED_VALUE"""),"0 to 2")</f>
        <v/>
      </c>
      <c r="O858" s="1">
        <f>IFERROR(__xludf.DUMMYFUNCTION("""COMPUTED_VALUE"""),"Business to Business, Business to Consumer, Business to Schools")</f>
        <v/>
      </c>
      <c r="P858" s="1">
        <f>IFERROR(__xludf.DUMMYFUNCTION("""COMPUTED_VALUE"""),"Secondary Education")</f>
        <v/>
      </c>
      <c r="Q858" s="1">
        <f>IFERROR(__xludf.DUMMYFUNCTION("""COMPUTED_VALUE"""),"System/Administrative, Teacher interfacing")</f>
        <v/>
      </c>
      <c r="R858" s="1" t="n"/>
      <c r="S858" s="1" t="n"/>
      <c r="T858" s="1" t="n"/>
      <c r="U858" s="1" t="n"/>
      <c r="V858" s="1" t="n"/>
      <c r="W858" s="1" t="n"/>
      <c r="X858" s="1" t="n"/>
      <c r="Y858" s="15">
        <f>IFERROR(__xludf.DUMMYFUNCTION("""COMPUTED_VALUE"""),"https://drive.google.com/uc?export=view&amp;id=1vkhIfbLJO8zK4C-O9jo3nalaFb-1dIsL")</f>
        <v/>
      </c>
      <c r="Z858" s="1">
        <f>IFERROR(__xludf.DUMMYFUNCTION("""COMPUTED_VALUE"""),"Unverified")</f>
        <v/>
      </c>
      <c r="AA858" s="1" t="n"/>
      <c r="AB858" s="1" t="n"/>
      <c r="AC858" s="1" t="n"/>
      <c r="AD858" s="1" t="n"/>
      <c r="AE858" s="1" t="n"/>
    </row>
    <row r="859" ht="42" customHeight="1">
      <c r="A859" s="14">
        <f>IFERROR(__xludf.DUMMYFUNCTION("""COMPUTED_VALUE"""),45181)</f>
        <v/>
      </c>
      <c r="B859" s="1">
        <f>IFERROR(__xludf.DUMMYFUNCTION("""COMPUTED_VALUE"""),"ORG_1601")</f>
        <v/>
      </c>
      <c r="C859" s="1">
        <f>IFERROR(__xludf.DUMMYFUNCTION("""COMPUTED_VALUE"""),TRUE)</f>
        <v/>
      </c>
      <c r="D859" s="1">
        <f>IFERROR(__xludf.DUMMYFUNCTION("""COMPUTED_VALUE"""),"Fuzu Ltd")</f>
        <v/>
      </c>
      <c r="E859" s="15">
        <f>IFERROR(__xludf.DUMMYFUNCTION("""COMPUTED_VALUE"""),"www.fuzu.com")</f>
        <v/>
      </c>
      <c r="F859" s="1">
        <f>IFERROR(__xludf.DUMMYFUNCTION("""COMPUTED_VALUE"""),"Fuzu Limited specializes in career development, recruitment and learning solutions for emerging market organizations and end-users. Fuzu solution caters to both blue-and white-collar talent and helps SME’s, multinational companies and non-profit organizat"&amp;"ions in identifying and developing talent. Fuzu’s ambition is to become the go-to platform for the emerging market talent and a place to dream, grow and be found.
Fuzu was launched in Kenya in 2015 and has since then been used by more than 14 million use"&amp;"rs in East Africa. Fuzu has supported more than 1,500 employers across the region in finding talent that matches their needs. The employer partners range from small SME's to multinationals who use Fuzu's talent automation solution for finding better talen"&amp;"t faster. In late 2021, Fuzu expanded to Africa's largest economy Nigeria and will continue growing across the continent over the coming 3-5 years.")</f>
        <v/>
      </c>
      <c r="G859" s="1">
        <f>IFERROR(__xludf.DUMMYFUNCTION("""COMPUTED_VALUE"""),"EdTech Finland")</f>
        <v/>
      </c>
      <c r="H859" s="1" t="n"/>
      <c r="I859" s="1">
        <f>IFERROR(__xludf.DUMMYFUNCTION("""COMPUTED_VALUE"""),"info@fuzu.com")</f>
        <v/>
      </c>
      <c r="J859" s="1">
        <f>IFERROR(__xludf.DUMMYFUNCTION("""COMPUTED_VALUE"""),"+358407674008")</f>
        <v/>
      </c>
      <c r="K859" s="1">
        <f>IFERROR(__xludf.DUMMYFUNCTION("""COMPUTED_VALUE"""),"Helsinki")</f>
        <v/>
      </c>
      <c r="L859" s="1">
        <f>IFERROR(__xludf.DUMMYFUNCTION("""COMPUTED_VALUE"""),"Finland")</f>
        <v/>
      </c>
      <c r="M859" s="1">
        <f>IFERROR(__xludf.DUMMYFUNCTION("""COMPUTED_VALUE"""),"Finland, United Kingdom")</f>
        <v/>
      </c>
      <c r="N859" s="1">
        <f>IFERROR(__xludf.DUMMYFUNCTION("""COMPUTED_VALUE"""),"51 to 100")</f>
        <v/>
      </c>
      <c r="O859" s="1">
        <f>IFERROR(__xludf.DUMMYFUNCTION("""COMPUTED_VALUE"""),"Business to Consumer")</f>
        <v/>
      </c>
      <c r="P859" s="1">
        <f>IFERROR(__xludf.DUMMYFUNCTION("""COMPUTED_VALUE"""),"Higher Education, Corporate Training, Lifelong learning/Adult education")</f>
        <v/>
      </c>
      <c r="Q859" s="1">
        <f>IFERROR(__xludf.DUMMYFUNCTION("""COMPUTED_VALUE"""),"Student interfacing, System/Administrative")</f>
        <v/>
      </c>
      <c r="R859" s="15">
        <f>IFERROR(__xludf.DUMMYFUNCTION("""COMPUTED_VALUE"""),"https://www.instagram.com/fuzukenya/")</f>
        <v/>
      </c>
      <c r="S859" s="15">
        <f>IFERROR(__xludf.DUMMYFUNCTION("""COMPUTED_VALUE"""),"https://twitter.com/fuzukenya")</f>
        <v/>
      </c>
      <c r="T859" s="15">
        <f>IFERROR(__xludf.DUMMYFUNCTION("""COMPUTED_VALUE"""),"https://www.linkedin.com/company/5007486/admin/")</f>
        <v/>
      </c>
      <c r="U859" s="1">
        <f>IFERROR(__xludf.DUMMYFUNCTION("""COMPUTED_VALUE"""),"Fuzu Career Builder")</f>
        <v/>
      </c>
      <c r="V859" s="1">
        <f>IFERROR(__xludf.DUMMYFUNCTION("""COMPUTED_VALUE"""),"Career builder solution supports Fuzu end users in finding employment opportunities that match their skills and interests and provides access to a wide range of career development services, from online learning to talent testing and coaching.")</f>
        <v/>
      </c>
      <c r="W859" s="1">
        <f>IFERROR(__xludf.DUMMYFUNCTION("""COMPUTED_VALUE"""),"Fuzu Employer")</f>
        <v/>
      </c>
      <c r="X859" s="1">
        <f>IFERROR(__xludf.DUMMYFUNCTION("""COMPUTED_VALUE"""),"Employer solution helps employers in finding better talent faster by provide employers with an end-to-end solution for reaching out the right candidates and for analyzing, testing and validating talent.")</f>
        <v/>
      </c>
      <c r="Y859" s="15">
        <f>IFERROR(__xludf.DUMMYFUNCTION("""COMPUTED_VALUE"""),"https://drive.google.com/uc?export=view&amp;id=1YopbASnpX36MiOheo8pUbw3_nIp8DMjI")</f>
        <v/>
      </c>
      <c r="Z859" s="1">
        <f>IFERROR(__xludf.DUMMYFUNCTION("""COMPUTED_VALUE"""),"Unverified")</f>
        <v/>
      </c>
      <c r="AA859" s="1" t="n"/>
      <c r="AB859" s="1" t="n"/>
      <c r="AC859" s="1" t="n"/>
      <c r="AD859" s="1" t="n"/>
      <c r="AE859" s="1" t="n"/>
    </row>
    <row r="860" ht="42" customHeight="1">
      <c r="A860" s="14">
        <f>IFERROR(__xludf.DUMMYFUNCTION("""COMPUTED_VALUE"""),45181)</f>
        <v/>
      </c>
      <c r="B860" s="1">
        <f>IFERROR(__xludf.DUMMYFUNCTION("""COMPUTED_VALUE"""),"ORG_1660")</f>
        <v/>
      </c>
      <c r="C860" s="1">
        <f>IFERROR(__xludf.DUMMYFUNCTION("""COMPUTED_VALUE"""),TRUE)</f>
        <v/>
      </c>
      <c r="D860" s="1">
        <f>IFERROR(__xludf.DUMMYFUNCTION("""COMPUTED_VALUE"""),"Hackworth")</f>
        <v/>
      </c>
      <c r="E860" s="15">
        <f>IFERROR(__xludf.DUMMYFUNCTION("""COMPUTED_VALUE"""),"https://www.hackworthltd.uk/")</f>
        <v/>
      </c>
      <c r="F860" s="1">
        <f>IFERROR(__xludf.DUMMYFUNCTION("""COMPUTED_VALUE"""),"We're developing software that'll make functional programming more accessible and relevant to students and young adults, optimised for pedagogy - not professionals.")</f>
        <v/>
      </c>
      <c r="G860" s="1">
        <f>IFERROR(__xludf.DUMMYFUNCTION("""COMPUTED_VALUE"""),"I'm not part of any EdTech association")</f>
        <v/>
      </c>
      <c r="H860" s="1" t="n"/>
      <c r="I860" s="1">
        <f>IFERROR(__xludf.DUMMYFUNCTION("""COMPUTED_VALUE"""),"jemima@hackworthltd.com")</f>
        <v/>
      </c>
      <c r="J860" s="1">
        <f>IFERROR(__xludf.DUMMYFUNCTION("""COMPUTED_VALUE"""),"+447432217497")</f>
        <v/>
      </c>
      <c r="K860" s="1">
        <f>IFERROR(__xludf.DUMMYFUNCTION("""COMPUTED_VALUE"""),"London")</f>
        <v/>
      </c>
      <c r="L860" s="1">
        <f>IFERROR(__xludf.DUMMYFUNCTION("""COMPUTED_VALUE"""),"United Kingdom")</f>
        <v/>
      </c>
      <c r="M860" s="1">
        <f>IFERROR(__xludf.DUMMYFUNCTION("""COMPUTED_VALUE"""),"United Kingdom")</f>
        <v/>
      </c>
      <c r="N860" s="1">
        <f>IFERROR(__xludf.DUMMYFUNCTION("""COMPUTED_VALUE"""),"0 to 10")</f>
        <v/>
      </c>
      <c r="O860" s="1">
        <f>IFERROR(__xludf.DUMMYFUNCTION("""COMPUTED_VALUE"""),"Business to Government, Business to Schools")</f>
        <v/>
      </c>
      <c r="P860" s="1">
        <f>IFERROR(__xludf.DUMMYFUNCTION("""COMPUTED_VALUE"""),"Secondary Education")</f>
        <v/>
      </c>
      <c r="Q860" s="1">
        <f>IFERROR(__xludf.DUMMYFUNCTION("""COMPUTED_VALUE"""),"Student interfacing, Teacher interfacing")</f>
        <v/>
      </c>
      <c r="R860" s="1" t="n"/>
      <c r="S860" s="1" t="n"/>
      <c r="T860" s="1" t="n"/>
      <c r="U860" s="1" t="n"/>
      <c r="V860" s="1" t="n"/>
      <c r="W860" s="1" t="n"/>
      <c r="X860" s="1" t="n"/>
      <c r="Y860" s="15">
        <f>IFERROR(__xludf.DUMMYFUNCTION("""COMPUTED_VALUE"""),"https://drive.google.com/uc?export=view&amp;id=1UF6XJB1eKv2ddV2ioGaCzgesILIZ11rF")</f>
        <v/>
      </c>
      <c r="Z860" s="1">
        <f>IFERROR(__xludf.DUMMYFUNCTION("""COMPUTED_VALUE"""),"Unverified")</f>
        <v/>
      </c>
      <c r="AA860" s="1" t="n"/>
      <c r="AB860" s="1" t="n"/>
      <c r="AC860" s="1" t="n"/>
      <c r="AD860" s="1" t="n"/>
      <c r="AE860" s="1" t="n"/>
    </row>
    <row r="861" ht="42" customHeight="1">
      <c r="A861" s="14">
        <f>IFERROR(__xludf.DUMMYFUNCTION("""COMPUTED_VALUE"""),45181)</f>
        <v/>
      </c>
      <c r="B861" s="1">
        <f>IFERROR(__xludf.DUMMYFUNCTION("""COMPUTED_VALUE"""),"ORG_2341")</f>
        <v/>
      </c>
      <c r="C861" s="1">
        <f>IFERROR(__xludf.DUMMYFUNCTION("""COMPUTED_VALUE"""),TRUE)</f>
        <v/>
      </c>
      <c r="D861" s="1">
        <f>IFERROR(__xludf.DUMMYFUNCTION("""COMPUTED_VALUE"""),"Studyflow B.V.")</f>
        <v/>
      </c>
      <c r="E861" s="15">
        <f>IFERROR(__xludf.DUMMYFUNCTION("""COMPUTED_VALUE"""),"https://studyflow.nl/")</f>
        <v/>
      </c>
      <c r="F861" s="1">
        <f>IFERROR(__xludf.DUMMYFUNCTION("""COMPUTED_VALUE"""),"Studyflow has developed several digital learning methods over the past 10 years. With these methods, Studyflow-Taal to learn the Dutch language and Logisch Rekenen to learn mathematics we serve the Dutch educational market. We also have an editor program,"&amp;" Spark Plus, which offers schools the possibility to write their own lessons.
Our strength is to listen to our customers in order to keep improving our methods as well as the platform on which we offer them.
We believe that with personal attention you c"&amp;"an get the best from both student and teacher.")</f>
        <v/>
      </c>
      <c r="G861" s="1">
        <f>IFERROR(__xludf.DUMMYFUNCTION("""COMPUTED_VALUE"""),"I'm not part of any EdTech association")</f>
        <v/>
      </c>
      <c r="H861" s="1" t="n"/>
      <c r="I861" s="1">
        <f>IFERROR(__xludf.DUMMYFUNCTION("""COMPUTED_VALUE"""),"support@studyflow.nl")</f>
        <v/>
      </c>
      <c r="J861" s="1">
        <f>IFERROR(__xludf.DUMMYFUNCTION("""COMPUTED_VALUE"""),"+31 20 261 18 99")</f>
        <v/>
      </c>
      <c r="K861" s="1">
        <f>IFERROR(__xludf.DUMMYFUNCTION("""COMPUTED_VALUE"""),"AMSTERDAM")</f>
        <v/>
      </c>
      <c r="L861" s="1">
        <f>IFERROR(__xludf.DUMMYFUNCTION("""COMPUTED_VALUE"""),"The Netherlands")</f>
        <v/>
      </c>
      <c r="M861" s="1">
        <f>IFERROR(__xludf.DUMMYFUNCTION("""COMPUTED_VALUE"""),"Belgium, Netherlands")</f>
        <v/>
      </c>
      <c r="N861" s="1">
        <f>IFERROR(__xludf.DUMMYFUNCTION("""COMPUTED_VALUE"""),"0 to 10")</f>
        <v/>
      </c>
      <c r="O861" s="1">
        <f>IFERROR(__xludf.DUMMYFUNCTION("""COMPUTED_VALUE"""),"Business to Schools")</f>
        <v/>
      </c>
      <c r="P861" s="1">
        <f>IFERROR(__xludf.DUMMYFUNCTION("""COMPUTED_VALUE"""),"Secondary Education")</f>
        <v/>
      </c>
      <c r="Q861" s="1">
        <f>IFERROR(__xludf.DUMMYFUNCTION("""COMPUTED_VALUE"""),"Teacher interfacing, System/Administrative")</f>
        <v/>
      </c>
      <c r="R861" s="1" t="n"/>
      <c r="S861" s="1" t="n"/>
      <c r="T861" s="1" t="n"/>
      <c r="U861" s="1" t="n"/>
      <c r="V861" s="1" t="n"/>
      <c r="W861" s="1" t="n"/>
      <c r="X861" s="1" t="n"/>
      <c r="Y861" s="15">
        <f>IFERROR(__xludf.DUMMYFUNCTION("""COMPUTED_VALUE"""),"https://drive.google.com/uc?export=view&amp;id=1Jap9sCQQreLhMgsDrM9zbr11yG4yvJDC")</f>
        <v/>
      </c>
      <c r="Z861" s="1">
        <f>IFERROR(__xludf.DUMMYFUNCTION("""COMPUTED_VALUE"""),"Unverified")</f>
        <v/>
      </c>
      <c r="AA861" s="1" t="n"/>
      <c r="AB861" s="1" t="n"/>
      <c r="AC861" s="1" t="n"/>
      <c r="AD861" s="1" t="n"/>
      <c r="AE861" s="1" t="n"/>
    </row>
    <row r="862" ht="42" customHeight="1">
      <c r="A862" s="14">
        <f>IFERROR(__xludf.DUMMYFUNCTION("""COMPUTED_VALUE"""),45181)</f>
        <v/>
      </c>
      <c r="B862" s="1">
        <f>IFERROR(__xludf.DUMMYFUNCTION("""COMPUTED_VALUE"""),"ORG_2413")</f>
        <v/>
      </c>
      <c r="C862" s="1">
        <f>IFERROR(__xludf.DUMMYFUNCTION("""COMPUTED_VALUE"""),TRUE)</f>
        <v/>
      </c>
      <c r="D862" s="1">
        <f>IFERROR(__xludf.DUMMYFUNCTION("""COMPUTED_VALUE"""),"TinQwise")</f>
        <v/>
      </c>
      <c r="E862" s="15">
        <f>IFERROR(__xludf.DUMMYFUNCTION("""COMPUTED_VALUE"""),"www.tinqwise.com")</f>
        <v/>
      </c>
      <c r="F862" s="1">
        <f>IFERROR(__xludf.DUMMYFUNCTION("""COMPUTED_VALUE"""),"Growth ambitions? Make sure your people are ready to rock! We help scaleups with happy onboarding and setting up their own academy. So that every colleague knows what to do and can contribute to the dream. 
With our data-driven Learning eXperience Platfo"&amp;"rm, personal learning programmes and creative content. Train all your employees, with just a small HR team. Small team, big party!")</f>
        <v/>
      </c>
      <c r="G862" s="1">
        <f>IFERROR(__xludf.DUMMYFUNCTION("""COMPUTED_VALUE"""),"I'm not part of any EdTech association")</f>
        <v/>
      </c>
      <c r="H862" s="1" t="n"/>
      <c r="I862" s="1">
        <f>IFERROR(__xludf.DUMMYFUNCTION("""COMPUTED_VALUE"""),"joost.uitdewilligen@tinqwise.com")</f>
        <v/>
      </c>
      <c r="J862" s="1">
        <f>IFERROR(__xludf.DUMMYFUNCTION("""COMPUTED_VALUE"""),"+31355385656")</f>
        <v/>
      </c>
      <c r="K862" s="1">
        <f>IFERROR(__xludf.DUMMYFUNCTION("""COMPUTED_VALUE"""),"HILVERSUM")</f>
        <v/>
      </c>
      <c r="L862" s="1">
        <f>IFERROR(__xludf.DUMMYFUNCTION("""COMPUTED_VALUE"""),"The Netherlands")</f>
        <v/>
      </c>
      <c r="M862" s="1">
        <f>IFERROR(__xludf.DUMMYFUNCTION("""COMPUTED_VALUE"""),"Belgium, Denmark, Germany, Netherlands")</f>
        <v/>
      </c>
      <c r="N862" s="1">
        <f>IFERROR(__xludf.DUMMYFUNCTION("""COMPUTED_VALUE"""),"51 to 100")</f>
        <v/>
      </c>
      <c r="O862" s="1">
        <f>IFERROR(__xludf.DUMMYFUNCTION("""COMPUTED_VALUE"""),"Business to Schools")</f>
        <v/>
      </c>
      <c r="P862" s="1">
        <f>IFERROR(__xludf.DUMMYFUNCTION("""COMPUTED_VALUE"""),"Corporate Training")</f>
        <v/>
      </c>
      <c r="Q862" s="1">
        <f>IFERROR(__xludf.DUMMYFUNCTION("""COMPUTED_VALUE"""),"System/Administrative")</f>
        <v/>
      </c>
      <c r="R862" s="1" t="n"/>
      <c r="S862" s="1" t="n"/>
      <c r="T862" s="1" t="n"/>
      <c r="U862" s="1" t="n"/>
      <c r="V862" s="1" t="n"/>
      <c r="W862" s="1" t="n"/>
      <c r="X862" s="1" t="n"/>
      <c r="Y862" s="15">
        <f>IFERROR(__xludf.DUMMYFUNCTION("""COMPUTED_VALUE"""),"https://drive.google.com/uc?export=view&amp;id=1dXdhCEfUM0FGhnoYSUIT1H7-1d0-CWMa")</f>
        <v/>
      </c>
      <c r="Z862" s="1">
        <f>IFERROR(__xludf.DUMMYFUNCTION("""COMPUTED_VALUE"""),"Unverified")</f>
        <v/>
      </c>
      <c r="AA862" s="1" t="n"/>
      <c r="AB862" s="1" t="n"/>
      <c r="AC862" s="1" t="n"/>
      <c r="AD862" s="1" t="n"/>
      <c r="AE862" s="1" t="n"/>
    </row>
    <row r="863" ht="42" customHeight="1">
      <c r="A863" s="14">
        <f>IFERROR(__xludf.DUMMYFUNCTION("""COMPUTED_VALUE"""),45181)</f>
        <v/>
      </c>
      <c r="B863" s="1">
        <f>IFERROR(__xludf.DUMMYFUNCTION("""COMPUTED_VALUE"""),"ORG_1206")</f>
        <v/>
      </c>
      <c r="C863" s="1">
        <f>IFERROR(__xludf.DUMMYFUNCTION("""COMPUTED_VALUE"""),TRUE)</f>
        <v/>
      </c>
      <c r="D863" s="1">
        <f>IFERROR(__xludf.DUMMYFUNCTION("""COMPUTED_VALUE"""),"C Learning Limited")</f>
        <v/>
      </c>
      <c r="E863" s="15">
        <f>IFERROR(__xludf.DUMMYFUNCTION("""COMPUTED_VALUE"""),"www.c-learning.net")</f>
        <v/>
      </c>
      <c r="F863" s="1">
        <f>IFERROR(__xludf.DUMMYFUNCTION("""COMPUTED_VALUE"""),"Cloud technology and AI specialists and a leading Google Partner serving several thousand clients in over 30 countries globally, providing hardware, software, consultancy and training.")</f>
        <v/>
      </c>
      <c r="G863" s="1">
        <f>IFERROR(__xludf.DUMMYFUNCTION("""COMPUTED_VALUE"""),"I'm not part of any EdTech association")</f>
        <v/>
      </c>
      <c r="H863" s="1" t="n"/>
      <c r="I863" s="1">
        <f>IFERROR(__xludf.DUMMYFUNCTION("""COMPUTED_VALUE"""),"Connect@c-learning.net")</f>
        <v/>
      </c>
      <c r="J863" s="1">
        <f>IFERROR(__xludf.DUMMYFUNCTION("""COMPUTED_VALUE"""),"01225 863218")</f>
        <v/>
      </c>
      <c r="K863" s="1">
        <f>IFERROR(__xludf.DUMMYFUNCTION("""COMPUTED_VALUE"""),"BRADFORD ON AVON")</f>
        <v/>
      </c>
      <c r="L863" s="1">
        <f>IFERROR(__xludf.DUMMYFUNCTION("""COMPUTED_VALUE"""),"United Kingdom")</f>
        <v/>
      </c>
      <c r="M863" s="1">
        <f>IFERROR(__xludf.DUMMYFUNCTION("""COMPUTED_VALUE"""),"Austria, Azerbaijan, Belgium, Bulgaria, Croatia, Denmark, Estonia, Finland, France, Germany, Ireland, Italy, Kazakhstan, Latvia, Liechtenstein, Lithuania, Luxembourg, Malta, Moldova, Monaco, Netherlands, Norway, Poland, Russia, Serbia, Spain, Sweden, Swit"&amp;"zerland, Ukraine, United Kingdom")</f>
        <v/>
      </c>
      <c r="N863" s="1">
        <f>IFERROR(__xludf.DUMMYFUNCTION("""COMPUTED_VALUE"""),"11 to 50")</f>
        <v/>
      </c>
      <c r="O863" s="1">
        <f>IFERROR(__xludf.DUMMYFUNCTION("""COMPUTED_VALUE"""),"Business to Business, Business to Consumer, Business to Government, Business to Schools")</f>
        <v/>
      </c>
      <c r="P863" s="1">
        <f>IFERROR(__xludf.DUMMYFUNCTION("""COMPUTED_VALUE"""),"Early childhood development (0-5 years), Primary Education, Secondary Education, Corporate Training, Lifelong learning/Adult education, Vocational Education and Training (VET), Higher Education")</f>
        <v/>
      </c>
      <c r="Q863" s="1">
        <f>IFERROR(__xludf.DUMMYFUNCTION("""COMPUTED_VALUE"""),"Teacher interfacing, System/Administrative")</f>
        <v/>
      </c>
      <c r="R863" s="1" t="n"/>
      <c r="S863" s="1">
        <f>IFERROR(__xludf.DUMMYFUNCTION("""COMPUTED_VALUE"""),"@C_learning_net")</f>
        <v/>
      </c>
      <c r="T863" s="15">
        <f>IFERROR(__xludf.DUMMYFUNCTION("""COMPUTED_VALUE"""),"https://www.linkedin.com/company/18752801")</f>
        <v/>
      </c>
      <c r="U863" s="1">
        <f>IFERROR(__xludf.DUMMYFUNCTION("""COMPUTED_VALUE"""),"Google Cloud")</f>
        <v/>
      </c>
      <c r="V863" s="1">
        <f>IFERROR(__xludf.DUMMYFUNCTION("""COMPUTED_VALUE"""),"Provision of the Google Cloud Platform (GCP).")</f>
        <v/>
      </c>
      <c r="W863" s="1">
        <f>IFERROR(__xludf.DUMMYFUNCTION("""COMPUTED_VALUE"""),"Google Workspace")</f>
        <v/>
      </c>
      <c r="X863" s="1">
        <f>IFERROR(__xludf.DUMMYFUNCTION("""COMPUTED_VALUE"""),"Google Workspace is the leading productivity suite from Google supporting more than 200 million educators and over 6 million leading companies.")</f>
        <v/>
      </c>
      <c r="Y863" s="15">
        <f>IFERROR(__xludf.DUMMYFUNCTION("""COMPUTED_VALUE"""),"https://drive.google.com/uc?export=view&amp;id=1ZSQl1WN1mPJB9s3Wb3N0WRe1fFoOp4dh")</f>
        <v/>
      </c>
      <c r="Z863" s="1">
        <f>IFERROR(__xludf.DUMMYFUNCTION("""COMPUTED_VALUE"""),"Unverified")</f>
        <v/>
      </c>
      <c r="AA863" s="1" t="n"/>
      <c r="AB863" s="1" t="n"/>
      <c r="AC863" s="1" t="n"/>
      <c r="AD863" s="1" t="n"/>
      <c r="AE863" s="1" t="n"/>
    </row>
    <row r="864" ht="42" customHeight="1">
      <c r="A864" s="14">
        <f>IFERROR(__xludf.DUMMYFUNCTION("""COMPUTED_VALUE"""),45181)</f>
        <v/>
      </c>
      <c r="B864" s="1">
        <f>IFERROR(__xludf.DUMMYFUNCTION("""COMPUTED_VALUE"""),"ORG_1331")</f>
        <v/>
      </c>
      <c r="C864" s="1">
        <f>IFERROR(__xludf.DUMMYFUNCTION("""COMPUTED_VALUE"""),TRUE)</f>
        <v/>
      </c>
      <c r="D864" s="1">
        <f>IFERROR(__xludf.DUMMYFUNCTION("""COMPUTED_VALUE"""),"Daxap")</f>
        <v/>
      </c>
      <c r="E864" s="15">
        <f>IFERROR(__xludf.DUMMYFUNCTION("""COMPUTED_VALUE"""),"https://daxap.no")</f>
        <v/>
      </c>
      <c r="F864" s="1">
        <f>IFERROR(__xludf.DUMMYFUNCTION("""COMPUTED_VALUE"""),"SOCIAL ENTREPRENEUR IN INFORMATION TECHNOLOGY
For us at DAXAP is to create sustainable solutions
on societal challenges a responsibility and an opportunity.")</f>
        <v/>
      </c>
      <c r="G864" s="1">
        <f>IFERROR(__xludf.DUMMYFUNCTION("""COMPUTED_VALUE"""),"I'm not part of any EdTech association")</f>
        <v/>
      </c>
      <c r="H864" s="1" t="n"/>
      <c r="I864" s="1">
        <f>IFERROR(__xludf.DUMMYFUNCTION("""COMPUTED_VALUE"""),"kubilay.kartal@daxap.no")</f>
        <v/>
      </c>
      <c r="J864" s="1">
        <f>IFERROR(__xludf.DUMMYFUNCTION("""COMPUTED_VALUE"""),"+4798339044")</f>
        <v/>
      </c>
      <c r="K864" s="1">
        <f>IFERROR(__xludf.DUMMYFUNCTION("""COMPUTED_VALUE"""),"Melhus")</f>
        <v/>
      </c>
      <c r="L864" s="1">
        <f>IFERROR(__xludf.DUMMYFUNCTION("""COMPUTED_VALUE"""),"Norway")</f>
        <v/>
      </c>
      <c r="M864" s="1">
        <f>IFERROR(__xludf.DUMMYFUNCTION("""COMPUTED_VALUE"""),"Norway")</f>
        <v/>
      </c>
      <c r="N864" s="1">
        <f>IFERROR(__xludf.DUMMYFUNCTION("""COMPUTED_VALUE"""),"0 to 10")</f>
        <v/>
      </c>
      <c r="O864" s="1">
        <f>IFERROR(__xludf.DUMMYFUNCTION("""COMPUTED_VALUE"""),"Business to Business, Business to Consumer, Business to Government, Business to Schools")</f>
        <v/>
      </c>
      <c r="P864" s="1">
        <f>IFERROR(__xludf.DUMMYFUNCTION("""COMPUTED_VALUE"""),"Early childhood development (0-5 years), Primary Education, Secondary Education")</f>
        <v/>
      </c>
      <c r="Q864" s="1">
        <f>IFERROR(__xludf.DUMMYFUNCTION("""COMPUTED_VALUE"""),"System/Administrative")</f>
        <v/>
      </c>
      <c r="R864" s="1" t="n"/>
      <c r="S864" s="1" t="n"/>
      <c r="T864" s="1" t="n"/>
      <c r="U864" s="1" t="n"/>
      <c r="V864" s="1" t="n"/>
      <c r="W864" s="1" t="n"/>
      <c r="X864" s="1" t="n"/>
      <c r="Y864" s="1" t="n"/>
      <c r="Z864" s="1">
        <f>IFERROR(__xludf.DUMMYFUNCTION("""COMPUTED_VALUE"""),"Unverified")</f>
        <v/>
      </c>
      <c r="AA864" s="1" t="n"/>
      <c r="AB864" s="1" t="n"/>
      <c r="AC864" s="1" t="n"/>
      <c r="AD864" s="1" t="n"/>
      <c r="AE864" s="1" t="n"/>
    </row>
    <row r="865" ht="42" customHeight="1">
      <c r="A865" s="14">
        <f>IFERROR(__xludf.DUMMYFUNCTION("""COMPUTED_VALUE"""),45181)</f>
        <v/>
      </c>
      <c r="B865" s="1">
        <f>IFERROR(__xludf.DUMMYFUNCTION("""COMPUTED_VALUE"""),"ORG_1382")</f>
        <v/>
      </c>
      <c r="C865" s="1">
        <f>IFERROR(__xludf.DUMMYFUNCTION("""COMPUTED_VALUE"""),TRUE)</f>
        <v/>
      </c>
      <c r="D865" s="1">
        <f>IFERROR(__xludf.DUMMYFUNCTION("""COMPUTED_VALUE"""),"Drieam")</f>
        <v/>
      </c>
      <c r="E865" s="15">
        <f>IFERROR(__xludf.DUMMYFUNCTION("""COMPUTED_VALUE"""),"www.drieam.com")</f>
        <v/>
      </c>
      <c r="F865" s="1">
        <f>IFERROR(__xludf.DUMMYFUNCTION("""COMPUTED_VALUE"""),"As designated Canvas partner we enable higher education institutes, business schools and continuing education departments to deliver the ultimate learning experience. We do this by leveraging the best software out there, including our own solutions which "&amp;"all seamlessly integrate with Canvas LMS. In close collaboration with our customers we build modern and flexible education with a virtual learning environment that facilitates effective blended learning and online teaching, student-ownership and lifelong "&amp;"development possibilities. This way we guide educational institutions towards world-class education and make their students come back for more.")</f>
        <v/>
      </c>
      <c r="G865" s="1">
        <f>IFERROR(__xludf.DUMMYFUNCTION("""COMPUTED_VALUE"""),"Dutch EdTech")</f>
        <v/>
      </c>
      <c r="H865" s="1" t="n"/>
      <c r="I865" s="1">
        <f>IFERROR(__xludf.DUMMYFUNCTION("""COMPUTED_VALUE"""),"bart@drieam.com")</f>
        <v/>
      </c>
      <c r="J865" s="1">
        <f>IFERROR(__xludf.DUMMYFUNCTION("""COMPUTED_VALUE"""),"+31 40 30 46 346")</f>
        <v/>
      </c>
      <c r="K865" s="1">
        <f>IFERROR(__xludf.DUMMYFUNCTION("""COMPUTED_VALUE"""),"KW EINDHOVEN")</f>
        <v/>
      </c>
      <c r="L865" s="1">
        <f>IFERROR(__xludf.DUMMYFUNCTION("""COMPUTED_VALUE"""),"The Netherlands")</f>
        <v/>
      </c>
      <c r="M865" s="1">
        <f>IFERROR(__xludf.DUMMYFUNCTION("""COMPUTED_VALUE"""),"Austria, Belgium, Germany, Ireland, Netherlands, Spain, Switzerland, United Kingdom")</f>
        <v/>
      </c>
      <c r="N865" s="1">
        <f>IFERROR(__xludf.DUMMYFUNCTION("""COMPUTED_VALUE"""),"11 to 50")</f>
        <v/>
      </c>
      <c r="O865" s="1">
        <f>IFERROR(__xludf.DUMMYFUNCTION("""COMPUTED_VALUE"""),"Business to Business, Business to Government, Business to Schools")</f>
        <v/>
      </c>
      <c r="P865" s="1">
        <f>IFERROR(__xludf.DUMMYFUNCTION("""COMPUTED_VALUE"""),"Secondary Education, Higher Education, Lifelong learning/Adult education")</f>
        <v/>
      </c>
      <c r="Q865" s="1">
        <f>IFERROR(__xludf.DUMMYFUNCTION("""COMPUTED_VALUE"""),"Teacher interfacing, System/Administrative")</f>
        <v/>
      </c>
      <c r="R865" s="1" t="n"/>
      <c r="S865" s="15">
        <f>IFERROR(__xludf.DUMMYFUNCTION("""COMPUTED_VALUE"""),"https://twitter.com/drieamon?lang=de")</f>
        <v/>
      </c>
      <c r="T865" s="15">
        <f>IFERROR(__xludf.DUMMYFUNCTION("""COMPUTED_VALUE"""),"https://www.linkedin.com/company/drieam/")</f>
        <v/>
      </c>
      <c r="U865" s="1">
        <f>IFERROR(__xludf.DUMMYFUNCTION("""COMPUTED_VALUE"""),"Portfolio")</f>
        <v/>
      </c>
      <c r="V865" s="1">
        <f>IFERROR(__xludf.DUMMYFUNCTION("""COMPUTED_VALUE"""),"A student-led development and assessment portfolio with authentic 360° feedback and powerful scaffolding tools, fully integrated in your LMS as a plug-in (LTI app).")</f>
        <v/>
      </c>
      <c r="W865" s="1">
        <f>IFERROR(__xludf.DUMMYFUNCTION("""COMPUTED_VALUE"""),"Eduframe")</f>
        <v/>
      </c>
      <c r="X865" s="1">
        <f>IFERROR(__xludf.DUMMYFUNCTION("""COMPUTED_VALUE"""),"The Student Information System and eCommerce Platform for Canvas and continuing education. Attract learners and make them come back for more, save time of staff by automating manual work and provide the most engaging online experiences.")</f>
        <v/>
      </c>
      <c r="Y865" s="15">
        <f>IFERROR(__xludf.DUMMYFUNCTION("""COMPUTED_VALUE"""),"https://drive.google.com/uc?export=view&amp;id=1URlK7vfUsHHbd1O0v7mNpTkAKtCIdyru")</f>
        <v/>
      </c>
      <c r="Z865" s="1">
        <f>IFERROR(__xludf.DUMMYFUNCTION("""COMPUTED_VALUE"""),"Unverified")</f>
        <v/>
      </c>
      <c r="AA865" s="1" t="n"/>
      <c r="AB865" s="1" t="n"/>
      <c r="AC865" s="1" t="n"/>
      <c r="AD865" s="1" t="n"/>
      <c r="AE865" s="1" t="n"/>
    </row>
    <row r="866" ht="42" customHeight="1">
      <c r="A866" s="14">
        <f>IFERROR(__xludf.DUMMYFUNCTION("""COMPUTED_VALUE"""),45181)</f>
        <v/>
      </c>
      <c r="B866" s="1">
        <f>IFERROR(__xludf.DUMMYFUNCTION("""COMPUTED_VALUE"""),"ORG_2132")</f>
        <v/>
      </c>
      <c r="C866" s="1">
        <f>IFERROR(__xludf.DUMMYFUNCTION("""COMPUTED_VALUE"""),TRUE)</f>
        <v/>
      </c>
      <c r="D866" s="1">
        <f>IFERROR(__xludf.DUMMYFUNCTION("""COMPUTED_VALUE"""),"Prowise B.V.")</f>
        <v/>
      </c>
      <c r="E866" s="15">
        <f>IFERROR(__xludf.DUMMYFUNCTION("""COMPUTED_VALUE"""),"www.prowise.com")</f>
        <v/>
      </c>
      <c r="F866" s="1">
        <f>IFERROR(__xludf.DUMMYFUNCTION("""COMPUTED_VALUE"""),"Prowise is a leading global company that develops innovative, high quality and reliable digital education solutions. Our Touchscreens, personal devices, lift systems and user-friendly Presenter and Central software allow us to make learning easier and mor"&amp;"e fun. It’s not just hardware, or software, but a 360 degree solution that works in synergy to ensure that information is not just presented, but experienced. To date more than 20.000 schools, 450.000 teachers and hundreds of companies in 27 different cou"&amp;"ntries make use of the solutions of Prowise.")</f>
        <v/>
      </c>
      <c r="G866" s="1">
        <f>IFERROR(__xludf.DUMMYFUNCTION("""COMPUTED_VALUE"""),"I'm not part of any EdTech association")</f>
        <v/>
      </c>
      <c r="H866" s="1" t="n"/>
      <c r="I866" s="1">
        <f>IFERROR(__xludf.DUMMYFUNCTION("""COMPUTED_VALUE"""),"info@prowise.com")</f>
        <v/>
      </c>
      <c r="J866" s="1">
        <f>IFERROR(__xludf.DUMMYFUNCTION("""COMPUTED_VALUE"""),"+31 (0)495 49 71 10")</f>
        <v/>
      </c>
      <c r="K866" s="1">
        <f>IFERROR(__xludf.DUMMYFUNCTION("""COMPUTED_VALUE"""),"Budel")</f>
        <v/>
      </c>
      <c r="L866" s="1">
        <f>IFERROR(__xludf.DUMMYFUNCTION("""COMPUTED_VALUE"""),"The Netherlands")</f>
        <v/>
      </c>
      <c r="M866" s="1">
        <f>IFERROR(__xludf.DUMMYFUNCTION("""COMPUTED_VALUE"""),"Austria, Belgium, Czechia, Denmark, Estonia, France, Germany, Hungary, Iceland, Ireland, Italy, Latvia, Lithuania, Netherlands, Norway, Poland, Romania, Slovakia, Spain, Sweden, Switzerland, United Kingdom")</f>
        <v/>
      </c>
      <c r="N866" s="1">
        <f>IFERROR(__xludf.DUMMYFUNCTION("""COMPUTED_VALUE"""),"100+")</f>
        <v/>
      </c>
      <c r="O866" s="1">
        <f>IFERROR(__xludf.DUMMYFUNCTION("""COMPUTED_VALUE"""),"Business to Business, Business to Schools")</f>
        <v/>
      </c>
      <c r="P866" s="1">
        <f>IFERROR(__xludf.DUMMYFUNCTION("""COMPUTED_VALUE"""),"Primary Education, Secondary Education, Higher Education, Lifelong learning/Adult education")</f>
        <v/>
      </c>
      <c r="Q866" s="1">
        <f>IFERROR(__xludf.DUMMYFUNCTION("""COMPUTED_VALUE"""),"Teacher interfacing, System/Administrative")</f>
        <v/>
      </c>
      <c r="R866" s="1" t="n"/>
      <c r="S866" s="1" t="n"/>
      <c r="T866" s="1" t="n"/>
      <c r="U866" s="1" t="n"/>
      <c r="V866" s="1" t="n"/>
      <c r="W866" s="1" t="n"/>
      <c r="X866" s="1" t="n"/>
      <c r="Y866" s="15">
        <f>IFERROR(__xludf.DUMMYFUNCTION("""COMPUTED_VALUE"""),"https://drive.google.com/uc?export=view&amp;id=1syJzcUP07HK5muKYKGf2KUpW8PDoHgin")</f>
        <v/>
      </c>
      <c r="Z866" s="1">
        <f>IFERROR(__xludf.DUMMYFUNCTION("""COMPUTED_VALUE"""),"Unverified")</f>
        <v/>
      </c>
      <c r="AA866" s="1" t="n"/>
      <c r="AB866" s="1" t="n"/>
      <c r="AC866" s="1" t="n"/>
      <c r="AD866" s="1" t="n"/>
      <c r="AE866" s="1" t="n"/>
    </row>
    <row r="867" ht="42" customHeight="1">
      <c r="A867" s="14">
        <f>IFERROR(__xludf.DUMMYFUNCTION("""COMPUTED_VALUE"""),45181)</f>
        <v/>
      </c>
      <c r="B867" s="1">
        <f>IFERROR(__xludf.DUMMYFUNCTION("""COMPUTED_VALUE"""),"ORG_2575")</f>
        <v/>
      </c>
      <c r="C867" s="1">
        <f>IFERROR(__xludf.DUMMYFUNCTION("""COMPUTED_VALUE"""),TRUE)</f>
        <v/>
      </c>
      <c r="D867" s="1">
        <f>IFERROR(__xludf.DUMMYFUNCTION("""COMPUTED_VALUE"""),"Знай•бай (Znaj.by)")</f>
        <v/>
      </c>
      <c r="E867" s="15">
        <f>IFERROR(__xludf.DUMMYFUNCTION("""COMPUTED_VALUE"""),"https://znaj.by/")</f>
        <v/>
      </c>
      <c r="F867" s="1">
        <f>IFERROR(__xludf.DUMMYFUNCTION("""COMPUTED_VALUE"""),"Znaj.by is a leading platform of e services for education in Belarus More than 1360
schools have been already connected to the platform 45 of all schools in the country).
Znaj.by provides a platform, which allows automating routine tasks, helps the staff"&amp;"
organize the teaching process, parents to track their children's progress and pupils to
focus on getting knowledge.")</f>
        <v/>
      </c>
      <c r="G867" s="1">
        <f>IFERROR(__xludf.DUMMYFUNCTION("""COMPUTED_VALUE"""),"I'm not part of any EdTech association")</f>
        <v/>
      </c>
      <c r="H867" s="1" t="n"/>
      <c r="I867" s="1">
        <f>IFERROR(__xludf.DUMMYFUNCTION("""COMPUTED_VALUE"""),"info@znaj.by")</f>
        <v/>
      </c>
      <c r="J867" s="1">
        <f>IFERROR(__xludf.DUMMYFUNCTION("""COMPUTED_VALUE"""),"+375172390680")</f>
        <v/>
      </c>
      <c r="K867" s="1">
        <f>IFERROR(__xludf.DUMMYFUNCTION("""COMPUTED_VALUE"""),"MINSK")</f>
        <v/>
      </c>
      <c r="L867" s="1">
        <f>IFERROR(__xludf.DUMMYFUNCTION("""COMPUTED_VALUE"""),"Belarus")</f>
        <v/>
      </c>
      <c r="M867" s="1">
        <f>IFERROR(__xludf.DUMMYFUNCTION("""COMPUTED_VALUE"""),"Belarus")</f>
        <v/>
      </c>
      <c r="N867" s="1">
        <f>IFERROR(__xludf.DUMMYFUNCTION("""COMPUTED_VALUE"""),"0 to 10")</f>
        <v/>
      </c>
      <c r="O867" s="1">
        <f>IFERROR(__xludf.DUMMYFUNCTION("""COMPUTED_VALUE"""),"Business to Business")</f>
        <v/>
      </c>
      <c r="P867" s="1">
        <f>IFERROR(__xludf.DUMMYFUNCTION("""COMPUTED_VALUE"""),"Primary Education, Secondary Education")</f>
        <v/>
      </c>
      <c r="Q867" s="1">
        <f>IFERROR(__xludf.DUMMYFUNCTION("""COMPUTED_VALUE"""),"System/Administrative, Student interfacing, Teacher interfacing")</f>
        <v/>
      </c>
      <c r="R867" s="1" t="n"/>
      <c r="S867" s="1" t="n"/>
      <c r="T867" s="1" t="n"/>
      <c r="U867" s="1" t="n"/>
      <c r="V867" s="1" t="n"/>
      <c r="W867" s="1" t="n"/>
      <c r="X867" s="1" t="n"/>
      <c r="Y867" s="15">
        <f>IFERROR(__xludf.DUMMYFUNCTION("""COMPUTED_VALUE"""),"https://drive.google.com/uc?export=view&amp;id=1qKmpOh0qz5tB8e-DCGOQ830A5Rp3zV7G")</f>
        <v/>
      </c>
      <c r="Z867" s="1">
        <f>IFERROR(__xludf.DUMMYFUNCTION("""COMPUTED_VALUE"""),"Unverified")</f>
        <v/>
      </c>
      <c r="AA867" s="1" t="n"/>
      <c r="AB867" s="1" t="n"/>
      <c r="AC867" s="1" t="n"/>
      <c r="AD867" s="1" t="n"/>
      <c r="AE867" s="1" t="n"/>
    </row>
    <row r="868" ht="42" customHeight="1">
      <c r="A868" s="14">
        <f>IFERROR(__xludf.DUMMYFUNCTION("""COMPUTED_VALUE"""),45181)</f>
        <v/>
      </c>
      <c r="B868" s="1">
        <f>IFERROR(__xludf.DUMMYFUNCTION("""COMPUTED_VALUE"""),"ORG_1047")</f>
        <v/>
      </c>
      <c r="C868" s="1">
        <f>IFERROR(__xludf.DUMMYFUNCTION("""COMPUTED_VALUE"""),TRUE)</f>
        <v/>
      </c>
      <c r="D868" s="1">
        <f>IFERROR(__xludf.DUMMYFUNCTION("""COMPUTED_VALUE"""),"Alcor Academy")</f>
        <v/>
      </c>
      <c r="E868" s="15">
        <f>IFERROR(__xludf.DUMMYFUNCTION("""COMPUTED_VALUE"""),"https://alcor.academy")</f>
        <v/>
      </c>
      <c r="F868" s="1">
        <f>IFERROR(__xludf.DUMMYFUNCTION("""COMPUTED_VALUE"""),"Agile Methodologies alone are not enough to improve the delivery of software. Teams also need to master Agile Technical Practices to be successful.
We know that learning at scale is hard. Very few people worldwide can offer continuous professional trainin"&amp;"g on these topics.
Alcor Academy's structured learning programme has proven successful for hundreds of developers. Our collaborative and informal lessons make the learning experience unforgettable.
We are software crafters, coaches, international public s"&amp;"peakers, and award-winning authors of ""Agile Technical Practices Distilled"". 
We help Organisations deliver valuable Software with our Innovative Socio-Technical Training on software design.
With half a century of combined professional experience, we ar"&amp;"e the ideal partner to unleash all the power of real Digital Transformations.")</f>
        <v/>
      </c>
      <c r="G868" s="1">
        <f>IFERROR(__xludf.DUMMYFUNCTION("""COMPUTED_VALUE"""),"I'm not part of any EdTech association")</f>
        <v/>
      </c>
      <c r="H868" s="1" t="n"/>
      <c r="I868" s="1">
        <f>IFERROR(__xludf.DUMMYFUNCTION("""COMPUTED_VALUE"""),"marco@alcor.academy")</f>
        <v/>
      </c>
      <c r="J868" s="1" t="n"/>
      <c r="K868" s="1">
        <f>IFERROR(__xludf.DUMMYFUNCTION("""COMPUTED_VALUE"""),"London")</f>
        <v/>
      </c>
      <c r="L868" s="1">
        <f>IFERROR(__xludf.DUMMYFUNCTION("""COMPUTED_VALUE"""),"United Kingdom")</f>
        <v/>
      </c>
      <c r="M868" s="1">
        <f>IFERROR(__xludf.DUMMYFUNCTION("""COMPUTED_VALUE"""),"Belgium, Germany, Italy, Netherlands, Norway, Switzerland, United Kingdom")</f>
        <v/>
      </c>
      <c r="N868" s="1">
        <f>IFERROR(__xludf.DUMMYFUNCTION("""COMPUTED_VALUE"""),"0 to 10")</f>
        <v/>
      </c>
      <c r="O868" s="1">
        <f>IFERROR(__xludf.DUMMYFUNCTION("""COMPUTED_VALUE"""),"Business to Business")</f>
        <v/>
      </c>
      <c r="P868" s="1">
        <f>IFERROR(__xludf.DUMMYFUNCTION("""COMPUTED_VALUE"""),"Corporate Training, Lifelong learning/Adult education")</f>
        <v/>
      </c>
      <c r="Q868" s="1">
        <f>IFERROR(__xludf.DUMMYFUNCTION("""COMPUTED_VALUE"""),"System/Administrative")</f>
        <v/>
      </c>
      <c r="R868" s="1" t="n"/>
      <c r="S868" s="1" t="n"/>
      <c r="T868" s="1" t="n"/>
      <c r="U868" s="1" t="n"/>
      <c r="V868" s="1" t="n"/>
      <c r="W868" s="1" t="n"/>
      <c r="X868" s="1" t="n"/>
      <c r="Y868" s="15">
        <f>IFERROR(__xludf.DUMMYFUNCTION("""COMPUTED_VALUE"""),"https://drive.google.com/uc?export=view&amp;id=1FphPkwShRm_z-PDB1y0brdwi2wIyzR26")</f>
        <v/>
      </c>
      <c r="Z868" s="1">
        <f>IFERROR(__xludf.DUMMYFUNCTION("""COMPUTED_VALUE"""),"Unverified")</f>
        <v/>
      </c>
      <c r="AA868" s="1" t="n"/>
      <c r="AB868" s="1" t="n"/>
      <c r="AC868" s="1" t="n"/>
      <c r="AD868" s="1" t="n"/>
      <c r="AE868" s="1" t="n"/>
    </row>
    <row r="869" ht="42" customHeight="1">
      <c r="A869" s="14">
        <f>IFERROR(__xludf.DUMMYFUNCTION("""COMPUTED_VALUE"""),45181)</f>
        <v/>
      </c>
      <c r="B869" s="1">
        <f>IFERROR(__xludf.DUMMYFUNCTION("""COMPUTED_VALUE"""),"ORG_1097")</f>
        <v/>
      </c>
      <c r="C869" s="1">
        <f>IFERROR(__xludf.DUMMYFUNCTION("""COMPUTED_VALUE"""),TRUE)</f>
        <v/>
      </c>
      <c r="D869" s="1">
        <f>IFERROR(__xludf.DUMMYFUNCTION("""COMPUTED_VALUE"""),"Arketiks")</f>
        <v/>
      </c>
      <c r="E869" s="15">
        <f>IFERROR(__xludf.DUMMYFUNCTION("""COMPUTED_VALUE"""),"www.arketiks.com")</f>
        <v/>
      </c>
      <c r="F869" s="1">
        <f>IFERROR(__xludf.DUMMYFUNCTION("""COMPUTED_VALUE"""),"Arketiks is a suite of applications dedicated to all digital and distance learning activities. The particularity of our applications and their ergonomics which makes their use very intuitive.")</f>
        <v/>
      </c>
      <c r="G869" s="1">
        <f>IFERROR(__xludf.DUMMYFUNCTION("""COMPUTED_VALUE"""),"Swiss EdTech Collider")</f>
        <v/>
      </c>
      <c r="H869" s="1" t="n"/>
      <c r="I869" s="1">
        <f>IFERROR(__xludf.DUMMYFUNCTION("""COMPUTED_VALUE"""),"info@arketiks.com")</f>
        <v/>
      </c>
      <c r="J869" s="1">
        <f>IFERROR(__xludf.DUMMYFUNCTION("""COMPUTED_VALUE"""),"+ 41 22 807 28 00")</f>
        <v/>
      </c>
      <c r="K869" s="1">
        <f>IFERROR(__xludf.DUMMYFUNCTION("""COMPUTED_VALUE"""),"GENEVA")</f>
        <v/>
      </c>
      <c r="L869" s="1">
        <f>IFERROR(__xludf.DUMMYFUNCTION("""COMPUTED_VALUE"""),"Switzerland")</f>
        <v/>
      </c>
      <c r="M869" s="1">
        <f>IFERROR(__xludf.DUMMYFUNCTION("""COMPUTED_VALUE"""),"Liechtenstein, Luxembourg, Switzerland, United Kingdom")</f>
        <v/>
      </c>
      <c r="N869" s="1">
        <f>IFERROR(__xludf.DUMMYFUNCTION("""COMPUTED_VALUE"""),"0 to 10")</f>
        <v/>
      </c>
      <c r="O869" s="1">
        <f>IFERROR(__xludf.DUMMYFUNCTION("""COMPUTED_VALUE"""),"Business to Business, Business to Consumer")</f>
        <v/>
      </c>
      <c r="P869" s="1">
        <f>IFERROR(__xludf.DUMMYFUNCTION("""COMPUTED_VALUE"""),"Corporate Training, Lifelong learning/Adult education")</f>
        <v/>
      </c>
      <c r="Q869" s="1">
        <f>IFERROR(__xludf.DUMMYFUNCTION("""COMPUTED_VALUE"""),"System/Administrative")</f>
        <v/>
      </c>
      <c r="R869" s="1" t="n"/>
      <c r="S869" s="1" t="n"/>
      <c r="T869" s="15">
        <f>IFERROR(__xludf.DUMMYFUNCTION("""COMPUTED_VALUE"""),"https://www.linkedin.com/company/arketiks")</f>
        <v/>
      </c>
      <c r="U869" s="1">
        <f>IFERROR(__xludf.DUMMYFUNCTION("""COMPUTED_VALUE"""),"Vision")</f>
        <v/>
      </c>
      <c r="V869" s="1">
        <f>IFERROR(__xludf.DUMMYFUNCTION("""COMPUTED_VALUE"""),"Training area that allows you to administer and manage your virtual classes.
Vision is a SaaS application designed specifically for virtual classes. Vision is a Training Space where all your virtual classroom training is located, allowing each participan"&amp;"t to access his or her training.
Vision has the advantage of integrating all the management of your virtual classes in a single application: an administration area, a training content area and a virtual class area.")</f>
        <v/>
      </c>
      <c r="W869" s="1">
        <f>IFERROR(__xludf.DUMMYFUNCTION("""COMPUTED_VALUE"""),"Motion")</f>
        <v/>
      </c>
      <c r="X869" s="1">
        <f>IFERROR(__xludf.DUMMYFUNCTION("""COMPUTED_VALUE"""),"Add digital content to your videos to make them interactive.
Motion is a SaaS application that can be accessed anytime and anywhere. This application is specially designed to create attractive video e-learning.
Motion enriches your videos with questions"&amp;", images, videos, etc.")</f>
        <v/>
      </c>
      <c r="Y869" s="15">
        <f>IFERROR(__xludf.DUMMYFUNCTION("""COMPUTED_VALUE"""),"https://drive.google.com/uc?export=view&amp;id=1kZZsy8C0Rbs5Bv52cDwmgrXGYb8w6N5f")</f>
        <v/>
      </c>
      <c r="Z869" s="1">
        <f>IFERROR(__xludf.DUMMYFUNCTION("""COMPUTED_VALUE"""),"Unverified")</f>
        <v/>
      </c>
      <c r="AA869" s="1" t="n"/>
      <c r="AB869" s="1" t="n"/>
      <c r="AC869" s="1" t="n"/>
      <c r="AD869" s="1" t="n"/>
      <c r="AE869" s="1" t="n"/>
    </row>
    <row r="870" ht="42" customHeight="1">
      <c r="A870" s="14">
        <f>IFERROR(__xludf.DUMMYFUNCTION("""COMPUTED_VALUE"""),45181)</f>
        <v/>
      </c>
      <c r="B870" s="1">
        <f>IFERROR(__xludf.DUMMYFUNCTION("""COMPUTED_VALUE"""),"ORG_1098")</f>
        <v/>
      </c>
      <c r="C870" s="1">
        <f>IFERROR(__xludf.DUMMYFUNCTION("""COMPUTED_VALUE"""),TRUE)</f>
        <v/>
      </c>
      <c r="D870" s="1">
        <f>IFERROR(__xludf.DUMMYFUNCTION("""COMPUTED_VALUE"""),"ArtCat")</f>
        <v/>
      </c>
      <c r="E870" s="15">
        <f>IFERROR(__xludf.DUMMYFUNCTION("""COMPUTED_VALUE"""),"www.artcat.dk")</f>
        <v/>
      </c>
      <c r="F870" s="1">
        <f>IFERROR(__xludf.DUMMYFUNCTION("""COMPUTED_VALUE"""),"ArtCat is a new innovative company that through user involvement makes gamification and digital cultural communication in different formations. We create content that lives up to our vision about making dissemination through immersive media in order to in"&amp;"spire our users. Our product sheet contains podcasts, 360 degrees videos, treasure hunts, escape-rooms and much more.")</f>
        <v/>
      </c>
      <c r="G870" s="1">
        <f>IFERROR(__xludf.DUMMYFUNCTION("""COMPUTED_VALUE"""),"EdTech Denmark")</f>
        <v/>
      </c>
      <c r="H870" s="1" t="n"/>
      <c r="I870" s="1">
        <f>IFERROR(__xludf.DUMMYFUNCTION("""COMPUTED_VALUE"""),"michelle@artcat.dk")</f>
        <v/>
      </c>
      <c r="J870" s="1">
        <f>IFERROR(__xludf.DUMMYFUNCTION("""COMPUTED_VALUE"""),"4522388476")</f>
        <v/>
      </c>
      <c r="K870" s="1">
        <f>IFERROR(__xludf.DUMMYFUNCTION("""COMPUTED_VALUE"""),"COPENHAGEN")</f>
        <v/>
      </c>
      <c r="L870" s="1">
        <f>IFERROR(__xludf.DUMMYFUNCTION("""COMPUTED_VALUE"""),"Denmark")</f>
        <v/>
      </c>
      <c r="M870" s="1">
        <f>IFERROR(__xludf.DUMMYFUNCTION("""COMPUTED_VALUE"""),"Denmark")</f>
        <v/>
      </c>
      <c r="N870" s="1">
        <f>IFERROR(__xludf.DUMMYFUNCTION("""COMPUTED_VALUE"""),"0 to 10")</f>
        <v/>
      </c>
      <c r="O870" s="1">
        <f>IFERROR(__xludf.DUMMYFUNCTION("""COMPUTED_VALUE"""),"Business to Business, Business to Consumer")</f>
        <v/>
      </c>
      <c r="P870" s="1">
        <f>IFERROR(__xludf.DUMMYFUNCTION("""COMPUTED_VALUE"""),"Secondary Education, Higher Education, Corporate Training, Lifelong learning/Adult education")</f>
        <v/>
      </c>
      <c r="Q870" s="1">
        <f>IFERROR(__xludf.DUMMYFUNCTION("""COMPUTED_VALUE"""),"Student interfacing, Teacher interfacing, System/Administrative")</f>
        <v/>
      </c>
      <c r="R870" s="15">
        <f>IFERROR(__xludf.DUMMYFUNCTION("""COMPUTED_VALUE"""),"https://www.instagram.com/artcat_dk/?hl=da")</f>
        <v/>
      </c>
      <c r="S870" s="1" t="n"/>
      <c r="T870" s="15">
        <f>IFERROR(__xludf.DUMMYFUNCTION("""COMPUTED_VALUE"""),"https://www.linkedin.com/company/artcat-aps")</f>
        <v/>
      </c>
      <c r="U870" s="1">
        <f>IFERROR(__xludf.DUMMYFUNCTION("""COMPUTED_VALUE"""),"Auditive")</f>
        <v/>
      </c>
      <c r="V870" s="1">
        <f>IFERROR(__xludf.DUMMYFUNCTION("""COMPUTED_VALUE"""),"Dive into auditive experiences in a picturesque universe that requires your inner image gallery. We offer podcasts, songs and other sound elements.")</f>
        <v/>
      </c>
      <c r="W870" s="1">
        <f>IFERROR(__xludf.DUMMYFUNCTION("""COMPUTED_VALUE"""),"Visual")</f>
        <v/>
      </c>
      <c r="X870" s="1">
        <f>IFERROR(__xludf.DUMMYFUNCTION("""COMPUTED_VALUE"""),"Through immersive visual experiences such as virtual reality and augmented reality, the spectator is drawn into a world that opens up both time travel, new perspectives and dimensions. At the same time, we offer classic 2D film productions that in their n"&amp;"arrative universe manage to conceptualize and tell the story our customers have.
EX productions:
VR movie from cold war museum Stevns
https://artcat.dk/video-content
VR movie from Roskilde Cathedral:
https://youtu.be/Pfb3h4AfJOA 
Talk/film “Sex in th"&amp;"e middleage”
https://artcat.dk/historie-laboratoriet")</f>
        <v/>
      </c>
      <c r="Y870" s="15">
        <f>IFERROR(__xludf.DUMMYFUNCTION("""COMPUTED_VALUE"""),"https://drive.google.com/uc?export=view&amp;id=1SYhVXDo9Q0dTVbd95Z0Ue9IcgOVnbSoE")</f>
        <v/>
      </c>
      <c r="Z870" s="1">
        <f>IFERROR(__xludf.DUMMYFUNCTION("""COMPUTED_VALUE"""),"Unverified")</f>
        <v/>
      </c>
      <c r="AA870" s="1" t="n"/>
      <c r="AB870" s="1" t="n"/>
      <c r="AC870" s="1" t="n"/>
      <c r="AD870" s="1" t="n"/>
      <c r="AE870" s="1" t="n"/>
    </row>
    <row r="871" ht="42" customHeight="1">
      <c r="A871" s="14">
        <f>IFERROR(__xludf.DUMMYFUNCTION("""COMPUTED_VALUE"""),45181)</f>
        <v/>
      </c>
      <c r="B871" s="1">
        <f>IFERROR(__xludf.DUMMYFUNCTION("""COMPUTED_VALUE"""),"ORG_1107")</f>
        <v/>
      </c>
      <c r="C871" s="1">
        <f>IFERROR(__xludf.DUMMYFUNCTION("""COMPUTED_VALUE"""),TRUE)</f>
        <v/>
      </c>
      <c r="D871" s="1">
        <f>IFERROR(__xludf.DUMMYFUNCTION("""COMPUTED_VALUE"""),"Ascendia S.A.")</f>
        <v/>
      </c>
      <c r="E871" s="15">
        <f>IFERROR(__xludf.DUMMYFUNCTION("""COMPUTED_VALUE"""),"https://www.ascendia.ro/")</f>
        <v/>
      </c>
      <c r="F871" s="1">
        <f>IFERROR(__xludf.DUMMYFUNCTION("""COMPUTED_VALUE"""),"Ascendia is an eLearning company founded 15 years ago and is the first eLearning company listed on the Bucharest Stock Exchange. We believe in full transparency and real impact.
We can help you with:
* How to build an eLearning course with the help of t"&amp;"he LIVRESQ - Authoring Tool
* How exactly eLearning can benefit your company, a custom analysis
* Get to see some relevant eLearning demos, created by us
* Get the members of your HR department involved in the elearning initiative
* Development of new Lea"&amp;"rning Management Systems
Our main business lines are:
LIVRESQ - eLearning Authoring Tool - for medium and big companies, publishing houses and teachers. www.livresq.com
Coffee LMS - Learning Management System for companies. Best for helping employees sta"&amp;"y engaged in your company. www.coffeelms.com
eJourneys - over 100 off the shelf eLearning courses for companies. Made in partnership with Trend Consult
Bespoke eLearning content for companies - develop custom digital learning modules starting from the cur"&amp;"rent needs of the client.")</f>
        <v/>
      </c>
      <c r="G871" s="1">
        <f>IFERROR(__xludf.DUMMYFUNCTION("""COMPUTED_VALUE"""),"I'm not part of any EdTech association")</f>
        <v/>
      </c>
      <c r="H871" s="1" t="n"/>
      <c r="I871" s="1">
        <f>IFERROR(__xludf.DUMMYFUNCTION("""COMPUTED_VALUE"""),"office@ascendia.ro")</f>
        <v/>
      </c>
      <c r="J871" s="1">
        <f>IFERROR(__xludf.DUMMYFUNCTION("""COMPUTED_VALUE"""),"+40 0371 089 200")</f>
        <v/>
      </c>
      <c r="K871" s="1">
        <f>IFERROR(__xludf.DUMMYFUNCTION("""COMPUTED_VALUE"""),"Floor 4, Sector 2")</f>
        <v/>
      </c>
      <c r="L871" s="1">
        <f>IFERROR(__xludf.DUMMYFUNCTION("""COMPUTED_VALUE"""),"Romania")</f>
        <v/>
      </c>
      <c r="M871"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871" s="1">
        <f>IFERROR(__xludf.DUMMYFUNCTION("""COMPUTED_VALUE"""),"11 to 50")</f>
        <v/>
      </c>
      <c r="O871" s="1">
        <f>IFERROR(__xludf.DUMMYFUNCTION("""COMPUTED_VALUE"""),"Business to Business, Business to Consumer, Business to Government, Business to Schools")</f>
        <v/>
      </c>
      <c r="P871" s="1">
        <f>IFERROR(__xludf.DUMMYFUNCTION("""COMPUTED_VALUE"""),"Early childhood development (0-5 years), Primary Education, Secondary Education, Corporate Training, Lifelong learning/Adult education")</f>
        <v/>
      </c>
      <c r="Q871" s="1">
        <f>IFERROR(__xludf.DUMMYFUNCTION("""COMPUTED_VALUE"""),"System/Administrative, Student interfacing, Teacher interfacing")</f>
        <v/>
      </c>
      <c r="R871" s="1" t="n"/>
      <c r="S871" s="1" t="n"/>
      <c r="T871" s="1" t="n"/>
      <c r="U871" s="1" t="n"/>
      <c r="V871" s="1" t="n"/>
      <c r="W871" s="1" t="n"/>
      <c r="X871" s="1" t="n"/>
      <c r="Y871" s="15">
        <f>IFERROR(__xludf.DUMMYFUNCTION("""COMPUTED_VALUE"""),"https://drive.google.com/uc?export=view&amp;id=1R9mfV5J39CnlVSUMk3iZn0z_pKyIsK4G")</f>
        <v/>
      </c>
      <c r="Z871" s="1">
        <f>IFERROR(__xludf.DUMMYFUNCTION("""COMPUTED_VALUE"""),"Unverified")</f>
        <v/>
      </c>
      <c r="AA871" s="1" t="n"/>
      <c r="AB871" s="1" t="n"/>
      <c r="AC871" s="1" t="n"/>
      <c r="AD871" s="1" t="n"/>
      <c r="AE871" s="1" t="n"/>
    </row>
    <row r="872" ht="42" customHeight="1">
      <c r="A872" s="14">
        <f>IFERROR(__xludf.DUMMYFUNCTION("""COMPUTED_VALUE"""),45181)</f>
        <v/>
      </c>
      <c r="B872" s="1">
        <f>IFERROR(__xludf.DUMMYFUNCTION("""COMPUTED_VALUE"""),"ORG_1890")</f>
        <v/>
      </c>
      <c r="C872" s="1">
        <f>IFERROR(__xludf.DUMMYFUNCTION("""COMPUTED_VALUE"""),TRUE)</f>
        <v/>
      </c>
      <c r="D872" s="1">
        <f>IFERROR(__xludf.DUMMYFUNCTION("""COMPUTED_VALUE"""),"LMF NETWORK")</f>
        <v/>
      </c>
      <c r="E872" s="15">
        <f>IFERROR(__xludf.DUMMYFUNCTION("""COMPUTED_VALUE"""),"WWW.LMFNETWORK.COM")</f>
        <v/>
      </c>
      <c r="F872" s="1">
        <f>IFERROR(__xludf.DUMMYFUNCTION("""COMPUTED_VALUE"""),"Like Minded Females (LMF Network) is a careers platform and social enterprise founded to build the confidence and careers of women and minority folk through mentoring, life skills workshops and community forums. We work with individuals to build their con"&amp;"fidence, universities to ensure the talent of tomorrow has the right capabilities and organisations to enable inclusive careers. Since 2018, we have upskilled 20,000 people, a social following of 50,000 and a monthly organic reach of 100,000 impressions. "&amp;"www.lmfnetwork.com")</f>
        <v/>
      </c>
      <c r="G872" s="1">
        <f>IFERROR(__xludf.DUMMYFUNCTION("""COMPUTED_VALUE"""),"I'm not part of any EdTech association")</f>
        <v/>
      </c>
      <c r="H872" s="1" t="n"/>
      <c r="I872" s="1">
        <f>IFERROR(__xludf.DUMMYFUNCTION("""COMPUTED_VALUE"""),"hello@sonyabarlow.co.uk")</f>
        <v/>
      </c>
      <c r="J872" s="1">
        <f>IFERROR(__xludf.DUMMYFUNCTION("""COMPUTED_VALUE"""),"7881821667")</f>
        <v/>
      </c>
      <c r="K872" s="1">
        <f>IFERROR(__xludf.DUMMYFUNCTION("""COMPUTED_VALUE"""),"london")</f>
        <v/>
      </c>
      <c r="L872" s="1">
        <f>IFERROR(__xludf.DUMMYFUNCTION("""COMPUTED_VALUE"""),"United Kingdom")</f>
        <v/>
      </c>
      <c r="M872" s="1">
        <f>IFERROR(__xludf.DUMMYFUNCTION("""COMPUTED_VALUE"""),"United Kingdom")</f>
        <v/>
      </c>
      <c r="N872" s="1">
        <f>IFERROR(__xludf.DUMMYFUNCTION("""COMPUTED_VALUE"""),"0 to 10")</f>
        <v/>
      </c>
      <c r="O872" s="1">
        <f>IFERROR(__xludf.DUMMYFUNCTION("""COMPUTED_VALUE"""),"Business to Business, Business to Consumer, Business to Government, Business to Schools")</f>
        <v/>
      </c>
      <c r="P872" s="1">
        <f>IFERROR(__xludf.DUMMYFUNCTION("""COMPUTED_VALUE"""),"Corporate Training, Lifelong learning/Adult education")</f>
        <v/>
      </c>
      <c r="Q872" s="1">
        <f>IFERROR(__xludf.DUMMYFUNCTION("""COMPUTED_VALUE"""),"System/Administrative, Student interfacing, Teacher interfacing")</f>
        <v/>
      </c>
      <c r="R872" s="1" t="n"/>
      <c r="S872" s="1" t="n"/>
      <c r="T872" s="1" t="n"/>
      <c r="U872" s="1" t="n"/>
      <c r="V872" s="1" t="n"/>
      <c r="W872" s="1" t="n"/>
      <c r="X872" s="1" t="n"/>
      <c r="Y872" s="15">
        <f>IFERROR(__xludf.DUMMYFUNCTION("""COMPUTED_VALUE"""),"https://drive.google.com/uc?export=view&amp;id=1XwCkNbP9z7ICAC_eIw5xZbJH099BXy__")</f>
        <v/>
      </c>
      <c r="Z872" s="1">
        <f>IFERROR(__xludf.DUMMYFUNCTION("""COMPUTED_VALUE"""),"Unverified")</f>
        <v/>
      </c>
      <c r="AA872" s="1" t="n"/>
      <c r="AB872" s="1" t="n"/>
      <c r="AC872" s="1" t="n"/>
      <c r="AD872" s="1" t="n"/>
      <c r="AE872" s="1" t="n"/>
    </row>
    <row r="873" ht="42" customHeight="1">
      <c r="A873" s="14">
        <f>IFERROR(__xludf.DUMMYFUNCTION("""COMPUTED_VALUE"""),45181)</f>
        <v/>
      </c>
      <c r="B873" s="1">
        <f>IFERROR(__xludf.DUMMYFUNCTION("""COMPUTED_VALUE"""),"ORG_1002")</f>
        <v/>
      </c>
      <c r="C873" s="1">
        <f>IFERROR(__xludf.DUMMYFUNCTION("""COMPUTED_VALUE"""),TRUE)</f>
        <v/>
      </c>
      <c r="D873" s="1">
        <f>IFERROR(__xludf.DUMMYFUNCTION("""COMPUTED_VALUE"""),"1,2,3 kiD")</f>
        <v/>
      </c>
      <c r="E873" s="15">
        <f>IFERROR(__xludf.DUMMYFUNCTION("""COMPUTED_VALUE"""),"www.123kid.org")</f>
        <v/>
      </c>
      <c r="F873" s="1">
        <f>IFERROR(__xludf.DUMMYFUNCTION("""COMPUTED_VALUE"""),"1,2,3 kiD is an online platform dedicated to parents with kids between 2 and 12 year-old. We ambition to be the n°1 platform with easy-access to smart and personalised resources for parents to support their children’s well-being and learning journey.")</f>
        <v/>
      </c>
      <c r="G873" s="1">
        <f>IFERROR(__xludf.DUMMYFUNCTION("""COMPUTED_VALUE"""),"SuperCharger Ventures, Swiss EdTech Collider")</f>
        <v/>
      </c>
      <c r="H873" s="1">
        <f>IFERROR(__xludf.DUMMYFUNCTION("""COMPUTED_VALUE"""),"French")</f>
        <v/>
      </c>
      <c r="I873" s="1">
        <f>IFERROR(__xludf.DUMMYFUNCTION("""COMPUTED_VALUE"""),"diane.lapaque@123kid.org")</f>
        <v/>
      </c>
      <c r="J873" s="1">
        <f>IFERROR(__xludf.DUMMYFUNCTION("""COMPUTED_VALUE"""),"786230284")</f>
        <v/>
      </c>
      <c r="K873" s="1">
        <f>IFERROR(__xludf.DUMMYFUNCTION("""COMPUTED_VALUE"""),"Lausanne")</f>
        <v/>
      </c>
      <c r="L873" s="1">
        <f>IFERROR(__xludf.DUMMYFUNCTION("""COMPUTED_VALUE"""),"Switzerland")</f>
        <v/>
      </c>
      <c r="M873" s="1">
        <f>IFERROR(__xludf.DUMMYFUNCTION("""COMPUTED_VALUE"""),"Belgium, France, Luxembourg, Switzerland")</f>
        <v/>
      </c>
      <c r="N873" s="1">
        <f>IFERROR(__xludf.DUMMYFUNCTION("""COMPUTED_VALUE"""),"0 to 2")</f>
        <v/>
      </c>
      <c r="O873" s="1">
        <f>IFERROR(__xludf.DUMMYFUNCTION("""COMPUTED_VALUE"""),"Business to Business, Business to Consumer")</f>
        <v/>
      </c>
      <c r="P873" s="1">
        <f>IFERROR(__xludf.DUMMYFUNCTION("""COMPUTED_VALUE"""),"Early childhood development (0-5 years)")</f>
        <v/>
      </c>
      <c r="Q873" s="1">
        <f>IFERROR(__xludf.DUMMYFUNCTION("""COMPUTED_VALUE"""),"System/Administrative")</f>
        <v/>
      </c>
      <c r="R873" s="15">
        <f>IFERROR(__xludf.DUMMYFUNCTION("""COMPUTED_VALUE"""),"https://www.instagram.com/123kid.club/")</f>
        <v/>
      </c>
      <c r="S873" s="1">
        <f>IFERROR(__xludf.DUMMYFUNCTION("""COMPUTED_VALUE"""),"123 kiD SA")</f>
        <v/>
      </c>
      <c r="T873" s="15">
        <f>IFERROR(__xludf.DUMMYFUNCTION("""COMPUTED_VALUE"""),"https://www.linkedin.com/company/123kid/?viewAsMember=true")</f>
        <v/>
      </c>
      <c r="U873" s="1">
        <f>IFERROR(__xludf.DUMMYFUNCTION("""COMPUTED_VALUE"""),"1,2,3 kiD")</f>
        <v/>
      </c>
      <c r="V873" s="1">
        <f>IFERROR(__xludf.DUMMYFUNCTION("""COMPUTED_VALUE"""),"1,2,3 kiD is a an online media for parents with kids between 2 and 12 year-old providing access to games, print&amp;play activities, masterclasses, podcasts and articles.")</f>
        <v/>
      </c>
      <c r="W873" s="1">
        <f>IFERROR(__xludf.DUMMYFUNCTION("""COMPUTED_VALUE"""),"App-enfant")</f>
        <v/>
      </c>
      <c r="X873" s="1">
        <f>IFERROR(__xludf.DUMMYFUNCTION("""COMPUTED_VALUE"""),"App-enfant is a dedicated platform for digital learning ressources dedicated to kids. It references the best applications and digital resources for kids")</f>
        <v/>
      </c>
      <c r="Y873" s="15">
        <f>IFERROR(__xludf.DUMMYFUNCTION("""COMPUTED_VALUE"""),"https://drive.google.com/uc?export=view&amp;id=1DJkAf2MqVdnY90t_aXGH3rz4GdM-Jivd")</f>
        <v/>
      </c>
      <c r="Z873" s="1">
        <f>IFERROR(__xludf.DUMMYFUNCTION("""COMPUTED_VALUE"""),"Unverified")</f>
        <v/>
      </c>
      <c r="AA873" s="1" t="n"/>
      <c r="AB873" s="1" t="n"/>
      <c r="AC873" s="1" t="n"/>
      <c r="AD873" s="1" t="n"/>
      <c r="AE873" s="1" t="n"/>
    </row>
    <row r="874" ht="42" customHeight="1">
      <c r="A874" s="14">
        <f>IFERROR(__xludf.DUMMYFUNCTION("""COMPUTED_VALUE"""),45181)</f>
        <v/>
      </c>
      <c r="B874" s="1">
        <f>IFERROR(__xludf.DUMMYFUNCTION("""COMPUTED_VALUE"""),"ORG_1388")</f>
        <v/>
      </c>
      <c r="C874" s="1">
        <f>IFERROR(__xludf.DUMMYFUNCTION("""COMPUTED_VALUE"""),TRUE)</f>
        <v/>
      </c>
      <c r="D874" s="1">
        <f>IFERROR(__xludf.DUMMYFUNCTION("""COMPUTED_VALUE"""),"E-Numeracy")</f>
        <v/>
      </c>
      <c r="E874" s="15">
        <f>IFERROR(__xludf.DUMMYFUNCTION("""COMPUTED_VALUE"""),"www.e-numeracy.com")</f>
        <v/>
      </c>
      <c r="F874" s="1">
        <f>IFERROR(__xludf.DUMMYFUNCTION("""COMPUTED_VALUE"""),"We have built an online maths learning platform specifically for working age learners who believe they ""can't do maths"". It rebuilds the confidence they need to improve their numeracy using advanced educational techniques and AI. This 4 minute video sho"&amp;"ws how: https://youtu.be/oX8DZKVTucM.
This market represents around one third of the global population (around 50% of UK adults do not have the numeracy we expect at primary school, according to UK's National Numeracy). We have combined two areas of expe"&amp;"rtise - embedding into our software forty years of world-leading research on maths anxiety, and then individualising these principles to each learner with advanced AI and analytic techniques.
Our system operates in self-study mode or can augment classroo"&amp;"m or tutor learning, and is sold on a subscription basis to employers, FE colleges and Social Inclusion/Adult Numeracy programmes (government and charitable, such as the UK's £560m/500,000 user Multiply adult numeracy programme). Using our product for a y"&amp;"ear costs about the same as one hour of traditional tutoring.")</f>
        <v/>
      </c>
      <c r="G874" s="1">
        <f>IFERROR(__xludf.DUMMYFUNCTION("""COMPUTED_VALUE"""),"I'm not part of any EdTech association")</f>
        <v/>
      </c>
      <c r="H874" s="1" t="n"/>
      <c r="I874" s="1">
        <f>IFERROR(__xludf.DUMMYFUNCTION("""COMPUTED_VALUE"""),"mike.fish@e-numeracy.com")</f>
        <v/>
      </c>
      <c r="J874" s="1">
        <f>IFERROR(__xludf.DUMMYFUNCTION("""COMPUTED_VALUE"""),"+447785393093")</f>
        <v/>
      </c>
      <c r="K874" s="1">
        <f>IFERROR(__xludf.DUMMYFUNCTION("""COMPUTED_VALUE"""),"Hemel Hempstead")</f>
        <v/>
      </c>
      <c r="L874" s="1">
        <f>IFERROR(__xludf.DUMMYFUNCTION("""COMPUTED_VALUE"""),"United Kingdom")</f>
        <v/>
      </c>
      <c r="M874" s="1">
        <f>IFERROR(__xludf.DUMMYFUNCTION("""COMPUTED_VALUE"""),"United Kingdom")</f>
        <v/>
      </c>
      <c r="N874" s="1">
        <f>IFERROR(__xludf.DUMMYFUNCTION("""COMPUTED_VALUE"""),"11 to 50")</f>
        <v/>
      </c>
      <c r="O874" s="1">
        <f>IFERROR(__xludf.DUMMYFUNCTION("""COMPUTED_VALUE"""),"Business to Business, Business to Consumer")</f>
        <v/>
      </c>
      <c r="P874" s="1">
        <f>IFERROR(__xludf.DUMMYFUNCTION("""COMPUTED_VALUE"""),"Higher Education, Corporate Training, Lifelong learning/Adult education")</f>
        <v/>
      </c>
      <c r="Q874" s="1">
        <f>IFERROR(__xludf.DUMMYFUNCTION("""COMPUTED_VALUE"""),"Teacher interfacing, System/Administrative")</f>
        <v/>
      </c>
      <c r="R874" s="1" t="n"/>
      <c r="S874" s="1" t="n"/>
      <c r="T874" s="1" t="n"/>
      <c r="U874" s="1" t="n"/>
      <c r="V874" s="1" t="n"/>
      <c r="W874" s="1" t="n"/>
      <c r="X874" s="1" t="n"/>
      <c r="Y874" s="15">
        <f>IFERROR(__xludf.DUMMYFUNCTION("""COMPUTED_VALUE"""),"https://drive.google.com/uc?export=view&amp;id=1plqw43FIAqOA6QGvhY_2jkc6s5q7BOG5")</f>
        <v/>
      </c>
      <c r="Z874" s="1">
        <f>IFERROR(__xludf.DUMMYFUNCTION("""COMPUTED_VALUE"""),"Unverified")</f>
        <v/>
      </c>
      <c r="AA874" s="1" t="n"/>
      <c r="AB874" s="1" t="n"/>
      <c r="AC874" s="1" t="n"/>
      <c r="AD874" s="1" t="n"/>
      <c r="AE874" s="1" t="n"/>
    </row>
    <row r="875" ht="42" customHeight="1">
      <c r="A875" s="14">
        <f>IFERROR(__xludf.DUMMYFUNCTION("""COMPUTED_VALUE"""),45181)</f>
        <v/>
      </c>
      <c r="B875" s="1">
        <f>IFERROR(__xludf.DUMMYFUNCTION("""COMPUTED_VALUE"""),"ORG_1463")</f>
        <v/>
      </c>
      <c r="C875" s="1">
        <f>IFERROR(__xludf.DUMMYFUNCTION("""COMPUTED_VALUE"""),TRUE)</f>
        <v/>
      </c>
      <c r="D875" s="1">
        <f>IFERROR(__xludf.DUMMYFUNCTION("""COMPUTED_VALUE"""),"Eduten Ltd")</f>
        <v/>
      </c>
      <c r="E875" s="15">
        <f>IFERROR(__xludf.DUMMYFUNCTION("""COMPUTED_VALUE"""),"www.eduten.com")</f>
        <v/>
      </c>
      <c r="F875" s="1">
        <f>IFERROR(__xludf.DUMMYFUNCTION("""COMPUTED_VALUE"""),"Eduten is a gamified learning platform that brings a scientifically proven improvement to learning results, student motivation and teacher happiness. 
Eduten's main product is a mathematics practice tool for students and teachers. It's used by more than "&amp;"50% of teachers in Finland, and in 65 countries worldwide. More than 1 million students currently use it. 
Eduten's vast content library has been designed and tested alongside Finnish teachers. Its adaptive AI engine helps teachers to differentiate conte"&amp;"nt for each individual student.")</f>
        <v/>
      </c>
      <c r="G875" s="1">
        <f>IFERROR(__xludf.DUMMYFUNCTION("""COMPUTED_VALUE"""),"EdTech Finland")</f>
        <v/>
      </c>
      <c r="H875" s="1" t="n"/>
      <c r="I875" s="1">
        <f>IFERROR(__xludf.DUMMYFUNCTION("""COMPUTED_VALUE"""),"henri@eduten.com")</f>
        <v/>
      </c>
      <c r="J875" s="1">
        <f>IFERROR(__xludf.DUMMYFUNCTION("""COMPUTED_VALUE"""),"+358 40 0474778")</f>
        <v/>
      </c>
      <c r="K875" s="1">
        <f>IFERROR(__xludf.DUMMYFUNCTION("""COMPUTED_VALUE"""),"TURKU")</f>
        <v/>
      </c>
      <c r="L875" s="1">
        <f>IFERROR(__xludf.DUMMYFUNCTION("""COMPUTED_VALUE"""),"Finland")</f>
        <v/>
      </c>
      <c r="M875" s="1">
        <f>IFERROR(__xludf.DUMMYFUNCTION("""COMPUTED_VALUE"""),"Belgium, Bosnia and Herzegovina, Bulgaria, Estonia, Finland, France, Greece, Hungary, Italy, Latvia, Lithuania, Netherlands, Poland, Portugal, Spain, Sweden, Ukraine")</f>
        <v/>
      </c>
      <c r="N875" s="1">
        <f>IFERROR(__xludf.DUMMYFUNCTION("""COMPUTED_VALUE"""),"0 to 10")</f>
        <v/>
      </c>
      <c r="O875" s="1">
        <f>IFERROR(__xludf.DUMMYFUNCTION("""COMPUTED_VALUE"""),"Business to Business, Business to Consumer, Business to Government, Business to Schools")</f>
        <v/>
      </c>
      <c r="P875" s="1">
        <f>IFERROR(__xludf.DUMMYFUNCTION("""COMPUTED_VALUE"""),"Primary Education, Secondary Education")</f>
        <v/>
      </c>
      <c r="Q875" s="1">
        <f>IFERROR(__xludf.DUMMYFUNCTION("""COMPUTED_VALUE"""),"Teacher interfacing, System/Administrative")</f>
        <v/>
      </c>
      <c r="R875" s="15">
        <f>IFERROR(__xludf.DUMMYFUNCTION("""COMPUTED_VALUE"""),"https://www.instagram.com/edutenofficial/")</f>
        <v/>
      </c>
      <c r="S875" s="15">
        <f>IFERROR(__xludf.DUMMYFUNCTION("""COMPUTED_VALUE"""),"https://twitter.com/EdutenOfficial")</f>
        <v/>
      </c>
      <c r="T875" s="15">
        <f>IFERROR(__xludf.DUMMYFUNCTION("""COMPUTED_VALUE"""),"https://www.linkedin.com/company/eduten")</f>
        <v/>
      </c>
      <c r="U875" s="1">
        <f>IFERROR(__xludf.DUMMYFUNCTION("""COMPUTED_VALUE"""),"Eduten")</f>
        <v/>
      </c>
      <c r="V875" s="1">
        <f>IFERROR(__xludf.DUMMYFUNCTION("""COMPUTED_VALUE"""),"Eduten is Finland’s #1 learning platform. It brings a scientifically proven improvement to learning results, student motivation and teacher happiness. It's used by teachers in Finland, and in 65 countries worldwide. 
Eduten's adaptive AI engine helps tea"&amp;"chers to differentiate content for each individual student. No more marking for hours on end - Eduten does it all for you!
Using Eduten improves mathematics results and helps students understand the importance of mistakes as a path to improvement and disc"&amp;"overy. It’s a fun way to learn.")</f>
        <v/>
      </c>
      <c r="W875" s="1" t="n"/>
      <c r="X875" s="1" t="n"/>
      <c r="Y875" s="15">
        <f>IFERROR(__xludf.DUMMYFUNCTION("""COMPUTED_VALUE"""),"https://drive.google.com/uc?export=view&amp;id=1d6zckjbsYCjm4_Yk8KppZJ5ojhjWQs5G")</f>
        <v/>
      </c>
      <c r="Z875" s="1">
        <f>IFERROR(__xludf.DUMMYFUNCTION("""COMPUTED_VALUE"""),"Unverified")</f>
        <v/>
      </c>
      <c r="AA875" s="1" t="n"/>
      <c r="AB875" s="1" t="n"/>
      <c r="AC875" s="1" t="n"/>
      <c r="AD875" s="1" t="n"/>
      <c r="AE875" s="1" t="n"/>
    </row>
    <row r="876" ht="42" customHeight="1">
      <c r="A876" s="14">
        <f>IFERROR(__xludf.DUMMYFUNCTION("""COMPUTED_VALUE"""),45181)</f>
        <v/>
      </c>
      <c r="B876" s="1">
        <f>IFERROR(__xludf.DUMMYFUNCTION("""COMPUTED_VALUE"""),"ORG_1545")</f>
        <v/>
      </c>
      <c r="C876" s="1">
        <f>IFERROR(__xludf.DUMMYFUNCTION("""COMPUTED_VALUE"""),TRUE)</f>
        <v/>
      </c>
      <c r="D876" s="1">
        <f>IFERROR(__xludf.DUMMYFUNCTION("""COMPUTED_VALUE"""),"EyeJustRead")</f>
        <v/>
      </c>
      <c r="E876" s="15">
        <f>IFERROR(__xludf.DUMMYFUNCTION("""COMPUTED_VALUE"""),"www.eyejustread.com")</f>
        <v/>
      </c>
      <c r="F876" s="1">
        <f>IFERROR(__xludf.DUMMYFUNCTION("""COMPUTED_VALUE"""),"Data-driven reading education - Work smarter with your students. EyeJustRead is an award-winning solution use eye and voice data to quickly and easily provide feedback and insights that improve reading education.")</f>
        <v/>
      </c>
      <c r="G876" s="1">
        <f>IFERROR(__xludf.DUMMYFUNCTION("""COMPUTED_VALUE"""),"EdTech Denmark")</f>
        <v/>
      </c>
      <c r="H876" s="1" t="n"/>
      <c r="I876" s="1">
        <f>IFERROR(__xludf.DUMMYFUNCTION("""COMPUTED_VALUE"""),"info@eyejustread.com")</f>
        <v/>
      </c>
      <c r="J876" s="1">
        <f>IFERROR(__xludf.DUMMYFUNCTION("""COMPUTED_VALUE"""),"+ 45 4422 8040")</f>
        <v/>
      </c>
      <c r="K876" s="1">
        <f>IFERROR(__xludf.DUMMYFUNCTION("""COMPUTED_VALUE"""),"Copenhagen")</f>
        <v/>
      </c>
      <c r="L876" s="1">
        <f>IFERROR(__xludf.DUMMYFUNCTION("""COMPUTED_VALUE"""),"Denmark")</f>
        <v/>
      </c>
      <c r="M876" s="1">
        <f>IFERROR(__xludf.DUMMYFUNCTION("""COMPUTED_VALUE"""),"Denmark, Iceland")</f>
        <v/>
      </c>
      <c r="N876" s="1">
        <f>IFERROR(__xludf.DUMMYFUNCTION("""COMPUTED_VALUE"""),"0 to 10")</f>
        <v/>
      </c>
      <c r="O876" s="1">
        <f>IFERROR(__xludf.DUMMYFUNCTION("""COMPUTED_VALUE"""),"Business to Business, Business to Consumer, Business to Schools")</f>
        <v/>
      </c>
      <c r="P876" s="1">
        <f>IFERROR(__xludf.DUMMYFUNCTION("""COMPUTED_VALUE"""),"Primary Education, Secondary Education")</f>
        <v/>
      </c>
      <c r="Q876" s="1">
        <f>IFERROR(__xludf.DUMMYFUNCTION("""COMPUTED_VALUE"""),"Teacher interfacing, Student interfacing")</f>
        <v/>
      </c>
      <c r="R876" s="1" t="n"/>
      <c r="S876" s="1" t="n"/>
      <c r="T876" s="15">
        <f>IFERROR(__xludf.DUMMYFUNCTION("""COMPUTED_VALUE"""),"https://www.linkedin.com/company/eyejustread/")</f>
        <v/>
      </c>
      <c r="U876" s="1">
        <f>IFERROR(__xludf.DUMMYFUNCTION("""COMPUTED_VALUE"""),"EyeJustread")</f>
        <v/>
      </c>
      <c r="V876" s="1">
        <f>IFERROR(__xludf.DUMMYFUNCTION("""COMPUTED_VALUE"""),"EyeJustRead is a reading tool for educators that supports challenged readers through a systematic and ongoing process by unboxing what happens while a child reads.
We combine reading data from eyetracking and read-a-loud to enable educators to work smart"&amp;"er with reading education. The system provides tangible feedback and insights allowing for sparring on a new level across students, teachers, parents and others.
Reading educators can provide individual insights and feedback and always keeping track of e"&amp;"ach student. You can also involve all the people surrounding a struggling reader and save a lot of time on manual processes that are automated in EyeJustRead.")</f>
        <v/>
      </c>
      <c r="W876" s="1" t="n"/>
      <c r="X876" s="1" t="n"/>
      <c r="Y876" s="15">
        <f>IFERROR(__xludf.DUMMYFUNCTION("""COMPUTED_VALUE"""),"https://drive.google.com/uc?export=view&amp;id=1PKotzgYYDwWVeWZ-FMwej9N4CrEZ3hXa")</f>
        <v/>
      </c>
      <c r="Z876" s="1">
        <f>IFERROR(__xludf.DUMMYFUNCTION("""COMPUTED_VALUE"""),"Unverified")</f>
        <v/>
      </c>
      <c r="AA876" s="1" t="n"/>
      <c r="AB876" s="1" t="n"/>
      <c r="AC876" s="1" t="n"/>
      <c r="AD876" s="1" t="n"/>
      <c r="AE876" s="1" t="n"/>
    </row>
    <row r="877" ht="42" customHeight="1">
      <c r="A877" s="14">
        <f>IFERROR(__xludf.DUMMYFUNCTION("""COMPUTED_VALUE"""),45181)</f>
        <v/>
      </c>
      <c r="B877" s="1">
        <f>IFERROR(__xludf.DUMMYFUNCTION("""COMPUTED_VALUE"""),"ORG_2109")</f>
        <v/>
      </c>
      <c r="C877" s="1">
        <f>IFERROR(__xludf.DUMMYFUNCTION("""COMPUTED_VALUE"""),TRUE)</f>
        <v/>
      </c>
      <c r="D877" s="1">
        <f>IFERROR(__xludf.DUMMYFUNCTION("""COMPUTED_VALUE"""),"Play Included")</f>
        <v/>
      </c>
      <c r="E877" s="15">
        <f>IFERROR(__xludf.DUMMYFUNCTION("""COMPUTED_VALUE"""),"www.playincluded.com")</f>
        <v/>
      </c>
      <c r="F877" s="1">
        <f>IFERROR(__xludf.DUMMYFUNCTION("""COMPUTED_VALUE"""),"Play Included’s mission is to make sure every child has access to positive social experiences and has the chance to make friends through play. The Brick-by-Brick programme is a collaborative play concept where children build LEGO models together in a club"&amp;" called Brick Club. The programme is carefully designed to support young people to have meaningful social opportunities, develop friendships, a sense of belonging and to exercise collaboration, communication and problem-solving skills. Play Included act a"&amp;"s a Learning Centre, ensuring young people achieve the best outcomes through professional training, resources, partnerships and research. Launched in March 2021, the Brick-by-Brick® programme offers meaningful social opportunities to neurodivergent childr"&amp;"en through collaborative LEGO play in Brick Clubs. The Brick-by-Brick programme celebrates and recognises neurodiversity and promotes inclusion. Children get a lot of benefit from Brick Clubs, as they can be themselves, meet children who share an interest"&amp;" in LEGO building, collaborate as a team and develop long-term friendships. Children start to feel less anxious in a group situation, develop many skills and start to have a sense of belonging.")</f>
        <v/>
      </c>
      <c r="G877" s="1">
        <f>IFERROR(__xludf.DUMMYFUNCTION("""COMPUTED_VALUE"""),"I'm not part of any EdTech association")</f>
        <v/>
      </c>
      <c r="H877" s="1" t="n"/>
      <c r="I877" s="1">
        <f>IFERROR(__xludf.DUMMYFUNCTION("""COMPUTED_VALUE"""),"hello@playincluded.com")</f>
        <v/>
      </c>
      <c r="J877" s="1">
        <f>IFERROR(__xludf.DUMMYFUNCTION("""COMPUTED_VALUE"""),"01223 919831")</f>
        <v/>
      </c>
      <c r="K877" s="1">
        <f>IFERROR(__xludf.DUMMYFUNCTION("""COMPUTED_VALUE"""),"Duxford")</f>
        <v/>
      </c>
      <c r="L877" s="1">
        <f>IFERROR(__xludf.DUMMYFUNCTION("""COMPUTED_VALUE"""),"United Kingdom")</f>
        <v/>
      </c>
      <c r="M877" s="1">
        <f>IFERROR(__xludf.DUMMYFUNCTION("""COMPUTED_VALUE"""),"Denmark, France, Ireland, Malta, Portugal, Spain, United Kingdom")</f>
        <v/>
      </c>
      <c r="N877" s="1">
        <f>IFERROR(__xludf.DUMMYFUNCTION("""COMPUTED_VALUE"""),"0 to 10")</f>
        <v/>
      </c>
      <c r="O877" s="1">
        <f>IFERROR(__xludf.DUMMYFUNCTION("""COMPUTED_VALUE"""),"Business to Business, Business to Government")</f>
        <v/>
      </c>
      <c r="P877" s="1">
        <f>IFERROR(__xludf.DUMMYFUNCTION("""COMPUTED_VALUE"""),"Primary Education, Secondary Education, Higher Education")</f>
        <v/>
      </c>
      <c r="Q877" s="1">
        <f>IFERROR(__xludf.DUMMYFUNCTION("""COMPUTED_VALUE"""),"System/Administrative, Student interfacing, Teacher interfacing")</f>
        <v/>
      </c>
      <c r="R877" s="1" t="n"/>
      <c r="S877" s="1" t="n"/>
      <c r="T877" s="1" t="n"/>
      <c r="U877" s="1" t="n"/>
      <c r="V877" s="1" t="n"/>
      <c r="W877" s="1" t="n"/>
      <c r="X877" s="1" t="n"/>
      <c r="Y877" s="15">
        <f>IFERROR(__xludf.DUMMYFUNCTION("""COMPUTED_VALUE"""),"https://drive.google.com/uc?export=view&amp;id=1xvCpqv8CTcRUcsEqgHnaTlM2mzWPl5to")</f>
        <v/>
      </c>
      <c r="Z877" s="1">
        <f>IFERROR(__xludf.DUMMYFUNCTION("""COMPUTED_VALUE"""),"Unverified")</f>
        <v/>
      </c>
      <c r="AA877" s="1" t="n"/>
      <c r="AB877" s="1" t="n"/>
      <c r="AC877" s="1" t="n"/>
      <c r="AD877" s="1" t="n"/>
      <c r="AE877" s="1" t="n"/>
    </row>
    <row r="878" ht="42" customHeight="1">
      <c r="A878" s="14">
        <f>IFERROR(__xludf.DUMMYFUNCTION("""COMPUTED_VALUE"""),45181)</f>
        <v/>
      </c>
      <c r="B878" s="1">
        <f>IFERROR(__xludf.DUMMYFUNCTION("""COMPUTED_VALUE"""),"ORG_2152")</f>
        <v/>
      </c>
      <c r="C878" s="1">
        <f>IFERROR(__xludf.DUMMYFUNCTION("""COMPUTED_VALUE"""),TRUE)</f>
        <v/>
      </c>
      <c r="D878" s="1">
        <f>IFERROR(__xludf.DUMMYFUNCTION("""COMPUTED_VALUE"""),"Raccoon Dynamics GmbH")</f>
        <v/>
      </c>
      <c r="E878" s="15">
        <f>IFERROR(__xludf.DUMMYFUNCTION("""COMPUTED_VALUE"""),"https://www.teachis.net")</f>
        <v/>
      </c>
      <c r="F878" s="1">
        <f>IFERROR(__xludf.DUMMYFUNCTION("""COMPUTED_VALUE"""),"Raccoon Dynamics offers services and productions in the education technology area. Our goal is to help teachers of all kind to lower the time spent on administrative task and focus on their core competence: The education of future generations.")</f>
        <v/>
      </c>
      <c r="G878" s="1">
        <f>IFERROR(__xludf.DUMMYFUNCTION("""COMPUTED_VALUE"""),"EdTech Austria")</f>
        <v/>
      </c>
      <c r="H878" s="1" t="n"/>
      <c r="I878" s="1">
        <f>IFERROR(__xludf.DUMMYFUNCTION("""COMPUTED_VALUE"""),"support@teachis.net")</f>
        <v/>
      </c>
      <c r="J878" s="1" t="n"/>
      <c r="K878" s="1">
        <f>IFERROR(__xludf.DUMMYFUNCTION("""COMPUTED_VALUE"""),"LINZ")</f>
        <v/>
      </c>
      <c r="L878" s="1">
        <f>IFERROR(__xludf.DUMMYFUNCTION("""COMPUTED_VALUE"""),"Austria")</f>
        <v/>
      </c>
      <c r="M878" s="1">
        <f>IFERROR(__xludf.DUMMYFUNCTION("""COMPUTED_VALUE"""),"Austria, Germany")</f>
        <v/>
      </c>
      <c r="N878" s="1">
        <f>IFERROR(__xludf.DUMMYFUNCTION("""COMPUTED_VALUE"""),"0 to 10")</f>
        <v/>
      </c>
      <c r="O878" s="1">
        <f>IFERROR(__xludf.DUMMYFUNCTION("""COMPUTED_VALUE"""),"Business to Business, Business to Government")</f>
        <v/>
      </c>
      <c r="P878" s="1">
        <f>IFERROR(__xludf.DUMMYFUNCTION("""COMPUTED_VALUE"""),"Primary Education, Secondary Education, Higher Education")</f>
        <v/>
      </c>
      <c r="Q878" s="1">
        <f>IFERROR(__xludf.DUMMYFUNCTION("""COMPUTED_VALUE"""),"Teacher interfacing, System/Administrative")</f>
        <v/>
      </c>
      <c r="R878" s="15">
        <f>IFERROR(__xludf.DUMMYFUNCTION("""COMPUTED_VALUE"""),"https://www.instagram.com/teachisnet")</f>
        <v/>
      </c>
      <c r="S878" s="15">
        <f>IFERROR(__xludf.DUMMYFUNCTION("""COMPUTED_VALUE"""),"https://twitter.com/TeachisNet")</f>
        <v/>
      </c>
      <c r="T878" s="15">
        <f>IFERROR(__xludf.DUMMYFUNCTION("""COMPUTED_VALUE"""),"https://www.linkedin.com/company/teachis/")</f>
        <v/>
      </c>
      <c r="U878" s="1">
        <f>IFERROR(__xludf.DUMMYFUNCTION("""COMPUTED_VALUE"""),"TEACHIS")</f>
        <v/>
      </c>
      <c r="V878" s="1">
        <f>IFERROR(__xludf.DUMMYFUNCTION("""COMPUTED_VALUE"""),"With TEACHIS, teachers can manage their entire work such as lesson planning and class management. They can write their full annual schedule as well as the daily schedule and take notes and grades of students while teaching the lesson. All information can "&amp;"be used to have an up-to-date view on the level of proficiency of their students and use in scenarios like parent-teacher interviews.")</f>
        <v/>
      </c>
      <c r="W878" s="1" t="n"/>
      <c r="X878" s="1" t="n"/>
      <c r="Y878" s="15">
        <f>IFERROR(__xludf.DUMMYFUNCTION("""COMPUTED_VALUE"""),"https://drive.google.com/uc?export=view&amp;id=1XQ9jeYSQMNWPVGfy63hYCc4mxb9PXNll")</f>
        <v/>
      </c>
      <c r="Z878" s="1">
        <f>IFERROR(__xludf.DUMMYFUNCTION("""COMPUTED_VALUE"""),"Unverified")</f>
        <v/>
      </c>
      <c r="AA878" s="1" t="n"/>
      <c r="AB878" s="1" t="n"/>
      <c r="AC878" s="1" t="n"/>
      <c r="AD878" s="1" t="n"/>
      <c r="AE878" s="1" t="n"/>
    </row>
    <row r="879" ht="42" customHeight="1">
      <c r="A879" s="14">
        <f>IFERROR(__xludf.DUMMYFUNCTION("""COMPUTED_VALUE"""),45181)</f>
        <v/>
      </c>
      <c r="B879" s="1">
        <f>IFERROR(__xludf.DUMMYFUNCTION("""COMPUTED_VALUE"""),"ORG_2441")</f>
        <v/>
      </c>
      <c r="C879" s="1">
        <f>IFERROR(__xludf.DUMMYFUNCTION("""COMPUTED_VALUE"""),TRUE)</f>
        <v/>
      </c>
      <c r="D879" s="1">
        <f>IFERROR(__xludf.DUMMYFUNCTION("""COMPUTED_VALUE"""),"TUTORize GmbH")</f>
        <v/>
      </c>
      <c r="E879" s="15">
        <f>IFERROR(__xludf.DUMMYFUNCTION("""COMPUTED_VALUE"""),"tutorize.com")</f>
        <v/>
      </c>
      <c r="F879" s="1">
        <f>IFERROR(__xludf.DUMMYFUNCTION("""COMPUTED_VALUE"""),"TUTORize is a german software development company providing a state of the art learning management, talent management and knowledge management system. The system is easy to learn, highly secure and available as SaaS and OnPremise. TUTORize also offers pre"&amp;"filled academies with content (e-learning and other content) from many partners in Europe.")</f>
        <v/>
      </c>
      <c r="G879" s="1">
        <f>IFERROR(__xludf.DUMMYFUNCTION("""COMPUTED_VALUE"""),"I'm not part of any EdTech association")</f>
        <v/>
      </c>
      <c r="H879" s="1" t="n"/>
      <c r="I879" s="1">
        <f>IFERROR(__xludf.DUMMYFUNCTION("""COMPUTED_VALUE"""),"info@tutorize.com")</f>
        <v/>
      </c>
      <c r="J879" s="1">
        <f>IFERROR(__xludf.DUMMYFUNCTION("""COMPUTED_VALUE"""),"4926120178036")</f>
        <v/>
      </c>
      <c r="K879" s="1">
        <f>IFERROR(__xludf.DUMMYFUNCTION("""COMPUTED_VALUE"""),"KOBLENZ")</f>
        <v/>
      </c>
      <c r="L879" s="1">
        <f>IFERROR(__xludf.DUMMYFUNCTION("""COMPUTED_VALUE"""),"Germany")</f>
        <v/>
      </c>
      <c r="M879" s="1">
        <f>IFERROR(__xludf.DUMMYFUNCTION("""COMPUTED_VALUE"""),"Austria, Denmark, Germany, Ireland, Liechtenstein, Luxembourg, Netherlands, Norway, Sweden, Switzerland, United Kingdom")</f>
        <v/>
      </c>
      <c r="N879" s="1">
        <f>IFERROR(__xludf.DUMMYFUNCTION("""COMPUTED_VALUE"""),"11 to 50")</f>
        <v/>
      </c>
      <c r="O879" s="1">
        <f>IFERROR(__xludf.DUMMYFUNCTION("""COMPUTED_VALUE"""),"Business to Business, Business to Government, Business to Schools")</f>
        <v/>
      </c>
      <c r="P879" s="1">
        <f>IFERROR(__xludf.DUMMYFUNCTION("""COMPUTED_VALUE"""),"Corporate Training, Lifelong learning/Adult education")</f>
        <v/>
      </c>
      <c r="Q879" s="1">
        <f>IFERROR(__xludf.DUMMYFUNCTION("""COMPUTED_VALUE"""),"Teacher interfacing, Student interfacing, System/Administrative")</f>
        <v/>
      </c>
      <c r="R879" s="1" t="n"/>
      <c r="S879" s="1" t="n"/>
      <c r="T879" s="1" t="n"/>
      <c r="U879" s="1" t="n"/>
      <c r="V879" s="1" t="n"/>
      <c r="W879" s="1" t="n"/>
      <c r="X879" s="1" t="n"/>
      <c r="Y879" s="15">
        <f>IFERROR(__xludf.DUMMYFUNCTION("""COMPUTED_VALUE"""),"https://drive.google.com/uc?export=view&amp;id=1blUQhduBnzJsjvccg8bLuERy2PzuYHoO")</f>
        <v/>
      </c>
      <c r="Z879" s="1">
        <f>IFERROR(__xludf.DUMMYFUNCTION("""COMPUTED_VALUE"""),"Unverified")</f>
        <v/>
      </c>
      <c r="AA879" s="1" t="n"/>
      <c r="AB879" s="1" t="n"/>
      <c r="AC879" s="1" t="n"/>
      <c r="AD879" s="1" t="n"/>
      <c r="AE879" s="1" t="n"/>
    </row>
    <row r="880" ht="42" customHeight="1">
      <c r="A880" s="14">
        <f>IFERROR(__xludf.DUMMYFUNCTION("""COMPUTED_VALUE"""),45181)</f>
        <v/>
      </c>
      <c r="B880" s="1">
        <f>IFERROR(__xludf.DUMMYFUNCTION("""COMPUTED_VALUE"""),"ORG_1556")</f>
        <v/>
      </c>
      <c r="C880" s="1">
        <f>IFERROR(__xludf.DUMMYFUNCTION("""COMPUTED_VALUE"""),TRUE)</f>
        <v/>
      </c>
      <c r="D880" s="1">
        <f>IFERROR(__xludf.DUMMYFUNCTION("""COMPUTED_VALUE"""),"Featherbed Tales")</f>
        <v/>
      </c>
      <c r="E880" s="15">
        <f>IFERROR(__xludf.DUMMYFUNCTION("""COMPUTED_VALUE"""),"https://www.featherbedtales.com/")</f>
        <v/>
      </c>
      <c r="F880" s="1">
        <f>IFERROR(__xludf.DUMMYFUNCTION("""COMPUTED_VALUE"""),"Beautiful recordable digital picture books to increase engagement with books for reluctant readers and to support speech and language development along with literacy in early years development. Fun technology and easy recording process for all children. E"&amp;"specially supports children with lower levels of parental engagement and support in reading and families where English is a second language.")</f>
        <v/>
      </c>
      <c r="G880" s="1">
        <f>IFERROR(__xludf.DUMMYFUNCTION("""COMPUTED_VALUE"""),"I'm not part of any EdTech association")</f>
        <v/>
      </c>
      <c r="H880" s="1" t="n"/>
      <c r="I880" s="1">
        <f>IFERROR(__xludf.DUMMYFUNCTION("""COMPUTED_VALUE"""),"hello@featherbedtales.com")</f>
        <v/>
      </c>
      <c r="J880" s="1">
        <f>IFERROR(__xludf.DUMMYFUNCTION("""COMPUTED_VALUE"""),"+44 7804914294")</f>
        <v/>
      </c>
      <c r="K880" s="1">
        <f>IFERROR(__xludf.DUMMYFUNCTION("""COMPUTED_VALUE"""),"Kidd Road Farm Kidd Road")</f>
        <v/>
      </c>
      <c r="L880" s="1">
        <f>IFERROR(__xludf.DUMMYFUNCTION("""COMPUTED_VALUE"""),"United Kingdom")</f>
        <v/>
      </c>
      <c r="M880" s="1">
        <f>IFERROR(__xludf.DUMMYFUNCTION("""COMPUTED_VALUE"""),"United Kingdom")</f>
        <v/>
      </c>
      <c r="N880" s="1">
        <f>IFERROR(__xludf.DUMMYFUNCTION("""COMPUTED_VALUE"""),"0 to 10")</f>
        <v/>
      </c>
      <c r="O880" s="1">
        <f>IFERROR(__xludf.DUMMYFUNCTION("""COMPUTED_VALUE"""),"Business to Business")</f>
        <v/>
      </c>
      <c r="P880" s="1">
        <f>IFERROR(__xludf.DUMMYFUNCTION("""COMPUTED_VALUE"""),"Early childhood development (0-5 years), Primary Education")</f>
        <v/>
      </c>
      <c r="Q880" s="1">
        <f>IFERROR(__xludf.DUMMYFUNCTION("""COMPUTED_VALUE"""),"System/Administrative, Student interfacing, Teacher interfacing")</f>
        <v/>
      </c>
      <c r="R880" s="1" t="n"/>
      <c r="S880" s="1" t="n"/>
      <c r="T880" s="1" t="n"/>
      <c r="U880" s="1" t="n"/>
      <c r="V880" s="1" t="n"/>
      <c r="W880" s="1" t="n"/>
      <c r="X880" s="1" t="n"/>
      <c r="Y880" s="15">
        <f>IFERROR(__xludf.DUMMYFUNCTION("""COMPUTED_VALUE"""),"https://drive.google.com/uc?export=view&amp;id=1zEYMAvtlUZ9hmZN0xo8cyTHTVmvtilx6")</f>
        <v/>
      </c>
      <c r="Z880" s="1">
        <f>IFERROR(__xludf.DUMMYFUNCTION("""COMPUTED_VALUE"""),"Unverified")</f>
        <v/>
      </c>
      <c r="AA880" s="1" t="n"/>
      <c r="AB880" s="1" t="n"/>
      <c r="AC880" s="1" t="n"/>
      <c r="AD880" s="1" t="n"/>
      <c r="AE880" s="1" t="n"/>
    </row>
    <row r="881" ht="42" customHeight="1">
      <c r="A881" s="14">
        <f>IFERROR(__xludf.DUMMYFUNCTION("""COMPUTED_VALUE"""),45181)</f>
        <v/>
      </c>
      <c r="B881" s="1">
        <f>IFERROR(__xludf.DUMMYFUNCTION("""COMPUTED_VALUE"""),"ORG_1599")</f>
        <v/>
      </c>
      <c r="C881" s="1">
        <f>IFERROR(__xludf.DUMMYFUNCTION("""COMPUTED_VALUE"""),TRUE)</f>
        <v/>
      </c>
      <c r="D881" s="1">
        <f>IFERROR(__xludf.DUMMYFUNCTION("""COMPUTED_VALUE"""),"Future Instruments SA")</f>
        <v/>
      </c>
      <c r="E881" s="15">
        <f>IFERROR(__xludf.DUMMYFUNCTION("""COMPUTED_VALUE"""),"www.kinaps.co")</f>
        <v/>
      </c>
      <c r="F881" s="1">
        <f>IFERROR(__xludf.DUMMYFUNCTION("""COMPUTED_VALUE"""),"New generation of learners
Make a move towards collaborative learning.
Kinaps is a revolutionary technology to enhance the education process through sharing and collaboration. With Kinaps, traditional lessons are turned into highly interactive sessions, b"&amp;"oosting students engagement, motivation and productivity. Educational content can be exchanged between teacher and students more simply and intuitively than ever before.
Create greater learning experience and enrich lessons with a wide variety of contents"&amp;" from online or offline sources. Learning can also extend beyond classrooms. With Kinaps, time and distance are not a barrier for creating knowledge.")</f>
        <v/>
      </c>
      <c r="G881" s="1">
        <f>IFERROR(__xludf.DUMMYFUNCTION("""COMPUTED_VALUE"""),"Swiss EdTech Collider")</f>
        <v/>
      </c>
      <c r="H881" s="1" t="n"/>
      <c r="I881" s="1" t="n"/>
      <c r="J881" s="1" t="n"/>
      <c r="K881" s="1">
        <f>IFERROR(__xludf.DUMMYFUNCTION("""COMPUTED_VALUE"""),"Lausanne")</f>
        <v/>
      </c>
      <c r="L881" s="1">
        <f>IFERROR(__xludf.DUMMYFUNCTION("""COMPUTED_VALUE"""),"Switzerland")</f>
        <v/>
      </c>
      <c r="M881" s="1">
        <f>IFERROR(__xludf.DUMMYFUNCTION("""COMPUTED_VALUE"""),"Switzerland")</f>
        <v/>
      </c>
      <c r="N881" s="1">
        <f>IFERROR(__xludf.DUMMYFUNCTION("""COMPUTED_VALUE"""),"0 to 10")</f>
        <v/>
      </c>
      <c r="O881" s="1">
        <f>IFERROR(__xludf.DUMMYFUNCTION("""COMPUTED_VALUE"""),"Business to Business, Business to Consumer")</f>
        <v/>
      </c>
      <c r="P881" s="1">
        <f>IFERROR(__xludf.DUMMYFUNCTION("""COMPUTED_VALUE"""),"Primary Education, Secondary Education, Higher Education, Corporate Training, Lifelong learning/Adult education")</f>
        <v/>
      </c>
      <c r="Q881" s="1">
        <f>IFERROR(__xludf.DUMMYFUNCTION("""COMPUTED_VALUE"""),"Teacher interfacing, Student interfacing, System/Administrative")</f>
        <v/>
      </c>
      <c r="R881" s="1" t="n"/>
      <c r="S881" s="1" t="n"/>
      <c r="T881" s="1" t="n"/>
      <c r="U881" s="1">
        <f>IFERROR(__xludf.DUMMYFUNCTION("""COMPUTED_VALUE"""),"Kinaps")</f>
        <v/>
      </c>
      <c r="V881" s="1">
        <f>IFERROR(__xludf.DUMMYFUNCTION("""COMPUTED_VALUE"""),"New generation of learners
Make a move towards collaborative learning.
Kinaps is a revolutionary technology to enhance the education process through sharing and collaboration. With Kinaps, traditional lessons are turned into highly interactive sessions, b"&amp;"oosting students engagement, motivation and productivity. Educational content can be exchanged between teacher and students more simply and intuitively than ever before.
Create greater learning experience and enrich lessons with a wide variety of contents"&amp;" from online or offline sources. Learning can also extend beyond classrooms. With Kinaps, time and distance are not a barrier for creating knowledge.")</f>
        <v/>
      </c>
      <c r="W881" s="1" t="n"/>
      <c r="X881" s="1" t="n"/>
      <c r="Y881" s="15">
        <f>IFERROR(__xludf.DUMMYFUNCTION("""COMPUTED_VALUE"""),"https://drive.google.com/uc?export=view&amp;id=1pVoRLjGa2FgSvVPo8zsQ0RmkejF8utfi")</f>
        <v/>
      </c>
      <c r="Z881" s="1">
        <f>IFERROR(__xludf.DUMMYFUNCTION("""COMPUTED_VALUE"""),"Unverified")</f>
        <v/>
      </c>
      <c r="AA881" s="1" t="n"/>
      <c r="AB881" s="1" t="n"/>
      <c r="AC881" s="1" t="n"/>
      <c r="AD881" s="1" t="n"/>
      <c r="AE881" s="1" t="n"/>
    </row>
    <row r="882" ht="42" customHeight="1">
      <c r="A882" s="14">
        <f>IFERROR(__xludf.DUMMYFUNCTION("""COMPUTED_VALUE"""),45181)</f>
        <v/>
      </c>
      <c r="B882" s="1">
        <f>IFERROR(__xludf.DUMMYFUNCTION("""COMPUTED_VALUE"""),"ORG_1612")</f>
        <v/>
      </c>
      <c r="C882" s="1">
        <f>IFERROR(__xludf.DUMMYFUNCTION("""COMPUTED_VALUE"""),TRUE)</f>
        <v/>
      </c>
      <c r="D882" s="1">
        <f>IFERROR(__xludf.DUMMYFUNCTION("""COMPUTED_VALUE"""),"Geego Kids")</f>
        <v/>
      </c>
      <c r="E882" s="15">
        <f>IFERROR(__xludf.DUMMYFUNCTION("""COMPUTED_VALUE"""),"https://www.geegokids.com/")</f>
        <v/>
      </c>
      <c r="F882" s="1">
        <f>IFERROR(__xludf.DUMMYFUNCTION("""COMPUTED_VALUE"""),"Our vision is to be an international learning platform for children's physical activity skills and a concept in a world where the presence and example of adults play an essential role in building a physical lifestyle.
We want every child to feel that the"&amp;"y rock!
We put educators and parents in the centre of getting children moving and offer a holistic approach to getting children active. 
Through learning physical skills, we instil in children a lifelong active lifestyle and a healthy lifestyle.
We inc"&amp;"rease the number of users and the take-up rate of municipal sports infrastructures.
Geego Kids is a Finnish startup founded in 2020. Geego is a pioneer in family activities and has the most innovative and passionate team on the market! ")</f>
        <v/>
      </c>
      <c r="G882" s="1">
        <f>IFERROR(__xludf.DUMMYFUNCTION("""COMPUTED_VALUE"""),"I'm not part of any EdTech association")</f>
        <v/>
      </c>
      <c r="H882" s="1" t="n"/>
      <c r="I882" s="1">
        <f>IFERROR(__xludf.DUMMYFUNCTION("""COMPUTED_VALUE"""),"heidi@geegokids.com")</f>
        <v/>
      </c>
      <c r="J882" s="1">
        <f>IFERROR(__xludf.DUMMYFUNCTION("""COMPUTED_VALUE"""),"+358405213914")</f>
        <v/>
      </c>
      <c r="K882" s="1">
        <f>IFERROR(__xludf.DUMMYFUNCTION("""COMPUTED_VALUE"""),"Hämeenlinna")</f>
        <v/>
      </c>
      <c r="L882" s="1">
        <f>IFERROR(__xludf.DUMMYFUNCTION("""COMPUTED_VALUE"""),"Finland")</f>
        <v/>
      </c>
      <c r="M882" s="1">
        <f>IFERROR(__xludf.DUMMYFUNCTION("""COMPUTED_VALUE"""),"Finland, Sweden")</f>
        <v/>
      </c>
      <c r="N882" s="1">
        <f>IFERROR(__xludf.DUMMYFUNCTION("""COMPUTED_VALUE"""),"0 to 10")</f>
        <v/>
      </c>
      <c r="O882" s="1">
        <f>IFERROR(__xludf.DUMMYFUNCTION("""COMPUTED_VALUE"""),"Business to Business, Business to Consumer, Business to Government, Business to Schools")</f>
        <v/>
      </c>
      <c r="P882" s="1">
        <f>IFERROR(__xludf.DUMMYFUNCTION("""COMPUTED_VALUE"""),"Early childhood development (0-5 years), Primary Education")</f>
        <v/>
      </c>
      <c r="Q882" s="1">
        <f>IFERROR(__xludf.DUMMYFUNCTION("""COMPUTED_VALUE"""),"System/Administrative, Student interfacing, Teacher interfacing")</f>
        <v/>
      </c>
      <c r="R882" s="15">
        <f>IFERROR(__xludf.DUMMYFUNCTION("""COMPUTED_VALUE"""),"www.instagram.com/geegokids")</f>
        <v/>
      </c>
      <c r="S882" s="1" t="n"/>
      <c r="T882" s="15">
        <f>IFERROR(__xludf.DUMMYFUNCTION("""COMPUTED_VALUE"""),"https://www.linkedin.com/company/geegokids")</f>
        <v/>
      </c>
      <c r="U882" s="1">
        <f>IFERROR(__xludf.DUMMYFUNCTION("""COMPUTED_VALUE"""),"Geego App")</f>
        <v/>
      </c>
      <c r="V882" s="1">
        <f>IFERROR(__xludf.DUMMYFUNCTION("""COMPUTED_VALUE"""),"The app, developed by Geego, allows schools and families to carry out a variety of physical and motor challenges both indoors and outdoors. The app also includes different city challenges that inspire the students and families to explore familiar and unfa"&amp;"miliar routes and complete various physical challenges.")</f>
        <v/>
      </c>
      <c r="W882" s="1" t="n"/>
      <c r="X882" s="1" t="n"/>
      <c r="Y882" s="15">
        <f>IFERROR(__xludf.DUMMYFUNCTION("""COMPUTED_VALUE"""),"https://drive.google.com/uc?export=view&amp;id=10a7G3anFZyajIBzXXrue2N8w3uPiZ-n_")</f>
        <v/>
      </c>
      <c r="Z882" s="1">
        <f>IFERROR(__xludf.DUMMYFUNCTION("""COMPUTED_VALUE"""),"Unverified")</f>
        <v/>
      </c>
      <c r="AA882" s="1" t="n"/>
      <c r="AB882" s="1" t="n"/>
      <c r="AC882" s="1" t="n"/>
      <c r="AD882" s="1" t="n"/>
      <c r="AE882" s="1" t="n"/>
    </row>
    <row r="883" ht="42" customHeight="1">
      <c r="A883" s="14">
        <f>IFERROR(__xludf.DUMMYFUNCTION("""COMPUTED_VALUE"""),45181)</f>
        <v/>
      </c>
      <c r="B883" s="1">
        <f>IFERROR(__xludf.DUMMYFUNCTION("""COMPUTED_VALUE"""),"ORG_1674")</f>
        <v/>
      </c>
      <c r="C883" s="1">
        <f>IFERROR(__xludf.DUMMYFUNCTION("""COMPUTED_VALUE"""),TRUE)</f>
        <v/>
      </c>
      <c r="D883" s="1">
        <f>IFERROR(__xludf.DUMMYFUNCTION("""COMPUTED_VALUE"""),"Hexlet")</f>
        <v/>
      </c>
      <c r="E883" s="15">
        <f>IFERROR(__xludf.DUMMYFUNCTION("""COMPUTED_VALUE"""),"https://hexlet.io/")</f>
        <v/>
      </c>
      <c r="F883" s="1">
        <f>IFERROR(__xludf.DUMMYFUNCTION("""COMPUTED_VALUE"""),"Online programming school. Practice with our full-fledged code playgrounds inside your browser, complete learn-by-doing projects, have personalized feedback from our mentors.
Hexlet is made and developed by actual software engineers. We teach what we kno"&amp;"w and what we are proficient at. And programming is our the only focus.")</f>
        <v/>
      </c>
      <c r="G883" s="1">
        <f>IFERROR(__xludf.DUMMYFUNCTION("""COMPUTED_VALUE"""),"I'm not part of any EdTech association")</f>
        <v/>
      </c>
      <c r="H883" s="1" t="n"/>
      <c r="I883" s="1">
        <f>IFERROR(__xludf.DUMMYFUNCTION("""COMPUTED_VALUE"""),"info@hexlet.io")</f>
        <v/>
      </c>
      <c r="J883" s="1" t="n"/>
      <c r="K883" s="1">
        <f>IFERROR(__xludf.DUMMYFUNCTION("""COMPUTED_VALUE"""),"HELSINKI")</f>
        <v/>
      </c>
      <c r="L883" s="1">
        <f>IFERROR(__xludf.DUMMYFUNCTION("""COMPUTED_VALUE"""),"Finland")</f>
        <v/>
      </c>
      <c r="M883" s="1">
        <f>IFERROR(__xludf.DUMMYFUNCTION("""COMPUTED_VALUE"""),"Andorra, Armenia, Austria, Azerbaijan, Belarus, Belgium, Bulgaria, Croatia, Cyprus, Czechia, Denmark, Estonia, Finland, France, Georgia, Germany, Greece, Hungary, Iceland, Ireland, Italy, Kazakhstan, Latvia, Liechtenstein, Lithuania, Luxembourg, Malta, Mo"&amp;"ldova, Monaco, Montenegro, Netherlands, Norway, Poland, Portugal, Romania, Russia, San Marino, Serbia, Slovakia, Slovenia, Spain, Sweden, Switzerland, Turkey, Ukraine, United Kingdom")</f>
        <v/>
      </c>
      <c r="N883" s="1">
        <f>IFERROR(__xludf.DUMMYFUNCTION("""COMPUTED_VALUE"""),"11 to 50")</f>
        <v/>
      </c>
      <c r="O883" s="1">
        <f>IFERROR(__xludf.DUMMYFUNCTION("""COMPUTED_VALUE"""),"Business to Business, Business to Consumer, Business to Schools")</f>
        <v/>
      </c>
      <c r="P883" s="1">
        <f>IFERROR(__xludf.DUMMYFUNCTION("""COMPUTED_VALUE"""),"Higher Education, Corporate Training")</f>
        <v/>
      </c>
      <c r="Q883" s="1">
        <f>IFERROR(__xludf.DUMMYFUNCTION("""COMPUTED_VALUE"""),"Student interfacing, System/Administrative")</f>
        <v/>
      </c>
      <c r="R883" s="1" t="n"/>
      <c r="S883" s="1" t="n"/>
      <c r="T883" s="1" t="n"/>
      <c r="U883" s="1" t="n"/>
      <c r="V883" s="1" t="n"/>
      <c r="W883" s="1" t="n"/>
      <c r="X883" s="1" t="n"/>
      <c r="Y883" s="15">
        <f>IFERROR(__xludf.DUMMYFUNCTION("""COMPUTED_VALUE"""),"https://drive.google.com/uc?export=view&amp;id=1-V4ILeRgAqq75BrZ7oolnHbCgFdHALWi")</f>
        <v/>
      </c>
      <c r="Z883" s="1">
        <f>IFERROR(__xludf.DUMMYFUNCTION("""COMPUTED_VALUE"""),"Unverified")</f>
        <v/>
      </c>
      <c r="AA883" s="1" t="n"/>
      <c r="AB883" s="1" t="n"/>
      <c r="AC883" s="1" t="n"/>
      <c r="AD883" s="1" t="n"/>
      <c r="AE883" s="1" t="n"/>
    </row>
    <row r="884" ht="42" customHeight="1">
      <c r="A884" s="14">
        <f>IFERROR(__xludf.DUMMYFUNCTION("""COMPUTED_VALUE"""),45181)</f>
        <v/>
      </c>
      <c r="B884" s="1">
        <f>IFERROR(__xludf.DUMMYFUNCTION("""COMPUTED_VALUE"""),"ORG_1919")</f>
        <v/>
      </c>
      <c r="C884" s="1">
        <f>IFERROR(__xludf.DUMMYFUNCTION("""COMPUTED_VALUE"""),TRUE)</f>
        <v/>
      </c>
      <c r="D884" s="1">
        <f>IFERROR(__xludf.DUMMYFUNCTION("""COMPUTED_VALUE"""),"MarqLab")</f>
        <v/>
      </c>
      <c r="E884" s="15">
        <f>IFERROR(__xludf.DUMMYFUNCTION("""COMPUTED_VALUE"""),"marq.cc")</f>
        <v/>
      </c>
      <c r="F884" s="1">
        <f>IFERROR(__xludf.DUMMYFUNCTION("""COMPUTED_VALUE"""),"MarqLab is a mobile app that helps users with keeping their motivation by engaging lessons with virtual assistant. Microlearning chat-based approach allows users to learn on the go and and remember material better. The lessons are provided in the form of "&amp;"a story, where users chat with the character - robot Marq and discuss true to life situations and learn grammar and vocabulary in context and friendly, relaxed atmosphere.")</f>
        <v/>
      </c>
      <c r="G884" s="1">
        <f>IFERROR(__xludf.DUMMYFUNCTION("""COMPUTED_VALUE"""),"I'm not part of any EdTech association")</f>
        <v/>
      </c>
      <c r="H884" s="1" t="n"/>
      <c r="I884" s="1">
        <f>IFERROR(__xludf.DUMMYFUNCTION("""COMPUTED_VALUE"""),"copr@marq.cc")</f>
        <v/>
      </c>
      <c r="J884" s="1" t="n"/>
      <c r="K884" s="1">
        <f>IFERROR(__xludf.DUMMYFUNCTION("""COMPUTED_VALUE"""),"TALLIN")</f>
        <v/>
      </c>
      <c r="L884" s="1">
        <f>IFERROR(__xludf.DUMMYFUNCTION("""COMPUTED_VALUE"""),"Estonia")</f>
        <v/>
      </c>
      <c r="M884" s="1">
        <f>IFERROR(__xludf.DUMMYFUNCTION("""COMPUTED_VALUE"""),"Armenia, Belarus, Cyprus, Germany, Kazakhstan, Latvia, Lithuania, Poland, Turkey, Ukraine")</f>
        <v/>
      </c>
      <c r="N884" s="1">
        <f>IFERROR(__xludf.DUMMYFUNCTION("""COMPUTED_VALUE"""),"0 to 10")</f>
        <v/>
      </c>
      <c r="O884" s="1">
        <f>IFERROR(__xludf.DUMMYFUNCTION("""COMPUTED_VALUE"""),"Business to Business, Business to Consumer, Business to Schools")</f>
        <v/>
      </c>
      <c r="P884" s="1">
        <f>IFERROR(__xludf.DUMMYFUNCTION("""COMPUTED_VALUE"""),"Lifelong learning/Adult education")</f>
        <v/>
      </c>
      <c r="Q884" s="1">
        <f>IFERROR(__xludf.DUMMYFUNCTION("""COMPUTED_VALUE"""),"System/Administrative, Student interfacing")</f>
        <v/>
      </c>
      <c r="R884" s="1" t="n"/>
      <c r="S884" s="1" t="n"/>
      <c r="T884" s="1" t="n"/>
      <c r="U884" s="1" t="n"/>
      <c r="V884" s="1" t="n"/>
      <c r="W884" s="1" t="n"/>
      <c r="X884" s="1" t="n"/>
      <c r="Y884" s="15">
        <f>IFERROR(__xludf.DUMMYFUNCTION("""COMPUTED_VALUE"""),"https://drive.google.com/uc?export=view&amp;id=1KiNv57Pzvt2mH1_2GmN9zMz5Y1OSdHNT")</f>
        <v/>
      </c>
      <c r="Z884" s="1">
        <f>IFERROR(__xludf.DUMMYFUNCTION("""COMPUTED_VALUE"""),"Unverified")</f>
        <v/>
      </c>
      <c r="AA884" s="1" t="n"/>
      <c r="AB884" s="1" t="n"/>
      <c r="AC884" s="1" t="n"/>
      <c r="AD884" s="1" t="n"/>
      <c r="AE884" s="1" t="n"/>
    </row>
    <row r="885" ht="42" customHeight="1">
      <c r="A885" s="14">
        <f>IFERROR(__xludf.DUMMYFUNCTION("""COMPUTED_VALUE"""),45181)</f>
        <v/>
      </c>
      <c r="B885" s="1">
        <f>IFERROR(__xludf.DUMMYFUNCTION("""COMPUTED_VALUE"""),"ORG_2088")</f>
        <v/>
      </c>
      <c r="C885" s="1">
        <f>IFERROR(__xludf.DUMMYFUNCTION("""COMPUTED_VALUE"""),TRUE)</f>
        <v/>
      </c>
      <c r="D885" s="1">
        <f>IFERROR(__xludf.DUMMYFUNCTION("""COMPUTED_VALUE"""),"Parents Booking")</f>
        <v/>
      </c>
      <c r="E885" s="15">
        <f>IFERROR(__xludf.DUMMYFUNCTION("""COMPUTED_VALUE"""),"https://parents-booking.com")</f>
        <v/>
      </c>
      <c r="F885" s="1">
        <f>IFERROR(__xludf.DUMMYFUNCTION("""COMPUTED_VALUE"""),"Thousands of schools around the world trust Parents Booking to help with their in-person and video parent-teacher meetings. Online booking, integrated video meetings, event booking and club sign-ups.")</f>
        <v/>
      </c>
      <c r="G885" s="1">
        <f>IFERROR(__xludf.DUMMYFUNCTION("""COMPUTED_VALUE"""),"I'm not part of any EdTech association")</f>
        <v/>
      </c>
      <c r="H885" s="1" t="n"/>
      <c r="I885" s="1">
        <f>IFERROR(__xludf.DUMMYFUNCTION("""COMPUTED_VALUE"""),"hello@parents-booking.com")</f>
        <v/>
      </c>
      <c r="J885" s="1">
        <f>IFERROR(__xludf.DUMMYFUNCTION("""COMPUTED_VALUE"""),"+44 1463 731000")</f>
        <v/>
      </c>
      <c r="K885" s="1">
        <f>IFERROR(__xludf.DUMMYFUNCTION("""COMPUTED_VALUE"""),"Kilmuir, North Kessock, Inverness")</f>
        <v/>
      </c>
      <c r="L885" s="1">
        <f>IFERROR(__xludf.DUMMYFUNCTION("""COMPUTED_VALUE"""),"United Kingdom")</f>
        <v/>
      </c>
      <c r="M885" s="1">
        <f>IFERROR(__xludf.DUMMYFUNCTION("""COMPUTED_VALUE"""),"France, Germany, Ireland, Italy, Slovakia, Slovenia, Spain, Switzerland, Ukraine, United Kingdom")</f>
        <v/>
      </c>
      <c r="N885" s="1">
        <f>IFERROR(__xludf.DUMMYFUNCTION("""COMPUTED_VALUE"""),"0 to 10")</f>
        <v/>
      </c>
      <c r="O885" s="1">
        <f>IFERROR(__xludf.DUMMYFUNCTION("""COMPUTED_VALUE"""),"Business to Business, Business to Consumer, Business to Schools")</f>
        <v/>
      </c>
      <c r="P885" s="1">
        <f>IFERROR(__xludf.DUMMYFUNCTION("""COMPUTED_VALUE"""),"Primary Education, Secondary Education")</f>
        <v/>
      </c>
      <c r="Q885" s="1">
        <f>IFERROR(__xludf.DUMMYFUNCTION("""COMPUTED_VALUE"""),"System/Administrative, Teacher interfacing")</f>
        <v/>
      </c>
      <c r="R885" s="1" t="n"/>
      <c r="S885" s="1" t="n"/>
      <c r="T885" s="1" t="n"/>
      <c r="U885" s="1" t="n"/>
      <c r="V885" s="1" t="n"/>
      <c r="W885" s="1" t="n"/>
      <c r="X885" s="1" t="n"/>
      <c r="Y885" s="15">
        <f>IFERROR(__xludf.DUMMYFUNCTION("""COMPUTED_VALUE"""),"https://drive.google.com/uc?export=view&amp;id=10wv-IP1pHe1YJolykJaJwqcCVlRFiCK-")</f>
        <v/>
      </c>
      <c r="Z885" s="1">
        <f>IFERROR(__xludf.DUMMYFUNCTION("""COMPUTED_VALUE"""),"Unverified")</f>
        <v/>
      </c>
      <c r="AA885" s="1" t="n"/>
      <c r="AB885" s="1" t="n"/>
      <c r="AC885" s="1" t="n"/>
      <c r="AD885" s="1" t="n"/>
      <c r="AE885" s="1" t="n"/>
    </row>
    <row r="886" ht="42" customHeight="1">
      <c r="A886" s="14">
        <f>IFERROR(__xludf.DUMMYFUNCTION("""COMPUTED_VALUE"""),45181)</f>
        <v/>
      </c>
      <c r="B886" s="1">
        <f>IFERROR(__xludf.DUMMYFUNCTION("""COMPUTED_VALUE"""),"ORG_2222")</f>
        <v/>
      </c>
      <c r="C886" s="1">
        <f>IFERROR(__xludf.DUMMYFUNCTION("""COMPUTED_VALUE"""),TRUE)</f>
        <v/>
      </c>
      <c r="D886" s="1">
        <f>IFERROR(__xludf.DUMMYFUNCTION("""COMPUTED_VALUE"""),"scoyo")</f>
        <v/>
      </c>
      <c r="E886" s="15">
        <f>IFERROR(__xludf.DUMMYFUNCTION("""COMPUTED_VALUE"""),"www.scoyo.de")</f>
        <v/>
      </c>
      <c r="F886" s="1">
        <f>IFERROR(__xludf.DUMMYFUNCTION("""COMPUTED_VALUE"""),"scoyo is Germany's prime online learning platform for kids in primary school.")</f>
        <v/>
      </c>
      <c r="G886" s="1">
        <f>IFERROR(__xludf.DUMMYFUNCTION("""COMPUTED_VALUE"""),"I'm not part of any EdTech association")</f>
        <v/>
      </c>
      <c r="H886" s="1" t="n"/>
      <c r="I886" s="1">
        <f>IFERROR(__xludf.DUMMYFUNCTION("""COMPUTED_VALUE"""),"serge@futurewhiz.com")</f>
        <v/>
      </c>
      <c r="J886" s="1" t="n"/>
      <c r="K886" s="1">
        <f>IFERROR(__xludf.DUMMYFUNCTION("""COMPUTED_VALUE"""),"Hamburg")</f>
        <v/>
      </c>
      <c r="L886" s="1">
        <f>IFERROR(__xludf.DUMMYFUNCTION("""COMPUTED_VALUE"""),"Germany")</f>
        <v/>
      </c>
      <c r="M886" s="1">
        <f>IFERROR(__xludf.DUMMYFUNCTION("""COMPUTED_VALUE"""),"Austria, Germany, Switzerland")</f>
        <v/>
      </c>
      <c r="N886" s="1">
        <f>IFERROR(__xludf.DUMMYFUNCTION("""COMPUTED_VALUE"""),"51 to 100")</f>
        <v/>
      </c>
      <c r="O886" s="1">
        <f>IFERROR(__xludf.DUMMYFUNCTION("""COMPUTED_VALUE"""),"Business to Business, Business to Government, Business to Schools")</f>
        <v/>
      </c>
      <c r="P886" s="1">
        <f>IFERROR(__xludf.DUMMYFUNCTION("""COMPUTED_VALUE"""),"Primary Education")</f>
        <v/>
      </c>
      <c r="Q886" s="1">
        <f>IFERROR(__xludf.DUMMYFUNCTION("""COMPUTED_VALUE"""),"System/Administrative, Student interfacing, Teacher interfacing")</f>
        <v/>
      </c>
      <c r="R886" s="1" t="n"/>
      <c r="S886" s="1" t="n"/>
      <c r="T886" s="1" t="n"/>
      <c r="U886" s="1" t="n"/>
      <c r="V886" s="1" t="n"/>
      <c r="W886" s="1" t="n"/>
      <c r="X886" s="1" t="n"/>
      <c r="Y886" s="15">
        <f>IFERROR(__xludf.DUMMYFUNCTION("""COMPUTED_VALUE"""),"https://drive.google.com/uc?export=view&amp;id=13jx19BsdFrrq2yoe0ElNnWX2wr_J_XNT")</f>
        <v/>
      </c>
      <c r="Z886" s="1">
        <f>IFERROR(__xludf.DUMMYFUNCTION("""COMPUTED_VALUE"""),"Unverified")</f>
        <v/>
      </c>
      <c r="AA886" s="1" t="n"/>
      <c r="AB886" s="1" t="n"/>
      <c r="AC886" s="1" t="n"/>
      <c r="AD886" s="1" t="n"/>
      <c r="AE886" s="1" t="n"/>
    </row>
    <row r="887" ht="42" customHeight="1">
      <c r="A887" s="14">
        <f>IFERROR(__xludf.DUMMYFUNCTION("""COMPUTED_VALUE"""),45181)</f>
        <v/>
      </c>
      <c r="B887" s="1">
        <f>IFERROR(__xludf.DUMMYFUNCTION("""COMPUTED_VALUE"""),"ORG_2296")</f>
        <v/>
      </c>
      <c r="C887" s="1">
        <f>IFERROR(__xludf.DUMMYFUNCTION("""COMPUTED_VALUE"""),TRUE)</f>
        <v/>
      </c>
      <c r="D887" s="1">
        <f>IFERROR(__xludf.DUMMYFUNCTION("""COMPUTED_VALUE"""),"SoundLily AB")</f>
        <v/>
      </c>
      <c r="E887" s="15">
        <f>IFERROR(__xludf.DUMMYFUNCTION("""COMPUTED_VALUE"""),"https://soundlily.com")</f>
        <v/>
      </c>
      <c r="F887" s="1">
        <f>IFERROR(__xludf.DUMMYFUNCTION("""COMPUTED_VALUE"""),"SoundLily AB has developed the software SoundLily which greatly facilitates for individuals of how to play a musical instrument.
Within the SoundLily platform the user is given the possibility to play with beautiful backing tracks including instant suppor"&amp;"t in sheet music that follows the music being played.
SoundLily functions as an intelligent feedback loop for practicing the motor skills that generates music.
SoundLily is providing the possibility for the user to vary the pace of the music. It is high"&amp;"ly valuable to be able to practice in a calm pace as a beginner, in order to be able to play in a faster pace when the skills for this have been acquired.")</f>
        <v/>
      </c>
      <c r="G887" s="1">
        <f>IFERROR(__xludf.DUMMYFUNCTION("""COMPUTED_VALUE"""),"I'm not part of any EdTech association")</f>
        <v/>
      </c>
      <c r="H887" s="1" t="n"/>
      <c r="I887" s="1" t="n"/>
      <c r="J887" s="1">
        <f>IFERROR(__xludf.DUMMYFUNCTION("""COMPUTED_VALUE"""),"+46709142942")</f>
        <v/>
      </c>
      <c r="K887" s="1">
        <f>IFERROR(__xludf.DUMMYFUNCTION("""COMPUTED_VALUE"""),"Jönköping")</f>
        <v/>
      </c>
      <c r="L887" s="1">
        <f>IFERROR(__xludf.DUMMYFUNCTION("""COMPUTED_VALUE"""),"Sweden")</f>
        <v/>
      </c>
      <c r="M887" s="1">
        <f>IFERROR(__xludf.DUMMYFUNCTION("""COMPUTED_VALUE"""),"Austria, Belgium, Denmark, Finland, France, Germany, Ireland, Italy, Luxembourg, Netherlands, Norway, Spain, Sweden, Switzerland, United Kingdom")</f>
        <v/>
      </c>
      <c r="N887" s="1">
        <f>IFERROR(__xludf.DUMMYFUNCTION("""COMPUTED_VALUE"""),"0 to 10")</f>
        <v/>
      </c>
      <c r="O887" s="1">
        <f>IFERROR(__xludf.DUMMYFUNCTION("""COMPUTED_VALUE"""),"Business to Business, Business to Government, Business to Schools")</f>
        <v/>
      </c>
      <c r="P887" s="1">
        <f>IFERROR(__xludf.DUMMYFUNCTION("""COMPUTED_VALUE"""),"Primary Education, Secondary Education, Lifelong learning/Adult education")</f>
        <v/>
      </c>
      <c r="Q887" s="1">
        <f>IFERROR(__xludf.DUMMYFUNCTION("""COMPUTED_VALUE"""),"System/Administrative, Student interfacing, Teacher interfacing")</f>
        <v/>
      </c>
      <c r="R887" s="1" t="n"/>
      <c r="S887" s="1" t="n"/>
      <c r="T887" s="1" t="n"/>
      <c r="U887" s="1" t="n"/>
      <c r="V887" s="1" t="n"/>
      <c r="W887" s="1" t="n"/>
      <c r="X887" s="1" t="n"/>
      <c r="Y887" s="15">
        <f>IFERROR(__xludf.DUMMYFUNCTION("""COMPUTED_VALUE"""),"https://drive.google.com/uc?export=view&amp;id=1tJgPfnI5GoghyByY9Mmkfktih631dFiq")</f>
        <v/>
      </c>
      <c r="Z887" s="1">
        <f>IFERROR(__xludf.DUMMYFUNCTION("""COMPUTED_VALUE"""),"Unverified")</f>
        <v/>
      </c>
      <c r="AA887" s="1" t="n"/>
      <c r="AB887" s="1" t="n"/>
      <c r="AC887" s="1" t="n"/>
      <c r="AD887" s="1" t="n"/>
      <c r="AE887" s="1" t="n"/>
    </row>
    <row r="888" ht="42" customHeight="1">
      <c r="A888" s="14">
        <f>IFERROR(__xludf.DUMMYFUNCTION("""COMPUTED_VALUE"""),45181)</f>
        <v/>
      </c>
      <c r="B888" s="1">
        <f>IFERROR(__xludf.DUMMYFUNCTION("""COMPUTED_VALUE"""),"ORG_2326")</f>
        <v/>
      </c>
      <c r="C888" s="1">
        <f>IFERROR(__xludf.DUMMYFUNCTION("""COMPUTED_VALUE"""),TRUE)</f>
        <v/>
      </c>
      <c r="D888" s="1">
        <f>IFERROR(__xludf.DUMMYFUNCTION("""COMPUTED_VALUE"""),"STEM Studio")</f>
        <v/>
      </c>
      <c r="E888" s="15">
        <f>IFERROR(__xludf.DUMMYFUNCTION("""COMPUTED_VALUE"""),"stemstudio.org")</f>
        <v/>
      </c>
      <c r="F888" s="1">
        <f>IFERROR(__xludf.DUMMYFUNCTION("""COMPUTED_VALUE"""),"A suite of hardware and software tools that students can use to develop core STEM skills in a fun, hands-on way.")</f>
        <v/>
      </c>
      <c r="G888" s="1">
        <f>IFERROR(__xludf.DUMMYFUNCTION("""COMPUTED_VALUE"""),"I'm not part of any EdTech association")</f>
        <v/>
      </c>
      <c r="H888" s="1" t="n"/>
      <c r="I888" s="1">
        <f>IFERROR(__xludf.DUMMYFUNCTION("""COMPUTED_VALUE"""),"jackdaly@8bitcade.com")</f>
        <v/>
      </c>
      <c r="J888" s="1">
        <f>IFERROR(__xludf.DUMMYFUNCTION("""COMPUTED_VALUE"""),"+97433649222")</f>
        <v/>
      </c>
      <c r="K888" s="1">
        <f>IFERROR(__xludf.DUMMYFUNCTION("""COMPUTED_VALUE"""),"London")</f>
        <v/>
      </c>
      <c r="L888" s="1">
        <f>IFERROR(__xludf.DUMMYFUNCTION("""COMPUTED_VALUE"""),"United Kingdom")</f>
        <v/>
      </c>
      <c r="M888" s="1">
        <f>IFERROR(__xludf.DUMMYFUNCTION("""COMPUTED_VALUE"""),"United Kingdom")</f>
        <v/>
      </c>
      <c r="N888" s="1">
        <f>IFERROR(__xludf.DUMMYFUNCTION("""COMPUTED_VALUE"""),"0 to 10")</f>
        <v/>
      </c>
      <c r="O888" s="1">
        <f>IFERROR(__xludf.DUMMYFUNCTION("""COMPUTED_VALUE"""),"Business to Consumer")</f>
        <v/>
      </c>
      <c r="P888" s="1">
        <f>IFERROR(__xludf.DUMMYFUNCTION("""COMPUTED_VALUE"""),"Secondary Education, Lifelong learning/Adult education")</f>
        <v/>
      </c>
      <c r="Q888" s="1">
        <f>IFERROR(__xludf.DUMMYFUNCTION("""COMPUTED_VALUE"""),"System/Administrative, Student interfacing, Teacher interfacing")</f>
        <v/>
      </c>
      <c r="R888" s="1" t="n"/>
      <c r="S888" s="1" t="n"/>
      <c r="T888" s="1" t="n"/>
      <c r="U888" s="1" t="n"/>
      <c r="V888" s="1" t="n"/>
      <c r="W888" s="1" t="n"/>
      <c r="X888" s="1" t="n"/>
      <c r="Y888" s="15">
        <f>IFERROR(__xludf.DUMMYFUNCTION("""COMPUTED_VALUE"""),"https://drive.google.com/uc?export=view&amp;id=1jigST2yCipuVtdQbuiq15awQEeBRwwjl")</f>
        <v/>
      </c>
      <c r="Z888" s="1">
        <f>IFERROR(__xludf.DUMMYFUNCTION("""COMPUTED_VALUE"""),"Unverified")</f>
        <v/>
      </c>
      <c r="AA888" s="1" t="n"/>
      <c r="AB888" s="1" t="n"/>
      <c r="AC888" s="1" t="n"/>
      <c r="AD888" s="1" t="n"/>
      <c r="AE888" s="1" t="n"/>
    </row>
    <row r="889" ht="42" customHeight="1">
      <c r="A889" s="14">
        <f>IFERROR(__xludf.DUMMYFUNCTION("""COMPUTED_VALUE"""),45181)</f>
        <v/>
      </c>
      <c r="B889" s="1">
        <f>IFERROR(__xludf.DUMMYFUNCTION("""COMPUTED_VALUE"""),"ORG_2354")</f>
        <v/>
      </c>
      <c r="C889" s="1">
        <f>IFERROR(__xludf.DUMMYFUNCTION("""COMPUTED_VALUE"""),TRUE)</f>
        <v/>
      </c>
      <c r="D889" s="1">
        <f>IFERROR(__xludf.DUMMYFUNCTION("""COMPUTED_VALUE"""),"Swiss EdTech Collider")</f>
        <v/>
      </c>
      <c r="E889" s="15">
        <f>IFERROR(__xludf.DUMMYFUNCTION("""COMPUTED_VALUE"""),"https://www.edtech-collider.ch")</f>
        <v/>
      </c>
      <c r="F889" s="1">
        <f>IFERROR(__xludf.DUMMYFUNCTION("""COMPUTED_VALUE"""),"The Swiss EdTech Collider is Switzerland’s hub and centre for entrepreneurs and startups that aim to change education and learning through technologies. Based in close proximity to the EPFL University Lausanne, with it's leading learning sciences division"&amp;"s, we support EdTech startups by offering them physical work space as well as access to a unique network and ecosystem in and around Education and EdTech.")</f>
        <v/>
      </c>
      <c r="G889" s="1">
        <f>IFERROR(__xludf.DUMMYFUNCTION("""COMPUTED_VALUE"""),"Swiss EdTech Collider")</f>
        <v/>
      </c>
      <c r="H889" s="1">
        <f>IFERROR(__xludf.DUMMYFUNCTION("""COMPUTED_VALUE"""),"German, French, English")</f>
        <v/>
      </c>
      <c r="I889" s="1">
        <f>IFERROR(__xludf.DUMMYFUNCTION("""COMPUTED_VALUE"""),"contact@edtech-collider.ch")</f>
        <v/>
      </c>
      <c r="J889" s="1" t="n"/>
      <c r="K889" s="1">
        <f>IFERROR(__xludf.DUMMYFUNCTION("""COMPUTED_VALUE"""),"Ecublens VD")</f>
        <v/>
      </c>
      <c r="L889" s="1">
        <f>IFERROR(__xludf.DUMMYFUNCTION("""COMPUTED_VALUE"""),"Switzerland")</f>
        <v/>
      </c>
      <c r="M889" s="1">
        <f>IFERROR(__xludf.DUMMYFUNCTION("""COMPUTED_VALUE"""),"Switzerland")</f>
        <v/>
      </c>
      <c r="N889" s="1">
        <f>IFERROR(__xludf.DUMMYFUNCTION("""COMPUTED_VALUE"""),"3 to 5")</f>
        <v/>
      </c>
      <c r="O889" s="1">
        <f>IFERROR(__xludf.DUMMYFUNCTION("""COMPUTED_VALUE"""),"Business to Consumer")</f>
        <v/>
      </c>
      <c r="P889" s="1">
        <f>IFERROR(__xludf.DUMMYFUNCTION("""COMPUTED_VALUE"""),"Early childhood development (0-5 years), Primary Education, Secondary Education, Corporate Training, Lifelong learning/Adult education, Vocational Education and Training (VET), Higher Education")</f>
        <v/>
      </c>
      <c r="Q889" s="1">
        <f>IFERROR(__xludf.DUMMYFUNCTION("""COMPUTED_VALUE"""),"System/Administrative, Student interfacing, Teacher interfacing")</f>
        <v/>
      </c>
      <c r="R889" s="15">
        <f>IFERROR(__xludf.DUMMYFUNCTION("""COMPUTED_VALUE"""),"https://www.instagram.com/swiss_edtech_collider/?hl=en")</f>
        <v/>
      </c>
      <c r="S889" s="15">
        <f>IFERROR(__xludf.DUMMYFUNCTION("""COMPUTED_VALUE"""),"https://twitter.com/SwissEdTech")</f>
        <v/>
      </c>
      <c r="T889" s="15">
        <f>IFERROR(__xludf.DUMMYFUNCTION("""COMPUTED_VALUE"""),"https://www.linkedin.com/company/swiss-edtech-collider/")</f>
        <v/>
      </c>
      <c r="U889" s="1">
        <f>IFERROR(__xludf.DUMMYFUNCTION("""COMPUTED_VALUE"""),"Swiss EdTech Collider")</f>
        <v/>
      </c>
      <c r="V889" s="1">
        <f>IFERROR(__xludf.DUMMYFUNCTION("""COMPUTED_VALUE"""),"We offer a unique network and ecosystem consisting of connections to academic research in learning sciences, investors, public and private schools, political and governmental organisations and decision makers in the field of education and EdTech.")</f>
        <v/>
      </c>
      <c r="W889" s="1" t="n"/>
      <c r="X889" s="1" t="n"/>
      <c r="Y889" s="15">
        <f>IFERROR(__xludf.DUMMYFUNCTION("""COMPUTED_VALUE"""),"https://drive.google.com/uc?export=view&amp;id=15ne04hsguRgfh-DsCieNM2FZnEKu-fP0")</f>
        <v/>
      </c>
      <c r="Z889" s="1">
        <f>IFERROR(__xludf.DUMMYFUNCTION("""COMPUTED_VALUE"""),"Unverified")</f>
        <v/>
      </c>
      <c r="AA889" s="1" t="n"/>
      <c r="AB889" s="1" t="n"/>
      <c r="AC889" s="1" t="n"/>
      <c r="AD889" s="1" t="n"/>
      <c r="AE889" s="1" t="n"/>
    </row>
    <row r="890" ht="42" customHeight="1">
      <c r="A890" s="14">
        <f>IFERROR(__xludf.DUMMYFUNCTION("""COMPUTED_VALUE"""),45181)</f>
        <v/>
      </c>
      <c r="B890" s="1">
        <f>IFERROR(__xludf.DUMMYFUNCTION("""COMPUTED_VALUE"""),"ORG_2388")</f>
        <v/>
      </c>
      <c r="C890" s="1">
        <f>IFERROR(__xludf.DUMMYFUNCTION("""COMPUTED_VALUE"""),TRUE)</f>
        <v/>
      </c>
      <c r="D890" s="1">
        <f>IFERROR(__xludf.DUMMYFUNCTION("""COMPUTED_VALUE"""),"TERRA STUDY")</f>
        <v/>
      </c>
      <c r="E890" s="15">
        <f>IFERROR(__xludf.DUMMYFUNCTION("""COMPUTED_VALUE"""),"www.terrastudy.com")</f>
        <v/>
      </c>
      <c r="F890" s="1">
        <f>IFERROR(__xludf.DUMMYFUNCTION("""COMPUTED_VALUE"""),"Terra Study - is an online portal where your can book your language course worldwide for FREE and get and additional discount of 7% of the cost of the course.There are more than 300 schools and about 5,000 different courses in the TERRA STUDY catalogue. A"&amp;"ny student, regardless of his language proficiency can quickly choose a language school, read the real opinions, calculate the cost of the chosen program, and finally book selected course. The ""tab"" of each school contains all the information you need t"&amp;"o make the decision: description, online calculator, types of courses, photos, location and video.")</f>
        <v/>
      </c>
      <c r="G890" s="1">
        <f>IFERROR(__xludf.DUMMYFUNCTION("""COMPUTED_VALUE"""),"I'm not part of any EdTech association")</f>
        <v/>
      </c>
      <c r="H890" s="1" t="n"/>
      <c r="I890" s="1">
        <f>IFERROR(__xludf.DUMMYFUNCTION("""COMPUTED_VALUE"""),"info@terrastudy.com")</f>
        <v/>
      </c>
      <c r="J890" s="1">
        <f>IFERROR(__xludf.DUMMYFUNCTION("""COMPUTED_VALUE"""),"605442279")</f>
        <v/>
      </c>
      <c r="K890" s="1">
        <f>IFERROR(__xludf.DUMMYFUNCTION("""COMPUTED_VALUE"""),"MADRID")</f>
        <v/>
      </c>
      <c r="L890" s="1">
        <f>IFERROR(__xludf.DUMMYFUNCTION("""COMPUTED_VALUE"""),"Spain")</f>
        <v/>
      </c>
      <c r="M890" s="1">
        <f>IFERROR(__xludf.DUMMYFUNCTION("""COMPUTED_VALUE"""),"Andorra, Armenia, Austria, Belarus, Belgium, Czechia, Estonia, Finland, France, Georgia, Germany, Greece, Hungary, Ireland, Italy, Kazakhstan, Latvia, Lithuania, Luxembourg, Malta, Moldova, Monaco, Montenegro, Netherlands, Norway, Poland, Portugal, Romani"&amp;"a, Russia, San Marino, Serbia, Slovakia, Spain, Sweden, Switzerland, Turkey, Ukraine, United Kingdom")</f>
        <v/>
      </c>
      <c r="N890" s="1">
        <f>IFERROR(__xludf.DUMMYFUNCTION("""COMPUTED_VALUE"""),"0 to 10")</f>
        <v/>
      </c>
      <c r="O890" s="1">
        <f>IFERROR(__xludf.DUMMYFUNCTION("""COMPUTED_VALUE"""),"Business to Consumer, Business to Schools")</f>
        <v/>
      </c>
      <c r="P890" s="1">
        <f>IFERROR(__xludf.DUMMYFUNCTION("""COMPUTED_VALUE"""),"Higher Education, Corporate Training, Lifelong learning/Adult education")</f>
        <v/>
      </c>
      <c r="Q890" s="1">
        <f>IFERROR(__xludf.DUMMYFUNCTION("""COMPUTED_VALUE"""),"System/Administrative, Student interfacing")</f>
        <v/>
      </c>
      <c r="R890" s="1" t="n"/>
      <c r="S890" s="1" t="n"/>
      <c r="T890" s="1" t="n"/>
      <c r="U890" s="1" t="n"/>
      <c r="V890" s="1" t="n"/>
      <c r="W890" s="1" t="n"/>
      <c r="X890" s="1" t="n"/>
      <c r="Y890" s="15">
        <f>IFERROR(__xludf.DUMMYFUNCTION("""COMPUTED_VALUE"""),"https://drive.google.com/uc?export=view&amp;id=1bor2KKz_-hZWQ-1a2ldBFIXKIP7cHRwi")</f>
        <v/>
      </c>
      <c r="Z890" s="1">
        <f>IFERROR(__xludf.DUMMYFUNCTION("""COMPUTED_VALUE"""),"Unverified")</f>
        <v/>
      </c>
      <c r="AA890" s="1" t="n"/>
      <c r="AB890" s="1" t="n"/>
      <c r="AC890" s="1" t="n"/>
      <c r="AD890" s="1" t="n"/>
      <c r="AE890" s="1" t="n"/>
    </row>
    <row r="891" ht="42" customHeight="1">
      <c r="A891" s="14">
        <f>IFERROR(__xludf.DUMMYFUNCTION("""COMPUTED_VALUE"""),45181)</f>
        <v/>
      </c>
      <c r="B891" s="1">
        <f>IFERROR(__xludf.DUMMYFUNCTION("""COMPUTED_VALUE"""),"ORG_2437")</f>
        <v/>
      </c>
      <c r="C891" s="1">
        <f>IFERROR(__xludf.DUMMYFUNCTION("""COMPUTED_VALUE"""),TRUE)</f>
        <v/>
      </c>
      <c r="D891" s="1">
        <f>IFERROR(__xludf.DUMMYFUNCTION("""COMPUTED_VALUE"""),"Tutor Platform")</f>
        <v/>
      </c>
      <c r="E891" s="15">
        <f>IFERROR(__xludf.DUMMYFUNCTION("""COMPUTED_VALUE"""),"www.tutor-platform.com")</f>
        <v/>
      </c>
      <c r="F891" s="1">
        <f>IFERROR(__xludf.DUMMYFUNCTION("""COMPUTED_VALUE"""),"Tutor Platform is a learning experience hub, designed to manage all the teaching and learning processes and to save your time for creative outbursts. We offer all the solutions and tools that an educational organization needs to innovate education.")</f>
        <v/>
      </c>
      <c r="G891" s="1">
        <f>IFERROR(__xludf.DUMMYFUNCTION("""COMPUTED_VALUE"""),"I'm not part of any EdTech association")</f>
        <v/>
      </c>
      <c r="H891" s="1" t="n"/>
      <c r="I891" s="1">
        <f>IFERROR(__xludf.DUMMYFUNCTION("""COMPUTED_VALUE"""),"contact@tutor-platform.com")</f>
        <v/>
      </c>
      <c r="J891" s="1">
        <f>IFERROR(__xludf.DUMMYFUNCTION("""COMPUTED_VALUE"""),"+49 176 84689215")</f>
        <v/>
      </c>
      <c r="K891" s="1">
        <f>IFERROR(__xludf.DUMMYFUNCTION("""COMPUTED_VALUE"""),"Berlin")</f>
        <v/>
      </c>
      <c r="L891" s="1">
        <f>IFERROR(__xludf.DUMMYFUNCTION("""COMPUTED_VALUE"""),"Germany")</f>
        <v/>
      </c>
      <c r="M891" s="1">
        <f>IFERROR(__xludf.DUMMYFUNCTION("""COMPUTED_VALUE"""),"Armenia, Estonia, Finland, France, Germany, Latvia, Norway, Sweden, Switzerland, United Kingdom")</f>
        <v/>
      </c>
      <c r="N891" s="1">
        <f>IFERROR(__xludf.DUMMYFUNCTION("""COMPUTED_VALUE"""),"11 to 50")</f>
        <v/>
      </c>
      <c r="O891" s="1">
        <f>IFERROR(__xludf.DUMMYFUNCTION("""COMPUTED_VALUE"""),"Business to Government")</f>
        <v/>
      </c>
      <c r="P891" s="1">
        <f>IFERROR(__xludf.DUMMYFUNCTION("""COMPUTED_VALUE"""),"Higher Education, Corporate Training, Lifelong learning/Adult education")</f>
        <v/>
      </c>
      <c r="Q891" s="1">
        <f>IFERROR(__xludf.DUMMYFUNCTION("""COMPUTED_VALUE"""),"System/Administrative")</f>
        <v/>
      </c>
      <c r="R891" s="1" t="n"/>
      <c r="S891" s="1" t="n"/>
      <c r="T891" s="15">
        <f>IFERROR(__xludf.DUMMYFUNCTION("""COMPUTED_VALUE"""),"https://www.linkedin.com/company/tutor-platform/mycompany/")</f>
        <v/>
      </c>
      <c r="U891" s="1">
        <f>IFERROR(__xludf.DUMMYFUNCTION("""COMPUTED_VALUE"""),"Tutuor Platform")</f>
        <v/>
      </c>
      <c r="V891" s="1">
        <f>IFERROR(__xludf.DUMMYFUNCTION("""COMPUTED_VALUE"""),"Tutor Platform is designed to manage all the teaching and learning processes and to save your time for creative outbursts. We offer all the solutions and tools that an educational organization, a university or a private school that needs to innovate educa"&amp;"tion.")</f>
        <v/>
      </c>
      <c r="W891" s="1" t="n"/>
      <c r="X891" s="1" t="n"/>
      <c r="Y891" s="15">
        <f>IFERROR(__xludf.DUMMYFUNCTION("""COMPUTED_VALUE"""),"https://drive.google.com/uc?export=view&amp;id=1ADYkK0OyR9tPQXcl3gmgPjrvVVaA5h19")</f>
        <v/>
      </c>
      <c r="Z891" s="1">
        <f>IFERROR(__xludf.DUMMYFUNCTION("""COMPUTED_VALUE"""),"Unverified")</f>
        <v/>
      </c>
      <c r="AA891" s="1" t="n"/>
      <c r="AB891" s="1" t="n"/>
      <c r="AC891" s="1" t="n"/>
      <c r="AD891" s="1" t="n"/>
      <c r="AE891" s="1" t="n"/>
    </row>
    <row r="892" ht="42" customHeight="1">
      <c r="A892" s="14">
        <f>IFERROR(__xludf.DUMMYFUNCTION("""COMPUTED_VALUE"""),45181)</f>
        <v/>
      </c>
      <c r="B892" s="1">
        <f>IFERROR(__xludf.DUMMYFUNCTION("""COMPUTED_VALUE"""),"ORG_2460")</f>
        <v/>
      </c>
      <c r="C892" s="1">
        <f>IFERROR(__xludf.DUMMYFUNCTION("""COMPUTED_VALUE"""),TRUE)</f>
        <v/>
      </c>
      <c r="D892" s="1">
        <f>IFERROR(__xludf.DUMMYFUNCTION("""COMPUTED_VALUE"""),"UNIFIT")</f>
        <v/>
      </c>
      <c r="E892" s="15">
        <f>IFERROR(__xludf.DUMMYFUNCTION("""COMPUTED_VALUE"""),"https://unifit.es/")</f>
        <v/>
      </c>
      <c r="F892" s="1">
        <f>IFERROR(__xludf.DUMMYFUNCTION("""COMPUTED_VALUE"""),"Unifit is a company that began its journey in 2018, creating a set of SaaS APP/web platforms for university centers.
The objective of the UNIFIT platforms is to offer an academic and social communication channel for the students of the centers.
UNIFIT cur"&amp;"rently offers solutions adapted to all stages of a student's life cycle.
UNIFIT already has numerous internationally renowned university centers that are successfully using its tools among their students, improving rates such as student engagement, commun"&amp;"ication and their participation in the day-to-day running of the center.")</f>
        <v/>
      </c>
      <c r="G892" s="1">
        <f>IFERROR(__xludf.DUMMYFUNCTION("""COMPUTED_VALUE"""),"I'm not part of any EdTech association")</f>
        <v/>
      </c>
      <c r="H892" s="1" t="n"/>
      <c r="I892" s="1">
        <f>IFERROR(__xludf.DUMMYFUNCTION("""COMPUTED_VALUE"""),"info@unifit.es")</f>
        <v/>
      </c>
      <c r="J892" s="1">
        <f>IFERROR(__xludf.DUMMYFUNCTION("""COMPUTED_VALUE"""),"+34 659 412 174")</f>
        <v/>
      </c>
      <c r="K892" s="1">
        <f>IFERROR(__xludf.DUMMYFUNCTION("""COMPUTED_VALUE"""),"BARCELONA")</f>
        <v/>
      </c>
      <c r="L892" s="1">
        <f>IFERROR(__xludf.DUMMYFUNCTION("""COMPUTED_VALUE"""),"Spain")</f>
        <v/>
      </c>
      <c r="M892" s="1">
        <f>IFERROR(__xludf.DUMMYFUNCTION("""COMPUTED_VALUE"""),"Spain")</f>
        <v/>
      </c>
      <c r="N892" s="1">
        <f>IFERROR(__xludf.DUMMYFUNCTION("""COMPUTED_VALUE"""),"0 to 10")</f>
        <v/>
      </c>
      <c r="O892" s="1">
        <f>IFERROR(__xludf.DUMMYFUNCTION("""COMPUTED_VALUE"""),"Business to Schools")</f>
        <v/>
      </c>
      <c r="P892" s="1">
        <f>IFERROR(__xludf.DUMMYFUNCTION("""COMPUTED_VALUE"""),"Higher Education, Corporate Training")</f>
        <v/>
      </c>
      <c r="Q892" s="1">
        <f>IFERROR(__xludf.DUMMYFUNCTION("""COMPUTED_VALUE"""),"System/Administrative")</f>
        <v/>
      </c>
      <c r="R892" s="1" t="n"/>
      <c r="S892" s="1" t="n"/>
      <c r="T892" s="15">
        <f>IFERROR(__xludf.DUMMYFUNCTION("""COMPUTED_VALUE"""),"https://www.linkedin.com/company/unifit-sl/?viewAsMember=true")</f>
        <v/>
      </c>
      <c r="U892" s="1">
        <f>IFERROR(__xludf.DUMMYFUNCTION("""COMPUTED_VALUE"""),"UNIFIT PRELIFE")</f>
        <v/>
      </c>
      <c r="V892" s="1">
        <f>IFERROR(__xludf.DUMMYFUNCTION("""COMPUTED_VALUE"""),"APP to improve the experience and the relationship with the Pre-students.
A platform to maintain a much more direct and up-to-date communication channel with the students and families interested in the center during their decision process.")</f>
        <v/>
      </c>
      <c r="W892" s="1">
        <f>IFERROR(__xludf.DUMMYFUNCTION("""COMPUTED_VALUE"""),"UNIFIT LIFE")</f>
        <v/>
      </c>
      <c r="X892" s="1">
        <f>IFERROR(__xludf.DUMMYFUNCTION("""COMPUTED_VALUE"""),"APP for the daily academic and social life of students. A reference platform for them where they can unify all the center's communication.
It currently has more than 20 customizable features.
The tool also allows savings between 5 and 10% of costs in inte"&amp;"rnal processes of the center.")</f>
        <v/>
      </c>
      <c r="Y892" s="15">
        <f>IFERROR(__xludf.DUMMYFUNCTION("""COMPUTED_VALUE"""),"https://drive.google.com/uc?export=view&amp;id=14Gw89oiQ_Id00qEPyT1jrDjd0E2KfPmV")</f>
        <v/>
      </c>
      <c r="Z892" s="1">
        <f>IFERROR(__xludf.DUMMYFUNCTION("""COMPUTED_VALUE"""),"Unverified")</f>
        <v/>
      </c>
      <c r="AA892" s="1" t="n"/>
      <c r="AB892" s="1" t="n"/>
      <c r="AC892" s="1" t="n"/>
      <c r="AD892" s="1" t="n"/>
      <c r="AE892" s="1" t="n"/>
    </row>
    <row r="893" ht="42" customHeight="1">
      <c r="A893" s="14">
        <f>IFERROR(__xludf.DUMMYFUNCTION("""COMPUTED_VALUE"""),45181)</f>
        <v/>
      </c>
      <c r="B893" s="1">
        <f>IFERROR(__xludf.DUMMYFUNCTION("""COMPUTED_VALUE"""),"ORG_1297")</f>
        <v/>
      </c>
      <c r="C893" s="1">
        <f>IFERROR(__xludf.DUMMYFUNCTION("""COMPUTED_VALUE"""),TRUE)</f>
        <v/>
      </c>
      <c r="D893" s="1">
        <f>IFERROR(__xludf.DUMMYFUNCTION("""COMPUTED_VALUE"""),"Corneille")</f>
        <v/>
      </c>
      <c r="E893" s="15">
        <f>IFERROR(__xludf.DUMMYFUNCTION("""COMPUTED_VALUE"""),"http://corneille.io/")</f>
        <v/>
      </c>
      <c r="F893" s="1">
        <f>IFERROR(__xludf.DUMMYFUNCTION("""COMPUTED_VALUE"""),"Leading education platform for early childhood French literacy and language learning where parents subscribe to a vast and constantly updated collection of interactive stories and games for their children age 3 to 8.")</f>
        <v/>
      </c>
      <c r="G893" s="1">
        <f>IFERROR(__xludf.DUMMYFUNCTION("""COMPUTED_VALUE"""),"AFINEF, EdTech France")</f>
        <v/>
      </c>
      <c r="H893" s="1">
        <f>IFERROR(__xludf.DUMMYFUNCTION("""COMPUTED_VALUE"""),"English")</f>
        <v/>
      </c>
      <c r="I893" s="1">
        <f>IFERROR(__xludf.DUMMYFUNCTION("""COMPUTED_VALUE"""),"contact@corneille.io")</f>
        <v/>
      </c>
      <c r="J893" s="1" t="n"/>
      <c r="K893" s="1">
        <f>IFERROR(__xludf.DUMMYFUNCTION("""COMPUTED_VALUE"""),"MARCQ EN BAROEUL")</f>
        <v/>
      </c>
      <c r="L893" s="1">
        <f>IFERROR(__xludf.DUMMYFUNCTION("""COMPUTED_VALUE"""),"France")</f>
        <v/>
      </c>
      <c r="M893" s="1">
        <f>IFERROR(__xludf.DUMMYFUNCTION("""COMPUTED_VALUE"""),"Belgium, France, Germany, United Kingdom")</f>
        <v/>
      </c>
      <c r="N893" s="1">
        <f>IFERROR(__xludf.DUMMYFUNCTION("""COMPUTED_VALUE"""),"3 to 5")</f>
        <v/>
      </c>
      <c r="O893" s="1">
        <f>IFERROR(__xludf.DUMMYFUNCTION("""COMPUTED_VALUE"""),"Business to Business, Business to Consumer")</f>
        <v/>
      </c>
      <c r="P893" s="1">
        <f>IFERROR(__xludf.DUMMYFUNCTION("""COMPUTED_VALUE"""),"Early childhood development (0-5 years), Primary Education")</f>
        <v/>
      </c>
      <c r="Q893" s="1">
        <f>IFERROR(__xludf.DUMMYFUNCTION("""COMPUTED_VALUE"""),"System/Administrative, Student interfacing, Teacher interfacing")</f>
        <v/>
      </c>
      <c r="R893" s="15">
        <f>IFERROR(__xludf.DUMMYFUNCTION("""COMPUTED_VALUE"""),"https://www.instagram.com/appcorneille/")</f>
        <v/>
      </c>
      <c r="S893" s="15">
        <f>IFERROR(__xludf.DUMMYFUNCTION("""COMPUTED_VALUE"""),"https://twitter.com/AppCorneille")</f>
        <v/>
      </c>
      <c r="T893" s="15">
        <f>IFERROR(__xludf.DUMMYFUNCTION("""COMPUTED_VALUE"""),"https://www.linkedin.com/company/appcorneille/")</f>
        <v/>
      </c>
      <c r="U893" s="1">
        <f>IFERROR(__xludf.DUMMYFUNCTION("""COMPUTED_VALUE"""),"Corneille app")</f>
        <v/>
      </c>
      <c r="V893" s="1">
        <f>IFERROR(__xludf.DUMMYFUNCTION("""COMPUTED_VALUE"""),"Corneille creates smart screen time by teaching kids French.
As a fun and educational game for children aged 3 to 8, Corneille makes learning French easy: discovering letters, learning new words, identifying sounds in words, discovering numbers, playing"&amp;" memory games.
Corneille boosts confidence with real French-language books that children love : fun facts, fantasy and classical stories. The progressive reading method inspired by Oxford
Tree is presented in a readaloud module where children gain confid"&amp;"ence and can share their readings with adults.
Developed for parent’s sensitive to the content children are exposed to on screens and developed by reading experts (teachers and language experts) based on the latest cognitive studies. Corneille will take "&amp;"your child into a fantastic adventure of reading in French.")</f>
        <v/>
      </c>
      <c r="W893" s="1" t="n"/>
      <c r="X893" s="1" t="n"/>
      <c r="Y893" s="15">
        <f>IFERROR(__xludf.DUMMYFUNCTION("""COMPUTED_VALUE"""),"https://drive.google.com/uc?export=view&amp;id=19LWCgVCGFIkSiKjVemA072ityh1CTwyw")</f>
        <v/>
      </c>
      <c r="Z893" s="1">
        <f>IFERROR(__xludf.DUMMYFUNCTION("""COMPUTED_VALUE"""),"Unverified")</f>
        <v/>
      </c>
      <c r="AA893" s="1" t="n"/>
      <c r="AB893" s="1" t="n"/>
      <c r="AC893" s="1" t="n"/>
      <c r="AD893" s="1" t="n"/>
      <c r="AE893" s="1" t="n"/>
    </row>
    <row r="894" ht="42" customHeight="1">
      <c r="A894" s="14">
        <f>IFERROR(__xludf.DUMMYFUNCTION("""COMPUTED_VALUE"""),45181)</f>
        <v/>
      </c>
      <c r="B894" s="1">
        <f>IFERROR(__xludf.DUMMYFUNCTION("""COMPUTED_VALUE"""),"ORG_1317")</f>
        <v/>
      </c>
      <c r="C894" s="1">
        <f>IFERROR(__xludf.DUMMYFUNCTION("""COMPUTED_VALUE"""),TRUE)</f>
        <v/>
      </c>
      <c r="D894" s="1">
        <f>IFERROR(__xludf.DUMMYFUNCTION("""COMPUTED_VALUE"""),"Curiose")</f>
        <v/>
      </c>
      <c r="E894" s="15">
        <f>IFERROR(__xludf.DUMMYFUNCTION("""COMPUTED_VALUE"""),"https://www.curiose.fr")</f>
        <v/>
      </c>
      <c r="F894" s="1">
        <f>IFERROR(__xludf.DUMMYFUNCTION("""COMPUTED_VALUE"""),"Curiose is not only a web app, it's a societal project that aims at empowering young generations and giving them the tools to build a future aligned with themselves.")</f>
        <v/>
      </c>
      <c r="G894" s="1">
        <f>IFERROR(__xludf.DUMMYFUNCTION("""COMPUTED_VALUE"""),"EdTech France")</f>
        <v/>
      </c>
      <c r="H894" s="1" t="n"/>
      <c r="I894" s="1">
        <f>IFERROR(__xludf.DUMMYFUNCTION("""COMPUTED_VALUE"""),"margaux.dacquet@curiose.fr")</f>
        <v/>
      </c>
      <c r="J894" s="1">
        <f>IFERROR(__xludf.DUMMYFUNCTION("""COMPUTED_VALUE"""),"06.84.90.07.16")</f>
        <v/>
      </c>
      <c r="K894" s="1">
        <f>IFERROR(__xludf.DUMMYFUNCTION("""COMPUTED_VALUE"""),"LYON")</f>
        <v/>
      </c>
      <c r="L894" s="1">
        <f>IFERROR(__xludf.DUMMYFUNCTION("""COMPUTED_VALUE"""),"France")</f>
        <v/>
      </c>
      <c r="M894" s="1">
        <f>IFERROR(__xludf.DUMMYFUNCTION("""COMPUTED_VALUE"""),"France")</f>
        <v/>
      </c>
      <c r="N894" s="1">
        <f>IFERROR(__xludf.DUMMYFUNCTION("""COMPUTED_VALUE"""),"0 to 10")</f>
        <v/>
      </c>
      <c r="O894" s="1">
        <f>IFERROR(__xludf.DUMMYFUNCTION("""COMPUTED_VALUE"""),"Business to Business, Business to Consumer")</f>
        <v/>
      </c>
      <c r="P894" s="1">
        <f>IFERROR(__xludf.DUMMYFUNCTION("""COMPUTED_VALUE"""),"Secondary Education")</f>
        <v/>
      </c>
      <c r="Q894" s="1">
        <f>IFERROR(__xludf.DUMMYFUNCTION("""COMPUTED_VALUE"""),"System/Administrative, Student interfacing")</f>
        <v/>
      </c>
      <c r="R894" s="1">
        <f>IFERROR(__xludf.DUMMYFUNCTION("""COMPUTED_VALUE"""),"@wearecuriose")</f>
        <v/>
      </c>
      <c r="S894" s="1" t="n"/>
      <c r="T894" s="15">
        <f>IFERROR(__xludf.DUMMYFUNCTION("""COMPUTED_VALUE"""),"https://www.linkedin.com/company/curiose/?viewAsMember=true")</f>
        <v/>
      </c>
      <c r="U894" s="1">
        <f>IFERROR(__xludf.DUMMYFUNCTION("""COMPUTED_VALUE"""),"Curiose app")</f>
        <v/>
      </c>
      <c r="V894" s="1">
        <f>IFERROR(__xludf.DUMMYFUNCTION("""COMPUTED_VALUE"""),"Curiose is a web app intended for highschool and uni students that helps them to build their professional project, through 3 phases : introspection (the student gets to know more about his values, interests and modus operandi), exploration (the app matche"&amp;"s jobs with the student profile, provides with resources, and organizes an encounter with professional), and action (the app displays the right training course for the student, according to different criteria).")</f>
        <v/>
      </c>
      <c r="W894" s="1" t="n"/>
      <c r="X894" s="1" t="n"/>
      <c r="Y894" s="15">
        <f>IFERROR(__xludf.DUMMYFUNCTION("""COMPUTED_VALUE"""),"https://drive.google.com/uc?export=view&amp;id=1sFyw71bNVYimApdQP_0SCpr2Cisz6aJl")</f>
        <v/>
      </c>
      <c r="Z894" s="1">
        <f>IFERROR(__xludf.DUMMYFUNCTION("""COMPUTED_VALUE"""),"Unverified")</f>
        <v/>
      </c>
      <c r="AA894" s="1" t="n"/>
      <c r="AB894" s="1" t="n"/>
      <c r="AC894" s="1" t="n"/>
      <c r="AD894" s="1" t="n"/>
      <c r="AE894" s="1" t="n"/>
    </row>
    <row r="895" ht="42" customHeight="1">
      <c r="A895" s="14">
        <f>IFERROR(__xludf.DUMMYFUNCTION("""COMPUTED_VALUE"""),45181)</f>
        <v/>
      </c>
      <c r="B895" s="1">
        <f>IFERROR(__xludf.DUMMYFUNCTION("""COMPUTED_VALUE"""),"ORG_1480")</f>
        <v/>
      </c>
      <c r="C895" s="1">
        <f>IFERROR(__xludf.DUMMYFUNCTION("""COMPUTED_VALUE"""),TRUE)</f>
        <v/>
      </c>
      <c r="D895" s="1">
        <f>IFERROR(__xludf.DUMMYFUNCTION("""COMPUTED_VALUE"""),"Elbrus Coding Bootcamp")</f>
        <v/>
      </c>
      <c r="E895" s="15">
        <f>IFERROR(__xludf.DUMMYFUNCTION("""COMPUTED_VALUE"""),"https://elbrusboot.camp/")</f>
        <v/>
      </c>
      <c r="F895" s="1">
        <f>IFERROR(__xludf.DUMMYFUNCTION("""COMPUTED_VALUE"""),"Elbrus coding bootcamp is the first intensive training course for IT specialists in Russia. The students focus on web development and surround themselves with code for 9 hours during 12 weeks. We offer fast intensive retraining where our students obtain a"&amp;" new profession and portfolio for employment in IT. Career coaches teach students to write resumes and sail through job interviews.")</f>
        <v/>
      </c>
      <c r="G895" s="1">
        <f>IFERROR(__xludf.DUMMYFUNCTION("""COMPUTED_VALUE"""),"I'm not part of any EdTech association")</f>
        <v/>
      </c>
      <c r="H895" s="1" t="n"/>
      <c r="I895" s="1">
        <f>IFERROR(__xludf.DUMMYFUNCTION("""COMPUTED_VALUE"""),"info@elbrusboot.camp")</f>
        <v/>
      </c>
      <c r="J895" s="1">
        <f>IFERROR(__xludf.DUMMYFUNCTION("""COMPUTED_VALUE"""),"+7 499 938 68 24")</f>
        <v/>
      </c>
      <c r="K895" s="1">
        <f>IFERROR(__xludf.DUMMYFUNCTION("""COMPUTED_VALUE"""),"Moscow")</f>
        <v/>
      </c>
      <c r="L895" s="1">
        <f>IFERROR(__xludf.DUMMYFUNCTION("""COMPUTED_VALUE"""),"Russia")</f>
        <v/>
      </c>
      <c r="M895" s="1">
        <f>IFERROR(__xludf.DUMMYFUNCTION("""COMPUTED_VALUE"""),"Armenia, Georgia, Germany, Ireland, Russia, Serbia, Slovakia, Spain, Sweden")</f>
        <v/>
      </c>
      <c r="N895" s="1">
        <f>IFERROR(__xludf.DUMMYFUNCTION("""COMPUTED_VALUE"""),"11 to 50")</f>
        <v/>
      </c>
      <c r="O895" s="1">
        <f>IFERROR(__xludf.DUMMYFUNCTION("""COMPUTED_VALUE"""),"Business to Business, Business to Consumer, Business to Government, Business to Schools")</f>
        <v/>
      </c>
      <c r="P895" s="1">
        <f>IFERROR(__xludf.DUMMYFUNCTION("""COMPUTED_VALUE"""),"Lifelong learning/Adult education")</f>
        <v/>
      </c>
      <c r="Q895" s="1">
        <f>IFERROR(__xludf.DUMMYFUNCTION("""COMPUTED_VALUE"""),"Student interfacing, System/Administrative")</f>
        <v/>
      </c>
      <c r="R895" s="1" t="n"/>
      <c r="S895" s="1" t="n"/>
      <c r="T895" s="1" t="n"/>
      <c r="U895" s="1" t="n"/>
      <c r="V895" s="1" t="n"/>
      <c r="W895" s="1" t="n"/>
      <c r="X895" s="1" t="n"/>
      <c r="Y895" s="15">
        <f>IFERROR(__xludf.DUMMYFUNCTION("""COMPUTED_VALUE"""),"https://drive.google.com/uc?export=view&amp;id=1UPiI7jnF0ATRfi8b0HiYCv_cNYdPzNo8")</f>
        <v/>
      </c>
      <c r="Z895" s="1">
        <f>IFERROR(__xludf.DUMMYFUNCTION("""COMPUTED_VALUE"""),"Unverified")</f>
        <v/>
      </c>
      <c r="AA895" s="1" t="n"/>
      <c r="AB895" s="1" t="n"/>
      <c r="AC895" s="1" t="n"/>
      <c r="AD895" s="1" t="n"/>
      <c r="AE895" s="1" t="n"/>
    </row>
    <row r="896" ht="42" customHeight="1">
      <c r="A896" s="14">
        <f>IFERROR(__xludf.DUMMYFUNCTION("""COMPUTED_VALUE"""),45181)</f>
        <v/>
      </c>
      <c r="B896" s="1">
        <f>IFERROR(__xludf.DUMMYFUNCTION("""COMPUTED_VALUE"""),"ORG_1551")</f>
        <v/>
      </c>
      <c r="C896" s="1">
        <f>IFERROR(__xludf.DUMMYFUNCTION("""COMPUTED_VALUE"""),TRUE)</f>
        <v/>
      </c>
      <c r="D896" s="1">
        <f>IFERROR(__xludf.DUMMYFUNCTION("""COMPUTED_VALUE"""),"Faculty of Skills, TrainTool")</f>
        <v/>
      </c>
      <c r="E896" s="15">
        <f>IFERROR(__xludf.DUMMYFUNCTION("""COMPUTED_VALUE"""),"www.faculty.nl")</f>
        <v/>
      </c>
      <c r="F896" s="1">
        <f>IFERROR(__xludf.DUMMYFUNCTION("""COMPUTED_VALUE"""),"Faculty of Skills is a training agency specialized in developing communication skills. We are also the creators of TrainTool, a unique online tool with which you can practice skills in online video roleplays. Our goal is to let you, as an ambitious profes"&amp;"sional or student, communicate better. This way, you will have more impact, you will reach your goals faster and you will be able to work well together with everyone you meet. We work for large companies and higher education, yearly 20.000+ participants.")</f>
        <v/>
      </c>
      <c r="G896" s="1">
        <f>IFERROR(__xludf.DUMMYFUNCTION("""COMPUTED_VALUE"""),"Dutch EdTech")</f>
        <v/>
      </c>
      <c r="H896" s="1" t="n"/>
      <c r="I896" s="1">
        <f>IFERROR(__xludf.DUMMYFUNCTION("""COMPUTED_VALUE"""),"info@faculty.nl")</f>
        <v/>
      </c>
      <c r="J896" s="1">
        <f>IFERROR(__xludf.DUMMYFUNCTION("""COMPUTED_VALUE"""),"+31 30 890 6555")</f>
        <v/>
      </c>
      <c r="K896" s="1">
        <f>IFERROR(__xludf.DUMMYFUNCTION("""COMPUTED_VALUE"""),"Utrecht")</f>
        <v/>
      </c>
      <c r="L896" s="1">
        <f>IFERROR(__xludf.DUMMYFUNCTION("""COMPUTED_VALUE"""),"The Netherlands")</f>
        <v/>
      </c>
      <c r="M896" s="1">
        <f>IFERROR(__xludf.DUMMYFUNCTION("""COMPUTED_VALUE"""),"Austria, Belgium, Denmark, Estonia, Finland, France, Germany, Greece, Hungary, Iceland, Ireland, Italy, Luxembourg, Monaco, Netherlands, Norway, Poland, Portugal, Spain, Sweden, Switzerland, Turkey, United Kingdom")</f>
        <v/>
      </c>
      <c r="N896" s="1">
        <f>IFERROR(__xludf.DUMMYFUNCTION("""COMPUTED_VALUE"""),"11 to 50")</f>
        <v/>
      </c>
      <c r="O896" s="1">
        <f>IFERROR(__xludf.DUMMYFUNCTION("""COMPUTED_VALUE"""),"Business to Business, Business to Consumer, Business to Schools")</f>
        <v/>
      </c>
      <c r="P896" s="1">
        <f>IFERROR(__xludf.DUMMYFUNCTION("""COMPUTED_VALUE"""),"Higher Education, Corporate Training, Lifelong learning/Adult education")</f>
        <v/>
      </c>
      <c r="Q896" s="1">
        <f>IFERROR(__xludf.DUMMYFUNCTION("""COMPUTED_VALUE"""),"Teacher interfacing, System/Administrative")</f>
        <v/>
      </c>
      <c r="R896" s="1" t="n"/>
      <c r="S896" s="1" t="n"/>
      <c r="T896" s="1" t="n"/>
      <c r="U896" s="1" t="n"/>
      <c r="V896" s="1" t="n"/>
      <c r="W896" s="1" t="n"/>
      <c r="X896" s="1" t="n"/>
      <c r="Y896" s="15">
        <f>IFERROR(__xludf.DUMMYFUNCTION("""COMPUTED_VALUE"""),"https://drive.google.com/uc?export=view&amp;id=1l-7LfDCZTFLfN3OIWMmSCcLYpD0sERY7")</f>
        <v/>
      </c>
      <c r="Z896" s="1">
        <f>IFERROR(__xludf.DUMMYFUNCTION("""COMPUTED_VALUE"""),"Unverified")</f>
        <v/>
      </c>
      <c r="AA896" s="1" t="n"/>
      <c r="AB896" s="1" t="n"/>
      <c r="AC896" s="1" t="n"/>
      <c r="AD896" s="1" t="n"/>
      <c r="AE896" s="1" t="n"/>
    </row>
    <row r="897" ht="42" customHeight="1">
      <c r="A897" s="14">
        <f>IFERROR(__xludf.DUMMYFUNCTION("""COMPUTED_VALUE"""),45181)</f>
        <v/>
      </c>
      <c r="B897" s="1">
        <f>IFERROR(__xludf.DUMMYFUNCTION("""COMPUTED_VALUE"""),"ORG_1699")</f>
        <v/>
      </c>
      <c r="C897" s="1">
        <f>IFERROR(__xludf.DUMMYFUNCTION("""COMPUTED_VALUE"""),TRUE)</f>
        <v/>
      </c>
      <c r="D897" s="1">
        <f>IFERROR(__xludf.DUMMYFUNCTION("""COMPUTED_VALUE"""),"I Save Lives")</f>
        <v/>
      </c>
      <c r="E897" s="15">
        <f>IFERROR(__xludf.DUMMYFUNCTION("""COMPUTED_VALUE"""),"https://isavelives.nl/")</f>
        <v/>
      </c>
      <c r="F897" s="1">
        <f>IFERROR(__xludf.DUMMYFUNCTION("""COMPUTED_VALUE"""),"Cardiac arrest is the biggest killer worldwide. If a bystander knows what to do when it occurs the number of lethal cases can be drastically reduced. The serious game we have developed makes it fun and effective to learn quality CPR in under 30 minutes. T"&amp;"o provide an interactive learning experience learners practice on a manikin that is connected to our game. Through minigames and direct feedback, we have gamified the learning experience from start to finish. Our game is currently being used by secondary "&amp;"school teachers to learn their students how to save a life and we are researching further target groups.")</f>
        <v/>
      </c>
      <c r="G897" s="1">
        <f>IFERROR(__xludf.DUMMYFUNCTION("""COMPUTED_VALUE"""),"I'm not part of any EdTech association")</f>
        <v/>
      </c>
      <c r="H897" s="1" t="n"/>
      <c r="I897" s="1">
        <f>IFERROR(__xludf.DUMMYFUNCTION("""COMPUTED_VALUE"""),"contact@isavelives.nl")</f>
        <v/>
      </c>
      <c r="J897" s="1">
        <f>IFERROR(__xludf.DUMMYFUNCTION("""COMPUTED_VALUE"""),"+ 31 6 14 75 07 06")</f>
        <v/>
      </c>
      <c r="K897" s="1">
        <f>IFERROR(__xludf.DUMMYFUNCTION("""COMPUTED_VALUE"""),"AMSTERDAM")</f>
        <v/>
      </c>
      <c r="L897" s="1">
        <f>IFERROR(__xludf.DUMMYFUNCTION("""COMPUTED_VALUE"""),"The Netherlands")</f>
        <v/>
      </c>
      <c r="M897" s="1">
        <f>IFERROR(__xludf.DUMMYFUNCTION("""COMPUTED_VALUE"""),"Belgium, Netherlands")</f>
        <v/>
      </c>
      <c r="N897" s="1">
        <f>IFERROR(__xludf.DUMMYFUNCTION("""COMPUTED_VALUE"""),"0 to 10")</f>
        <v/>
      </c>
      <c r="O897" s="1">
        <f>IFERROR(__xludf.DUMMYFUNCTION("""COMPUTED_VALUE"""),"Business to Business, Business to Government, Business to Schools")</f>
        <v/>
      </c>
      <c r="P897" s="1">
        <f>IFERROR(__xludf.DUMMYFUNCTION("""COMPUTED_VALUE"""),"Secondary Education, Higher Education, Corporate Training")</f>
        <v/>
      </c>
      <c r="Q897" s="1">
        <f>IFERROR(__xludf.DUMMYFUNCTION("""COMPUTED_VALUE"""),"Student interfacing, Teacher interfacing, System/Administrative")</f>
        <v/>
      </c>
      <c r="R897" s="1" t="n"/>
      <c r="S897" s="1" t="n"/>
      <c r="T897" s="1" t="n"/>
      <c r="U897" s="1" t="n"/>
      <c r="V897" s="1" t="n"/>
      <c r="W897" s="1" t="n"/>
      <c r="X897" s="1" t="n"/>
      <c r="Y897" s="15">
        <f>IFERROR(__xludf.DUMMYFUNCTION("""COMPUTED_VALUE"""),"https://drive.google.com/uc?export=view&amp;id=1X-iOPTK12k75PUxxms4SnHTeV6EEKP3O")</f>
        <v/>
      </c>
      <c r="Z897" s="1">
        <f>IFERROR(__xludf.DUMMYFUNCTION("""COMPUTED_VALUE"""),"Unverified")</f>
        <v/>
      </c>
      <c r="AA897" s="1" t="n"/>
      <c r="AB897" s="1" t="n"/>
      <c r="AC897" s="1" t="n"/>
      <c r="AD897" s="1" t="n"/>
      <c r="AE897" s="1" t="n"/>
    </row>
    <row r="898" ht="42" customHeight="1">
      <c r="A898" s="14">
        <f>IFERROR(__xludf.DUMMYFUNCTION("""COMPUTED_VALUE"""),45181)</f>
        <v/>
      </c>
      <c r="B898" s="1">
        <f>IFERROR(__xludf.DUMMYFUNCTION("""COMPUTED_VALUE"""),"ORG_2089")</f>
        <v/>
      </c>
      <c r="C898" s="1">
        <f>IFERROR(__xludf.DUMMYFUNCTION("""COMPUTED_VALUE"""),TRUE)</f>
        <v/>
      </c>
      <c r="D898" s="1">
        <f>IFERROR(__xludf.DUMMYFUNCTION("""COMPUTED_VALUE"""),"Parlangi")</f>
        <v/>
      </c>
      <c r="E898" s="15">
        <f>IFERROR(__xludf.DUMMYFUNCTION("""COMPUTED_VALUE"""),"https://parlangi.net")</f>
        <v/>
      </c>
      <c r="F898" s="1">
        <f>IFERROR(__xludf.DUMMYFUNCTION("""COMPUTED_VALUE"""),"Parlangi connects language learners to native speaking mentors via a matching, video chat and impact reporting application. We build bridges between people from different generations, nationalities, cultures and backgrounds. We believe in the strength of "&amp;"social contact: it supports learning languages and it increase the health of participants. Together with municipalities, governments and other organisations (such as schools and universities) we organise social learning projects. For example: in Belgian c"&amp;"ities we connect foreign language speaking newcomers to native speaking mentors. Via the Parlangi application organisations can manage projects, view reports and messure impact while participants can find conversation partners, schedule appointments and v"&amp;"ideo chat safely and easily.")</f>
        <v/>
      </c>
      <c r="G898" s="1">
        <f>IFERROR(__xludf.DUMMYFUNCTION("""COMPUTED_VALUE"""),"I'm not part of any EdTech association")</f>
        <v/>
      </c>
      <c r="H898" s="1" t="n"/>
      <c r="I898" s="1">
        <f>IFERROR(__xludf.DUMMYFUNCTION("""COMPUTED_VALUE"""),"info@parlangi.net")</f>
        <v/>
      </c>
      <c r="J898" s="1">
        <f>IFERROR(__xludf.DUMMYFUNCTION("""COMPUTED_VALUE"""),"+32 485 52 14 28")</f>
        <v/>
      </c>
      <c r="K898" s="1">
        <f>IFERROR(__xludf.DUMMYFUNCTION("""COMPUTED_VALUE"""),"NIJLEN")</f>
        <v/>
      </c>
      <c r="L898" s="1">
        <f>IFERROR(__xludf.DUMMYFUNCTION("""COMPUTED_VALUE"""),"Belgium")</f>
        <v/>
      </c>
      <c r="M898" s="1">
        <f>IFERROR(__xludf.DUMMYFUNCTION("""COMPUTED_VALUE"""),"Belgium")</f>
        <v/>
      </c>
      <c r="N898" s="1">
        <f>IFERROR(__xludf.DUMMYFUNCTION("""COMPUTED_VALUE"""),"0 to 10")</f>
        <v/>
      </c>
      <c r="O898" s="1">
        <f>IFERROR(__xludf.DUMMYFUNCTION("""COMPUTED_VALUE"""),"Business to Business, Business to Schools")</f>
        <v/>
      </c>
      <c r="P898" s="1">
        <f>IFERROR(__xludf.DUMMYFUNCTION("""COMPUTED_VALUE"""),"Secondary Education, Higher Education, Corporate Training, Lifelong learning/Adult education")</f>
        <v/>
      </c>
      <c r="Q898" s="1">
        <f>IFERROR(__xludf.DUMMYFUNCTION("""COMPUTED_VALUE"""),"Student interfacing, Teacher interfacing, System/Administrative")</f>
        <v/>
      </c>
      <c r="R898" s="1" t="n"/>
      <c r="S898" s="1" t="n"/>
      <c r="T898" s="1" t="n"/>
      <c r="U898" s="1" t="n"/>
      <c r="V898" s="1" t="n"/>
      <c r="W898" s="1" t="n"/>
      <c r="X898" s="1" t="n"/>
      <c r="Y898" s="15">
        <f>IFERROR(__xludf.DUMMYFUNCTION("""COMPUTED_VALUE"""),"https://drive.google.com/uc?export=view&amp;id=1aJJpTRoE-4wQSGynhdTE3v1bOwghMRCr")</f>
        <v/>
      </c>
      <c r="Z898" s="1">
        <f>IFERROR(__xludf.DUMMYFUNCTION("""COMPUTED_VALUE"""),"Unverified")</f>
        <v/>
      </c>
      <c r="AA898" s="1" t="n"/>
      <c r="AB898" s="1" t="n"/>
      <c r="AC898" s="1" t="n"/>
      <c r="AD898" s="1" t="n"/>
      <c r="AE898" s="1" t="n"/>
    </row>
    <row r="899" ht="42" customHeight="1">
      <c r="A899" s="14">
        <f>IFERROR(__xludf.DUMMYFUNCTION("""COMPUTED_VALUE"""),45181)</f>
        <v/>
      </c>
      <c r="B899" s="1">
        <f>IFERROR(__xludf.DUMMYFUNCTION("""COMPUTED_VALUE"""),"ORG_2256")</f>
        <v/>
      </c>
      <c r="C899" s="1">
        <f>IFERROR(__xludf.DUMMYFUNCTION("""COMPUTED_VALUE"""),TRUE)</f>
        <v/>
      </c>
      <c r="D899" s="1">
        <f>IFERROR(__xludf.DUMMYFUNCTION("""COMPUTED_VALUE"""),"SkillMapper")</f>
        <v/>
      </c>
      <c r="E899" s="15">
        <f>IFERROR(__xludf.DUMMYFUNCTION("""COMPUTED_VALUE"""),"www.skillmapper.com")</f>
        <v/>
      </c>
      <c r="F899" s="1">
        <f>IFERROR(__xludf.DUMMYFUNCTION("""COMPUTED_VALUE"""),"SkillMapper is a global learning hub that leverages proprietary AI to guide young professionals toward finding the best online education sources while streamlining their job-hunting process. Within SkillMapper's set of solutions, young professionals can i"&amp;"dentify their skill gaps in their job while finding the most efficient ways to upskill and reskill themselves. SkillMapper bridges the gap between education and employability.")</f>
        <v/>
      </c>
      <c r="G899" s="1">
        <f>IFERROR(__xludf.DUMMYFUNCTION("""COMPUTED_VALUE"""),"I'm not part of any EdTech association")</f>
        <v/>
      </c>
      <c r="H899" s="1" t="n"/>
      <c r="I899" s="1">
        <f>IFERROR(__xludf.DUMMYFUNCTION("""COMPUTED_VALUE"""),"mario@skillmapper.com")</f>
        <v/>
      </c>
      <c r="J899" s="1">
        <f>IFERROR(__xludf.DUMMYFUNCTION("""COMPUTED_VALUE"""),"+33643508657")</f>
        <v/>
      </c>
      <c r="K899" s="1">
        <f>IFERROR(__xludf.DUMMYFUNCTION("""COMPUTED_VALUE"""),"PARIS 18")</f>
        <v/>
      </c>
      <c r="L899" s="1">
        <f>IFERROR(__xludf.DUMMYFUNCTION("""COMPUTED_VALUE"""),"France")</f>
        <v/>
      </c>
      <c r="M899" s="1">
        <f>IFERROR(__xludf.DUMMYFUNCTION("""COMPUTED_VALUE"""),"Austria, Belgium, Denmark, France, Germany, Ireland, Norway, Poland, Portugal, Spain, United Kingdom")</f>
        <v/>
      </c>
      <c r="N899" s="1">
        <f>IFERROR(__xludf.DUMMYFUNCTION("""COMPUTED_VALUE"""),"11 to 50")</f>
        <v/>
      </c>
      <c r="O899" s="1">
        <f>IFERROR(__xludf.DUMMYFUNCTION("""COMPUTED_VALUE"""),"Business to Business, Business to Schools")</f>
        <v/>
      </c>
      <c r="P899" s="1">
        <f>IFERROR(__xludf.DUMMYFUNCTION("""COMPUTED_VALUE"""),"Lifelong learning/Adult education")</f>
        <v/>
      </c>
      <c r="Q899" s="1">
        <f>IFERROR(__xludf.DUMMYFUNCTION("""COMPUTED_VALUE"""),"Student interfacing")</f>
        <v/>
      </c>
      <c r="R899" s="1" t="n"/>
      <c r="S899" s="1" t="n"/>
      <c r="T899" s="1" t="n"/>
      <c r="U899" s="1" t="n"/>
      <c r="V899" s="1" t="n"/>
      <c r="W899" s="1" t="n"/>
      <c r="X899" s="1" t="n"/>
      <c r="Y899" s="15">
        <f>IFERROR(__xludf.DUMMYFUNCTION("""COMPUTED_VALUE"""),"https://drive.google.com/uc?export=view&amp;id=1D7YA-7w9SYQiMcEO6WP0t1OjK5sYVADE")</f>
        <v/>
      </c>
      <c r="Z899" s="1">
        <f>IFERROR(__xludf.DUMMYFUNCTION("""COMPUTED_VALUE"""),"Unverified")</f>
        <v/>
      </c>
      <c r="AA899" s="1" t="n"/>
      <c r="AB899" s="1" t="n"/>
      <c r="AC899" s="1" t="n"/>
      <c r="AD899" s="1" t="n"/>
      <c r="AE899" s="1" t="n"/>
    </row>
    <row r="900" ht="42" customHeight="1">
      <c r="A900" s="14">
        <f>IFERROR(__xludf.DUMMYFUNCTION("""COMPUTED_VALUE"""),45181)</f>
        <v/>
      </c>
      <c r="B900" s="1">
        <f>IFERROR(__xludf.DUMMYFUNCTION("""COMPUTED_VALUE"""),"ORG_2262")</f>
        <v/>
      </c>
      <c r="C900" s="1">
        <f>IFERROR(__xludf.DUMMYFUNCTION("""COMPUTED_VALUE"""),TRUE)</f>
        <v/>
      </c>
      <c r="D900" s="1">
        <f>IFERROR(__xludf.DUMMYFUNCTION("""COMPUTED_VALUE"""),"SkillsUp Training and Research Services")</f>
        <v/>
      </c>
      <c r="E900" s="15">
        <f>IFERROR(__xludf.DUMMYFUNCTION("""COMPUTED_VALUE"""),"www.skillsuptraining.org")</f>
        <v/>
      </c>
      <c r="F900" s="1">
        <f>IFERROR(__xludf.DUMMYFUNCTION("""COMPUTED_VALUE"""),"SkillsUp Training and Research Services was established aiming to offer easy access to education opportunities to a wide number of people who are not able to attend a face-to-face program/courses, due to geographical, health, professional, family or other"&amp;" constraints, through EdTech and the use of the internet. In this way, SkillsUp responds to the current and growing needs of our society for learning, through alternative education programs and promotes equal opportunity in education. At the same time, we"&amp;" participate in research project related to education and ICT (Horizon, Erasmus+, as well as project with local businesses and the government)")</f>
        <v/>
      </c>
      <c r="G900" s="1">
        <f>IFERROR(__xludf.DUMMYFUNCTION("""COMPUTED_VALUE"""),"I'm not part of any EdTech association")</f>
        <v/>
      </c>
      <c r="H900" s="1" t="n"/>
      <c r="I900" s="1">
        <f>IFERROR(__xludf.DUMMYFUNCTION("""COMPUTED_VALUE"""),"info@skillsuptraining.org")</f>
        <v/>
      </c>
      <c r="J900" s="1">
        <f>IFERROR(__xludf.DUMMYFUNCTION("""COMPUTED_VALUE"""),"+31611405030")</f>
        <v/>
      </c>
      <c r="K900" s="1">
        <f>IFERROR(__xludf.DUMMYFUNCTION("""COMPUTED_VALUE"""),"AMSTERDAM")</f>
        <v/>
      </c>
      <c r="L900" s="1">
        <f>IFERROR(__xludf.DUMMYFUNCTION("""COMPUTED_VALUE"""),"The Netherlands")</f>
        <v/>
      </c>
      <c r="M900" s="1">
        <f>IFERROR(__xludf.DUMMYFUNCTION("""COMPUTED_VALUE"""),"Belgium, Cyprus, Germany, Greece, Italy, Netherlands, Poland, Romania, Spain, Sweden")</f>
        <v/>
      </c>
      <c r="N900" s="1">
        <f>IFERROR(__xludf.DUMMYFUNCTION("""COMPUTED_VALUE"""),"0 to 10")</f>
        <v/>
      </c>
      <c r="O900" s="1">
        <f>IFERROR(__xludf.DUMMYFUNCTION("""COMPUTED_VALUE"""),"Business to Consumer")</f>
        <v/>
      </c>
      <c r="P900" s="1">
        <f>IFERROR(__xludf.DUMMYFUNCTION("""COMPUTED_VALUE"""),"Primary Education, Secondary Education, Higher Education, Corporate Training, Lifelong learning/Adult education")</f>
        <v/>
      </c>
      <c r="Q900" s="1">
        <f>IFERROR(__xludf.DUMMYFUNCTION("""COMPUTED_VALUE"""),"Teacher interfacing, Student interfacing, System/Administrative")</f>
        <v/>
      </c>
      <c r="R900" s="1" t="n"/>
      <c r="S900" s="1" t="n"/>
      <c r="T900" s="1" t="n"/>
      <c r="U900" s="1" t="n"/>
      <c r="V900" s="1" t="n"/>
      <c r="W900" s="1" t="n"/>
      <c r="X900" s="1" t="n"/>
      <c r="Y900" s="15">
        <f>IFERROR(__xludf.DUMMYFUNCTION("""COMPUTED_VALUE"""),"https://drive.google.com/uc?export=view&amp;id=1iF38OdNi1lc_JnMIhYf7bYqIlUVHXpp_")</f>
        <v/>
      </c>
      <c r="Z900" s="1">
        <f>IFERROR(__xludf.DUMMYFUNCTION("""COMPUTED_VALUE"""),"Unverified")</f>
        <v/>
      </c>
      <c r="AA900" s="1" t="n"/>
      <c r="AB900" s="1" t="n"/>
      <c r="AC900" s="1" t="n"/>
      <c r="AD900" s="1" t="n"/>
      <c r="AE900" s="1" t="n"/>
    </row>
    <row r="901" ht="42" customHeight="1">
      <c r="A901" s="14">
        <f>IFERROR(__xludf.DUMMYFUNCTION("""COMPUTED_VALUE"""),45181)</f>
        <v/>
      </c>
      <c r="B901" s="1">
        <f>IFERROR(__xludf.DUMMYFUNCTION("""COMPUTED_VALUE"""),"ORG_2352")</f>
        <v/>
      </c>
      <c r="C901" s="1">
        <f>IFERROR(__xludf.DUMMYFUNCTION("""COMPUTED_VALUE"""),TRUE)</f>
        <v/>
      </c>
      <c r="D901" s="1">
        <f>IFERROR(__xludf.DUMMYFUNCTION("""COMPUTED_VALUE"""),"Sustainability Unlocked")</f>
        <v/>
      </c>
      <c r="E901" s="15">
        <f>IFERROR(__xludf.DUMMYFUNCTION("""COMPUTED_VALUE"""),"https://sustainabilityunlocked.com")</f>
        <v/>
      </c>
      <c r="F901" s="1">
        <f>IFERROR(__xludf.DUMMYFUNCTION("""COMPUTED_VALUE"""),"Sustainability Unlocked provides firm-wide foundational sustainability education to businesses through our innovative on-demand video platform. Our mission with Sustainability Unlocked is to empower change through education by embedding sustainability edu"&amp;"cation into the culture of global organisations.")</f>
        <v/>
      </c>
      <c r="G901" s="1">
        <f>IFERROR(__xludf.DUMMYFUNCTION("""COMPUTED_VALUE"""),"I'm not part of any EdTech association")</f>
        <v/>
      </c>
      <c r="H901" s="1" t="n"/>
      <c r="I901" s="1">
        <f>IFERROR(__xludf.DUMMYFUNCTION("""COMPUTED_VALUE"""),"ben.clarke@sustianabilityunlocked.com")</f>
        <v/>
      </c>
      <c r="J901" s="1">
        <f>IFERROR(__xludf.DUMMYFUNCTION("""COMPUTED_VALUE"""),"7948515712")</f>
        <v/>
      </c>
      <c r="K901" s="1">
        <f>IFERROR(__xludf.DUMMYFUNCTION("""COMPUTED_VALUE"""),"London")</f>
        <v/>
      </c>
      <c r="L901" s="1">
        <f>IFERROR(__xludf.DUMMYFUNCTION("""COMPUTED_VALUE"""),"United Kingdom")</f>
        <v/>
      </c>
      <c r="M901" s="1">
        <f>IFERROR(__xludf.DUMMYFUNCTION("""COMPUTED_VALUE"""),"Andorra, Armenia, Austria, Bulgaria, Croatia, Cyprus, Czechia, Denmark, Finland, France, Georgia, Germany, Greece, Hungary, Iceland, Ireland, Italy, Luxembourg, Malta, Moldova, Monaco, Montenegro, Netherlands, North Macedonia, Norway, Poland, Portugal, Ro"&amp;"mania, San Marino, Spain, Sweden, Switzerland, Turkey, Ukraine, United Kingdom")</f>
        <v/>
      </c>
      <c r="N901" s="1">
        <f>IFERROR(__xludf.DUMMYFUNCTION("""COMPUTED_VALUE"""),"11 to 50")</f>
        <v/>
      </c>
      <c r="O901" s="1">
        <f>IFERROR(__xludf.DUMMYFUNCTION("""COMPUTED_VALUE"""),"Business to Consumer, Business to Government, Business to Schools")</f>
        <v/>
      </c>
      <c r="P901" s="1">
        <f>IFERROR(__xludf.DUMMYFUNCTION("""COMPUTED_VALUE"""),"Corporate Training, Lifelong learning/Adult education")</f>
        <v/>
      </c>
      <c r="Q901" s="1">
        <f>IFERROR(__xludf.DUMMYFUNCTION("""COMPUTED_VALUE"""),"Student interfacing, System/Administrative")</f>
        <v/>
      </c>
      <c r="R901" s="1" t="n"/>
      <c r="S901" s="1" t="n"/>
      <c r="T901" s="1" t="n"/>
      <c r="U901" s="1" t="n"/>
      <c r="V901" s="1" t="n"/>
      <c r="W901" s="1" t="n"/>
      <c r="X901" s="1" t="n"/>
      <c r="Y901" s="15">
        <f>IFERROR(__xludf.DUMMYFUNCTION("""COMPUTED_VALUE"""),"https://drive.google.com/uc?export=view&amp;id=1pwVzxfhCv2CmeZEZzwPWzP8w9_d9kPTa")</f>
        <v/>
      </c>
      <c r="Z901" s="1">
        <f>IFERROR(__xludf.DUMMYFUNCTION("""COMPUTED_VALUE"""),"Unverified")</f>
        <v/>
      </c>
      <c r="AA901" s="1" t="n"/>
      <c r="AB901" s="1" t="n"/>
      <c r="AC901" s="1" t="n"/>
      <c r="AD901" s="1" t="n"/>
      <c r="AE901" s="1" t="n"/>
    </row>
    <row r="902" ht="42" customHeight="1">
      <c r="A902" s="14">
        <f>IFERROR(__xludf.DUMMYFUNCTION("""COMPUTED_VALUE"""),45181)</f>
        <v/>
      </c>
      <c r="B902" s="1">
        <f>IFERROR(__xludf.DUMMYFUNCTION("""COMPUTED_VALUE"""),"ORG_1031")</f>
        <v/>
      </c>
      <c r="C902" s="1">
        <f>IFERROR(__xludf.DUMMYFUNCTION("""COMPUTED_VALUE"""),TRUE)</f>
        <v/>
      </c>
      <c r="D902" s="1">
        <f>IFERROR(__xludf.DUMMYFUNCTION("""COMPUTED_VALUE"""),"Acta")</f>
        <v/>
      </c>
      <c r="E902" s="15">
        <f>IFERROR(__xludf.DUMMYFUNCTION("""COMPUTED_VALUE"""),"www.getacta.com")</f>
        <v/>
      </c>
      <c r="F902" s="1">
        <f>IFERROR(__xludf.DUMMYFUNCTION("""COMPUTED_VALUE"""),"Acta makes it easy for exam owners to manage their examiners, anywhere in the world, and pay them on time. 
Exam owners and test sponsors struggle to find great examiners and graders With Acta, exam owners can access 1000's of vetted expert examiners to g"&amp;"row their business. Examiners and graders spend less time finding new work, signing up, and chasing unpaid invoices. Acta is a modern, secure, frictionless, and efficient service for exam professionals. 
Sign up today at www.getacta.com")</f>
        <v/>
      </c>
      <c r="G902" s="1">
        <f>IFERROR(__xludf.DUMMYFUNCTION("""COMPUTED_VALUE"""),"I'm not part of any EdTech association")</f>
        <v/>
      </c>
      <c r="H902" s="1" t="n"/>
      <c r="I902" s="1">
        <f>IFERROR(__xludf.DUMMYFUNCTION("""COMPUTED_VALUE"""),"geoff@getacta.com")</f>
        <v/>
      </c>
      <c r="J902" s="1">
        <f>IFERROR(__xludf.DUMMYFUNCTION("""COMPUTED_VALUE"""),"+44 203 751 9480")</f>
        <v/>
      </c>
      <c r="K902" s="1">
        <f>IFERROR(__xludf.DUMMYFUNCTION("""COMPUTED_VALUE"""),"London")</f>
        <v/>
      </c>
      <c r="L902" s="1">
        <f>IFERROR(__xludf.DUMMYFUNCTION("""COMPUTED_VALUE"""),"United Kingdom")</f>
        <v/>
      </c>
      <c r="M902" s="1">
        <f>IFERROR(__xludf.DUMMYFUNCTION("""COMPUTED_VALUE"""),"Ireland, United Kingdom")</f>
        <v/>
      </c>
      <c r="N902" s="1">
        <f>IFERROR(__xludf.DUMMYFUNCTION("""COMPUTED_VALUE"""),"0 to 10")</f>
        <v/>
      </c>
      <c r="O902" s="1">
        <f>IFERROR(__xludf.DUMMYFUNCTION("""COMPUTED_VALUE"""),"Business to Business")</f>
        <v/>
      </c>
      <c r="P902" s="1">
        <f>IFERROR(__xludf.DUMMYFUNCTION("""COMPUTED_VALUE"""),"Secondary Education, Higher Education, Corporate Training")</f>
        <v/>
      </c>
      <c r="Q902" s="1">
        <f>IFERROR(__xludf.DUMMYFUNCTION("""COMPUTED_VALUE"""),"System/Administrative")</f>
        <v/>
      </c>
      <c r="R902" s="1" t="n"/>
      <c r="S902" s="1" t="n"/>
      <c r="T902" s="1" t="n"/>
      <c r="U902" s="1" t="n"/>
      <c r="V902" s="1" t="n"/>
      <c r="W902" s="1" t="n"/>
      <c r="X902" s="1" t="n"/>
      <c r="Y902" s="15">
        <f>IFERROR(__xludf.DUMMYFUNCTION("""COMPUTED_VALUE"""),"https://drive.google.com/uc?export=view&amp;id=1pivTBRttSkipIJktb_kBnoDBkc9D_SZb")</f>
        <v/>
      </c>
      <c r="Z902" s="1">
        <f>IFERROR(__xludf.DUMMYFUNCTION("""COMPUTED_VALUE"""),"Unverified")</f>
        <v/>
      </c>
      <c r="AA902" s="1" t="n"/>
      <c r="AB902" s="1" t="n"/>
      <c r="AC902" s="1" t="n"/>
      <c r="AD902" s="1" t="n"/>
      <c r="AE902" s="1" t="n"/>
    </row>
    <row r="903" ht="42" customHeight="1">
      <c r="A903" s="14">
        <f>IFERROR(__xludf.DUMMYFUNCTION("""COMPUTED_VALUE"""),45181)</f>
        <v/>
      </c>
      <c r="B903" s="1">
        <f>IFERROR(__xludf.DUMMYFUNCTION("""COMPUTED_VALUE"""),"ORG_1089")</f>
        <v/>
      </c>
      <c r="C903" s="1">
        <f>IFERROR(__xludf.DUMMYFUNCTION("""COMPUTED_VALUE"""),TRUE)</f>
        <v/>
      </c>
      <c r="D903" s="1">
        <f>IFERROR(__xludf.DUMMYFUNCTION("""COMPUTED_VALUE"""),"ARCADIA")</f>
        <v/>
      </c>
      <c r="E903" s="15">
        <f>IFERROR(__xludf.DUMMYFUNCTION("""COMPUTED_VALUE"""),"https://arcadia-consulting.it/")</f>
        <v/>
      </c>
      <c r="F903" s="1">
        <f>IFERROR(__xludf.DUMMYFUNCTION("""COMPUTED_VALUE"""),"Arcadia help organizations to improve learning and evaluation processes by creating engaging digital experiences.
Arcadia mixes methodologies and technologies to design better end to end digital experiences managed in unique platform environment (LXP) in"&amp;" which each user will play simulators, app, games, interactive videos, VR experiences.")</f>
        <v/>
      </c>
      <c r="G903" s="1">
        <f>IFERROR(__xludf.DUMMYFUNCTION("""COMPUTED_VALUE"""),"I'm not part of any EdTech association")</f>
        <v/>
      </c>
      <c r="H903" s="1" t="n"/>
      <c r="I903" s="1">
        <f>IFERROR(__xludf.DUMMYFUNCTION("""COMPUTED_VALUE"""),"orazio.stangherlin@arcadia-consulting.it")</f>
        <v/>
      </c>
      <c r="J903" s="1">
        <f>IFERROR(__xludf.DUMMYFUNCTION("""COMPUTED_VALUE"""),"+39 049 9404427")</f>
        <v/>
      </c>
      <c r="K903" s="1">
        <f>IFERROR(__xludf.DUMMYFUNCTION("""COMPUTED_VALUE"""),"CITTADELLA")</f>
        <v/>
      </c>
      <c r="L903" s="1">
        <f>IFERROR(__xludf.DUMMYFUNCTION("""COMPUTED_VALUE"""),"Italy")</f>
        <v/>
      </c>
      <c r="M903" s="1">
        <f>IFERROR(__xludf.DUMMYFUNCTION("""COMPUTED_VALUE"""),"Italy")</f>
        <v/>
      </c>
      <c r="N903" s="1">
        <f>IFERROR(__xludf.DUMMYFUNCTION("""COMPUTED_VALUE"""),"0 to 10")</f>
        <v/>
      </c>
      <c r="O903" s="1">
        <f>IFERROR(__xludf.DUMMYFUNCTION("""COMPUTED_VALUE"""),"Business to Business")</f>
        <v/>
      </c>
      <c r="P903" s="1">
        <f>IFERROR(__xludf.DUMMYFUNCTION("""COMPUTED_VALUE"""),"Corporate Training, Lifelong learning/Adult education")</f>
        <v/>
      </c>
      <c r="Q903" s="1">
        <f>IFERROR(__xludf.DUMMYFUNCTION("""COMPUTED_VALUE"""),"Teacher interfacing, Student interfacing, System/Administrative")</f>
        <v/>
      </c>
      <c r="R903" s="1" t="n"/>
      <c r="S903" s="1" t="n"/>
      <c r="T903" s="1" t="n"/>
      <c r="U903" s="1" t="n"/>
      <c r="V903" s="1" t="n"/>
      <c r="W903" s="1" t="n"/>
      <c r="X903" s="1" t="n"/>
      <c r="Y903" s="15">
        <f>IFERROR(__xludf.DUMMYFUNCTION("""COMPUTED_VALUE"""),"https://drive.google.com/uc?export=view&amp;id=1odQl3-pFyacJEPlOcjRF1JbyQaaeIQ3A")</f>
        <v/>
      </c>
      <c r="Z903" s="1">
        <f>IFERROR(__xludf.DUMMYFUNCTION("""COMPUTED_VALUE"""),"Unverified")</f>
        <v/>
      </c>
      <c r="AA903" s="1" t="n"/>
      <c r="AB903" s="1" t="n"/>
      <c r="AC903" s="1" t="n"/>
      <c r="AD903" s="1" t="n"/>
      <c r="AE903" s="1" t="n"/>
    </row>
    <row r="904" ht="42" customHeight="1">
      <c r="A904" s="14">
        <f>IFERROR(__xludf.DUMMYFUNCTION("""COMPUTED_VALUE"""),45181)</f>
        <v/>
      </c>
      <c r="B904" s="1">
        <f>IFERROR(__xludf.DUMMYFUNCTION("""COMPUTED_VALUE"""),"ORG_1184")</f>
        <v/>
      </c>
      <c r="C904" s="1">
        <f>IFERROR(__xludf.DUMMYFUNCTION("""COMPUTED_VALUE"""),TRUE)</f>
        <v/>
      </c>
      <c r="D904" s="1">
        <f>IFERROR(__xludf.DUMMYFUNCTION("""COMPUTED_VALUE"""),"BonoLab")</f>
        <v/>
      </c>
      <c r="E904" s="15">
        <f>IFERROR(__xludf.DUMMYFUNCTION("""COMPUTED_VALUE"""),"https://bonolab.com/")</f>
        <v/>
      </c>
      <c r="F904" s="1">
        <f>IFERROR(__xludf.DUMMYFUNCTION("""COMPUTED_VALUE"""),"At BonoLab we create lesson plans for teachers to deliver engaging STEAM lessons where the focus is on children's curiosity and social learning. Our lesson plans embrace both digital and hands-on activities and are carefully designed to build resilience a"&amp;"nd develop a mindset for lifelong learning.
Our approach is to inspire learning with real-life stories and challenges, developed in collaboration with top sustainable and innovation companies. Our focus is on questioning and finding new ways to solve chal"&amp;"lenges rather than just following instructions and recalling information.")</f>
        <v/>
      </c>
      <c r="G904" s="1">
        <f>IFERROR(__xludf.DUMMYFUNCTION("""COMPUTED_VALUE"""),"EdTech Denmark")</f>
        <v/>
      </c>
      <c r="H904" s="1">
        <f>IFERROR(__xludf.DUMMYFUNCTION("""COMPUTED_VALUE"""),"English, Danish")</f>
        <v/>
      </c>
      <c r="I904" s="1">
        <f>IFERROR(__xludf.DUMMYFUNCTION("""COMPUTED_VALUE"""),"piret@bonolab.com")</f>
        <v/>
      </c>
      <c r="J904" s="1">
        <f>IFERROR(__xludf.DUMMYFUNCTION("""COMPUTED_VALUE"""),"+4531211002")</f>
        <v/>
      </c>
      <c r="K904" s="1">
        <f>IFERROR(__xludf.DUMMYFUNCTION("""COMPUTED_VALUE"""),"Birkerød")</f>
        <v/>
      </c>
      <c r="L904" s="1">
        <f>IFERROR(__xludf.DUMMYFUNCTION("""COMPUTED_VALUE"""),"Denmark")</f>
        <v/>
      </c>
      <c r="M904" s="1">
        <f>IFERROR(__xludf.DUMMYFUNCTION("""COMPUTED_VALUE"""),"Denmark")</f>
        <v/>
      </c>
      <c r="N904" s="1">
        <f>IFERROR(__xludf.DUMMYFUNCTION("""COMPUTED_VALUE"""),"0 to 2")</f>
        <v/>
      </c>
      <c r="O904" s="1">
        <f>IFERROR(__xludf.DUMMYFUNCTION("""COMPUTED_VALUE"""),"Business to Business")</f>
        <v/>
      </c>
      <c r="P904" s="1">
        <f>IFERROR(__xludf.DUMMYFUNCTION("""COMPUTED_VALUE"""),"Primary Education, Secondary Education")</f>
        <v/>
      </c>
      <c r="Q904" s="1">
        <f>IFERROR(__xludf.DUMMYFUNCTION("""COMPUTED_VALUE"""),"System/Administrative, Student interfacing, Teacher interfacing")</f>
        <v/>
      </c>
      <c r="R904" s="1" t="n"/>
      <c r="S904" s="1" t="n"/>
      <c r="T904" s="15">
        <f>IFERROR(__xludf.DUMMYFUNCTION("""COMPUTED_VALUE"""),"https://www.linkedin.com/company/74605646/")</f>
        <v/>
      </c>
      <c r="U904" s="1">
        <f>IFERROR(__xludf.DUMMYFUNCTION("""COMPUTED_VALUE"""),"Enzyme Heroes")</f>
        <v/>
      </c>
      <c r="V904" s="1">
        <f>IFERROR(__xludf.DUMMYFUNCTION("""COMPUTED_VALUE"""),"Free blended learning lesson plan about enzymes.
This lesson plan contains state-of-the-art knowledge, digital tasks, hands-on experiments for individuals and groups, and inspiration for social activities in and outside of the classroom. We have aimed to "&amp;"meet the needs of the primary school classes 4.- 6. grade (ages 10 -12 years), but the lesson plan can be successfully used by younger or older students. In this case, age-appropriate assignments should be selected by you.")</f>
        <v/>
      </c>
      <c r="W904" s="1">
        <f>IFERROR(__xludf.DUMMYFUNCTION("""COMPUTED_VALUE"""),"E-waste circularity challenge")</f>
        <v/>
      </c>
      <c r="X904" s="1">
        <f>IFERROR(__xludf.DUMMYFUNCTION("""COMPUTED_VALUE"""),"Free blended learning lesson plan about e-wate.
The lesson plan is aimed at 12-14-year-old students, but can easily be adjusted for a younger or older age group.
After completing the activity, the students will be able to:
- Explain in simple terms the"&amp;" issue of electronic waste.
- Identify basic electronic waste sources, and discover the electronic waste management opportunities closest to their home.
- Co-design with their peers a simple community-engagement initiative to connect with their surroundin"&amp;"g community and help raise awareness of the negative impact of the use of electronic devices.")</f>
        <v/>
      </c>
      <c r="Y904" s="15">
        <f>IFERROR(__xludf.DUMMYFUNCTION("""COMPUTED_VALUE"""),"https://drive.google.com/uc?export=view&amp;id=1k-vcMbIFdYCm1ca7JS7BmtfyDgOXKPaL")</f>
        <v/>
      </c>
      <c r="Z904" s="1">
        <f>IFERROR(__xludf.DUMMYFUNCTION("""COMPUTED_VALUE"""),"Unverified")</f>
        <v/>
      </c>
      <c r="AA904" s="1" t="n"/>
      <c r="AB904" s="1" t="n"/>
      <c r="AC904" s="1" t="n"/>
      <c r="AD904" s="1" t="n"/>
      <c r="AE904" s="1" t="n"/>
    </row>
    <row r="905" ht="42" customHeight="1">
      <c r="A905" s="14">
        <f>IFERROR(__xludf.DUMMYFUNCTION("""COMPUTED_VALUE"""),45181)</f>
        <v/>
      </c>
      <c r="B905" s="1">
        <f>IFERROR(__xludf.DUMMYFUNCTION("""COMPUTED_VALUE"""),"ORG_1235")</f>
        <v/>
      </c>
      <c r="C905" s="1">
        <f>IFERROR(__xludf.DUMMYFUNCTION("""COMPUTED_VALUE"""),TRUE)</f>
        <v/>
      </c>
      <c r="D905" s="1">
        <f>IFERROR(__xludf.DUMMYFUNCTION("""COMPUTED_VALUE"""),"Choice31")</f>
        <v/>
      </c>
      <c r="E905" s="15">
        <f>IFERROR(__xludf.DUMMYFUNCTION("""COMPUTED_VALUE"""),"https://choice31.com/ua/")</f>
        <v/>
      </c>
      <c r="F905" s="1">
        <f>IFERROR(__xludf.DUMMYFUNCTION("""COMPUTED_VALUE"""),"Choice31 - is an online University of current knowledge and vocations. We create a safe space where you can self-search, acquire new skills or obtain a new profession. We teach online. The key is your motivation, not your location.")</f>
        <v/>
      </c>
      <c r="G905" s="1">
        <f>IFERROR(__xludf.DUMMYFUNCTION("""COMPUTED_VALUE"""),"I'm not part of any EdTech association")</f>
        <v/>
      </c>
      <c r="H905" s="1" t="n"/>
      <c r="I905" s="1">
        <f>IFERROR(__xludf.DUMMYFUNCTION("""COMPUTED_VALUE"""),"care@choice31.com")</f>
        <v/>
      </c>
      <c r="J905" s="1">
        <f>IFERROR(__xludf.DUMMYFUNCTION("""COMPUTED_VALUE"""),"+380 67 801 26 96")</f>
        <v/>
      </c>
      <c r="K905" s="1">
        <f>IFERROR(__xludf.DUMMYFUNCTION("""COMPUTED_VALUE"""),"Kyiv")</f>
        <v/>
      </c>
      <c r="L905" s="1">
        <f>IFERROR(__xludf.DUMMYFUNCTION("""COMPUTED_VALUE"""),"Ukraine")</f>
        <v/>
      </c>
      <c r="M905" s="1">
        <f>IFERROR(__xludf.DUMMYFUNCTION("""COMPUTED_VALUE"""),"Azerbaijan, Germany, Kazakhstan, Latvia, Lithuania, Poland, Ukraine")</f>
        <v/>
      </c>
      <c r="N905" s="1">
        <f>IFERROR(__xludf.DUMMYFUNCTION("""COMPUTED_VALUE"""),"11 to 50")</f>
        <v/>
      </c>
      <c r="O905" s="1">
        <f>IFERROR(__xludf.DUMMYFUNCTION("""COMPUTED_VALUE"""),"Business to Business")</f>
        <v/>
      </c>
      <c r="P905" s="1">
        <f>IFERROR(__xludf.DUMMYFUNCTION("""COMPUTED_VALUE"""),"Lifelong learning/Adult education")</f>
        <v/>
      </c>
      <c r="Q905" s="1">
        <f>IFERROR(__xludf.DUMMYFUNCTION("""COMPUTED_VALUE"""),"Student interfacing, System/Administrative")</f>
        <v/>
      </c>
      <c r="R905" s="1" t="n"/>
      <c r="S905" s="1" t="n"/>
      <c r="T905" s="1" t="n"/>
      <c r="U905" s="1" t="n"/>
      <c r="V905" s="1" t="n"/>
      <c r="W905" s="1" t="n"/>
      <c r="X905" s="1" t="n"/>
      <c r="Y905" s="15">
        <f>IFERROR(__xludf.DUMMYFUNCTION("""COMPUTED_VALUE"""),"https://drive.google.com/uc?export=view&amp;id=1iAP7yLas2id1ymUzPozkgwozxjEFxqEn")</f>
        <v/>
      </c>
      <c r="Z905" s="1">
        <f>IFERROR(__xludf.DUMMYFUNCTION("""COMPUTED_VALUE"""),"Unverified")</f>
        <v/>
      </c>
      <c r="AA905" s="1" t="n"/>
      <c r="AB905" s="1" t="n"/>
      <c r="AC905" s="1" t="n"/>
      <c r="AD905" s="1" t="n"/>
      <c r="AE905" s="1" t="n"/>
    </row>
    <row r="906" ht="42" customHeight="1">
      <c r="A906" s="14">
        <f>IFERROR(__xludf.DUMMYFUNCTION("""COMPUTED_VALUE"""),45181)</f>
        <v/>
      </c>
      <c r="B906" s="1">
        <f>IFERROR(__xludf.DUMMYFUNCTION("""COMPUTED_VALUE"""),"ORG_1272")</f>
        <v/>
      </c>
      <c r="C906" s="1">
        <f>IFERROR(__xludf.DUMMYFUNCTION("""COMPUTED_VALUE"""),TRUE)</f>
        <v/>
      </c>
      <c r="D906" s="1">
        <f>IFERROR(__xludf.DUMMYFUNCTION("""COMPUTED_VALUE"""),"Codementum")</f>
        <v/>
      </c>
      <c r="E906" s="15">
        <f>IFERROR(__xludf.DUMMYFUNCTION("""COMPUTED_VALUE"""),"https://codementum.com/")</f>
        <v/>
      </c>
      <c r="F906" s="1">
        <f>IFERROR(__xludf.DUMMYFUNCTION("""COMPUTED_VALUE"""),"Codementum provides all of the curriculum, intuitive tools, and resources you need to run a successful CS program. Our interactive learning platform allows kids to progress at their own pace and seamlessly transition to text languages like JavaScript and "&amp;"Python. Using Python and JavaScript, students learn to code and then build their own Mobile games and apps. With Codementum’s Teacher Kit, everyone can easily teach the basics of computer science. Codementum is a fun and educational game environment where"&amp;" students learn to code in a real programming language, no previous experience needed. It is designed as a classroom resource with fully-guided lesson plans. This means, every teacher can teach the Codementum courses, even if they have no prior experience"&amp;" in Computer Science. We provide you with everything you could possibly need.")</f>
        <v/>
      </c>
      <c r="G906" s="1">
        <f>IFERROR(__xludf.DUMMYFUNCTION("""COMPUTED_VALUE"""),"I'm not part of any EdTech association")</f>
        <v/>
      </c>
      <c r="H906" s="1">
        <f>IFERROR(__xludf.DUMMYFUNCTION("""COMPUTED_VALUE"""),"English, Spanish, Dutch, German, French")</f>
        <v/>
      </c>
      <c r="I906" s="1">
        <f>IFERROR(__xludf.DUMMYFUNCTION("""COMPUTED_VALUE"""),"info@codementum.com")</f>
        <v/>
      </c>
      <c r="J906" s="1">
        <f>IFERROR(__xludf.DUMMYFUNCTION("""COMPUTED_VALUE"""),"+442030952772")</f>
        <v/>
      </c>
      <c r="K906" s="1">
        <f>IFERROR(__xludf.DUMMYFUNCTION("""COMPUTED_VALUE"""),"London")</f>
        <v/>
      </c>
      <c r="L906" s="1">
        <f>IFERROR(__xludf.DUMMYFUNCTION("""COMPUTED_VALUE"""),"United Kingdom")</f>
        <v/>
      </c>
      <c r="M90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906" s="1">
        <f>IFERROR(__xludf.DUMMYFUNCTION("""COMPUTED_VALUE"""),"11 to 50")</f>
        <v/>
      </c>
      <c r="O906" s="1">
        <f>IFERROR(__xludf.DUMMYFUNCTION("""COMPUTED_VALUE"""),"Business to Business, Business to Consumer")</f>
        <v/>
      </c>
      <c r="P906" s="1">
        <f>IFERROR(__xludf.DUMMYFUNCTION("""COMPUTED_VALUE"""),"Primary Education, Secondary Education, Lifelong learning/Adult education, Vocational Education and Training (VET)")</f>
        <v/>
      </c>
      <c r="Q906" s="1">
        <f>IFERROR(__xludf.DUMMYFUNCTION("""COMPUTED_VALUE"""),"System/Administrative, Student interfacing, Teacher interfacing")</f>
        <v/>
      </c>
      <c r="R906" s="15">
        <f>IFERROR(__xludf.DUMMYFUNCTION("""COMPUTED_VALUE"""),"https://www.instagram.com/codementumglobal/")</f>
        <v/>
      </c>
      <c r="S906" s="15">
        <f>IFERROR(__xludf.DUMMYFUNCTION("""COMPUTED_VALUE"""),"https://twitter.com/Codementum1")</f>
        <v/>
      </c>
      <c r="T906" s="15">
        <f>IFERROR(__xludf.DUMMYFUNCTION("""COMPUTED_VALUE"""),"https://www.linkedin.com/company/codementum-coding-technologies/")</f>
        <v/>
      </c>
      <c r="U906" s="1">
        <f>IFERROR(__xludf.DUMMYFUNCTION("""COMPUTED_VALUE"""),"Codementum")</f>
        <v/>
      </c>
      <c r="V906" s="1">
        <f>IFERROR(__xludf.DUMMYFUNCTION("""COMPUTED_VALUE"""),"Codementum provides all of the curriculum, intuitive tools, and resources you need to run a successful CS program. Our interactive learning platform allows kids to progress at their own pace and seamlessly transition to text languages like JavaScript and "&amp;"Python. Using Python and JavaScript, students learn to code and then build their own Mobile games and apps. With Codementum’s Teacher Kit, everyone can easily teach the basics of computer science. Codementum is a fun and educational game environment where"&amp;" students learn to code in a real programming language, no previous experience needed. It is designed as a classroom resource with fully-guided lesson plans. This means, every teacher can teach the Codementum courses, even if they have no prior experience"&amp;" in Computer Science. We provide you with everything you could possibly need.")</f>
        <v/>
      </c>
      <c r="W906" s="1" t="n"/>
      <c r="X906" s="1" t="n"/>
      <c r="Y906" s="15">
        <f>IFERROR(__xludf.DUMMYFUNCTION("""COMPUTED_VALUE"""),"https://drive.google.com/uc?export=view&amp;id=1rsOYGezw9rklr6P4SZZjhZlf9XIG7P3N")</f>
        <v/>
      </c>
      <c r="Z906" s="1">
        <f>IFERROR(__xludf.DUMMYFUNCTION("""COMPUTED_VALUE"""),"Unverified")</f>
        <v/>
      </c>
      <c r="AA906" s="1" t="n"/>
      <c r="AB906" s="1" t="n"/>
      <c r="AC906" s="1" t="n"/>
      <c r="AD906" s="1" t="n"/>
      <c r="AE906" s="1" t="n"/>
    </row>
    <row r="907" ht="42" customHeight="1">
      <c r="A907" s="14">
        <f>IFERROR(__xludf.DUMMYFUNCTION("""COMPUTED_VALUE"""),45181)</f>
        <v/>
      </c>
      <c r="B907" s="1">
        <f>IFERROR(__xludf.DUMMYFUNCTION("""COMPUTED_VALUE"""),"ORG_1312")</f>
        <v/>
      </c>
      <c r="C907" s="1">
        <f>IFERROR(__xludf.DUMMYFUNCTION("""COMPUTED_VALUE"""),TRUE)</f>
        <v/>
      </c>
      <c r="D907" s="1">
        <f>IFERROR(__xludf.DUMMYFUNCTION("""COMPUTED_VALUE"""),"Crocodile")</f>
        <v/>
      </c>
      <c r="E907" s="15">
        <f>IFERROR(__xludf.DUMMYFUNCTION("""COMPUTED_VALUE"""),"https://www.crocodile-health.com")</f>
        <v/>
      </c>
      <c r="F907" s="1">
        <f>IFERROR(__xludf.DUMMYFUNCTION("""COMPUTED_VALUE"""),"Crocodile revolutionizes the further education process for dentists and offers them the opportunity to learn digitally and independently of time from many experts with a specialized e-learning platform. This makes it possible to better integrate education"&amp;" into the practice and to increase the quality of treatment for patients through the resulting increase in expertise. Compact training courses with well-known experts are being produced specifically for the platform and made available as part of a subscri"&amp;"ption.")</f>
        <v/>
      </c>
      <c r="G907" s="1">
        <f>IFERROR(__xludf.DUMMYFUNCTION("""COMPUTED_VALUE"""),"I'm not part of any EdTech association")</f>
        <v/>
      </c>
      <c r="H907" s="1" t="n"/>
      <c r="I907" s="1">
        <f>IFERROR(__xludf.DUMMYFUNCTION("""COMPUTED_VALUE"""),"info@crocodile-health.com")</f>
        <v/>
      </c>
      <c r="J907" s="1" t="n"/>
      <c r="K907" s="1">
        <f>IFERROR(__xludf.DUMMYFUNCTION("""COMPUTED_VALUE"""),"PADERBORN")</f>
        <v/>
      </c>
      <c r="L907" s="1">
        <f>IFERROR(__xludf.DUMMYFUNCTION("""COMPUTED_VALUE"""),"Germany")</f>
        <v/>
      </c>
      <c r="M907" s="1">
        <f>IFERROR(__xludf.DUMMYFUNCTION("""COMPUTED_VALUE"""),"Germany")</f>
        <v/>
      </c>
      <c r="N907" s="1">
        <f>IFERROR(__xludf.DUMMYFUNCTION("""COMPUTED_VALUE"""),"0 to 10")</f>
        <v/>
      </c>
      <c r="O907" s="1">
        <f>IFERROR(__xludf.DUMMYFUNCTION("""COMPUTED_VALUE"""),"Business to Business, Business to Consumer")</f>
        <v/>
      </c>
      <c r="P907" s="1">
        <f>IFERROR(__xludf.DUMMYFUNCTION("""COMPUTED_VALUE"""),"Corporate Training")</f>
        <v/>
      </c>
      <c r="Q907" s="1">
        <f>IFERROR(__xludf.DUMMYFUNCTION("""COMPUTED_VALUE"""),"Student interfacing")</f>
        <v/>
      </c>
      <c r="R907" s="1" t="n"/>
      <c r="S907" s="1" t="n"/>
      <c r="T907" s="1" t="n"/>
      <c r="U907" s="1" t="n"/>
      <c r="V907" s="1" t="n"/>
      <c r="W907" s="1" t="n"/>
      <c r="X907" s="1" t="n"/>
      <c r="Y907" s="15">
        <f>IFERROR(__xludf.DUMMYFUNCTION("""COMPUTED_VALUE"""),"https://drive.google.com/uc?export=view&amp;id=1MsSzKq69-ZdpOVBrZ0bE6Kar2j1OWfiv")</f>
        <v/>
      </c>
      <c r="Z907" s="1">
        <f>IFERROR(__xludf.DUMMYFUNCTION("""COMPUTED_VALUE"""),"Unverified")</f>
        <v/>
      </c>
      <c r="AA907" s="1" t="n"/>
      <c r="AB907" s="1" t="n"/>
      <c r="AC907" s="1" t="n"/>
      <c r="AD907" s="1" t="n"/>
      <c r="AE907" s="1" t="n"/>
    </row>
    <row r="908" ht="42" customHeight="1">
      <c r="A908" s="14">
        <f>IFERROR(__xludf.DUMMYFUNCTION("""COMPUTED_VALUE"""),45181)</f>
        <v/>
      </c>
      <c r="B908" s="1">
        <f>IFERROR(__xludf.DUMMYFUNCTION("""COMPUTED_VALUE"""),"ORG_1342")</f>
        <v/>
      </c>
      <c r="C908" s="1">
        <f>IFERROR(__xludf.DUMMYFUNCTION("""COMPUTED_VALUE"""),TRUE)</f>
        <v/>
      </c>
      <c r="D908" s="1">
        <f>IFERROR(__xludf.DUMMYFUNCTION("""COMPUTED_VALUE"""),"DevinSense")</f>
        <v/>
      </c>
      <c r="E908" s="15">
        <f>IFERROR(__xludf.DUMMYFUNCTION("""COMPUTED_VALUE"""),"www.DevinSense.com")</f>
        <v/>
      </c>
      <c r="F908" s="1">
        <f>IFERROR(__xludf.DUMMYFUNCTION("""COMPUTED_VALUE"""),"DevinSense started off year 2014 and have ever since then been focusing on bringing the best products to the best customers within education, research and development.")</f>
        <v/>
      </c>
      <c r="G908" s="1">
        <f>IFERROR(__xludf.DUMMYFUNCTION("""COMPUTED_VALUE"""),"I'm not part of any EdTech association")</f>
        <v/>
      </c>
      <c r="H908" s="1" t="n"/>
      <c r="I908" s="1">
        <f>IFERROR(__xludf.DUMMYFUNCTION("""COMPUTED_VALUE"""),"info@devinsense.com")</f>
        <v/>
      </c>
      <c r="J908" s="1">
        <f>IFERROR(__xludf.DUMMYFUNCTION("""COMPUTED_VALUE"""),"+46762099221")</f>
        <v/>
      </c>
      <c r="K908" s="1">
        <f>IFERROR(__xludf.DUMMYFUNCTION("""COMPUTED_VALUE"""),"Spånga")</f>
        <v/>
      </c>
      <c r="L908" s="1">
        <f>IFERROR(__xludf.DUMMYFUNCTION("""COMPUTED_VALUE"""),"Sweden")</f>
        <v/>
      </c>
      <c r="M908" s="1">
        <f>IFERROR(__xludf.DUMMYFUNCTION("""COMPUTED_VALUE"""),"Denmark, Estonia, Finland, France, Germany, Hungary, Iceland, Ireland, Italy, Latvia, Netherlands, Norway, Poland, Portugal, Romania, Spain, Sweden, Switzerland, Turkey, Ukraine")</f>
        <v/>
      </c>
      <c r="N908" s="1">
        <f>IFERROR(__xludf.DUMMYFUNCTION("""COMPUTED_VALUE"""),"0 to 10")</f>
        <v/>
      </c>
      <c r="O908" s="1">
        <f>IFERROR(__xludf.DUMMYFUNCTION("""COMPUTED_VALUE"""),"Business to Business, Business to Consumer")</f>
        <v/>
      </c>
      <c r="P908" s="1">
        <f>IFERROR(__xludf.DUMMYFUNCTION("""COMPUTED_VALUE"""),"Primary Education, Secondary Education, Higher Education, Corporate Training")</f>
        <v/>
      </c>
      <c r="Q908" s="1">
        <f>IFERROR(__xludf.DUMMYFUNCTION("""COMPUTED_VALUE"""),"Student interfacing, Teacher interfacing, System/Administrative")</f>
        <v/>
      </c>
      <c r="R908" s="1" t="n"/>
      <c r="S908" s="1" t="n"/>
      <c r="T908" s="1" t="n"/>
      <c r="U908" s="1" t="n"/>
      <c r="V908" s="1" t="n"/>
      <c r="W908" s="1" t="n"/>
      <c r="X908" s="1" t="n"/>
      <c r="Y908" s="15">
        <f>IFERROR(__xludf.DUMMYFUNCTION("""COMPUTED_VALUE"""),"https://drive.google.com/uc?export=view&amp;id=114YGKkixXTELLDuWBKY8ECOfP73LzZXE")</f>
        <v/>
      </c>
      <c r="Z908" s="1">
        <f>IFERROR(__xludf.DUMMYFUNCTION("""COMPUTED_VALUE"""),"Unverified")</f>
        <v/>
      </c>
      <c r="AA908" s="1" t="n"/>
      <c r="AB908" s="1" t="n"/>
      <c r="AC908" s="1" t="n"/>
      <c r="AD908" s="1" t="n"/>
      <c r="AE908" s="1" t="n"/>
    </row>
    <row r="909" ht="42" customHeight="1">
      <c r="A909" s="14">
        <f>IFERROR(__xludf.DUMMYFUNCTION("""COMPUTED_VALUE"""),45181)</f>
        <v/>
      </c>
      <c r="B909" s="1">
        <f>IFERROR(__xludf.DUMMYFUNCTION("""COMPUTED_VALUE"""),"ORG_1350")</f>
        <v/>
      </c>
      <c r="C909" s="1">
        <f>IFERROR(__xludf.DUMMYFUNCTION("""COMPUTED_VALUE"""),TRUE)</f>
        <v/>
      </c>
      <c r="D909" s="1">
        <f>IFERROR(__xludf.DUMMYFUNCTION("""COMPUTED_VALUE"""),"DieSchulApp")</f>
        <v/>
      </c>
      <c r="E909" s="15">
        <f>IFERROR(__xludf.DUMMYFUNCTION("""COMPUTED_VALUE"""),"https://www.dieschulapp.de")</f>
        <v/>
      </c>
      <c r="F909" s="1">
        <f>IFERROR(__xludf.DUMMYFUNCTION("""COMPUTED_VALUE"""),"DieSchulApp is a school software that supports schools in communication, administration and digital teaching.
Previous everyday processes such as sick notes, letters to parents, substitutions, class book entries, and the organization of parent-teacher con"&amp;"ferences become more digital, easier and faster.")</f>
        <v/>
      </c>
      <c r="G909" s="1">
        <f>IFERROR(__xludf.DUMMYFUNCTION("""COMPUTED_VALUE"""),"I'm not part of any EdTech association")</f>
        <v/>
      </c>
      <c r="H909" s="1" t="n"/>
      <c r="I909" s="1">
        <f>IFERROR(__xludf.DUMMYFUNCTION("""COMPUTED_VALUE"""),"info@dieschulapp.de")</f>
        <v/>
      </c>
      <c r="J909" s="1">
        <f>IFERROR(__xludf.DUMMYFUNCTION("""COMPUTED_VALUE"""),"+49 89 380 124 594")</f>
        <v/>
      </c>
      <c r="K909" s="1">
        <f>IFERROR(__xludf.DUMMYFUNCTION("""COMPUTED_VALUE"""),"Munich")</f>
        <v/>
      </c>
      <c r="L909" s="1">
        <f>IFERROR(__xludf.DUMMYFUNCTION("""COMPUTED_VALUE"""),"Germany")</f>
        <v/>
      </c>
      <c r="M909" s="1">
        <f>IFERROR(__xludf.DUMMYFUNCTION("""COMPUTED_VALUE"""),"Austria, Germany")</f>
        <v/>
      </c>
      <c r="N909" s="1">
        <f>IFERROR(__xludf.DUMMYFUNCTION("""COMPUTED_VALUE"""),"11 to 50")</f>
        <v/>
      </c>
      <c r="O909" s="1">
        <f>IFERROR(__xludf.DUMMYFUNCTION("""COMPUTED_VALUE"""),"Business to Business, Business to Consumer")</f>
        <v/>
      </c>
      <c r="P909" s="1">
        <f>IFERROR(__xludf.DUMMYFUNCTION("""COMPUTED_VALUE"""),"Primary Education, Secondary Education")</f>
        <v/>
      </c>
      <c r="Q909" s="1">
        <f>IFERROR(__xludf.DUMMYFUNCTION("""COMPUTED_VALUE"""),"Teacher interfacing, System/Administrative")</f>
        <v/>
      </c>
      <c r="R909" s="1" t="n"/>
      <c r="S909" s="1" t="n"/>
      <c r="T909" s="1" t="n"/>
      <c r="U909" s="1" t="n"/>
      <c r="V909" s="1" t="n"/>
      <c r="W909" s="1" t="n"/>
      <c r="X909" s="1" t="n"/>
      <c r="Y909" s="15">
        <f>IFERROR(__xludf.DUMMYFUNCTION("""COMPUTED_VALUE"""),"https://drive.google.com/uc?export=view&amp;id=1sAZxbMadn9BTBW35yOCuUngYTWfzYqx6")</f>
        <v/>
      </c>
      <c r="Z909" s="1">
        <f>IFERROR(__xludf.DUMMYFUNCTION("""COMPUTED_VALUE"""),"Unverified")</f>
        <v/>
      </c>
      <c r="AA909" s="1" t="n"/>
      <c r="AB909" s="1" t="n"/>
      <c r="AC909" s="1" t="n"/>
      <c r="AD909" s="1" t="n"/>
      <c r="AE909" s="1" t="n"/>
    </row>
    <row r="910" ht="42" customHeight="1">
      <c r="A910" s="14">
        <f>IFERROR(__xludf.DUMMYFUNCTION("""COMPUTED_VALUE"""),45181)</f>
        <v/>
      </c>
      <c r="B910" s="1">
        <f>IFERROR(__xludf.DUMMYFUNCTION("""COMPUTED_VALUE"""),"ORG_1412")</f>
        <v/>
      </c>
      <c r="C910" s="1">
        <f>IFERROR(__xludf.DUMMYFUNCTION("""COMPUTED_VALUE"""),TRUE)</f>
        <v/>
      </c>
      <c r="D910" s="1">
        <f>IFERROR(__xludf.DUMMYFUNCTION("""COMPUTED_VALUE"""),"Edkimo")</f>
        <v/>
      </c>
      <c r="E910" s="15">
        <f>IFERROR(__xludf.DUMMYFUNCTION("""COMPUTED_VALUE"""),"https://edkimo.com")</f>
        <v/>
      </c>
      <c r="F910" s="1">
        <f>IFERROR(__xludf.DUMMYFUNCTION("""COMPUTED_VALUE"""),"Edkimo helps students and teachers improve learning in real-time. Our playful app allows for a full feedback loop, integrates into the learning process, and respects user privacy.")</f>
        <v/>
      </c>
      <c r="G910" s="1">
        <f>IFERROR(__xludf.DUMMYFUNCTION("""COMPUTED_VALUE"""),"I'm not part of any EdTech association")</f>
        <v/>
      </c>
      <c r="H910" s="1" t="n"/>
      <c r="I910" s="1">
        <f>IFERROR(__xludf.DUMMYFUNCTION("""COMPUTED_VALUE"""),"contact@edkimo.com")</f>
        <v/>
      </c>
      <c r="J910" s="1">
        <f>IFERROR(__xludf.DUMMYFUNCTION("""COMPUTED_VALUE"""),"+49 30 34060312")</f>
        <v/>
      </c>
      <c r="K910" s="1">
        <f>IFERROR(__xludf.DUMMYFUNCTION("""COMPUTED_VALUE"""),"Berlin")</f>
        <v/>
      </c>
      <c r="L910" s="1">
        <f>IFERROR(__xludf.DUMMYFUNCTION("""COMPUTED_VALUE"""),"Germany")</f>
        <v/>
      </c>
      <c r="M910" s="1">
        <f>IFERROR(__xludf.DUMMYFUNCTION("""COMPUTED_VALUE"""),"Austria, Belgium, Denmark, France, Germany, Greece, Ireland, Netherlands, Portugal, Spain, Sweden, Switzerland, Ukraine, United Kingdom")</f>
        <v/>
      </c>
      <c r="N910" s="1">
        <f>IFERROR(__xludf.DUMMYFUNCTION("""COMPUTED_VALUE"""),"0 to 10")</f>
        <v/>
      </c>
      <c r="O910" s="1">
        <f>IFERROR(__xludf.DUMMYFUNCTION("""COMPUTED_VALUE"""),"Business to Business, Business to Consumer, Business to Government, Business to Schools")</f>
        <v/>
      </c>
      <c r="P910" s="1">
        <f>IFERROR(__xludf.DUMMYFUNCTION("""COMPUTED_VALUE"""),"Primary Education, Secondary Education, Higher Education, Corporate Training, Lifelong learning/Adult education")</f>
        <v/>
      </c>
      <c r="Q910" s="1">
        <f>IFERROR(__xludf.DUMMYFUNCTION("""COMPUTED_VALUE"""),"System/Administrative, Student interfacing, Teacher interfacing")</f>
        <v/>
      </c>
      <c r="R910" s="1" t="n"/>
      <c r="S910" s="1" t="n"/>
      <c r="T910" s="1" t="n"/>
      <c r="U910" s="1" t="n"/>
      <c r="V910" s="1" t="n"/>
      <c r="W910" s="1" t="n"/>
      <c r="X910" s="1" t="n"/>
      <c r="Y910" s="15">
        <f>IFERROR(__xludf.DUMMYFUNCTION("""COMPUTED_VALUE"""),"https://drive.google.com/uc?export=view&amp;id=1z9kLKEHcWsuRSlc5PK3Dvlq-hecXFYcX")</f>
        <v/>
      </c>
      <c r="Z910" s="1">
        <f>IFERROR(__xludf.DUMMYFUNCTION("""COMPUTED_VALUE"""),"Unverified")</f>
        <v/>
      </c>
      <c r="AA910" s="1" t="n"/>
      <c r="AB910" s="1" t="n"/>
      <c r="AC910" s="1" t="n"/>
      <c r="AD910" s="1" t="n"/>
      <c r="AE910" s="1" t="n"/>
    </row>
    <row r="911" ht="42" customHeight="1">
      <c r="A911" s="14">
        <f>IFERROR(__xludf.DUMMYFUNCTION("""COMPUTED_VALUE"""),45181)</f>
        <v/>
      </c>
      <c r="B911" s="1">
        <f>IFERROR(__xludf.DUMMYFUNCTION("""COMPUTED_VALUE"""),"ORG_1563")</f>
        <v/>
      </c>
      <c r="C911" s="1">
        <f>IFERROR(__xludf.DUMMYFUNCTION("""COMPUTED_VALUE"""),TRUE)</f>
        <v/>
      </c>
      <c r="D911" s="1">
        <f>IFERROR(__xludf.DUMMYFUNCTION("""COMPUTED_VALUE"""),"Finalist")</f>
        <v/>
      </c>
      <c r="E911" s="15">
        <f>IFERROR(__xludf.DUMMYFUNCTION("""COMPUTED_VALUE"""),"https://www.finalist.nl/")</f>
        <v/>
      </c>
      <c r="F911" s="1">
        <f>IFERROR(__xludf.DUMMYFUNCTION("""COMPUTED_VALUE"""),"We help schools and universities with student recruitment, student and employee engagement, and other digital transformations. We achieve these goals by using open source and open standards in online tools. These include websites, integration services, an"&amp;"d digital workspaces (MySchoolportal.com).
Our websites support the student recruitment process and automates enrollment, through easy-to-use CMS systems, findable content and accessibility.
Our digital workspace give students, teachers, researchers and o"&amp;"ther employees a personalized portal, social community, and collaboration platform. It integrates not only MS365 but all your applications, for this purpose. This includes scores, schedules, SSO, CRM applications, etc.")</f>
        <v/>
      </c>
      <c r="G911" s="1">
        <f>IFERROR(__xludf.DUMMYFUNCTION("""COMPUTED_VALUE"""),"I'm not part of any EdTech association")</f>
        <v/>
      </c>
      <c r="H911" s="1" t="n"/>
      <c r="I911" s="1">
        <f>IFERROR(__xludf.DUMMYFUNCTION("""COMPUTED_VALUE"""),"service@finalist.nl")</f>
        <v/>
      </c>
      <c r="J911" s="1">
        <f>IFERROR(__xludf.DUMMYFUNCTION("""COMPUTED_VALUE"""),"+31 (0)88 217 08 00")</f>
        <v/>
      </c>
      <c r="K911" s="1">
        <f>IFERROR(__xludf.DUMMYFUNCTION("""COMPUTED_VALUE"""),"ROTTERDAM")</f>
        <v/>
      </c>
      <c r="L911" s="1">
        <f>IFERROR(__xludf.DUMMYFUNCTION("""COMPUTED_VALUE"""),"The Netherlands")</f>
        <v/>
      </c>
      <c r="M911" s="1">
        <f>IFERROR(__xludf.DUMMYFUNCTION("""COMPUTED_VALUE"""),"Netherlands")</f>
        <v/>
      </c>
      <c r="N911" s="1">
        <f>IFERROR(__xludf.DUMMYFUNCTION("""COMPUTED_VALUE"""),"51 to 100")</f>
        <v/>
      </c>
      <c r="O911" s="1">
        <f>IFERROR(__xludf.DUMMYFUNCTION("""COMPUTED_VALUE"""),"Business to Business, Business to Consumer, Business to Government, Business to Schools")</f>
        <v/>
      </c>
      <c r="P911" s="1">
        <f>IFERROR(__xludf.DUMMYFUNCTION("""COMPUTED_VALUE"""),"Secondary Education, Higher Education")</f>
        <v/>
      </c>
      <c r="Q911" s="1">
        <f>IFERROR(__xludf.DUMMYFUNCTION("""COMPUTED_VALUE"""),"System/Administrative, Student interfacing, Teacher interfacing")</f>
        <v/>
      </c>
      <c r="R911" s="1" t="n"/>
      <c r="S911" s="1" t="n"/>
      <c r="T911" s="1" t="n"/>
      <c r="U911" s="1" t="n"/>
      <c r="V911" s="1" t="n"/>
      <c r="W911" s="1" t="n"/>
      <c r="X911" s="1" t="n"/>
      <c r="Y911" s="15">
        <f>IFERROR(__xludf.DUMMYFUNCTION("""COMPUTED_VALUE"""),"https://drive.google.com/uc?export=view&amp;id=1SDPDUpEw2lixPZu60929iGt4cY3U4jUh")</f>
        <v/>
      </c>
      <c r="Z911" s="1">
        <f>IFERROR(__xludf.DUMMYFUNCTION("""COMPUTED_VALUE"""),"Unverified")</f>
        <v/>
      </c>
      <c r="AA911" s="1" t="n"/>
      <c r="AB911" s="1" t="n"/>
      <c r="AC911" s="1" t="n"/>
      <c r="AD911" s="1" t="n"/>
      <c r="AE911" s="1" t="n"/>
    </row>
    <row r="912" ht="42" customHeight="1">
      <c r="A912" s="14">
        <f>IFERROR(__xludf.DUMMYFUNCTION("""COMPUTED_VALUE"""),45181)</f>
        <v/>
      </c>
      <c r="B912" s="1">
        <f>IFERROR(__xludf.DUMMYFUNCTION("""COMPUTED_VALUE"""),"ORG_1584")</f>
        <v/>
      </c>
      <c r="C912" s="1">
        <f>IFERROR(__xludf.DUMMYFUNCTION("""COMPUTED_VALUE"""),TRUE)</f>
        <v/>
      </c>
      <c r="D912" s="1">
        <f>IFERROR(__xludf.DUMMYFUNCTION("""COMPUTED_VALUE"""),"Freigeist")</f>
        <v/>
      </c>
      <c r="E912" s="15">
        <f>IFERROR(__xludf.DUMMYFUNCTION("""COMPUTED_VALUE"""),"https://www.freigeist-app.de/")</f>
        <v/>
      </c>
      <c r="F912" s="1">
        <f>IFERROR(__xludf.DUMMYFUNCTION("""COMPUTED_VALUE"""),"Freigeist lets teachers plan their lessons digitally in the browser")</f>
        <v/>
      </c>
      <c r="G912" s="1">
        <f>IFERROR(__xludf.DUMMYFUNCTION("""COMPUTED_VALUE"""),"I'm not part of any EdTech association")</f>
        <v/>
      </c>
      <c r="H912" s="1" t="n"/>
      <c r="I912" s="1">
        <f>IFERROR(__xludf.DUMMYFUNCTION("""COMPUTED_VALUE"""),"hallo@freigeist-app.de")</f>
        <v/>
      </c>
      <c r="J912" s="1" t="n"/>
      <c r="K912" s="1">
        <f>IFERROR(__xludf.DUMMYFUNCTION("""COMPUTED_VALUE"""),"MÜNCHEN")</f>
        <v/>
      </c>
      <c r="L912" s="1">
        <f>IFERROR(__xludf.DUMMYFUNCTION("""COMPUTED_VALUE"""),"Germany")</f>
        <v/>
      </c>
      <c r="M912" s="1">
        <f>IFERROR(__xludf.DUMMYFUNCTION("""COMPUTED_VALUE"""),"Austria, France, Germany, Switzerland")</f>
        <v/>
      </c>
      <c r="N912" s="1">
        <f>IFERROR(__xludf.DUMMYFUNCTION("""COMPUTED_VALUE"""),"0 to 10")</f>
        <v/>
      </c>
      <c r="O912" s="1">
        <f>IFERROR(__xludf.DUMMYFUNCTION("""COMPUTED_VALUE"""),"Business to Business, Business to Consumer, Business to Schools")</f>
        <v/>
      </c>
      <c r="P912" s="1">
        <f>IFERROR(__xludf.DUMMYFUNCTION("""COMPUTED_VALUE"""),"Primary Education")</f>
        <v/>
      </c>
      <c r="Q912" s="1">
        <f>IFERROR(__xludf.DUMMYFUNCTION("""COMPUTED_VALUE"""),"Teacher interfacing")</f>
        <v/>
      </c>
      <c r="R912" s="1" t="n"/>
      <c r="S912" s="1" t="n"/>
      <c r="T912" s="1" t="n"/>
      <c r="U912" s="1" t="n"/>
      <c r="V912" s="1" t="n"/>
      <c r="W912" s="1" t="n"/>
      <c r="X912" s="1" t="n"/>
      <c r="Y912" s="15">
        <f>IFERROR(__xludf.DUMMYFUNCTION("""COMPUTED_VALUE"""),"https://drive.google.com/uc?export=view&amp;id=17G3JI2mHltRfGRdPWOtYsLZ_aSwy3TGV")</f>
        <v/>
      </c>
      <c r="Z912" s="1">
        <f>IFERROR(__xludf.DUMMYFUNCTION("""COMPUTED_VALUE"""),"Unverified")</f>
        <v/>
      </c>
      <c r="AA912" s="1" t="n"/>
      <c r="AB912" s="1" t="n"/>
      <c r="AC912" s="1" t="n"/>
      <c r="AD912" s="1" t="n"/>
      <c r="AE912" s="1" t="n"/>
    </row>
    <row r="913" ht="42" customHeight="1">
      <c r="A913" s="14">
        <f>IFERROR(__xludf.DUMMYFUNCTION("""COMPUTED_VALUE"""),45181)</f>
        <v/>
      </c>
      <c r="B913" s="1">
        <f>IFERROR(__xludf.DUMMYFUNCTION("""COMPUTED_VALUE"""),"ORG_1727")</f>
        <v/>
      </c>
      <c r="C913" s="1">
        <f>IFERROR(__xludf.DUMMYFUNCTION("""COMPUTED_VALUE"""),TRUE)</f>
        <v/>
      </c>
      <c r="D913" s="15">
        <f>IFERROR(__xludf.DUMMYFUNCTION("""COMPUTED_VALUE"""),"inoteam.io")</f>
        <v/>
      </c>
      <c r="E913" s="15">
        <f>IFERROR(__xludf.DUMMYFUNCTION("""COMPUTED_VALUE"""),"www.inoteam.io")</f>
        <v/>
      </c>
      <c r="F913" s="1">
        <f>IFERROR(__xludf.DUMMYFUNCTION("""COMPUTED_VALUE"""),"Inoteam.io is a Swiss-based Edtech startup that offers engaging team activities with realtime AI reporting that is used for leadership development and training in business schools and companies.")</f>
        <v/>
      </c>
      <c r="G913" s="1">
        <f>IFERROR(__xludf.DUMMYFUNCTION("""COMPUTED_VALUE"""),"Swiss EdTech Collider")</f>
        <v/>
      </c>
      <c r="H913" s="1" t="n"/>
      <c r="I913" s="1">
        <f>IFERROR(__xludf.DUMMYFUNCTION("""COMPUTED_VALUE"""),"hello@inoteam.io")</f>
        <v/>
      </c>
      <c r="J913" s="1">
        <f>IFERROR(__xludf.DUMMYFUNCTION("""COMPUTED_VALUE"""),"+41 78 921 04 40")</f>
        <v/>
      </c>
      <c r="K913" s="1">
        <f>IFERROR(__xludf.DUMMYFUNCTION("""COMPUTED_VALUE"""),"LAUSANNE")</f>
        <v/>
      </c>
      <c r="L913" s="1">
        <f>IFERROR(__xludf.DUMMYFUNCTION("""COMPUTED_VALUE"""),"Switzerland")</f>
        <v/>
      </c>
      <c r="M913" s="1">
        <f>IFERROR(__xludf.DUMMYFUNCTION("""COMPUTED_VALUE"""),"Switzerland")</f>
        <v/>
      </c>
      <c r="N913" s="1">
        <f>IFERROR(__xludf.DUMMYFUNCTION("""COMPUTED_VALUE"""),"0 to 10")</f>
        <v/>
      </c>
      <c r="O913" s="1">
        <f>IFERROR(__xludf.DUMMYFUNCTION("""COMPUTED_VALUE"""),"Business to Business, Business to Consumer, Business to Schools")</f>
        <v/>
      </c>
      <c r="P913" s="1">
        <f>IFERROR(__xludf.DUMMYFUNCTION("""COMPUTED_VALUE"""),"Higher Education, Corporate Training, Lifelong learning/Adult education")</f>
        <v/>
      </c>
      <c r="Q913" s="1">
        <f>IFERROR(__xludf.DUMMYFUNCTION("""COMPUTED_VALUE"""),"Teacher interfacing, System/Administrative")</f>
        <v/>
      </c>
      <c r="R913" s="1" t="n"/>
      <c r="S913" s="1" t="n"/>
      <c r="T913" s="1" t="n"/>
      <c r="U913" s="1" t="n"/>
      <c r="V913" s="1" t="n"/>
      <c r="W913" s="1" t="n"/>
      <c r="X913" s="1" t="n"/>
      <c r="Y913" s="15">
        <f>IFERROR(__xludf.DUMMYFUNCTION("""COMPUTED_VALUE"""),"https://drive.google.com/uc?export=view&amp;id=1wn-Jp7aGkD5vEqe9-RflJfVO6KKCmJB9")</f>
        <v/>
      </c>
      <c r="Z913" s="1">
        <f>IFERROR(__xludf.DUMMYFUNCTION("""COMPUTED_VALUE"""),"Unverified")</f>
        <v/>
      </c>
      <c r="AA913" s="1" t="n"/>
      <c r="AB913" s="1" t="n"/>
      <c r="AC913" s="1" t="n"/>
      <c r="AD913" s="1" t="n"/>
      <c r="AE913" s="1" t="n"/>
    </row>
    <row r="914" ht="42" customHeight="1">
      <c r="A914" s="14">
        <f>IFERROR(__xludf.DUMMYFUNCTION("""COMPUTED_VALUE"""),45181)</f>
        <v/>
      </c>
      <c r="B914" s="1">
        <f>IFERROR(__xludf.DUMMYFUNCTION("""COMPUTED_VALUE"""),"ORG_1741")</f>
        <v/>
      </c>
      <c r="C914" s="1">
        <f>IFERROR(__xludf.DUMMYFUNCTION("""COMPUTED_VALUE"""),TRUE)</f>
        <v/>
      </c>
      <c r="D914" s="1">
        <f>IFERROR(__xludf.DUMMYFUNCTION("""COMPUTED_VALUE"""),"Ismart")</f>
        <v/>
      </c>
      <c r="E914" s="15">
        <f>IFERROR(__xludf.DUMMYFUNCTION("""COMPUTED_VALUE"""),"https://www.ismart.org/")</f>
        <v/>
      </c>
      <c r="F914" s="1">
        <f>IFERROR(__xludf.DUMMYFUNCTION("""COMPUTED_VALUE"""),"Online simulators for preparing for school and improving academic performance in school subjects.")</f>
        <v/>
      </c>
      <c r="G914" s="1">
        <f>IFERROR(__xludf.DUMMYFUNCTION("""COMPUTED_VALUE"""),"I'm not part of any EdTech association")</f>
        <v/>
      </c>
      <c r="H914" s="1" t="n"/>
      <c r="I914" s="1">
        <f>IFERROR(__xludf.DUMMYFUNCTION("""COMPUTED_VALUE"""),"info@ismart.org")</f>
        <v/>
      </c>
      <c r="J914" s="1">
        <f>IFERROR(__xludf.DUMMYFUNCTION("""COMPUTED_VALUE"""),"+78006004402")</f>
        <v/>
      </c>
      <c r="K914" s="1">
        <f>IFERROR(__xludf.DUMMYFUNCTION("""COMPUTED_VALUE"""),"Korolev")</f>
        <v/>
      </c>
      <c r="L914" s="1">
        <f>IFERROR(__xludf.DUMMYFUNCTION("""COMPUTED_VALUE"""),"Russia")</f>
        <v/>
      </c>
      <c r="M914" s="1">
        <f>IFERROR(__xludf.DUMMYFUNCTION("""COMPUTED_VALUE"""),"Armenia, Azerbaijan, Belarus, Georgia, Kazakhstan, Russia, Ukraine")</f>
        <v/>
      </c>
      <c r="N914" s="1">
        <f>IFERROR(__xludf.DUMMYFUNCTION("""COMPUTED_VALUE"""),"51 to 100")</f>
        <v/>
      </c>
      <c r="O914" s="1">
        <f>IFERROR(__xludf.DUMMYFUNCTION("""COMPUTED_VALUE"""),"Business to Business, Business to Government")</f>
        <v/>
      </c>
      <c r="P914" s="1">
        <f>IFERROR(__xludf.DUMMYFUNCTION("""COMPUTED_VALUE"""),"Early childhood development (0-5 years), Primary Education, Secondary Education, Lifelong learning/Adult education")</f>
        <v/>
      </c>
      <c r="Q914" s="1">
        <f>IFERROR(__xludf.DUMMYFUNCTION("""COMPUTED_VALUE"""),"System/Administrative, Student interfacing, Teacher interfacing")</f>
        <v/>
      </c>
      <c r="R914" s="1" t="n"/>
      <c r="S914" s="1" t="n"/>
      <c r="T914" s="1" t="n"/>
      <c r="U914" s="1" t="n"/>
      <c r="V914" s="1" t="n"/>
      <c r="W914" s="1" t="n"/>
      <c r="X914" s="1" t="n"/>
      <c r="Y914" s="15">
        <f>IFERROR(__xludf.DUMMYFUNCTION("""COMPUTED_VALUE"""),"https://drive.google.com/uc?export=view&amp;id=118E3ksRTgODEbpu1bTm-av3JOnv7soZi")</f>
        <v/>
      </c>
      <c r="Z914" s="1">
        <f>IFERROR(__xludf.DUMMYFUNCTION("""COMPUTED_VALUE"""),"Unverified")</f>
        <v/>
      </c>
      <c r="AA914" s="1" t="n"/>
      <c r="AB914" s="1" t="n"/>
      <c r="AC914" s="1" t="n"/>
      <c r="AD914" s="1" t="n"/>
      <c r="AE914" s="1" t="n"/>
    </row>
    <row r="915" ht="42" customHeight="1">
      <c r="A915" s="14">
        <f>IFERROR(__xludf.DUMMYFUNCTION("""COMPUTED_VALUE"""),45181)</f>
        <v/>
      </c>
      <c r="B915" s="1">
        <f>IFERROR(__xludf.DUMMYFUNCTION("""COMPUTED_VALUE"""),"ORG_1825")</f>
        <v/>
      </c>
      <c r="C915" s="1">
        <f>IFERROR(__xludf.DUMMYFUNCTION("""COMPUTED_VALUE"""),TRUE)</f>
        <v/>
      </c>
      <c r="D915" s="1">
        <f>IFERROR(__xludf.DUMMYFUNCTION("""COMPUTED_VALUE"""),"Learn to Quest")</f>
        <v/>
      </c>
      <c r="E915" s="15">
        <f>IFERROR(__xludf.DUMMYFUNCTION("""COMPUTED_VALUE"""),"www.learntoquest.com")</f>
        <v/>
      </c>
      <c r="F915" s="1">
        <f>IFERROR(__xludf.DUMMYFUNCTION("""COMPUTED_VALUE"""),"Learn To Quest stands for high-quality teaching and supervision of research (projects) within education. We believe that with concrete and visual explainations and support, students understand even better how a research cycle works. With our online and of"&amp;"fline tools you can easily keep track of the progress of your students, saving you a lot of time and effort.")</f>
        <v/>
      </c>
      <c r="G915" s="1">
        <f>IFERROR(__xludf.DUMMYFUNCTION("""COMPUTED_VALUE"""),"Dutch EdTech")</f>
        <v/>
      </c>
      <c r="H915" s="1" t="n"/>
      <c r="I915" s="1">
        <f>IFERROR(__xludf.DUMMYFUNCTION("""COMPUTED_VALUE"""),"info@learntoquest.com")</f>
        <v/>
      </c>
      <c r="J915" s="1" t="n"/>
      <c r="K915" s="1">
        <f>IFERROR(__xludf.DUMMYFUNCTION("""COMPUTED_VALUE"""),"Amersfoort")</f>
        <v/>
      </c>
      <c r="L915" s="1">
        <f>IFERROR(__xludf.DUMMYFUNCTION("""COMPUTED_VALUE"""),"The Netherlands")</f>
        <v/>
      </c>
      <c r="M915" s="1">
        <f>IFERROR(__xludf.DUMMYFUNCTION("""COMPUTED_VALUE"""),"Belgium, Germany, Netherlands, United Kingdom")</f>
        <v/>
      </c>
      <c r="N915" s="1">
        <f>IFERROR(__xludf.DUMMYFUNCTION("""COMPUTED_VALUE"""),"0 to 10")</f>
        <v/>
      </c>
      <c r="O915" s="1">
        <f>IFERROR(__xludf.DUMMYFUNCTION("""COMPUTED_VALUE"""),"Business to Business, Business to Government, Business to Schools")</f>
        <v/>
      </c>
      <c r="P915" s="1">
        <f>IFERROR(__xludf.DUMMYFUNCTION("""COMPUTED_VALUE"""),"Secondary Education, Higher Education, Corporate Training")</f>
        <v/>
      </c>
      <c r="Q915" s="1">
        <f>IFERROR(__xludf.DUMMYFUNCTION("""COMPUTED_VALUE"""),"Teacher interfacing")</f>
        <v/>
      </c>
      <c r="R915" s="1" t="n"/>
      <c r="S915" s="1" t="n"/>
      <c r="T915" s="1" t="n"/>
      <c r="U915" s="1" t="n"/>
      <c r="V915" s="1" t="n"/>
      <c r="W915" s="1" t="n"/>
      <c r="X915" s="1" t="n"/>
      <c r="Y915" s="15">
        <f>IFERROR(__xludf.DUMMYFUNCTION("""COMPUTED_VALUE"""),"https://drive.google.com/uc?export=view&amp;id=17pHTlMvva_nCNSL_GJLYAk_xARH35Sq3")</f>
        <v/>
      </c>
      <c r="Z915" s="1">
        <f>IFERROR(__xludf.DUMMYFUNCTION("""COMPUTED_VALUE"""),"Unverified")</f>
        <v/>
      </c>
      <c r="AA915" s="1" t="n"/>
      <c r="AB915" s="1" t="n"/>
      <c r="AC915" s="1" t="n"/>
      <c r="AD915" s="1" t="n"/>
      <c r="AE915" s="1" t="n"/>
    </row>
    <row r="916" ht="42" customHeight="1">
      <c r="A916" s="14">
        <f>IFERROR(__xludf.DUMMYFUNCTION("""COMPUTED_VALUE"""),45181)</f>
        <v/>
      </c>
      <c r="B916" s="1">
        <f>IFERROR(__xludf.DUMMYFUNCTION("""COMPUTED_VALUE"""),"ORG_2022")</f>
        <v/>
      </c>
      <c r="C916" s="1">
        <f>IFERROR(__xludf.DUMMYFUNCTION("""COMPUTED_VALUE"""),TRUE)</f>
        <v/>
      </c>
      <c r="D916" s="1">
        <f>IFERROR(__xludf.DUMMYFUNCTION("""COMPUTED_VALUE"""),"Natur &amp; Kultur")</f>
        <v/>
      </c>
      <c r="E916" s="15">
        <f>IFERROR(__xludf.DUMMYFUNCTION("""COMPUTED_VALUE"""),"www.nok.se")</f>
        <v/>
      </c>
      <c r="F916" s="1">
        <f>IFERROR(__xludf.DUMMYFUNCTION("""COMPUTED_VALUE"""),"Natur &amp; Kultur is a Swedish publishing company with digital teaching materials for preschool, school and adult education, as well for higher education and professional development in pedagogy, psychology, leadership and care. Natur &amp; Kultur is a member of"&amp;" Swedish Edtech Industry.")</f>
        <v/>
      </c>
      <c r="G916" s="1">
        <f>IFERROR(__xludf.DUMMYFUNCTION("""COMPUTED_VALUE"""),"Swedish EdTech Industry")</f>
        <v/>
      </c>
      <c r="H916" s="1" t="n"/>
      <c r="I916" s="1" t="n"/>
      <c r="J916" s="1">
        <f>IFERROR(__xludf.DUMMYFUNCTION("""COMPUTED_VALUE"""),"+46 8 453 86 00")</f>
        <v/>
      </c>
      <c r="K916" s="1">
        <f>IFERROR(__xludf.DUMMYFUNCTION("""COMPUTED_VALUE"""),"Stockholm")</f>
        <v/>
      </c>
      <c r="L916" s="1">
        <f>IFERROR(__xludf.DUMMYFUNCTION("""COMPUTED_VALUE"""),"Sweden")</f>
        <v/>
      </c>
      <c r="M916" s="1">
        <f>IFERROR(__xludf.DUMMYFUNCTION("""COMPUTED_VALUE"""),"Sweden")</f>
        <v/>
      </c>
      <c r="N916" s="1">
        <f>IFERROR(__xludf.DUMMYFUNCTION("""COMPUTED_VALUE"""),"100+")</f>
        <v/>
      </c>
      <c r="O916" s="1">
        <f>IFERROR(__xludf.DUMMYFUNCTION("""COMPUTED_VALUE"""),"Business to Business, Business to Government, Business to Schools")</f>
        <v/>
      </c>
      <c r="P916" s="1">
        <f>IFERROR(__xludf.DUMMYFUNCTION("""COMPUTED_VALUE"""),"Early childhood development (0-5 years), Primary Education, Secondary Education, Higher Education, Lifelong learning/Adult education")</f>
        <v/>
      </c>
      <c r="Q916" s="1">
        <f>IFERROR(__xludf.DUMMYFUNCTION("""COMPUTED_VALUE"""),"System/Administrative, Student interfacing, Teacher interfacing")</f>
        <v/>
      </c>
      <c r="R916" s="1">
        <f>IFERROR(__xludf.DUMMYFUNCTION("""COMPUTED_VALUE"""),"naturochkultur_skola")</f>
        <v/>
      </c>
      <c r="S916" s="1" t="n"/>
      <c r="T916" s="1" t="n"/>
      <c r="U916" s="1">
        <f>IFERROR(__xludf.DUMMYFUNCTION("""COMPUTED_VALUE"""),"Digilär")</f>
        <v/>
      </c>
      <c r="V916" s="1">
        <f>IFERROR(__xludf.DUMMYFUNCTION("""COMPUTED_VALUE"""),"digital plattform/teaching materials covering all subjects K-12 in accordance with the Swedish curriculum")</f>
        <v/>
      </c>
      <c r="W916" s="1">
        <f>IFERROR(__xludf.DUMMYFUNCTION("""COMPUTED_VALUE"""),"NOKflex")</f>
        <v/>
      </c>
      <c r="X916" s="1">
        <f>IFERROR(__xludf.DUMMYFUNCTION("""COMPUTED_VALUE"""),"digital plattform/teaching materials for mathematics and programming in accordance with the Swedish curriculum")</f>
        <v/>
      </c>
      <c r="Y916" s="15">
        <f>IFERROR(__xludf.DUMMYFUNCTION("""COMPUTED_VALUE"""),"https://drive.google.com/uc?export=view&amp;id=1ZfHbthU9ccu-SGdM2i4FLAC9Qf9CdNt0")</f>
        <v/>
      </c>
      <c r="Z916" s="1">
        <f>IFERROR(__xludf.DUMMYFUNCTION("""COMPUTED_VALUE"""),"Unverified")</f>
        <v/>
      </c>
      <c r="AA916" s="1" t="n"/>
      <c r="AB916" s="1" t="n"/>
      <c r="AC916" s="1" t="n"/>
      <c r="AD916" s="1" t="n"/>
      <c r="AE916" s="1" t="n"/>
    </row>
    <row r="917" ht="42" customHeight="1">
      <c r="A917" s="14">
        <f>IFERROR(__xludf.DUMMYFUNCTION("""COMPUTED_VALUE"""),45181)</f>
        <v/>
      </c>
      <c r="B917" s="1">
        <f>IFERROR(__xludf.DUMMYFUNCTION("""COMPUTED_VALUE"""),"ORG_2035")</f>
        <v/>
      </c>
      <c r="C917" s="1">
        <f>IFERROR(__xludf.DUMMYFUNCTION("""COMPUTED_VALUE"""),TRUE)</f>
        <v/>
      </c>
      <c r="D917" s="1">
        <f>IFERROR(__xludf.DUMMYFUNCTION("""COMPUTED_VALUE"""),"Next Level English")</f>
        <v/>
      </c>
      <c r="E917" s="15">
        <f>IFERROR(__xludf.DUMMYFUNCTION("""COMPUTED_VALUE"""),"www.nextlevelenglish.es")</f>
        <v/>
      </c>
      <c r="F917" s="1">
        <f>IFERROR(__xludf.DUMMYFUNCTION("""COMPUTED_VALUE"""),"An innovative blended learning platform offering tailored English language courses for mulitliingual children.
We focus on fluency and literacy, building indepedant learners using the latest presentation and edtech tools to create highly engaging interact"&amp;"ive courses.")</f>
        <v/>
      </c>
      <c r="G917" s="1">
        <f>IFERROR(__xludf.DUMMYFUNCTION("""COMPUTED_VALUE"""),"I'm not part of any EdTech association")</f>
        <v/>
      </c>
      <c r="H917" s="1" t="n"/>
      <c r="I917" s="1">
        <f>IFERROR(__xludf.DUMMYFUNCTION("""COMPUTED_VALUE"""),"info@nextlevelenglish.es")</f>
        <v/>
      </c>
      <c r="J917" s="1" t="n"/>
      <c r="K917" s="1">
        <f>IFERROR(__xludf.DUMMYFUNCTION("""COMPUTED_VALUE"""),"BARCELONA")</f>
        <v/>
      </c>
      <c r="L917" s="1">
        <f>IFERROR(__xludf.DUMMYFUNCTION("""COMPUTED_VALUE"""),"Spain")</f>
        <v/>
      </c>
      <c r="M917" s="1">
        <f>IFERROR(__xludf.DUMMYFUNCTION("""COMPUTED_VALUE"""),"France, Germany, Italy, Spain")</f>
        <v/>
      </c>
      <c r="N917" s="1">
        <f>IFERROR(__xludf.DUMMYFUNCTION("""COMPUTED_VALUE"""),"0 to 10")</f>
        <v/>
      </c>
      <c r="O917" s="1">
        <f>IFERROR(__xludf.DUMMYFUNCTION("""COMPUTED_VALUE"""),"Business to Business, Business to Schools")</f>
        <v/>
      </c>
      <c r="P917" s="1">
        <f>IFERROR(__xludf.DUMMYFUNCTION("""COMPUTED_VALUE"""),"Early childhood development (0-5 years), Primary Education, Secondary Education")</f>
        <v/>
      </c>
      <c r="Q917" s="1">
        <f>IFERROR(__xludf.DUMMYFUNCTION("""COMPUTED_VALUE"""),"System/Administrative, Student interfacing")</f>
        <v/>
      </c>
      <c r="R917" s="1" t="n"/>
      <c r="S917" s="1" t="n"/>
      <c r="T917" s="1" t="n"/>
      <c r="U917" s="1" t="n"/>
      <c r="V917" s="1" t="n"/>
      <c r="W917" s="1" t="n"/>
      <c r="X917" s="1" t="n"/>
      <c r="Y917" s="15">
        <f>IFERROR(__xludf.DUMMYFUNCTION("""COMPUTED_VALUE"""),"https://drive.google.com/uc?export=view&amp;id=1yK1e7tCPoXMcXcfMss3686qTmAYo2BPx")</f>
        <v/>
      </c>
      <c r="Z917" s="1">
        <f>IFERROR(__xludf.DUMMYFUNCTION("""COMPUTED_VALUE"""),"Unverified")</f>
        <v/>
      </c>
      <c r="AA917" s="1" t="n"/>
      <c r="AB917" s="1" t="n"/>
      <c r="AC917" s="1" t="n"/>
      <c r="AD917" s="1" t="n"/>
      <c r="AE917" s="1" t="n"/>
    </row>
    <row r="918" ht="42" customHeight="1">
      <c r="A918" s="14">
        <f>IFERROR(__xludf.DUMMYFUNCTION("""COMPUTED_VALUE"""),45181)</f>
        <v/>
      </c>
      <c r="B918" s="1">
        <f>IFERROR(__xludf.DUMMYFUNCTION("""COMPUTED_VALUE"""),"ORG_2101")</f>
        <v/>
      </c>
      <c r="C918" s="1">
        <f>IFERROR(__xludf.DUMMYFUNCTION("""COMPUTED_VALUE"""),TRUE)</f>
        <v/>
      </c>
      <c r="D918" s="1">
        <f>IFERROR(__xludf.DUMMYFUNCTION("""COMPUTED_VALUE"""),"Pi tech")</f>
        <v/>
      </c>
      <c r="E918" s="15">
        <f>IFERROR(__xludf.DUMMYFUNCTION("""COMPUTED_VALUE"""),"https://pi-tech.gr/")</f>
        <v/>
      </c>
      <c r="F918" s="1">
        <f>IFERROR(__xludf.DUMMYFUNCTION("""COMPUTED_VALUE"""),"Design, develop and deliver XR solutions, services and products on Education and Culture")</f>
        <v/>
      </c>
      <c r="G918" s="1">
        <f>IFERROR(__xludf.DUMMYFUNCTION("""COMPUTED_VALUE"""),"I'm not part of any EdTech association")</f>
        <v/>
      </c>
      <c r="H918" s="1" t="n"/>
      <c r="I918" s="1">
        <f>IFERROR(__xludf.DUMMYFUNCTION("""COMPUTED_VALUE"""),"mail@pi-tech.gr")</f>
        <v/>
      </c>
      <c r="J918" s="1">
        <f>IFERROR(__xludf.DUMMYFUNCTION("""COMPUTED_VALUE"""),"+302351033110")</f>
        <v/>
      </c>
      <c r="K918" s="1">
        <f>IFERROR(__xludf.DUMMYFUNCTION("""COMPUTED_VALUE"""),"KATERINI")</f>
        <v/>
      </c>
      <c r="L918" s="1">
        <f>IFERROR(__xludf.DUMMYFUNCTION("""COMPUTED_VALUE"""),"Greece")</f>
        <v/>
      </c>
      <c r="M918" s="1">
        <f>IFERROR(__xludf.DUMMYFUNCTION("""COMPUTED_VALUE"""),"Greece")</f>
        <v/>
      </c>
      <c r="N918" s="1">
        <f>IFERROR(__xludf.DUMMYFUNCTION("""COMPUTED_VALUE"""),"0 to 10")</f>
        <v/>
      </c>
      <c r="O918" s="1">
        <f>IFERROR(__xludf.DUMMYFUNCTION("""COMPUTED_VALUE"""),"Business to Business, Business to Schools")</f>
        <v/>
      </c>
      <c r="P918" s="1">
        <f>IFERROR(__xludf.DUMMYFUNCTION("""COMPUTED_VALUE"""),"Early childhood development (0-5 years), Primary Education, Secondary Education, Higher Education, Corporate Training, Lifelong learning/Adult education")</f>
        <v/>
      </c>
      <c r="Q918" s="1">
        <f>IFERROR(__xludf.DUMMYFUNCTION("""COMPUTED_VALUE"""),"Student interfacing, Teacher interfacing, System/Administrative")</f>
        <v/>
      </c>
      <c r="R918" s="1" t="n"/>
      <c r="S918" s="1" t="n"/>
      <c r="T918" s="1" t="n"/>
      <c r="U918" s="1" t="n"/>
      <c r="V918" s="1" t="n"/>
      <c r="W918" s="1" t="n"/>
      <c r="X918" s="1" t="n"/>
      <c r="Y918" s="15">
        <f>IFERROR(__xludf.DUMMYFUNCTION("""COMPUTED_VALUE"""),"https://drive.google.com/uc?export=view&amp;id=1vGnRAHtEt_lCpc_8bS-ZcbnqrQ0VrfvB")</f>
        <v/>
      </c>
      <c r="Z918" s="1">
        <f>IFERROR(__xludf.DUMMYFUNCTION("""COMPUTED_VALUE"""),"Unverified")</f>
        <v/>
      </c>
      <c r="AA918" s="1" t="n"/>
      <c r="AB918" s="1" t="n"/>
      <c r="AC918" s="1" t="n"/>
      <c r="AD918" s="1" t="n"/>
      <c r="AE918" s="1" t="n"/>
    </row>
    <row r="919" ht="42" customHeight="1">
      <c r="A919" s="14">
        <f>IFERROR(__xludf.DUMMYFUNCTION("""COMPUTED_VALUE"""),45181)</f>
        <v/>
      </c>
      <c r="B919" s="1">
        <f>IFERROR(__xludf.DUMMYFUNCTION("""COMPUTED_VALUE"""),"ORG_2290")</f>
        <v/>
      </c>
      <c r="C919" s="1">
        <f>IFERROR(__xludf.DUMMYFUNCTION("""COMPUTED_VALUE"""),TRUE)</f>
        <v/>
      </c>
      <c r="D919" s="1">
        <f>IFERROR(__xludf.DUMMYFUNCTION("""COMPUTED_VALUE"""),"Soges | Consulenza e Formazione")</f>
        <v/>
      </c>
      <c r="E919" s="15">
        <f>IFERROR(__xludf.DUMMYFUNCTION("""COMPUTED_VALUE"""),"https://sogesnetwork.eu/")</f>
        <v/>
      </c>
      <c r="F919" s="1">
        <f>IFERROR(__xludf.DUMMYFUNCTION("""COMPUTED_VALUE"""),"In SOGES we work alongside companies, organizations and institutions to finalize their development plans.
Our goal is to help organizations grow and evolve, through innovative, customized, sustainable and measurable solutions, to face the challenges of to"&amp;"morrow.
Since ""the individual at the center"" is our creed, each consultancy or training intervention is designed and implemented starting from the people who work in the compa")</f>
        <v/>
      </c>
      <c r="G919" s="1">
        <f>IFERROR(__xludf.DUMMYFUNCTION("""COMPUTED_VALUE"""),"I'm not part of any EdTech association")</f>
        <v/>
      </c>
      <c r="H919" s="1" t="n"/>
      <c r="I919" s="1">
        <f>IFERROR(__xludf.DUMMYFUNCTION("""COMPUTED_VALUE"""),"soges@sogesnetwork.eu")</f>
        <v/>
      </c>
      <c r="J919" s="1">
        <f>IFERROR(__xludf.DUMMYFUNCTION("""COMPUTED_VALUE"""),"011 5638611")</f>
        <v/>
      </c>
      <c r="K919" s="1">
        <f>IFERROR(__xludf.DUMMYFUNCTION("""COMPUTED_VALUE"""),"Torino")</f>
        <v/>
      </c>
      <c r="L919" s="1">
        <f>IFERROR(__xludf.DUMMYFUNCTION("""COMPUTED_VALUE"""),"Italy")</f>
        <v/>
      </c>
      <c r="M919" s="1">
        <f>IFERROR(__xludf.DUMMYFUNCTION("""COMPUTED_VALUE"""),"Italy")</f>
        <v/>
      </c>
      <c r="N919" s="1">
        <f>IFERROR(__xludf.DUMMYFUNCTION("""COMPUTED_VALUE"""),"11 to 50")</f>
        <v/>
      </c>
      <c r="O919" s="1">
        <f>IFERROR(__xludf.DUMMYFUNCTION("""COMPUTED_VALUE"""),"Business to Consumer")</f>
        <v/>
      </c>
      <c r="P919" s="1">
        <f>IFERROR(__xludf.DUMMYFUNCTION("""COMPUTED_VALUE"""),"Corporate Training")</f>
        <v/>
      </c>
      <c r="Q919" s="1">
        <f>IFERROR(__xludf.DUMMYFUNCTION("""COMPUTED_VALUE"""),"Teacher interfacing, Student interfacing, System/Administrative")</f>
        <v/>
      </c>
      <c r="R919" s="1" t="n"/>
      <c r="S919" s="1" t="n"/>
      <c r="T919" s="1" t="n"/>
      <c r="U919" s="1" t="n"/>
      <c r="V919" s="1" t="n"/>
      <c r="W919" s="1" t="n"/>
      <c r="X919" s="1" t="n"/>
      <c r="Y919" s="15">
        <f>IFERROR(__xludf.DUMMYFUNCTION("""COMPUTED_VALUE"""),"https://drive.google.com/uc?export=view&amp;id=10nzIiK-mEFwatKQAbcN-XUC6xdpu1q8f")</f>
        <v/>
      </c>
      <c r="Z919" s="1">
        <f>IFERROR(__xludf.DUMMYFUNCTION("""COMPUTED_VALUE"""),"Unverified")</f>
        <v/>
      </c>
      <c r="AA919" s="1" t="n"/>
      <c r="AB919" s="1" t="n"/>
      <c r="AC919" s="1" t="n"/>
      <c r="AD919" s="1" t="n"/>
      <c r="AE919" s="1" t="n"/>
    </row>
    <row r="920" ht="42" customHeight="1">
      <c r="A920" s="14">
        <f>IFERROR(__xludf.DUMMYFUNCTION("""COMPUTED_VALUE"""),45181)</f>
        <v/>
      </c>
      <c r="B920" s="1">
        <f>IFERROR(__xludf.DUMMYFUNCTION("""COMPUTED_VALUE"""),"ORG_2393")</f>
        <v/>
      </c>
      <c r="C920" s="1">
        <f>IFERROR(__xludf.DUMMYFUNCTION("""COMPUTED_VALUE"""),TRUE)</f>
        <v/>
      </c>
      <c r="D920" s="1">
        <f>IFERROR(__xludf.DUMMYFUNCTION("""COMPUTED_VALUE"""),"The BD School")</f>
        <v/>
      </c>
      <c r="E920" s="15">
        <f>IFERROR(__xludf.DUMMYFUNCTION("""COMPUTED_VALUE"""),"https://thebdschool.com/")</f>
        <v/>
      </c>
      <c r="F920" s="1">
        <f>IFERROR(__xludf.DUMMYFUNCTION("""COMPUTED_VALUE"""),"The BD School is the first personalized learning platform for business development.
We help Business Development Pros acquire the skills and knowledge to become great in this field!")</f>
        <v/>
      </c>
      <c r="G920" s="1">
        <f>IFERROR(__xludf.DUMMYFUNCTION("""COMPUTED_VALUE"""),"I'm not part of any EdTech association")</f>
        <v/>
      </c>
      <c r="H920" s="1" t="n"/>
      <c r="I920" s="1">
        <f>IFERROR(__xludf.DUMMYFUNCTION("""COMPUTED_VALUE"""),"hello@thebdschool.com")</f>
        <v/>
      </c>
      <c r="J920" s="1" t="n"/>
      <c r="K920" s="1">
        <f>IFERROR(__xludf.DUMMYFUNCTION("""COMPUTED_VALUE"""),"ROTTERDAM")</f>
        <v/>
      </c>
      <c r="L920" s="1">
        <f>IFERROR(__xludf.DUMMYFUNCTION("""COMPUTED_VALUE"""),"The Netherlands")</f>
        <v/>
      </c>
      <c r="M920" s="1">
        <f>IFERROR(__xludf.DUMMYFUNCTION("""COMPUTED_VALUE"""),"Croatia, Germany, Italy, Netherlands, United Kingdom")</f>
        <v/>
      </c>
      <c r="N920" s="1">
        <f>IFERROR(__xludf.DUMMYFUNCTION("""COMPUTED_VALUE"""),"0 to 10")</f>
        <v/>
      </c>
      <c r="O920" s="1">
        <f>IFERROR(__xludf.DUMMYFUNCTION("""COMPUTED_VALUE"""),"Business to Consumer")</f>
        <v/>
      </c>
      <c r="P920" s="1">
        <f>IFERROR(__xludf.DUMMYFUNCTION("""COMPUTED_VALUE"""),"Corporate Training, Lifelong learning/Adult education")</f>
        <v/>
      </c>
      <c r="Q920" s="1">
        <f>IFERROR(__xludf.DUMMYFUNCTION("""COMPUTED_VALUE"""),"Student interfacing")</f>
        <v/>
      </c>
      <c r="R920" s="1" t="n"/>
      <c r="S920" s="1" t="n"/>
      <c r="T920" s="1" t="n"/>
      <c r="U920" s="1" t="n"/>
      <c r="V920" s="1" t="n"/>
      <c r="W920" s="1" t="n"/>
      <c r="X920" s="1" t="n"/>
      <c r="Y920" s="15">
        <f>IFERROR(__xludf.DUMMYFUNCTION("""COMPUTED_VALUE"""),"https://drive.google.com/uc?export=view&amp;id=1XNCmVxaYzYxjStJilI5ChnclHzKKN3EB")</f>
        <v/>
      </c>
      <c r="Z920" s="1">
        <f>IFERROR(__xludf.DUMMYFUNCTION("""COMPUTED_VALUE"""),"Unverified")</f>
        <v/>
      </c>
      <c r="AA920" s="1" t="n"/>
      <c r="AB920" s="1" t="n"/>
      <c r="AC920" s="1" t="n"/>
      <c r="AD920" s="1" t="n"/>
      <c r="AE920" s="1" t="n"/>
    </row>
    <row r="921" ht="42" customHeight="1">
      <c r="A921" s="14">
        <f>IFERROR(__xludf.DUMMYFUNCTION("""COMPUTED_VALUE"""),45181)</f>
        <v/>
      </c>
      <c r="B921" s="1">
        <f>IFERROR(__xludf.DUMMYFUNCTION("""COMPUTED_VALUE"""),"ORG_2440")</f>
        <v/>
      </c>
      <c r="C921" s="1">
        <f>IFERROR(__xludf.DUMMYFUNCTION("""COMPUTED_VALUE"""),TRUE)</f>
        <v/>
      </c>
      <c r="D921" s="1">
        <f>IFERROR(__xludf.DUMMYFUNCTION("""COMPUTED_VALUE"""),"Tutorium")</f>
        <v/>
      </c>
      <c r="E921" s="15">
        <f>IFERROR(__xludf.DUMMYFUNCTION("""COMPUTED_VALUE"""),"https://tutorium.ru")</f>
        <v/>
      </c>
      <c r="F921" s="1">
        <f>IFERROR(__xludf.DUMMYFUNCTION("""COMPUTED_VALUE"""),"Tutorium is a language school which offers some of the most affordable lessons on the market. Tutorium's students don't just learn the language though the use of modern technologies, but also acquire knowledge about foreign countries' culture, arts and tr"&amp;"aditions.")</f>
        <v/>
      </c>
      <c r="G921" s="1">
        <f>IFERROR(__xludf.DUMMYFUNCTION("""COMPUTED_VALUE"""),"I'm not part of any EdTech association")</f>
        <v/>
      </c>
      <c r="H921" s="1" t="n"/>
      <c r="I921" s="1">
        <f>IFERROR(__xludf.DUMMYFUNCTION("""COMPUTED_VALUE"""),"info@tutorium.ru")</f>
        <v/>
      </c>
      <c r="J921" s="1">
        <f>IFERROR(__xludf.DUMMYFUNCTION("""COMPUTED_VALUE"""),"+34 655 446 318")</f>
        <v/>
      </c>
      <c r="K921" s="1">
        <f>IFERROR(__xludf.DUMMYFUNCTION("""COMPUTED_VALUE"""),"TALLINN")</f>
        <v/>
      </c>
      <c r="L921" s="1">
        <f>IFERROR(__xludf.DUMMYFUNCTION("""COMPUTED_VALUE"""),"Estonia")</f>
        <v/>
      </c>
      <c r="M921" s="1">
        <f>IFERROR(__xludf.DUMMYFUNCTION("""COMPUTED_VALUE"""),"Estonia, Finland, Kazakhstan, Latvia, Lithuania, Moldova, Poland, Russia, Spain, Turkey, Ukraine, United Kingdom")</f>
        <v/>
      </c>
      <c r="N921" s="1">
        <f>IFERROR(__xludf.DUMMYFUNCTION("""COMPUTED_VALUE"""),"11 to 50")</f>
        <v/>
      </c>
      <c r="O921" s="1">
        <f>IFERROR(__xludf.DUMMYFUNCTION("""COMPUTED_VALUE"""),"Business to Consumer")</f>
        <v/>
      </c>
      <c r="P921" s="1">
        <f>IFERROR(__xludf.DUMMYFUNCTION("""COMPUTED_VALUE"""),"Secondary Education, Lifelong learning/Adult education")</f>
        <v/>
      </c>
      <c r="Q921" s="1">
        <f>IFERROR(__xludf.DUMMYFUNCTION("""COMPUTED_VALUE"""),"System/Administrative, Student interfacing")</f>
        <v/>
      </c>
      <c r="R921" s="1" t="n"/>
      <c r="S921" s="1" t="n"/>
      <c r="T921" s="1" t="n"/>
      <c r="U921" s="1" t="n"/>
      <c r="V921" s="1" t="n"/>
      <c r="W921" s="1" t="n"/>
      <c r="X921" s="1" t="n"/>
      <c r="Y921" s="15">
        <f>IFERROR(__xludf.DUMMYFUNCTION("""COMPUTED_VALUE"""),"https://drive.google.com/uc?export=view&amp;id=1LlveplrOJmWjyBx7gp0bWqg5Oks1XQMO")</f>
        <v/>
      </c>
      <c r="Z921" s="1">
        <f>IFERROR(__xludf.DUMMYFUNCTION("""COMPUTED_VALUE"""),"Unverified")</f>
        <v/>
      </c>
      <c r="AA921" s="1" t="n"/>
      <c r="AB921" s="1" t="n"/>
      <c r="AC921" s="1" t="n"/>
      <c r="AD921" s="1" t="n"/>
      <c r="AE921" s="1" t="n"/>
    </row>
    <row r="922" ht="42" customHeight="1">
      <c r="A922" s="14">
        <f>IFERROR(__xludf.DUMMYFUNCTION("""COMPUTED_VALUE"""),45181)</f>
        <v/>
      </c>
      <c r="B922" s="1">
        <f>IFERROR(__xludf.DUMMYFUNCTION("""COMPUTED_VALUE"""),"ORG_2458")</f>
        <v/>
      </c>
      <c r="C922" s="1">
        <f>IFERROR(__xludf.DUMMYFUNCTION("""COMPUTED_VALUE"""),TRUE)</f>
        <v/>
      </c>
      <c r="D922" s="1">
        <f>IFERROR(__xludf.DUMMYFUNCTION("""COMPUTED_VALUE"""),"Uni-Life")</f>
        <v/>
      </c>
      <c r="E922" s="15">
        <f>IFERROR(__xludf.DUMMYFUNCTION("""COMPUTED_VALUE"""),"www.uni-life.nl")</f>
        <v/>
      </c>
      <c r="F922" s="1">
        <f>IFERROR(__xludf.DUMMYFUNCTION("""COMPUTED_VALUE"""),"We help universities to get students more involved within their community. By showing students all events, organizations, communities and meet-ups, students are able to meet new people, learn new skills, explore new opportunities and broaden their horizon"&amp;". As a result they are less likely to dropout and more likely to pursue a follow-up degree at that university.")</f>
        <v/>
      </c>
      <c r="G922" s="1">
        <f>IFERROR(__xludf.DUMMYFUNCTION("""COMPUTED_VALUE"""),"Dutch EdTech")</f>
        <v/>
      </c>
      <c r="H922" s="1" t="n"/>
      <c r="I922" s="1">
        <f>IFERROR(__xludf.DUMMYFUNCTION("""COMPUTED_VALUE"""),"contact@uni-life.nl")</f>
        <v/>
      </c>
      <c r="J922" s="1" t="n"/>
      <c r="K922" s="1">
        <f>IFERROR(__xludf.DUMMYFUNCTION("""COMPUTED_VALUE"""),"Amsterdam")</f>
        <v/>
      </c>
      <c r="L922" s="1">
        <f>IFERROR(__xludf.DUMMYFUNCTION("""COMPUTED_VALUE"""),"The Netherlands")</f>
        <v/>
      </c>
      <c r="M922" s="1">
        <f>IFERROR(__xludf.DUMMYFUNCTION("""COMPUTED_VALUE"""),"Belgium, Netherlands, Spain, United Kingdom")</f>
        <v/>
      </c>
      <c r="N922" s="1">
        <f>IFERROR(__xludf.DUMMYFUNCTION("""COMPUTED_VALUE"""),"11 to 50")</f>
        <v/>
      </c>
      <c r="O922" s="1">
        <f>IFERROR(__xludf.DUMMYFUNCTION("""COMPUTED_VALUE"""),"Business to Consumer, Business to Schools")</f>
        <v/>
      </c>
      <c r="P922" s="1">
        <f>IFERROR(__xludf.DUMMYFUNCTION("""COMPUTED_VALUE"""),"Higher Education")</f>
        <v/>
      </c>
      <c r="Q922" s="1">
        <f>IFERROR(__xludf.DUMMYFUNCTION("""COMPUTED_VALUE"""),"Student interfacing")</f>
        <v/>
      </c>
      <c r="R922" s="15">
        <f>IFERROR(__xludf.DUMMYFUNCTION("""COMPUTED_VALUE"""),"https://www.instagram.com/uni_life.nl/")</f>
        <v/>
      </c>
      <c r="S922" s="1" t="n"/>
      <c r="T922" s="15">
        <f>IFERROR(__xludf.DUMMYFUNCTION("""COMPUTED_VALUE"""),"https://www.linkedin.com/company/uni-life/")</f>
        <v/>
      </c>
      <c r="U922" s="1">
        <f>IFERROR(__xludf.DUMMYFUNCTION("""COMPUTED_VALUE"""),"Uni-Life Platform")</f>
        <v/>
      </c>
      <c r="V922" s="1">
        <f>IFERROR(__xludf.DUMMYFUNCTION("""COMPUTED_VALUE"""),"Students sign-up with their university email, fill in their interests and get an overview of all relevant events, associations, communities, organizations, news, and much more. With a quick swipe or click, they can add content to their calendar, meet new "&amp;"students, join small groups and sign-up/register for events. The platform gives overview of everything happening on and around campus.")</f>
        <v/>
      </c>
      <c r="W922" s="1" t="n"/>
      <c r="X922" s="1" t="n"/>
      <c r="Y922" s="15">
        <f>IFERROR(__xludf.DUMMYFUNCTION("""COMPUTED_VALUE"""),"https://drive.google.com/uc?export=view&amp;id=1o9tP7nzRwOBuwW9GnuCxB9aqwgXph-sT")</f>
        <v/>
      </c>
      <c r="Z922" s="1">
        <f>IFERROR(__xludf.DUMMYFUNCTION("""COMPUTED_VALUE"""),"Unverified")</f>
        <v/>
      </c>
      <c r="AA922" s="1" t="n"/>
      <c r="AB922" s="1" t="n"/>
      <c r="AC922" s="1" t="n"/>
      <c r="AD922" s="1" t="n"/>
      <c r="AE922" s="1" t="n"/>
    </row>
    <row r="923" ht="42" customHeight="1">
      <c r="A923" s="14">
        <f>IFERROR(__xludf.DUMMYFUNCTION("""COMPUTED_VALUE"""),45181)</f>
        <v/>
      </c>
      <c r="B923" s="1">
        <f>IFERROR(__xludf.DUMMYFUNCTION("""COMPUTED_VALUE"""),"ORG_2501")</f>
        <v/>
      </c>
      <c r="C923" s="1">
        <f>IFERROR(__xludf.DUMMYFUNCTION("""COMPUTED_VALUE"""),TRUE)</f>
        <v/>
      </c>
      <c r="D923" s="1">
        <f>IFERROR(__xludf.DUMMYFUNCTION("""COMPUTED_VALUE"""),"visionYOU")</f>
        <v/>
      </c>
      <c r="E923" s="15">
        <f>IFERROR(__xludf.DUMMYFUNCTION("""COMPUTED_VALUE"""),"https://visionyou.de/")</f>
        <v/>
      </c>
      <c r="F923" s="1">
        <f>IFERROR(__xludf.DUMMYFUNCTION("""COMPUTED_VALUE"""),"visionYOU is the creative agency for digital education. vision designs digital education for its clients and develops scalable educational products. The goal: to accelerate digital education, design it and make it available to everyone. Since 2017, vision"&amp;"YOU has been successfully developing digital educational offers for public institutions, companies and young people, including apps, e-learning and film formats and much more. visionYOU's own brands are svipe (https://www.svipe.app/), the app for young pe"&amp;"ople for quick job insights in just 60 seconds, and bildungsfreaks (https://bildungsfreaks.de/), the education platform for teachers with ready-to-use digital learning content and online training. visionYOU primarily addresses cross-cutting topics such as"&amp;" media education, education for sustainable development (ESD), career orientation and much more.")</f>
        <v/>
      </c>
      <c r="G923" s="1">
        <f>IFERROR(__xludf.DUMMYFUNCTION("""COMPUTED_VALUE"""),"I'm not part of any EdTech association")</f>
        <v/>
      </c>
      <c r="H923" s="1" t="n"/>
      <c r="I923" s="1">
        <f>IFERROR(__xludf.DUMMYFUNCTION("""COMPUTED_VALUE"""),"info@visionyou.de")</f>
        <v/>
      </c>
      <c r="J923" s="1" t="n"/>
      <c r="K923" s="1">
        <f>IFERROR(__xludf.DUMMYFUNCTION("""COMPUTED_VALUE"""),"POTSDAM")</f>
        <v/>
      </c>
      <c r="L923" s="1">
        <f>IFERROR(__xludf.DUMMYFUNCTION("""COMPUTED_VALUE"""),"Germany")</f>
        <v/>
      </c>
      <c r="M923" s="1">
        <f>IFERROR(__xludf.DUMMYFUNCTION("""COMPUTED_VALUE"""),"Germany")</f>
        <v/>
      </c>
      <c r="N923" s="1">
        <f>IFERROR(__xludf.DUMMYFUNCTION("""COMPUTED_VALUE"""),"0 to 10")</f>
        <v/>
      </c>
      <c r="O923" s="1">
        <f>IFERROR(__xludf.DUMMYFUNCTION("""COMPUTED_VALUE"""),"Business to Consumer, Business to Schools")</f>
        <v/>
      </c>
      <c r="P923" s="1">
        <f>IFERROR(__xludf.DUMMYFUNCTION("""COMPUTED_VALUE"""),"Secondary Education, Corporate Training, Lifelong learning/Adult education")</f>
        <v/>
      </c>
      <c r="Q923" s="1">
        <f>IFERROR(__xludf.DUMMYFUNCTION("""COMPUTED_VALUE"""),"Student interfacing, Teacher interfacing, System/Administrative")</f>
        <v/>
      </c>
      <c r="R923" s="1" t="n"/>
      <c r="S923" s="1" t="n"/>
      <c r="T923" s="1" t="n"/>
      <c r="U923" s="1" t="n"/>
      <c r="V923" s="1" t="n"/>
      <c r="W923" s="1" t="n"/>
      <c r="X923" s="1" t="n"/>
      <c r="Y923" s="15">
        <f>IFERROR(__xludf.DUMMYFUNCTION("""COMPUTED_VALUE"""),"https://drive.google.com/uc?export=view&amp;id=18fdVGLg5YLSbrBZg-iTrqnxAUhsmeddP")</f>
        <v/>
      </c>
      <c r="Z923" s="1">
        <f>IFERROR(__xludf.DUMMYFUNCTION("""COMPUTED_VALUE"""),"Unverified")</f>
        <v/>
      </c>
      <c r="AA923" s="1" t="n"/>
      <c r="AB923" s="1" t="n"/>
      <c r="AC923" s="1" t="n"/>
      <c r="AD923" s="1" t="n"/>
      <c r="AE923" s="1" t="n"/>
    </row>
    <row r="924" ht="42" customHeight="1">
      <c r="A924" s="14">
        <f>IFERROR(__xludf.DUMMYFUNCTION("""COMPUTED_VALUE"""),45181)</f>
        <v/>
      </c>
      <c r="B924" s="1">
        <f>IFERROR(__xludf.DUMMYFUNCTION("""COMPUTED_VALUE"""),"ORG_2554")</f>
        <v/>
      </c>
      <c r="C924" s="1">
        <f>IFERROR(__xludf.DUMMYFUNCTION("""COMPUTED_VALUE"""),TRUE)</f>
        <v/>
      </c>
      <c r="D924" s="1">
        <f>IFERROR(__xludf.DUMMYFUNCTION("""COMPUTED_VALUE"""),"Wuolah")</f>
        <v/>
      </c>
      <c r="E924" s="15">
        <f>IFERROR(__xludf.DUMMYFUNCTION("""COMPUTED_VALUE"""),"www.wuolah.com")</f>
        <v/>
      </c>
      <c r="F924" s="1">
        <f>IFERROR(__xludf.DUMMYFUNCTION("""COMPUTED_VALUE"""),"Wuolah is the leading EdTech study platform for Spanish speakers, with 2.5 million registered students, 500,000 active users per month, and more than 5 million documents uploaded. Students upload their notes and get rewarded each time someone downloads th"&amp;"em. Better grades, and more motivation to study are both granted.")</f>
        <v/>
      </c>
      <c r="G924" s="1">
        <f>IFERROR(__xludf.DUMMYFUNCTION("""COMPUTED_VALUE"""),"EduTech Cluster Spain")</f>
        <v/>
      </c>
      <c r="H924" s="1" t="n"/>
      <c r="I924" s="1">
        <f>IFERROR(__xludf.DUMMYFUNCTION("""COMPUTED_VALUE"""),"janira@wuolah.com")</f>
        <v/>
      </c>
      <c r="J924" s="1">
        <f>IFERROR(__xludf.DUMMYFUNCTION("""COMPUTED_VALUE"""),"+34 656699185")</f>
        <v/>
      </c>
      <c r="K924" s="1">
        <f>IFERROR(__xludf.DUMMYFUNCTION("""COMPUTED_VALUE"""),"Sevilla")</f>
        <v/>
      </c>
      <c r="L924" s="1">
        <f>IFERROR(__xludf.DUMMYFUNCTION("""COMPUTED_VALUE"""),"Spain")</f>
        <v/>
      </c>
      <c r="M924" s="1">
        <f>IFERROR(__xludf.DUMMYFUNCTION("""COMPUTED_VALUE"""),"Spain")</f>
        <v/>
      </c>
      <c r="N924" s="1">
        <f>IFERROR(__xludf.DUMMYFUNCTION("""COMPUTED_VALUE"""),"51 to 100")</f>
        <v/>
      </c>
      <c r="O924" s="1">
        <f>IFERROR(__xludf.DUMMYFUNCTION("""COMPUTED_VALUE"""),"Business to Government, Business to Schools")</f>
        <v/>
      </c>
      <c r="P924" s="1">
        <f>IFERROR(__xludf.DUMMYFUNCTION("""COMPUTED_VALUE"""),"Secondary Education, Higher Education")</f>
        <v/>
      </c>
      <c r="Q924" s="1">
        <f>IFERROR(__xludf.DUMMYFUNCTION("""COMPUTED_VALUE"""),"Student interfacing")</f>
        <v/>
      </c>
      <c r="R924" s="15">
        <f>IFERROR(__xludf.DUMMYFUNCTION("""COMPUTED_VALUE"""),"https://www.instagram.com/wuolah_apuntes")</f>
        <v/>
      </c>
      <c r="S924" s="15">
        <f>IFERROR(__xludf.DUMMYFUNCTION("""COMPUTED_VALUE"""),"https://twitter.com/Wuolah")</f>
        <v/>
      </c>
      <c r="T924" s="15">
        <f>IFERROR(__xludf.DUMMYFUNCTION("""COMPUTED_VALUE"""),"https://es.linkedin.com/company/wuolah")</f>
        <v/>
      </c>
      <c r="U924" s="15">
        <f>IFERROR(__xludf.DUMMYFUNCTION("""COMPUTED_VALUE"""),"www.wuolah.com")</f>
        <v/>
      </c>
      <c r="V924" s="1">
        <f>IFERROR(__xludf.DUMMYFUNCTION("""COMPUTED_VALUE"""),"Our website where our users publish their materials and download them.")</f>
        <v/>
      </c>
      <c r="W924" s="1" t="n"/>
      <c r="X924" s="1" t="n"/>
      <c r="Y924" s="15">
        <f>IFERROR(__xludf.DUMMYFUNCTION("""COMPUTED_VALUE"""),"https://drive.google.com/uc?export=view&amp;id=1QGps9r7HWir5khPo8gucOTRgsVNMJoX6")</f>
        <v/>
      </c>
      <c r="Z924" s="1">
        <f>IFERROR(__xludf.DUMMYFUNCTION("""COMPUTED_VALUE"""),"Unverified")</f>
        <v/>
      </c>
      <c r="AA924" s="1" t="n"/>
      <c r="AB924" s="1" t="n"/>
      <c r="AC924" s="1" t="n"/>
      <c r="AD924" s="1" t="n"/>
      <c r="AE924" s="1" t="n"/>
    </row>
    <row r="925" ht="42" customHeight="1">
      <c r="A925" s="14">
        <f>IFERROR(__xludf.DUMMYFUNCTION("""COMPUTED_VALUE"""),45181)</f>
        <v/>
      </c>
      <c r="B925" s="1">
        <f>IFERROR(__xludf.DUMMYFUNCTION("""COMPUTED_VALUE"""),"ORG_1078")</f>
        <v/>
      </c>
      <c r="C925" s="1">
        <f>IFERROR(__xludf.DUMMYFUNCTION("""COMPUTED_VALUE"""),TRUE)</f>
        <v/>
      </c>
      <c r="D925" s="1">
        <f>IFERROR(__xludf.DUMMYFUNCTION("""COMPUTED_VALUE"""),"Anvex")</f>
        <v/>
      </c>
      <c r="E925" s="15">
        <f>IFERROR(__xludf.DUMMYFUNCTION("""COMPUTED_VALUE"""),"https://www.anvexeducation.com")</f>
        <v/>
      </c>
      <c r="F925" s="1">
        <f>IFERROR(__xludf.DUMMYFUNCTION("""COMPUTED_VALUE"""),"On a mission to be the most student-centric mobile app for online personalised learning. 
𝐖𝐡𝐲 𝐀𝐧𝐯𝐞𝐱 𝐚𝐩𝐩?
We launched Anvex app to deliver valuable educational services anywhere in the world with access to our top-qualified UK-based tutors as w"&amp;"e believe all students deserve extraordinary lessons.
At Anvex, tutors are passionate about their subjects and inspire students to achieve their learning goals. Anvex helps you, the Tutor, to get better pay, a flexible working schedule, and continuous su"&amp;"pport, and you, the Student, to get accessible, reliable, and valuable personal education services.
𝐇𝐨𝐰 𝐢𝐭 𝐰𝐨𝐫𝐤𝐬
1. Choose from the list of available subjects and tutors.
2. Provide a brief summary of your personal request.
3. Simply pay for yo"&amp;"ur booking and get connected.
Beginning with January 2022, freelancers are offering the following services:
• 𝐄𝐧𝐠𝐥𝐢𝐬𝐡 𝐋𝐚𝐧𝐠𝐮𝐚𝐠𝐞 𝐓𝐮𝐭𝐨𝐫𝐢𝐧𝐠 (𝐀𝐥𝐥 𝐏𝐫𝐨𝐟𝐢𝐜𝐢𝐞𝐧𝐜𝐲 𝐋𝐞𝐯𝐞𝐥𝐬);
• 𝐏𝐞𝐫𝐬𝐨𝐧𝐚𝐥 𝐓𝐮𝐭𝐨𝐫𝐢𝐧𝐠 (𝐂𝐨𝐦𝐩𝐮𝐭"&amp;"𝐞𝐫 𝐏𝐫𝐨𝐠𝐫𝐚𝐦𝐦𝐢𝐧𝐠);
• 𝐄𝐝𝐮𝐜𝐚𝐭𝐢𝐨𝐧𝐚𝐥 𝐂𝐨𝐧𝐬𝐮𝐥𝐭𝐢𝐧𝐠 (𝐀𝐝𝐦𝐢𝐬𝐬𝐢𝐨𝐧 𝐢𝐧𝐭𝐨 𝐓𝐨𝐩 𝐔𝐧𝐢𝐯𝐞𝐫𝐬𝐢𝐭𝐢𝐞𝐬).")</f>
        <v/>
      </c>
      <c r="G925" s="1">
        <f>IFERROR(__xludf.DUMMYFUNCTION("""COMPUTED_VALUE"""),"I'm not part of any EdTech association")</f>
        <v/>
      </c>
      <c r="H925" s="1" t="n"/>
      <c r="I925" s="1">
        <f>IFERROR(__xludf.DUMMYFUNCTION("""COMPUTED_VALUE"""),"admin@anvex.co")</f>
        <v/>
      </c>
      <c r="J925" s="1" t="n"/>
      <c r="K925" s="1">
        <f>IFERROR(__xludf.DUMMYFUNCTION("""COMPUTED_VALUE"""),"London")</f>
        <v/>
      </c>
      <c r="L925" s="1">
        <f>IFERROR(__xludf.DUMMYFUNCTION("""COMPUTED_VALUE"""),"United Kingdom")</f>
        <v/>
      </c>
      <c r="M925" s="1">
        <f>IFERROR(__xludf.DUMMYFUNCTION("""COMPUTED_VALUE"""),"Austria, Belarus, Belgium, Bulgaria, Croatia, Cyprus, Czechia, Estonia, Finland, France, Germany, Greece, Hungary, Iceland, Ireland, Italy, Latvia, Liechtenstein, Lithuania, Luxembourg, Moldova, Monaco, Netherlands, Norway, Poland, Portugal, Romania, Slov"&amp;"akia, Slovenia, Spain, Sweden, Switzerland, Turkey, United Kingdom")</f>
        <v/>
      </c>
      <c r="N925" s="1">
        <f>IFERROR(__xludf.DUMMYFUNCTION("""COMPUTED_VALUE"""),"0 to 10")</f>
        <v/>
      </c>
      <c r="O925" s="1">
        <f>IFERROR(__xludf.DUMMYFUNCTION("""COMPUTED_VALUE"""),"Business to Business, Business to Consumer, Business to Schools")</f>
        <v/>
      </c>
      <c r="P925" s="1">
        <f>IFERROR(__xludf.DUMMYFUNCTION("""COMPUTED_VALUE"""),"Primary Education, Secondary Education, Higher Education, Corporate Training, Lifelong learning/Adult education")</f>
        <v/>
      </c>
      <c r="Q925" s="1">
        <f>IFERROR(__xludf.DUMMYFUNCTION("""COMPUTED_VALUE"""),"System/Administrative, Student interfacing")</f>
        <v/>
      </c>
      <c r="R925" s="1" t="n"/>
      <c r="S925" s="1" t="n"/>
      <c r="T925" s="1" t="n"/>
      <c r="U925" s="1" t="n"/>
      <c r="V925" s="1" t="n"/>
      <c r="W925" s="1" t="n"/>
      <c r="X925" s="1" t="n"/>
      <c r="Y925" s="15">
        <f>IFERROR(__xludf.DUMMYFUNCTION("""COMPUTED_VALUE"""),"https://drive.google.com/uc?export=view&amp;id=14vV3xlmRxPM4ZpVxnSl4dHEttAkfB-26")</f>
        <v/>
      </c>
      <c r="Z925" s="1">
        <f>IFERROR(__xludf.DUMMYFUNCTION("""COMPUTED_VALUE"""),"Unverified")</f>
        <v/>
      </c>
      <c r="AA925" s="1" t="n"/>
      <c r="AB925" s="1" t="n"/>
      <c r="AC925" s="1" t="n"/>
      <c r="AD925" s="1" t="n"/>
      <c r="AE925" s="1" t="n"/>
    </row>
    <row r="926" ht="42" customHeight="1">
      <c r="A926" s="14">
        <f>IFERROR(__xludf.DUMMYFUNCTION("""COMPUTED_VALUE"""),45181)</f>
        <v/>
      </c>
      <c r="B926" s="1">
        <f>IFERROR(__xludf.DUMMYFUNCTION("""COMPUTED_VALUE"""),"ORG_1522")</f>
        <v/>
      </c>
      <c r="C926" s="1">
        <f>IFERROR(__xludf.DUMMYFUNCTION("""COMPUTED_VALUE"""),TRUE)</f>
        <v/>
      </c>
      <c r="D926" s="1">
        <f>IFERROR(__xludf.DUMMYFUNCTION("""COMPUTED_VALUE"""),"eTwinz Academy")</f>
        <v/>
      </c>
      <c r="E926" s="15">
        <f>IFERROR(__xludf.DUMMYFUNCTION("""COMPUTED_VALUE"""),"www.etwinzacademy.com")</f>
        <v/>
      </c>
      <c r="F926" s="1">
        <f>IFERROR(__xludf.DUMMYFUNCTION("""COMPUTED_VALUE"""),"A different way to learn Spanish!
The eTwinz Academy offers you an opportunity to learn Spanish from anywhere. We provide an innovative combination of authentic resources and live classes to help your Spanish thrive. This research-based model is proven t"&amp;"o be the most effective approach to learn a new language.
With award-winning educators and experienced professionals on board, we promise to provide you with a high-quality learning experience. We have a unique method based on cutting-edge approaches use"&amp;"d by the most prestigious institutions worldwide.
If you are a child, teen, or adult, join the eTwinz academy and learn one of the most spoken languages in the world!")</f>
        <v/>
      </c>
      <c r="G926" s="1">
        <f>IFERROR(__xludf.DUMMYFUNCTION("""COMPUTED_VALUE"""),"I'm not part of any EdTech association")</f>
        <v/>
      </c>
      <c r="H926" s="1" t="n"/>
      <c r="I926" s="1">
        <f>IFERROR(__xludf.DUMMYFUNCTION("""COMPUTED_VALUE"""),"info@etwinzacademy.com")</f>
        <v/>
      </c>
      <c r="J926" s="1" t="n"/>
      <c r="K926" s="1">
        <f>IFERROR(__xludf.DUMMYFUNCTION("""COMPUTED_VALUE"""),"Salamanca")</f>
        <v/>
      </c>
      <c r="L926" s="1">
        <f>IFERROR(__xludf.DUMMYFUNCTION("""COMPUTED_VALUE"""),"Spain")</f>
        <v/>
      </c>
      <c r="M926" s="1">
        <f>IFERROR(__xludf.DUMMYFUNCTION("""COMPUTED_VALUE"""),"Spain")</f>
        <v/>
      </c>
      <c r="N926" s="1">
        <f>IFERROR(__xludf.DUMMYFUNCTION("""COMPUTED_VALUE"""),"0 to 10")</f>
        <v/>
      </c>
      <c r="O926" s="1">
        <f>IFERROR(__xludf.DUMMYFUNCTION("""COMPUTED_VALUE"""),"Business to Consumer")</f>
        <v/>
      </c>
      <c r="P926" s="1">
        <f>IFERROR(__xludf.DUMMYFUNCTION("""COMPUTED_VALUE"""),"Early childhood development (0-5 years), Primary Education, Secondary Education, Higher Education, Corporate Training, Lifelong learning/Adult education")</f>
        <v/>
      </c>
      <c r="Q926" s="1">
        <f>IFERROR(__xludf.DUMMYFUNCTION("""COMPUTED_VALUE"""),"System/Administrative, Student interfacing, Teacher interfacing")</f>
        <v/>
      </c>
      <c r="R926" s="1" t="n"/>
      <c r="S926" s="1" t="n"/>
      <c r="T926" s="1" t="n"/>
      <c r="U926" s="1" t="n"/>
      <c r="V926" s="1" t="n"/>
      <c r="W926" s="1" t="n"/>
      <c r="X926" s="1" t="n"/>
      <c r="Y926" s="15">
        <f>IFERROR(__xludf.DUMMYFUNCTION("""COMPUTED_VALUE"""),"https://drive.google.com/uc?export=view&amp;id=1BS4snD3wzgglNXfoZ_0SwlLH104SeuNu")</f>
        <v/>
      </c>
      <c r="Z926" s="1">
        <f>IFERROR(__xludf.DUMMYFUNCTION("""COMPUTED_VALUE"""),"Unverified")</f>
        <v/>
      </c>
      <c r="AA926" s="1" t="n"/>
      <c r="AB926" s="1" t="n"/>
      <c r="AC926" s="1" t="n"/>
      <c r="AD926" s="1" t="n"/>
      <c r="AE926" s="1" t="n"/>
    </row>
    <row r="927" ht="42" customHeight="1">
      <c r="A927" s="14">
        <f>IFERROR(__xludf.DUMMYFUNCTION("""COMPUTED_VALUE"""),45181)</f>
        <v/>
      </c>
      <c r="B927" s="1">
        <f>IFERROR(__xludf.DUMMYFUNCTION("""COMPUTED_VALUE"""),"ORG_2467")</f>
        <v/>
      </c>
      <c r="C927" s="1">
        <f>IFERROR(__xludf.DUMMYFUNCTION("""COMPUTED_VALUE"""),TRUE)</f>
        <v/>
      </c>
      <c r="D927" s="1">
        <f>IFERROR(__xludf.DUMMYFUNCTION("""COMPUTED_VALUE"""),"Universitat Oberta de Catalunya")</f>
        <v/>
      </c>
      <c r="E927" s="15">
        <f>IFERROR(__xludf.DUMMYFUNCTION("""COMPUTED_VALUE"""),"https://www.uoc.edu/portal/en/index.html")</f>
        <v/>
      </c>
      <c r="F927" s="1">
        <f>IFERROR(__xludf.DUMMYFUNCTION("""COMPUTED_VALUE"""),"The UOC was created in Barcelona in 1994 and teaching began in 1995, with 200 students. It was the first university ever to run exclusively online. The University continually uses cutting-edge e-learning research and innovation to refine the UOC methodolo"&amp;"gy. This is possible thanks to UOC R&amp;I and its 50 plus research groups, as well as the eLearning Innovation Center, which drives educational innovation at the UOC. Furthermore, as pioneers and leaders in education's digital transformation, we lend our kno"&amp;"wledge and experience to education administrations in need of them. Moreover, with more than 85,700 graduates, it is now one of the biggest universities in Spain.")</f>
        <v/>
      </c>
      <c r="G927" s="1">
        <f>IFERROR(__xludf.DUMMYFUNCTION("""COMPUTED_VALUE"""),"EduTech Cluster Spain")</f>
        <v/>
      </c>
      <c r="H927" s="1" t="n"/>
      <c r="I927" s="1" t="n"/>
      <c r="J927" s="1" t="n"/>
      <c r="K927" s="1">
        <f>IFERROR(__xludf.DUMMYFUNCTION("""COMPUTED_VALUE"""),"BARCELONA")</f>
        <v/>
      </c>
      <c r="L927" s="1">
        <f>IFERROR(__xludf.DUMMYFUNCTION("""COMPUTED_VALUE"""),"Spain")</f>
        <v/>
      </c>
      <c r="M927" s="1">
        <f>IFERROR(__xludf.DUMMYFUNCTION("""COMPUTED_VALUE"""),"Andorra, Spain")</f>
        <v/>
      </c>
      <c r="N927" s="1">
        <f>IFERROR(__xludf.DUMMYFUNCTION("""COMPUTED_VALUE"""),"500+")</f>
        <v/>
      </c>
      <c r="O927" s="1">
        <f>IFERROR(__xludf.DUMMYFUNCTION("""COMPUTED_VALUE"""),"Business to Consumer")</f>
        <v/>
      </c>
      <c r="P927" s="1">
        <f>IFERROR(__xludf.DUMMYFUNCTION("""COMPUTED_VALUE"""),"Higher Education, Corporate Training, Lifelong learning/Adult education")</f>
        <v/>
      </c>
      <c r="Q927" s="1">
        <f>IFERROR(__xludf.DUMMYFUNCTION("""COMPUTED_VALUE"""),"Student interfacing, Teacher interfacing, System/Administrative")</f>
        <v/>
      </c>
      <c r="R927" s="1">
        <f>IFERROR(__xludf.DUMMYFUNCTION("""COMPUTED_VALUE"""),"uocuniversitat")</f>
        <v/>
      </c>
      <c r="S927" s="1">
        <f>IFERROR(__xludf.DUMMYFUNCTION("""COMPUTED_VALUE"""),"@UOCuniversidad")</f>
        <v/>
      </c>
      <c r="T927" s="15">
        <f>IFERROR(__xludf.DUMMYFUNCTION("""COMPUTED_VALUE"""),"https://www.linkedin.com/school/uoc/about/")</f>
        <v/>
      </c>
      <c r="U927" s="1">
        <f>IFERROR(__xludf.DUMMYFUNCTION("""COMPUTED_VALUE"""),"Folio")</f>
        <v/>
      </c>
      <c r="V927" s="1">
        <f>IFERROR(__xludf.DUMMYFUNCTION("""COMPUTED_VALUE"""),"An innovative reinterpretation of the portfolio concept that enables students to work collaboratively, develop an online image, create an identity and publicize this identity in the professsional world.")</f>
        <v/>
      </c>
      <c r="W927" s="1" t="n"/>
      <c r="X927" s="1" t="n"/>
      <c r="Y927" s="15">
        <f>IFERROR(__xludf.DUMMYFUNCTION("""COMPUTED_VALUE"""),"https://drive.google.com/uc?export=view&amp;id=1XaDjMXTqr-n7EEi3rxEp3ibkbJLMTr94")</f>
        <v/>
      </c>
      <c r="Z927" s="1">
        <f>IFERROR(__xludf.DUMMYFUNCTION("""COMPUTED_VALUE"""),"Unverified")</f>
        <v/>
      </c>
      <c r="AA927" s="1" t="n"/>
      <c r="AB927" s="1" t="n"/>
      <c r="AC927" s="1" t="n"/>
      <c r="AD927" s="1" t="n"/>
      <c r="AE927" s="1" t="n"/>
    </row>
    <row r="928" ht="42" customHeight="1">
      <c r="A928" s="14">
        <f>IFERROR(__xludf.DUMMYFUNCTION("""COMPUTED_VALUE"""),45181)</f>
        <v/>
      </c>
      <c r="B928" s="1">
        <f>IFERROR(__xludf.DUMMYFUNCTION("""COMPUTED_VALUE"""),"ORG_1649")</f>
        <v/>
      </c>
      <c r="C928" s="1">
        <f>IFERROR(__xludf.DUMMYFUNCTION("""COMPUTED_VALUE"""),TRUE)</f>
        <v/>
      </c>
      <c r="D928" s="1">
        <f>IFERROR(__xludf.DUMMYFUNCTION("""COMPUTED_VALUE"""),"Growth Tribe")</f>
        <v/>
      </c>
      <c r="E928" s="15">
        <f>IFERROR(__xludf.DUMMYFUNCTION("""COMPUTED_VALUE"""),"www.growthtribe.io")</f>
        <v/>
      </c>
      <c r="F928" s="1">
        <f>IFERROR(__xludf.DUMMYFUNCTION("""COMPUTED_VALUE"""),"Growth Tribe is a digital learning partner for both individuals &amp; organisations, specialising in growth, data, customer experience and digital leadership.
We help our learners and partners acquire the most in-demand digital capabilities through actionabl"&amp;"e, hands-on and enjoyable courses &amp; learning programs.
We help people grow.")</f>
        <v/>
      </c>
      <c r="G928" s="1">
        <f>IFERROR(__xludf.DUMMYFUNCTION("""COMPUTED_VALUE"""),"Dutch EdTech")</f>
        <v/>
      </c>
      <c r="H928" s="1" t="n"/>
      <c r="I928" s="1" t="n"/>
      <c r="J928" s="1" t="n"/>
      <c r="K928" s="1">
        <f>IFERROR(__xludf.DUMMYFUNCTION("""COMPUTED_VALUE"""),"AMSTERDAM")</f>
        <v/>
      </c>
      <c r="L928" s="1">
        <f>IFERROR(__xludf.DUMMYFUNCTION("""COMPUTED_VALUE"""),"The Netherlands")</f>
        <v/>
      </c>
      <c r="M928" s="1">
        <f>IFERROR(__xludf.DUMMYFUNCTION("""COMPUTED_VALUE"""),"Austria, Denmark, Finland, France, Germany, Italy, Netherlands, Portugal, Spain, Sweden, Switzerland, United Kingdom")</f>
        <v/>
      </c>
      <c r="N928" s="1">
        <f>IFERROR(__xludf.DUMMYFUNCTION("""COMPUTED_VALUE"""),"100+")</f>
        <v/>
      </c>
      <c r="O928" s="1">
        <f>IFERROR(__xludf.DUMMYFUNCTION("""COMPUTED_VALUE"""),"Business to Business, Business to Consumer, Business to Schools")</f>
        <v/>
      </c>
      <c r="P928" s="1">
        <f>IFERROR(__xludf.DUMMYFUNCTION("""COMPUTED_VALUE"""),"Corporate Training, Lifelong learning/Adult education")</f>
        <v/>
      </c>
      <c r="Q928" s="1">
        <f>IFERROR(__xludf.DUMMYFUNCTION("""COMPUTED_VALUE"""),"Student interfacing, System/Administrative")</f>
        <v/>
      </c>
      <c r="R928" s="15">
        <f>IFERROR(__xludf.DUMMYFUNCTION("""COMPUTED_VALUE"""),"https://www.instagram.com/growthtribe/")</f>
        <v/>
      </c>
      <c r="S928" s="15">
        <f>IFERROR(__xludf.DUMMYFUNCTION("""COMPUTED_VALUE"""),"https://twitter.com/GrowthTribe")</f>
        <v/>
      </c>
      <c r="T928" s="15">
        <f>IFERROR(__xludf.DUMMYFUNCTION("""COMPUTED_VALUE"""),"https://www.linkedin.com/school/growth-tribe/")</f>
        <v/>
      </c>
      <c r="U928" s="1">
        <f>IFERROR(__xludf.DUMMYFUNCTION("""COMPUTED_VALUE"""),"Digital courses")</f>
        <v/>
      </c>
      <c r="V928" s="1">
        <f>IFERROR(__xludf.DUMMYFUNCTION("""COMPUTED_VALUE"""),"Learn the most in-demand digital skills. We help you and your team get ahead with skills in Growth Marketing, Data Analytics, UX Design and more.")</f>
        <v/>
      </c>
      <c r="W928" s="1" t="n"/>
      <c r="X928" s="1" t="n"/>
      <c r="Y928" s="15">
        <f>IFERROR(__xludf.DUMMYFUNCTION("""COMPUTED_VALUE"""),"https://drive.google.com/uc?export=view&amp;id=1aDYHmg8ayW68iL46ChG37eUCROnCRR79")</f>
        <v/>
      </c>
      <c r="Z928" s="1">
        <f>IFERROR(__xludf.DUMMYFUNCTION("""COMPUTED_VALUE"""),"Unverified")</f>
        <v/>
      </c>
      <c r="AA928" s="1" t="n"/>
      <c r="AB928" s="1" t="n"/>
      <c r="AC928" s="1" t="n"/>
      <c r="AD928" s="1" t="n"/>
      <c r="AE928" s="1" t="n"/>
    </row>
    <row r="929" ht="42" customHeight="1">
      <c r="A929" s="14">
        <f>IFERROR(__xludf.DUMMYFUNCTION("""COMPUTED_VALUE"""),45181)</f>
        <v/>
      </c>
      <c r="B929" s="1">
        <f>IFERROR(__xludf.DUMMYFUNCTION("""COMPUTED_VALUE"""),"ORG_1951")</f>
        <v/>
      </c>
      <c r="C929" s="1">
        <f>IFERROR(__xludf.DUMMYFUNCTION("""COMPUTED_VALUE"""),TRUE)</f>
        <v/>
      </c>
      <c r="D929" s="1">
        <f>IFERROR(__xludf.DUMMYFUNCTION("""COMPUTED_VALUE"""),"MenteLista")</f>
        <v/>
      </c>
      <c r="E929" s="15">
        <f>IFERROR(__xludf.DUMMYFUNCTION("""COMPUTED_VALUE"""),"https://www.mentelista.com/")</f>
        <v/>
      </c>
      <c r="F929" s="1">
        <f>IFERROR(__xludf.DUMMYFUNCTION("""COMPUTED_VALUE"""),"ONLINE ENGLISH-LEARNING PLATFORM FOR CHILDREN")</f>
        <v/>
      </c>
      <c r="G929" s="1">
        <f>IFERROR(__xludf.DUMMYFUNCTION("""COMPUTED_VALUE"""),"SEK Lab")</f>
        <v/>
      </c>
      <c r="H929" s="1" t="n"/>
      <c r="I929" s="1">
        <f>IFERROR(__xludf.DUMMYFUNCTION("""COMPUTED_VALUE"""),"info@mentelista.com")</f>
        <v/>
      </c>
      <c r="J929" s="1" t="n"/>
      <c r="K929" s="1">
        <f>IFERROR(__xludf.DUMMYFUNCTION("""COMPUTED_VALUE"""),"MALAGA")</f>
        <v/>
      </c>
      <c r="L929" s="1">
        <f>IFERROR(__xludf.DUMMYFUNCTION("""COMPUTED_VALUE"""),"Spain")</f>
        <v/>
      </c>
      <c r="M929" s="1">
        <f>IFERROR(__xludf.DUMMYFUNCTION("""COMPUTED_VALUE"""),"Spain")</f>
        <v/>
      </c>
      <c r="N929" s="1">
        <f>IFERROR(__xludf.DUMMYFUNCTION("""COMPUTED_VALUE"""),"0 to 10")</f>
        <v/>
      </c>
      <c r="O929" s="1">
        <f>IFERROR(__xludf.DUMMYFUNCTION("""COMPUTED_VALUE"""),"Business to Consumer")</f>
        <v/>
      </c>
      <c r="P929" s="1">
        <f>IFERROR(__xludf.DUMMYFUNCTION("""COMPUTED_VALUE"""),"Early childhood development (0-5 years), Primary Education")</f>
        <v/>
      </c>
      <c r="Q929" s="1">
        <f>IFERROR(__xludf.DUMMYFUNCTION("""COMPUTED_VALUE"""),"System/Administrative, Student interfacing, Teacher interfacing")</f>
        <v/>
      </c>
      <c r="R929" s="1" t="n"/>
      <c r="S929" s="1" t="n"/>
      <c r="T929" s="1" t="n"/>
      <c r="U929" s="1" t="n"/>
      <c r="V929" s="1" t="n"/>
      <c r="W929" s="1" t="n"/>
      <c r="X929" s="1" t="n"/>
      <c r="Y929" s="15">
        <f>IFERROR(__xludf.DUMMYFUNCTION("""COMPUTED_VALUE"""),"https://drive.google.com/uc?export=view&amp;id=1oSJliEtTyngjWORrpjCz6ldn5kt09K3Z")</f>
        <v/>
      </c>
      <c r="Z929" s="1">
        <f>IFERROR(__xludf.DUMMYFUNCTION("""COMPUTED_VALUE"""),"Unverified")</f>
        <v/>
      </c>
      <c r="AA929" s="1" t="n"/>
      <c r="AB929" s="1" t="n"/>
      <c r="AC929" s="1" t="n"/>
      <c r="AD929" s="1" t="n"/>
      <c r="AE929" s="1" t="n"/>
    </row>
    <row r="930" ht="42" customHeight="1">
      <c r="A930" s="14">
        <f>IFERROR(__xludf.DUMMYFUNCTION("""COMPUTED_VALUE"""),45181)</f>
        <v/>
      </c>
      <c r="B930" s="1">
        <f>IFERROR(__xludf.DUMMYFUNCTION("""COMPUTED_VALUE"""),"ORG_2015")</f>
        <v/>
      </c>
      <c r="C930" s="1">
        <f>IFERROR(__xludf.DUMMYFUNCTION("""COMPUTED_VALUE"""),TRUE)</f>
        <v/>
      </c>
      <c r="D930" s="1">
        <f>IFERROR(__xludf.DUMMYFUNCTION("""COMPUTED_VALUE"""),"Na Urok")</f>
        <v/>
      </c>
      <c r="E930" s="15">
        <f>IFERROR(__xludf.DUMMYFUNCTION("""COMPUTED_VALUE"""),"https://naurok.com.ua")</f>
        <v/>
      </c>
      <c r="F930" s="1">
        <f>IFERROR(__xludf.DUMMYFUNCTION("""COMPUTED_VALUE"""),"Na Urok is the local Ukrainian company that provides EdTech tools and professional development services for Ukrainian teachers and online tutoring in small groups for school students. Regular participant of TOP 25 most popular websites in Ukraine by Kanta"&amp;"r with 7M MAU.")</f>
        <v/>
      </c>
      <c r="G930" s="1">
        <f>IFERROR(__xludf.DUMMYFUNCTION("""COMPUTED_VALUE"""),"I'm not part of any EdTech association")</f>
        <v/>
      </c>
      <c r="H930" s="1" t="n"/>
      <c r="I930" s="1">
        <f>IFERROR(__xludf.DUMMYFUNCTION("""COMPUTED_VALUE"""),"dp@naurok.com.ua")</f>
        <v/>
      </c>
      <c r="J930" s="1" t="n"/>
      <c r="K930" s="1">
        <f>IFERROR(__xludf.DUMMYFUNCTION("""COMPUTED_VALUE"""),"st. 23 SERPNIA, 71")</f>
        <v/>
      </c>
      <c r="L930" s="1">
        <f>IFERROR(__xludf.DUMMYFUNCTION("""COMPUTED_VALUE"""),"Ukraine")</f>
        <v/>
      </c>
      <c r="M930" s="1">
        <f>IFERROR(__xludf.DUMMYFUNCTION("""COMPUTED_VALUE"""),"Ukraine")</f>
        <v/>
      </c>
      <c r="N930" s="1">
        <f>IFERROR(__xludf.DUMMYFUNCTION("""COMPUTED_VALUE"""),"11 to 50")</f>
        <v/>
      </c>
      <c r="O930" s="1">
        <f>IFERROR(__xludf.DUMMYFUNCTION("""COMPUTED_VALUE"""),"Business to Consumer")</f>
        <v/>
      </c>
      <c r="P930" s="1">
        <f>IFERROR(__xludf.DUMMYFUNCTION("""COMPUTED_VALUE"""),"Primary Education, Secondary Education, Higher Education, Corporate Training, Lifelong learning/Adult education")</f>
        <v/>
      </c>
      <c r="Q930" s="1">
        <f>IFERROR(__xludf.DUMMYFUNCTION("""COMPUTED_VALUE"""),"Student interfacing, Teacher interfacing")</f>
        <v/>
      </c>
      <c r="R930" s="1" t="n"/>
      <c r="S930" s="1" t="n"/>
      <c r="T930" s="1" t="n"/>
      <c r="U930" s="1" t="n"/>
      <c r="V930" s="1" t="n"/>
      <c r="W930" s="1" t="n"/>
      <c r="X930" s="1" t="n"/>
      <c r="Y930" s="15">
        <f>IFERROR(__xludf.DUMMYFUNCTION("""COMPUTED_VALUE"""),"https://drive.google.com/uc?export=view&amp;id=1JYal9cYA2u3OwXQ2uESALR1Vr40l08vq")</f>
        <v/>
      </c>
      <c r="Z930" s="1">
        <f>IFERROR(__xludf.DUMMYFUNCTION("""COMPUTED_VALUE"""),"Unverified")</f>
        <v/>
      </c>
      <c r="AA930" s="1" t="n"/>
      <c r="AB930" s="1" t="n"/>
      <c r="AC930" s="1" t="n"/>
      <c r="AD930" s="1" t="n"/>
      <c r="AE930" s="1" t="n"/>
    </row>
    <row r="931" ht="42" customHeight="1">
      <c r="A931" s="14">
        <f>IFERROR(__xludf.DUMMYFUNCTION("""COMPUTED_VALUE"""),45181)</f>
        <v/>
      </c>
      <c r="B931" s="1">
        <f>IFERROR(__xludf.DUMMYFUNCTION("""COMPUTED_VALUE"""),"ORG_1130")</f>
        <v/>
      </c>
      <c r="C931" s="1">
        <f>IFERROR(__xludf.DUMMYFUNCTION("""COMPUTED_VALUE"""),TRUE)</f>
        <v/>
      </c>
      <c r="D931" s="1">
        <f>IFERROR(__xludf.DUMMYFUNCTION("""COMPUTED_VALUE"""),"Ayúdame3D")</f>
        <v/>
      </c>
      <c r="E931" s="15">
        <f>IFERROR(__xludf.DUMMYFUNCTION("""COMPUTED_VALUE"""),"www.ayudame3d.org/colegios")</f>
        <v/>
      </c>
      <c r="F931" s="1">
        <f>IFERROR(__xludf.DUMMYFUNCTION("""COMPUTED_VALUE"""),"Ayúdame3D is a Spanish entity that promotes the social value of technology through technological and social awareness programs in order to help vulnerable groups around the world.
Thanks to this, it creates and delivers 3D printed arms, called trésdesis,"&amp;" free of charge to people with disabilities. Thus reducing the inequality they face, improving their quality of life and providing better opportunities for employability and schooling.")</f>
        <v/>
      </c>
      <c r="G931" s="1">
        <f>IFERROR(__xludf.DUMMYFUNCTION("""COMPUTED_VALUE"""),"I'm not part of any EdTech association")</f>
        <v/>
      </c>
      <c r="H931" s="1" t="n"/>
      <c r="I931" s="1">
        <f>IFERROR(__xludf.DUMMYFUNCTION("""COMPUTED_VALUE"""),"colegios@ayudame3d.org")</f>
        <v/>
      </c>
      <c r="J931" s="1" t="n"/>
      <c r="K931" s="1">
        <f>IFERROR(__xludf.DUMMYFUNCTION("""COMPUTED_VALUE"""),"madrid")</f>
        <v/>
      </c>
      <c r="L931" s="1">
        <f>IFERROR(__xludf.DUMMYFUNCTION("""COMPUTED_VALUE"""),"Spain")</f>
        <v/>
      </c>
      <c r="M931" s="1">
        <f>IFERROR(__xludf.DUMMYFUNCTION("""COMPUTED_VALUE"""),"Spain")</f>
        <v/>
      </c>
      <c r="N931" s="1">
        <f>IFERROR(__xludf.DUMMYFUNCTION("""COMPUTED_VALUE"""),"0 to 10")</f>
        <v/>
      </c>
      <c r="O931" s="1">
        <f>IFERROR(__xludf.DUMMYFUNCTION("""COMPUTED_VALUE"""),"Business to Business")</f>
        <v/>
      </c>
      <c r="P931" s="1">
        <f>IFERROR(__xludf.DUMMYFUNCTION("""COMPUTED_VALUE"""),"Primary Education, Secondary Education")</f>
        <v/>
      </c>
      <c r="Q931" s="1">
        <f>IFERROR(__xludf.DUMMYFUNCTION("""COMPUTED_VALUE"""),"Student interfacing, Teacher interfacing, System/Administrative")</f>
        <v/>
      </c>
      <c r="R931" s="1" t="n"/>
      <c r="S931" s="1" t="n"/>
      <c r="T931" s="1" t="n"/>
      <c r="U931" s="1" t="n"/>
      <c r="V931" s="1" t="n"/>
      <c r="W931" s="1" t="n"/>
      <c r="X931" s="1" t="n"/>
      <c r="Y931" s="15">
        <f>IFERROR(__xludf.DUMMYFUNCTION("""COMPUTED_VALUE"""),"https://drive.google.com/uc?export=view&amp;id=1aismwMvDWm4vlp8ytsu53WzUiO517wCw")</f>
        <v/>
      </c>
      <c r="Z931" s="1">
        <f>IFERROR(__xludf.DUMMYFUNCTION("""COMPUTED_VALUE"""),"Unverified")</f>
        <v/>
      </c>
      <c r="AA931" s="1" t="n"/>
      <c r="AB931" s="1" t="n"/>
      <c r="AC931" s="1" t="n"/>
      <c r="AD931" s="1" t="n"/>
      <c r="AE931" s="1" t="n"/>
    </row>
    <row r="932" ht="42" customHeight="1">
      <c r="A932" s="14">
        <f>IFERROR(__xludf.DUMMYFUNCTION("""COMPUTED_VALUE"""),45181)</f>
        <v/>
      </c>
      <c r="B932" s="1">
        <f>IFERROR(__xludf.DUMMYFUNCTION("""COMPUTED_VALUE"""),"ORG_1381")</f>
        <v/>
      </c>
      <c r="C932" s="1">
        <f>IFERROR(__xludf.DUMMYFUNCTION("""COMPUTED_VALUE"""),TRUE)</f>
        <v/>
      </c>
      <c r="D932" s="1">
        <f>IFERROR(__xludf.DUMMYFUNCTION("""COMPUTED_VALUE"""),"DreamShaper")</f>
        <v/>
      </c>
      <c r="E932" s="15">
        <f>IFERROR(__xludf.DUMMYFUNCTION("""COMPUTED_VALUE"""),"https://dreamshaper.com/en/")</f>
        <v/>
      </c>
      <c r="F932" s="1">
        <f>IFERROR(__xludf.DUMMYFUNCTION("""COMPUTED_VALUE"""),"DreamShaper specialises in Project Based Learning, developing digital solutions that support teaching institutions worldwide in the implementation of Active Learning Methodologies.")</f>
        <v/>
      </c>
      <c r="G932" s="1">
        <f>IFERROR(__xludf.DUMMYFUNCTION("""COMPUTED_VALUE"""),"I'm not part of any EdTech association")</f>
        <v/>
      </c>
      <c r="H932" s="1" t="n"/>
      <c r="I932" s="1">
        <f>IFERROR(__xludf.DUMMYFUNCTION("""COMPUTED_VALUE"""),"info@dreamshaper.com")</f>
        <v/>
      </c>
      <c r="J932" s="1" t="n"/>
      <c r="K932" s="1">
        <f>IFERROR(__xludf.DUMMYFUNCTION("""COMPUTED_VALUE"""),"Lisbon")</f>
        <v/>
      </c>
      <c r="L932" s="1">
        <f>IFERROR(__xludf.DUMMYFUNCTION("""COMPUTED_VALUE"""),"Portugal")</f>
        <v/>
      </c>
      <c r="M932" s="1">
        <f>IFERROR(__xludf.DUMMYFUNCTION("""COMPUTED_VALUE"""),"France, Hungary, Portugal, Spain, United Kingdom")</f>
        <v/>
      </c>
      <c r="N932" s="1">
        <f>IFERROR(__xludf.DUMMYFUNCTION("""COMPUTED_VALUE"""),"51 to 100")</f>
        <v/>
      </c>
      <c r="O932" s="1">
        <f>IFERROR(__xludf.DUMMYFUNCTION("""COMPUTED_VALUE"""),"Business to Business, Business to Consumer")</f>
        <v/>
      </c>
      <c r="P932" s="1">
        <f>IFERROR(__xludf.DUMMYFUNCTION("""COMPUTED_VALUE"""),"Primary Education, Secondary Education, Higher Education")</f>
        <v/>
      </c>
      <c r="Q932" s="1">
        <f>IFERROR(__xludf.DUMMYFUNCTION("""COMPUTED_VALUE"""),"Teacher interfacing, System/Administrative")</f>
        <v/>
      </c>
      <c r="R932" s="1" t="n"/>
      <c r="S932" s="1" t="n"/>
      <c r="T932" s="1" t="n"/>
      <c r="U932" s="1" t="n"/>
      <c r="V932" s="1" t="n"/>
      <c r="W932" s="1" t="n"/>
      <c r="X932" s="1" t="n"/>
      <c r="Y932" s="15">
        <f>IFERROR(__xludf.DUMMYFUNCTION("""COMPUTED_VALUE"""),"https://drive.google.com/uc?export=view&amp;id=1kJEfMZAR9G4VbQJ_p3TFAKi8gW4oLxAA")</f>
        <v/>
      </c>
      <c r="Z932" s="1">
        <f>IFERROR(__xludf.DUMMYFUNCTION("""COMPUTED_VALUE"""),"Unverified")</f>
        <v/>
      </c>
      <c r="AA932" s="1" t="n"/>
      <c r="AB932" s="1" t="n"/>
      <c r="AC932" s="1" t="n"/>
      <c r="AD932" s="1" t="n"/>
      <c r="AE932" s="1" t="n"/>
    </row>
    <row r="933" ht="42" customHeight="1">
      <c r="A933" s="14">
        <f>IFERROR(__xludf.DUMMYFUNCTION("""COMPUTED_VALUE"""),45181)</f>
        <v/>
      </c>
      <c r="B933" s="1">
        <f>IFERROR(__xludf.DUMMYFUNCTION("""COMPUTED_VALUE"""),"ORG_1383")</f>
        <v/>
      </c>
      <c r="C933" s="1">
        <f>IFERROR(__xludf.DUMMYFUNCTION("""COMPUTED_VALUE"""),TRUE)</f>
        <v/>
      </c>
      <c r="D933" s="1">
        <f>IFERROR(__xludf.DUMMYFUNCTION("""COMPUTED_VALUE"""),"Druid Learning")</f>
        <v/>
      </c>
      <c r="E933" s="15">
        <f>IFERROR(__xludf.DUMMYFUNCTION("""COMPUTED_VALUE"""),"www.druidlearning.com")</f>
        <v/>
      </c>
      <c r="F933" s="1">
        <f>IFERROR(__xludf.DUMMYFUNCTION("""COMPUTED_VALUE"""),"Consisting of a content management tool and a customer facing application, Druid Learning allows educational publishers and content creators; digitise, distribute and monetise their existing content. 
We have designed our application to cater for both ne"&amp;"urotypical and neurodiverse learners. Using our application learners can access audiovisual and text based content, take their own notes and have aural accompaniment to all text based content.")</f>
        <v/>
      </c>
      <c r="G933" s="1">
        <f>IFERROR(__xludf.DUMMYFUNCTION("""COMPUTED_VALUE"""),"EdTech Ireland")</f>
        <v/>
      </c>
      <c r="H933" s="1" t="n"/>
      <c r="I933" s="1">
        <f>IFERROR(__xludf.DUMMYFUNCTION("""COMPUTED_VALUE"""),"Admin@druidlearning.com")</f>
        <v/>
      </c>
      <c r="J933" s="1" t="n"/>
      <c r="K933" s="1">
        <f>IFERROR(__xludf.DUMMYFUNCTION("""COMPUTED_VALUE"""),"Dublin")</f>
        <v/>
      </c>
      <c r="L933" s="1">
        <f>IFERROR(__xludf.DUMMYFUNCTION("""COMPUTED_VALUE"""),"Ireland")</f>
        <v/>
      </c>
      <c r="M933" s="1">
        <f>IFERROR(__xludf.DUMMYFUNCTION("""COMPUTED_VALUE"""),"Ireland, United Kingdom")</f>
        <v/>
      </c>
      <c r="N933" s="1">
        <f>IFERROR(__xludf.DUMMYFUNCTION("""COMPUTED_VALUE"""),"3 to 5")</f>
        <v/>
      </c>
      <c r="O933" s="1">
        <f>IFERROR(__xludf.DUMMYFUNCTION("""COMPUTED_VALUE"""),"Business to Business, Business to Consumer, Business to Schools")</f>
        <v/>
      </c>
      <c r="P933" s="1">
        <f>IFERROR(__xludf.DUMMYFUNCTION("""COMPUTED_VALUE"""),"Primary Education, Secondary Education, Corporate Training, Lifelong learning/Adult education, Vocational Education and Training (VET), Higher Education")</f>
        <v/>
      </c>
      <c r="Q933" s="1">
        <f>IFERROR(__xludf.DUMMYFUNCTION("""COMPUTED_VALUE"""),"System/Administrative")</f>
        <v/>
      </c>
      <c r="R933" s="1" t="n"/>
      <c r="S933" s="1">
        <f>IFERROR(__xludf.DUMMYFUNCTION("""COMPUTED_VALUE"""),"@ltdDruid")</f>
        <v/>
      </c>
      <c r="T933" s="15">
        <f>IFERROR(__xludf.DUMMYFUNCTION("""COMPUTED_VALUE"""),"https://www.linkedin.com/company/druid-learning-limited")</f>
        <v/>
      </c>
      <c r="U933" s="1">
        <f>IFERROR(__xludf.DUMMYFUNCTION("""COMPUTED_VALUE"""),"Druid Learning: Content Management Tool")</f>
        <v/>
      </c>
      <c r="V933" s="1">
        <f>IFERROR(__xludf.DUMMYFUNCTION("""COMPUTED_VALUE"""),"Take your content to the next level. 
1: Breakdown existing digital content into structured re-usable content. Organise, manage and re-use your digital content like PDFs, Videos, Interactive material and use it across publications and platforms. 
2: Usi"&amp;"ng any file type instantly create; video content libraries, multi-media e-books, digital course material and educational resource hubs. All you need is content.")</f>
        <v/>
      </c>
      <c r="W933" s="1">
        <f>IFERROR(__xludf.DUMMYFUNCTION("""COMPUTED_VALUE"""),"Druid Learning: Courseware Platform")</f>
        <v/>
      </c>
      <c r="X933" s="1">
        <f>IFERROR(__xludf.DUMMYFUNCTION("""COMPUTED_VALUE"""),"Distribute and sell your content directly to institutions, teachers ad students via our courseware platform. 
Deliver consolidated multimedia experiences that have been proven to enhance the learner outcomes. Allow students to access topics through a com"&amp;"bination of videos, interactive quizzes, text and audio. 
Accessibility is at the core of what we do - so you can rest assured that all content delivered through our courseware is suitable to learners of all ability. Our wide reage of accessibility tools"&amp;" have been reviewed and certified by leading educational psychologists.")</f>
        <v/>
      </c>
      <c r="Y933" s="15">
        <f>IFERROR(__xludf.DUMMYFUNCTION("""COMPUTED_VALUE"""),"https://drive.google.com/uc?export=view&amp;id=1hhY0L_nDI351gW5coFrtlicmzpxVHK_q")</f>
        <v/>
      </c>
      <c r="Z933" s="1">
        <f>IFERROR(__xludf.DUMMYFUNCTION("""COMPUTED_VALUE"""),"Unverified")</f>
        <v/>
      </c>
      <c r="AA933" s="1" t="n"/>
      <c r="AB933" s="1" t="n"/>
      <c r="AC933" s="1" t="n"/>
      <c r="AD933" s="1" t="n"/>
      <c r="AE933" s="1" t="n"/>
    </row>
    <row r="934" ht="42" customHeight="1">
      <c r="A934" s="14">
        <f>IFERROR(__xludf.DUMMYFUNCTION("""COMPUTED_VALUE"""),45181)</f>
        <v/>
      </c>
      <c r="B934" s="1">
        <f>IFERROR(__xludf.DUMMYFUNCTION("""COMPUTED_VALUE"""),"ORG_1473")</f>
        <v/>
      </c>
      <c r="C934" s="1">
        <f>IFERROR(__xludf.DUMMYFUNCTION("""COMPUTED_VALUE"""),TRUE)</f>
        <v/>
      </c>
      <c r="D934" s="1">
        <f>IFERROR(__xludf.DUMMYFUNCTION("""COMPUTED_VALUE"""),"Eğlenceli Bilim")</f>
        <v/>
      </c>
      <c r="E934" s="15">
        <f>IFERROR(__xludf.DUMMYFUNCTION("""COMPUTED_VALUE"""),"https://eglencelibilim.com/")</f>
        <v/>
      </c>
      <c r="F934" s="1">
        <f>IFERROR(__xludf.DUMMYFUNCTION("""COMPUTED_VALUE"""),"As a social enterprise, we have been working to improve children's scientific literacy and support them to become responsible, inquisitive, sharer, free-thinker individuals, and active citizens, since 2010. During this 12-year period, we have reached 200 "&amp;"schools and 250.000 students in 65 different provinces of Turkey via 32 NGOs and municipalities, 2.900 teachers &amp; voluntaries in order to spread applied science education at preschool, primary and secondary levels.")</f>
        <v/>
      </c>
      <c r="G934" s="1">
        <f>IFERROR(__xludf.DUMMYFUNCTION("""COMPUTED_VALUE"""),"I'm not part of any EdTech association")</f>
        <v/>
      </c>
      <c r="H934" s="1" t="n"/>
      <c r="I934" s="1">
        <f>IFERROR(__xludf.DUMMYFUNCTION("""COMPUTED_VALUE"""),"fulya@eglencelibilim.com")</f>
        <v/>
      </c>
      <c r="J934" s="1">
        <f>IFERROR(__xludf.DUMMYFUNCTION("""COMPUTED_VALUE"""),"+90 232 366 3757")</f>
        <v/>
      </c>
      <c r="K934" s="1">
        <f>IFERROR(__xludf.DUMMYFUNCTION("""COMPUTED_VALUE"""),"İZMİR")</f>
        <v/>
      </c>
      <c r="L934" s="1">
        <f>IFERROR(__xludf.DUMMYFUNCTION("""COMPUTED_VALUE"""),"Türkiye")</f>
        <v/>
      </c>
      <c r="M934" s="1">
        <f>IFERROR(__xludf.DUMMYFUNCTION("""COMPUTED_VALUE"""),"Turkey")</f>
        <v/>
      </c>
      <c r="N934" s="1">
        <f>IFERROR(__xludf.DUMMYFUNCTION("""COMPUTED_VALUE"""),"11 to 50")</f>
        <v/>
      </c>
      <c r="O934" s="1">
        <f>IFERROR(__xludf.DUMMYFUNCTION("""COMPUTED_VALUE"""),"Business to Business, Business to Consumer, Business to Schools")</f>
        <v/>
      </c>
      <c r="P934" s="1">
        <f>IFERROR(__xludf.DUMMYFUNCTION("""COMPUTED_VALUE"""),"Early childhood development (0-5 years), Primary Education, Secondary Education, Corporate Training")</f>
        <v/>
      </c>
      <c r="Q934" s="1">
        <f>IFERROR(__xludf.DUMMYFUNCTION("""COMPUTED_VALUE"""),"System/Administrative, Student interfacing, Teacher interfacing")</f>
        <v/>
      </c>
      <c r="R934" s="1" t="n"/>
      <c r="S934" s="1" t="n"/>
      <c r="T934" s="1" t="n"/>
      <c r="U934" s="1" t="n"/>
      <c r="V934" s="1" t="n"/>
      <c r="W934" s="1" t="n"/>
      <c r="X934" s="1" t="n"/>
      <c r="Y934" s="15">
        <f>IFERROR(__xludf.DUMMYFUNCTION("""COMPUTED_VALUE"""),"https://drive.google.com/uc?export=view&amp;id=1v3_Pps2qRSFmS6KeVZx_wJPDMrG69Syr")</f>
        <v/>
      </c>
      <c r="Z934" s="1">
        <f>IFERROR(__xludf.DUMMYFUNCTION("""COMPUTED_VALUE"""),"Unverified")</f>
        <v/>
      </c>
      <c r="AA934" s="1" t="n"/>
      <c r="AB934" s="1" t="n"/>
      <c r="AC934" s="1" t="n"/>
      <c r="AD934" s="1" t="n"/>
      <c r="AE934" s="1" t="n"/>
    </row>
    <row r="935" ht="42" customHeight="1">
      <c r="A935" s="14">
        <f>IFERROR(__xludf.DUMMYFUNCTION("""COMPUTED_VALUE"""),45181)</f>
        <v/>
      </c>
      <c r="B935" s="1">
        <f>IFERROR(__xludf.DUMMYFUNCTION("""COMPUTED_VALUE"""),"ORG_2328")</f>
        <v/>
      </c>
      <c r="C935" s="1">
        <f>IFERROR(__xludf.DUMMYFUNCTION("""COMPUTED_VALUE"""),TRUE)</f>
        <v/>
      </c>
      <c r="D935" s="1">
        <f>IFERROR(__xludf.DUMMYFUNCTION("""COMPUTED_VALUE"""),"Stranger Skills")</f>
        <v/>
      </c>
      <c r="E935" s="15">
        <f>IFERROR(__xludf.DUMMYFUNCTION("""COMPUTED_VALUE"""),"https://www.strangerskills.com")</f>
        <v/>
      </c>
      <c r="F935" s="1">
        <f>IFERROR(__xludf.DUMMYFUNCTION("""COMPUTED_VALUE"""),"Stranger Skills is the platform created by teachers that helps your children to enhance their soft skills. We have the web site. We have a web page aimed at parents that informs about what soft skills are.
On the other hand, we offer a platform where stu"&amp;"dents can enjoy various experiences in an autonomous and fun way. At the same time that they carry out these experiences, they develop their soft skills.")</f>
        <v/>
      </c>
      <c r="G935" s="1">
        <f>IFERROR(__xludf.DUMMYFUNCTION("""COMPUTED_VALUE"""),"I'm not part of any EdTech association")</f>
        <v/>
      </c>
      <c r="H935" s="1" t="n"/>
      <c r="I935" s="1">
        <f>IFERROR(__xludf.DUMMYFUNCTION("""COMPUTED_VALUE"""),"info@strangerskills.com")</f>
        <v/>
      </c>
      <c r="J935" s="1">
        <f>IFERROR(__xludf.DUMMYFUNCTION("""COMPUTED_VALUE"""),"+ 34 6 51 30 74 27")</f>
        <v/>
      </c>
      <c r="K935" s="1">
        <f>IFERROR(__xludf.DUMMYFUNCTION("""COMPUTED_VALUE"""),"MURCIA")</f>
        <v/>
      </c>
      <c r="L935" s="1">
        <f>IFERROR(__xludf.DUMMYFUNCTION("""COMPUTED_VALUE"""),"Spain")</f>
        <v/>
      </c>
      <c r="M935" s="1">
        <f>IFERROR(__xludf.DUMMYFUNCTION("""COMPUTED_VALUE"""),"Spain")</f>
        <v/>
      </c>
      <c r="N935" s="1">
        <f>IFERROR(__xludf.DUMMYFUNCTION("""COMPUTED_VALUE"""),"0 to 10")</f>
        <v/>
      </c>
      <c r="O935" s="1">
        <f>IFERROR(__xludf.DUMMYFUNCTION("""COMPUTED_VALUE"""),"Business to Consumer, Business to Schools")</f>
        <v/>
      </c>
      <c r="P935" s="1">
        <f>IFERROR(__xludf.DUMMYFUNCTION("""COMPUTED_VALUE"""),"Primary Education, Secondary Education")</f>
        <v/>
      </c>
      <c r="Q935" s="1">
        <f>IFERROR(__xludf.DUMMYFUNCTION("""COMPUTED_VALUE"""),"System/Administrative, Student interfacing")</f>
        <v/>
      </c>
      <c r="R935" s="1" t="n"/>
      <c r="S935" s="1" t="n"/>
      <c r="T935" s="1" t="n"/>
      <c r="U935" s="1" t="n"/>
      <c r="V935" s="1" t="n"/>
      <c r="W935" s="1" t="n"/>
      <c r="X935" s="1" t="n"/>
      <c r="Y935" s="15">
        <f>IFERROR(__xludf.DUMMYFUNCTION("""COMPUTED_VALUE"""),"https://drive.google.com/uc?export=view&amp;id=1_L4YMpSKTSSWVZFBOK5Hjav0U3LvszWn")</f>
        <v/>
      </c>
      <c r="Z935" s="1">
        <f>IFERROR(__xludf.DUMMYFUNCTION("""COMPUTED_VALUE"""),"Unverified")</f>
        <v/>
      </c>
      <c r="AA935" s="1" t="n"/>
      <c r="AB935" s="1" t="n"/>
      <c r="AC935" s="1" t="n"/>
      <c r="AD935" s="1" t="n"/>
      <c r="AE935" s="1" t="n"/>
    </row>
    <row r="936" ht="42" customHeight="1">
      <c r="A936" s="14">
        <f>IFERROR(__xludf.DUMMYFUNCTION("""COMPUTED_VALUE"""),45181)</f>
        <v/>
      </c>
      <c r="B936" s="1">
        <f>IFERROR(__xludf.DUMMYFUNCTION("""COMPUTED_VALUE"""),"ORG_2416")</f>
        <v/>
      </c>
      <c r="C936" s="1">
        <f>IFERROR(__xludf.DUMMYFUNCTION("""COMPUTED_VALUE"""),TRUE)</f>
        <v/>
      </c>
      <c r="D936" s="1">
        <f>IFERROR(__xludf.DUMMYFUNCTION("""COMPUTED_VALUE"""),"TMI")</f>
        <v/>
      </c>
      <c r="E936" s="15">
        <f>IFERROR(__xludf.DUMMYFUNCTION("""COMPUTED_VALUE"""),"https://tmi.one")</f>
        <v/>
      </c>
      <c r="F936" s="1">
        <f>IFERROR(__xludf.DUMMYFUNCTION("""COMPUTED_VALUE"""),"TMI believes that technology and media should be a fundamental part of education anywhere on the globe. However, we see that changes within tech and media are happening too fast for traditional educational parties to keep up with. This results in a seriou"&amp;"s lack of digital upbringing in many children. 
TMI is taking education to the future by helping educational institutions and schools to participate in an (digital) ecosystem in which traditional education is transformed to a new and better form of learn"&amp;"ing; through project-based-learning, Agora education, formative assessment and gamified learning experiences. We are TMI, and we’re fighting to give everyone an equal opportunity to utilize the online world to the best of their abilities.")</f>
        <v/>
      </c>
      <c r="G936" s="1">
        <f>IFERROR(__xludf.DUMMYFUNCTION("""COMPUTED_VALUE"""),"I'm not part of any EdTech association")</f>
        <v/>
      </c>
      <c r="H936" s="1" t="n"/>
      <c r="I936" s="1">
        <f>IFERROR(__xludf.DUMMYFUNCTION("""COMPUTED_VALUE"""),"contact@tmi.one")</f>
        <v/>
      </c>
      <c r="J936" s="1">
        <f>IFERROR(__xludf.DUMMYFUNCTION("""COMPUTED_VALUE"""),"+31 030 227 1827")</f>
        <v/>
      </c>
      <c r="K936" s="1">
        <f>IFERROR(__xludf.DUMMYFUNCTION("""COMPUTED_VALUE"""),"UTRECHT")</f>
        <v/>
      </c>
      <c r="L936" s="1">
        <f>IFERROR(__xludf.DUMMYFUNCTION("""COMPUTED_VALUE"""),"The Netherlands")</f>
        <v/>
      </c>
      <c r="M936" s="1">
        <f>IFERROR(__xludf.DUMMYFUNCTION("""COMPUTED_VALUE"""),"Belgium, Hungary, Netherlands, Norway")</f>
        <v/>
      </c>
      <c r="N936" s="1">
        <f>IFERROR(__xludf.DUMMYFUNCTION("""COMPUTED_VALUE"""),"11 to 50")</f>
        <v/>
      </c>
      <c r="O936" s="1">
        <f>IFERROR(__xludf.DUMMYFUNCTION("""COMPUTED_VALUE"""),"Business to Government, Business to Schools")</f>
        <v/>
      </c>
      <c r="P936" s="1">
        <f>IFERROR(__xludf.DUMMYFUNCTION("""COMPUTED_VALUE"""),"Secondary Education, Higher Education")</f>
        <v/>
      </c>
      <c r="Q936" s="1">
        <f>IFERROR(__xludf.DUMMYFUNCTION("""COMPUTED_VALUE"""),"System/Administrative, Student interfacing, Teacher interfacing")</f>
        <v/>
      </c>
      <c r="R936" s="1" t="n"/>
      <c r="S936" s="1" t="n"/>
      <c r="T936" s="1" t="n"/>
      <c r="U936" s="1" t="n"/>
      <c r="V936" s="1" t="n"/>
      <c r="W936" s="1" t="n"/>
      <c r="X936" s="1" t="n"/>
      <c r="Y936" s="15">
        <f>IFERROR(__xludf.DUMMYFUNCTION("""COMPUTED_VALUE"""),"https://drive.google.com/uc?export=view&amp;id=1BHvXFoqdrxRE5cXcrIvrmj0yJfnXUOnS")</f>
        <v/>
      </c>
      <c r="Z936" s="1">
        <f>IFERROR(__xludf.DUMMYFUNCTION("""COMPUTED_VALUE"""),"Unverified")</f>
        <v/>
      </c>
      <c r="AA936" s="1" t="n"/>
      <c r="AB936" s="1" t="n"/>
      <c r="AC936" s="1" t="n"/>
      <c r="AD936" s="1" t="n"/>
      <c r="AE936" s="1" t="n"/>
    </row>
    <row r="937" ht="42" customHeight="1">
      <c r="A937" s="14">
        <f>IFERROR(__xludf.DUMMYFUNCTION("""COMPUTED_VALUE"""),45181)</f>
        <v/>
      </c>
      <c r="B937" s="1">
        <f>IFERROR(__xludf.DUMMYFUNCTION("""COMPUTED_VALUE"""),"ORG_1119")</f>
        <v/>
      </c>
      <c r="C937" s="1">
        <f>IFERROR(__xludf.DUMMYFUNCTION("""COMPUTED_VALUE"""),TRUE)</f>
        <v/>
      </c>
      <c r="D937" s="1">
        <f>IFERROR(__xludf.DUMMYFUNCTION("""COMPUTED_VALUE"""),"Atmospheric school")</f>
        <v/>
      </c>
      <c r="E937" s="15">
        <f>IFERROR(__xludf.DUMMYFUNCTION("""COMPUTED_VALUE"""),"https://www.atschool.com.ua/en/")</f>
        <v/>
      </c>
      <c r="F937" s="1">
        <f>IFERROR(__xludf.DUMMYFUNCTION("""COMPUTED_VALUE"""),"Atmospheric school is a Ukrainian distance school, licensed by the Ministry of Education and Science of Ukraine. Our school provides the opportunity for distance learning and certification in all disciplines provided by the official curriculum. We develop"&amp;"ed a unique technological learning platform which allows our students to study at any time and given location. Our school was the first in Ukraine that has been honored to be a member of ICDE.")</f>
        <v/>
      </c>
      <c r="G937" s="1">
        <f>IFERROR(__xludf.DUMMYFUNCTION("""COMPUTED_VALUE"""),"I'm not part of any EdTech association")</f>
        <v/>
      </c>
      <c r="H937" s="1" t="n"/>
      <c r="I937" s="1">
        <f>IFERROR(__xludf.DUMMYFUNCTION("""COMPUTED_VALUE"""),"vstup@atschool.com.ua")</f>
        <v/>
      </c>
      <c r="J937" s="1">
        <f>IFERROR(__xludf.DUMMYFUNCTION("""COMPUTED_VALUE"""),"+380442371299")</f>
        <v/>
      </c>
      <c r="K937" s="1">
        <f>IFERROR(__xludf.DUMMYFUNCTION("""COMPUTED_VALUE"""),"Kyiv")</f>
        <v/>
      </c>
      <c r="L937" s="1">
        <f>IFERROR(__xludf.DUMMYFUNCTION("""COMPUTED_VALUE"""),"Ukraine")</f>
        <v/>
      </c>
      <c r="M937" s="1">
        <f>IFERROR(__xludf.DUMMYFUNCTION("""COMPUTED_VALUE"""),"Armenia, Austria, Belgium, Bulgaria, Croatia, Cyprus, Czechia, France, Georgia, Germany, Greece, Hungary, Ireland, Italy, Latvia, Lithuania, Moldova, Netherlands, Poland, Portugal, Romania, Slovakia, Spain, Switzerland, Turkey, Ukraine, United Kingdom")</f>
        <v/>
      </c>
      <c r="N937" s="1">
        <f>IFERROR(__xludf.DUMMYFUNCTION("""COMPUTED_VALUE"""),"11 to 50")</f>
        <v/>
      </c>
      <c r="O937" s="1">
        <f>IFERROR(__xludf.DUMMYFUNCTION("""COMPUTED_VALUE"""),"Business to Business")</f>
        <v/>
      </c>
      <c r="P937" s="1">
        <f>IFERROR(__xludf.DUMMYFUNCTION("""COMPUTED_VALUE"""),"Primary Education, Secondary Education, Lifelong learning/Adult education")</f>
        <v/>
      </c>
      <c r="Q937" s="1">
        <f>IFERROR(__xludf.DUMMYFUNCTION("""COMPUTED_VALUE"""),"System/Administrative, Student interfacing, Teacher interfacing")</f>
        <v/>
      </c>
      <c r="R937" s="1" t="n"/>
      <c r="S937" s="1" t="n"/>
      <c r="T937" s="1" t="n"/>
      <c r="U937" s="1" t="n"/>
      <c r="V937" s="1" t="n"/>
      <c r="W937" s="1" t="n"/>
      <c r="X937" s="1" t="n"/>
      <c r="Y937" s="15">
        <f>IFERROR(__xludf.DUMMYFUNCTION("""COMPUTED_VALUE"""),"https://drive.google.com/uc?export=view&amp;id=13IM4nfdjh8nonsnBQO_Zt3LwxNVuuTiA")</f>
        <v/>
      </c>
      <c r="Z937" s="1">
        <f>IFERROR(__xludf.DUMMYFUNCTION("""COMPUTED_VALUE"""),"Unverified")</f>
        <v/>
      </c>
      <c r="AA937" s="1" t="n"/>
      <c r="AB937" s="1" t="n"/>
      <c r="AC937" s="1" t="n"/>
      <c r="AD937" s="1" t="n"/>
      <c r="AE937" s="1" t="n"/>
    </row>
    <row r="938" ht="42" customHeight="1">
      <c r="A938" s="14">
        <f>IFERROR(__xludf.DUMMYFUNCTION("""COMPUTED_VALUE"""),45181)</f>
        <v/>
      </c>
      <c r="B938" s="1">
        <f>IFERROR(__xludf.DUMMYFUNCTION("""COMPUTED_VALUE"""),"ORG_1177")</f>
        <v/>
      </c>
      <c r="C938" s="1">
        <f>IFERROR(__xludf.DUMMYFUNCTION("""COMPUTED_VALUE"""),TRUE)</f>
        <v/>
      </c>
      <c r="D938" s="1">
        <f>IFERROR(__xludf.DUMMYFUNCTION("""COMPUTED_VALUE"""),"Blueprint Learning ApS")</f>
        <v/>
      </c>
      <c r="E938" s="15">
        <f>IFERROR(__xludf.DUMMYFUNCTION("""COMPUTED_VALUE"""),"http://www.blueprintlearning.dk")</f>
        <v/>
      </c>
      <c r="F938" s="1">
        <f>IFERROR(__xludf.DUMMYFUNCTION("""COMPUTED_VALUE"""),"Blueprint Learning is the market leader in Denmark in online continuing education for professionals in the legal, dental and financial sector as well as the market of municipalities. Blueprint Learning provides subscription-based unlimited access in curre"&amp;"ntly three vertical brands and customers can choose from more than 2000 courses in total. Blueprint Learning is based in central Copenhagen and has around 35 dedicated employees.")</f>
        <v/>
      </c>
      <c r="G938" s="1">
        <f>IFERROR(__xludf.DUMMYFUNCTION("""COMPUTED_VALUE"""),"I'm not part of any EdTech association")</f>
        <v/>
      </c>
      <c r="H938" s="1" t="n"/>
      <c r="I938" s="1" t="n"/>
      <c r="J938" s="1">
        <f>IFERROR(__xludf.DUMMYFUNCTION("""COMPUTED_VALUE"""),"+45 7020 5770")</f>
        <v/>
      </c>
      <c r="K938" s="1">
        <f>IFERROR(__xludf.DUMMYFUNCTION("""COMPUTED_VALUE"""),"COPENHAGEN")</f>
        <v/>
      </c>
      <c r="L938" s="1">
        <f>IFERROR(__xludf.DUMMYFUNCTION("""COMPUTED_VALUE"""),"Denmark")</f>
        <v/>
      </c>
      <c r="M938" s="1">
        <f>IFERROR(__xludf.DUMMYFUNCTION("""COMPUTED_VALUE"""),"Denmark")</f>
        <v/>
      </c>
      <c r="N938" s="1">
        <f>IFERROR(__xludf.DUMMYFUNCTION("""COMPUTED_VALUE"""),"11 to 50")</f>
        <v/>
      </c>
      <c r="O938" s="1">
        <f>IFERROR(__xludf.DUMMYFUNCTION("""COMPUTED_VALUE"""),"Business to Business, Business to Consumer")</f>
        <v/>
      </c>
      <c r="P938" s="1">
        <f>IFERROR(__xludf.DUMMYFUNCTION("""COMPUTED_VALUE"""),"Corporate Training")</f>
        <v/>
      </c>
      <c r="Q938" s="1">
        <f>IFERROR(__xludf.DUMMYFUNCTION("""COMPUTED_VALUE"""),"Teacher interfacing, System/Administrative, Student interfacing")</f>
        <v/>
      </c>
      <c r="R938" s="1" t="n"/>
      <c r="S938" s="1" t="n"/>
      <c r="T938" s="1" t="n"/>
      <c r="U938" s="15">
        <f>IFERROR(__xludf.DUMMYFUNCTION("""COMPUTED_VALUE"""),"advokurser.dk")</f>
        <v/>
      </c>
      <c r="V938" s="1" t="n"/>
      <c r="W938" s="15">
        <f>IFERROR(__xludf.DUMMYFUNCTION("""COMPUTED_VALUE"""),"revikurser.dk")</f>
        <v/>
      </c>
      <c r="X938" s="1" t="n"/>
      <c r="Y938" s="15">
        <f>IFERROR(__xludf.DUMMYFUNCTION("""COMPUTED_VALUE"""),"https://drive.google.com/uc?export=view&amp;id=14IDcCPbIPKeiG90XjrQLNdjlF92sWmuG")</f>
        <v/>
      </c>
      <c r="Z938" s="1">
        <f>IFERROR(__xludf.DUMMYFUNCTION("""COMPUTED_VALUE"""),"Unverified")</f>
        <v/>
      </c>
      <c r="AA938" s="1" t="n"/>
      <c r="AB938" s="1" t="n"/>
      <c r="AC938" s="1" t="n"/>
      <c r="AD938" s="1" t="n"/>
      <c r="AE938" s="1" t="n"/>
    </row>
    <row r="939" ht="42" customHeight="1">
      <c r="A939" s="14">
        <f>IFERROR(__xludf.DUMMYFUNCTION("""COMPUTED_VALUE"""),45181)</f>
        <v/>
      </c>
      <c r="B939" s="1">
        <f>IFERROR(__xludf.DUMMYFUNCTION("""COMPUTED_VALUE"""),"ORG_1295")</f>
        <v/>
      </c>
      <c r="C939" s="1">
        <f>IFERROR(__xludf.DUMMYFUNCTION("""COMPUTED_VALUE"""),TRUE)</f>
        <v/>
      </c>
      <c r="D939" s="1">
        <f>IFERROR(__xludf.DUMMYFUNCTION("""COMPUTED_VALUE"""),"Cood")</f>
        <v/>
      </c>
      <c r="E939" s="15">
        <f>IFERROR(__xludf.DUMMYFUNCTION("""COMPUTED_VALUE"""),"www.cood.fr")</f>
        <v/>
      </c>
      <c r="F939" s="1">
        <f>IFERROR(__xludf.DUMMYFUNCTION("""COMPUTED_VALUE"""),"Cood is an online Play &amp; Learn platform to develop Digital competencies for everyone: kids at school , adults at work or as parents , and even for elders.
Therefore Cood has developed 2 solutions: 
- Cood Studio: a visual programming platform to learn cod"&amp;"ing by creating a video game.
- Cood Academy: an e-learning app to develop digital competencies based on the french PIX certificate (or Digicomp: The european digital competence framework for citizens)")</f>
        <v/>
      </c>
      <c r="G939" s="1">
        <f>IFERROR(__xludf.DUMMYFUNCTION("""COMPUTED_VALUE"""),"EdTech France")</f>
        <v/>
      </c>
      <c r="H939" s="1" t="n"/>
      <c r="I939" s="1">
        <f>IFERROR(__xludf.DUMMYFUNCTION("""COMPUTED_VALUE"""),"cood@cood.fr")</f>
        <v/>
      </c>
      <c r="J939" s="1" t="n"/>
      <c r="K939" s="1">
        <f>IFERROR(__xludf.DUMMYFUNCTION("""COMPUTED_VALUE"""),"paris")</f>
        <v/>
      </c>
      <c r="L939" s="1">
        <f>IFERROR(__xludf.DUMMYFUNCTION("""COMPUTED_VALUE"""),"France")</f>
        <v/>
      </c>
      <c r="M939" s="1">
        <f>IFERROR(__xludf.DUMMYFUNCTION("""COMPUTED_VALUE"""),"France")</f>
        <v/>
      </c>
      <c r="N939" s="1">
        <f>IFERROR(__xludf.DUMMYFUNCTION("""COMPUTED_VALUE"""),"0 to 10")</f>
        <v/>
      </c>
      <c r="O939" s="1">
        <f>IFERROR(__xludf.DUMMYFUNCTION("""COMPUTED_VALUE"""),"Business to Business, Business to Consumer, Business to Government")</f>
        <v/>
      </c>
      <c r="P939" s="1">
        <f>IFERROR(__xludf.DUMMYFUNCTION("""COMPUTED_VALUE"""),"Secondary Education, Higher Education, Corporate Training, Lifelong learning/Adult education")</f>
        <v/>
      </c>
      <c r="Q939" s="1">
        <f>IFERROR(__xludf.DUMMYFUNCTION("""COMPUTED_VALUE"""),"System/Administrative, Student interfacing, Teacher interfacing")</f>
        <v/>
      </c>
      <c r="R939" s="15">
        <f>IFERROR(__xludf.DUMMYFUNCTION("""COMPUTED_VALUE"""),"cood.fr")</f>
        <v/>
      </c>
      <c r="S939" s="1">
        <f>IFERROR(__xludf.DUMMYFUNCTION("""COMPUTED_VALUE"""),"Cood_fr")</f>
        <v/>
      </c>
      <c r="T939" s="15">
        <f>IFERROR(__xludf.DUMMYFUNCTION("""COMPUTED_VALUE"""),"https://www.linkedin.com/company/cood-fr")</f>
        <v/>
      </c>
      <c r="U939" s="1">
        <f>IFERROR(__xludf.DUMMYFUNCTION("""COMPUTED_VALUE"""),"Cood Studio")</f>
        <v/>
      </c>
      <c r="V939" s="1">
        <f>IFERROR(__xludf.DUMMYFUNCTION("""COMPUTED_VALUE"""),"Gaming resources to learn how to code your own video game, thanks to a programming language in the form of blocks.
Students develop these essential cross-curricular skills beyond the school curriculum: logic, creativity, critical thinking, problem solving"&amp;", etc.")</f>
        <v/>
      </c>
      <c r="W939" s="1">
        <f>IFERROR(__xludf.DUMMYFUNCTION("""COMPUTED_VALUE"""),"Cood Academy")</f>
        <v/>
      </c>
      <c r="X939" s="1">
        <f>IFERROR(__xludf.DUMMYFUNCTION("""COMPUTED_VALUE"""),"An e-learning application for developing digital skills and training for the Pix state certification, recognized in Europe and by the professional world.
Short and engaging formats (quizzes, videos, practical cases, etc.) adapt to the level of each user a"&amp;"nd to each moment of life: at school, at home, at work and even in retirement")</f>
        <v/>
      </c>
      <c r="Y939" s="15">
        <f>IFERROR(__xludf.DUMMYFUNCTION("""COMPUTED_VALUE"""),"https://drive.google.com/uc?export=view&amp;id=1TLnpgwhOIF9nje3Jk9v7WW0fpzQeodz-")</f>
        <v/>
      </c>
      <c r="Z939" s="1">
        <f>IFERROR(__xludf.DUMMYFUNCTION("""COMPUTED_VALUE"""),"Unverified")</f>
        <v/>
      </c>
      <c r="AA939" s="1" t="n"/>
      <c r="AB939" s="1" t="n"/>
      <c r="AC939" s="1" t="n"/>
      <c r="AD939" s="1" t="n"/>
      <c r="AE939" s="1" t="n"/>
    </row>
    <row r="940" ht="42" customHeight="1">
      <c r="A940" s="14">
        <f>IFERROR(__xludf.DUMMYFUNCTION("""COMPUTED_VALUE"""),45181)</f>
        <v/>
      </c>
      <c r="B940" s="1">
        <f>IFERROR(__xludf.DUMMYFUNCTION("""COMPUTED_VALUE"""),"ORG_1547")</f>
        <v/>
      </c>
      <c r="C940" s="1">
        <f>IFERROR(__xludf.DUMMYFUNCTION("""COMPUTED_VALUE"""),TRUE)</f>
        <v/>
      </c>
      <c r="D940" s="1">
        <f>IFERROR(__xludf.DUMMYFUNCTION("""COMPUTED_VALUE"""),"EYEPASS")</f>
        <v/>
      </c>
      <c r="E940" s="15">
        <f>IFERROR(__xludf.DUMMYFUNCTION("""COMPUTED_VALUE"""),"https://education.eyepass.tech/")</f>
        <v/>
      </c>
      <c r="F940" s="1">
        <f>IFERROR(__xludf.DUMMYFUNCTION("""COMPUTED_VALUE"""),"EYEPASS is the first step to building AI - a teacher assistant. We use computer vision algorithms to understand students' behavior and at the same time guarantee a high level of data protection and privacy. EYEPASS is an online tool for the instant creati"&amp;"on of learning tasks with an assessment algorithm based on eye movement analysis, which allows you to make education adaptive. EYEPASS complements the work of teachers in accelerating student learning and allows:
- to understand each student's learning pr"&amp;"oblems;
- сreate a personal image of effort;
- improve the quality of educational content;
- explore personal and group attention;
- increase interest and motivation;
- leave more time for joint learning and practice;
- monitor the level of student involv"&amp;"ement and make adjustments;
- develop analytical reading and critical thinking
EYEPASS on eye movements determines what students read and what just scrolled, what catches attention on e-learning videos or reading materials, and the level of synchronizati"&amp;"on between students. Receiving this information can be reflected students' way of learning, making the learning path visible. This info has value not only for teachers but for students too. We are sure that the most important goal of modern education is t"&amp;"o develop critical thinking and metacognition skills.")</f>
        <v/>
      </c>
      <c r="G940" s="1">
        <f>IFERROR(__xludf.DUMMYFUNCTION("""COMPUTED_VALUE"""),"I'm not part of any EdTech association")</f>
        <v/>
      </c>
      <c r="H940" s="1" t="n"/>
      <c r="I940" s="1">
        <f>IFERROR(__xludf.DUMMYFUNCTION("""COMPUTED_VALUE"""),"danylov@eyepass.tech")</f>
        <v/>
      </c>
      <c r="J940" s="1">
        <f>IFERROR(__xludf.DUMMYFUNCTION("""COMPUTED_VALUE"""),"+380672315604")</f>
        <v/>
      </c>
      <c r="K940" s="1">
        <f>IFERROR(__xludf.DUMMYFUNCTION("""COMPUTED_VALUE"""),"KYIV")</f>
        <v/>
      </c>
      <c r="L940" s="1">
        <f>IFERROR(__xludf.DUMMYFUNCTION("""COMPUTED_VALUE"""),"Ukraine")</f>
        <v/>
      </c>
      <c r="M940" s="1">
        <f>IFERROR(__xludf.DUMMYFUNCTION("""COMPUTED_VALUE"""),"Estonia, Ukraine")</f>
        <v/>
      </c>
      <c r="N940" s="1">
        <f>IFERROR(__xludf.DUMMYFUNCTION("""COMPUTED_VALUE"""),"0 to 10")</f>
        <v/>
      </c>
      <c r="O940" s="1">
        <f>IFERROR(__xludf.DUMMYFUNCTION("""COMPUTED_VALUE"""),"Business to Business, Business to Consumer, Business to Government, Business to Schools")</f>
        <v/>
      </c>
      <c r="P940" s="1">
        <f>IFERROR(__xludf.DUMMYFUNCTION("""COMPUTED_VALUE"""),"Primary Education, Secondary Education")</f>
        <v/>
      </c>
      <c r="Q940" s="1">
        <f>IFERROR(__xludf.DUMMYFUNCTION("""COMPUTED_VALUE"""),"Student interfacing, Teacher interfacing")</f>
        <v/>
      </c>
      <c r="R940" s="1" t="n"/>
      <c r="S940" s="1" t="n"/>
      <c r="T940" s="1" t="n"/>
      <c r="U940" s="1" t="n"/>
      <c r="V940" s="1" t="n"/>
      <c r="W940" s="1" t="n"/>
      <c r="X940" s="1" t="n"/>
      <c r="Y940" s="15">
        <f>IFERROR(__xludf.DUMMYFUNCTION("""COMPUTED_VALUE"""),"https://drive.google.com/uc?export=view&amp;id=1tvUBiyZl68PUmqjaaM9nv0o9ORfHlcM5")</f>
        <v/>
      </c>
      <c r="Z940" s="1">
        <f>IFERROR(__xludf.DUMMYFUNCTION("""COMPUTED_VALUE"""),"Unverified")</f>
        <v/>
      </c>
      <c r="AA940" s="1" t="n"/>
      <c r="AB940" s="1" t="n"/>
      <c r="AC940" s="1" t="n"/>
      <c r="AD940" s="1" t="n"/>
      <c r="AE940" s="1" t="n"/>
    </row>
    <row r="941" ht="42" customHeight="1">
      <c r="A941" s="14">
        <f>IFERROR(__xludf.DUMMYFUNCTION("""COMPUTED_VALUE"""),45181)</f>
        <v/>
      </c>
      <c r="B941" s="1">
        <f>IFERROR(__xludf.DUMMYFUNCTION("""COMPUTED_VALUE"""),"ORG_1772")</f>
        <v/>
      </c>
      <c r="C941" s="1">
        <f>IFERROR(__xludf.DUMMYFUNCTION("""COMPUTED_VALUE"""),TRUE)</f>
        <v/>
      </c>
      <c r="D941" s="1">
        <f>IFERROR(__xludf.DUMMYFUNCTION("""COMPUTED_VALUE"""),"KIMO")</f>
        <v/>
      </c>
      <c r="E941" s="15">
        <f>IFERROR(__xludf.DUMMYFUNCTION("""COMPUTED_VALUE"""),"www.kimo.ai")</f>
        <v/>
      </c>
      <c r="F941" s="1">
        <f>IFERROR(__xludf.DUMMYFUNCTION("""COMPUTED_VALUE"""),"KIMO is a next-gen learning platform that allows a company’s employees to get the best learning content instantly. Our solution is faster, cheaper, and more efficient than all the learning solutions on the market, as it allows bringing all the free conten"&amp;"t on the web on board (next to typically paid items) in an advanced neural search engine for high-quality content. The AI engine is further augmented by live sessions with industry experts who dial in twice per week to discuss the latest trends.")</f>
        <v/>
      </c>
      <c r="G941" s="1">
        <f>IFERROR(__xludf.DUMMYFUNCTION("""COMPUTED_VALUE"""),"I'm not part of any EdTech association")</f>
        <v/>
      </c>
      <c r="H941" s="1" t="n"/>
      <c r="I941" s="1">
        <f>IFERROR(__xludf.DUMMYFUNCTION("""COMPUTED_VALUE"""),"hello@kimo.ai")</f>
        <v/>
      </c>
      <c r="J941" s="1" t="n"/>
      <c r="K941" s="1">
        <f>IFERROR(__xludf.DUMMYFUNCTION("""COMPUTED_VALUE"""),"AMSTERDAM")</f>
        <v/>
      </c>
      <c r="L941" s="1">
        <f>IFERROR(__xludf.DUMMYFUNCTION("""COMPUTED_VALUE"""),"The Netherlands")</f>
        <v/>
      </c>
      <c r="M941" s="1">
        <f>IFERROR(__xludf.DUMMYFUNCTION("""COMPUTED_VALUE"""),"Austria, Belgium, Bulgaria, Croatia, Cyprus, Denmark, Estonia, Finland, France, Germany, Greece, Hungary, Iceland, Ireland, Italy, Latvia, Lithuania, Luxembourg, Malta, Moldova, Monaco, Montenegro, Netherlands, Norway, Poland, Portugal, Romania, Serbia, S"&amp;"lovakia, Slovenia, Spain, Sweden, Switzerland, Turkey, Ukraine, United Kingdom")</f>
        <v/>
      </c>
      <c r="N941" s="1">
        <f>IFERROR(__xludf.DUMMYFUNCTION("""COMPUTED_VALUE"""),"11 to 50")</f>
        <v/>
      </c>
      <c r="O941" s="1">
        <f>IFERROR(__xludf.DUMMYFUNCTION("""COMPUTED_VALUE"""),"Business to Business, Business to Government")</f>
        <v/>
      </c>
      <c r="P941" s="1">
        <f>IFERROR(__xludf.DUMMYFUNCTION("""COMPUTED_VALUE"""),"Higher Education, Corporate Training, Lifelong learning/Adult education")</f>
        <v/>
      </c>
      <c r="Q941" s="1">
        <f>IFERROR(__xludf.DUMMYFUNCTION("""COMPUTED_VALUE"""),"Student interfacing, System/Administrative")</f>
        <v/>
      </c>
      <c r="R941" s="1" t="n"/>
      <c r="S941" s="1" t="n"/>
      <c r="T941" s="1" t="n"/>
      <c r="U941" s="1" t="n"/>
      <c r="V941" s="1" t="n"/>
      <c r="W941" s="1" t="n"/>
      <c r="X941" s="1" t="n"/>
      <c r="Y941" s="15">
        <f>IFERROR(__xludf.DUMMYFUNCTION("""COMPUTED_VALUE"""),"https://drive.google.com/uc?export=view&amp;id=1LSdf7QVbmsgCzmd_1ghdPq_3zHy7OvJj")</f>
        <v/>
      </c>
      <c r="Z941" s="1">
        <f>IFERROR(__xludf.DUMMYFUNCTION("""COMPUTED_VALUE"""),"Unverified")</f>
        <v/>
      </c>
      <c r="AA941" s="1" t="n"/>
      <c r="AB941" s="1" t="n"/>
      <c r="AC941" s="1" t="n"/>
      <c r="AD941" s="1" t="n"/>
      <c r="AE941" s="1" t="n"/>
    </row>
    <row r="942" ht="42" customHeight="1">
      <c r="A942" s="14">
        <f>IFERROR(__xludf.DUMMYFUNCTION("""COMPUTED_VALUE"""),45181)</f>
        <v/>
      </c>
      <c r="B942" s="1">
        <f>IFERROR(__xludf.DUMMYFUNCTION("""COMPUTED_VALUE"""),"ORG_2295")</f>
        <v/>
      </c>
      <c r="C942" s="1">
        <f>IFERROR(__xludf.DUMMYFUNCTION("""COMPUTED_VALUE"""),TRUE)</f>
        <v/>
      </c>
      <c r="D942" s="1">
        <f>IFERROR(__xludf.DUMMYFUNCTION("""COMPUTED_VALUE"""),"Sopu Academy")</f>
        <v/>
      </c>
      <c r="E942" s="15">
        <f>IFERROR(__xludf.DUMMYFUNCTION("""COMPUTED_VALUE"""),"https://sopuacademy.com/")</f>
        <v/>
      </c>
      <c r="F942" s="1">
        <f>IFERROR(__xludf.DUMMYFUNCTION("""COMPUTED_VALUE"""),"At Sopu Academy, we help people to improve their negotiation and communication skills. We develop an AI-powered platform to help them learn how to resolve conflicts in their everyday lives. 
The users practice various negotiation scenarios on our app. Fo"&amp;"r example, they negotiate an employment contract for themselves, try to decide who to clean the dishes at home tonight, or make a million dollar business deal. After their negotiation, participants receive individualised feedback based on their performanc"&amp;"e. 
Our goal is to help learners understand possibilities to create win-win situations with their interactions in their personal and professional lives. At Sopu Academy, we believe that negotiation skills are essential for every individual to pursue a ha"&amp;"ppy, meaningful, and successful life.")</f>
        <v/>
      </c>
      <c r="G942" s="1">
        <f>IFERROR(__xludf.DUMMYFUNCTION("""COMPUTED_VALUE"""),"I'm not part of any EdTech association")</f>
        <v/>
      </c>
      <c r="H942" s="1" t="n"/>
      <c r="I942" s="1">
        <f>IFERROR(__xludf.DUMMYFUNCTION("""COMPUTED_VALUE"""),"semih@sopuacademy.com")</f>
        <v/>
      </c>
      <c r="J942" s="1" t="n"/>
      <c r="K942" s="1">
        <f>IFERROR(__xludf.DUMMYFUNCTION("""COMPUTED_VALUE"""),"HELSINKI")</f>
        <v/>
      </c>
      <c r="L942" s="1">
        <f>IFERROR(__xludf.DUMMYFUNCTION("""COMPUTED_VALUE"""),"Finland")</f>
        <v/>
      </c>
      <c r="M942" s="1">
        <f>IFERROR(__xludf.DUMMYFUNCTION("""COMPUTED_VALUE"""),"Austria, Estonia, Finland, France, Germany, Spain, Sweden, Turkey")</f>
        <v/>
      </c>
      <c r="N942" s="1">
        <f>IFERROR(__xludf.DUMMYFUNCTION("""COMPUTED_VALUE"""),"0 to 10")</f>
        <v/>
      </c>
      <c r="O942" s="1">
        <f>IFERROR(__xludf.DUMMYFUNCTION("""COMPUTED_VALUE"""),"Business to Business, Business to Schools")</f>
        <v/>
      </c>
      <c r="P942" s="1">
        <f>IFERROR(__xludf.DUMMYFUNCTION("""COMPUTED_VALUE"""),"Secondary Education, Higher Education, Corporate Training, Lifelong learning/Adult education")</f>
        <v/>
      </c>
      <c r="Q942" s="1">
        <f>IFERROR(__xludf.DUMMYFUNCTION("""COMPUTED_VALUE"""),"Student interfacing, Teacher interfacing, System/Administrative")</f>
        <v/>
      </c>
      <c r="R942" s="1" t="n"/>
      <c r="S942" s="1" t="n"/>
      <c r="T942" s="1" t="n"/>
      <c r="U942" s="1" t="n"/>
      <c r="V942" s="1" t="n"/>
      <c r="W942" s="1" t="n"/>
      <c r="X942" s="1" t="n"/>
      <c r="Y942" s="15">
        <f>IFERROR(__xludf.DUMMYFUNCTION("""COMPUTED_VALUE"""),"https://drive.google.com/uc?export=view&amp;id=1GQFjW1yicQjKY1NEWRPXyFuuiNvFNngI")</f>
        <v/>
      </c>
      <c r="Z942" s="1">
        <f>IFERROR(__xludf.DUMMYFUNCTION("""COMPUTED_VALUE"""),"Unverified")</f>
        <v/>
      </c>
      <c r="AA942" s="1" t="n"/>
      <c r="AB942" s="1" t="n"/>
      <c r="AC942" s="1" t="n"/>
      <c r="AD942" s="1" t="n"/>
      <c r="AE942" s="1" t="n"/>
    </row>
    <row r="943" ht="42" customHeight="1">
      <c r="A943" s="14">
        <f>IFERROR(__xludf.DUMMYFUNCTION("""COMPUTED_VALUE"""),45181)</f>
        <v/>
      </c>
      <c r="B943" s="1">
        <f>IFERROR(__xludf.DUMMYFUNCTION("""COMPUTED_VALUE"""),"ORG_2367")</f>
        <v/>
      </c>
      <c r="C943" s="1">
        <f>IFERROR(__xludf.DUMMYFUNCTION("""COMPUTED_VALUE"""),TRUE)</f>
        <v/>
      </c>
      <c r="D943" s="1">
        <f>IFERROR(__xludf.DUMMYFUNCTION("""COMPUTED_VALUE"""),"TalkEn.cloud")</f>
        <v/>
      </c>
      <c r="E943" s="15">
        <f>IFERROR(__xludf.DUMMYFUNCTION("""COMPUTED_VALUE"""),"https://talken.cloud")</f>
        <v/>
      </c>
      <c r="F943" s="1">
        <f>IFERROR(__xludf.DUMMYFUNCTION("""COMPUTED_VALUE"""),"TalkEn.cloud - a multifunctional online platform for teaching English, that offers: a learning management system (LMS) &amp; complete leveled language program created by the Ukrainian team! We combined everything that ESL teachers and students need in one pla"&amp;"ce - a series of interactive workbooks and efficient modern learning tools.")</f>
        <v/>
      </c>
      <c r="G943" s="1">
        <f>IFERROR(__xludf.DUMMYFUNCTION("""COMPUTED_VALUE"""),"I'm not part of any EdTech association")</f>
        <v/>
      </c>
      <c r="H943" s="1" t="n"/>
      <c r="I943" s="1">
        <f>IFERROR(__xludf.DUMMYFUNCTION("""COMPUTED_VALUE"""),"eduplatform@talken.cloud")</f>
        <v/>
      </c>
      <c r="J943" s="1">
        <f>IFERROR(__xludf.DUMMYFUNCTION("""COMPUTED_VALUE"""),"+380631406027")</f>
        <v/>
      </c>
      <c r="K943" s="1">
        <f>IFERROR(__xludf.DUMMYFUNCTION("""COMPUTED_VALUE"""),"KIEV")</f>
        <v/>
      </c>
      <c r="L943" s="1">
        <f>IFERROR(__xludf.DUMMYFUNCTION("""COMPUTED_VALUE"""),"Ukraine")</f>
        <v/>
      </c>
      <c r="M943" s="1">
        <f>IFERROR(__xludf.DUMMYFUNCTION("""COMPUTED_VALUE"""),"Ukraine")</f>
        <v/>
      </c>
      <c r="N943" s="1">
        <f>IFERROR(__xludf.DUMMYFUNCTION("""COMPUTED_VALUE"""),"0 to 10")</f>
        <v/>
      </c>
      <c r="O943" s="1">
        <f>IFERROR(__xludf.DUMMYFUNCTION("""COMPUTED_VALUE"""),"Business to Consumer")</f>
        <v/>
      </c>
      <c r="P943" s="1">
        <f>IFERROR(__xludf.DUMMYFUNCTION("""COMPUTED_VALUE"""),"Primary Education, Secondary Education")</f>
        <v/>
      </c>
      <c r="Q943" s="1">
        <f>IFERROR(__xludf.DUMMYFUNCTION("""COMPUTED_VALUE"""),"Student interfacing, Teacher interfacing, System/Administrative")</f>
        <v/>
      </c>
      <c r="R943" s="1" t="n"/>
      <c r="S943" s="1" t="n"/>
      <c r="T943" s="1" t="n"/>
      <c r="U943" s="1" t="n"/>
      <c r="V943" s="1" t="n"/>
      <c r="W943" s="1" t="n"/>
      <c r="X943" s="1" t="n"/>
      <c r="Y943" s="15">
        <f>IFERROR(__xludf.DUMMYFUNCTION("""COMPUTED_VALUE"""),"https://drive.google.com/uc?export=view&amp;id=1DhddukPZRSjLCrkuFfdF2LeEjFTbbv5E")</f>
        <v/>
      </c>
      <c r="Z943" s="1">
        <f>IFERROR(__xludf.DUMMYFUNCTION("""COMPUTED_VALUE"""),"Unverified")</f>
        <v/>
      </c>
      <c r="AA943" s="1" t="n"/>
      <c r="AB943" s="1" t="n"/>
      <c r="AC943" s="1" t="n"/>
      <c r="AD943" s="1" t="n"/>
      <c r="AE943" s="1" t="n"/>
    </row>
    <row r="944" ht="42" customHeight="1">
      <c r="A944" s="14">
        <f>IFERROR(__xludf.DUMMYFUNCTION("""COMPUTED_VALUE"""),45181)</f>
        <v/>
      </c>
      <c r="B944" s="1">
        <f>IFERROR(__xludf.DUMMYFUNCTION("""COMPUTED_VALUE"""),"ORG_2464")</f>
        <v/>
      </c>
      <c r="C944" s="1">
        <f>IFERROR(__xludf.DUMMYFUNCTION("""COMPUTED_VALUE"""),TRUE)</f>
        <v/>
      </c>
      <c r="D944" s="1">
        <f>IFERROR(__xludf.DUMMYFUNCTION("""COMPUTED_VALUE"""),"Unimuseum")</f>
        <v/>
      </c>
      <c r="E944" s="15">
        <f>IFERROR(__xludf.DUMMYFUNCTION("""COMPUTED_VALUE"""),"unimuseum.io")</f>
        <v/>
      </c>
      <c r="F944" s="1">
        <f>IFERROR(__xludf.DUMMYFUNCTION("""COMPUTED_VALUE"""),"UNIMUSEUM is a museum in Metaverse &amp; Beyond for Human Rights and Solidarity. We are a team deeply committed to creating a better world. 
UNIMUSEUM is a Web3 ecosystem where difference is celebrated. Our mission is to build a place in the Metaverse &amp; buil"&amp;"d a community of creators with diverse backgrounds from different parts of the globe to come together to learn, teach and feel at home.
Empowering creators and communities of all kinds to achieve economic independence in a new digital economy, our main g"&amp;"oal is to onboard and educate new users to create NFTs and interact in Web3, creating an accessible and inclusive Web3 space that enriches the user experience of buying, selling, and NFT transfer.
It's a Web3 world by a diverse team that aims to support "&amp;"a warm and inclusive community that has access to UNIMUSEUM experiences and utilities.")</f>
        <v/>
      </c>
      <c r="G944" s="1">
        <f>IFERROR(__xludf.DUMMYFUNCTION("""COMPUTED_VALUE"""),"I'm not part of any EdTech association")</f>
        <v/>
      </c>
      <c r="H944" s="1" t="n"/>
      <c r="I944" s="1">
        <f>IFERROR(__xludf.DUMMYFUNCTION("""COMPUTED_VALUE"""),"unimuseum.io@gmail.com")</f>
        <v/>
      </c>
      <c r="J944" s="1">
        <f>IFERROR(__xludf.DUMMYFUNCTION("""COMPUTED_VALUE"""),"+380994740297")</f>
        <v/>
      </c>
      <c r="K944" s="1">
        <f>IFERROR(__xludf.DUMMYFUNCTION("""COMPUTED_VALUE"""),"KHARKIV")</f>
        <v/>
      </c>
      <c r="L944" s="1">
        <f>IFERROR(__xludf.DUMMYFUNCTION("""COMPUTED_VALUE"""),"Ukraine")</f>
        <v/>
      </c>
      <c r="M944" s="1">
        <f>IFERROR(__xludf.DUMMYFUNCTION("""COMPUTED_VALUE"""),"Austria, Belgium, Finland, France, Germany, Greece, Italy, Lithuania, Netherlands, North Macedonia, Norway, Poland, Portugal, Spain, Turkey, Ukraine, United Kingdom")</f>
        <v/>
      </c>
      <c r="N944" s="1">
        <f>IFERROR(__xludf.DUMMYFUNCTION("""COMPUTED_VALUE"""),"0 to 10")</f>
        <v/>
      </c>
      <c r="O944" s="1">
        <f>IFERROR(__xludf.DUMMYFUNCTION("""COMPUTED_VALUE"""),"Business to Government, Business to Schools")</f>
        <v/>
      </c>
      <c r="P944" s="1">
        <f>IFERROR(__xludf.DUMMYFUNCTION("""COMPUTED_VALUE"""),"Lifelong learning/Adult education")</f>
        <v/>
      </c>
      <c r="Q944" s="1">
        <f>IFERROR(__xludf.DUMMYFUNCTION("""COMPUTED_VALUE"""),"System/Administrative")</f>
        <v/>
      </c>
      <c r="R944" s="1" t="n"/>
      <c r="S944" s="1" t="n"/>
      <c r="T944" s="1" t="n"/>
      <c r="U944" s="1" t="n"/>
      <c r="V944" s="1" t="n"/>
      <c r="W944" s="1" t="n"/>
      <c r="X944" s="1" t="n"/>
      <c r="Y944" s="15">
        <f>IFERROR(__xludf.DUMMYFUNCTION("""COMPUTED_VALUE"""),"https://drive.google.com/uc?export=view&amp;id=1brpejJtKkInrEX2b2rhYM6DagIW3DOoq")</f>
        <v/>
      </c>
      <c r="Z944" s="1">
        <f>IFERROR(__xludf.DUMMYFUNCTION("""COMPUTED_VALUE"""),"Unverified")</f>
        <v/>
      </c>
      <c r="AA944" s="1" t="n"/>
      <c r="AB944" s="1" t="n"/>
      <c r="AC944" s="1" t="n"/>
      <c r="AD944" s="1" t="n"/>
      <c r="AE944" s="1" t="n"/>
    </row>
    <row r="945" ht="42" customHeight="1">
      <c r="A945" s="14">
        <f>IFERROR(__xludf.DUMMYFUNCTION("""COMPUTED_VALUE"""),45181)</f>
        <v/>
      </c>
      <c r="B945" s="1">
        <f>IFERROR(__xludf.DUMMYFUNCTION("""COMPUTED_VALUE"""),"ORG_2492")</f>
        <v/>
      </c>
      <c r="C945" s="1">
        <f>IFERROR(__xludf.DUMMYFUNCTION("""COMPUTED_VALUE"""),TRUE)</f>
        <v/>
      </c>
      <c r="D945" s="1">
        <f>IFERROR(__xludf.DUMMYFUNCTION("""COMPUTED_VALUE"""),"VideoWiki")</f>
        <v/>
      </c>
      <c r="E945" s="15">
        <f>IFERROR(__xludf.DUMMYFUNCTION("""COMPUTED_VALUE"""),"https://video.wiki/")</f>
        <v/>
      </c>
      <c r="F945" s="1">
        <f>IFERROR(__xludf.DUMMYFUNCTION("""COMPUTED_VALUE"""),"VideoWiki is an open content editing platform that powers the creation and monetization of content while encouraging collaborative authoring while prioritizing and protecting IP distribution. A collaborative platform for learners and educators to secure l"&amp;"earning continuity in times of restrictions and beyond.
A simple tool for teachers to create teaching content without any advance knowledge of a tool or code. They create by using various media and graphics from the open stock libraries and merging it wit"&amp;"h their own content to keep it engaging and diverse.
Consider the tool as a ""Video Wikipedia for Learners and Creators"".")</f>
        <v/>
      </c>
      <c r="G945" s="1">
        <f>IFERROR(__xludf.DUMMYFUNCTION("""COMPUTED_VALUE"""),"I'm not part of any EdTech association")</f>
        <v/>
      </c>
      <c r="H945" s="1" t="n"/>
      <c r="I945" s="1" t="n"/>
      <c r="J945" s="1" t="n"/>
      <c r="K945" s="1">
        <f>IFERROR(__xludf.DUMMYFUNCTION("""COMPUTED_VALUE"""),"Ílhavo")</f>
        <v/>
      </c>
      <c r="L945" s="1">
        <f>IFERROR(__xludf.DUMMYFUNCTION("""COMPUTED_VALUE"""),"Portugal")</f>
        <v/>
      </c>
      <c r="M945" s="1">
        <f>IFERROR(__xludf.DUMMYFUNCTION("""COMPUTED_VALUE"""),"Germany, Norway, Portugal, Ukraine")</f>
        <v/>
      </c>
      <c r="N945" s="1">
        <f>IFERROR(__xludf.DUMMYFUNCTION("""COMPUTED_VALUE"""),"0 to 10")</f>
        <v/>
      </c>
      <c r="O945" s="1">
        <f>IFERROR(__xludf.DUMMYFUNCTION("""COMPUTED_VALUE"""),"Business to Schools")</f>
        <v/>
      </c>
      <c r="P945" s="1">
        <f>IFERROR(__xludf.DUMMYFUNCTION("""COMPUTED_VALUE"""),"Higher Education, Lifelong learning/Adult education")</f>
        <v/>
      </c>
      <c r="Q945" s="1">
        <f>IFERROR(__xludf.DUMMYFUNCTION("""COMPUTED_VALUE"""),"Student interfacing, Teacher interfacing")</f>
        <v/>
      </c>
      <c r="R945" s="1" t="n"/>
      <c r="S945" s="1" t="n"/>
      <c r="T945" s="1" t="n"/>
      <c r="U945" s="1" t="n"/>
      <c r="V945" s="1" t="n"/>
      <c r="W945" s="1" t="n"/>
      <c r="X945" s="1" t="n"/>
      <c r="Y945" s="15">
        <f>IFERROR(__xludf.DUMMYFUNCTION("""COMPUTED_VALUE"""),"https://drive.google.com/uc?export=view&amp;id=1QrJY7rPO3PMZlNuZbkcQ9FTw2YUjgQxI")</f>
        <v/>
      </c>
      <c r="Z945" s="1">
        <f>IFERROR(__xludf.DUMMYFUNCTION("""COMPUTED_VALUE"""),"Unverified")</f>
        <v/>
      </c>
      <c r="AA945" s="1" t="n"/>
      <c r="AB945" s="1" t="n"/>
      <c r="AC945" s="1" t="n"/>
      <c r="AD945" s="1" t="n"/>
      <c r="AE945" s="1" t="n"/>
    </row>
    <row r="946" ht="42" customHeight="1">
      <c r="A946" s="14">
        <f>IFERROR(__xludf.DUMMYFUNCTION("""COMPUTED_VALUE"""),45181)</f>
        <v/>
      </c>
      <c r="B946" s="1">
        <f>IFERROR(__xludf.DUMMYFUNCTION("""COMPUTED_VALUE"""),"ORG_1063")</f>
        <v/>
      </c>
      <c r="C946" s="1">
        <f>IFERROR(__xludf.DUMMYFUNCTION("""COMPUTED_VALUE"""),TRUE)</f>
        <v/>
      </c>
      <c r="D946" s="1">
        <f>IFERROR(__xludf.DUMMYFUNCTION("""COMPUTED_VALUE"""),"Altris Education OCT")</f>
        <v/>
      </c>
      <c r="E946" s="15">
        <f>IFERROR(__xludf.DUMMYFUNCTION("""COMPUTED_VALUE"""),"https://www.altris.ai/oct_education/")</f>
        <v/>
      </c>
      <c r="F946" s="1">
        <f>IFERROR(__xludf.DUMMYFUNCTION("""COMPUTED_VALUE"""),"Altris Education OCT is an educational mobile app for ophthalmologists and optometrists which offers a new approach to the OCT scans interpretation education. The was created by a team of ophthalmologists on the basis of the ophthalmology clinic. 5 facts "&amp;"about the app:
1) It is absolutely free.
2) More than 15000 satisfied users at the moment from the whole world.
3) Interactive learning about OCT image interpretation with daily updates.
4) 54 pathological signs, 49 pathologies
5) More than 3000 OCT scans"&amp;" are labeled by professional ophthalmologists.")</f>
        <v/>
      </c>
      <c r="G946" s="1">
        <f>IFERROR(__xludf.DUMMYFUNCTION("""COMPUTED_VALUE"""),"I'm not part of any EdTech association")</f>
        <v/>
      </c>
      <c r="H946" s="1">
        <f>IFERROR(__xludf.DUMMYFUNCTION("""COMPUTED_VALUE"""),"English")</f>
        <v/>
      </c>
      <c r="I946" s="1">
        <f>IFERROR(__xludf.DUMMYFUNCTION("""COMPUTED_VALUE"""),"oshyrykhalova@altris.ai")</f>
        <v/>
      </c>
      <c r="J946" s="1">
        <f>IFERROR(__xludf.DUMMYFUNCTION("""COMPUTED_VALUE"""),"+380953104235")</f>
        <v/>
      </c>
      <c r="K946" s="1">
        <f>IFERROR(__xludf.DUMMYFUNCTION("""COMPUTED_VALUE"""),"Kyiv")</f>
        <v/>
      </c>
      <c r="L946" s="1">
        <f>IFERROR(__xludf.DUMMYFUNCTION("""COMPUTED_VALUE"""),"Ukraine")</f>
        <v/>
      </c>
      <c r="M94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946" s="1">
        <f>IFERROR(__xludf.DUMMYFUNCTION("""COMPUTED_VALUE"""),"11 to 50")</f>
        <v/>
      </c>
      <c r="O946" s="1">
        <f>IFERROR(__xludf.DUMMYFUNCTION("""COMPUTED_VALUE"""),"Business to Business")</f>
        <v/>
      </c>
      <c r="P946" s="1">
        <f>IFERROR(__xludf.DUMMYFUNCTION("""COMPUTED_VALUE"""),"Lifelong learning/Adult education")</f>
        <v/>
      </c>
      <c r="Q946" s="1">
        <f>IFERROR(__xludf.DUMMYFUNCTION("""COMPUTED_VALUE"""),"Student interfacing")</f>
        <v/>
      </c>
      <c r="R946" s="1" t="n"/>
      <c r="S946" s="1" t="n"/>
      <c r="T946" s="15">
        <f>IFERROR(__xludf.DUMMYFUNCTION("""COMPUTED_VALUE"""),"https://www.linkedin.com/showcase/altris-education-oct")</f>
        <v/>
      </c>
      <c r="U946" s="1">
        <f>IFERROR(__xludf.DUMMYFUNCTION("""COMPUTED_VALUE"""),"Altris Education OCT")</f>
        <v/>
      </c>
      <c r="V946" s="1">
        <f>IFERROR(__xludf.DUMMYFUNCTION("""COMPUTED_VALUE"""),"Educational mobile app for eye care specialists who want to master OCT interpretation. OCT is one of the most complex and the most challenging methods of retina diagnostics, and it takes time to learn it. With Altris Education OCT eye care specialists can"&amp;" learn interactively, share controversial cases, read the most up-to-date OCT news.")</f>
        <v/>
      </c>
      <c r="W946" s="1" t="n"/>
      <c r="X946" s="1" t="n"/>
      <c r="Y946" s="15">
        <f>IFERROR(__xludf.DUMMYFUNCTION("""COMPUTED_VALUE"""),"https://drive.google.com/uc?export=view&amp;id=1tmrsT1CHNsvJDHj0P6uclIcuN-OpkqbK")</f>
        <v/>
      </c>
      <c r="Z946" s="1">
        <f>IFERROR(__xludf.DUMMYFUNCTION("""COMPUTED_VALUE"""),"Unverified")</f>
        <v/>
      </c>
      <c r="AA946" s="1" t="n"/>
      <c r="AB946" s="1" t="n"/>
      <c r="AC946" s="1" t="n"/>
      <c r="AD946" s="1" t="n"/>
      <c r="AE946" s="1" t="n"/>
    </row>
    <row r="947" ht="42" customHeight="1">
      <c r="A947" s="14">
        <f>IFERROR(__xludf.DUMMYFUNCTION("""COMPUTED_VALUE"""),45181)</f>
        <v/>
      </c>
      <c r="B947" s="1">
        <f>IFERROR(__xludf.DUMMYFUNCTION("""COMPUTED_VALUE"""),"ORG_1069")</f>
        <v/>
      </c>
      <c r="C947" s="1">
        <f>IFERROR(__xludf.DUMMYFUNCTION("""COMPUTED_VALUE"""),TRUE)</f>
        <v/>
      </c>
      <c r="D947" s="1">
        <f>IFERROR(__xludf.DUMMYFUNCTION("""COMPUTED_VALUE"""),"Ampli")</f>
        <v/>
      </c>
      <c r="E947" s="15">
        <f>IFERROR(__xludf.DUMMYFUNCTION("""COMPUTED_VALUE"""),"https://ampli.com.ua/")</f>
        <v/>
      </c>
      <c r="F947" s="1">
        <f>IFERROR(__xludf.DUMMYFUNCTION("""COMPUTED_VALUE"""),"Ampli - teen accelerator: IT, design, entrepreneurship for teenagers 11-19 y.o. 
Educational results, level Advanced: 1. internship in IT/design companies (16y.o.+), 2. professional portfolios of personal and team projects, 3. professional skills of Junio"&amp;"r level, 4. the first CV")</f>
        <v/>
      </c>
      <c r="G947" s="1">
        <f>IFERROR(__xludf.DUMMYFUNCTION("""COMPUTED_VALUE"""),"I'm not part of any EdTech association")</f>
        <v/>
      </c>
      <c r="H947" s="1" t="n"/>
      <c r="I947" s="1" t="n"/>
      <c r="J947" s="1">
        <f>IFERROR(__xludf.DUMMYFUNCTION("""COMPUTED_VALUE"""),"+380948320596")</f>
        <v/>
      </c>
      <c r="K947" s="1">
        <f>IFERROR(__xludf.DUMMYFUNCTION("""COMPUTED_VALUE"""),"KYIV")</f>
        <v/>
      </c>
      <c r="L947" s="1">
        <f>IFERROR(__xludf.DUMMYFUNCTION("""COMPUTED_VALUE"""),"Ukraine")</f>
        <v/>
      </c>
      <c r="M947" s="1">
        <f>IFERROR(__xludf.DUMMYFUNCTION("""COMPUTED_VALUE"""),"Armenia, Azerbaijan, Bulgaria, Czechia, Denmark, Estonia, Finland, France, Georgia, Germany, Hungary, Italy, Kazakhstan, Latvia, Lithuania, Moldova, Netherlands, Poland, Romania, Slovakia, Spain, Turkey, Ukraine")</f>
        <v/>
      </c>
      <c r="N947" s="1">
        <f>IFERROR(__xludf.DUMMYFUNCTION("""COMPUTED_VALUE"""),"11 to 50")</f>
        <v/>
      </c>
      <c r="O947" s="1">
        <f>IFERROR(__xludf.DUMMYFUNCTION("""COMPUTED_VALUE"""),"Business to Business")</f>
        <v/>
      </c>
      <c r="P947" s="1">
        <f>IFERROR(__xludf.DUMMYFUNCTION("""COMPUTED_VALUE"""),"Higher Education")</f>
        <v/>
      </c>
      <c r="Q947" s="1">
        <f>IFERROR(__xludf.DUMMYFUNCTION("""COMPUTED_VALUE"""),"System/Administrative, Student interfacing")</f>
        <v/>
      </c>
      <c r="R947" s="1" t="n"/>
      <c r="S947" s="1" t="n"/>
      <c r="T947" s="1" t="n"/>
      <c r="U947" s="1" t="n"/>
      <c r="V947" s="1" t="n"/>
      <c r="W947" s="1" t="n"/>
      <c r="X947" s="1" t="n"/>
      <c r="Y947" s="15">
        <f>IFERROR(__xludf.DUMMYFUNCTION("""COMPUTED_VALUE"""),"https://drive.google.com/uc?export=view&amp;id=1HZdJc5mdzf4hw4IJG88PUF2mFtA5XmA4")</f>
        <v/>
      </c>
      <c r="Z947" s="1">
        <f>IFERROR(__xludf.DUMMYFUNCTION("""COMPUTED_VALUE"""),"Unverified")</f>
        <v/>
      </c>
      <c r="AA947" s="1" t="n"/>
      <c r="AB947" s="1" t="n"/>
      <c r="AC947" s="1" t="n"/>
      <c r="AD947" s="1" t="n"/>
      <c r="AE947" s="1" t="n"/>
    </row>
    <row r="948" ht="42" customHeight="1">
      <c r="A948" s="14">
        <f>IFERROR(__xludf.DUMMYFUNCTION("""COMPUTED_VALUE"""),45181)</f>
        <v/>
      </c>
      <c r="B948" s="1">
        <f>IFERROR(__xludf.DUMMYFUNCTION("""COMPUTED_VALUE"""),"ORG_1101")</f>
        <v/>
      </c>
      <c r="C948" s="1">
        <f>IFERROR(__xludf.DUMMYFUNCTION("""COMPUTED_VALUE"""),TRUE)</f>
        <v/>
      </c>
      <c r="D948" s="1">
        <f>IFERROR(__xludf.DUMMYFUNCTION("""COMPUTED_VALUE"""),"Artips")</f>
        <v/>
      </c>
      <c r="E948" s="15">
        <f>IFERROR(__xludf.DUMMYFUNCTION("""COMPUTED_VALUE"""),"https://www.artips-factory.fr/")</f>
        <v/>
      </c>
      <c r="F948" s="1">
        <f>IFERROR(__xludf.DUMMYFUNCTION("""COMPUTED_VALUE"""),"Artips is the first French cultural media online (1 million subscribers including 200 000 teachers) since 2013. 
Artips has also developed an attractive and addictive microlearning solution based on storytelling and short format. Through this educational"&amp;" device, Artips conveys every issue in an accessible tone and engages all targets (students, teachers, employees, general public…). Artips broadcasts short episodes that allow great memorization and a sound understanding of chosen topics.")</f>
        <v/>
      </c>
      <c r="G948" s="1">
        <f>IFERROR(__xludf.DUMMYFUNCTION("""COMPUTED_VALUE"""),"EdTech France")</f>
        <v/>
      </c>
      <c r="H948" s="1" t="n"/>
      <c r="I948" s="1">
        <f>IFERROR(__xludf.DUMMYFUNCTION("""COMPUTED_VALUE"""),"anna@artips.fr")</f>
        <v/>
      </c>
      <c r="J948" s="1">
        <f>IFERROR(__xludf.DUMMYFUNCTION("""COMPUTED_VALUE"""),"+33656857528")</f>
        <v/>
      </c>
      <c r="K948" s="1">
        <f>IFERROR(__xludf.DUMMYFUNCTION("""COMPUTED_VALUE"""),"PARIS")</f>
        <v/>
      </c>
      <c r="L948" s="1">
        <f>IFERROR(__xludf.DUMMYFUNCTION("""COMPUTED_VALUE"""),"France")</f>
        <v/>
      </c>
      <c r="M948" s="1">
        <f>IFERROR(__xludf.DUMMYFUNCTION("""COMPUTED_VALUE"""),"Austria, Belgium, France, Switzerland")</f>
        <v/>
      </c>
      <c r="N948" s="1">
        <f>IFERROR(__xludf.DUMMYFUNCTION("""COMPUTED_VALUE"""),"11 to 50")</f>
        <v/>
      </c>
      <c r="O948" s="1">
        <f>IFERROR(__xludf.DUMMYFUNCTION("""COMPUTED_VALUE"""),"Business to Business, Business to Consumer")</f>
        <v/>
      </c>
      <c r="P948" s="1">
        <f>IFERROR(__xludf.DUMMYFUNCTION("""COMPUTED_VALUE"""),"Primary Education, Secondary Education, Higher Education, Corporate Training")</f>
        <v/>
      </c>
      <c r="Q948" s="1">
        <f>IFERROR(__xludf.DUMMYFUNCTION("""COMPUTED_VALUE"""),"Student interfacing, Teacher interfacing, System/Administrative")</f>
        <v/>
      </c>
      <c r="R948" s="1">
        <f>IFERROR(__xludf.DUMMYFUNCTION("""COMPUTED_VALUE"""),"Artips")</f>
        <v/>
      </c>
      <c r="S948" s="15">
        <f>IFERROR(__xludf.DUMMYFUNCTION("""COMPUTED_VALUE"""),"https://twitter.com/artips_fr?lang=en")</f>
        <v/>
      </c>
      <c r="T948" s="15">
        <f>IFERROR(__xludf.DUMMYFUNCTION("""COMPUTED_VALUE"""),"https://www.linkedin.com/company/artips")</f>
        <v/>
      </c>
      <c r="U948" s="1">
        <f>IFERROR(__xludf.DUMMYFUNCTION("""COMPUTED_VALUE"""),"Artips Academy")</f>
        <v/>
      </c>
      <c r="V948" s="1">
        <f>IFERROR(__xludf.DUMMYFUNCTION("""COMPUTED_VALUE"""),"Art de vivre, music, geography, literature, sciences, economy, digital... This platform offers a large choice of topics. Artips created this solution with what works best for our newsletters : storytelling, witty anecdotes, snackable content and responsiv"&amp;"e design. 
 ")</f>
        <v/>
      </c>
      <c r="W948" s="1">
        <f>IFERROR(__xludf.DUMMYFUNCTION("""COMPUTED_VALUE"""),"Artips Factory")</f>
        <v/>
      </c>
      <c r="X948" s="1">
        <f>IFERROR(__xludf.DUMMYFUNCTION("""COMPUTED_VALUE"""),"Artips' team can also create custom-built microlearning solutions based on the needs and goals of its partners.")</f>
        <v/>
      </c>
      <c r="Y948" s="15">
        <f>IFERROR(__xludf.DUMMYFUNCTION("""COMPUTED_VALUE"""),"https://drive.google.com/uc?export=view&amp;id=10AyvDvrWVrqwkdQGqnVhMrcD-nfqCwx9")</f>
        <v/>
      </c>
      <c r="Z948" s="1">
        <f>IFERROR(__xludf.DUMMYFUNCTION("""COMPUTED_VALUE"""),"Unverified")</f>
        <v/>
      </c>
      <c r="AA948" s="1" t="n"/>
      <c r="AB948" s="1" t="n"/>
      <c r="AC948" s="1" t="n"/>
      <c r="AD948" s="1" t="n"/>
      <c r="AE948" s="1" t="n"/>
    </row>
    <row r="949" ht="42" customHeight="1">
      <c r="A949" s="14">
        <f>IFERROR(__xludf.DUMMYFUNCTION("""COMPUTED_VALUE"""),45181)</f>
        <v/>
      </c>
      <c r="B949" s="1">
        <f>IFERROR(__xludf.DUMMYFUNCTION("""COMPUTED_VALUE"""),"ORG_1128")</f>
        <v/>
      </c>
      <c r="C949" s="1">
        <f>IFERROR(__xludf.DUMMYFUNCTION("""COMPUTED_VALUE"""),TRUE)</f>
        <v/>
      </c>
      <c r="D949" s="1">
        <f>IFERROR(__xludf.DUMMYFUNCTION("""COMPUTED_VALUE"""),"Autsera")</f>
        <v/>
      </c>
      <c r="E949" s="15">
        <f>IFERROR(__xludf.DUMMYFUNCTION("""COMPUTED_VALUE"""),"www.autsera.com")</f>
        <v/>
      </c>
      <c r="F949" s="1">
        <f>IFERROR(__xludf.DUMMYFUNCTION("""COMPUTED_VALUE"""),"Autsera leverages mobile technologies and gamification to provide evidence-based social communication skills training for children, that is effective, engaging, accessible and affordable. Our mobile and PC game applications are innovative; designed by exp"&amp;"erts; and based on extensive user research. They allow children to progress independently and be monitored remotely. Our games also empower teachers with ready-made resources to provide structured training for their pupils and the means to assess their pr"&amp;"ogress. We estimate that schools can save up to 90% of the cost of providing similar training through qualified resources and can leverage the limited qualified therapists they have got to remotely support many pupils.")</f>
        <v/>
      </c>
      <c r="G949" s="1">
        <f>IFERROR(__xludf.DUMMYFUNCTION("""COMPUTED_VALUE"""),"I'm not part of any EdTech association")</f>
        <v/>
      </c>
      <c r="H949" s="1" t="n"/>
      <c r="I949" s="1">
        <f>IFERROR(__xludf.DUMMYFUNCTION("""COMPUTED_VALUE"""),"hello@autsera.com")</f>
        <v/>
      </c>
      <c r="J949" s="1" t="n"/>
      <c r="K949" s="1">
        <f>IFERROR(__xludf.DUMMYFUNCTION("""COMPUTED_VALUE"""),"London")</f>
        <v/>
      </c>
      <c r="L949" s="1">
        <f>IFERROR(__xludf.DUMMYFUNCTION("""COMPUTED_VALUE"""),"United Kingdom")</f>
        <v/>
      </c>
      <c r="M949" s="1">
        <f>IFERROR(__xludf.DUMMYFUNCTION("""COMPUTED_VALUE"""),"United Kingdom")</f>
        <v/>
      </c>
      <c r="N949" s="1">
        <f>IFERROR(__xludf.DUMMYFUNCTION("""COMPUTED_VALUE"""),"0 to 10")</f>
        <v/>
      </c>
      <c r="O949" s="1">
        <f>IFERROR(__xludf.DUMMYFUNCTION("""COMPUTED_VALUE"""),"Business to Business, Business to Consumer")</f>
        <v/>
      </c>
      <c r="P949" s="1">
        <f>IFERROR(__xludf.DUMMYFUNCTION("""COMPUTED_VALUE"""),"Early childhood development (0-5 years), Primary Education")</f>
        <v/>
      </c>
      <c r="Q949" s="1">
        <f>IFERROR(__xludf.DUMMYFUNCTION("""COMPUTED_VALUE"""),"System/Administrative, Student interfacing, Teacher interfacing")</f>
        <v/>
      </c>
      <c r="R949" s="1" t="n"/>
      <c r="S949" s="1" t="n"/>
      <c r="T949" s="1" t="n"/>
      <c r="U949" s="1" t="n"/>
      <c r="V949" s="1" t="n"/>
      <c r="W949" s="1" t="n"/>
      <c r="X949" s="1" t="n"/>
      <c r="Y949" s="15">
        <f>IFERROR(__xludf.DUMMYFUNCTION("""COMPUTED_VALUE"""),"https://drive.google.com/uc?export=view&amp;id=1KCj9VeQnRqV8LZRvr_9etkUdigRfdsAQ")</f>
        <v/>
      </c>
      <c r="Z949" s="1">
        <f>IFERROR(__xludf.DUMMYFUNCTION("""COMPUTED_VALUE"""),"Unverified")</f>
        <v/>
      </c>
      <c r="AA949" s="1" t="n"/>
      <c r="AB949" s="1" t="n"/>
      <c r="AC949" s="1" t="n"/>
      <c r="AD949" s="1" t="n"/>
      <c r="AE949" s="1" t="n"/>
    </row>
    <row r="950" ht="42" customHeight="1">
      <c r="A950" s="14">
        <f>IFERROR(__xludf.DUMMYFUNCTION("""COMPUTED_VALUE"""),45181)</f>
        <v/>
      </c>
      <c r="B950" s="1">
        <f>IFERROR(__xludf.DUMMYFUNCTION("""COMPUTED_VALUE"""),"ORG_1162")</f>
        <v/>
      </c>
      <c r="C950" s="1">
        <f>IFERROR(__xludf.DUMMYFUNCTION("""COMPUTED_VALUE"""),TRUE)</f>
        <v/>
      </c>
      <c r="D950" s="1">
        <f>IFERROR(__xludf.DUMMYFUNCTION("""COMPUTED_VALUE"""),"BGraffos International SL")</f>
        <v/>
      </c>
      <c r="E950" s="15">
        <f>IFERROR(__xludf.DUMMYFUNCTION("""COMPUTED_VALUE"""),"https://graffos.es/landing/?lang=en")</f>
        <v/>
      </c>
      <c r="F950" s="1">
        <f>IFERROR(__xludf.DUMMYFUNCTION("""COMPUTED_VALUE"""),"Graffos is a disruptive R&amp;D StartUp that uses massive biometric data capture to improve human mental performance. We initially targeted the sports segment, but the results have been very positive in academia and mental health and wellbeing.")</f>
        <v/>
      </c>
      <c r="G950" s="1">
        <f>IFERROR(__xludf.DUMMYFUNCTION("""COMPUTED_VALUE"""),"I'm not part of any EdTech association")</f>
        <v/>
      </c>
      <c r="H950" s="1" t="n"/>
      <c r="I950" s="1">
        <f>IFERROR(__xludf.DUMMYFUNCTION("""COMPUTED_VALUE"""),"andres@graffos.es")</f>
        <v/>
      </c>
      <c r="J950" s="1">
        <f>IFERROR(__xludf.DUMMYFUNCTION("""COMPUTED_VALUE"""),"+34 665009121")</f>
        <v/>
      </c>
      <c r="K950" s="1">
        <f>IFERROR(__xludf.DUMMYFUNCTION("""COMPUTED_VALUE"""),"SANTA CRUZ DE LA PALMA. TENERIFE. ISLAS CANARIAS")</f>
        <v/>
      </c>
      <c r="L950" s="1">
        <f>IFERROR(__xludf.DUMMYFUNCTION("""COMPUTED_VALUE"""),"Spain")</f>
        <v/>
      </c>
      <c r="M950" s="1">
        <f>IFERROR(__xludf.DUMMYFUNCTION("""COMPUTED_VALUE"""),"France, Italy, Spain")</f>
        <v/>
      </c>
      <c r="N950" s="1">
        <f>IFERROR(__xludf.DUMMYFUNCTION("""COMPUTED_VALUE"""),"0 to 10")</f>
        <v/>
      </c>
      <c r="O950" s="1">
        <f>IFERROR(__xludf.DUMMYFUNCTION("""COMPUTED_VALUE"""),"Business to Business, Business to Consumer")</f>
        <v/>
      </c>
      <c r="P950" s="1">
        <f>IFERROR(__xludf.DUMMYFUNCTION("""COMPUTED_VALUE"""),"Primary Education, Secondary Education, Higher Education, Corporate Training")</f>
        <v/>
      </c>
      <c r="Q950" s="1">
        <f>IFERROR(__xludf.DUMMYFUNCTION("""COMPUTED_VALUE"""),"System/Administrative, Student interfacing, Teacher interfacing")</f>
        <v/>
      </c>
      <c r="R950" s="1" t="n"/>
      <c r="S950" s="1" t="n"/>
      <c r="T950" s="1" t="n"/>
      <c r="U950" s="1" t="n"/>
      <c r="V950" s="1" t="n"/>
      <c r="W950" s="1" t="n"/>
      <c r="X950" s="1" t="n"/>
      <c r="Y950" s="15">
        <f>IFERROR(__xludf.DUMMYFUNCTION("""COMPUTED_VALUE"""),"https://drive.google.com/uc?export=view&amp;id=11BBTnA-6UXHSsc_TcnXShE-vcrCd2MVi")</f>
        <v/>
      </c>
      <c r="Z950" s="1">
        <f>IFERROR(__xludf.DUMMYFUNCTION("""COMPUTED_VALUE"""),"Unverified")</f>
        <v/>
      </c>
      <c r="AA950" s="1" t="n"/>
      <c r="AB950" s="1" t="n"/>
      <c r="AC950" s="1" t="n"/>
      <c r="AD950" s="1" t="n"/>
      <c r="AE950" s="1" t="n"/>
    </row>
    <row r="951" ht="42" customHeight="1">
      <c r="A951" s="14">
        <f>IFERROR(__xludf.DUMMYFUNCTION("""COMPUTED_VALUE"""),45181)</f>
        <v/>
      </c>
      <c r="B951" s="1">
        <f>IFERROR(__xludf.DUMMYFUNCTION("""COMPUTED_VALUE"""),"ORG_1182")</f>
        <v/>
      </c>
      <c r="C951" s="1">
        <f>IFERROR(__xludf.DUMMYFUNCTION("""COMPUTED_VALUE"""),TRUE)</f>
        <v/>
      </c>
      <c r="D951" s="1">
        <f>IFERROR(__xludf.DUMMYFUNCTION("""COMPUTED_VALUE"""),"BOFFIN")</f>
        <v/>
      </c>
      <c r="E951" s="15">
        <f>IFERROR(__xludf.DUMMYFUNCTION("""COMPUTED_VALUE"""),"www.boffin.com.ua")</f>
        <v/>
      </c>
      <c r="F951" s="1">
        <f>IFERROR(__xludf.DUMMYFUNCTION("""COMPUTED_VALUE"""),"BOFFIN is a platform for additional online group classes for primary and secondary school children. Our goal is to make sure that there are as many people who like to do science and create innovations as possible, both in Ukraine and around the world. And"&amp;" we realise our goal by conducting online classes in the author's programs in Mathematics &amp; Logic, Astronomy &amp; Physics, Python &amp; Algorithms.
In the process of implementing our courses, we understood several things.
- The first – teaching should be as chi"&amp;"ld friendly as possible. The key to this is young student teachers, who can find very easy connections with children. And this is an additional opportunity for students to gain work experience without leaving university and also to earn extra money.
- The"&amp;" second – interesting materials for the lesson, which can be adapted for a specific child or group directly during the lesson.
- And the third – to study together is more fun than alone. A well-formed group is a guarantee of synergy between children. And "&amp;"in this case, the result of the group exceeds the sum of the results of children in individual work.
And right now we have ideas for the development, improvement and automation of all components.
Namely:
- Creation and implementation on the web platform"&amp;" of an algorithm for forming optimal study groups (student-student and student-teacher compatibility) depending on the desired schedule, experience of other courses, speed of perception / assimilation of information, interests, etc.
- Creating a database "&amp;"of mathematical problems and research projects that will be easily adapted by the teacher to the speed / experience of a particular group of children, which will ensure the quality of classes by the teacher with minimal experience at a high level.
With "&amp;"BOFFIN a lesson will never be: boring, slow, uninteresting, stupid, irrelevant, fast, incomprehensible. A lesson will always be desirable!")</f>
        <v/>
      </c>
      <c r="G951" s="1">
        <f>IFERROR(__xludf.DUMMYFUNCTION("""COMPUTED_VALUE"""),"I'm not part of any EdTech association")</f>
        <v/>
      </c>
      <c r="H951" s="1" t="n"/>
      <c r="I951" s="1">
        <f>IFERROR(__xludf.DUMMYFUNCTION("""COMPUTED_VALUE"""),"boffin.math@gmail.com")</f>
        <v/>
      </c>
      <c r="J951" s="1">
        <f>IFERROR(__xludf.DUMMYFUNCTION("""COMPUTED_VALUE"""),"+380502161727")</f>
        <v/>
      </c>
      <c r="K951" s="1">
        <f>IFERROR(__xludf.DUMMYFUNCTION("""COMPUTED_VALUE"""),"Kyiv")</f>
        <v/>
      </c>
      <c r="L951" s="1">
        <f>IFERROR(__xludf.DUMMYFUNCTION("""COMPUTED_VALUE"""),"Ukraine")</f>
        <v/>
      </c>
      <c r="M951" s="1">
        <f>IFERROR(__xludf.DUMMYFUNCTION("""COMPUTED_VALUE"""),"Czechia, France, Germany, Italy, Poland, Portugal, Spain, Switzerland, Ukraine")</f>
        <v/>
      </c>
      <c r="N951" s="1">
        <f>IFERROR(__xludf.DUMMYFUNCTION("""COMPUTED_VALUE"""),"0 to 10")</f>
        <v/>
      </c>
      <c r="O951" s="1">
        <f>IFERROR(__xludf.DUMMYFUNCTION("""COMPUTED_VALUE"""),"Business to Business, Business to Consumer")</f>
        <v/>
      </c>
      <c r="P951" s="1">
        <f>IFERROR(__xludf.DUMMYFUNCTION("""COMPUTED_VALUE"""),"Primary Education, Secondary Education")</f>
        <v/>
      </c>
      <c r="Q951" s="1">
        <f>IFERROR(__xludf.DUMMYFUNCTION("""COMPUTED_VALUE"""),"System/Administrative, Student interfacing, Teacher interfacing")</f>
        <v/>
      </c>
      <c r="R951" s="1" t="n"/>
      <c r="S951" s="1" t="n"/>
      <c r="T951" s="1" t="n"/>
      <c r="U951" s="1" t="n"/>
      <c r="V951" s="1" t="n"/>
      <c r="W951" s="1" t="n"/>
      <c r="X951" s="1" t="n"/>
      <c r="Y951" s="15">
        <f>IFERROR(__xludf.DUMMYFUNCTION("""COMPUTED_VALUE"""),"https://drive.google.com/uc?export=view&amp;id=1xVEVKyhkWNTFJAR9FFLZYdxvhPaUnlik")</f>
        <v/>
      </c>
      <c r="Z951" s="1">
        <f>IFERROR(__xludf.DUMMYFUNCTION("""COMPUTED_VALUE"""),"Unverified")</f>
        <v/>
      </c>
      <c r="AA951" s="1" t="n"/>
      <c r="AB951" s="1" t="n"/>
      <c r="AC951" s="1" t="n"/>
      <c r="AD951" s="1" t="n"/>
      <c r="AE951" s="1" t="n"/>
    </row>
    <row r="952" ht="42" customHeight="1">
      <c r="A952" s="14">
        <f>IFERROR(__xludf.DUMMYFUNCTION("""COMPUTED_VALUE"""),45181)</f>
        <v/>
      </c>
      <c r="B952" s="1">
        <f>IFERROR(__xludf.DUMMYFUNCTION("""COMPUTED_VALUE"""),"ORG_1236")</f>
        <v/>
      </c>
      <c r="C952" s="1">
        <f>IFERROR(__xludf.DUMMYFUNCTION("""COMPUTED_VALUE"""),TRUE)</f>
        <v/>
      </c>
      <c r="D952" s="1">
        <f>IFERROR(__xludf.DUMMYFUNCTION("""COMPUTED_VALUE"""),"Choizy")</f>
        <v/>
      </c>
      <c r="E952" s="15">
        <f>IFERROR(__xludf.DUMMYFUNCTION("""COMPUTED_VALUE"""),"choizy.org")</f>
        <v/>
      </c>
      <c r="F952" s="1">
        <f>IFERROR(__xludf.DUMMYFUNCTION("""COMPUTED_VALUE"""),"Choizy is a Ukrainian-British startup that offers career guidance for pupils, students, and young professionals. Our mobile app helps identify your specific interests and soft skills, as well as discover different careers to find the right match.
We work"&amp;" to ensure that people could be satisfied with their jobs by guiding them through 400+ professions, enabling the gamification process, and adding personalized leagues for competitions with friends. ")</f>
        <v/>
      </c>
      <c r="G952" s="1">
        <f>IFERROR(__xludf.DUMMYFUNCTION("""COMPUTED_VALUE"""),"I'm not part of any EdTech association")</f>
        <v/>
      </c>
      <c r="H952" s="1" t="n"/>
      <c r="I952" s="1">
        <f>IFERROR(__xludf.DUMMYFUNCTION("""COMPUTED_VALUE"""),"info@choizy.org")</f>
        <v/>
      </c>
      <c r="J952" s="1" t="n"/>
      <c r="K952" s="1">
        <f>IFERROR(__xludf.DUMMYFUNCTION("""COMPUTED_VALUE"""),"Kyiv")</f>
        <v/>
      </c>
      <c r="L952" s="1">
        <f>IFERROR(__xludf.DUMMYFUNCTION("""COMPUTED_VALUE"""),"Ukraine")</f>
        <v/>
      </c>
      <c r="M952" s="1">
        <f>IFERROR(__xludf.DUMMYFUNCTION("""COMPUTED_VALUE"""),"Croatia, Czechia, Ireland, Italy, Lithuania, Poland, Ukraine, United Kingdom")</f>
        <v/>
      </c>
      <c r="N952" s="1">
        <f>IFERROR(__xludf.DUMMYFUNCTION("""COMPUTED_VALUE"""),"0 to 10")</f>
        <v/>
      </c>
      <c r="O952" s="1">
        <f>IFERROR(__xludf.DUMMYFUNCTION("""COMPUTED_VALUE"""),"Business to Business, Business to Consumer")</f>
        <v/>
      </c>
      <c r="P952" s="1">
        <f>IFERROR(__xludf.DUMMYFUNCTION("""COMPUTED_VALUE"""),"Secondary Education, Higher Education, Lifelong learning/Adult education")</f>
        <v/>
      </c>
      <c r="Q952" s="1">
        <f>IFERROR(__xludf.DUMMYFUNCTION("""COMPUTED_VALUE"""),"Student interfacing, Teacher interfacing, System/Administrative")</f>
        <v/>
      </c>
      <c r="R952" s="1" t="n"/>
      <c r="S952" s="1" t="n"/>
      <c r="T952" s="1" t="n"/>
      <c r="U952" s="1" t="n"/>
      <c r="V952" s="1" t="n"/>
      <c r="W952" s="1" t="n"/>
      <c r="X952" s="1" t="n"/>
      <c r="Y952" s="15">
        <f>IFERROR(__xludf.DUMMYFUNCTION("""COMPUTED_VALUE"""),"https://drive.google.com/uc?export=view&amp;id=1yC2Ue2eLRGZBZ2S7qqcGU0Tk0s4vPXne")</f>
        <v/>
      </c>
      <c r="Z952" s="1">
        <f>IFERROR(__xludf.DUMMYFUNCTION("""COMPUTED_VALUE"""),"Unverified")</f>
        <v/>
      </c>
      <c r="AA952" s="1" t="n"/>
      <c r="AB952" s="1" t="n"/>
      <c r="AC952" s="1" t="n"/>
      <c r="AD952" s="1" t="n"/>
      <c r="AE952" s="1" t="n"/>
    </row>
    <row r="953" ht="42" customHeight="1">
      <c r="A953" s="14">
        <f>IFERROR(__xludf.DUMMYFUNCTION("""COMPUTED_VALUE"""),45181)</f>
        <v/>
      </c>
      <c r="B953" s="1">
        <f>IFERROR(__xludf.DUMMYFUNCTION("""COMPUTED_VALUE"""),"ORG_1244")</f>
        <v/>
      </c>
      <c r="C953" s="1">
        <f>IFERROR(__xludf.DUMMYFUNCTION("""COMPUTED_VALUE"""),TRUE)</f>
        <v/>
      </c>
      <c r="D953" s="1">
        <f>IFERROR(__xludf.DUMMYFUNCTION("""COMPUTED_VALUE"""),"Clasee")</f>
        <v/>
      </c>
      <c r="E953" s="15">
        <f>IFERROR(__xludf.DUMMYFUNCTION("""COMPUTED_VALUE"""),"https://www.clasee.io")</f>
        <v/>
      </c>
      <c r="F953" s="1">
        <f>IFERROR(__xludf.DUMMYFUNCTION("""COMPUTED_VALUE"""),"Clasee empowers educational networking for students through short videos. Our AI-guided learning journeys across the knowledge map make exploration effective and exciting. We help students to create communities and share knowledge on specific topics.")</f>
        <v/>
      </c>
      <c r="G953" s="1">
        <f>IFERROR(__xludf.DUMMYFUNCTION("""COMPUTED_VALUE"""),"I'm not part of any EdTech association")</f>
        <v/>
      </c>
      <c r="H953" s="1" t="n"/>
      <c r="I953" s="1">
        <f>IFERROR(__xludf.DUMMYFUNCTION("""COMPUTED_VALUE"""),"kb@clasee.io")</f>
        <v/>
      </c>
      <c r="J953" s="1">
        <f>IFERROR(__xludf.DUMMYFUNCTION("""COMPUTED_VALUE"""),"+380504725042")</f>
        <v/>
      </c>
      <c r="K953" s="1">
        <f>IFERROR(__xludf.DUMMYFUNCTION("""COMPUTED_VALUE"""),"KYIV")</f>
        <v/>
      </c>
      <c r="L953" s="1">
        <f>IFERROR(__xludf.DUMMYFUNCTION("""COMPUTED_VALUE"""),"Ukraine")</f>
        <v/>
      </c>
      <c r="M953" s="1">
        <f>IFERROR(__xludf.DUMMYFUNCTION("""COMPUTED_VALUE"""),"Ukraine, United Kingdom")</f>
        <v/>
      </c>
      <c r="N953" s="1">
        <f>IFERROR(__xludf.DUMMYFUNCTION("""COMPUTED_VALUE"""),"0 to 10")</f>
        <v/>
      </c>
      <c r="O953" s="1">
        <f>IFERROR(__xludf.DUMMYFUNCTION("""COMPUTED_VALUE"""),"Business to Business, Business to Consumer")</f>
        <v/>
      </c>
      <c r="P953" s="1">
        <f>IFERROR(__xludf.DUMMYFUNCTION("""COMPUTED_VALUE"""),"Secondary Education, Higher Education, Lifelong learning/Adult education")</f>
        <v/>
      </c>
      <c r="Q953" s="1">
        <f>IFERROR(__xludf.DUMMYFUNCTION("""COMPUTED_VALUE"""),"Student interfacing")</f>
        <v/>
      </c>
      <c r="R953" s="1" t="n"/>
      <c r="S953" s="1" t="n"/>
      <c r="T953" s="1" t="n"/>
      <c r="U953" s="1" t="n"/>
      <c r="V953" s="1" t="n"/>
      <c r="W953" s="1" t="n"/>
      <c r="X953" s="1" t="n"/>
      <c r="Y953" s="15">
        <f>IFERROR(__xludf.DUMMYFUNCTION("""COMPUTED_VALUE"""),"https://drive.google.com/uc?export=view&amp;id=1YBsygqTNw5FLKvaIHGkigHn6p-6egeWo")</f>
        <v/>
      </c>
      <c r="Z953" s="1">
        <f>IFERROR(__xludf.DUMMYFUNCTION("""COMPUTED_VALUE"""),"Unverified")</f>
        <v/>
      </c>
      <c r="AA953" s="1" t="n"/>
      <c r="AB953" s="1" t="n"/>
      <c r="AC953" s="1" t="n"/>
      <c r="AD953" s="1" t="n"/>
      <c r="AE953" s="1" t="n"/>
    </row>
    <row r="954" ht="42" customHeight="1">
      <c r="A954" s="14">
        <f>IFERROR(__xludf.DUMMYFUNCTION("""COMPUTED_VALUE"""),45181)</f>
        <v/>
      </c>
      <c r="B954" s="1">
        <f>IFERROR(__xludf.DUMMYFUNCTION("""COMPUTED_VALUE"""),"ORG_1257")</f>
        <v/>
      </c>
      <c r="C954" s="1">
        <f>IFERROR(__xludf.DUMMYFUNCTION("""COMPUTED_VALUE"""),TRUE)</f>
        <v/>
      </c>
      <c r="D954" s="1">
        <f>IFERROR(__xludf.DUMMYFUNCTION("""COMPUTED_VALUE"""),"Clevereshka")</f>
        <v/>
      </c>
      <c r="E954" s="15">
        <f>IFERROR(__xludf.DUMMYFUNCTION("""COMPUTED_VALUE"""),"https://play.google.com/store/apps/details?id=com.realestate.cleverashka")</f>
        <v/>
      </c>
      <c r="F954" s="1">
        <f>IFERROR(__xludf.DUMMYFUNCTION("""COMPUTED_VALUE"""),"Clevereshka-rent and sales of real and virtual stability on the blockchain. Open base of clients all over the world
Clevereshka will become a giant company
Digital land as a gift for registration
Payment in digital cheese in more than 10,000 stores in E"&amp;"urope and America
Apartment in 3 clicks where you go
We create unique eco-routes, inform the population about the promotion of
green eco-technologies in different companies
Create new eco-professions on the basis of your mobile supplement
Open databas"&amp;"e of applications from customers for the purchase and rental of apartments around the world")</f>
        <v/>
      </c>
      <c r="G954" s="1">
        <f>IFERROR(__xludf.DUMMYFUNCTION("""COMPUTED_VALUE"""),"I'm not part of any EdTech association")</f>
        <v/>
      </c>
      <c r="H954" s="1" t="n"/>
      <c r="I954" s="1">
        <f>IFERROR(__xludf.DUMMYFUNCTION("""COMPUTED_VALUE"""),"nasyahappy888@gmail.com")</f>
        <v/>
      </c>
      <c r="J954" s="1">
        <f>IFERROR(__xludf.DUMMYFUNCTION("""COMPUTED_VALUE"""),"+48511388145")</f>
        <v/>
      </c>
      <c r="K954" s="1">
        <f>IFERROR(__xludf.DUMMYFUNCTION("""COMPUTED_VALUE"""),"Odessa")</f>
        <v/>
      </c>
      <c r="L954" s="1">
        <f>IFERROR(__xludf.DUMMYFUNCTION("""COMPUTED_VALUE"""),"Ukraine")</f>
        <v/>
      </c>
      <c r="M954" s="1">
        <f>IFERROR(__xludf.DUMMYFUNCTION("""COMPUTED_VALUE"""),"Poland")</f>
        <v/>
      </c>
      <c r="N954" s="1">
        <f>IFERROR(__xludf.DUMMYFUNCTION("""COMPUTED_VALUE"""),"0 to 10")</f>
        <v/>
      </c>
      <c r="O954" s="1">
        <f>IFERROR(__xludf.DUMMYFUNCTION("""COMPUTED_VALUE"""),"Business to Business, Business to Consumer")</f>
        <v/>
      </c>
      <c r="P954" s="1">
        <f>IFERROR(__xludf.DUMMYFUNCTION("""COMPUTED_VALUE"""),"Corporate Training")</f>
        <v/>
      </c>
      <c r="Q954" s="1">
        <f>IFERROR(__xludf.DUMMYFUNCTION("""COMPUTED_VALUE"""),"Student interfacing, System/Administrative")</f>
        <v/>
      </c>
      <c r="R954" s="1" t="n"/>
      <c r="S954" s="1" t="n"/>
      <c r="T954" s="1" t="n"/>
      <c r="U954" s="1" t="n"/>
      <c r="V954" s="1" t="n"/>
      <c r="W954" s="1" t="n"/>
      <c r="X954" s="1" t="n"/>
      <c r="Y954" s="15">
        <f>IFERROR(__xludf.DUMMYFUNCTION("""COMPUTED_VALUE"""),"https://drive.google.com/uc?export=view&amp;id=10qR3l5-dAs9cmV70BC8VCWBI6YysfIR7")</f>
        <v/>
      </c>
      <c r="Z954" s="1">
        <f>IFERROR(__xludf.DUMMYFUNCTION("""COMPUTED_VALUE"""),"Unverified")</f>
        <v/>
      </c>
      <c r="AA954" s="1" t="n"/>
      <c r="AB954" s="1" t="n"/>
      <c r="AC954" s="1" t="n"/>
      <c r="AD954" s="1" t="n"/>
      <c r="AE954" s="1" t="n"/>
    </row>
    <row r="955" ht="42" customHeight="1">
      <c r="A955" s="14">
        <f>IFERROR(__xludf.DUMMYFUNCTION("""COMPUTED_VALUE"""),45181)</f>
        <v/>
      </c>
      <c r="B955" s="1">
        <f>IFERROR(__xludf.DUMMYFUNCTION("""COMPUTED_VALUE"""),"ORG_1260")</f>
        <v/>
      </c>
      <c r="C955" s="1">
        <f>IFERROR(__xludf.DUMMYFUNCTION("""COMPUTED_VALUE"""),TRUE)</f>
        <v/>
      </c>
      <c r="D955" s="1">
        <f>IFERROR(__xludf.DUMMYFUNCTION("""COMPUTED_VALUE"""),"ClinCaseQuest")</f>
        <v/>
      </c>
      <c r="E955" s="15">
        <f>IFERROR(__xludf.DUMMYFUNCTION("""COMPUTED_VALUE"""),"https://clincasequest.hospital/")</f>
        <v/>
      </c>
      <c r="F955" s="1">
        <f>IFERROR(__xludf.DUMMYFUNCTION("""COMPUTED_VALUE"""),"“ClinCaseQuest” is a Simulation Training Platform for medical education with virtual patients (simulators of clinical cases) to gain clinical experience for students and doctors")</f>
        <v/>
      </c>
      <c r="G955" s="1">
        <f>IFERROR(__xludf.DUMMYFUNCTION("""COMPUTED_VALUE"""),"I'm not part of any EdTech association")</f>
        <v/>
      </c>
      <c r="H955" s="1" t="n"/>
      <c r="I955" s="1">
        <f>IFERROR(__xludf.DUMMYFUNCTION("""COMPUTED_VALUE"""),"clincasequest@gmail.com")</f>
        <v/>
      </c>
      <c r="J955" s="1">
        <f>IFERROR(__xludf.DUMMYFUNCTION("""COMPUTED_VALUE"""),"+380969958227")</f>
        <v/>
      </c>
      <c r="K955" s="1">
        <f>IFERROR(__xludf.DUMMYFUNCTION("""COMPUTED_VALUE"""),"Kharkiv")</f>
        <v/>
      </c>
      <c r="L955" s="1">
        <f>IFERROR(__xludf.DUMMYFUNCTION("""COMPUTED_VALUE"""),"Ukraine")</f>
        <v/>
      </c>
      <c r="M955"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955" s="1">
        <f>IFERROR(__xludf.DUMMYFUNCTION("""COMPUTED_VALUE"""),"0 to 10")</f>
        <v/>
      </c>
      <c r="O955" s="1">
        <f>IFERROR(__xludf.DUMMYFUNCTION("""COMPUTED_VALUE"""),"Business to Business, Business to Consumer")</f>
        <v/>
      </c>
      <c r="P955" s="1">
        <f>IFERROR(__xludf.DUMMYFUNCTION("""COMPUTED_VALUE"""),"Higher Education, Corporate Training, Lifelong learning/Adult education")</f>
        <v/>
      </c>
      <c r="Q955" s="1">
        <f>IFERROR(__xludf.DUMMYFUNCTION("""COMPUTED_VALUE"""),"Student interfacing, Teacher interfacing, System/Administrative")</f>
        <v/>
      </c>
      <c r="R955" s="1" t="n"/>
      <c r="S955" s="1" t="n"/>
      <c r="T955" s="1" t="n"/>
      <c r="U955" s="1" t="n"/>
      <c r="V955" s="1" t="n"/>
      <c r="W955" s="1" t="n"/>
      <c r="X955" s="1" t="n"/>
      <c r="Y955" s="15">
        <f>IFERROR(__xludf.DUMMYFUNCTION("""COMPUTED_VALUE"""),"https://drive.google.com/uc?export=view&amp;id=1JcmbtHrU2Xc1jEvr_0-i_ncYJ1YTvZiO")</f>
        <v/>
      </c>
      <c r="Z955" s="1">
        <f>IFERROR(__xludf.DUMMYFUNCTION("""COMPUTED_VALUE"""),"Unverified")</f>
        <v/>
      </c>
      <c r="AA955" s="1" t="n"/>
      <c r="AB955" s="1" t="n"/>
      <c r="AC955" s="1" t="n"/>
      <c r="AD955" s="1" t="n"/>
      <c r="AE955" s="1" t="n"/>
    </row>
    <row r="956" ht="42" customHeight="1">
      <c r="A956" s="14">
        <f>IFERROR(__xludf.DUMMYFUNCTION("""COMPUTED_VALUE"""),45181)</f>
        <v/>
      </c>
      <c r="B956" s="1">
        <f>IFERROR(__xludf.DUMMYFUNCTION("""COMPUTED_VALUE"""),"ORG_1308")</f>
        <v/>
      </c>
      <c r="C956" s="1">
        <f>IFERROR(__xludf.DUMMYFUNCTION("""COMPUTED_VALUE"""),TRUE)</f>
        <v/>
      </c>
      <c r="D956" s="1">
        <f>IFERROR(__xludf.DUMMYFUNCTION("""COMPUTED_VALUE"""),"Creative Practice")</f>
        <v/>
      </c>
      <c r="E956" s="15">
        <f>IFERROR(__xludf.DUMMYFUNCTION("""COMPUTED_VALUE"""),"https://creativepractice.com.ua")</f>
        <v/>
      </c>
      <c r="F956" s="1">
        <f>IFERROR(__xludf.DUMMYFUNCTION("""COMPUTED_VALUE"""),"Creative Practice is a platform that combines educational and career opportunities. Our students can take online training in creative specialities such as design, marketing, copywriting, frontend development etc. Here they can publish their CV, join the c"&amp;"reative community, publish a portfolio. In this way, we give them the opportunity to go from training to receiving offers from the employer and further career development.")</f>
        <v/>
      </c>
      <c r="G956" s="1">
        <f>IFERROR(__xludf.DUMMYFUNCTION("""COMPUTED_VALUE"""),"I'm not part of any EdTech association")</f>
        <v/>
      </c>
      <c r="H956" s="1" t="n"/>
      <c r="I956" s="1">
        <f>IFERROR(__xludf.DUMMYFUNCTION("""COMPUTED_VALUE"""),"team@creativepractice.com.ua")</f>
        <v/>
      </c>
      <c r="J956" s="1">
        <f>IFERROR(__xludf.DUMMYFUNCTION("""COMPUTED_VALUE"""),"+380687020182")</f>
        <v/>
      </c>
      <c r="K956" s="1">
        <f>IFERROR(__xludf.DUMMYFUNCTION("""COMPUTED_VALUE"""),"Kyiv")</f>
        <v/>
      </c>
      <c r="L956" s="1">
        <f>IFERROR(__xludf.DUMMYFUNCTION("""COMPUTED_VALUE"""),"Ukraine")</f>
        <v/>
      </c>
      <c r="M956" s="1">
        <f>IFERROR(__xludf.DUMMYFUNCTION("""COMPUTED_VALUE"""),"Germany, Poland, Ukraine")</f>
        <v/>
      </c>
      <c r="N956" s="1">
        <f>IFERROR(__xludf.DUMMYFUNCTION("""COMPUTED_VALUE"""),"0 to 10")</f>
        <v/>
      </c>
      <c r="O956" s="1">
        <f>IFERROR(__xludf.DUMMYFUNCTION("""COMPUTED_VALUE"""),"Business to Business, Business to Consumer, Business to Schools")</f>
        <v/>
      </c>
      <c r="P956" s="1">
        <f>IFERROR(__xludf.DUMMYFUNCTION("""COMPUTED_VALUE"""),"Corporate Training, Lifelong learning/Adult education")</f>
        <v/>
      </c>
      <c r="Q956" s="1">
        <f>IFERROR(__xludf.DUMMYFUNCTION("""COMPUTED_VALUE"""),"Student interfacing, Teacher interfacing, System/Administrative")</f>
        <v/>
      </c>
      <c r="R956" s="1" t="n"/>
      <c r="S956" s="1" t="n"/>
      <c r="T956" s="1" t="n"/>
      <c r="U956" s="1" t="n"/>
      <c r="V956" s="1" t="n"/>
      <c r="W956" s="1" t="n"/>
      <c r="X956" s="1" t="n"/>
      <c r="Y956" s="15">
        <f>IFERROR(__xludf.DUMMYFUNCTION("""COMPUTED_VALUE"""),"https://drive.google.com/uc?export=view&amp;id=1T81wsSJsjubYCwfG5iAbFJHQ77GXMaT4")</f>
        <v/>
      </c>
      <c r="Z956" s="1">
        <f>IFERROR(__xludf.DUMMYFUNCTION("""COMPUTED_VALUE"""),"Unverified")</f>
        <v/>
      </c>
      <c r="AA956" s="1" t="n"/>
      <c r="AB956" s="1" t="n"/>
      <c r="AC956" s="1" t="n"/>
      <c r="AD956" s="1" t="n"/>
      <c r="AE956" s="1" t="n"/>
    </row>
    <row r="957" ht="42" customHeight="1">
      <c r="A957" s="14">
        <f>IFERROR(__xludf.DUMMYFUNCTION("""COMPUTED_VALUE"""),45181)</f>
        <v/>
      </c>
      <c r="B957" s="1">
        <f>IFERROR(__xludf.DUMMYFUNCTION("""COMPUTED_VALUE"""),"ORG_1366")</f>
        <v/>
      </c>
      <c r="C957" s="1">
        <f>IFERROR(__xludf.DUMMYFUNCTION("""COMPUTED_VALUE"""),TRUE)</f>
        <v/>
      </c>
      <c r="D957" s="1">
        <f>IFERROR(__xludf.DUMMYFUNCTION("""COMPUTED_VALUE"""),"DITO Education")</f>
        <v/>
      </c>
      <c r="E957" s="15">
        <f>IFERROR(__xludf.DUMMYFUNCTION("""COMPUTED_VALUE"""),"www.dito.education")</f>
        <v/>
      </c>
      <c r="F957" s="1">
        <f>IFERROR(__xludf.DUMMYFUNCTION("""COMPUTED_VALUE"""),"DITO Education is transforming financial education globally.")</f>
        <v/>
      </c>
      <c r="G957" s="1">
        <f>IFERROR(__xludf.DUMMYFUNCTION("""COMPUTED_VALUE"""),"I'm not part of any EdTech association")</f>
        <v/>
      </c>
      <c r="H957" s="1" t="n"/>
      <c r="I957" s="1">
        <f>IFERROR(__xludf.DUMMYFUNCTION("""COMPUTED_VALUE"""),"info@dito.education")</f>
        <v/>
      </c>
      <c r="J957" s="1">
        <f>IFERROR(__xludf.DUMMYFUNCTION("""COMPUTED_VALUE"""),"+34667099842")</f>
        <v/>
      </c>
      <c r="K957" s="1">
        <f>IFERROR(__xludf.DUMMYFUNCTION("""COMPUTED_VALUE"""),"Madrid")</f>
        <v/>
      </c>
      <c r="L957" s="1">
        <f>IFERROR(__xludf.DUMMYFUNCTION("""COMPUTED_VALUE"""),"Spain")</f>
        <v/>
      </c>
      <c r="M957" s="1">
        <f>IFERROR(__xludf.DUMMYFUNCTION("""COMPUTED_VALUE"""),"Spain")</f>
        <v/>
      </c>
      <c r="N957" s="1">
        <f>IFERROR(__xludf.DUMMYFUNCTION("""COMPUTED_VALUE"""),"0 to 10")</f>
        <v/>
      </c>
      <c r="O957" s="1">
        <f>IFERROR(__xludf.DUMMYFUNCTION("""COMPUTED_VALUE"""),"Business to Business, Business to Consumer, Business to Schools")</f>
        <v/>
      </c>
      <c r="P957" s="1">
        <f>IFERROR(__xludf.DUMMYFUNCTION("""COMPUTED_VALUE"""),"Secondary Education")</f>
        <v/>
      </c>
      <c r="Q957" s="1">
        <f>IFERROR(__xludf.DUMMYFUNCTION("""COMPUTED_VALUE"""),"Student interfacing")</f>
        <v/>
      </c>
      <c r="R957" s="1" t="n"/>
      <c r="S957" s="1" t="n"/>
      <c r="T957" s="1" t="n"/>
      <c r="U957" s="1" t="n"/>
      <c r="V957" s="1" t="n"/>
      <c r="W957" s="1" t="n"/>
      <c r="X957" s="1" t="n"/>
      <c r="Y957" s="15">
        <f>IFERROR(__xludf.DUMMYFUNCTION("""COMPUTED_VALUE"""),"https://drive.google.com/uc?export=view&amp;id=1r7X2hfEvMLozy3fHYoWMHXkT7ZpyBwCi")</f>
        <v/>
      </c>
      <c r="Z957" s="1">
        <f>IFERROR(__xludf.DUMMYFUNCTION("""COMPUTED_VALUE"""),"Unverified")</f>
        <v/>
      </c>
      <c r="AA957" s="1" t="n"/>
      <c r="AB957" s="1" t="n"/>
      <c r="AC957" s="1" t="n"/>
      <c r="AD957" s="1" t="n"/>
      <c r="AE957" s="1" t="n"/>
    </row>
    <row r="958" ht="42" customHeight="1">
      <c r="A958" s="14">
        <f>IFERROR(__xludf.DUMMYFUNCTION("""COMPUTED_VALUE"""),45181)</f>
        <v/>
      </c>
      <c r="B958" s="1">
        <f>IFERROR(__xludf.DUMMYFUNCTION("""COMPUTED_VALUE"""),"ORG_1509")</f>
        <v/>
      </c>
      <c r="C958" s="1">
        <f>IFERROR(__xludf.DUMMYFUNCTION("""COMPUTED_VALUE"""),TRUE)</f>
        <v/>
      </c>
      <c r="D958" s="1">
        <f>IFERROR(__xludf.DUMMYFUNCTION("""COMPUTED_VALUE"""),"Erudito")</f>
        <v/>
      </c>
      <c r="E958" s="15">
        <f>IFERROR(__xludf.DUMMYFUNCTION("""COMPUTED_VALUE"""),"https://www.facebook.com/eruditoEd")</f>
        <v/>
      </c>
      <c r="F958" s="1">
        <f>IFERROR(__xludf.DUMMYFUNCTION("""COMPUTED_VALUE"""),"Erudito helps teachers to save valuable time by providing ready-to-use content as well as paperless homework.")</f>
        <v/>
      </c>
      <c r="G958" s="1">
        <f>IFERROR(__xludf.DUMMYFUNCTION("""COMPUTED_VALUE"""),"I'm not part of any EdTech association")</f>
        <v/>
      </c>
      <c r="H958" s="1" t="n"/>
      <c r="I958" s="1">
        <f>IFERROR(__xludf.DUMMYFUNCTION("""COMPUTED_VALUE"""),"kereya@gmail.com")</f>
        <v/>
      </c>
      <c r="J958" s="1">
        <f>IFERROR(__xludf.DUMMYFUNCTION("""COMPUTED_VALUE"""),"+380667969957")</f>
        <v/>
      </c>
      <c r="K958" s="1">
        <f>IFERROR(__xludf.DUMMYFUNCTION("""COMPUTED_VALUE"""),"KHARKIV")</f>
        <v/>
      </c>
      <c r="L958" s="1">
        <f>IFERROR(__xludf.DUMMYFUNCTION("""COMPUTED_VALUE"""),"Ukraine")</f>
        <v/>
      </c>
      <c r="M958" s="1">
        <f>IFERROR(__xludf.DUMMYFUNCTION("""COMPUTED_VALUE"""),"Germany, Poland, Ukraine")</f>
        <v/>
      </c>
      <c r="N958" s="1">
        <f>IFERROR(__xludf.DUMMYFUNCTION("""COMPUTED_VALUE"""),"0 to 10")</f>
        <v/>
      </c>
      <c r="O958" s="1">
        <f>IFERROR(__xludf.DUMMYFUNCTION("""COMPUTED_VALUE"""),"Business to Business, Business to Government")</f>
        <v/>
      </c>
      <c r="P958" s="1">
        <f>IFERROR(__xludf.DUMMYFUNCTION("""COMPUTED_VALUE"""),"Primary Education")</f>
        <v/>
      </c>
      <c r="Q958" s="1">
        <f>IFERROR(__xludf.DUMMYFUNCTION("""COMPUTED_VALUE"""),"System/Administrative, Student interfacing, Teacher interfacing")</f>
        <v/>
      </c>
      <c r="R958" s="1" t="n"/>
      <c r="S958" s="1" t="n"/>
      <c r="T958" s="1" t="n"/>
      <c r="U958" s="1" t="n"/>
      <c r="V958" s="1" t="n"/>
      <c r="W958" s="1" t="n"/>
      <c r="X958" s="1" t="n"/>
      <c r="Y958" s="15">
        <f>IFERROR(__xludf.DUMMYFUNCTION("""COMPUTED_VALUE"""),"https://drive.google.com/uc?export=view&amp;id=1Jep6x1cXWJNzQli2KCO0tZx16fS0ari2")</f>
        <v/>
      </c>
      <c r="Z958" s="1">
        <f>IFERROR(__xludf.DUMMYFUNCTION("""COMPUTED_VALUE"""),"Unverified")</f>
        <v/>
      </c>
      <c r="AA958" s="1" t="n"/>
      <c r="AB958" s="1" t="n"/>
      <c r="AC958" s="1" t="n"/>
      <c r="AD958" s="1" t="n"/>
      <c r="AE958" s="1" t="n"/>
    </row>
    <row r="959" ht="42" customHeight="1">
      <c r="A959" s="14">
        <f>IFERROR(__xludf.DUMMYFUNCTION("""COMPUTED_VALUE"""),45181)</f>
        <v/>
      </c>
      <c r="B959" s="1">
        <f>IFERROR(__xludf.DUMMYFUNCTION("""COMPUTED_VALUE"""),"ORG_1513")</f>
        <v/>
      </c>
      <c r="C959" s="1">
        <f>IFERROR(__xludf.DUMMYFUNCTION("""COMPUTED_VALUE"""),TRUE)</f>
        <v/>
      </c>
      <c r="D959" s="1">
        <f>IFERROR(__xludf.DUMMYFUNCTION("""COMPUTED_VALUE"""),"Esemtia Grupo Edebé")</f>
        <v/>
      </c>
      <c r="E959" s="15">
        <f>IFERROR(__xludf.DUMMYFUNCTION("""COMPUTED_VALUE"""),"https://esemtia.com/")</f>
        <v/>
      </c>
      <c r="F959" s="1">
        <f>IFERROR(__xludf.DUMMYFUNCTION("""COMPUTED_VALUE"""),"Esemtia is a market leader in School Information System platforms with over fifteen years of experience offering advanced technology solutions to hundreds of schools across the world.
Since its creation, Esemtia has maintained an accelerated pace of grow"&amp;"th, both in the number of customers and in its business lines. It is present in educational centres on three continents, with special establishment in Latin America, Europe and Africa. Currently, Esemtia offers the solution “school”, a platform for multi-"&amp;"stage schools; “enfant”, a platform for children’s centres; and “FP”, a specific platform for the management of vocational training centres.")</f>
        <v/>
      </c>
      <c r="G959" s="1">
        <f>IFERROR(__xludf.DUMMYFUNCTION("""COMPUTED_VALUE"""),"EduTech Cluster Spain")</f>
        <v/>
      </c>
      <c r="H959" s="1" t="n"/>
      <c r="I959" s="1">
        <f>IFERROR(__xludf.DUMMYFUNCTION("""COMPUTED_VALUE"""),"info@esemtia.com")</f>
        <v/>
      </c>
      <c r="J959" s="1">
        <f>IFERROR(__xludf.DUMMYFUNCTION("""COMPUTED_VALUE"""),"+34961431865")</f>
        <v/>
      </c>
      <c r="K959" s="1">
        <f>IFERROR(__xludf.DUMMYFUNCTION("""COMPUTED_VALUE"""),"ALFAFAR (VALENCIA)")</f>
        <v/>
      </c>
      <c r="L959" s="1">
        <f>IFERROR(__xludf.DUMMYFUNCTION("""COMPUTED_VALUE"""),"Spain")</f>
        <v/>
      </c>
      <c r="M959" s="1">
        <f>IFERROR(__xludf.DUMMYFUNCTION("""COMPUTED_VALUE"""),"Andorra, Spain")</f>
        <v/>
      </c>
      <c r="N959" s="1">
        <f>IFERROR(__xludf.DUMMYFUNCTION("""COMPUTED_VALUE"""),"11 to 50")</f>
        <v/>
      </c>
      <c r="O959" s="1">
        <f>IFERROR(__xludf.DUMMYFUNCTION("""COMPUTED_VALUE"""),"Business to Business, Business to Schools")</f>
        <v/>
      </c>
      <c r="P959" s="1">
        <f>IFERROR(__xludf.DUMMYFUNCTION("""COMPUTED_VALUE"""),"Early childhood development (0-5 years), Primary Education, Secondary Education, Higher Education")</f>
        <v/>
      </c>
      <c r="Q959" s="1">
        <f>IFERROR(__xludf.DUMMYFUNCTION("""COMPUTED_VALUE"""),"System/Administrative, Student interfacing, Teacher interfacing")</f>
        <v/>
      </c>
      <c r="R959" s="1" t="n"/>
      <c r="S959" s="15">
        <f>IFERROR(__xludf.DUMMYFUNCTION("""COMPUTED_VALUE"""),"https://twitter.com/esemtia?ref_src=twsrc%5Egoogle%7Ctwcamp%5Eserp%7Ctwgr%5Eauthor")</f>
        <v/>
      </c>
      <c r="T959" s="15">
        <f>IFERROR(__xludf.DUMMYFUNCTION("""COMPUTED_VALUE"""),"https://www.linkedin.com/company/40201048/admin/")</f>
        <v/>
      </c>
      <c r="U959" s="1">
        <f>IFERROR(__xludf.DUMMYFUNCTION("""COMPUTED_VALUE"""),"Esemtia School")</f>
        <v/>
      </c>
      <c r="V959" s="1">
        <f>IFERROR(__xludf.DUMMYFUNCTION("""COMPUTED_VALUE"""),"Esemtia School is a digital platform designed for the management of multi-stage schools offering various stages of education, from preschool to high school and also vocational training.")</f>
        <v/>
      </c>
      <c r="W959" s="1">
        <f>IFERROR(__xludf.DUMMYFUNCTION("""COMPUTED_VALUE"""),"Esemtia Enfant")</f>
        <v/>
      </c>
      <c r="X959" s="1">
        <f>IFERROR(__xludf.DUMMYFUNCTION("""COMPUTED_VALUE"""),"Much more than a daily planner, Esemtia Enfant is a completed digital platform designed for nursery school management.")</f>
        <v/>
      </c>
      <c r="Y959" s="15">
        <f>IFERROR(__xludf.DUMMYFUNCTION("""COMPUTED_VALUE"""),"https://drive.google.com/uc?export=view&amp;id=1Pk_TyKIhJgGNXFhPWaSA-oI0XOqtnyLL")</f>
        <v/>
      </c>
      <c r="Z959" s="1">
        <f>IFERROR(__xludf.DUMMYFUNCTION("""COMPUTED_VALUE"""),"Unverified")</f>
        <v/>
      </c>
      <c r="AA959" s="1" t="n"/>
      <c r="AB959" s="1" t="n"/>
      <c r="AC959" s="1" t="n"/>
      <c r="AD959" s="1" t="n"/>
      <c r="AE959" s="1" t="n"/>
    </row>
    <row r="960" ht="42" customHeight="1">
      <c r="A960" s="14">
        <f>IFERROR(__xludf.DUMMYFUNCTION("""COMPUTED_VALUE"""),45181)</f>
        <v/>
      </c>
      <c r="B960" s="1">
        <f>IFERROR(__xludf.DUMMYFUNCTION("""COMPUTED_VALUE"""),"ORG_1632")</f>
        <v/>
      </c>
      <c r="C960" s="1">
        <f>IFERROR(__xludf.DUMMYFUNCTION("""COMPUTED_VALUE"""),TRUE)</f>
        <v/>
      </c>
      <c r="D960" s="1">
        <f>IFERROR(__xludf.DUMMYFUNCTION("""COMPUTED_VALUE"""),"GoIT")</f>
        <v/>
      </c>
      <c r="E960" s="15">
        <f>IFERROR(__xludf.DUMMYFUNCTION("""COMPUTED_VALUE"""),"https://goit.global/pl/")</f>
        <v/>
      </c>
      <c r="F960" s="1">
        <f>IFERROR(__xludf.DUMMYFUNCTION("""COMPUTED_VALUE"""),"GoIT is a global EdTech-company with Ukrainian and Polish roots, which has been training future IT-professions all over the world for 8 years. Besides Ukraine and Poland, we have offices in Mexico, USA, Estonia. We are #1 online Tech/IT educational compan"&amp;"y in Ukraine with more than 5,000 students and a major player in Poland. 90% of our students are educated people aged 25-50 without experience in IT. We have 100+ mentors who are senior developers in TOP IT companies, Career Service helps students create "&amp;"resumes and teaches how to pass interviews. While studying, they gain technical and soft skills, create their first projects, improve their languages, and get a new job in IT industry. 
Our main product is LXP - Learning eXperience Platform for students."&amp;" It has high level of gamification with points, badges, leaderboards and, especially, duels when students can ""battle"" and compete against each other, with programming ""tournaments"". AI voice and chat robot is supporting and motivating students. We ai"&amp;"m to build a learning product that people will absolutely love. Students from TOP Ukrainian IT-companies also study on our LXP.
Our awards: 
BEST IT EDUCATION 2015; UKRAINIAN IT AWARDS 2016; UKRAINIAN PEOPLE'S AWARD 2018, 2019, 2020; Forbes 30 under 30 –"&amp;" GoIT’s CEO Anton Chorniy.
Forbes USA recommended supporting our educational project, GoIT:
https://www.forbes.com/sites/dereknewton/2022/03/28/supporting-education-companies-with-ties-to-ukraine/
DOU reviews you can read via the link: https://jobs.dou."&amp;"ua/companies/goit/reviews/")</f>
        <v/>
      </c>
      <c r="G960" s="1">
        <f>IFERROR(__xludf.DUMMYFUNCTION("""COMPUTED_VALUE"""),"EdTech Poland")</f>
        <v/>
      </c>
      <c r="H960" s="1" t="n"/>
      <c r="I960" s="1">
        <f>IFERROR(__xludf.DUMMYFUNCTION("""COMPUTED_VALUE"""),"info@goit.ua")</f>
        <v/>
      </c>
      <c r="J960" s="1">
        <f>IFERROR(__xludf.DUMMYFUNCTION("""COMPUTED_VALUE"""),"+380503661777")</f>
        <v/>
      </c>
      <c r="K960" s="1">
        <f>IFERROR(__xludf.DUMMYFUNCTION("""COMPUTED_VALUE"""),"Kyiv")</f>
        <v/>
      </c>
      <c r="L960" s="1">
        <f>IFERROR(__xludf.DUMMYFUNCTION("""COMPUTED_VALUE"""),"Ukraine")</f>
        <v/>
      </c>
      <c r="M960" s="1">
        <f>IFERROR(__xludf.DUMMYFUNCTION("""COMPUTED_VALUE"""),"Estonia, Poland, Ukraine")</f>
        <v/>
      </c>
      <c r="N960" s="1">
        <f>IFERROR(__xludf.DUMMYFUNCTION("""COMPUTED_VALUE"""),"100+")</f>
        <v/>
      </c>
      <c r="O960" s="1">
        <f>IFERROR(__xludf.DUMMYFUNCTION("""COMPUTED_VALUE"""),"Business to Business, Business to Schools")</f>
        <v/>
      </c>
      <c r="P960" s="1">
        <f>IFERROR(__xludf.DUMMYFUNCTION("""COMPUTED_VALUE"""),"Corporate Training, Lifelong learning/Adult education")</f>
        <v/>
      </c>
      <c r="Q960" s="1">
        <f>IFERROR(__xludf.DUMMYFUNCTION("""COMPUTED_VALUE"""),"Student interfacing, System/Administrative")</f>
        <v/>
      </c>
      <c r="R960" s="1" t="n"/>
      <c r="S960" s="1" t="n"/>
      <c r="T960" s="1" t="n"/>
      <c r="U960" s="1" t="n"/>
      <c r="V960" s="1" t="n"/>
      <c r="W960" s="1" t="n"/>
      <c r="X960" s="1" t="n"/>
      <c r="Y960" s="15">
        <f>IFERROR(__xludf.DUMMYFUNCTION("""COMPUTED_VALUE"""),"https://drive.google.com/uc?export=view&amp;id=1hlGMPtds9ATxm04H5X_F3AfFEM7AKfHQ")</f>
        <v/>
      </c>
      <c r="Z960" s="1">
        <f>IFERROR(__xludf.DUMMYFUNCTION("""COMPUTED_VALUE"""),"Unverified")</f>
        <v/>
      </c>
      <c r="AA960" s="1" t="n"/>
      <c r="AB960" s="1" t="n"/>
      <c r="AC960" s="1" t="n"/>
      <c r="AD960" s="1" t="n"/>
      <c r="AE960" s="1" t="n"/>
    </row>
    <row r="961" ht="42" customHeight="1">
      <c r="A961" s="14">
        <f>IFERROR(__xludf.DUMMYFUNCTION("""COMPUTED_VALUE"""),45181)</f>
        <v/>
      </c>
      <c r="B961" s="1">
        <f>IFERROR(__xludf.DUMMYFUNCTION("""COMPUTED_VALUE"""),"ORG_1682")</f>
        <v/>
      </c>
      <c r="C961" s="1">
        <f>IFERROR(__xludf.DUMMYFUNCTION("""COMPUTED_VALUE"""),TRUE)</f>
        <v/>
      </c>
      <c r="D961" s="1">
        <f>IFERROR(__xludf.DUMMYFUNCTION("""COMPUTED_VALUE"""),"Hoobi")</f>
        <v/>
      </c>
      <c r="E961" s="15">
        <f>IFERROR(__xludf.DUMMYFUNCTION("""COMPUTED_VALUE"""),"https://www.hoobi.fun/")</f>
        <v/>
      </c>
      <c r="F961" s="1">
        <f>IFERROR(__xludf.DUMMYFUNCTION("""COMPUTED_VALUE"""),"Hoobi is a gamification platform for language learning. Multiplayer skill-based games for meaningful practice in the classroom and remote.
Challenge-based gamification and collaboration tool designed specifically for language tutors and learners. Hoobi h"&amp;"elps to reinforce knowledge of vocabulary, reading, spelling, and grammar using by including different linguistic mechanics in games.
Hoobi is mixing science, technologies and attested pedagogical methods to create a new way of language learning. Hoobi w"&amp;"as created in Ukraine to fight boring lessons, give more free time to teachers across the World, and make students more productive when learning a language with fun.")</f>
        <v/>
      </c>
      <c r="G961" s="1">
        <f>IFERROR(__xludf.DUMMYFUNCTION("""COMPUTED_VALUE"""),"I'm not part of any EdTech association")</f>
        <v/>
      </c>
      <c r="H961" s="1" t="n"/>
      <c r="I961" s="1">
        <f>IFERROR(__xludf.DUMMYFUNCTION("""COMPUTED_VALUE"""),"alex@hoobi.fun")</f>
        <v/>
      </c>
      <c r="J961" s="1" t="n"/>
      <c r="K961" s="1">
        <f>IFERROR(__xludf.DUMMYFUNCTION("""COMPUTED_VALUE"""),"Kyiv")</f>
        <v/>
      </c>
      <c r="L961" s="1">
        <f>IFERROR(__xludf.DUMMYFUNCTION("""COMPUTED_VALUE"""),"Ukraine")</f>
        <v/>
      </c>
      <c r="M961" s="1">
        <f>IFERROR(__xludf.DUMMYFUNCTION("""COMPUTED_VALUE"""),"Greece, Ukraine")</f>
        <v/>
      </c>
      <c r="N961" s="1">
        <f>IFERROR(__xludf.DUMMYFUNCTION("""COMPUTED_VALUE"""),"0 to 10")</f>
        <v/>
      </c>
      <c r="O961" s="1">
        <f>IFERROR(__xludf.DUMMYFUNCTION("""COMPUTED_VALUE"""),"Business to Consumer")</f>
        <v/>
      </c>
      <c r="P961" s="1">
        <f>IFERROR(__xludf.DUMMYFUNCTION("""COMPUTED_VALUE"""),"Primary Education, Secondary Education")</f>
        <v/>
      </c>
      <c r="Q961" s="1">
        <f>IFERROR(__xludf.DUMMYFUNCTION("""COMPUTED_VALUE"""),"Teacher interfacing, System/Administrative")</f>
        <v/>
      </c>
      <c r="R961" s="1" t="n"/>
      <c r="S961" s="1" t="n"/>
      <c r="T961" s="1" t="n"/>
      <c r="U961" s="1" t="n"/>
      <c r="V961" s="1" t="n"/>
      <c r="W961" s="1" t="n"/>
      <c r="X961" s="1" t="n"/>
      <c r="Y961" s="15">
        <f>IFERROR(__xludf.DUMMYFUNCTION("""COMPUTED_VALUE"""),"https://drive.google.com/uc?export=view&amp;id=1IYtxMRJKDqqHiPnsznoXvXWzt-ycNMsL")</f>
        <v/>
      </c>
      <c r="Z961" s="1">
        <f>IFERROR(__xludf.DUMMYFUNCTION("""COMPUTED_VALUE"""),"Unverified")</f>
        <v/>
      </c>
      <c r="AA961" s="1" t="n"/>
      <c r="AB961" s="1" t="n"/>
      <c r="AC961" s="1" t="n"/>
      <c r="AD961" s="1" t="n"/>
      <c r="AE961" s="1" t="n"/>
    </row>
    <row r="962" ht="42" customHeight="1">
      <c r="A962" s="14">
        <f>IFERROR(__xludf.DUMMYFUNCTION("""COMPUTED_VALUE"""),45181)</f>
        <v/>
      </c>
      <c r="B962" s="1">
        <f>IFERROR(__xludf.DUMMYFUNCTION("""COMPUTED_VALUE"""),"ORG_1692")</f>
        <v/>
      </c>
      <c r="C962" s="1">
        <f>IFERROR(__xludf.DUMMYFUNCTION("""COMPUTED_VALUE"""),TRUE)</f>
        <v/>
      </c>
      <c r="D962" s="1">
        <f>IFERROR(__xludf.DUMMYFUNCTION("""COMPUTED_VALUE"""),"Humanava")</f>
        <v/>
      </c>
      <c r="E962" s="15">
        <f>IFERROR(__xludf.DUMMYFUNCTION("""COMPUTED_VALUE"""),"https://www.humanava.com")</f>
        <v/>
      </c>
      <c r="F962" s="1">
        <f>IFERROR(__xludf.DUMMYFUNCTION("""COMPUTED_VALUE"""),"Humanava is an e-learning platform on soft skills. We are a certified training organization qualiopi (it is the quality mark of the French state). We offer masterclasses in video format with international speakers and authors")</f>
        <v/>
      </c>
      <c r="G962" s="1">
        <f>IFERROR(__xludf.DUMMYFUNCTION("""COMPUTED_VALUE"""),"I'm not part of any EdTech association")</f>
        <v/>
      </c>
      <c r="H962" s="1" t="n"/>
      <c r="I962" s="1">
        <f>IFERROR(__xludf.DUMMYFUNCTION("""COMPUTED_VALUE"""),"sarah@humanava.com")</f>
        <v/>
      </c>
      <c r="J962" s="1">
        <f>IFERROR(__xludf.DUMMYFUNCTION("""COMPUTED_VALUE"""),"645482766")</f>
        <v/>
      </c>
      <c r="K962" s="1">
        <f>IFERROR(__xludf.DUMMYFUNCTION("""COMPUTED_VALUE"""),"Bordeaux")</f>
        <v/>
      </c>
      <c r="L962" s="1">
        <f>IFERROR(__xludf.DUMMYFUNCTION("""COMPUTED_VALUE"""),"France")</f>
        <v/>
      </c>
      <c r="M96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962" s="1">
        <f>IFERROR(__xludf.DUMMYFUNCTION("""COMPUTED_VALUE"""),"0 to 10")</f>
        <v/>
      </c>
      <c r="O962" s="1">
        <f>IFERROR(__xludf.DUMMYFUNCTION("""COMPUTED_VALUE"""),"Business to Consumer")</f>
        <v/>
      </c>
      <c r="P962" s="1">
        <f>IFERROR(__xludf.DUMMYFUNCTION("""COMPUTED_VALUE"""),"Secondary Education, Higher Education, Corporate Training, Lifelong learning/Adult education")</f>
        <v/>
      </c>
      <c r="Q962" s="1">
        <f>IFERROR(__xludf.DUMMYFUNCTION("""COMPUTED_VALUE"""),"Student interfacing, Teacher interfacing, System/Administrative")</f>
        <v/>
      </c>
      <c r="R962" s="15">
        <f>IFERROR(__xludf.DUMMYFUNCTION("""COMPUTED_VALUE"""),"https://www.instagram.com/humanava_/")</f>
        <v/>
      </c>
      <c r="S962" s="15">
        <f>IFERROR(__xludf.DUMMYFUNCTION("""COMPUTED_VALUE"""),"https://twitter.com/humanava_")</f>
        <v/>
      </c>
      <c r="T962" s="15">
        <f>IFERROR(__xludf.DUMMYFUNCTION("""COMPUTED_VALUE"""),"https://www.linkedin.com/company/humanava")</f>
        <v/>
      </c>
      <c r="U962" s="1">
        <f>IFERROR(__xludf.DUMMYFUNCTION("""COMPUTED_VALUE"""),"Masterclass")</f>
        <v/>
      </c>
      <c r="V962" s="1">
        <f>IFERROR(__xludf.DUMMYFUNCTION("""COMPUTED_VALUE"""),"Humanava masterclasses are 60 to 120 minutes long, cut into 7 to 10 individual capsules. We offer our clients an exceptional audiovisual quality, with a filming like a movie studio! Humanava revolutionizes traditional ways of learning by making the person"&amp;" acting and responsible for his own ascension.")</f>
        <v/>
      </c>
      <c r="W962" s="1" t="n"/>
      <c r="X962" s="1" t="n"/>
      <c r="Y962" s="15">
        <f>IFERROR(__xludf.DUMMYFUNCTION("""COMPUTED_VALUE"""),"https://drive.google.com/uc?export=view&amp;id=10gp7nwXnnm9PKAHLRDomV7iFRrzZbQ7F")</f>
        <v/>
      </c>
      <c r="Z962" s="1">
        <f>IFERROR(__xludf.DUMMYFUNCTION("""COMPUTED_VALUE"""),"Unverified")</f>
        <v/>
      </c>
      <c r="AA962" s="1" t="n"/>
      <c r="AB962" s="1" t="n"/>
      <c r="AC962" s="1" t="n"/>
      <c r="AD962" s="1" t="n"/>
      <c r="AE962" s="1" t="n"/>
    </row>
    <row r="963" ht="42" customHeight="1">
      <c r="A963" s="14">
        <f>IFERROR(__xludf.DUMMYFUNCTION("""COMPUTED_VALUE"""),45181)</f>
        <v/>
      </c>
      <c r="B963" s="1">
        <f>IFERROR(__xludf.DUMMYFUNCTION("""COMPUTED_VALUE"""),"ORG_1784")</f>
        <v/>
      </c>
      <c r="C963" s="1">
        <f>IFERROR(__xludf.DUMMYFUNCTION("""COMPUTED_VALUE"""),TRUE)</f>
        <v/>
      </c>
      <c r="D963" s="1">
        <f>IFERROR(__xludf.DUMMYFUNCTION("""COMPUTED_VALUE"""),"Knowmore")</f>
        <v/>
      </c>
      <c r="E963" s="15">
        <f>IFERROR(__xludf.DUMMYFUNCTION("""COMPUTED_VALUE"""),"https://www.knowmore365.com/")</f>
        <v/>
      </c>
      <c r="F963" s="1">
        <f>IFERROR(__xludf.DUMMYFUNCTION("""COMPUTED_VALUE"""),"Digital Adoption and Learning Platform.
Whatever the organization or industry, our platforms help users, suppliers and clients to train and effectively use applications such as CRM, ERP, HRMS, supply chain, CMMS, e-procurement, collaborative tools, web p"&amp;"ortals, and other bespoke applications.
Knowmore reimagines Digital Adoption of applications by fusing Learning and Practical Use.")</f>
        <v/>
      </c>
      <c r="G963" s="1">
        <f>IFERROR(__xludf.DUMMYFUNCTION("""COMPUTED_VALUE"""),"I'm not part of any EdTech association")</f>
        <v/>
      </c>
      <c r="H963" s="1" t="n"/>
      <c r="I963" s="1">
        <f>IFERROR(__xludf.DUMMYFUNCTION("""COMPUTED_VALUE"""),"contact@knowmore.fr")</f>
        <v/>
      </c>
      <c r="J963" s="1">
        <f>IFERROR(__xludf.DUMMYFUNCTION("""COMPUTED_VALUE"""),"+33 (0)1 83 90 40 10")</f>
        <v/>
      </c>
      <c r="K963" s="1">
        <f>IFERROR(__xludf.DUMMYFUNCTION("""COMPUTED_VALUE"""),"IVRY SUR SEINE")</f>
        <v/>
      </c>
      <c r="L963" s="1">
        <f>IFERROR(__xludf.DUMMYFUNCTION("""COMPUTED_VALUE"""),"France")</f>
        <v/>
      </c>
      <c r="M963" s="1">
        <f>IFERROR(__xludf.DUMMYFUNCTION("""COMPUTED_VALUE"""),"Belgium, France, Germany, Spain, United Kingdom")</f>
        <v/>
      </c>
      <c r="N963" s="1">
        <f>IFERROR(__xludf.DUMMYFUNCTION("""COMPUTED_VALUE"""),"11 to 50")</f>
        <v/>
      </c>
      <c r="O963" s="1">
        <f>IFERROR(__xludf.DUMMYFUNCTION("""COMPUTED_VALUE"""),"Business to Consumer")</f>
        <v/>
      </c>
      <c r="P963" s="1">
        <f>IFERROR(__xludf.DUMMYFUNCTION("""COMPUTED_VALUE"""),"Corporate Training, Lifelong learning/Adult education")</f>
        <v/>
      </c>
      <c r="Q963" s="1">
        <f>IFERROR(__xludf.DUMMYFUNCTION("""COMPUTED_VALUE"""),"Teacher interfacing, Student interfacing, System/Administrative")</f>
        <v/>
      </c>
      <c r="R963" s="1" t="n"/>
      <c r="S963" s="1" t="n"/>
      <c r="T963" s="1" t="n"/>
      <c r="U963" s="1" t="n"/>
      <c r="V963" s="1" t="n"/>
      <c r="W963" s="1" t="n"/>
      <c r="X963" s="1" t="n"/>
      <c r="Y963" s="15">
        <f>IFERROR(__xludf.DUMMYFUNCTION("""COMPUTED_VALUE"""),"https://drive.google.com/uc?export=view&amp;id=1qfoyvCuRTimQ1MbCQ6qPQ6YPIiq3fyKF")</f>
        <v/>
      </c>
      <c r="Z963" s="1">
        <f>IFERROR(__xludf.DUMMYFUNCTION("""COMPUTED_VALUE"""),"Unverified")</f>
        <v/>
      </c>
      <c r="AA963" s="1" t="n"/>
      <c r="AB963" s="1" t="n"/>
      <c r="AC963" s="1" t="n"/>
      <c r="AD963" s="1" t="n"/>
      <c r="AE963" s="1" t="n"/>
    </row>
    <row r="964" ht="42" customHeight="1">
      <c r="A964" s="14">
        <f>IFERROR(__xludf.DUMMYFUNCTION("""COMPUTED_VALUE"""),45181)</f>
        <v/>
      </c>
      <c r="B964" s="1">
        <f>IFERROR(__xludf.DUMMYFUNCTION("""COMPUTED_VALUE"""),"ORG_2009")</f>
        <v/>
      </c>
      <c r="C964" s="1">
        <f>IFERROR(__xludf.DUMMYFUNCTION("""COMPUTED_VALUE"""),TRUE)</f>
        <v/>
      </c>
      <c r="D964" s="1">
        <f>IFERROR(__xludf.DUMMYFUNCTION("""COMPUTED_VALUE"""),"MySat")</f>
        <v/>
      </c>
      <c r="E964" s="15">
        <f>IFERROR(__xludf.DUMMYFUNCTION("""COMPUTED_VALUE"""),"www.mysatkit.com")</f>
        <v/>
      </c>
      <c r="F964" s="1">
        <f>IFERROR(__xludf.DUMMYFUNCTION("""COMPUTED_VALUE"""),"MySat is a new tool for Space education right at home.
MySat is a model of a small satellite, called CubeSat. It is an educational electronic kit with real satellite design and features. MySat was developed for entertainment, exploration, and learning. Wi"&amp;"th clear guides and simplified assembling and coding, it fits perfectly for children and adults, amateurs and professionals. To build your own satellite with MySat, no technical background or coding skills are needed. The set of environmental and orientat"&amp;"ion sensors lets you do a number of experiments, explore the surroundings and learn about Space technologies. You can easily collect and share sensor data with MySat Web Platform to get new ideas for your satellite mission. As an option, you can even laun"&amp;"ch your mission into the stratosphere with our Stratospheric Launch Service.
Start your very own Space mission with MySat today!")</f>
        <v/>
      </c>
      <c r="G964" s="1">
        <f>IFERROR(__xludf.DUMMYFUNCTION("""COMPUTED_VALUE"""),"I'm not part of any EdTech association")</f>
        <v/>
      </c>
      <c r="H964" s="1" t="n"/>
      <c r="I964" s="1">
        <f>IFERROR(__xludf.DUMMYFUNCTION("""COMPUTED_VALUE"""),"hello@mysatkit.com")</f>
        <v/>
      </c>
      <c r="J964" s="1" t="n"/>
      <c r="K964" s="1">
        <f>IFERROR(__xludf.DUMMYFUNCTION("""COMPUTED_VALUE"""),"KYIV")</f>
        <v/>
      </c>
      <c r="L964" s="1">
        <f>IFERROR(__xludf.DUMMYFUNCTION("""COMPUTED_VALUE"""),"Ukraine")</f>
        <v/>
      </c>
      <c r="M964" s="1">
        <f>IFERROR(__xludf.DUMMYFUNCTION("""COMPUTED_VALUE"""),"Estonia, Ukraine")</f>
        <v/>
      </c>
      <c r="N964" s="1">
        <f>IFERROR(__xludf.DUMMYFUNCTION("""COMPUTED_VALUE"""),"0 to 10")</f>
        <v/>
      </c>
      <c r="O964" s="1">
        <f>IFERROR(__xludf.DUMMYFUNCTION("""COMPUTED_VALUE"""),"Business to Consumer")</f>
        <v/>
      </c>
      <c r="P964" s="1">
        <f>IFERROR(__xludf.DUMMYFUNCTION("""COMPUTED_VALUE"""),"Primary Education, Secondary Education, Lifelong learning/Adult education")</f>
        <v/>
      </c>
      <c r="Q964" s="1">
        <f>IFERROR(__xludf.DUMMYFUNCTION("""COMPUTED_VALUE"""),"System/Administrative, Student interfacing, Teacher interfacing")</f>
        <v/>
      </c>
      <c r="R964" s="1" t="n"/>
      <c r="S964" s="1" t="n"/>
      <c r="T964" s="1" t="n"/>
      <c r="U964" s="1" t="n"/>
      <c r="V964" s="1" t="n"/>
      <c r="W964" s="1" t="n"/>
      <c r="X964" s="1" t="n"/>
      <c r="Y964" s="15">
        <f>IFERROR(__xludf.DUMMYFUNCTION("""COMPUTED_VALUE"""),"https://drive.google.com/uc?export=view&amp;id=1BNXJ8UHFyYxGqsaTCcGWCORwgXAD6t8d")</f>
        <v/>
      </c>
      <c r="Z964" s="1">
        <f>IFERROR(__xludf.DUMMYFUNCTION("""COMPUTED_VALUE"""),"Unverified")</f>
        <v/>
      </c>
      <c r="AA964" s="1" t="n"/>
      <c r="AB964" s="1" t="n"/>
      <c r="AC964" s="1" t="n"/>
      <c r="AD964" s="1" t="n"/>
      <c r="AE964" s="1" t="n"/>
    </row>
    <row r="965" ht="42" customHeight="1">
      <c r="A965" s="14">
        <f>IFERROR(__xludf.DUMMYFUNCTION("""COMPUTED_VALUE"""),45181)</f>
        <v/>
      </c>
      <c r="B965" s="1">
        <f>IFERROR(__xludf.DUMMYFUNCTION("""COMPUTED_VALUE"""),"ORG_2108")</f>
        <v/>
      </c>
      <c r="C965" s="1">
        <f>IFERROR(__xludf.DUMMYFUNCTION("""COMPUTED_VALUE"""),TRUE)</f>
        <v/>
      </c>
      <c r="D965" s="15">
        <f>IFERROR(__xludf.DUMMYFUNCTION("""COMPUTED_VALUE"""),"PlagiarismCheck.org")</f>
        <v/>
      </c>
      <c r="E965" s="15">
        <f>IFERROR(__xludf.DUMMYFUNCTION("""COMPUTED_VALUE"""),"https://plagiarismcheck.org/")</f>
        <v/>
      </c>
      <c r="F965" s="1">
        <f>IFERROR(__xludf.DUMMYFUNCTION("""COMPUTED_VALUE"""),"A modern algorithm to save instructors' time and help students to succeed academically by checking texts for similarity, grammar/spelling, authorship, and giving valuable data.")</f>
        <v/>
      </c>
      <c r="G965" s="1">
        <f>IFERROR(__xludf.DUMMYFUNCTION("""COMPUTED_VALUE"""),"I'm not part of any EdTech association")</f>
        <v/>
      </c>
      <c r="H965" s="1" t="n"/>
      <c r="I965" s="1">
        <f>IFERROR(__xludf.DUMMYFUNCTION("""COMPUTED_VALUE"""),"garrett@plagiarismcheck.org")</f>
        <v/>
      </c>
      <c r="J965" s="1" t="n"/>
      <c r="K965" s="1">
        <f>IFERROR(__xludf.DUMMYFUNCTION("""COMPUTED_VALUE"""),"London")</f>
        <v/>
      </c>
      <c r="L965" s="1">
        <f>IFERROR(__xludf.DUMMYFUNCTION("""COMPUTED_VALUE"""),"United Kingdom")</f>
        <v/>
      </c>
      <c r="M965" s="1">
        <f>IFERROR(__xludf.DUMMYFUNCTION("""COMPUTED_VALUE"""),"Albania, Cyprus, Kosovo, Netherlands, Norway, Poland, United Kingdom")</f>
        <v/>
      </c>
      <c r="N965" s="1">
        <f>IFERROR(__xludf.DUMMYFUNCTION("""COMPUTED_VALUE"""),"0 to 10")</f>
        <v/>
      </c>
      <c r="O965" s="1">
        <f>IFERROR(__xludf.DUMMYFUNCTION("""COMPUTED_VALUE"""),"Business to Consumer")</f>
        <v/>
      </c>
      <c r="P965" s="1">
        <f>IFERROR(__xludf.DUMMYFUNCTION("""COMPUTED_VALUE"""),"Primary Education, Secondary Education, Higher Education, Corporate Training")</f>
        <v/>
      </c>
      <c r="Q965" s="1">
        <f>IFERROR(__xludf.DUMMYFUNCTION("""COMPUTED_VALUE"""),"Student interfacing, Teacher interfacing")</f>
        <v/>
      </c>
      <c r="R965" s="1" t="n"/>
      <c r="S965" s="1" t="n"/>
      <c r="T965" s="1" t="n"/>
      <c r="U965" s="1" t="n"/>
      <c r="V965" s="1" t="n"/>
      <c r="W965" s="1" t="n"/>
      <c r="X965" s="1" t="n"/>
      <c r="Y965" s="15">
        <f>IFERROR(__xludf.DUMMYFUNCTION("""COMPUTED_VALUE"""),"https://drive.google.com/uc?export=view&amp;id=1BAB96eDg5y0TOB1bYmwMW0CB92N14NgQ")</f>
        <v/>
      </c>
      <c r="Z965" s="1">
        <f>IFERROR(__xludf.DUMMYFUNCTION("""COMPUTED_VALUE"""),"Unverified")</f>
        <v/>
      </c>
      <c r="AA965" s="1" t="n"/>
      <c r="AB965" s="1" t="n"/>
      <c r="AC965" s="1" t="n"/>
      <c r="AD965" s="1" t="n"/>
      <c r="AE965" s="1" t="n"/>
    </row>
    <row r="966" ht="42" customHeight="1">
      <c r="A966" s="14">
        <f>IFERROR(__xludf.DUMMYFUNCTION("""COMPUTED_VALUE"""),45181)</f>
        <v/>
      </c>
      <c r="B966" s="1">
        <f>IFERROR(__xludf.DUMMYFUNCTION("""COMPUTED_VALUE"""),"ORG_2125")</f>
        <v/>
      </c>
      <c r="C966" s="1">
        <f>IFERROR(__xludf.DUMMYFUNCTION("""COMPUTED_VALUE"""),TRUE)</f>
        <v/>
      </c>
      <c r="D966" s="1">
        <f>IFERROR(__xludf.DUMMYFUNCTION("""COMPUTED_VALUE"""),"Projector")</f>
        <v/>
      </c>
      <c r="E966" s="15">
        <f>IFERROR(__xludf.DUMMYFUNCTION("""COMPUTED_VALUE"""),"https://prjctr.com/")</f>
        <v/>
      </c>
      <c r="F966" s="1">
        <f>IFERROR(__xludf.DUMMYFUNCTION("""COMPUTED_VALUE"""),"Projector is an online institute of creative and tech professions. It has 9 faculties: Advertising, Development and Data Science, Graphic Design, Humanitarium (a faculty of humanitarian studies), Interface Design, Management, Marketing, Photo &amp; Video, Vis"&amp;"ual Arts. 
These 9 faculties include over 150 educational programs. 
7 years experience on the Ukrainian market.
12,000 alumni.
100,000 creative and tech community.")</f>
        <v/>
      </c>
      <c r="G966" s="1">
        <f>IFERROR(__xludf.DUMMYFUNCTION("""COMPUTED_VALUE"""),"I'm not part of any EdTech association")</f>
        <v/>
      </c>
      <c r="H966" s="1" t="n"/>
      <c r="I966" s="1">
        <f>IFERROR(__xludf.DUMMYFUNCTION("""COMPUTED_VALUE"""),"hello@prjctr.com")</f>
        <v/>
      </c>
      <c r="J966" s="1">
        <f>IFERROR(__xludf.DUMMYFUNCTION("""COMPUTED_VALUE"""),"+380970159272")</f>
        <v/>
      </c>
      <c r="K966" s="1">
        <f>IFERROR(__xludf.DUMMYFUNCTION("""COMPUTED_VALUE"""),"Kyiv")</f>
        <v/>
      </c>
      <c r="L966" s="1">
        <f>IFERROR(__xludf.DUMMYFUNCTION("""COMPUTED_VALUE"""),"Ukraine")</f>
        <v/>
      </c>
      <c r="M966" s="1">
        <f>IFERROR(__xludf.DUMMYFUNCTION("""COMPUTED_VALUE"""),"Azerbaijan, Georgia, Kazakhstan, Moldova, Ukraine")</f>
        <v/>
      </c>
      <c r="N966" s="1">
        <f>IFERROR(__xludf.DUMMYFUNCTION("""COMPUTED_VALUE"""),"51 to 100")</f>
        <v/>
      </c>
      <c r="O966" s="1">
        <f>IFERROR(__xludf.DUMMYFUNCTION("""COMPUTED_VALUE"""),"Business to Consumer, Business to Schools")</f>
        <v/>
      </c>
      <c r="P966" s="1">
        <f>IFERROR(__xludf.DUMMYFUNCTION("""COMPUTED_VALUE"""),"Corporate Training, Lifelong learning/Adult education")</f>
        <v/>
      </c>
      <c r="Q966" s="1">
        <f>IFERROR(__xludf.DUMMYFUNCTION("""COMPUTED_VALUE"""),"Student interfacing, System/Administrative")</f>
        <v/>
      </c>
      <c r="R966" s="1" t="n"/>
      <c r="S966" s="1" t="n"/>
      <c r="T966" s="1" t="n"/>
      <c r="U966" s="1" t="n"/>
      <c r="V966" s="1" t="n"/>
      <c r="W966" s="1" t="n"/>
      <c r="X966" s="1" t="n"/>
      <c r="Y966" s="15">
        <f>IFERROR(__xludf.DUMMYFUNCTION("""COMPUTED_VALUE"""),"https://drive.google.com/uc?export=view&amp;id=1qWaaqCDL_0xwrMrXS5sry9LmwZFI6zWW")</f>
        <v/>
      </c>
      <c r="Z966" s="1">
        <f>IFERROR(__xludf.DUMMYFUNCTION("""COMPUTED_VALUE"""),"Unverified")</f>
        <v/>
      </c>
      <c r="AA966" s="1" t="n"/>
      <c r="AB966" s="1" t="n"/>
      <c r="AC966" s="1" t="n"/>
      <c r="AD966" s="1" t="n"/>
      <c r="AE966" s="1" t="n"/>
    </row>
    <row r="967" ht="42" customHeight="1">
      <c r="A967" s="14">
        <f>IFERROR(__xludf.DUMMYFUNCTION("""COMPUTED_VALUE"""),45181)</f>
        <v/>
      </c>
      <c r="B967" s="1">
        <f>IFERROR(__xludf.DUMMYFUNCTION("""COMPUTED_VALUE"""),"ORG_2162")</f>
        <v/>
      </c>
      <c r="C967" s="1">
        <f>IFERROR(__xludf.DUMMYFUNCTION("""COMPUTED_VALUE"""),TRUE)</f>
        <v/>
      </c>
      <c r="D967" s="1">
        <f>IFERROR(__xludf.DUMMYFUNCTION("""COMPUTED_VALUE"""),"Readlax")</f>
        <v/>
      </c>
      <c r="E967" s="15">
        <f>IFERROR(__xludf.DUMMYFUNCTION("""COMPUTED_VALUE"""),"https://www.readlax.com/")</f>
        <v/>
      </c>
      <c r="F967" s="1">
        <f>IFERROR(__xludf.DUMMYFUNCTION("""COMPUTED_VALUE"""),"Brain Productivity Platform.")</f>
        <v/>
      </c>
      <c r="G967" s="1">
        <f>IFERROR(__xludf.DUMMYFUNCTION("""COMPUTED_VALUE"""),"I'm not part of any EdTech association")</f>
        <v/>
      </c>
      <c r="H967" s="1" t="n"/>
      <c r="I967" s="1">
        <f>IFERROR(__xludf.DUMMYFUNCTION("""COMPUTED_VALUE"""),"sasha@readlax.com")</f>
        <v/>
      </c>
      <c r="J967" s="1">
        <f>IFERROR(__xludf.DUMMYFUNCTION("""COMPUTED_VALUE"""),"+380935354680")</f>
        <v/>
      </c>
      <c r="K967" s="1">
        <f>IFERROR(__xludf.DUMMYFUNCTION("""COMPUTED_VALUE"""),"Kyiv, Krukivschina")</f>
        <v/>
      </c>
      <c r="L967" s="1">
        <f>IFERROR(__xludf.DUMMYFUNCTION("""COMPUTED_VALUE"""),"Ukraine")</f>
        <v/>
      </c>
      <c r="M967" s="1">
        <f>IFERROR(__xludf.DUMMYFUNCTION("""COMPUTED_VALUE"""),"France, Germany, Italy, Kazakhstan, Poland, Portugal, Spain, Ukraine, United Kingdom")</f>
        <v/>
      </c>
      <c r="N967" s="1">
        <f>IFERROR(__xludf.DUMMYFUNCTION("""COMPUTED_VALUE"""),"0 to 10")</f>
        <v/>
      </c>
      <c r="O967" s="1">
        <f>IFERROR(__xludf.DUMMYFUNCTION("""COMPUTED_VALUE"""),"Business to Consumer, Business to Schools")</f>
        <v/>
      </c>
      <c r="P967" s="1">
        <f>IFERROR(__xludf.DUMMYFUNCTION("""COMPUTED_VALUE"""),"Secondary Education, Higher Education, Corporate Training, Lifelong learning/Adult education")</f>
        <v/>
      </c>
      <c r="Q967" s="1">
        <f>IFERROR(__xludf.DUMMYFUNCTION("""COMPUTED_VALUE"""),"Teacher interfacing, System/Administrative, Student interfacing")</f>
        <v/>
      </c>
      <c r="R967" s="1" t="n"/>
      <c r="S967" s="1" t="n"/>
      <c r="T967" s="1" t="n"/>
      <c r="U967" s="1" t="n"/>
      <c r="V967" s="1" t="n"/>
      <c r="W967" s="1" t="n"/>
      <c r="X967" s="1" t="n"/>
      <c r="Y967" s="15">
        <f>IFERROR(__xludf.DUMMYFUNCTION("""COMPUTED_VALUE"""),"https://drive.google.com/uc?export=view&amp;id=1Htx1BOPj9fQx9j5FuRZ7nk1qGqzLMBno")</f>
        <v/>
      </c>
      <c r="Z967" s="1">
        <f>IFERROR(__xludf.DUMMYFUNCTION("""COMPUTED_VALUE"""),"Unverified")</f>
        <v/>
      </c>
      <c r="AA967" s="1" t="n"/>
      <c r="AB967" s="1" t="n"/>
      <c r="AC967" s="1" t="n"/>
      <c r="AD967" s="1" t="n"/>
      <c r="AE967" s="1" t="n"/>
    </row>
    <row r="968" ht="42" customHeight="1">
      <c r="A968" s="14">
        <f>IFERROR(__xludf.DUMMYFUNCTION("""COMPUTED_VALUE"""),45181)</f>
        <v/>
      </c>
      <c r="B968" s="1">
        <f>IFERROR(__xludf.DUMMYFUNCTION("""COMPUTED_VALUE"""),"ORG_2192")</f>
        <v/>
      </c>
      <c r="C968" s="1">
        <f>IFERROR(__xludf.DUMMYFUNCTION("""COMPUTED_VALUE"""),TRUE)</f>
        <v/>
      </c>
      <c r="D968" s="1">
        <f>IFERROR(__xludf.DUMMYFUNCTION("""COMPUTED_VALUE"""),"RoboriseIT")</f>
        <v/>
      </c>
      <c r="E968" s="15">
        <f>IFERROR(__xludf.DUMMYFUNCTION("""COMPUTED_VALUE"""),"http://roboriseit.com/")</f>
        <v/>
      </c>
      <c r="F968" s="1">
        <f>IFERROR(__xludf.DUMMYFUNCTION("""COMPUTED_VALUE"""),"For more than 10 years Roborise-It team have been working with teachers and students to deliver playful learning experiences that bring subjects to life in the classroom and make learning fun and impactful. Thousands children all around the world study ro"&amp;"botics according to our curriculums based on WeDo 2.0 and Mindstorms EV3 sets. Thanks to our materials, teams have taken prizes at WRO competitions since 2009.
We are committed to enabling every student to succeed. Together, we can support and inspire our"&amp;" students to be active, motivated and collaborative learners.")</f>
        <v/>
      </c>
      <c r="G968" s="1">
        <f>IFERROR(__xludf.DUMMYFUNCTION("""COMPUTED_VALUE"""),"I'm not part of any EdTech association")</f>
        <v/>
      </c>
      <c r="H968" s="1" t="n"/>
      <c r="I968" s="1">
        <f>IFERROR(__xludf.DUMMYFUNCTION("""COMPUTED_VALUE"""),"info@roboriseit.com")</f>
        <v/>
      </c>
      <c r="J968" s="1">
        <f>IFERROR(__xludf.DUMMYFUNCTION("""COMPUTED_VALUE"""),"+380503102129")</f>
        <v/>
      </c>
      <c r="K968" s="1">
        <f>IFERROR(__xludf.DUMMYFUNCTION("""COMPUTED_VALUE"""),"KYIV")</f>
        <v/>
      </c>
      <c r="L968" s="1">
        <f>IFERROR(__xludf.DUMMYFUNCTION("""COMPUTED_VALUE"""),"Ukraine")</f>
        <v/>
      </c>
      <c r="M968" s="1">
        <f>IFERROR(__xludf.DUMMYFUNCTION("""COMPUTED_VALUE"""),"Armenia, Austria, Azerbaijan, Belarus, Belgium, Bulgaria, Croatia, Cyprus, Czechia, Estonia, France, Germany, Greece, Hungary, Italy, Kazakhstan, Latvia, Lithuania, Moldova, Netherlands, Poland, Portugal, Romania, Slovakia, Spain, Sweden, Turkey, Ukraine,"&amp;" United Kingdom")</f>
        <v/>
      </c>
      <c r="N968" s="1">
        <f>IFERROR(__xludf.DUMMYFUNCTION("""COMPUTED_VALUE"""),"0 to 10")</f>
        <v/>
      </c>
      <c r="O968" s="1">
        <f>IFERROR(__xludf.DUMMYFUNCTION("""COMPUTED_VALUE"""),"Business to Schools")</f>
        <v/>
      </c>
      <c r="P968" s="1">
        <f>IFERROR(__xludf.DUMMYFUNCTION("""COMPUTED_VALUE"""),"Primary Education, Secondary Education, Lifelong learning/Adult education")</f>
        <v/>
      </c>
      <c r="Q968" s="1">
        <f>IFERROR(__xludf.DUMMYFUNCTION("""COMPUTED_VALUE"""),"System/Administrative, Teacher interfacing")</f>
        <v/>
      </c>
      <c r="R968" s="1" t="n"/>
      <c r="S968" s="1" t="n"/>
      <c r="T968" s="1" t="n"/>
      <c r="U968" s="1" t="n"/>
      <c r="V968" s="1" t="n"/>
      <c r="W968" s="1" t="n"/>
      <c r="X968" s="1" t="n"/>
      <c r="Y968" s="15">
        <f>IFERROR(__xludf.DUMMYFUNCTION("""COMPUTED_VALUE"""),"https://drive.google.com/uc?export=view&amp;id=1RpxLwsFNwM3_7HoIqyxMgyxIUK_XXM_-")</f>
        <v/>
      </c>
      <c r="Z968" s="1">
        <f>IFERROR(__xludf.DUMMYFUNCTION("""COMPUTED_VALUE"""),"Unverified")</f>
        <v/>
      </c>
      <c r="AA968" s="1" t="n"/>
      <c r="AB968" s="1" t="n"/>
      <c r="AC968" s="1" t="n"/>
      <c r="AD968" s="1" t="n"/>
      <c r="AE968" s="1" t="n"/>
    </row>
    <row r="969" ht="42" customHeight="1">
      <c r="A969" s="14">
        <f>IFERROR(__xludf.DUMMYFUNCTION("""COMPUTED_VALUE"""),45181)</f>
        <v/>
      </c>
      <c r="B969" s="1">
        <f>IFERROR(__xludf.DUMMYFUNCTION("""COMPUTED_VALUE"""),"ORG_2325")</f>
        <v/>
      </c>
      <c r="C969" s="1">
        <f>IFERROR(__xludf.DUMMYFUNCTION("""COMPUTED_VALUE"""),TRUE)</f>
        <v/>
      </c>
      <c r="D969" s="1">
        <f>IFERROR(__xludf.DUMMYFUNCTION("""COMPUTED_VALUE"""),"StellKey")</f>
        <v/>
      </c>
      <c r="E969" s="15">
        <f>IFERROR(__xludf.DUMMYFUNCTION("""COMPUTED_VALUE"""),"www.stellkey.com")</f>
        <v/>
      </c>
      <c r="F969" s="1">
        <f>IFERROR(__xludf.DUMMYFUNCTION("""COMPUTED_VALUE"""),"StellKey is an app designed to help families work together. Using a fun planetary theme, StellKey helps children grow a sense of responsibility, contribute to the household and build good habits - like brushing their teeth, getting ready in the morning, d"&amp;"o homeworks, eat fruits &amp; vegetables, protect the environment, and much more.")</f>
        <v/>
      </c>
      <c r="G969" s="1">
        <f>IFERROR(__xludf.DUMMYFUNCTION("""COMPUTED_VALUE"""),"I'm not part of any EdTech association")</f>
        <v/>
      </c>
      <c r="H969" s="1" t="n"/>
      <c r="I969" s="1">
        <f>IFERROR(__xludf.DUMMYFUNCTION("""COMPUTED_VALUE"""),"tomstellkey@gmail.com")</f>
        <v/>
      </c>
      <c r="J969" s="1" t="n"/>
      <c r="K969" s="1">
        <f>IFERROR(__xludf.DUMMYFUNCTION("""COMPUTED_VALUE"""),"Paris")</f>
        <v/>
      </c>
      <c r="L969" s="1">
        <f>IFERROR(__xludf.DUMMYFUNCTION("""COMPUTED_VALUE"""),"France")</f>
        <v/>
      </c>
      <c r="M969" s="1">
        <f>IFERROR(__xludf.DUMMYFUNCTION("""COMPUTED_VALUE"""),"Albania, Andorra, Armenia, Austria, Azerbaijan, Belarus, Belgium, Bosnia, and, Herzegovina, Bulgaria, Croatia, Cyprus, Czechia, Denmark, Estonia, Finland, France, Georgia, Germany, Greece, Hungary, Iceland, Ireland, Italy, Kazakhstan, Kosovo, Latvia, Liec"&amp;"htenstein, Lithuania, Luxembourg, Malta, Moldova, Monaco, Montenegro, Netherlands, North Macedonia, Norway, Poland, Portugal, Romania, Russia, San Marino, Serbia, Slovakia, Slovenia, Spain, Sweden, Switzerland, Turkey, Ukraine, United Kingdom")</f>
        <v/>
      </c>
      <c r="N969" s="1">
        <f>IFERROR(__xludf.DUMMYFUNCTION("""COMPUTED_VALUE"""),"0 to 10")</f>
        <v/>
      </c>
      <c r="O969" s="1">
        <f>IFERROR(__xludf.DUMMYFUNCTION("""COMPUTED_VALUE"""),"Business to Schools")</f>
        <v/>
      </c>
      <c r="P969" s="1">
        <f>IFERROR(__xludf.DUMMYFUNCTION("""COMPUTED_VALUE"""),"Early childhood development (0-5 years), Primary Education")</f>
        <v/>
      </c>
      <c r="Q969" s="1">
        <f>IFERROR(__xludf.DUMMYFUNCTION("""COMPUTED_VALUE"""),"System/Administrative, Student interfacing, Teacher interfacing")</f>
        <v/>
      </c>
      <c r="R969" s="1" t="n"/>
      <c r="S969" s="1" t="n"/>
      <c r="T969" s="1" t="n"/>
      <c r="U969" s="1" t="n"/>
      <c r="V969" s="1" t="n"/>
      <c r="W969" s="1" t="n"/>
      <c r="X969" s="1" t="n"/>
      <c r="Y969" s="15">
        <f>IFERROR(__xludf.DUMMYFUNCTION("""COMPUTED_VALUE"""),"https://drive.google.com/uc?export=view&amp;id=1lO6Y_PiZ0YIOA9tzxNkGuuz1iuAH5KFj")</f>
        <v/>
      </c>
      <c r="Z969" s="1">
        <f>IFERROR(__xludf.DUMMYFUNCTION("""COMPUTED_VALUE"""),"Unverified")</f>
        <v/>
      </c>
      <c r="AA969" s="1" t="n"/>
      <c r="AB969" s="1" t="n"/>
      <c r="AC969" s="1" t="n"/>
      <c r="AD969" s="1" t="n"/>
      <c r="AE969" s="1" t="n"/>
    </row>
    <row r="970" ht="42" customHeight="1">
      <c r="A970" s="14">
        <f>IFERROR(__xludf.DUMMYFUNCTION("""COMPUTED_VALUE"""),45181)</f>
        <v/>
      </c>
      <c r="B970" s="1">
        <f>IFERROR(__xludf.DUMMYFUNCTION("""COMPUTED_VALUE"""),"ORG_2466")</f>
        <v/>
      </c>
      <c r="C970" s="1">
        <f>IFERROR(__xludf.DUMMYFUNCTION("""COMPUTED_VALUE"""),TRUE)</f>
        <v/>
      </c>
      <c r="D970" s="1">
        <f>IFERROR(__xludf.DUMMYFUNCTION("""COMPUTED_VALUE"""),"Univera")</f>
        <v/>
      </c>
      <c r="E970" s="1">
        <f>IFERROR(__xludf.DUMMYFUNCTION("""COMPUTED_VALUE"""),"univera.app")</f>
        <v/>
      </c>
      <c r="F970" s="1">
        <f>IFERROR(__xludf.DUMMYFUNCTION("""COMPUTED_VALUE"""),"We are startup team that working on University in a smartphone concept. 
This is 2-in-1 product that allows to reimagine interaction between student and university and connects students, university and employers. We started work on this in 2019 but compan"&amp;"y was founded since August 2021.")</f>
        <v/>
      </c>
      <c r="G970" s="1">
        <f>IFERROR(__xludf.DUMMYFUNCTION("""COMPUTED_VALUE"""),"I'm not part of any EdTech association")</f>
        <v/>
      </c>
      <c r="H970" s="1" t="n"/>
      <c r="I970" s="1">
        <f>IFERROR(__xludf.DUMMYFUNCTION("""COMPUTED_VALUE"""),"ceo@univera.app")</f>
        <v/>
      </c>
      <c r="J970" s="1">
        <f>IFERROR(__xludf.DUMMYFUNCTION("""COMPUTED_VALUE"""),"+380973141095")</f>
        <v/>
      </c>
      <c r="K970" s="1">
        <f>IFERROR(__xludf.DUMMYFUNCTION("""COMPUTED_VALUE"""),"Odesa")</f>
        <v/>
      </c>
      <c r="L970" s="1">
        <f>IFERROR(__xludf.DUMMYFUNCTION("""COMPUTED_VALUE"""),"Ukraine")</f>
        <v/>
      </c>
      <c r="M970" s="1">
        <f>IFERROR(__xludf.DUMMYFUNCTION("""COMPUTED_VALUE"""),"Ukraine")</f>
        <v/>
      </c>
      <c r="N970" s="1">
        <f>IFERROR(__xludf.DUMMYFUNCTION("""COMPUTED_VALUE"""),"0 to 10")</f>
        <v/>
      </c>
      <c r="O970" s="1">
        <f>IFERROR(__xludf.DUMMYFUNCTION("""COMPUTED_VALUE"""),"Business to Schools")</f>
        <v/>
      </c>
      <c r="P970" s="1">
        <f>IFERROR(__xludf.DUMMYFUNCTION("""COMPUTED_VALUE"""),"Higher Education")</f>
        <v/>
      </c>
      <c r="Q970" s="1">
        <f>IFERROR(__xludf.DUMMYFUNCTION("""COMPUTED_VALUE"""),"System/Administrative, Student interfacing")</f>
        <v/>
      </c>
      <c r="R970" s="1" t="n"/>
      <c r="S970" s="1" t="n"/>
      <c r="T970" s="1" t="n"/>
      <c r="U970" s="1" t="n"/>
      <c r="V970" s="1" t="n"/>
      <c r="W970" s="1" t="n"/>
      <c r="X970" s="1" t="n"/>
      <c r="Y970" s="15">
        <f>IFERROR(__xludf.DUMMYFUNCTION("""COMPUTED_VALUE"""),"https://drive.google.com/uc?export=view&amp;id=1AKR14Tp8t8FDqPzGd0snr8qh6WOHHfEz")</f>
        <v/>
      </c>
      <c r="Z970" s="1">
        <f>IFERROR(__xludf.DUMMYFUNCTION("""COMPUTED_VALUE"""),"Unverified")</f>
        <v/>
      </c>
      <c r="AA970" s="1" t="n"/>
      <c r="AB970" s="1" t="n"/>
      <c r="AC970" s="1" t="n"/>
      <c r="AD970" s="1" t="n"/>
      <c r="AE970" s="1" t="n"/>
    </row>
    <row r="971" ht="42" customHeight="1">
      <c r="A971" s="14">
        <f>IFERROR(__xludf.DUMMYFUNCTION("""COMPUTED_VALUE"""),45181)</f>
        <v/>
      </c>
      <c r="B971" s="1">
        <f>IFERROR(__xludf.DUMMYFUNCTION("""COMPUTED_VALUE"""),"ORG_1056")</f>
        <v/>
      </c>
      <c r="C971" s="1">
        <f>IFERROR(__xludf.DUMMYFUNCTION("""COMPUTED_VALUE"""),TRUE)</f>
        <v/>
      </c>
      <c r="D971" s="1">
        <f>IFERROR(__xludf.DUMMYFUNCTION("""COMPUTED_VALUE"""),"Altamar")</f>
        <v/>
      </c>
      <c r="E971" s="15">
        <f>IFERROR(__xludf.DUMMYFUNCTION("""COMPUTED_VALUE"""),"www.altamar.es")</f>
        <v/>
      </c>
      <c r="F971" s="1">
        <f>IFERROR(__xludf.DUMMYFUNCTION("""COMPUTED_VALUE"""),"Publisher specialized in educational content for professional training.
Our content is available in multiple formats (paper and/or digital) and can be consumed on our own LMS platforms or those of educational centers.")</f>
        <v/>
      </c>
      <c r="G971" s="1">
        <f>IFERROR(__xludf.DUMMYFUNCTION("""COMPUTED_VALUE"""),"I'm not part of any EdTech association")</f>
        <v/>
      </c>
      <c r="H971" s="1" t="n"/>
      <c r="I971" s="1">
        <f>IFERROR(__xludf.DUMMYFUNCTION("""COMPUTED_VALUE"""),"editorial@altamar.es")</f>
        <v/>
      </c>
      <c r="J971" s="1">
        <f>IFERROR(__xludf.DUMMYFUNCTION("""COMPUTED_VALUE"""),"961515868")</f>
        <v/>
      </c>
      <c r="K971" s="1">
        <f>IFERROR(__xludf.DUMMYFUNCTION("""COMPUTED_VALUE"""),"SANT FELIU DE LLOBREGAT")</f>
        <v/>
      </c>
      <c r="L971" s="1">
        <f>IFERROR(__xludf.DUMMYFUNCTION("""COMPUTED_VALUE"""),"Spain")</f>
        <v/>
      </c>
      <c r="M971" s="1">
        <f>IFERROR(__xludf.DUMMYFUNCTION("""COMPUTED_VALUE"""),"Spain")</f>
        <v/>
      </c>
      <c r="N971" s="1">
        <f>IFERROR(__xludf.DUMMYFUNCTION("""COMPUTED_VALUE"""),"11 to 50")</f>
        <v/>
      </c>
      <c r="O971" s="1">
        <f>IFERROR(__xludf.DUMMYFUNCTION("""COMPUTED_VALUE"""),"Business to Business")</f>
        <v/>
      </c>
      <c r="P971" s="1">
        <f>IFERROR(__xludf.DUMMYFUNCTION("""COMPUTED_VALUE"""),"Higher Education, Lifelong learning/Adult education")</f>
        <v/>
      </c>
      <c r="Q971" s="1">
        <f>IFERROR(__xludf.DUMMYFUNCTION("""COMPUTED_VALUE"""),"Teacher interfacing, Student interfacing, System/Administrative")</f>
        <v/>
      </c>
      <c r="R971" s="1" t="n"/>
      <c r="S971" s="1" t="n"/>
      <c r="T971" s="15">
        <f>IFERROR(__xludf.DUMMYFUNCTION("""COMPUTED_VALUE"""),"https://www.linkedin.com/company/editorial-altamar-s-l-/")</f>
        <v/>
      </c>
      <c r="U971" s="1">
        <f>IFERROR(__xludf.DUMMYFUNCTION("""COMPUTED_VALUE"""),"Paper books")</f>
        <v/>
      </c>
      <c r="V971" s="1">
        <f>IFERROR(__xludf.DUMMYFUNCTION("""COMPUTED_VALUE"""),"The books follow the curricular content established by the Spanish Ministry of Education, we onluy publish regulated texts.")</f>
        <v/>
      </c>
      <c r="W971" s="1">
        <f>IFERROR(__xludf.DUMMYFUNCTION("""COMPUTED_VALUE"""),"Media book")</f>
        <v/>
      </c>
      <c r="X971" s="1">
        <f>IFERROR(__xludf.DUMMYFUNCTION("""COMPUTED_VALUE"""),"The media book license gives access to the regulated content of paper books and includes contextualized and self-produced multimedia material adapted to each module of each training cycle.")</f>
        <v/>
      </c>
      <c r="Y971" s="15">
        <f>IFERROR(__xludf.DUMMYFUNCTION("""COMPUTED_VALUE"""),"https://drive.google.com/uc?export=view&amp;id=1YYthl1XG24kpopftkXKrLM72OLVIA1sF")</f>
        <v/>
      </c>
      <c r="Z971" s="1">
        <f>IFERROR(__xludf.DUMMYFUNCTION("""COMPUTED_VALUE"""),"Unverified")</f>
        <v/>
      </c>
      <c r="AA971" s="1" t="n"/>
      <c r="AB971" s="1" t="n"/>
      <c r="AC971" s="1" t="n"/>
      <c r="AD971" s="1" t="n"/>
      <c r="AE971" s="1" t="n"/>
    </row>
    <row r="972" ht="42" customHeight="1">
      <c r="A972" s="14">
        <f>IFERROR(__xludf.DUMMYFUNCTION("""COMPUTED_VALUE"""),45181)</f>
        <v/>
      </c>
      <c r="B972" s="1">
        <f>IFERROR(__xludf.DUMMYFUNCTION("""COMPUTED_VALUE"""),"ORG_1060")</f>
        <v/>
      </c>
      <c r="C972" s="1">
        <f>IFERROR(__xludf.DUMMYFUNCTION("""COMPUTED_VALUE"""),TRUE)</f>
        <v/>
      </c>
      <c r="D972" s="1">
        <f>IFERROR(__xludf.DUMMYFUNCTION("""COMPUTED_VALUE"""),"Alternative Digitale")</f>
        <v/>
      </c>
      <c r="E972" s="15">
        <f>IFERROR(__xludf.DUMMYFUNCTION("""COMPUTED_VALUE"""),"www.alternativedigitale.com")</f>
        <v/>
      </c>
      <c r="F972" s="1">
        <f>IFERROR(__xludf.DUMMYFUNCTION("""COMPUTED_VALUE"""),"Alternative Digitale is dedicated to evaluating professional digital skills 
DiGiTT is a digital skill certification for individual who want to prove their level of expertise
Diag by DiGiTT is an assessment for businesses which want to monitor their team "&amp;"digital skills")</f>
        <v/>
      </c>
      <c r="G972" s="1">
        <f>IFERROR(__xludf.DUMMYFUNCTION("""COMPUTED_VALUE"""),"AFINEF, EdTech France")</f>
        <v/>
      </c>
      <c r="H972" s="1">
        <f>IFERROR(__xludf.DUMMYFUNCTION("""COMPUTED_VALUE"""),"French, English")</f>
        <v/>
      </c>
      <c r="I972" s="1">
        <f>IFERROR(__xludf.DUMMYFUNCTION("""COMPUTED_VALUE"""),"pierre@alternativedigitale.com")</f>
        <v/>
      </c>
      <c r="J972" s="1">
        <f>IFERROR(__xludf.DUMMYFUNCTION("""COMPUTED_VALUE"""),"+33 6 52 85 88 77")</f>
        <v/>
      </c>
      <c r="K972" s="1">
        <f>IFERROR(__xludf.DUMMYFUNCTION("""COMPUTED_VALUE"""),"Paris")</f>
        <v/>
      </c>
      <c r="L972" s="1">
        <f>IFERROR(__xludf.DUMMYFUNCTION("""COMPUTED_VALUE"""),"France")</f>
        <v/>
      </c>
      <c r="M972" s="1">
        <f>IFERROR(__xludf.DUMMYFUNCTION("""COMPUTED_VALUE"""),"Belgium, France, Switzerland")</f>
        <v/>
      </c>
      <c r="N972" s="1">
        <f>IFERROR(__xludf.DUMMYFUNCTION("""COMPUTED_VALUE"""),"3 to 5")</f>
        <v/>
      </c>
      <c r="O972" s="1">
        <f>IFERROR(__xludf.DUMMYFUNCTION("""COMPUTED_VALUE"""),"Business to Business")</f>
        <v/>
      </c>
      <c r="P972" s="1">
        <f>IFERROR(__xludf.DUMMYFUNCTION("""COMPUTED_VALUE"""),"Corporate Training, Lifelong learning/Adult education")</f>
        <v/>
      </c>
      <c r="Q972" s="1">
        <f>IFERROR(__xludf.DUMMYFUNCTION("""COMPUTED_VALUE"""),"System/Administrative, Student interfacing")</f>
        <v/>
      </c>
      <c r="R972" s="1" t="n"/>
      <c r="S972" s="15">
        <f>IFERROR(__xludf.DUMMYFUNCTION("""COMPUTED_VALUE"""),"https://twitter.com/mydigitt")</f>
        <v/>
      </c>
      <c r="T972" s="15">
        <f>IFERROR(__xludf.DUMMYFUNCTION("""COMPUTED_VALUE"""),"https://www.linkedin.com/company/alternative-digitale/")</f>
        <v/>
      </c>
      <c r="U972" s="1">
        <f>IFERROR(__xludf.DUMMYFUNCTION("""COMPUTED_VALUE"""),"DiGiTT")</f>
        <v/>
      </c>
      <c r="V972" s="1">
        <f>IFERROR(__xludf.DUMMYFUNCTION("""COMPUTED_VALUE"""),"DiGiTT is a certification for professional digital skills.")</f>
        <v/>
      </c>
      <c r="W972" s="1">
        <f>IFERROR(__xludf.DUMMYFUNCTION("""COMPUTED_VALUE"""),"Diag by DiGiTT")</f>
        <v/>
      </c>
      <c r="X972" s="1">
        <f>IFERROR(__xludf.DUMMYFUNCTION("""COMPUTED_VALUE"""),"Diag by DiGiTT is an assessment for businesses which want to monitor thei team digital skills")</f>
        <v/>
      </c>
      <c r="Y972" s="15">
        <f>IFERROR(__xludf.DUMMYFUNCTION("""COMPUTED_VALUE"""),"https://drive.google.com/uc?export=view&amp;id=1ddiUoKd_TdVGNRVKufAfDhAhEO5n0Zcl")</f>
        <v/>
      </c>
      <c r="Z972" s="1">
        <f>IFERROR(__xludf.DUMMYFUNCTION("""COMPUTED_VALUE"""),"Unverified")</f>
        <v/>
      </c>
      <c r="AA972" s="1" t="n"/>
      <c r="AB972" s="1" t="n"/>
      <c r="AC972" s="1" t="n"/>
      <c r="AD972" s="1" t="n"/>
      <c r="AE972" s="1" t="n"/>
    </row>
    <row r="973" ht="42" customHeight="1">
      <c r="A973" s="14">
        <f>IFERROR(__xludf.DUMMYFUNCTION("""COMPUTED_VALUE"""),45181)</f>
        <v/>
      </c>
      <c r="B973" s="1">
        <f>IFERROR(__xludf.DUMMYFUNCTION("""COMPUTED_VALUE"""),"ORG_1190")</f>
        <v/>
      </c>
      <c r="C973" s="1">
        <f>IFERROR(__xludf.DUMMYFUNCTION("""COMPUTED_VALUE"""),TRUE)</f>
        <v/>
      </c>
      <c r="D973" s="1">
        <f>IFERROR(__xludf.DUMMYFUNCTION("""COMPUTED_VALUE"""),"BQ Educación")</f>
        <v/>
      </c>
      <c r="E973" s="15">
        <f>IFERROR(__xludf.DUMMYFUNCTION("""COMPUTED_VALUE"""),"https://educacion.bq.com/")</f>
        <v/>
      </c>
      <c r="F973" s="1">
        <f>IFERROR(__xludf.DUMMYFUNCTION("""COMPUTED_VALUE"""),"BQ Educación is a pioneer of technology education in Spain. Its products, solutions and projects nourish the creative, technical and emotional competences of children and adults alike. BQ Educación has more than 1.5 million users, and more than 1 million "&amp;"children have learnt with them.")</f>
        <v/>
      </c>
      <c r="G973" s="1">
        <f>IFERROR(__xludf.DUMMYFUNCTION("""COMPUTED_VALUE"""),"I'm not part of any EdTech association")</f>
        <v/>
      </c>
      <c r="H973" s="1" t="n"/>
      <c r="I973" s="1">
        <f>IFERROR(__xludf.DUMMYFUNCTION("""COMPUTED_VALUE"""),"educacion@bq.com")</f>
        <v/>
      </c>
      <c r="J973" s="1" t="n"/>
      <c r="K973" s="1">
        <f>IFERROR(__xludf.DUMMYFUNCTION("""COMPUTED_VALUE"""),"Las Rozas de Madrid")</f>
        <v/>
      </c>
      <c r="L973" s="1">
        <f>IFERROR(__xludf.DUMMYFUNCTION("""COMPUTED_VALUE"""),"Spain")</f>
        <v/>
      </c>
      <c r="M973" s="1">
        <f>IFERROR(__xludf.DUMMYFUNCTION("""COMPUTED_VALUE"""),"Portugal, Spain")</f>
        <v/>
      </c>
      <c r="N973" s="1">
        <f>IFERROR(__xludf.DUMMYFUNCTION("""COMPUTED_VALUE"""),"51 to 100")</f>
        <v/>
      </c>
      <c r="O973" s="1">
        <f>IFERROR(__xludf.DUMMYFUNCTION("""COMPUTED_VALUE"""),"Business to Business")</f>
        <v/>
      </c>
      <c r="P973" s="1">
        <f>IFERROR(__xludf.DUMMYFUNCTION("""COMPUTED_VALUE"""),"Primary Education, Secondary Education, Lifelong learning/Adult education")</f>
        <v/>
      </c>
      <c r="Q973" s="1">
        <f>IFERROR(__xludf.DUMMYFUNCTION("""COMPUTED_VALUE"""),"System/Administrative, Student interfacing, Teacher interfacing")</f>
        <v/>
      </c>
      <c r="R973" s="1" t="n"/>
      <c r="S973" s="1" t="n"/>
      <c r="T973" s="1" t="n"/>
      <c r="U973" s="1" t="n"/>
      <c r="V973" s="1" t="n"/>
      <c r="W973" s="1" t="n"/>
      <c r="X973" s="1" t="n"/>
      <c r="Y973" s="15">
        <f>IFERROR(__xludf.DUMMYFUNCTION("""COMPUTED_VALUE"""),"https://drive.google.com/uc?export=view&amp;id=1wJuYP6KAalYt9L4ZbIyC0lewQ7h6z2bE")</f>
        <v/>
      </c>
      <c r="Z973" s="1">
        <f>IFERROR(__xludf.DUMMYFUNCTION("""COMPUTED_VALUE"""),"Unverified")</f>
        <v/>
      </c>
      <c r="AA973" s="1" t="n"/>
      <c r="AB973" s="1" t="n"/>
      <c r="AC973" s="1" t="n"/>
      <c r="AD973" s="1" t="n"/>
      <c r="AE973" s="1" t="n"/>
    </row>
    <row r="974" ht="42" customHeight="1">
      <c r="A974" s="14">
        <f>IFERROR(__xludf.DUMMYFUNCTION("""COMPUTED_VALUE"""),45181)</f>
        <v/>
      </c>
      <c r="B974" s="1">
        <f>IFERROR(__xludf.DUMMYFUNCTION("""COMPUTED_VALUE"""),"ORG_1226")</f>
        <v/>
      </c>
      <c r="C974" s="1">
        <f>IFERROR(__xludf.DUMMYFUNCTION("""COMPUTED_VALUE"""),TRUE)</f>
        <v/>
      </c>
      <c r="D974" s="1">
        <f>IFERROR(__xludf.DUMMYFUNCTION("""COMPUTED_VALUE"""),"Certifier")</f>
        <v/>
      </c>
      <c r="E974" s="15">
        <f>IFERROR(__xludf.DUMMYFUNCTION("""COMPUTED_VALUE"""),"https://certifier.me/")</f>
        <v/>
      </c>
      <c r="F974" s="1">
        <f>IFERROR(__xludf.DUMMYFUNCTION("""COMPUTED_VALUE"""),"Certifier is the technology that helps people issue and manage digital credentials. Thanks to Certifier, people can create certificate designs, send credentials to students, manage issued credentials, and explore the analytics about the documents issued. "&amp;"Certifier platform for creating certificates and digital credentials can be used for everything: design, create, issue, and send digital certificates.")</f>
        <v/>
      </c>
      <c r="G974" s="1">
        <f>IFERROR(__xludf.DUMMYFUNCTION("""COMPUTED_VALUE"""),"I'm not part of any EdTech association")</f>
        <v/>
      </c>
      <c r="H974" s="1" t="n"/>
      <c r="I974" s="1">
        <f>IFERROR(__xludf.DUMMYFUNCTION("""COMPUTED_VALUE"""),"sergey@certifier.me")</f>
        <v/>
      </c>
      <c r="J974" s="1" t="n"/>
      <c r="K974" s="1">
        <f>IFERROR(__xludf.DUMMYFUNCTION("""COMPUTED_VALUE"""),"KRAKÓW")</f>
        <v/>
      </c>
      <c r="L974" s="1">
        <f>IFERROR(__xludf.DUMMYFUNCTION("""COMPUTED_VALUE"""),"Poland")</f>
        <v/>
      </c>
      <c r="M974" s="1">
        <f>IFERROR(__xludf.DUMMYFUNCTION("""COMPUTED_VALUE"""),"Austria, Belgium, Czechia, Finland, Germany, Italy, Malta, Norway, Poland, Romania, Sweden, Switzerland, United Kingdom")</f>
        <v/>
      </c>
      <c r="N974" s="1">
        <f>IFERROR(__xludf.DUMMYFUNCTION("""COMPUTED_VALUE"""),"0 to 10")</f>
        <v/>
      </c>
      <c r="O974" s="1">
        <f>IFERROR(__xludf.DUMMYFUNCTION("""COMPUTED_VALUE"""),"Business to Business")</f>
        <v/>
      </c>
      <c r="P974" s="1">
        <f>IFERROR(__xludf.DUMMYFUNCTION("""COMPUTED_VALUE"""),"Higher Education, Corporate Training, Lifelong learning/Adult education")</f>
        <v/>
      </c>
      <c r="Q974" s="1">
        <f>IFERROR(__xludf.DUMMYFUNCTION("""COMPUTED_VALUE"""),"Teacher interfacing, System/Administrative")</f>
        <v/>
      </c>
      <c r="R974" s="1" t="n"/>
      <c r="S974" s="1" t="n"/>
      <c r="T974" s="1" t="n"/>
      <c r="U974" s="1" t="n"/>
      <c r="V974" s="1" t="n"/>
      <c r="W974" s="1" t="n"/>
      <c r="X974" s="1" t="n"/>
      <c r="Y974" s="15">
        <f>IFERROR(__xludf.DUMMYFUNCTION("""COMPUTED_VALUE"""),"https://drive.google.com/uc?export=view&amp;id=1g5hD9HBStTupBYpLTPpZ1JTYzE-A-Sk1")</f>
        <v/>
      </c>
      <c r="Z974" s="1">
        <f>IFERROR(__xludf.DUMMYFUNCTION("""COMPUTED_VALUE"""),"Unverified")</f>
        <v/>
      </c>
      <c r="AA974" s="1" t="n"/>
      <c r="AB974" s="1" t="n"/>
      <c r="AC974" s="1" t="n"/>
      <c r="AD974" s="1" t="n"/>
      <c r="AE974" s="1" t="n"/>
    </row>
    <row r="975" ht="42" customHeight="1">
      <c r="A975" s="14">
        <f>IFERROR(__xludf.DUMMYFUNCTION("""COMPUTED_VALUE"""),45181)</f>
        <v/>
      </c>
      <c r="B975" s="1">
        <f>IFERROR(__xludf.DUMMYFUNCTION("""COMPUTED_VALUE"""),"ORG_1492")</f>
        <v/>
      </c>
      <c r="C975" s="1">
        <f>IFERROR(__xludf.DUMMYFUNCTION("""COMPUTED_VALUE"""),TRUE)</f>
        <v/>
      </c>
      <c r="D975" s="1">
        <f>IFERROR(__xludf.DUMMYFUNCTION("""COMPUTED_VALUE"""),"EMPRENDE CONMIGO S.L.")</f>
        <v/>
      </c>
      <c r="E975" s="15">
        <f>IFERROR(__xludf.DUMMYFUNCTION("""COMPUTED_VALUE"""),"www.emprendeconmigo.com")</f>
        <v/>
      </c>
      <c r="F975" s="1">
        <f>IFERROR(__xludf.DUMMYFUNCTION("""COMPUTED_VALUE"""),"We are EDUTECH/LEGALTECH platform focused in hispanic speaking people around the world.")</f>
        <v/>
      </c>
      <c r="G975" s="1">
        <f>IFERROR(__xludf.DUMMYFUNCTION("""COMPUTED_VALUE"""),"I'm not part of any EdTech association")</f>
        <v/>
      </c>
      <c r="H975" s="1" t="n"/>
      <c r="I975" s="1">
        <f>IFERROR(__xludf.DUMMYFUNCTION("""COMPUTED_VALUE"""),"gina@emprendeconmigo.com")</f>
        <v/>
      </c>
      <c r="J975" s="1">
        <f>IFERROR(__xludf.DUMMYFUNCTION("""COMPUTED_VALUE"""),"610613971")</f>
        <v/>
      </c>
      <c r="K975" s="1">
        <f>IFERROR(__xludf.DUMMYFUNCTION("""COMPUTED_VALUE"""),"MADRID")</f>
        <v/>
      </c>
      <c r="L975" s="1">
        <f>IFERROR(__xludf.DUMMYFUNCTION("""COMPUTED_VALUE"""),"Spain")</f>
        <v/>
      </c>
      <c r="M975" s="1">
        <f>IFERROR(__xludf.DUMMYFUNCTION("""COMPUTED_VALUE"""),"Italy, Netherlands, Spain")</f>
        <v/>
      </c>
      <c r="N975" s="1">
        <f>IFERROR(__xludf.DUMMYFUNCTION("""COMPUTED_VALUE"""),"0 to 10")</f>
        <v/>
      </c>
      <c r="O975" s="1">
        <f>IFERROR(__xludf.DUMMYFUNCTION("""COMPUTED_VALUE"""),"Business to Business")</f>
        <v/>
      </c>
      <c r="P975" s="1">
        <f>IFERROR(__xludf.DUMMYFUNCTION("""COMPUTED_VALUE"""),"Lifelong learning/Adult education")</f>
        <v/>
      </c>
      <c r="Q975" s="1">
        <f>IFERROR(__xludf.DUMMYFUNCTION("""COMPUTED_VALUE"""),"Student interfacing, System/Administrative")</f>
        <v/>
      </c>
      <c r="R975" s="1" t="n"/>
      <c r="S975" s="1" t="n"/>
      <c r="T975" s="1" t="n"/>
      <c r="U975" s="1" t="n"/>
      <c r="V975" s="1" t="n"/>
      <c r="W975" s="1" t="n"/>
      <c r="X975" s="1" t="n"/>
      <c r="Y975" s="15">
        <f>IFERROR(__xludf.DUMMYFUNCTION("""COMPUTED_VALUE"""),"https://drive.google.com/uc?export=view&amp;id=1TZz0miM3mzZk4BRg06prZdOScbbJa_0r")</f>
        <v/>
      </c>
      <c r="Z975" s="1">
        <f>IFERROR(__xludf.DUMMYFUNCTION("""COMPUTED_VALUE"""),"Unverified")</f>
        <v/>
      </c>
      <c r="AA975" s="1" t="n"/>
      <c r="AB975" s="1" t="n"/>
      <c r="AC975" s="1" t="n"/>
      <c r="AD975" s="1" t="n"/>
      <c r="AE975" s="1" t="n"/>
    </row>
    <row r="976" ht="42" customHeight="1">
      <c r="A976" s="14">
        <f>IFERROR(__xludf.DUMMYFUNCTION("""COMPUTED_VALUE"""),45181)</f>
        <v/>
      </c>
      <c r="B976" s="1">
        <f>IFERROR(__xludf.DUMMYFUNCTION("""COMPUTED_VALUE"""),"ORG_1622")</f>
        <v/>
      </c>
      <c r="C976" s="1">
        <f>IFERROR(__xludf.DUMMYFUNCTION("""COMPUTED_VALUE"""),TRUE)</f>
        <v/>
      </c>
      <c r="D976" s="1">
        <f>IFERROR(__xludf.DUMMYFUNCTION("""COMPUTED_VALUE"""),"Gimi - financial superskills for life")</f>
        <v/>
      </c>
      <c r="E976" s="15">
        <f>IFERROR(__xludf.DUMMYFUNCTION("""COMPUTED_VALUE"""),"https://gimi.com/sv/")</f>
        <v/>
      </c>
      <c r="F976" s="1">
        <f>IFERROR(__xludf.DUMMYFUNCTION("""COMPUTED_VALUE"""),"Gimi's mission is to educate children within financial literacy. Therefore we have developed digital and interactive lessons in our app. The children travel between planets to learn financial literacy, and when they are done with a subject on a planet, th"&amp;"ere are 10 questions asked and if they answer correct on 5 of them, the alien friend gets enough fuel to travel to the next planet.
The lessons are developed by our expert within digital didactics together with a savings expert, making sure we teach the "&amp;"right things in the right way.")</f>
        <v/>
      </c>
      <c r="G976" s="1">
        <f>IFERROR(__xludf.DUMMYFUNCTION("""COMPUTED_VALUE"""),"I'm not part of any EdTech association")</f>
        <v/>
      </c>
      <c r="H976" s="1" t="n"/>
      <c r="I976" s="1">
        <f>IFERROR(__xludf.DUMMYFUNCTION("""COMPUTED_VALUE"""),"lisa@gimitheapp.com")</f>
        <v/>
      </c>
      <c r="J976" s="1">
        <f>IFERROR(__xludf.DUMMYFUNCTION("""COMPUTED_VALUE"""),"+46761271414")</f>
        <v/>
      </c>
      <c r="K976" s="1">
        <f>IFERROR(__xludf.DUMMYFUNCTION("""COMPUTED_VALUE"""),"STOCKHOLM")</f>
        <v/>
      </c>
      <c r="L976" s="1">
        <f>IFERROR(__xludf.DUMMYFUNCTION("""COMPUTED_VALUE"""),"Sweden")</f>
        <v/>
      </c>
      <c r="M976" s="1">
        <f>IFERROR(__xludf.DUMMYFUNCTION("""COMPUTED_VALUE"""),"Netherlands, Norway, Sweden")</f>
        <v/>
      </c>
      <c r="N976" s="1">
        <f>IFERROR(__xludf.DUMMYFUNCTION("""COMPUTED_VALUE"""),"11 to 50")</f>
        <v/>
      </c>
      <c r="O976" s="1">
        <f>IFERROR(__xludf.DUMMYFUNCTION("""COMPUTED_VALUE"""),"Business to Business, Business to Consumer")</f>
        <v/>
      </c>
      <c r="P976" s="1">
        <f>IFERROR(__xludf.DUMMYFUNCTION("""COMPUTED_VALUE"""),"Primary Education, Secondary Education, Lifelong learning/Adult education")</f>
        <v/>
      </c>
      <c r="Q976" s="1">
        <f>IFERROR(__xludf.DUMMYFUNCTION("""COMPUTED_VALUE"""),"System/Administrative, Student interfacing")</f>
        <v/>
      </c>
      <c r="R976" s="1" t="n"/>
      <c r="S976" s="1" t="n"/>
      <c r="T976" s="1" t="n"/>
      <c r="U976" s="1" t="n"/>
      <c r="V976" s="1" t="n"/>
      <c r="W976" s="1" t="n"/>
      <c r="X976" s="1" t="n"/>
      <c r="Y976" s="15">
        <f>IFERROR(__xludf.DUMMYFUNCTION("""COMPUTED_VALUE"""),"https://drive.google.com/uc?export=view&amp;id=1KrCc2XIQuQ_Jsqbg63K4XptZY22X-M55")</f>
        <v/>
      </c>
      <c r="Z976" s="1">
        <f>IFERROR(__xludf.DUMMYFUNCTION("""COMPUTED_VALUE"""),"Unverified")</f>
        <v/>
      </c>
      <c r="AA976" s="1" t="n"/>
      <c r="AB976" s="1" t="n"/>
      <c r="AC976" s="1" t="n"/>
      <c r="AD976" s="1" t="n"/>
      <c r="AE976" s="1" t="n"/>
    </row>
    <row r="977" ht="42" customHeight="1">
      <c r="A977" s="14">
        <f>IFERROR(__xludf.DUMMYFUNCTION("""COMPUTED_VALUE"""),45181)</f>
        <v/>
      </c>
      <c r="B977" s="1">
        <f>IFERROR(__xludf.DUMMYFUNCTION("""COMPUTED_VALUE"""),"ORG_1723")</f>
        <v/>
      </c>
      <c r="C977" s="1">
        <f>IFERROR(__xludf.DUMMYFUNCTION("""COMPUTED_VALUE"""),TRUE)</f>
        <v/>
      </c>
      <c r="D977" s="1">
        <f>IFERROR(__xludf.DUMMYFUNCTION("""COMPUTED_VALUE"""),"Innobox")</f>
        <v/>
      </c>
      <c r="E977" s="15">
        <f>IFERROR(__xludf.DUMMYFUNCTION("""COMPUTED_VALUE"""),"www.innobambini.it")</f>
        <v/>
      </c>
      <c r="F977" s="1">
        <f>IFERROR(__xludf.DUMMYFUNCTION("""COMPUTED_VALUE"""),"Innobox provides materials and video instructions for children 8 - 14 years of age to perform experiments at home. 
Empowering today's growing minds for the STEM careers of tomorrow.
Parents who are STEM professionals wish to offer their children the op"&amp;"portunity to get acquainted with STEM areas but lack the time and materials to present STEM in a home environment. On the other hand, there are parents who are not STEM professionals but see the potential STEM has and wish to present STEM to their childre"&amp;"n but are afraid they lack the knowledge to do so.")</f>
        <v/>
      </c>
      <c r="G977" s="1">
        <f>IFERROR(__xludf.DUMMYFUNCTION("""COMPUTED_VALUE"""),"I'm not part of any EdTech association")</f>
        <v/>
      </c>
      <c r="H977" s="1" t="n"/>
      <c r="I977" s="1">
        <f>IFERROR(__xludf.DUMMYFUNCTION("""COMPUTED_VALUE"""),"info@innobox.si")</f>
        <v/>
      </c>
      <c r="J977" s="1">
        <f>IFERROR(__xludf.DUMMYFUNCTION("""COMPUTED_VALUE"""),"+386 70 508 181")</f>
        <v/>
      </c>
      <c r="K977" s="1">
        <f>IFERROR(__xludf.DUMMYFUNCTION("""COMPUTED_VALUE"""),"KOBARID")</f>
        <v/>
      </c>
      <c r="L977" s="1">
        <f>IFERROR(__xludf.DUMMYFUNCTION("""COMPUTED_VALUE"""),"Slovenia")</f>
        <v/>
      </c>
      <c r="M977" s="1">
        <f>IFERROR(__xludf.DUMMYFUNCTION("""COMPUTED_VALUE"""),"Austria, Germany, Italy, Slovenia")</f>
        <v/>
      </c>
      <c r="N977" s="1">
        <f>IFERROR(__xludf.DUMMYFUNCTION("""COMPUTED_VALUE"""),"0 to 10")</f>
        <v/>
      </c>
      <c r="O977" s="1">
        <f>IFERROR(__xludf.DUMMYFUNCTION("""COMPUTED_VALUE"""),"Business to Business, Business to Consumer")</f>
        <v/>
      </c>
      <c r="P977" s="1">
        <f>IFERROR(__xludf.DUMMYFUNCTION("""COMPUTED_VALUE"""),"Primary Education, Secondary Education")</f>
        <v/>
      </c>
      <c r="Q977" s="1">
        <f>IFERROR(__xludf.DUMMYFUNCTION("""COMPUTED_VALUE"""),"System/Administrative, Student interfacing")</f>
        <v/>
      </c>
      <c r="R977" s="1" t="n"/>
      <c r="S977" s="1" t="n"/>
      <c r="T977" s="1" t="n"/>
      <c r="U977" s="1" t="n"/>
      <c r="V977" s="1" t="n"/>
      <c r="W977" s="1" t="n"/>
      <c r="X977" s="1" t="n"/>
      <c r="Y977" s="15">
        <f>IFERROR(__xludf.DUMMYFUNCTION("""COMPUTED_VALUE"""),"https://drive.google.com/uc?export=view&amp;id=1yAgs0RhWpbNnktpmAVQKOCqgsJDxZe7v")</f>
        <v/>
      </c>
      <c r="Z977" s="1">
        <f>IFERROR(__xludf.DUMMYFUNCTION("""COMPUTED_VALUE"""),"Unverified")</f>
        <v/>
      </c>
      <c r="AA977" s="1" t="n"/>
      <c r="AB977" s="1" t="n"/>
      <c r="AC977" s="1" t="n"/>
      <c r="AD977" s="1" t="n"/>
      <c r="AE977" s="1" t="n"/>
    </row>
    <row r="978" ht="42" customHeight="1">
      <c r="A978" s="14">
        <f>IFERROR(__xludf.DUMMYFUNCTION("""COMPUTED_VALUE"""),45181)</f>
        <v/>
      </c>
      <c r="B978" s="1">
        <f>IFERROR(__xludf.DUMMYFUNCTION("""COMPUTED_VALUE"""),"ORG_1757")</f>
        <v/>
      </c>
      <c r="C978" s="1">
        <f>IFERROR(__xludf.DUMMYFUNCTION("""COMPUTED_VALUE"""),TRUE)</f>
        <v/>
      </c>
      <c r="D978" s="1">
        <f>IFERROR(__xludf.DUMMYFUNCTION("""COMPUTED_VALUE"""),"Jolly Learning Ltd")</f>
        <v/>
      </c>
      <c r="E978" s="15">
        <f>IFERROR(__xludf.DUMMYFUNCTION("""COMPUTED_VALUE"""),"www.jollylearning.co.uk")</f>
        <v/>
      </c>
      <c r="F978" s="1">
        <f>IFERROR(__xludf.DUMMYFUNCTION("""COMPUTED_VALUE"""),"Our Jolly Phonics programme is used in over 150 countries worldwide, empowering thousands of teachers who transform children's literacy ability. The programme enables teachers to get their children reading and writing from an early age. As the leading syn"&amp;"thetic phonics publisher, and the most experienced, we provide a 7-year programme that takes children beyond phonics and integrates spelling, punctuation and grammar too. It the programme that is trusted by thousands of teachers.")</f>
        <v/>
      </c>
      <c r="G978" s="1">
        <f>IFERROR(__xludf.DUMMYFUNCTION("""COMPUTED_VALUE"""),"I'm not part of any EdTech association")</f>
        <v/>
      </c>
      <c r="H978" s="1" t="n"/>
      <c r="I978" s="1">
        <f>IFERROR(__xludf.DUMMYFUNCTION("""COMPUTED_VALUE"""),"info@jollylearning.co.uk")</f>
        <v/>
      </c>
      <c r="J978" s="1">
        <f>IFERROR(__xludf.DUMMYFUNCTION("""COMPUTED_VALUE"""),"+ 44 20 8501 0405")</f>
        <v/>
      </c>
      <c r="K978" s="1">
        <f>IFERROR(__xludf.DUMMYFUNCTION("""COMPUTED_VALUE"""),"BUCKHURST HILL")</f>
        <v/>
      </c>
      <c r="L978" s="1">
        <f>IFERROR(__xludf.DUMMYFUNCTION("""COMPUTED_VALUE"""),"United Kingdom")</f>
        <v/>
      </c>
      <c r="M978" s="1">
        <f>IFERROR(__xludf.DUMMYFUNCTION("""COMPUTED_VALUE"""),"Albania, Austria, Azerbaijan, Belgium, Bosnia and Herzegovina, Bulgaria, Croatia, Cyprus, Czechia, Denmark, Finland, France, Germany, Greece, Hungary, Ireland, Italy, Kazakhstan, Malta, Montenegro, Norway, Poland, Portugal, Romania, Russia, Serbia, Slovak"&amp;"ia, Slovenia, Spain, Sweden, Switzerland, Turkey, United Kingdom")</f>
        <v/>
      </c>
      <c r="N978" s="1">
        <f>IFERROR(__xludf.DUMMYFUNCTION("""COMPUTED_VALUE"""),"11 to 50")</f>
        <v/>
      </c>
      <c r="O978" s="1">
        <f>IFERROR(__xludf.DUMMYFUNCTION("""COMPUTED_VALUE"""),"Business to Business, Business to Consumer")</f>
        <v/>
      </c>
      <c r="P978" s="1">
        <f>IFERROR(__xludf.DUMMYFUNCTION("""COMPUTED_VALUE"""),"Early childhood development (0-5 years), Primary Education")</f>
        <v/>
      </c>
      <c r="Q978" s="1">
        <f>IFERROR(__xludf.DUMMYFUNCTION("""COMPUTED_VALUE"""),"System/Administrative, Teacher interfacing")</f>
        <v/>
      </c>
      <c r="R978" s="1" t="n"/>
      <c r="S978" s="1" t="n"/>
      <c r="T978" s="1" t="n"/>
      <c r="U978" s="1" t="n"/>
      <c r="V978" s="1" t="n"/>
      <c r="W978" s="1" t="n"/>
      <c r="X978" s="1" t="n"/>
      <c r="Y978" s="15">
        <f>IFERROR(__xludf.DUMMYFUNCTION("""COMPUTED_VALUE"""),"https://drive.google.com/uc?export=view&amp;id=1Nq-vhycI8ptoSa-MLpCc0_-XczeDOSPG")</f>
        <v/>
      </c>
      <c r="Z978" s="1">
        <f>IFERROR(__xludf.DUMMYFUNCTION("""COMPUTED_VALUE"""),"Unverified")</f>
        <v/>
      </c>
      <c r="AA978" s="1" t="n"/>
      <c r="AB978" s="1" t="n"/>
      <c r="AC978" s="1" t="n"/>
      <c r="AD978" s="1" t="n"/>
      <c r="AE978" s="1" t="n"/>
    </row>
    <row r="979" ht="42" customHeight="1">
      <c r="A979" s="14">
        <f>IFERROR(__xludf.DUMMYFUNCTION("""COMPUTED_VALUE"""),45181)</f>
        <v/>
      </c>
      <c r="B979" s="1">
        <f>IFERROR(__xludf.DUMMYFUNCTION("""COMPUTED_VALUE"""),"ORG_1904")</f>
        <v/>
      </c>
      <c r="C979" s="1">
        <f>IFERROR(__xludf.DUMMYFUNCTION("""COMPUTED_VALUE"""),TRUE)</f>
        <v/>
      </c>
      <c r="D979" s="1">
        <f>IFERROR(__xludf.DUMMYFUNCTION("""COMPUTED_VALUE"""),"MAILO")</f>
        <v/>
      </c>
      <c r="E979" s="15">
        <f>IFERROR(__xludf.DUMMYFUNCTION("""COMPUTED_VALUE"""),"https://www.mailo.com/")</f>
        <v/>
      </c>
      <c r="F979" s="1">
        <f>IFERROR(__xludf.DUMMYFUNCTION("""COMPUTED_VALUE"""),"Complete communication and storage solution: email, calendar, contacts, cloud, office suite, collaboration tools, video conferencing
A member of French Tech, hosted in France and aimed at the general public and professionals, Mailo is particularly well s"&amp;"uited to schools, town halls and local authorities.
Mailo offers a set of innovative services that can be accessed on the Web, with the Mailo app or with software and apps on the market (Outlook, Thunderbird, mobile apps, etc.):
- Mail: a high-capacity "&amp;"mailbox with powerful anti-spam, intelligent message sorting and advanced features (deferred sending, recommended e-mail, sending files via links, aliases, message encryption using PGP, etc.)
- Calendar: schedule management, with invitation sending, SMS "&amp;"notification and calendar sharing.
- Address book: organize and share contacts.
- Cloud: online document storage and sharing.
- OnlyOffice office suite: editing text documents, Excel workbooks or presentations online, collaborative work with several pe"&amp;"ople simultaneously on the same document.
- Instant messaging and video conferencing: organize online meetings and conferences for up to 120 participants.
- Organizational tools: tasks, notes, sending SMS, RSS feeds, etc.
* Personalized messaging
Emai"&amp;"l addresses with your own domain name, which you can buy on Mailo or simply declare if you already have it, a customizable login page with the image of your choice, a personalized webmail with the logo of your entity.
* An easier administration
Centrali"&amp;"zed management of accounts, easy sharing of address books, agendas and documents, assistance for the installation and migration of accounts, priority hotline, training for elected officials and agents.
* An offer adjusted to real needs
The administrator"&amp;" chooses the number of accounts needed and the associated Mail &amp; Cloud storage capacity, which is freely distributed among the accounts. At any time and at no cost, the subscription can be modified and updated in 2 clicks. Payment is possible by money ord"&amp;"er. Competitive rates made possible by complete control of costs and technology.
** A free version for schools and colleges
By opening a Mailo Edu account, teachers can help their students discover e-mail in a fun, educational and secure environment. Th"&amp;"e students, grouped by class, have a scalable interface, adapted to their age. They can only exchange with each other, with their teachers and with the validated contacts in their address book. A storage space allows to share documents with the whole clas"&amp;"s.
Mailo has been a true messaging specialist for 20 years, allowing optimized management of messaging and data and guaranteeing efficient and responsible use of the Web. With secure hosting in France, the data is not subject to the American CLOUD Act, w"&amp;"hich authorizes consultation at the first request of the American justice and intelligence services.")</f>
        <v/>
      </c>
      <c r="G979" s="1">
        <f>IFERROR(__xludf.DUMMYFUNCTION("""COMPUTED_VALUE"""),"EdTech France")</f>
        <v/>
      </c>
      <c r="H979" s="1" t="n"/>
      <c r="I979" s="1">
        <f>IFERROR(__xludf.DUMMYFUNCTION("""COMPUTED_VALUE"""),"yponce@mailo.com")</f>
        <v/>
      </c>
      <c r="J979" s="1">
        <f>IFERROR(__xludf.DUMMYFUNCTION("""COMPUTED_VALUE"""),"780977500")</f>
        <v/>
      </c>
      <c r="K979" s="1">
        <f>IFERROR(__xludf.DUMMYFUNCTION("""COMPUTED_VALUE"""),"SAINT-MAUR-DES-FOSSES")</f>
        <v/>
      </c>
      <c r="L979" s="1">
        <f>IFERROR(__xludf.DUMMYFUNCTION("""COMPUTED_VALUE"""),"France")</f>
        <v/>
      </c>
      <c r="M979" s="1">
        <f>IFERROR(__xludf.DUMMYFUNCTION("""COMPUTED_VALUE"""),"France")</f>
        <v/>
      </c>
      <c r="N979" s="1">
        <f>IFERROR(__xludf.DUMMYFUNCTION("""COMPUTED_VALUE"""),"11 to 50")</f>
        <v/>
      </c>
      <c r="O979" s="1">
        <f>IFERROR(__xludf.DUMMYFUNCTION("""COMPUTED_VALUE"""),"Business to Business, Business to Consumer, Business to Government, Business to Schools")</f>
        <v/>
      </c>
      <c r="P979" s="1">
        <f>IFERROR(__xludf.DUMMYFUNCTION("""COMPUTED_VALUE"""),"Early childhood development (0-5 years), Primary Education, Secondary Education, Lifelong learning/Adult education")</f>
        <v/>
      </c>
      <c r="Q979" s="1">
        <f>IFERROR(__xludf.DUMMYFUNCTION("""COMPUTED_VALUE"""),"System/Administrative, Student interfacing, Teacher interfacing")</f>
        <v/>
      </c>
      <c r="R979" s="15">
        <f>IFERROR(__xludf.DUMMYFUNCTION("""COMPUTED_VALUE"""),"https://www.instagram.com/hellomailo/")</f>
        <v/>
      </c>
      <c r="S979" s="15">
        <f>IFERROR(__xludf.DUMMYFUNCTION("""COMPUTED_VALUE"""),"https://twitter.com/HELLOMAILO")</f>
        <v/>
      </c>
      <c r="T979" s="15">
        <f>IFERROR(__xludf.DUMMYFUNCTION("""COMPUTED_VALUE"""),"https://fr.linkedin.com/company/mailofr?original_referer=https%3A%2F%2Fwww.google.com%2F")</f>
        <v/>
      </c>
      <c r="U979" s="1">
        <f>IFERROR(__xludf.DUMMYFUNCTION("""COMPUTED_VALUE"""),"Mailo Pro: sovereign Mail &amp; Cloud at the heart of your business")</f>
        <v/>
      </c>
      <c r="V979" s="1">
        <f>IFERROR(__xludf.DUMMYFUNCTION("""COMPUTED_VALUE"""),"Mailo Pro is a comprehensive mail service for VSEs &amp; SMEs. It is based on a sovereign platform which respects your privacy.
Mail: a high-capacity mailbox with powerful anti-spam, intelligent message sorting and advanced features (deferred sending, recomm"&amp;"ended e-mail, sending files by links, aliases, PGP message encryption, etc.). 
- Calendar: schedule management, with invitation sending, SMS notification and calendar sharing.
- Address book: organize and share contacts.
- Cloud: online document storag"&amp;"e and sharing.
- OnlyOffice office suite: editing text documents, Excel workbooks or presentations online, collaborative work with several people simultaneously on the same document.
- Instant messaging and video conferencing: organize online meetings a"&amp;"nd conferences for up to 120 participants.
- Organizational tools: tasks, notes, sending SMS, RSS feeds, etc.
* Personalized messaging
Email addresses with your own domain name, which you can buy on Mailo or simply declare if you already have it, a cus"&amp;"tomizable login page with the image of your choice, a personalized webmail with the logo of your entity.
* An easier administration
Centralized management of accounts, easy sharing of address books, agendas and documents, assistance for the installation"&amp;" and migration of accounts, priority hotline, training for elected officials and agents.
* An offer adjusted to real needs
The administrator chooses the number of accounts needed and the associated Mail &amp; Cloud storage capacity, which is freely distribu"&amp;"ted among the accounts. At any time and at no cost, the subscription can be modified and updated in 2 clicks. Payment is possible by money order. Competitive rates made possible by complete control of costs and technology.
** A free version for schools a"&amp;"nd colleges
By opening a Mailo Edu account, teachers can help their students discover e-mail in a fun, educational and secure environment. The students, grouped by class, have a scalable interface, adapted to their age. They can only exchange with each o"&amp;"ther, with their teachers and with the validated contacts in their address book. A storage space allows them to share documents with the whole class.
Mailo has been a true messaging specialist for 20 years, allowing optimized management of messaging and "&amp;"data and guaranteeing efficient and responsible use of the Web. With secure hosting in France, the data is not subject to the American CLOUD Act, which authorizes consultation at the first request of the American justice and intelligence services.
websit"&amp;"e:
https://pro.mailo.com/")</f>
        <v/>
      </c>
      <c r="W979" s="1">
        <f>IFERROR(__xludf.DUMMYFUNCTION("""COMPUTED_VALUE"""),"Mailo")</f>
        <v/>
      </c>
      <c r="X979" s="1">
        <f>IFERROR(__xludf.DUMMYFUNCTION("""COMPUTED_VALUE"""),"Mailo is a whole range of innovative services which protect your privacy and personal data: the most complete webmail on the market, an agenda, a storage space for your photos and documents, organisation tools for the family and professionals. Join the fi"&amp;"rst alternative ethical communication platform!
Website: 
https://mailo.com/")</f>
        <v/>
      </c>
      <c r="Y979" s="15">
        <f>IFERROR(__xludf.DUMMYFUNCTION("""COMPUTED_VALUE"""),"https://drive.google.com/uc?export=view&amp;id=1id5DECDQVmqN2uLzb0l5wUL_kejauhXJ")</f>
        <v/>
      </c>
      <c r="Z979" s="1">
        <f>IFERROR(__xludf.DUMMYFUNCTION("""COMPUTED_VALUE"""),"Unverified")</f>
        <v/>
      </c>
      <c r="AA979" s="1" t="n"/>
      <c r="AB979" s="1" t="n"/>
      <c r="AC979" s="1" t="n"/>
      <c r="AD979" s="1" t="n"/>
      <c r="AE979" s="1" t="n"/>
    </row>
    <row r="980" ht="42" customHeight="1">
      <c r="A980" s="14">
        <f>IFERROR(__xludf.DUMMYFUNCTION("""COMPUTED_VALUE"""),45181)</f>
        <v/>
      </c>
      <c r="B980" s="1">
        <f>IFERROR(__xludf.DUMMYFUNCTION("""COMPUTED_VALUE"""),"ORG_1915")</f>
        <v/>
      </c>
      <c r="C980" s="1">
        <f>IFERROR(__xludf.DUMMYFUNCTION("""COMPUTED_VALUE"""),TRUE)</f>
        <v/>
      </c>
      <c r="D980" s="1">
        <f>IFERROR(__xludf.DUMMYFUNCTION("""COMPUTED_VALUE"""),"MANUTAN COLLECTIVITÉS")</f>
        <v/>
      </c>
      <c r="E980" s="15">
        <f>IFERROR(__xludf.DUMMYFUNCTION("""COMPUTED_VALUE"""),"www.manutan-collectivites.fr")</f>
        <v/>
      </c>
      <c r="F980" s="1">
        <f>IFERROR(__xludf.DUMMYFUNCTION("""COMPUTED_VALUE"""),"From more than 40 years, Manutan Collectivités commit its partners and research and development teams to promote new approaches on teaching methods. This has lead to brand new proposals for educative spaces arrangement, new tools and practices in order to"&amp;" achieve best engagement for children and teachers including numeric way of learning.")</f>
        <v/>
      </c>
      <c r="G980" s="1">
        <f>IFERROR(__xludf.DUMMYFUNCTION("""COMPUTED_VALUE"""),"I'm not part of any EdTech association")</f>
        <v/>
      </c>
      <c r="H980" s="1" t="n"/>
      <c r="I980" s="1">
        <f>IFERROR(__xludf.DUMMYFUNCTION("""COMPUTED_VALUE"""),"bertrand.chavanel@manutan-collectivites.fr")</f>
        <v/>
      </c>
      <c r="J980" s="1">
        <f>IFERROR(__xludf.DUMMYFUNCTION("""COMPUTED_VALUE"""),"549346200")</f>
        <v/>
      </c>
      <c r="K980" s="1">
        <f>IFERROR(__xludf.DUMMYFUNCTION("""COMPUTED_VALUE"""),"Niort")</f>
        <v/>
      </c>
      <c r="L980" s="1">
        <f>IFERROR(__xludf.DUMMYFUNCTION("""COMPUTED_VALUE"""),"France")</f>
        <v/>
      </c>
      <c r="M980" s="1">
        <f>IFERROR(__xludf.DUMMYFUNCTION("""COMPUTED_VALUE"""),"France")</f>
        <v/>
      </c>
      <c r="N980" s="1">
        <f>IFERROR(__xludf.DUMMYFUNCTION("""COMPUTED_VALUE"""),"100+")</f>
        <v/>
      </c>
      <c r="O980" s="1">
        <f>IFERROR(__xludf.DUMMYFUNCTION("""COMPUTED_VALUE"""),"Business to Business, Business to Consumer, Business to Government, Business to Schools")</f>
        <v/>
      </c>
      <c r="P980" s="1">
        <f>IFERROR(__xludf.DUMMYFUNCTION("""COMPUTED_VALUE"""),"Early childhood development (0-5 years), Primary Education, Secondary Education, Higher Education, Corporate Training, Lifelong learning/Adult education")</f>
        <v/>
      </c>
      <c r="Q980" s="1">
        <f>IFERROR(__xludf.DUMMYFUNCTION("""COMPUTED_VALUE"""),"System/Administrative, Teacher interfacing, Student interfacing")</f>
        <v/>
      </c>
      <c r="R980" s="1" t="n"/>
      <c r="S980" s="1" t="n"/>
      <c r="T980" s="1" t="n"/>
      <c r="U980" s="1" t="n"/>
      <c r="V980" s="1" t="n"/>
      <c r="W980" s="1" t="n"/>
      <c r="X980" s="1" t="n"/>
      <c r="Y980" s="15">
        <f>IFERROR(__xludf.DUMMYFUNCTION("""COMPUTED_VALUE"""),"https://drive.google.com/uc?export=view&amp;id=1flWMdRIBhDqOOhp5_ovJjNxDqxsJeZYm")</f>
        <v/>
      </c>
      <c r="Z980" s="1">
        <f>IFERROR(__xludf.DUMMYFUNCTION("""COMPUTED_VALUE"""),"Unverified")</f>
        <v/>
      </c>
      <c r="AA980" s="1" t="n"/>
      <c r="AB980" s="1" t="n"/>
      <c r="AC980" s="1" t="n"/>
      <c r="AD980" s="1" t="n"/>
      <c r="AE980" s="1" t="n"/>
    </row>
    <row r="981" ht="42" customHeight="1">
      <c r="A981" s="14">
        <f>IFERROR(__xludf.DUMMYFUNCTION("""COMPUTED_VALUE"""),45181)</f>
        <v/>
      </c>
      <c r="B981" s="1">
        <f>IFERROR(__xludf.DUMMYFUNCTION("""COMPUTED_VALUE"""),"ORG_1947")</f>
        <v/>
      </c>
      <c r="C981" s="1">
        <f>IFERROR(__xludf.DUMMYFUNCTION("""COMPUTED_VALUE"""),TRUE)</f>
        <v/>
      </c>
      <c r="D981" s="1">
        <f>IFERROR(__xludf.DUMMYFUNCTION("""COMPUTED_VALUE"""),"Memima Baby")</f>
        <v/>
      </c>
      <c r="E981" s="15">
        <f>IFERROR(__xludf.DUMMYFUNCTION("""COMPUTED_VALUE"""),"https://memimababy.com/")</f>
        <v/>
      </c>
      <c r="F981" s="1">
        <f>IFERROR(__xludf.DUMMYFUNCTION("""COMPUTED_VALUE"""),"Memima Baby's vision is ambitious: Supercharge tomorrow's brains!
This is a hybrid model B2C &amp; B2B2C, which is providing to fathers/mothers with its unique musical/educational methodology that convert the daily routines into cognitive training. All that t"&amp;"hrough wellbeing, care, and relaxation.
That way, the children can improve their learning skills and linguistic capacities.")</f>
        <v/>
      </c>
      <c r="G981" s="1">
        <f>IFERROR(__xludf.DUMMYFUNCTION("""COMPUTED_VALUE"""),"I'm not part of any EdTech association")</f>
        <v/>
      </c>
      <c r="H981" s="1">
        <f>IFERROR(__xludf.DUMMYFUNCTION("""COMPUTED_VALUE"""),"English, Spanish, French, Polish, German")</f>
        <v/>
      </c>
      <c r="I981" s="1">
        <f>IFERROR(__xludf.DUMMYFUNCTION("""COMPUTED_VALUE"""),"a.munne@memimababy.com")</f>
        <v/>
      </c>
      <c r="J981" s="1">
        <f>IFERROR(__xludf.DUMMYFUNCTION("""COMPUTED_VALUE"""),"+34 666 33 49 45")</f>
        <v/>
      </c>
      <c r="K981" s="1">
        <f>IFERROR(__xludf.DUMMYFUNCTION("""COMPUTED_VALUE"""),"GIRONA")</f>
        <v/>
      </c>
      <c r="L981" s="1">
        <f>IFERROR(__xludf.DUMMYFUNCTION("""COMPUTED_VALUE"""),"Spain")</f>
        <v/>
      </c>
      <c r="M981" s="1">
        <f>IFERROR(__xludf.DUMMYFUNCTION("""COMPUTED_VALUE"""),"France, Germany, Italy, Poland, Spain, United Kingdom")</f>
        <v/>
      </c>
      <c r="N981" s="1">
        <f>IFERROR(__xludf.DUMMYFUNCTION("""COMPUTED_VALUE"""),"0 to 2")</f>
        <v/>
      </c>
      <c r="O981" s="1">
        <f>IFERROR(__xludf.DUMMYFUNCTION("""COMPUTED_VALUE"""),"Business to Business, Business to Consumer, Business to Government, Business to Schools")</f>
        <v/>
      </c>
      <c r="P981" s="1">
        <f>IFERROR(__xludf.DUMMYFUNCTION("""COMPUTED_VALUE"""),"Early childhood development (0-5 years), Primary Education")</f>
        <v/>
      </c>
      <c r="Q981" s="1">
        <f>IFERROR(__xludf.DUMMYFUNCTION("""COMPUTED_VALUE"""),"System/Administrative, Student interfacing, Teacher interfacing")</f>
        <v/>
      </c>
      <c r="R981" s="15">
        <f>IFERROR(__xludf.DUMMYFUNCTION("""COMPUTED_VALUE"""),"https://www.linkedin.com/company/memimababy/")</f>
        <v/>
      </c>
      <c r="S981" s="1" t="n"/>
      <c r="T981" s="15">
        <f>IFERROR(__xludf.DUMMYFUNCTION("""COMPUTED_VALUE"""),"https://www.linkedin.com/company/memimababy/")</f>
        <v/>
      </c>
      <c r="U981" s="1">
        <f>IFERROR(__xludf.DUMMYFUNCTION("""COMPUTED_VALUE"""),"Memima Baby")</f>
        <v/>
      </c>
      <c r="V981" s="1">
        <f>IFERROR(__xludf.DUMMYFUNCTION("""COMPUTED_VALUE"""),"Unlocking children’s full potential by eliciting affective early brain musicalization from birth")</f>
        <v/>
      </c>
      <c r="W981" s="1" t="n"/>
      <c r="X981" s="1" t="n"/>
      <c r="Y981" s="15">
        <f>IFERROR(__xludf.DUMMYFUNCTION("""COMPUTED_VALUE"""),"https://drive.google.com/uc?export=view&amp;id=1vN2ye37nhonXTji71fFuUOyp8BukmIki")</f>
        <v/>
      </c>
      <c r="Z981" s="1">
        <f>IFERROR(__xludf.DUMMYFUNCTION("""COMPUTED_VALUE"""),"Unverified")</f>
        <v/>
      </c>
      <c r="AA981" s="1" t="n"/>
      <c r="AB981" s="1" t="n"/>
      <c r="AC981" s="1" t="n"/>
      <c r="AD981" s="1" t="n"/>
      <c r="AE981" s="1" t="n"/>
    </row>
    <row r="982" ht="42" customHeight="1">
      <c r="A982" s="14">
        <f>IFERROR(__xludf.DUMMYFUNCTION("""COMPUTED_VALUE"""),45181)</f>
        <v/>
      </c>
      <c r="B982" s="1">
        <f>IFERROR(__xludf.DUMMYFUNCTION("""COMPUTED_VALUE"""),"ORG_1957")</f>
        <v/>
      </c>
      <c r="C982" s="1">
        <f>IFERROR(__xludf.DUMMYFUNCTION("""COMPUTED_VALUE"""),TRUE)</f>
        <v/>
      </c>
      <c r="D982" s="1">
        <f>IFERROR(__xludf.DUMMYFUNCTION("""COMPUTED_VALUE"""),"Mersys")</f>
        <v/>
      </c>
      <c r="E982" s="15">
        <f>IFERROR(__xludf.DUMMYFUNCTION("""COMPUTED_VALUE"""),"http://mersys.io/")</f>
        <v/>
      </c>
      <c r="F982" s="1">
        <f>IFERROR(__xludf.DUMMYFUNCTION("""COMPUTED_VALUE"""),"Mersys is a German EdTech company with global presence.
At Mersys we aim to be at the heart of the learning process. 
Mersys's products serve to enhance the educational processes and augmenting all the participants of these educational processes (teachers"&amp;", administration and students) by using ethical AI and innovative software solutions.")</f>
        <v/>
      </c>
      <c r="G982" s="1">
        <f>IFERROR(__xludf.DUMMYFUNCTION("""COMPUTED_VALUE"""),"I'm not part of any EdTech association")</f>
        <v/>
      </c>
      <c r="H982" s="1" t="n"/>
      <c r="I982" s="1">
        <f>IFERROR(__xludf.DUMMYFUNCTION("""COMPUTED_VALUE"""),"campus@mersys.io")</f>
        <v/>
      </c>
      <c r="J982" s="1">
        <f>IFERROR(__xludf.DUMMYFUNCTION("""COMPUTED_VALUE"""),"+33607124630")</f>
        <v/>
      </c>
      <c r="K982" s="1">
        <f>IFERROR(__xludf.DUMMYFUNCTION("""COMPUTED_VALUE"""),"NEU ISENBURG")</f>
        <v/>
      </c>
      <c r="L982" s="1">
        <f>IFERROR(__xludf.DUMMYFUNCTION("""COMPUTED_VALUE"""),"Germany")</f>
        <v/>
      </c>
      <c r="M982" s="1">
        <f>IFERROR(__xludf.DUMMYFUNCTION("""COMPUTED_VALUE"""),"Germany, Greece, Kazakhstan, Turkey")</f>
        <v/>
      </c>
      <c r="N982" s="1">
        <f>IFERROR(__xludf.DUMMYFUNCTION("""COMPUTED_VALUE"""),"11 to 50")</f>
        <v/>
      </c>
      <c r="O982" s="1">
        <f>IFERROR(__xludf.DUMMYFUNCTION("""COMPUTED_VALUE"""),"Business to Business, Business to Consumer, Business to Government, Business to Schools")</f>
        <v/>
      </c>
      <c r="P982" s="1">
        <f>IFERROR(__xludf.DUMMYFUNCTION("""COMPUTED_VALUE"""),"Primary Education, Secondary Education, Higher Education")</f>
        <v/>
      </c>
      <c r="Q982" s="1">
        <f>IFERROR(__xludf.DUMMYFUNCTION("""COMPUTED_VALUE"""),"Student interfacing, Teacher interfacing, System/Administrative")</f>
        <v/>
      </c>
      <c r="R982" s="1" t="n"/>
      <c r="S982" s="1" t="n"/>
      <c r="T982" s="1" t="n"/>
      <c r="U982" s="1" t="n"/>
      <c r="V982" s="1" t="n"/>
      <c r="W982" s="1" t="n"/>
      <c r="X982" s="1" t="n"/>
      <c r="Y982" s="15">
        <f>IFERROR(__xludf.DUMMYFUNCTION("""COMPUTED_VALUE"""),"https://drive.google.com/uc?export=view&amp;id=1ysrz3iV5-0ATDEkOwM6Q5tydS05Jkd29")</f>
        <v/>
      </c>
      <c r="Z982" s="1">
        <f>IFERROR(__xludf.DUMMYFUNCTION("""COMPUTED_VALUE"""),"Unverified")</f>
        <v/>
      </c>
      <c r="AA982" s="1" t="n"/>
      <c r="AB982" s="1" t="n"/>
      <c r="AC982" s="1" t="n"/>
      <c r="AD982" s="1" t="n"/>
      <c r="AE982" s="1" t="n"/>
    </row>
    <row r="983" ht="42" customHeight="1">
      <c r="A983" s="14">
        <f>IFERROR(__xludf.DUMMYFUNCTION("""COMPUTED_VALUE"""),45181)</f>
        <v/>
      </c>
      <c r="B983" s="1">
        <f>IFERROR(__xludf.DUMMYFUNCTION("""COMPUTED_VALUE"""),"ORG_1972")</f>
        <v/>
      </c>
      <c r="C983" s="1">
        <f>IFERROR(__xludf.DUMMYFUNCTION("""COMPUTED_VALUE"""),TRUE)</f>
        <v/>
      </c>
      <c r="D983" s="1">
        <f>IFERROR(__xludf.DUMMYFUNCTION("""COMPUTED_VALUE"""),"Mobi Lab")</f>
        <v/>
      </c>
      <c r="E983" s="15">
        <f>IFERROR(__xludf.DUMMYFUNCTION("""COMPUTED_VALUE"""),"https://lab.mobi/realitymaker")</f>
        <v/>
      </c>
      <c r="F983" s="1">
        <f>IFERROR(__xludf.DUMMYFUNCTION("""COMPUTED_VALUE"""),"Mobi Lab AR helps businesses make physical locations more valuable to people by displaying virtual content such as 3D models, images, videos and audio in augmented reality.
Whether the content is educational 3D geometric objects in classrooms, engaging 3D"&amp;" stories of cultural heritage in the streets, or quickly accessible 3D guidance in a physical work environment.")</f>
        <v/>
      </c>
      <c r="G983" s="1">
        <f>IFERROR(__xludf.DUMMYFUNCTION("""COMPUTED_VALUE"""),"EdTech Estonia")</f>
        <v/>
      </c>
      <c r="H983" s="1" t="n"/>
      <c r="I983" s="1">
        <f>IFERROR(__xludf.DUMMYFUNCTION("""COMPUTED_VALUE"""),"allan.valm@lab.mobi")</f>
        <v/>
      </c>
      <c r="J983" s="1">
        <f>IFERROR(__xludf.DUMMYFUNCTION("""COMPUTED_VALUE"""),"+372 5271030")</f>
        <v/>
      </c>
      <c r="K983" s="1">
        <f>IFERROR(__xludf.DUMMYFUNCTION("""COMPUTED_VALUE"""),"Tartu")</f>
        <v/>
      </c>
      <c r="L983" s="1">
        <f>IFERROR(__xludf.DUMMYFUNCTION("""COMPUTED_VALUE"""),"Estonia")</f>
        <v/>
      </c>
      <c r="M983" s="1">
        <f>IFERROR(__xludf.DUMMYFUNCTION("""COMPUTED_VALUE"""),"Estonia")</f>
        <v/>
      </c>
      <c r="N983" s="1">
        <f>IFERROR(__xludf.DUMMYFUNCTION("""COMPUTED_VALUE"""),"11 to 50")</f>
        <v/>
      </c>
      <c r="O983" s="1">
        <f>IFERROR(__xludf.DUMMYFUNCTION("""COMPUTED_VALUE"""),"Business to Business, Business to Consumer, Business to Government, Business to Schools")</f>
        <v/>
      </c>
      <c r="P983" s="1">
        <f>IFERROR(__xludf.DUMMYFUNCTION("""COMPUTED_VALUE"""),"Early childhood development (0-5 years), Primary Education, Secondary Education, Higher Education, Corporate Training, Lifelong learning/Adult education")</f>
        <v/>
      </c>
      <c r="Q983" s="1">
        <f>IFERROR(__xludf.DUMMYFUNCTION("""COMPUTED_VALUE"""),"System/Administrative")</f>
        <v/>
      </c>
      <c r="R983" s="15">
        <f>IFERROR(__xludf.DUMMYFUNCTION("""COMPUTED_VALUE"""),"https://www.instagram.com/lab.mobi/")</f>
        <v/>
      </c>
      <c r="S983" s="15">
        <f>IFERROR(__xludf.DUMMYFUNCTION("""COMPUTED_VALUE"""),"https://twitter.com/labmobi")</f>
        <v/>
      </c>
      <c r="T983" s="15">
        <f>IFERROR(__xludf.DUMMYFUNCTION("""COMPUTED_VALUE"""),"https://www.linkedin.com/company/mobi-lab/")</f>
        <v/>
      </c>
      <c r="U983" s="1">
        <f>IFERROR(__xludf.DUMMYFUNCTION("""COMPUTED_VALUE"""),"Reality Maker")</f>
        <v/>
      </c>
      <c r="V983" s="1">
        <f>IFERROR(__xludf.DUMMYFUNCTION("""COMPUTED_VALUE"""),"Add value to physical locations by displaying virtual content in augmented reality. Content like educational 3D objects in classrooms, engaging 3D stories of cultural heritage in streets, or quickly accessible 3D guidance in work environments.")</f>
        <v/>
      </c>
      <c r="W983" s="1" t="n"/>
      <c r="X983" s="1" t="n"/>
      <c r="Y983" s="15">
        <f>IFERROR(__xludf.DUMMYFUNCTION("""COMPUTED_VALUE"""),"https://drive.google.com/uc?export=view&amp;id=1TNFiNdVPEJONDt_bQIub7B2A1Ksi0j1N")</f>
        <v/>
      </c>
      <c r="Z983" s="1">
        <f>IFERROR(__xludf.DUMMYFUNCTION("""COMPUTED_VALUE"""),"Unverified")</f>
        <v/>
      </c>
      <c r="AA983" s="1" t="n"/>
      <c r="AB983" s="1" t="n"/>
      <c r="AC983" s="1" t="n"/>
      <c r="AD983" s="1" t="n"/>
      <c r="AE983" s="1" t="n"/>
    </row>
    <row r="984" ht="42" customHeight="1">
      <c r="A984" s="14">
        <f>IFERROR(__xludf.DUMMYFUNCTION("""COMPUTED_VALUE"""),45181)</f>
        <v/>
      </c>
      <c r="B984" s="1">
        <f>IFERROR(__xludf.DUMMYFUNCTION("""COMPUTED_VALUE"""),"ORG_2130")</f>
        <v/>
      </c>
      <c r="C984" s="1">
        <f>IFERROR(__xludf.DUMMYFUNCTION("""COMPUTED_VALUE"""),TRUE)</f>
        <v/>
      </c>
      <c r="D984" s="1">
        <f>IFERROR(__xludf.DUMMYFUNCTION("""COMPUTED_VALUE"""),"PROSFY")</f>
        <v/>
      </c>
      <c r="E984" s="15">
        <f>IFERROR(__xludf.DUMMYFUNCTION("""COMPUTED_VALUE"""),"WWW.PROSFY.COM")</f>
        <v/>
      </c>
      <c r="F984" s="1">
        <f>IFERROR(__xludf.DUMMYFUNCTION("""COMPUTED_VALUE"""),"Prosfy datifies and quantifies human capital with the sole purpose of helping professionals boost their value")</f>
        <v/>
      </c>
      <c r="G984" s="1">
        <f>IFERROR(__xludf.DUMMYFUNCTION("""COMPUTED_VALUE"""),"I'm not part of any EdTech association")</f>
        <v/>
      </c>
      <c r="H984" s="1">
        <f>IFERROR(__xludf.DUMMYFUNCTION("""COMPUTED_VALUE"""),"English, Spanish, German, Portuguese, French, Italian")</f>
        <v/>
      </c>
      <c r="I984" s="1">
        <f>IFERROR(__xludf.DUMMYFUNCTION("""COMPUTED_VALUE"""),"jaime.alonso@prosfy.com")</f>
        <v/>
      </c>
      <c r="J984" s="1" t="n"/>
      <c r="K984" s="1">
        <f>IFERROR(__xludf.DUMMYFUNCTION("""COMPUTED_VALUE"""),"Malaga")</f>
        <v/>
      </c>
      <c r="L984" s="1">
        <f>IFERROR(__xludf.DUMMYFUNCTION("""COMPUTED_VALUE"""),"Spain")</f>
        <v/>
      </c>
      <c r="M984" s="1">
        <f>IFERROR(__xludf.DUMMYFUNCTION("""COMPUTED_VALUE"""),"Austria, Croatia, Germany, Ireland, Netherlands, Portugal, Spain, Sweden, Switzerland, United Kingdom")</f>
        <v/>
      </c>
      <c r="N984" s="1">
        <f>IFERROR(__xludf.DUMMYFUNCTION("""COMPUTED_VALUE"""),"3 to 5")</f>
        <v/>
      </c>
      <c r="O984" s="1">
        <f>IFERROR(__xludf.DUMMYFUNCTION("""COMPUTED_VALUE"""),"Business to Business, Business to Consumer, Business to Government, Business to Schools")</f>
        <v/>
      </c>
      <c r="P984" s="1">
        <f>IFERROR(__xludf.DUMMYFUNCTION("""COMPUTED_VALUE"""),"Corporate Training, Lifelong learning/Adult education, Vocational Education and Training (VET), Higher Education")</f>
        <v/>
      </c>
      <c r="Q984" s="1">
        <f>IFERROR(__xludf.DUMMYFUNCTION("""COMPUTED_VALUE"""),"Teacher interfacing, System/Administrative, Student interfacing")</f>
        <v/>
      </c>
      <c r="R984" s="1" t="n"/>
      <c r="S984" s="1" t="n"/>
      <c r="T984" s="15">
        <f>IFERROR(__xludf.DUMMYFUNCTION("""COMPUTED_VALUE"""),"https://www.linkedin.com/company/prosfy/")</f>
        <v/>
      </c>
      <c r="U984" s="1">
        <f>IFERROR(__xludf.DUMMYFUNCTION("""COMPUTED_VALUE"""),"PROSFY")</f>
        <v/>
      </c>
      <c r="V984" s="1">
        <f>IFERROR(__xludf.DUMMYFUNCTION("""COMPUTED_VALUE"""),"An app that monitors the labor market for professionals and companies.")</f>
        <v/>
      </c>
      <c r="W984" s="1" t="n"/>
      <c r="X984" s="1" t="n"/>
      <c r="Y984" s="15">
        <f>IFERROR(__xludf.DUMMYFUNCTION("""COMPUTED_VALUE"""),"https://drive.google.com/uc?export=view&amp;id=17BYjOyVvgjxrJ4imQz_SfMlZUmOEtVaK")</f>
        <v/>
      </c>
      <c r="Z984" s="1">
        <f>IFERROR(__xludf.DUMMYFUNCTION("""COMPUTED_VALUE"""),"Unverified")</f>
        <v/>
      </c>
      <c r="AA984" s="1" t="n"/>
      <c r="AB984" s="1" t="n"/>
      <c r="AC984" s="1" t="n"/>
      <c r="AD984" s="1" t="n"/>
      <c r="AE984" s="1" t="n"/>
    </row>
    <row r="985" ht="42" customHeight="1">
      <c r="A985" s="14">
        <f>IFERROR(__xludf.DUMMYFUNCTION("""COMPUTED_VALUE"""),45181)</f>
        <v/>
      </c>
      <c r="B985" s="1">
        <f>IFERROR(__xludf.DUMMYFUNCTION("""COMPUTED_VALUE"""),"ORG_2462")</f>
        <v/>
      </c>
      <c r="C985" s="1">
        <f>IFERROR(__xludf.DUMMYFUNCTION("""COMPUTED_VALUE"""),TRUE)</f>
        <v/>
      </c>
      <c r="D985" s="1">
        <f>IFERROR(__xludf.DUMMYFUNCTION("""COMPUTED_VALUE"""),"UniHelper")</f>
        <v/>
      </c>
      <c r="E985" s="15">
        <f>IFERROR(__xludf.DUMMYFUNCTION("""COMPUTED_VALUE"""),"https://www.unihelper.dk/?lang=en")</f>
        <v/>
      </c>
      <c r="F985" s="1">
        <f>IFERROR(__xludf.DUMMYFUNCTION("""COMPUTED_VALUE"""),"Study groups and group work in HE lead to many both social and academic benefits for students.
Sadly, many students won't experience these benefits, because it is extremely complex and time-consuming for the educators to create the groups.
That’s why we"&amp;" created UniHelper - a service for educators, that streamlines and automates the group formation process, meaning both students and educators can experience the many benefits of group work, without all the hassle.")</f>
        <v/>
      </c>
      <c r="G985" s="1">
        <f>IFERROR(__xludf.DUMMYFUNCTION("""COMPUTED_VALUE"""),"EdTech Denmark")</f>
        <v/>
      </c>
      <c r="H985" s="1" t="n"/>
      <c r="I985" s="1">
        <f>IFERROR(__xludf.DUMMYFUNCTION("""COMPUTED_VALUE"""),"jacob@unihelper.eu")</f>
        <v/>
      </c>
      <c r="J985" s="1">
        <f>IFERROR(__xludf.DUMMYFUNCTION("""COMPUTED_VALUE"""),"+45 23676985")</f>
        <v/>
      </c>
      <c r="K985" s="1">
        <f>IFERROR(__xludf.DUMMYFUNCTION("""COMPUTED_VALUE"""),"AARHUS")</f>
        <v/>
      </c>
      <c r="L985" s="1">
        <f>IFERROR(__xludf.DUMMYFUNCTION("""COMPUTED_VALUE"""),"Denmark")</f>
        <v/>
      </c>
      <c r="M985" s="1">
        <f>IFERROR(__xludf.DUMMYFUNCTION("""COMPUTED_VALUE"""),"Denmark")</f>
        <v/>
      </c>
      <c r="N985" s="1">
        <f>IFERROR(__xludf.DUMMYFUNCTION("""COMPUTED_VALUE"""),"0 to 10")</f>
        <v/>
      </c>
      <c r="O985" s="1">
        <f>IFERROR(__xludf.DUMMYFUNCTION("""COMPUTED_VALUE"""),"Business to Business, Business to Schools")</f>
        <v/>
      </c>
      <c r="P985" s="1">
        <f>IFERROR(__xludf.DUMMYFUNCTION("""COMPUTED_VALUE"""),"Higher Education")</f>
        <v/>
      </c>
      <c r="Q985" s="1">
        <f>IFERROR(__xludf.DUMMYFUNCTION("""COMPUTED_VALUE"""),"Teacher interfacing")</f>
        <v/>
      </c>
      <c r="R985" s="1" t="n"/>
      <c r="S985" s="1" t="n"/>
      <c r="T985" s="15">
        <f>IFERROR(__xludf.DUMMYFUNCTION("""COMPUTED_VALUE"""),"https://www.linkedin.com/company/unihelper/?viewAsMember=true")</f>
        <v/>
      </c>
      <c r="U985" s="1">
        <f>IFERROR(__xludf.DUMMYFUNCTION("""COMPUTED_VALUE"""),"UniHelper")</f>
        <v/>
      </c>
      <c r="V985" s="1">
        <f>IFERROR(__xludf.DUMMYFUNCTION("""COMPUTED_VALUE"""),"A service for educators, that streamlines and automates the group formation process, meaning both students and educators can experience the many benefits of group work, without all the hassle.")</f>
        <v/>
      </c>
      <c r="W985" s="1" t="n"/>
      <c r="X985" s="1" t="n"/>
      <c r="Y985" s="15">
        <f>IFERROR(__xludf.DUMMYFUNCTION("""COMPUTED_VALUE"""),"https://drive.google.com/uc?export=view&amp;id=1-8P1xcEz6pcTWp9tTeJW8yAe-r41EYpm")</f>
        <v/>
      </c>
      <c r="Z985" s="1">
        <f>IFERROR(__xludf.DUMMYFUNCTION("""COMPUTED_VALUE"""),"Unverified")</f>
        <v/>
      </c>
      <c r="AA985" s="1" t="n"/>
      <c r="AB985" s="1" t="n"/>
      <c r="AC985" s="1" t="n"/>
      <c r="AD985" s="1" t="n"/>
      <c r="AE985" s="1" t="n"/>
    </row>
    <row r="986" ht="42" customHeight="1">
      <c r="A986" s="14">
        <f>IFERROR(__xludf.DUMMYFUNCTION("""COMPUTED_VALUE"""),45181)</f>
        <v/>
      </c>
      <c r="B986" s="1">
        <f>IFERROR(__xludf.DUMMYFUNCTION("""COMPUTED_VALUE"""),"ORG_2476")</f>
        <v/>
      </c>
      <c r="C986" s="1">
        <f>IFERROR(__xludf.DUMMYFUNCTION("""COMPUTED_VALUE"""),TRUE)</f>
        <v/>
      </c>
      <c r="D986" s="1">
        <f>IFERROR(__xludf.DUMMYFUNCTION("""COMPUTED_VALUE"""),"Uptech")</f>
        <v/>
      </c>
      <c r="E986" s="15">
        <f>IFERROR(__xludf.DUMMYFUNCTION("""COMPUTED_VALUE"""),"https://www.uptech.team/")</f>
        <v/>
      </c>
      <c r="F986" s="1">
        <f>IFERROR(__xludf.DUMMYFUNCTION("""COMPUTED_VALUE"""),"Product Development Company where ideas and expertise meet to become great edtech solutions. 
We help design, create, and develop ideas from napkin sketches to full-fledged edtech products. Everyone from early-stage startups to established companies can"&amp;" address us. Combining our creativity, domain expertise, and product development approach, we deliver edtech products that make a difference.")</f>
        <v/>
      </c>
      <c r="G986" s="1">
        <f>IFERROR(__xludf.DUMMYFUNCTION("""COMPUTED_VALUE"""),"I'm not part of any EdTech association")</f>
        <v/>
      </c>
      <c r="H986" s="1" t="n"/>
      <c r="I986" s="1">
        <f>IFERROR(__xludf.DUMMYFUNCTION("""COMPUTED_VALUE"""),"hello+eea@uptech.team")</f>
        <v/>
      </c>
      <c r="J986" s="1">
        <f>IFERROR(__xludf.DUMMYFUNCTION("""COMPUTED_VALUE"""),"+4 857 126-70-45")</f>
        <v/>
      </c>
      <c r="K986" s="1">
        <f>IFERROR(__xludf.DUMMYFUNCTION("""COMPUTED_VALUE"""),"Lviv")</f>
        <v/>
      </c>
      <c r="L986" s="1">
        <f>IFERROR(__xludf.DUMMYFUNCTION("""COMPUTED_VALUE"""),"Ukraine")</f>
        <v/>
      </c>
      <c r="M986" s="1">
        <f>IFERROR(__xludf.DUMMYFUNCTION("""COMPUTED_VALUE"""),"Netherlands, Norway, Poland, Sweden, Ukraine, United Kingdom")</f>
        <v/>
      </c>
      <c r="N986" s="1">
        <f>IFERROR(__xludf.DUMMYFUNCTION("""COMPUTED_VALUE"""),"51 to 100")</f>
        <v/>
      </c>
      <c r="O986" s="1">
        <f>IFERROR(__xludf.DUMMYFUNCTION("""COMPUTED_VALUE"""),"Business to Consumer")</f>
        <v/>
      </c>
      <c r="P986" s="1">
        <f>IFERROR(__xludf.DUMMYFUNCTION("""COMPUTED_VALUE"""),"Early childhood development (0-5 years), Secondary Education, Corporate Training, Lifelong learning/Adult education")</f>
        <v/>
      </c>
      <c r="Q986" s="1">
        <f>IFERROR(__xludf.DUMMYFUNCTION("""COMPUTED_VALUE"""),"System/Administrative")</f>
        <v/>
      </c>
      <c r="R986" s="1" t="n"/>
      <c r="S986" s="1" t="n"/>
      <c r="T986" s="1" t="n"/>
      <c r="U986" s="1" t="n"/>
      <c r="V986" s="1" t="n"/>
      <c r="W986" s="1" t="n"/>
      <c r="X986" s="1" t="n"/>
      <c r="Y986" s="15">
        <f>IFERROR(__xludf.DUMMYFUNCTION("""COMPUTED_VALUE"""),"https://drive.google.com/uc?export=view&amp;id=1oOqnZkcX7aBkFQNjWldm3AU4x2UajYfS")</f>
        <v/>
      </c>
      <c r="Z986" s="1">
        <f>IFERROR(__xludf.DUMMYFUNCTION("""COMPUTED_VALUE"""),"Unverified")</f>
        <v/>
      </c>
      <c r="AA986" s="1" t="n"/>
      <c r="AB986" s="1" t="n"/>
      <c r="AC986" s="1" t="n"/>
      <c r="AD986" s="1" t="n"/>
      <c r="AE986" s="1" t="n"/>
    </row>
    <row r="987" ht="42" customHeight="1">
      <c r="A987" s="14">
        <f>IFERROR(__xludf.DUMMYFUNCTION("""COMPUTED_VALUE"""),45181)</f>
        <v/>
      </c>
      <c r="B987" s="1">
        <f>IFERROR(__xludf.DUMMYFUNCTION("""COMPUTED_VALUE"""),"ORG_2489")</f>
        <v/>
      </c>
      <c r="C987" s="1">
        <f>IFERROR(__xludf.DUMMYFUNCTION("""COMPUTED_VALUE"""),TRUE)</f>
        <v/>
      </c>
      <c r="D987" s="1">
        <f>IFERROR(__xludf.DUMMYFUNCTION("""COMPUTED_VALUE"""),"vicole")</f>
        <v/>
      </c>
      <c r="E987" s="15">
        <f>IFERROR(__xludf.DUMMYFUNCTION("""COMPUTED_VALUE"""),"www.vicole.de")</f>
        <v/>
      </c>
      <c r="F987" s="1">
        <f>IFERROR(__xludf.DUMMYFUNCTION("""COMPUTED_VALUE"""),"Vicole is the cloud based digital class room solution covering all relevant use cases for video conferencing and file sharing with a strong focus on data security. All based on open source and open standards.")</f>
        <v/>
      </c>
      <c r="G987" s="1">
        <f>IFERROR(__xludf.DUMMYFUNCTION("""COMPUTED_VALUE"""),"I'm not part of any EdTech association")</f>
        <v/>
      </c>
      <c r="H987" s="1" t="n"/>
      <c r="I987" s="1">
        <f>IFERROR(__xludf.DUMMYFUNCTION("""COMPUTED_VALUE"""),"armin.oppitz@liongate.de")</f>
        <v/>
      </c>
      <c r="J987" s="1">
        <f>IFERROR(__xludf.DUMMYFUNCTION("""COMPUTED_VALUE"""),"+491737382996")</f>
        <v/>
      </c>
      <c r="K987" s="1">
        <f>IFERROR(__xludf.DUMMYFUNCTION("""COMPUTED_VALUE"""),"München")</f>
        <v/>
      </c>
      <c r="L987" s="1">
        <f>IFERROR(__xludf.DUMMYFUNCTION("""COMPUTED_VALUE"""),"Germany")</f>
        <v/>
      </c>
      <c r="M987" s="1">
        <f>IFERROR(__xludf.DUMMYFUNCTION("""COMPUTED_VALUE"""),"Austria, Germany, Ireland, Italy, Netherlands, Portugal, Switzerland, United Kingdom")</f>
        <v/>
      </c>
      <c r="N987" s="1">
        <f>IFERROR(__xludf.DUMMYFUNCTION("""COMPUTED_VALUE"""),"11 to 50")</f>
        <v/>
      </c>
      <c r="O987" s="1">
        <f>IFERROR(__xludf.DUMMYFUNCTION("""COMPUTED_VALUE"""),"Business to Consumer")</f>
        <v/>
      </c>
      <c r="P987" s="1">
        <f>IFERROR(__xludf.DUMMYFUNCTION("""COMPUTED_VALUE"""),"Primary Education, Secondary Education, Higher Education, Corporate Training, Lifelong learning/Adult education")</f>
        <v/>
      </c>
      <c r="Q987" s="1">
        <f>IFERROR(__xludf.DUMMYFUNCTION("""COMPUTED_VALUE"""),"Student interfacing, Teacher interfacing, System/Administrative")</f>
        <v/>
      </c>
      <c r="R987" s="1" t="n"/>
      <c r="S987" s="1" t="n"/>
      <c r="T987" s="1" t="n"/>
      <c r="U987" s="1" t="n"/>
      <c r="V987" s="1" t="n"/>
      <c r="W987" s="1" t="n"/>
      <c r="X987" s="1" t="n"/>
      <c r="Y987" s="15">
        <f>IFERROR(__xludf.DUMMYFUNCTION("""COMPUTED_VALUE"""),"https://drive.google.com/uc?export=view&amp;id=1druVqdZxywwnjXbePIyQFHw31yN69NnP")</f>
        <v/>
      </c>
      <c r="Z987" s="1">
        <f>IFERROR(__xludf.DUMMYFUNCTION("""COMPUTED_VALUE"""),"Unverified")</f>
        <v/>
      </c>
      <c r="AA987" s="1" t="n"/>
      <c r="AB987" s="1" t="n"/>
      <c r="AC987" s="1" t="n"/>
      <c r="AD987" s="1" t="n"/>
      <c r="AE987" s="1" t="n"/>
    </row>
    <row r="988" ht="42" customHeight="1">
      <c r="A988" s="14">
        <f>IFERROR(__xludf.DUMMYFUNCTION("""COMPUTED_VALUE"""),45181)</f>
        <v/>
      </c>
      <c r="B988" s="1">
        <f>IFERROR(__xludf.DUMMYFUNCTION("""COMPUTED_VALUE"""),"ORG_2547")</f>
        <v/>
      </c>
      <c r="C988" s="1">
        <f>IFERROR(__xludf.DUMMYFUNCTION("""COMPUTED_VALUE"""),TRUE)</f>
        <v/>
      </c>
      <c r="D988" s="1">
        <f>IFERROR(__xludf.DUMMYFUNCTION("""COMPUTED_VALUE"""),"Woonoz")</f>
        <v/>
      </c>
      <c r="E988" s="15">
        <f>IFERROR(__xludf.DUMMYFUNCTION("""COMPUTED_VALUE"""),"www.woonoz.com")</f>
        <v/>
      </c>
      <c r="F988" s="1">
        <f>IFERROR(__xludf.DUMMYFUNCTION("""COMPUTED_VALUE"""),"Woonoz creates the world’s most memorized training programs. Did you know that 80% of information delivered as part of a training programme is forgotten within 7 days ? Driven by the ambition to help people develop through knowledge, Woonoz has created an"&amp;" e-learning solution that brings an answer to this problem: Memory Anchoring®. This technology is based on the latest research in neurosciences and on the mechanisms that govern memory and memorisation. It aims at maximising the retention rate of informat"&amp;"ion as well as reinforcing the impact of a training program. Relying on artificial intelligence, our Memory Anchoring® engine is unique in that it adapts in real time to the specific way each participant learns and their exact level and pace of learning. "&amp;"Our technology gives a training journey tailored to each learner, letting him or her focus on their weaknesses without losing time on already memorized content.")</f>
        <v/>
      </c>
      <c r="G988" s="1">
        <f>IFERROR(__xludf.DUMMYFUNCTION("""COMPUTED_VALUE"""),"EdTech France")</f>
        <v/>
      </c>
      <c r="H988" s="1" t="n"/>
      <c r="I988" s="1">
        <f>IFERROR(__xludf.DUMMYFUNCTION("""COMPUTED_VALUE"""),"contact@woonoz.com")</f>
        <v/>
      </c>
      <c r="J988" s="1">
        <f>IFERROR(__xludf.DUMMYFUNCTION("""COMPUTED_VALUE"""),"+33469647050")</f>
        <v/>
      </c>
      <c r="K988" s="1">
        <f>IFERROR(__xludf.DUMMYFUNCTION("""COMPUTED_VALUE"""),"LYON")</f>
        <v/>
      </c>
      <c r="L988" s="1">
        <f>IFERROR(__xludf.DUMMYFUNCTION("""COMPUTED_VALUE"""),"France")</f>
        <v/>
      </c>
      <c r="M988" s="1">
        <f>IFERROR(__xludf.DUMMYFUNCTION("""COMPUTED_VALUE"""),"France, Germany, Italy, Luxembourg, Netherlands, Portugal, Romania, Spain, Switzerland, United Kingdom")</f>
        <v/>
      </c>
      <c r="N988" s="1">
        <f>IFERROR(__xludf.DUMMYFUNCTION("""COMPUTED_VALUE"""),"101 to 500")</f>
        <v/>
      </c>
      <c r="O988" s="1">
        <f>IFERROR(__xludf.DUMMYFUNCTION("""COMPUTED_VALUE"""),"Business to Government")</f>
        <v/>
      </c>
      <c r="P988" s="1">
        <f>IFERROR(__xludf.DUMMYFUNCTION("""COMPUTED_VALUE"""),"Corporate Training, Lifelong learning/Adult education")</f>
        <v/>
      </c>
      <c r="Q988" s="1">
        <f>IFERROR(__xludf.DUMMYFUNCTION("""COMPUTED_VALUE"""),"System/Administrative")</f>
        <v/>
      </c>
      <c r="R988" s="1" t="n"/>
      <c r="S988" s="15">
        <f>IFERROR(__xludf.DUMMYFUNCTION("""COMPUTED_VALUE"""),"https://twitter.com/woonoz")</f>
        <v/>
      </c>
      <c r="T988" s="15">
        <f>IFERROR(__xludf.DUMMYFUNCTION("""COMPUTED_VALUE"""),"https://www.linkedin.com/company/2967089/")</f>
        <v/>
      </c>
      <c r="U988" s="1">
        <f>IFERROR(__xludf.DUMMYFUNCTION("""COMPUTED_VALUE"""),"Bespoke Memory Anchoring® training")</f>
        <v/>
      </c>
      <c r="V988" s="1">
        <f>IFERROR(__xludf.DUMMYFUNCTION("""COMPUTED_VALUE"""),"Memory Anchoring® techniques are universal and can be adapted to all types of training. As a result, Woonoz can propose tailored training modules that satisfy the exact requirements of your training project. We design together the training that is best su"&amp;"ited to your objectives and you benefit from a proven project management methodology. The lead time is controlled (25-50 days production). Together, we determine whether it is relevant to associate the modules with classroom/workshop training sessions to "&amp;"implement the most efficient blended learning solution.")</f>
        <v/>
      </c>
      <c r="W988" s="1" t="n"/>
      <c r="X988" s="1" t="n"/>
      <c r="Y988" s="15">
        <f>IFERROR(__xludf.DUMMYFUNCTION("""COMPUTED_VALUE"""),"https://drive.google.com/uc?export=view&amp;id=1YJcY3evg4ew4L85G9TNh5bNU_YaITTol")</f>
        <v/>
      </c>
      <c r="Z988" s="1">
        <f>IFERROR(__xludf.DUMMYFUNCTION("""COMPUTED_VALUE"""),"Unverified")</f>
        <v/>
      </c>
      <c r="AA988" s="1" t="n"/>
      <c r="AB988" s="1" t="n"/>
      <c r="AC988" s="1" t="n"/>
      <c r="AD988" s="1" t="n"/>
      <c r="AE988" s="1" t="n"/>
    </row>
    <row r="989" ht="42" customHeight="1">
      <c r="A989" s="14">
        <f>IFERROR(__xludf.DUMMYFUNCTION("""COMPUTED_VALUE"""),45181)</f>
        <v/>
      </c>
      <c r="B989" s="1">
        <f>IFERROR(__xludf.DUMMYFUNCTION("""COMPUTED_VALUE"""),"ORG_2555")</f>
        <v/>
      </c>
      <c r="C989" s="1">
        <f>IFERROR(__xludf.DUMMYFUNCTION("""COMPUTED_VALUE"""),TRUE)</f>
        <v/>
      </c>
      <c r="D989" s="1">
        <f>IFERROR(__xludf.DUMMYFUNCTION("""COMPUTED_VALUE"""),"wweeddoo")</f>
        <v/>
      </c>
      <c r="E989" s="15">
        <f>IFERROR(__xludf.DUMMYFUNCTION("""COMPUTED_VALUE"""),"https://wweeddoo.com")</f>
        <v/>
      </c>
      <c r="F989" s="1">
        <f>IFERROR(__xludf.DUMMYFUNCTION("""COMPUTED_VALUE"""),"wweeddoo provides a digital platform in order to help young people (13 - 30 y.o.) to launch projects and find resources related to their needs.
Projects can be charitable, sporting, entrepreneurial, ... , and resources can be advice, contact, financing, e"&amp;"quipment, ...")</f>
        <v/>
      </c>
      <c r="G989" s="1">
        <f>IFERROR(__xludf.DUMMYFUNCTION("""COMPUTED_VALUE"""),"EdTech France")</f>
        <v/>
      </c>
      <c r="H989" s="1" t="n"/>
      <c r="I989" s="1">
        <f>IFERROR(__xludf.DUMMYFUNCTION("""COMPUTED_VALUE"""),"contact@wweeddoo.com")</f>
        <v/>
      </c>
      <c r="J989" s="1" t="n"/>
      <c r="K989" s="1">
        <f>IFERROR(__xludf.DUMMYFUNCTION("""COMPUTED_VALUE"""),"LEVALLOIS-PERRET")</f>
        <v/>
      </c>
      <c r="L989" s="1">
        <f>IFERROR(__xludf.DUMMYFUNCTION("""COMPUTED_VALUE"""),"France")</f>
        <v/>
      </c>
      <c r="M989" s="1">
        <f>IFERROR(__xludf.DUMMYFUNCTION("""COMPUTED_VALUE"""),"France")</f>
        <v/>
      </c>
      <c r="N989" s="1">
        <f>IFERROR(__xludf.DUMMYFUNCTION("""COMPUTED_VALUE"""),"11 to 50")</f>
        <v/>
      </c>
      <c r="O989" s="1">
        <f>IFERROR(__xludf.DUMMYFUNCTION("""COMPUTED_VALUE"""),"Business to Schools")</f>
        <v/>
      </c>
      <c r="P989" s="1">
        <f>IFERROR(__xludf.DUMMYFUNCTION("""COMPUTED_VALUE"""),"Secondary Education, Higher Education")</f>
        <v/>
      </c>
      <c r="Q989" s="1">
        <f>IFERROR(__xludf.DUMMYFUNCTION("""COMPUTED_VALUE"""),"Student interfacing, Teacher interfacing, System/Administrative")</f>
        <v/>
      </c>
      <c r="R989" s="15">
        <f>IFERROR(__xludf.DUMMYFUNCTION("""COMPUTED_VALUE"""),"https://www.instagram.com/wweeddoofficiel/")</f>
        <v/>
      </c>
      <c r="S989" s="15">
        <f>IFERROR(__xludf.DUMMYFUNCTION("""COMPUTED_VALUE"""),"https://twitter.com/wweeddoofr")</f>
        <v/>
      </c>
      <c r="T989" s="15">
        <f>IFERROR(__xludf.DUMMYFUNCTION("""COMPUTED_VALUE"""),"https://fr.linkedin.com/company/wweeddoo")</f>
        <v/>
      </c>
      <c r="U989" s="1">
        <f>IFERROR(__xludf.DUMMYFUNCTION("""COMPUTED_VALUE"""),"wweeddoo")</f>
        <v/>
      </c>
      <c r="V989" s="1">
        <f>IFERROR(__xludf.DUMMYFUNCTION("""COMPUTED_VALUE"""),"wweeddoo provides a digital platform in order to help young people (13 - 30 y.o.) to launch projects and find resources related to their needs.
Projects can be in-school project, charitable, sporting, entrepreneurial, ... , and resources can be advice, co"&amp;"ntact, financing, equipment, ... Schools can use wweeddoo to allow their students to go further in their projects, and to make them visible to find their first job more easily.")</f>
        <v/>
      </c>
      <c r="W989" s="1" t="n"/>
      <c r="X989" s="1" t="n"/>
      <c r="Y989" s="15">
        <f>IFERROR(__xludf.DUMMYFUNCTION("""COMPUTED_VALUE"""),"https://drive.google.com/uc?export=view&amp;id=1ogzsBuw9EnFu1Nypuk_yKa11nus8sI_I")</f>
        <v/>
      </c>
      <c r="Z989" s="1">
        <f>IFERROR(__xludf.DUMMYFUNCTION("""COMPUTED_VALUE"""),"Unverified")</f>
        <v/>
      </c>
      <c r="AA989" s="1" t="n"/>
      <c r="AB989" s="1" t="n"/>
      <c r="AC989" s="1" t="n"/>
      <c r="AD989" s="1" t="n"/>
      <c r="AE989" s="1" t="n"/>
    </row>
    <row r="990" ht="42" customHeight="1">
      <c r="A990" s="14">
        <f>IFERROR(__xludf.DUMMYFUNCTION("""COMPUTED_VALUE"""),45181)</f>
        <v/>
      </c>
      <c r="B990" s="1">
        <f>IFERROR(__xludf.DUMMYFUNCTION("""COMPUTED_VALUE"""),"ORG_2421")</f>
        <v/>
      </c>
      <c r="C990" s="1">
        <f>IFERROR(__xludf.DUMMYFUNCTION("""COMPUTED_VALUE"""),TRUE)</f>
        <v/>
      </c>
      <c r="D990" s="1">
        <f>IFERROR(__xludf.DUMMYFUNCTION("""COMPUTED_VALUE"""),"TopLine Media")</f>
        <v/>
      </c>
      <c r="E990" s="15">
        <f>IFERROR(__xludf.DUMMYFUNCTION("""COMPUTED_VALUE"""),"https://www.toplinemedia.fi/")</f>
        <v/>
      </c>
      <c r="F990" s="1">
        <f>IFERROR(__xludf.DUMMYFUNCTION("""COMPUTED_VALUE"""),"TopLine Media is a multimedia company, offering interactive and story-based e-learning and online communication services. We create multifaceted and memorable study modules, courses, e-manuals and online communication. 
We ensure learning with interactiv"&amp;"e and story-based educational content. We apply latest research on digital pedagogy, gamification and storification in our work, also different forms of Extended Reality if needed. Our Web-based solutions, be those online manuals, eLearning modules or oth"&amp;"er virtual content, are time-independent and can be used on land, sea and even in the air.")</f>
        <v/>
      </c>
      <c r="G990" s="1">
        <f>IFERROR(__xludf.DUMMYFUNCTION("""COMPUTED_VALUE"""),"I'm not part of any EdTech association")</f>
        <v/>
      </c>
      <c r="H990" s="1" t="n"/>
      <c r="I990" s="1">
        <f>IFERROR(__xludf.DUMMYFUNCTION("""COMPUTED_VALUE"""),"info@toplinemedia.fi")</f>
        <v/>
      </c>
      <c r="J990" s="1">
        <f>IFERROR(__xludf.DUMMYFUNCTION("""COMPUTED_VALUE"""),"+358 400 889677")</f>
        <v/>
      </c>
      <c r="K990" s="1">
        <f>IFERROR(__xludf.DUMMYFUNCTION("""COMPUTED_VALUE"""),"LAHTI")</f>
        <v/>
      </c>
      <c r="L990" s="1">
        <f>IFERROR(__xludf.DUMMYFUNCTION("""COMPUTED_VALUE"""),"Finland")</f>
        <v/>
      </c>
      <c r="M990" s="1">
        <f>IFERROR(__xludf.DUMMYFUNCTION("""COMPUTED_VALUE"""),"Finland, United Kingdom")</f>
        <v/>
      </c>
      <c r="N990" s="1">
        <f>IFERROR(__xludf.DUMMYFUNCTION("""COMPUTED_VALUE"""),"0 to 10")</f>
        <v/>
      </c>
      <c r="O990" s="1">
        <f>IFERROR(__xludf.DUMMYFUNCTION("""COMPUTED_VALUE"""),"Business to Consumer, Business to Schools")</f>
        <v/>
      </c>
      <c r="P990" s="1">
        <f>IFERROR(__xludf.DUMMYFUNCTION("""COMPUTED_VALUE"""),"Higher Education, Corporate Training, Lifelong learning/Adult education")</f>
        <v/>
      </c>
      <c r="Q990" s="1">
        <f>IFERROR(__xludf.DUMMYFUNCTION("""COMPUTED_VALUE"""),"Student interfacing, System/Administrative")</f>
        <v/>
      </c>
      <c r="R990" s="1" t="n"/>
      <c r="S990" s="1" t="n"/>
      <c r="T990" s="1" t="n"/>
      <c r="U990" s="1" t="n"/>
      <c r="V990" s="1" t="n"/>
      <c r="W990" s="1" t="n"/>
      <c r="X990" s="1" t="n"/>
      <c r="Y990" s="1" t="n"/>
      <c r="Z990" s="1">
        <f>IFERROR(__xludf.DUMMYFUNCTION("""COMPUTED_VALUE"""),"Unverified")</f>
        <v/>
      </c>
      <c r="AA990" s="1" t="n"/>
      <c r="AB990" s="1" t="n"/>
      <c r="AC990" s="1" t="n"/>
      <c r="AD990" s="1" t="n"/>
      <c r="AE990" s="1" t="n"/>
    </row>
    <row r="991" ht="42" customHeight="1">
      <c r="A991" s="14">
        <f>IFERROR(__xludf.DUMMYFUNCTION("""COMPUTED_VALUE"""),45181)</f>
        <v/>
      </c>
      <c r="B991" s="1">
        <f>IFERROR(__xludf.DUMMYFUNCTION("""COMPUTED_VALUE"""),"ORG_1322")</f>
        <v/>
      </c>
      <c r="C991" s="1">
        <f>IFERROR(__xludf.DUMMYFUNCTION("""COMPUTED_VALUE"""),TRUE)</f>
        <v/>
      </c>
      <c r="D991" s="1">
        <f>IFERROR(__xludf.DUMMYFUNCTION("""COMPUTED_VALUE"""),"CyberSkiller")</f>
        <v/>
      </c>
      <c r="E991" s="15">
        <f>IFERROR(__xludf.DUMMYFUNCTION("""COMPUTED_VALUE"""),"https://cyberskiller.com")</f>
        <v/>
      </c>
      <c r="F991" s="1">
        <f>IFERROR(__xludf.DUMMYFUNCTION("""COMPUTED_VALUE"""),"The CyberSkiller company was established in response to the dynamic development of new technologies and the resulting constantly growing demand for IT specialists, especially in the areas of: cybersecurity, artificial intelligence and programming.
The re"&amp;"sult of the combination of highly specialized IT knowledge and commitment to the mission of preparing young people for further education or work in the IT comanies is a modern platform for learning and teaching computer science in a hands-on and interacti"&amp;"ve manner created entirely by the CyberSkiller team.")</f>
        <v/>
      </c>
      <c r="G991" s="1">
        <f>IFERROR(__xludf.DUMMYFUNCTION("""COMPUTED_VALUE"""),"I'm not part of any EdTech association")</f>
        <v/>
      </c>
      <c r="H991" s="1" t="n"/>
      <c r="I991" s="1">
        <f>IFERROR(__xludf.DUMMYFUNCTION("""COMPUTED_VALUE"""),"contact@cyberskiller.com")</f>
        <v/>
      </c>
      <c r="J991" s="1" t="n"/>
      <c r="K991" s="1">
        <f>IFERROR(__xludf.DUMMYFUNCTION("""COMPUTED_VALUE"""),"Lublin")</f>
        <v/>
      </c>
      <c r="L991" s="1">
        <f>IFERROR(__xludf.DUMMYFUNCTION("""COMPUTED_VALUE"""),"Poland")</f>
        <v/>
      </c>
      <c r="M991" s="1">
        <f>IFERROR(__xludf.DUMMYFUNCTION("""COMPUTED_VALUE"""),"Poland")</f>
        <v/>
      </c>
      <c r="N991" s="1">
        <f>IFERROR(__xludf.DUMMYFUNCTION("""COMPUTED_VALUE"""),"0 to 10")</f>
        <v/>
      </c>
      <c r="O991" s="1">
        <f>IFERROR(__xludf.DUMMYFUNCTION("""COMPUTED_VALUE"""),"Business to Business, Business to Consumer, Business to Government, Business to Schools")</f>
        <v/>
      </c>
      <c r="P991" s="1">
        <f>IFERROR(__xludf.DUMMYFUNCTION("""COMPUTED_VALUE"""),"Primary Education, Secondary Education, Higher Education, Corporate Training, Lifelong learning/Adult education")</f>
        <v/>
      </c>
      <c r="Q991" s="1">
        <f>IFERROR(__xludf.DUMMYFUNCTION("""COMPUTED_VALUE"""),"Student interfacing, System/Administrative")</f>
        <v/>
      </c>
      <c r="R991" s="1" t="n"/>
      <c r="S991" s="1" t="n"/>
      <c r="T991" s="1" t="n"/>
      <c r="U991" s="1" t="n"/>
      <c r="V991" s="1" t="n"/>
      <c r="W991" s="1" t="n"/>
      <c r="X991" s="1" t="n"/>
      <c r="Y991" s="15">
        <f>IFERROR(__xludf.DUMMYFUNCTION("""COMPUTED_VALUE"""),"https://drive.google.com/uc?export=view&amp;id=1agrw6x52CK4PL6ILlY7aMYnnliKA-hoo")</f>
        <v/>
      </c>
      <c r="Z991" s="1">
        <f>IFERROR(__xludf.DUMMYFUNCTION("""COMPUTED_VALUE"""),"Unverified")</f>
        <v/>
      </c>
      <c r="AA991" s="1" t="n"/>
      <c r="AB991" s="1" t="n"/>
      <c r="AC991" s="1" t="n"/>
      <c r="AD991" s="1" t="n"/>
      <c r="AE991" s="1" t="n"/>
    </row>
    <row r="992" ht="42" customHeight="1">
      <c r="A992" s="14">
        <f>IFERROR(__xludf.DUMMYFUNCTION("""COMPUTED_VALUE"""),45181)</f>
        <v/>
      </c>
      <c r="B992" s="1">
        <f>IFERROR(__xludf.DUMMYFUNCTION("""COMPUTED_VALUE"""),"ORG_1642")</f>
        <v/>
      </c>
      <c r="C992" s="1">
        <f>IFERROR(__xludf.DUMMYFUNCTION("""COMPUTED_VALUE"""),TRUE)</f>
        <v/>
      </c>
      <c r="D992" s="1">
        <f>IFERROR(__xludf.DUMMYFUNCTION("""COMPUTED_VALUE"""),"Grasple")</f>
        <v/>
      </c>
      <c r="E992" s="15">
        <f>IFERROR(__xludf.DUMMYFUNCTION("""COMPUTED_VALUE"""),"https://grasple.com/")</f>
        <v/>
      </c>
      <c r="F992" s="1">
        <f>IFERROR(__xludf.DUMMYFUNCTION("""COMPUTED_VALUE"""),"Grasple is an online practice and assessment platform for math and statistics education. 
By using our online editor, educators can collaboratively create, find and share interactive exercises, and offer their students the ability to practice more often a"&amp;"nd receive personalised feedback. This leads to more engagement and better results, and subsequently results in a worldwide collection of openly licensed high-quality learning materials.")</f>
        <v/>
      </c>
      <c r="G992" s="1">
        <f>IFERROR(__xludf.DUMMYFUNCTION("""COMPUTED_VALUE"""),"Dutch EdTech")</f>
        <v/>
      </c>
      <c r="H992" s="1" t="n"/>
      <c r="I992" s="1">
        <f>IFERROR(__xludf.DUMMYFUNCTION("""COMPUTED_VALUE"""),"hello@grasple.com")</f>
        <v/>
      </c>
      <c r="J992" s="1">
        <f>IFERROR(__xludf.DUMMYFUNCTION("""COMPUTED_VALUE"""),"+31 20 261 5380")</f>
        <v/>
      </c>
      <c r="K992" s="1">
        <f>IFERROR(__xludf.DUMMYFUNCTION("""COMPUTED_VALUE"""),"AMSTERDAM")</f>
        <v/>
      </c>
      <c r="L992" s="1">
        <f>IFERROR(__xludf.DUMMYFUNCTION("""COMPUTED_VALUE"""),"The Netherlands")</f>
        <v/>
      </c>
      <c r="M992" s="1">
        <f>IFERROR(__xludf.DUMMYFUNCTION("""COMPUTED_VALUE"""),"Belgium, Denmark, Netherlands, United Kingdom")</f>
        <v/>
      </c>
      <c r="N992" s="1">
        <f>IFERROR(__xludf.DUMMYFUNCTION("""COMPUTED_VALUE"""),"11 to 50")</f>
        <v/>
      </c>
      <c r="O992" s="1">
        <f>IFERROR(__xludf.DUMMYFUNCTION("""COMPUTED_VALUE"""),"Business to Business, Business to Consumer, Business to Schools")</f>
        <v/>
      </c>
      <c r="P992" s="1">
        <f>IFERROR(__xludf.DUMMYFUNCTION("""COMPUTED_VALUE"""),"Higher Education")</f>
        <v/>
      </c>
      <c r="Q992" s="1">
        <f>IFERROR(__xludf.DUMMYFUNCTION("""COMPUTED_VALUE"""),"Student interfacing, Teacher interfacing")</f>
        <v/>
      </c>
      <c r="R992" s="1" t="n"/>
      <c r="S992" s="15">
        <f>IFERROR(__xludf.DUMMYFUNCTION("""COMPUTED_VALUE"""),"https://twitter.com/opengrasple")</f>
        <v/>
      </c>
      <c r="T992" s="15">
        <f>IFERROR(__xludf.DUMMYFUNCTION("""COMPUTED_VALUE"""),"https://www.linkedin.com/company/grasple")</f>
        <v/>
      </c>
      <c r="U992" s="1">
        <f>IFERROR(__xludf.DUMMYFUNCTION("""COMPUTED_VALUE"""),"Grasple - create, edit and share open exercises and lessons for Math and Statistics")</f>
        <v/>
      </c>
      <c r="V992" s="1">
        <f>IFERROR(__xludf.DUMMYFUNCTION("""COMPUTED_VALUE"""),"With Grasple educators can create interactive learning materials and include a personalized approach into their education. 
As a result, students are more engaged with the actual subject and get to practice more often, leading to better results. 
Educat"&amp;"ors also gain the ability to collectively create exercises and build upon a worldwide collection of high-quality resources to improve and activate math and statistics education.")</f>
        <v/>
      </c>
      <c r="W992" s="1">
        <f>IFERROR(__xludf.DUMMYFUNCTION("""COMPUTED_VALUE"""),"Grasple Summative testing module")</f>
        <v/>
      </c>
      <c r="X992" s="1">
        <f>IFERROR(__xludf.DUMMYFUNCTION("""COMPUTED_VALUE"""),"Grasple is a platform to create, edit and share open exercises and lessons for Math and Statistics. In the platform you can learn by exercising, formative testing and with the add on module summative testing. Grasple beliefs supporting modulair learning, "&amp;"learning on demand and adaptive learning will help enjoy learning difficult concepts such as math and statistics. Formative and summative testing is becoming more and more intertwined.")</f>
        <v/>
      </c>
      <c r="Y992" s="15">
        <f>IFERROR(__xludf.DUMMYFUNCTION("""COMPUTED_VALUE"""),"https://drive.google.com/uc?export=view&amp;id=1_2E3wxPy5209rebyhDsriyK04iQMt25u")</f>
        <v/>
      </c>
      <c r="Z992" s="1">
        <f>IFERROR(__xludf.DUMMYFUNCTION("""COMPUTED_VALUE"""),"Unverified")</f>
        <v/>
      </c>
      <c r="AA992" s="1" t="n"/>
      <c r="AB992" s="1" t="n"/>
      <c r="AC992" s="1" t="n"/>
      <c r="AD992" s="1" t="n"/>
      <c r="AE992" s="1" t="n"/>
    </row>
    <row r="993" ht="42" customHeight="1">
      <c r="A993" s="14">
        <f>IFERROR(__xludf.DUMMYFUNCTION("""COMPUTED_VALUE"""),45181)</f>
        <v/>
      </c>
      <c r="B993" s="1">
        <f>IFERROR(__xludf.DUMMYFUNCTION("""COMPUTED_VALUE"""),"ORG_1670")</f>
        <v/>
      </c>
      <c r="C993" s="1">
        <f>IFERROR(__xludf.DUMMYFUNCTION("""COMPUTED_VALUE"""),TRUE)</f>
        <v/>
      </c>
      <c r="D993" s="1">
        <f>IFERROR(__xludf.DUMMYFUNCTION("""COMPUTED_VALUE"""),"Helge")</f>
        <v/>
      </c>
      <c r="E993" s="15">
        <f>IFERROR(__xludf.DUMMYFUNCTION("""COMPUTED_VALUE"""),"https://helge.app")</f>
        <v/>
      </c>
      <c r="F993" s="1">
        <f>IFERROR(__xludf.DUMMYFUNCTION("""COMPUTED_VALUE"""),"Helge equips school psychologists with research-based analytic tools to work with 13-19-year old students in classroom and individually")</f>
        <v/>
      </c>
      <c r="G993" s="1">
        <f>IFERROR(__xludf.DUMMYFUNCTION("""COMPUTED_VALUE"""),"EdTech Finland")</f>
        <v/>
      </c>
      <c r="H993" s="1">
        <f>IFERROR(__xludf.DUMMYFUNCTION("""COMPUTED_VALUE"""),"English, Estonian")</f>
        <v/>
      </c>
      <c r="I993" s="1">
        <f>IFERROR(__xludf.DUMMYFUNCTION("""COMPUTED_VALUE"""),"kersti@helge.app")</f>
        <v/>
      </c>
      <c r="J993" s="1">
        <f>IFERROR(__xludf.DUMMYFUNCTION("""COMPUTED_VALUE"""),"+3725040260")</f>
        <v/>
      </c>
      <c r="K993" s="1">
        <f>IFERROR(__xludf.DUMMYFUNCTION("""COMPUTED_VALUE"""),"Tallinn")</f>
        <v/>
      </c>
      <c r="L993" s="1">
        <f>IFERROR(__xludf.DUMMYFUNCTION("""COMPUTED_VALUE"""),"Estonia")</f>
        <v/>
      </c>
      <c r="M993" s="1">
        <f>IFERROR(__xludf.DUMMYFUNCTION("""COMPUTED_VALUE"""),"Estonia, Finland, Latvia, Lithuania")</f>
        <v/>
      </c>
      <c r="N993" s="1">
        <f>IFERROR(__xludf.DUMMYFUNCTION("""COMPUTED_VALUE"""),"3 to 5")</f>
        <v/>
      </c>
      <c r="O993" s="1">
        <f>IFERROR(__xludf.DUMMYFUNCTION("""COMPUTED_VALUE"""),"Business to Business, Business to Consumer, Business to Schools")</f>
        <v/>
      </c>
      <c r="P993" s="1">
        <f>IFERROR(__xludf.DUMMYFUNCTION("""COMPUTED_VALUE"""),"Primary Education, Secondary Education")</f>
        <v/>
      </c>
      <c r="Q993" s="1">
        <f>IFERROR(__xludf.DUMMYFUNCTION("""COMPUTED_VALUE"""),"System/Administrative, Student interfacing, Teacher interfacing")</f>
        <v/>
      </c>
      <c r="R993" s="15">
        <f>IFERROR(__xludf.DUMMYFUNCTION("""COMPUTED_VALUE"""),"https://www.instagram.com/helgeapp/")</f>
        <v/>
      </c>
      <c r="S993" s="15">
        <f>IFERROR(__xludf.DUMMYFUNCTION("""COMPUTED_VALUE"""),"https://twitter.com/helgeapp")</f>
        <v/>
      </c>
      <c r="T993" s="15">
        <f>IFERROR(__xludf.DUMMYFUNCTION("""COMPUTED_VALUE"""),"https://www.linkedin.com/company/helge")</f>
        <v/>
      </c>
      <c r="U993" s="1">
        <f>IFERROR(__xludf.DUMMYFUNCTION("""COMPUTED_VALUE"""),"Helge Dashboard")</f>
        <v/>
      </c>
      <c r="V993" s="1">
        <f>IFERROR(__xludf.DUMMYFUNCTION("""COMPUTED_VALUE"""),"Helge dashboard helps school support staff plan their work, conduct youth wellbeing surveys, gather real-time data from students’ regular self-assessment and carry out targeted student interventions.")</f>
        <v/>
      </c>
      <c r="W993" s="1">
        <f>IFERROR(__xludf.DUMMYFUNCTION("""COMPUTED_VALUE"""),"Helge Mobile App")</f>
        <v/>
      </c>
      <c r="X993" s="1">
        <f>IFERROR(__xludf.DUMMYFUNCTION("""COMPUTED_VALUE"""),"Helge mobile app is a safe and anonymous tool meant for 13-19 year old youngsters to understand themselves better and if needed, guide them to teachers, school psychologists, or parents.")</f>
        <v/>
      </c>
      <c r="Y993" s="15">
        <f>IFERROR(__xludf.DUMMYFUNCTION("""COMPUTED_VALUE"""),"https://drive.google.com/uc?export=view&amp;id=1uu2NA_E3EdR6CB0SD5aP2OfyY0KHqIGi")</f>
        <v/>
      </c>
      <c r="Z993" s="1">
        <f>IFERROR(__xludf.DUMMYFUNCTION("""COMPUTED_VALUE"""),"Unverified")</f>
        <v/>
      </c>
      <c r="AA993" s="1" t="n"/>
      <c r="AB993" s="1" t="n"/>
      <c r="AC993" s="1" t="n"/>
      <c r="AD993" s="1" t="n"/>
      <c r="AE993" s="1" t="n"/>
    </row>
    <row r="994" ht="42" customHeight="1">
      <c r="A994" s="14">
        <f>IFERROR(__xludf.DUMMYFUNCTION("""COMPUTED_VALUE"""),45181)</f>
        <v/>
      </c>
      <c r="B994" s="1">
        <f>IFERROR(__xludf.DUMMYFUNCTION("""COMPUTED_VALUE"""),"ORG_1823")</f>
        <v/>
      </c>
      <c r="C994" s="1">
        <f>IFERROR(__xludf.DUMMYFUNCTION("""COMPUTED_VALUE"""),TRUE)</f>
        <v/>
      </c>
      <c r="D994" s="1">
        <f>IFERROR(__xludf.DUMMYFUNCTION("""COMPUTED_VALUE"""),"Leap Learning")</f>
        <v/>
      </c>
      <c r="E994" s="15">
        <f>IFERROR(__xludf.DUMMYFUNCTION("""COMPUTED_VALUE"""),"www.leaplearning.com")</f>
        <v/>
      </c>
      <c r="F994" s="1">
        <f>IFERROR(__xludf.DUMMYFUNCTION("""COMPUTED_VALUE"""),"Leap Learning has developed a new educational method using technology to enable children to learn to learn, where and whoever they are in the world. We are combining technology and hands on games into a flipped classroom (Leap Learning Labs) with stations"&amp;", to ensure that all children can learn at their own level and in their own pace.")</f>
        <v/>
      </c>
      <c r="G994" s="1">
        <f>IFERROR(__xludf.DUMMYFUNCTION("""COMPUTED_VALUE"""),"I'm not part of any EdTech association")</f>
        <v/>
      </c>
      <c r="H994" s="1" t="n"/>
      <c r="I994" s="1">
        <f>IFERROR(__xludf.DUMMYFUNCTION("""COMPUTED_VALUE"""),"post@leaplearning.no")</f>
        <v/>
      </c>
      <c r="J994" s="1">
        <f>IFERROR(__xludf.DUMMYFUNCTION("""COMPUTED_VALUE"""),"+4795288932")</f>
        <v/>
      </c>
      <c r="K994" s="1">
        <f>IFERROR(__xludf.DUMMYFUNCTION("""COMPUTED_VALUE"""),"ASKER")</f>
        <v/>
      </c>
      <c r="L994" s="1">
        <f>IFERROR(__xludf.DUMMYFUNCTION("""COMPUTED_VALUE"""),"Norway")</f>
        <v/>
      </c>
      <c r="M994" s="1">
        <f>IFERROR(__xludf.DUMMYFUNCTION("""COMPUTED_VALUE"""),"France, Norway, Turkey, Ukraine, United Kingdom")</f>
        <v/>
      </c>
      <c r="N994" s="1">
        <f>IFERROR(__xludf.DUMMYFUNCTION("""COMPUTED_VALUE"""),"0 to 10")</f>
        <v/>
      </c>
      <c r="O994" s="1">
        <f>IFERROR(__xludf.DUMMYFUNCTION("""COMPUTED_VALUE"""),"Business to Business, Business to Consumer, Business to Schools")</f>
        <v/>
      </c>
      <c r="P994" s="1">
        <f>IFERROR(__xludf.DUMMYFUNCTION("""COMPUTED_VALUE"""),"Early childhood development (0-5 years), Primary Education, Higher Education, Lifelong learning/Adult education")</f>
        <v/>
      </c>
      <c r="Q994" s="1">
        <f>IFERROR(__xludf.DUMMYFUNCTION("""COMPUTED_VALUE"""),"Student interfacing, System/Administrative")</f>
        <v/>
      </c>
      <c r="R994" s="1" t="n"/>
      <c r="S994" s="1" t="n"/>
      <c r="T994" s="1" t="n"/>
      <c r="U994" s="1" t="n"/>
      <c r="V994" s="1" t="n"/>
      <c r="W994" s="1" t="n"/>
      <c r="X994" s="1" t="n"/>
      <c r="Y994" s="15">
        <f>IFERROR(__xludf.DUMMYFUNCTION("""COMPUTED_VALUE"""),"https://drive.google.com/uc?export=view&amp;id=1DtMh9GMJr9PXombxE6wv0fpZoaHOpKRN")</f>
        <v/>
      </c>
      <c r="Z994" s="1">
        <f>IFERROR(__xludf.DUMMYFUNCTION("""COMPUTED_VALUE"""),"Unverified")</f>
        <v/>
      </c>
      <c r="AA994" s="1" t="n"/>
      <c r="AB994" s="1" t="n"/>
      <c r="AC994" s="1" t="n"/>
      <c r="AD994" s="1" t="n"/>
      <c r="AE994" s="1" t="n"/>
    </row>
    <row r="995" ht="42" customHeight="1">
      <c r="A995" s="14">
        <f>IFERROR(__xludf.DUMMYFUNCTION("""COMPUTED_VALUE"""),45181)</f>
        <v/>
      </c>
      <c r="B995" s="1">
        <f>IFERROR(__xludf.DUMMYFUNCTION("""COMPUTED_VALUE"""),"ORG_2168")</f>
        <v/>
      </c>
      <c r="C995" s="1">
        <f>IFERROR(__xludf.DUMMYFUNCTION("""COMPUTED_VALUE"""),TRUE)</f>
        <v/>
      </c>
      <c r="D995" s="1">
        <f>IFERROR(__xludf.DUMMYFUNCTION("""COMPUTED_VALUE"""),"Recitaleyes")</f>
        <v/>
      </c>
      <c r="E995" s="15">
        <f>IFERROR(__xludf.DUMMYFUNCTION("""COMPUTED_VALUE"""),"https://recitaleyes.com/")</f>
        <v/>
      </c>
      <c r="F995" s="1">
        <f>IFERROR(__xludf.DUMMYFUNCTION("""COMPUTED_VALUE"""),"Recitaleyes is a platform for students that helps them study using both visual and echoic (with voice) memory.
Recitaleyes uses IA to convert text to human-like voice, allowing students to listen to their class notes while reading them, improving the abi"&amp;"lity to understand and memorize lessons.
Currently, Recitaleyes also offer always-up-to-date Spanish laws texts and voices for students of civil public positions in Spain or Law Bachelor's degree.")</f>
        <v/>
      </c>
      <c r="G995" s="1">
        <f>IFERROR(__xludf.DUMMYFUNCTION("""COMPUTED_VALUE"""),"I'm not part of any EdTech association")</f>
        <v/>
      </c>
      <c r="H995" s="1" t="n"/>
      <c r="I995" s="1">
        <f>IFERROR(__xludf.DUMMYFUNCTION("""COMPUTED_VALUE"""),"hola@recitaleyes.com")</f>
        <v/>
      </c>
      <c r="J995" s="1" t="n"/>
      <c r="K995" s="1">
        <f>IFERROR(__xludf.DUMMYFUNCTION("""COMPUTED_VALUE"""),"SEVILLE")</f>
        <v/>
      </c>
      <c r="L995" s="1">
        <f>IFERROR(__xludf.DUMMYFUNCTION("""COMPUTED_VALUE"""),"Spain")</f>
        <v/>
      </c>
      <c r="M995" s="1">
        <f>IFERROR(__xludf.DUMMYFUNCTION("""COMPUTED_VALUE"""),"Spain")</f>
        <v/>
      </c>
      <c r="N995" s="1">
        <f>IFERROR(__xludf.DUMMYFUNCTION("""COMPUTED_VALUE"""),"0 to 10")</f>
        <v/>
      </c>
      <c r="O995" s="1">
        <f>IFERROR(__xludf.DUMMYFUNCTION("""COMPUTED_VALUE"""),"Business to Consumer")</f>
        <v/>
      </c>
      <c r="P995" s="1">
        <f>IFERROR(__xludf.DUMMYFUNCTION("""COMPUTED_VALUE"""),"Primary Education, Secondary Education, Higher Education, Lifelong learning/Adult education")</f>
        <v/>
      </c>
      <c r="Q995" s="1">
        <f>IFERROR(__xludf.DUMMYFUNCTION("""COMPUTED_VALUE"""),"Student interfacing, Teacher interfacing, System/Administrative")</f>
        <v/>
      </c>
      <c r="R995" s="1" t="n"/>
      <c r="S995" s="1" t="n"/>
      <c r="T995" s="1" t="n"/>
      <c r="U995" s="1" t="n"/>
      <c r="V995" s="1" t="n"/>
      <c r="W995" s="1" t="n"/>
      <c r="X995" s="1" t="n"/>
      <c r="Y995" s="15">
        <f>IFERROR(__xludf.DUMMYFUNCTION("""COMPUTED_VALUE"""),"https://drive.google.com/uc?export=view&amp;id=1-zU2hv-fqMSNVp4RMervJNj0Ojwx4C0r")</f>
        <v/>
      </c>
      <c r="Z995" s="1">
        <f>IFERROR(__xludf.DUMMYFUNCTION("""COMPUTED_VALUE"""),"Unverified")</f>
        <v/>
      </c>
      <c r="AA995" s="1" t="n"/>
      <c r="AB995" s="1" t="n"/>
      <c r="AC995" s="1" t="n"/>
      <c r="AD995" s="1" t="n"/>
      <c r="AE995" s="1" t="n"/>
    </row>
    <row r="996" ht="42" customHeight="1">
      <c r="A996" s="14">
        <f>IFERROR(__xludf.DUMMYFUNCTION("""COMPUTED_VALUE"""),45181)</f>
        <v/>
      </c>
      <c r="B996" s="1">
        <f>IFERROR(__xludf.DUMMYFUNCTION("""COMPUTED_VALUE"""),"ORG_2247")</f>
        <v/>
      </c>
      <c r="C996" s="1">
        <f>IFERROR(__xludf.DUMMYFUNCTION("""COMPUTED_VALUE"""),TRUE)</f>
        <v/>
      </c>
      <c r="D996" s="1">
        <f>IFERROR(__xludf.DUMMYFUNCTION("""COMPUTED_VALUE"""),"Simulise")</f>
        <v/>
      </c>
      <c r="E996" s="15">
        <f>IFERROR(__xludf.DUMMYFUNCTION("""COMPUTED_VALUE"""),"www.simulise.com")</f>
        <v/>
      </c>
      <c r="F996" s="1">
        <f>IFERROR(__xludf.DUMMYFUNCTION("""COMPUTED_VALUE"""),"It was our dream to provide all students with an online portfolio that shows who they are and what they can do. The portfolio had to remain the property of the student long after school.
And it worked! With over 125,000 users in the Netherlands and Belgiu"&amp;"m, we have outgrown the start-up phase.")</f>
        <v/>
      </c>
      <c r="G996" s="1">
        <f>IFERROR(__xludf.DUMMYFUNCTION("""COMPUTED_VALUE"""),"Dutch EdTech")</f>
        <v/>
      </c>
      <c r="H996" s="1" t="n"/>
      <c r="I996" s="1">
        <f>IFERROR(__xludf.DUMMYFUNCTION("""COMPUTED_VALUE"""),"info@simulise.com")</f>
        <v/>
      </c>
      <c r="J996" s="1">
        <f>IFERROR(__xludf.DUMMYFUNCTION("""COMPUTED_VALUE"""),"+31854013536")</f>
        <v/>
      </c>
      <c r="K996" s="1">
        <f>IFERROR(__xludf.DUMMYFUNCTION("""COMPUTED_VALUE"""),"Hilversum")</f>
        <v/>
      </c>
      <c r="L996" s="1">
        <f>IFERROR(__xludf.DUMMYFUNCTION("""COMPUTED_VALUE"""),"The Netherlands")</f>
        <v/>
      </c>
      <c r="M996" s="1">
        <f>IFERROR(__xludf.DUMMYFUNCTION("""COMPUTED_VALUE"""),"Belgium, Netherlands")</f>
        <v/>
      </c>
      <c r="N996" s="1">
        <f>IFERROR(__xludf.DUMMYFUNCTION("""COMPUTED_VALUE"""),"0 to 10")</f>
        <v/>
      </c>
      <c r="O996" s="1">
        <f>IFERROR(__xludf.DUMMYFUNCTION("""COMPUTED_VALUE"""),"Business to Consumer, Business to Government, Business to Schools")</f>
        <v/>
      </c>
      <c r="P996" s="1">
        <f>IFERROR(__xludf.DUMMYFUNCTION("""COMPUTED_VALUE"""),"Primary Education, Secondary Education, Higher Education, Lifelong learning/Adult education")</f>
        <v/>
      </c>
      <c r="Q996" s="1">
        <f>IFERROR(__xludf.DUMMYFUNCTION("""COMPUTED_VALUE"""),"Student interfacing, Teacher interfacing")</f>
        <v/>
      </c>
      <c r="R996" s="1" t="n"/>
      <c r="S996" s="1" t="n"/>
      <c r="T996" s="1" t="n"/>
      <c r="U996" s="1" t="n"/>
      <c r="V996" s="1" t="n"/>
      <c r="W996" s="1" t="n"/>
      <c r="X996" s="1" t="n"/>
      <c r="Y996" s="15">
        <f>IFERROR(__xludf.DUMMYFUNCTION("""COMPUTED_VALUE"""),"https://drive.google.com/uc?export=view&amp;id=1J4kX3JLkCh0qXuXQOJjHVQtUJM_52sBc")</f>
        <v/>
      </c>
      <c r="Z996" s="1">
        <f>IFERROR(__xludf.DUMMYFUNCTION("""COMPUTED_VALUE"""),"Unverified")</f>
        <v/>
      </c>
      <c r="AA996" s="1" t="n"/>
      <c r="AB996" s="1" t="n"/>
      <c r="AC996" s="1" t="n"/>
      <c r="AD996" s="1" t="n"/>
      <c r="AE996" s="1" t="n"/>
    </row>
    <row r="997" ht="42" customHeight="1">
      <c r="A997" s="14">
        <f>IFERROR(__xludf.DUMMYFUNCTION("""COMPUTED_VALUE"""),45181)</f>
        <v/>
      </c>
      <c r="B997" s="1">
        <f>IFERROR(__xludf.DUMMYFUNCTION("""COMPUTED_VALUE"""),"ORG_2438")</f>
        <v/>
      </c>
      <c r="C997" s="1">
        <f>IFERROR(__xludf.DUMMYFUNCTION("""COMPUTED_VALUE"""),TRUE)</f>
        <v/>
      </c>
      <c r="D997" s="15">
        <f>IFERROR(__xludf.DUMMYFUNCTION("""COMPUTED_VALUE"""),"Tutor.id")</f>
        <v/>
      </c>
      <c r="E997" s="15">
        <f>IFERROR(__xludf.DUMMYFUNCTION("""COMPUTED_VALUE"""),"https://tutor.id/")</f>
        <v/>
      </c>
      <c r="F997" s="1">
        <f>IFERROR(__xludf.DUMMYFUNCTION("""COMPUTED_VALUE"""),"Tutor.id is a growing online teaching platform that matches students with private tutors. Tutor.id is more than a marketplace. We also provide tutors with advanced management tools (on a freemium subscription model) to help tutors automate their businesse"&amp;"s and teaching operations so they can focus on their students, the quality of their teaching, and their own professional development.")</f>
        <v/>
      </c>
      <c r="G997" s="1">
        <f>IFERROR(__xludf.DUMMYFUNCTION("""COMPUTED_VALUE"""),"EdTech Estonia")</f>
        <v/>
      </c>
      <c r="H997" s="1" t="n"/>
      <c r="I997" s="1">
        <f>IFERROR(__xludf.DUMMYFUNCTION("""COMPUTED_VALUE"""),"karen@tutor.id")</f>
        <v/>
      </c>
      <c r="J997" s="1">
        <f>IFERROR(__xludf.DUMMYFUNCTION("""COMPUTED_VALUE"""),"+37256090087")</f>
        <v/>
      </c>
      <c r="K997" s="1">
        <f>IFERROR(__xludf.DUMMYFUNCTION("""COMPUTED_VALUE"""),"Tallinn")</f>
        <v/>
      </c>
      <c r="L997" s="1">
        <f>IFERROR(__xludf.DUMMYFUNCTION("""COMPUTED_VALUE"""),"Estonia")</f>
        <v/>
      </c>
      <c r="M997" s="1">
        <f>IFERROR(__xludf.DUMMYFUNCTION("""COMPUTED_VALUE"""),"Estonia, Germany, United Kingdom")</f>
        <v/>
      </c>
      <c r="N997" s="1">
        <f>IFERROR(__xludf.DUMMYFUNCTION("""COMPUTED_VALUE"""),"0 to 10")</f>
        <v/>
      </c>
      <c r="O997" s="1">
        <f>IFERROR(__xludf.DUMMYFUNCTION("""COMPUTED_VALUE"""),"Business to Schools")</f>
        <v/>
      </c>
      <c r="P997" s="1">
        <f>IFERROR(__xludf.DUMMYFUNCTION("""COMPUTED_VALUE"""),"Primary Education, Secondary Education, Higher Education, Corporate Training, Lifelong learning/Adult education")</f>
        <v/>
      </c>
      <c r="Q997" s="1">
        <f>IFERROR(__xludf.DUMMYFUNCTION("""COMPUTED_VALUE"""),"System/Administrative, Student interfacing, Teacher interfacing")</f>
        <v/>
      </c>
      <c r="R997" s="1" t="n"/>
      <c r="S997" s="1" t="n"/>
      <c r="T997" s="1" t="n"/>
      <c r="U997" s="1" t="n"/>
      <c r="V997" s="1" t="n"/>
      <c r="W997" s="1" t="n"/>
      <c r="X997" s="1" t="n"/>
      <c r="Y997" s="15">
        <f>IFERROR(__xludf.DUMMYFUNCTION("""COMPUTED_VALUE"""),"https://drive.google.com/uc?export=view&amp;id=1IYlwzSNhHShda3-X0G6VQ2-YCIIddWXj")</f>
        <v/>
      </c>
      <c r="Z997" s="1">
        <f>IFERROR(__xludf.DUMMYFUNCTION("""COMPUTED_VALUE"""),"Unverified")</f>
        <v/>
      </c>
      <c r="AA997" s="1" t="n"/>
      <c r="AB997" s="1" t="n"/>
      <c r="AC997" s="1" t="n"/>
      <c r="AD997" s="1" t="n"/>
      <c r="AE997" s="1" t="n"/>
    </row>
    <row r="998" ht="42" customHeight="1">
      <c r="A998" s="14">
        <f>IFERROR(__xludf.DUMMYFUNCTION("""COMPUTED_VALUE"""),45181)</f>
        <v/>
      </c>
      <c r="B998" s="1">
        <f>IFERROR(__xludf.DUMMYFUNCTION("""COMPUTED_VALUE"""),"ORG_1034")</f>
        <v/>
      </c>
      <c r="C998" s="1">
        <f>IFERROR(__xludf.DUMMYFUNCTION("""COMPUTED_VALUE"""),TRUE)</f>
        <v/>
      </c>
      <c r="D998" s="1">
        <f>IFERROR(__xludf.DUMMYFUNCTION("""COMPUTED_VALUE"""),"ADAPTICAL")</f>
        <v/>
      </c>
      <c r="E998" s="15">
        <f>IFERROR(__xludf.DUMMYFUNCTION("""COMPUTED_VALUE"""),"adaptical.io")</f>
        <v/>
      </c>
      <c r="F998" s="1">
        <f>IFERROR(__xludf.DUMMYFUNCTION("""COMPUTED_VALUE"""),"Founded in 2020 by three engineers, ADAPTICAL is a company specialising in the development of adaptive education solutions using new technologies such as artificial intelligence.
ADAPTICAL stands out for its strong commitment to R&amp;D, which is why it was r"&amp;"ecognised as the startup with the greatest impact in Spain in 2021 by SECOT and the Repsol Foundation.
It currently has a team of eight people and markets its adaptive education solutions in Spain.
ADAPTICAL develops didactic applications that allow perso"&amp;"nalising teaching for each student to maximise their abilities.
ADAPTICAL has two applications: Aurora and Mathew.
Aurora allows students to be oriented towards a discipline according to their psychological traits and academic performance.
It makes predic"&amp;"tions of dropout risk, enrolment simulator, progress monitoring and much more.
Mathew is an adaptive learning application for mathematics that can create personalised pathways for K-12 students.")</f>
        <v/>
      </c>
      <c r="G998" s="1">
        <f>IFERROR(__xludf.DUMMYFUNCTION("""COMPUTED_VALUE"""),"I'm not part of any EdTech association")</f>
        <v/>
      </c>
      <c r="H998" s="1" t="n"/>
      <c r="I998" s="1">
        <f>IFERROR(__xludf.DUMMYFUNCTION("""COMPUTED_VALUE"""),"info@adaptical.io")</f>
        <v/>
      </c>
      <c r="J998" s="1">
        <f>IFERROR(__xludf.DUMMYFUNCTION("""COMPUTED_VALUE"""),"+34611086412")</f>
        <v/>
      </c>
      <c r="K998" s="1">
        <f>IFERROR(__xludf.DUMMYFUNCTION("""COMPUTED_VALUE"""),"Sant Cugat del Vallès")</f>
        <v/>
      </c>
      <c r="L998" s="1">
        <f>IFERROR(__xludf.DUMMYFUNCTION("""COMPUTED_VALUE"""),"Spain")</f>
        <v/>
      </c>
      <c r="M998" s="1">
        <f>IFERROR(__xludf.DUMMYFUNCTION("""COMPUTED_VALUE"""),"Spain")</f>
        <v/>
      </c>
      <c r="N998" s="1">
        <f>IFERROR(__xludf.DUMMYFUNCTION("""COMPUTED_VALUE"""),"0 to 10")</f>
        <v/>
      </c>
      <c r="O998" s="1">
        <f>IFERROR(__xludf.DUMMYFUNCTION("""COMPUTED_VALUE"""),"Business to Business")</f>
        <v/>
      </c>
      <c r="P998" s="1">
        <f>IFERROR(__xludf.DUMMYFUNCTION("""COMPUTED_VALUE"""),"Primary Education, Secondary Education, Higher Education")</f>
        <v/>
      </c>
      <c r="Q998" s="1">
        <f>IFERROR(__xludf.DUMMYFUNCTION("""COMPUTED_VALUE"""),"System/Administrative, Student interfacing, Teacher interfacing")</f>
        <v/>
      </c>
      <c r="R998" s="1" t="n"/>
      <c r="S998" s="1" t="n"/>
      <c r="T998" s="1" t="n"/>
      <c r="U998" s="1" t="n"/>
      <c r="V998" s="1" t="n"/>
      <c r="W998" s="1" t="n"/>
      <c r="X998" s="1" t="n"/>
      <c r="Y998" s="15">
        <f>IFERROR(__xludf.DUMMYFUNCTION("""COMPUTED_VALUE"""),"https://drive.google.com/uc?export=view&amp;id=1EDV2WX73iI8Xt008pUFSxmgUa12KoO6n")</f>
        <v/>
      </c>
      <c r="Z998" s="1">
        <f>IFERROR(__xludf.DUMMYFUNCTION("""COMPUTED_VALUE"""),"Unverified")</f>
        <v/>
      </c>
      <c r="AA998" s="1" t="n"/>
      <c r="AB998" s="1" t="n"/>
      <c r="AC998" s="1" t="n"/>
      <c r="AD998" s="1" t="n"/>
      <c r="AE998" s="1" t="n"/>
    </row>
    <row r="999" ht="42" customHeight="1">
      <c r="A999" s="14">
        <f>IFERROR(__xludf.DUMMYFUNCTION("""COMPUTED_VALUE"""),45181)</f>
        <v/>
      </c>
      <c r="B999" s="1">
        <f>IFERROR(__xludf.DUMMYFUNCTION("""COMPUTED_VALUE"""),"ORG_1067")</f>
        <v/>
      </c>
      <c r="C999" s="1">
        <f>IFERROR(__xludf.DUMMYFUNCTION("""COMPUTED_VALUE"""),TRUE)</f>
        <v/>
      </c>
      <c r="D999" s="1">
        <f>IFERROR(__xludf.DUMMYFUNCTION("""COMPUTED_VALUE"""),"Amanote")</f>
        <v/>
      </c>
      <c r="E999" s="15">
        <f>IFERROR(__xludf.DUMMYFUNCTION("""COMPUTED_VALUE"""),"https://amanote.com")</f>
        <v/>
      </c>
      <c r="F999" s="1">
        <f>IFERROR(__xludf.DUMMYFUNCTION("""COMPUTED_VALUE"""),"Turn course materials (slides, syllabus, video, textbook, etc.) to interactive content that allows learners to reach their full potential: note-taking, highlighting, class survey, learning analytics, and much more...
Once Amanote is installed on your LMS"&amp;", all supported course materials become annotatable by learners. It makes them more attentive and engaged during their learning process. This is a quick win for your institution.")</f>
        <v/>
      </c>
      <c r="G999" s="1">
        <f>IFERROR(__xludf.DUMMYFUNCTION("""COMPUTED_VALUE"""),"I'm not part of any EdTech association")</f>
        <v/>
      </c>
      <c r="H999" s="1" t="n"/>
      <c r="I999" s="1" t="n"/>
      <c r="J999" s="1" t="n"/>
      <c r="K999" s="1">
        <f>IFERROR(__xludf.DUMMYFUNCTION("""COMPUTED_VALUE"""),"Liège")</f>
        <v/>
      </c>
      <c r="L999" s="1">
        <f>IFERROR(__xludf.DUMMYFUNCTION("""COMPUTED_VALUE"""),"Belgium")</f>
        <v/>
      </c>
      <c r="M999" s="1">
        <f>IFERROR(__xludf.DUMMYFUNCTION("""COMPUTED_VALUE"""),"Belgium, Denmark, Estonia, Finland, France, Germany, Iceland, Ireland, Italy, Latvia, Luxembourg, Monaco, Netherlands, Norway, Portugal, Spain, Sweden, Switzerland, United Kingdom")</f>
        <v/>
      </c>
      <c r="N999" s="1">
        <f>IFERROR(__xludf.DUMMYFUNCTION("""COMPUTED_VALUE"""),"0 to 10")</f>
        <v/>
      </c>
      <c r="O999" s="1">
        <f>IFERROR(__xludf.DUMMYFUNCTION("""COMPUTED_VALUE"""),"Business to Business")</f>
        <v/>
      </c>
      <c r="P999" s="1">
        <f>IFERROR(__xludf.DUMMYFUNCTION("""COMPUTED_VALUE"""),"Secondary Education, Higher Education, Corporate Training, Lifelong learning/Adult education")</f>
        <v/>
      </c>
      <c r="Q999" s="1">
        <f>IFERROR(__xludf.DUMMYFUNCTION("""COMPUTED_VALUE"""),"Student interfacing, Teacher interfacing, System/Administrative")</f>
        <v/>
      </c>
      <c r="R999" s="1" t="n"/>
      <c r="S999" s="1" t="n"/>
      <c r="T999" s="1" t="n"/>
      <c r="U999" s="1" t="n"/>
      <c r="V999" s="1" t="n"/>
      <c r="W999" s="1" t="n"/>
      <c r="X999" s="1" t="n"/>
      <c r="Y999" s="15">
        <f>IFERROR(__xludf.DUMMYFUNCTION("""COMPUTED_VALUE"""),"https://drive.google.com/uc?export=view&amp;id=1Wb8Mafh3FqpUEFpS6lQ9KbD7_IDA-BJL")</f>
        <v/>
      </c>
      <c r="Z999" s="1">
        <f>IFERROR(__xludf.DUMMYFUNCTION("""COMPUTED_VALUE"""),"Unverified")</f>
        <v/>
      </c>
      <c r="AA999" s="1" t="n"/>
      <c r="AB999" s="1" t="n"/>
      <c r="AC999" s="1" t="n"/>
      <c r="AD999" s="1" t="n"/>
      <c r="AE999" s="1" t="n"/>
    </row>
    <row r="1000" ht="42" customHeight="1">
      <c r="A1000" s="14">
        <f>IFERROR(__xludf.DUMMYFUNCTION("""COMPUTED_VALUE"""),45181)</f>
        <v/>
      </c>
      <c r="B1000" s="1">
        <f>IFERROR(__xludf.DUMMYFUNCTION("""COMPUTED_VALUE"""),"ORG_1234")</f>
        <v/>
      </c>
      <c r="C1000" s="1">
        <f>IFERROR(__xludf.DUMMYFUNCTION("""COMPUTED_VALUE"""),TRUE)</f>
        <v/>
      </c>
      <c r="D1000" s="1">
        <f>IFERROR(__xludf.DUMMYFUNCTION("""COMPUTED_VALUE"""),"Check'n Choose")</f>
        <v/>
      </c>
      <c r="E1000" s="15">
        <f>IFERROR(__xludf.DUMMYFUNCTION("""COMPUTED_VALUE"""),"https://checknchoose.com/")</f>
        <v/>
      </c>
      <c r="F1000" s="1">
        <f>IFERROR(__xludf.DUMMYFUNCTION("""COMPUTED_VALUE"""),"Check'n Choose is an internship search and management software for students, companies and schools. We offer a tool equipped with functionalities that automate, simplify and streamline administrative processes, and provide useful information that helps ev"&amp;"eryone involved to make better decisions.")</f>
        <v/>
      </c>
      <c r="G1000" s="1">
        <f>IFERROR(__xludf.DUMMYFUNCTION("""COMPUTED_VALUE"""),"I'm not part of any EdTech association")</f>
        <v/>
      </c>
      <c r="H1000" s="1" t="n"/>
      <c r="I1000" s="1">
        <f>IFERROR(__xludf.DUMMYFUNCTION("""COMPUTED_VALUE"""),"julia@checknchoose.com")</f>
        <v/>
      </c>
      <c r="J1000" s="1">
        <f>IFERROR(__xludf.DUMMYFUNCTION("""COMPUTED_VALUE"""),"+34 623 03 02 01")</f>
        <v/>
      </c>
      <c r="K1000" s="1">
        <f>IFERROR(__xludf.DUMMYFUNCTION("""COMPUTED_VALUE"""),"BARCELONA")</f>
        <v/>
      </c>
      <c r="L1000" s="1">
        <f>IFERROR(__xludf.DUMMYFUNCTION("""COMPUTED_VALUE"""),"Spain")</f>
        <v/>
      </c>
      <c r="M1000" s="1">
        <f>IFERROR(__xludf.DUMMYFUNCTION("""COMPUTED_VALUE"""),"Spain")</f>
        <v/>
      </c>
      <c r="N1000" s="1">
        <f>IFERROR(__xludf.DUMMYFUNCTION("""COMPUTED_VALUE"""),"0 to 10")</f>
        <v/>
      </c>
      <c r="O1000" s="1">
        <f>IFERROR(__xludf.DUMMYFUNCTION("""COMPUTED_VALUE"""),"Business to Business")</f>
        <v/>
      </c>
      <c r="P1000" s="1">
        <f>IFERROR(__xludf.DUMMYFUNCTION("""COMPUTED_VALUE"""),"Higher Education, Corporate Training")</f>
        <v/>
      </c>
      <c r="Q1000" s="1">
        <f>IFERROR(__xludf.DUMMYFUNCTION("""COMPUTED_VALUE"""),"Student interfacing, Teacher interfacing, System/Administrative")</f>
        <v/>
      </c>
      <c r="R1000" s="1" t="n"/>
      <c r="S1000" s="1" t="n"/>
      <c r="T1000" s="1" t="n"/>
      <c r="U1000" s="1" t="n"/>
      <c r="V1000" s="1" t="n"/>
      <c r="W1000" s="1" t="n"/>
      <c r="X1000" s="1" t="n"/>
      <c r="Y1000" s="15">
        <f>IFERROR(__xludf.DUMMYFUNCTION("""COMPUTED_VALUE"""),"https://drive.google.com/uc?export=view&amp;id=1kQJulA3SKEMwCI0Uzokl4ibPWFJLKgTs")</f>
        <v/>
      </c>
      <c r="Z1000" s="1">
        <f>IFERROR(__xludf.DUMMYFUNCTION("""COMPUTED_VALUE"""),"Unverified")</f>
        <v/>
      </c>
      <c r="AA1000" s="1" t="n"/>
      <c r="AB1000" s="1" t="n"/>
      <c r="AC1000" s="1" t="n"/>
      <c r="AD1000" s="1" t="n"/>
      <c r="AE1000" s="1" t="n"/>
    </row>
    <row r="1001" ht="42" customHeight="1">
      <c r="A1001" s="14">
        <f>IFERROR(__xludf.DUMMYFUNCTION("""COMPUTED_VALUE"""),45181)</f>
        <v/>
      </c>
      <c r="B1001" s="1">
        <f>IFERROR(__xludf.DUMMYFUNCTION("""COMPUTED_VALUE"""),"ORG_1240")</f>
        <v/>
      </c>
      <c r="C1001" s="1">
        <f>IFERROR(__xludf.DUMMYFUNCTION("""COMPUTED_VALUE"""),TRUE)</f>
        <v/>
      </c>
      <c r="D1001" s="1">
        <f>IFERROR(__xludf.DUMMYFUNCTION("""COMPUTED_VALUE"""),"Cirrus Assessment")</f>
        <v/>
      </c>
      <c r="E1001" s="15">
        <f>IFERROR(__xludf.DUMMYFUNCTION("""COMPUTED_VALUE"""),"https://cirrusassessment.com/")</f>
        <v/>
      </c>
      <c r="F1001" s="1">
        <f>IFERROR(__xludf.DUMMYFUNCTION("""COMPUTED_VALUE"""),"The next generation in e-assessment, Cirrus is an end-to-end assessment platform that supports educators and learners throughout the assessment process: from creating and delivering digital exams to grading and analysis. 
Designed with ease of use in min"&amp;"d, Cirrus operates across any browser-enabled device and is cloud-based for increased availability and scalability.")</f>
        <v/>
      </c>
      <c r="G1001" s="1" t="n"/>
      <c r="H1001" s="1" t="n"/>
      <c r="I1001" s="1">
        <f>IFERROR(__xludf.DUMMYFUNCTION("""COMPUTED_VALUE"""),"info@cirrusassessment.com")</f>
        <v/>
      </c>
      <c r="J1001" s="1">
        <f>IFERROR(__xludf.DUMMYFUNCTION("""COMPUTED_VALUE"""),"+31 (0)30 743 0149")</f>
        <v/>
      </c>
      <c r="K1001" s="1">
        <f>IFERROR(__xludf.DUMMYFUNCTION("""COMPUTED_VALUE"""),"UTRECHT")</f>
        <v/>
      </c>
      <c r="L1001" s="1">
        <f>IFERROR(__xludf.DUMMYFUNCTION("""COMPUTED_VALUE"""),"The Netherlands")</f>
        <v/>
      </c>
      <c r="M1001" s="1">
        <f>IFERROR(__xludf.DUMMYFUNCTION("""COMPUTED_VALUE"""),"France, Germany, Ireland, Netherlands, United Kingdom")</f>
        <v/>
      </c>
      <c r="N1001" s="1">
        <f>IFERROR(__xludf.DUMMYFUNCTION("""COMPUTED_VALUE"""),"11 to 50")</f>
        <v/>
      </c>
      <c r="O1001" s="1">
        <f>IFERROR(__xludf.DUMMYFUNCTION("""COMPUTED_VALUE"""),"Business to Business")</f>
        <v/>
      </c>
      <c r="P1001" s="1">
        <f>IFERROR(__xludf.DUMMYFUNCTION("""COMPUTED_VALUE"""),"Higher Education, Corporate Training, Lifelong learning/Adult education")</f>
        <v/>
      </c>
      <c r="Q1001" s="1">
        <f>IFERROR(__xludf.DUMMYFUNCTION("""COMPUTED_VALUE"""),"System/Administrative")</f>
        <v/>
      </c>
      <c r="R1001" s="1" t="n"/>
      <c r="S1001" s="1" t="n"/>
      <c r="T1001" s="1" t="n"/>
      <c r="U1001" s="1" t="n"/>
      <c r="V1001" s="1" t="n"/>
      <c r="W1001" s="1" t="n"/>
      <c r="X1001" s="1" t="n"/>
      <c r="Y1001" s="15">
        <f>IFERROR(__xludf.DUMMYFUNCTION("""COMPUTED_VALUE"""),"https://drive.google.com/uc?export=view&amp;id=1hpvReY11SzhgaUfWRN_aiiR57aRYrNG6")</f>
        <v/>
      </c>
      <c r="Z1001" s="1">
        <f>IFERROR(__xludf.DUMMYFUNCTION("""COMPUTED_VALUE"""),"Unverified")</f>
        <v/>
      </c>
      <c r="AA1001" s="1" t="n"/>
      <c r="AB1001" s="1" t="n"/>
      <c r="AC1001" s="1" t="n"/>
      <c r="AD1001" s="1" t="n"/>
      <c r="AE1001" s="1" t="n"/>
    </row>
    <row r="1002" ht="42" customHeight="1">
      <c r="A1002" s="14">
        <f>IFERROR(__xludf.DUMMYFUNCTION("""COMPUTED_VALUE"""),45181)</f>
        <v/>
      </c>
      <c r="B1002" s="1">
        <f>IFERROR(__xludf.DUMMYFUNCTION("""COMPUTED_VALUE"""),"ORG_1262")</f>
        <v/>
      </c>
      <c r="C1002" s="1">
        <f>IFERROR(__xludf.DUMMYFUNCTION("""COMPUTED_VALUE"""),TRUE)</f>
        <v/>
      </c>
      <c r="D1002" s="1">
        <f>IFERROR(__xludf.DUMMYFUNCTION("""COMPUTED_VALUE"""),"Cloud 4 Edu")</f>
        <v/>
      </c>
      <c r="E1002" s="15">
        <f>IFERROR(__xludf.DUMMYFUNCTION("""COMPUTED_VALUE"""),"cloudedu.es")</f>
        <v/>
      </c>
      <c r="F1002" s="1">
        <f>IFERROR(__xludf.DUMMYFUNCTION("""COMPUTED_VALUE"""),"Tecnología al servicio de la educación.
Una forma rápida, intuitiva y eficaz de avanzar en la digitalización de tu centro educativo.
Tu partner de educación. La tecnología al servicio de la educación, no la educación al servicio de la tecnología. Te ayud"&amp;"amos en la transformación digital de tu centro educativo.")</f>
        <v/>
      </c>
      <c r="G1002" s="1">
        <f>IFERROR(__xludf.DUMMYFUNCTION("""COMPUTED_VALUE"""),"I'm not part of any EdTech association")</f>
        <v/>
      </c>
      <c r="H1002" s="1" t="n"/>
      <c r="I1002" s="1">
        <f>IFERROR(__xludf.DUMMYFUNCTION("""COMPUTED_VALUE"""),"tuasesor@cloudedu.es")</f>
        <v/>
      </c>
      <c r="J1002" s="1">
        <f>IFERROR(__xludf.DUMMYFUNCTION("""COMPUTED_VALUE"""),"+34935708584")</f>
        <v/>
      </c>
      <c r="K1002" s="1">
        <f>IFERROR(__xludf.DUMMYFUNCTION("""COMPUTED_VALUE"""),"MOLLET DEL VALLES")</f>
        <v/>
      </c>
      <c r="L1002" s="1">
        <f>IFERROR(__xludf.DUMMYFUNCTION("""COMPUTED_VALUE"""),"Spain")</f>
        <v/>
      </c>
      <c r="M1002" s="1">
        <f>IFERROR(__xludf.DUMMYFUNCTION("""COMPUTED_VALUE"""),"Spain")</f>
        <v/>
      </c>
      <c r="N1002" s="1">
        <f>IFERROR(__xludf.DUMMYFUNCTION("""COMPUTED_VALUE"""),"0 to 10")</f>
        <v/>
      </c>
      <c r="O1002" s="1">
        <f>IFERROR(__xludf.DUMMYFUNCTION("""COMPUTED_VALUE"""),"Business to Business")</f>
        <v/>
      </c>
      <c r="P1002" s="1">
        <f>IFERROR(__xludf.DUMMYFUNCTION("""COMPUTED_VALUE"""),"Primary Education, Secondary Education, Higher Education")</f>
        <v/>
      </c>
      <c r="Q1002" s="1">
        <f>IFERROR(__xludf.DUMMYFUNCTION("""COMPUTED_VALUE"""),"Teacher interfacing, Student interfacing, System/Administrative")</f>
        <v/>
      </c>
      <c r="R1002" s="1" t="n"/>
      <c r="S1002" s="1" t="n"/>
      <c r="T1002" s="1" t="n"/>
      <c r="U1002" s="1" t="n"/>
      <c r="V1002" s="1" t="n"/>
      <c r="W1002" s="1" t="n"/>
      <c r="X1002" s="1" t="n"/>
      <c r="Y1002" s="15">
        <f>IFERROR(__xludf.DUMMYFUNCTION("""COMPUTED_VALUE"""),"https://drive.google.com/uc?export=view&amp;id=1yhtZbhm7reZKsLWYmYLJtNbABf2tNjYC")</f>
        <v/>
      </c>
      <c r="Z1002" s="1">
        <f>IFERROR(__xludf.DUMMYFUNCTION("""COMPUTED_VALUE"""),"Unverified")</f>
        <v/>
      </c>
      <c r="AA1002" s="1" t="n"/>
      <c r="AB1002" s="1" t="n"/>
      <c r="AC1002" s="1" t="n"/>
      <c r="AD1002" s="1" t="n"/>
      <c r="AE1002" s="1" t="n"/>
    </row>
    <row r="1003" ht="42" customHeight="1">
      <c r="A1003" s="14">
        <f>IFERROR(__xludf.DUMMYFUNCTION("""COMPUTED_VALUE"""),45181)</f>
        <v/>
      </c>
      <c r="B1003" s="1">
        <f>IFERROR(__xludf.DUMMYFUNCTION("""COMPUTED_VALUE"""),"ORG_1268")</f>
        <v/>
      </c>
      <c r="C1003" s="1">
        <f>IFERROR(__xludf.DUMMYFUNCTION("""COMPUTED_VALUE"""),TRUE)</f>
        <v/>
      </c>
      <c r="D1003" s="1">
        <f>IFERROR(__xludf.DUMMYFUNCTION("""COMPUTED_VALUE"""),"CodedArena™")</f>
        <v/>
      </c>
      <c r="E1003" s="15">
        <f>IFERROR(__xludf.DUMMYFUNCTION("""COMPUTED_VALUE"""),"codedarena.com")</f>
        <v/>
      </c>
      <c r="F1003" s="1">
        <f>IFERROR(__xludf.DUMMYFUNCTION("""COMPUTED_VALUE"""),"CodedArena ™, a gamified educational service, allows schools around the world to teach Python programming using a video game.
In the game, students will code their character's behavior, programming each action in 100% real Python to complete the game's m"&amp;"issions.
Through the classroom management tool, the teacher monitors, provides support, and supervises each student's learning process, and they are notified if the student needs help.
Learning through a video game encourages the development of 21st cen"&amp;"tury skills, such as problem solving, perseverance, resilience or self-esteem. In addition, computational knowledge strongly complements other STEM disciplines such as robotics, mathematics or science.")</f>
        <v/>
      </c>
      <c r="G1003" s="1">
        <f>IFERROR(__xludf.DUMMYFUNCTION("""COMPUTED_VALUE"""),"EduTech Cluster Spain")</f>
        <v/>
      </c>
      <c r="H1003" s="1" t="n"/>
      <c r="I1003" s="1">
        <f>IFERROR(__xludf.DUMMYFUNCTION("""COMPUTED_VALUE"""),"jordi@codedpeople.com")</f>
        <v/>
      </c>
      <c r="J1003" s="1" t="n"/>
      <c r="K1003" s="1">
        <f>IFERROR(__xludf.DUMMYFUNCTION("""COMPUTED_VALUE"""),"Terrassa - Barcelona")</f>
        <v/>
      </c>
      <c r="L1003" s="1">
        <f>IFERROR(__xludf.DUMMYFUNCTION("""COMPUTED_VALUE"""),"Spain")</f>
        <v/>
      </c>
      <c r="M1003" s="1">
        <f>IFERROR(__xludf.DUMMYFUNCTION("""COMPUTED_VALUE"""),"Spain")</f>
        <v/>
      </c>
      <c r="N1003" s="1">
        <f>IFERROR(__xludf.DUMMYFUNCTION("""COMPUTED_VALUE"""),"0 to 10")</f>
        <v/>
      </c>
      <c r="O1003" s="1">
        <f>IFERROR(__xludf.DUMMYFUNCTION("""COMPUTED_VALUE"""),"Business to Business")</f>
        <v/>
      </c>
      <c r="P1003" s="1">
        <f>IFERROR(__xludf.DUMMYFUNCTION("""COMPUTED_VALUE"""),"Secondary Education, Higher Education")</f>
        <v/>
      </c>
      <c r="Q1003" s="1">
        <f>IFERROR(__xludf.DUMMYFUNCTION("""COMPUTED_VALUE"""),"Student interfacing, Teacher interfacing")</f>
        <v/>
      </c>
      <c r="R1003" s="1" t="n"/>
      <c r="S1003" s="1" t="n"/>
      <c r="T1003" s="15">
        <f>IFERROR(__xludf.DUMMYFUNCTION("""COMPUTED_VALUE"""),"https://www.linkedin.com/company/codedarena")</f>
        <v/>
      </c>
      <c r="U1003" s="1">
        <f>IFERROR(__xludf.DUMMYFUNCTION("""COMPUTED_VALUE"""),"CodedArena™")</f>
        <v/>
      </c>
      <c r="V1003" s="1">
        <f>IFERROR(__xludf.DUMMYFUNCTION("""COMPUTED_VALUE"""),"CodedArena ™, a gamified educational service, allows schools around the world to teach Python programming using a video game.
In the game, students will code their character's behavior, programming each action in 100% real Python to complete the game's m"&amp;"issions.
Through the classroom management tool, the teacher monitors, provides support, and supervises each student's learning process, and they are notified if the student needs help.
Learning through a video game encourages the development of 21st cen"&amp;"tury skills, such as problem solving, perseverance, resilience or self-esteem. In addition, computational knowledge strongly complements other STEM disciplines such as robotics, mathematics or science.")</f>
        <v/>
      </c>
      <c r="W1003" s="1" t="n"/>
      <c r="X1003" s="1" t="n"/>
      <c r="Y1003" s="15">
        <f>IFERROR(__xludf.DUMMYFUNCTION("""COMPUTED_VALUE"""),"https://drive.google.com/uc?export=view&amp;id=1oB2pztSx7aVYykOi1jzCqv4AxAFApv8P")</f>
        <v/>
      </c>
      <c r="Z1003" s="1">
        <f>IFERROR(__xludf.DUMMYFUNCTION("""COMPUTED_VALUE"""),"Unverified")</f>
        <v/>
      </c>
      <c r="AA1003" s="1" t="n"/>
      <c r="AB1003" s="1" t="n"/>
      <c r="AC1003" s="1" t="n"/>
      <c r="AD1003" s="1" t="n"/>
      <c r="AE1003" s="1" t="n"/>
    </row>
    <row r="1004" ht="42" customHeight="1">
      <c r="A1004" s="14">
        <f>IFERROR(__xludf.DUMMYFUNCTION("""COMPUTED_VALUE"""),45181)</f>
        <v/>
      </c>
      <c r="B1004" s="1">
        <f>IFERROR(__xludf.DUMMYFUNCTION("""COMPUTED_VALUE"""),"ORG_1315")</f>
        <v/>
      </c>
      <c r="C1004" s="1">
        <f>IFERROR(__xludf.DUMMYFUNCTION("""COMPUTED_VALUE"""),TRUE)</f>
        <v/>
      </c>
      <c r="D1004" s="1">
        <f>IFERROR(__xludf.DUMMYFUNCTION("""COMPUTED_VALUE"""),"Culture Buff Games Ltd")</f>
        <v/>
      </c>
      <c r="E1004" s="15">
        <f>IFERROR(__xludf.DUMMYFUNCTION("""COMPUTED_VALUE"""),"https://www.culturebuffgames.com/")</f>
        <v/>
      </c>
      <c r="F1004" s="1">
        <f>IFERROR(__xludf.DUMMYFUNCTION("""COMPUTED_VALUE"""),"We are Culture Buff Games, an Edtech developer of interactive games that leverage visual culture stories to teach students and adults about foreign cultures in a way that is fun and engaging. Designed by interculturalists, our games teach country-specific"&amp;" culture values via visual scenarios from contemporary culture and history. Culture Buff Games emphasizes problem solving and practical application of cultural knowledge. Our culture games target high school social science students, virtual culture exchan"&amp;"ge students, foreign exchange students, international students, study abroad program university students, language learners, work travel program participants, gap-year students as well as adult and teen expatriates relocating to a foreign country. We offe"&amp;"r free and paid games on British, American, Chinese and Indian Culture Values at www.culturebuffgames.com.")</f>
        <v/>
      </c>
      <c r="G1004" s="1">
        <f>IFERROR(__xludf.DUMMYFUNCTION("""COMPUTED_VALUE"""),"SuperCharger Ventures")</f>
        <v/>
      </c>
      <c r="H1004" s="1">
        <f>IFERROR(__xludf.DUMMYFUNCTION("""COMPUTED_VALUE"""),"English")</f>
        <v/>
      </c>
      <c r="I1004" s="1">
        <f>IFERROR(__xludf.DUMMYFUNCTION("""COMPUTED_VALUE"""),"Lucy@culturebuffgames.com")</f>
        <v/>
      </c>
      <c r="J1004" s="1">
        <f>IFERROR(__xludf.DUMMYFUNCTION("""COMPUTED_VALUE"""),"44 07813946297")</f>
        <v/>
      </c>
      <c r="K1004" s="1">
        <f>IFERROR(__xludf.DUMMYFUNCTION("""COMPUTED_VALUE"""),"LONDON")</f>
        <v/>
      </c>
      <c r="L1004" s="1">
        <f>IFERROR(__xludf.DUMMYFUNCTION("""COMPUTED_VALUE"""),"United Kingdom")</f>
        <v/>
      </c>
      <c r="M1004" s="1">
        <f>IFERROR(__xludf.DUMMYFUNCTION("""COMPUTED_VALUE"""),"Austria, Azerbaijan, Bulgaria, Czechia, Denmark, Finland, France, Germany, Hungary, Ireland, Kazakhstan, Netherlands, Norway, Poland, Portugal, Romania, Russia, Serbia, Spain, Sweden, Switzerland, Turkey, Ukraine, United Kingdom")</f>
        <v/>
      </c>
      <c r="N1004" s="1">
        <f>IFERROR(__xludf.DUMMYFUNCTION("""COMPUTED_VALUE"""),"0 to 2")</f>
        <v/>
      </c>
      <c r="O1004" s="1">
        <f>IFERROR(__xludf.DUMMYFUNCTION("""COMPUTED_VALUE"""),"Business to Business, Business to Consumer")</f>
        <v/>
      </c>
      <c r="P1004" s="1">
        <f>IFERROR(__xludf.DUMMYFUNCTION("""COMPUTED_VALUE"""),"Secondary Education, Corporate Training, Lifelong learning/Adult education, Vocational Education and Training (VET), Higher Education")</f>
        <v/>
      </c>
      <c r="Q1004" s="1">
        <f>IFERROR(__xludf.DUMMYFUNCTION("""COMPUTED_VALUE"""),"System/Administrative, Student interfacing, Teacher interfacing")</f>
        <v/>
      </c>
      <c r="R1004" s="15">
        <f>IFERROR(__xludf.DUMMYFUNCTION("""COMPUTED_VALUE"""),"https://www.instagram.com/culturebuffgames/")</f>
        <v/>
      </c>
      <c r="S1004" s="15">
        <f>IFERROR(__xludf.DUMMYFUNCTION("""COMPUTED_VALUE"""),"https://twitter.com/cultural_games")</f>
        <v/>
      </c>
      <c r="T1004" s="15">
        <f>IFERROR(__xludf.DUMMYFUNCTION("""COMPUTED_VALUE"""),"https://www.linkedin.com/in/lucy-fogarty-76099b8/")</f>
        <v/>
      </c>
      <c r="U1004" s="1">
        <f>IFERROR(__xludf.DUMMYFUNCTION("""COMPUTED_VALUE"""),"Culture Buff Games")</f>
        <v/>
      </c>
      <c r="V1004" s="1">
        <f>IFERROR(__xludf.DUMMYFUNCTION("""COMPUTED_VALUE"""),"Culture Buff Games is an Edtech developer of interactive games that leverages visual storytelling to teach young people about foreign cultures in a way that is fun and engaging. We are an innovator and first-mover in game-based culture learning. Culture l"&amp;"earning seeks to bridge culture gaps for young people to live, work and communicate effectively with different cultures. We have transformed, disrupted, and replaced current staid culture learning pedagogies with engaging interactive culture games. We hav"&amp;"e leveraged the creative power of visual storytelling to arouse interest in culture learning and culture competence.")</f>
        <v/>
      </c>
      <c r="W1004" s="1" t="n"/>
      <c r="X1004" s="1" t="n"/>
      <c r="Y1004" s="15">
        <f>IFERROR(__xludf.DUMMYFUNCTION("""COMPUTED_VALUE"""),"https://drive.google.com/uc?export=view&amp;id=1oeHgEKvWYqpz6AOB0Ti9oQAwv8-qCkq1")</f>
        <v/>
      </c>
      <c r="Z1004" s="1">
        <f>IFERROR(__xludf.DUMMYFUNCTION("""COMPUTED_VALUE"""),"Unverified")</f>
        <v/>
      </c>
      <c r="AA1004" s="1" t="n"/>
      <c r="AB1004" s="1" t="n"/>
      <c r="AC1004" s="1" t="n"/>
      <c r="AD1004" s="1" t="n"/>
      <c r="AE1004" s="1" t="n"/>
    </row>
    <row r="1005" ht="42" customHeight="1">
      <c r="A1005" s="14">
        <f>IFERROR(__xludf.DUMMYFUNCTION("""COMPUTED_VALUE"""),45181)</f>
        <v/>
      </c>
      <c r="B1005" s="1">
        <f>IFERROR(__xludf.DUMMYFUNCTION("""COMPUTED_VALUE"""),"ORG_1319")</f>
        <v/>
      </c>
      <c r="C1005" s="1">
        <f>IFERROR(__xludf.DUMMYFUNCTION("""COMPUTED_VALUE"""),TRUE)</f>
        <v/>
      </c>
      <c r="D1005" s="1">
        <f>IFERROR(__xludf.DUMMYFUNCTION("""COMPUTED_VALUE"""),"Cyber Fox")</f>
        <v/>
      </c>
      <c r="E1005" s="15">
        <f>IFERROR(__xludf.DUMMYFUNCTION("""COMPUTED_VALUE"""),"https://www.cyberfoxapp.com/")</f>
        <v/>
      </c>
      <c r="F1005" s="1">
        <f>IFERROR(__xludf.DUMMYFUNCTION("""COMPUTED_VALUE"""),"Cyber Fox takes pre-school kids on an educational journey around the World. We develop kids' skills in 6 different areas: memory, logic, math, language, art, and general knowledge. We have 2 products for B2C and B2B (kindergartens) markets.")</f>
        <v/>
      </c>
      <c r="G1005" s="1">
        <f>IFERROR(__xludf.DUMMYFUNCTION("""COMPUTED_VALUE"""),"EdTech Poland")</f>
        <v/>
      </c>
      <c r="H1005" s="1" t="n"/>
      <c r="I1005" s="1">
        <f>IFERROR(__xludf.DUMMYFUNCTION("""COMPUTED_VALUE"""),"contact@cyberfoxapp.com")</f>
        <v/>
      </c>
      <c r="J1005" s="1" t="n"/>
      <c r="K1005" s="1">
        <f>IFERROR(__xludf.DUMMYFUNCTION("""COMPUTED_VALUE"""),"Kielce")</f>
        <v/>
      </c>
      <c r="L1005" s="1">
        <f>IFERROR(__xludf.DUMMYFUNCTION("""COMPUTED_VALUE"""),"Poland")</f>
        <v/>
      </c>
      <c r="M1005" s="1">
        <f>IFERROR(__xludf.DUMMYFUNCTION("""COMPUTED_VALUE"""),"Poland")</f>
        <v/>
      </c>
      <c r="N1005" s="1">
        <f>IFERROR(__xludf.DUMMYFUNCTION("""COMPUTED_VALUE"""),"0 to 10")</f>
        <v/>
      </c>
      <c r="O1005" s="1">
        <f>IFERROR(__xludf.DUMMYFUNCTION("""COMPUTED_VALUE"""),"Business to Business, Business to Consumer, Business to Government, Business to Schools")</f>
        <v/>
      </c>
      <c r="P1005" s="1">
        <f>IFERROR(__xludf.DUMMYFUNCTION("""COMPUTED_VALUE"""),"Early childhood development (0-5 years)")</f>
        <v/>
      </c>
      <c r="Q1005" s="1">
        <f>IFERROR(__xludf.DUMMYFUNCTION("""COMPUTED_VALUE"""),"System/Administrative, Student interfacing, Teacher interfacing")</f>
        <v/>
      </c>
      <c r="R1005" s="15">
        <f>IFERROR(__xludf.DUMMYFUNCTION("""COMPUTED_VALUE"""),"https://www.instagram.com/cyberfox_app/")</f>
        <v/>
      </c>
      <c r="S1005" s="1">
        <f>IFERROR(__xludf.DUMMYFUNCTION("""COMPUTED_VALUE"""),"CYBER FOX SPÓŁKA Z OGRANICZONĄ ODPOWIEDZIALNOŚCIĄ")</f>
        <v/>
      </c>
      <c r="T1005" s="15">
        <f>IFERROR(__xludf.DUMMYFUNCTION("""COMPUTED_VALUE"""),"https://www.linkedin.com/company/76357258/")</f>
        <v/>
      </c>
      <c r="U1005" s="1">
        <f>IFERROR(__xludf.DUMMYFUNCTION("""COMPUTED_VALUE"""),"Cyber Fox App")</f>
        <v/>
      </c>
      <c r="V1005" s="1">
        <f>IFERROR(__xludf.DUMMYFUNCTION("""COMPUTED_VALUE"""),"Cyber Fox takes your child on an educational journey around the World. The app is a combination of animated stories, various educational quests, games, and songs. Parents can be sure that their kids spend screen time in a safe and educational way. Availab"&amp;"le on App Store and Google Play.")</f>
        <v/>
      </c>
      <c r="W1005" s="1">
        <f>IFERROR(__xludf.DUMMYFUNCTION("""COMPUTED_VALUE"""),"Cyber Fox for kindergartens")</f>
        <v/>
      </c>
      <c r="X1005" s="1">
        <f>IFERROR(__xludf.DUMMYFUNCTION("""COMPUTED_VALUE"""),"B2B version of our mobile app adjusted to interactive whiteboards. We help kindergarten teachers conduct curriculum activities in a fun and attractive way. We provide an app, teacher book and workshop materials.")</f>
        <v/>
      </c>
      <c r="Y1005" s="15">
        <f>IFERROR(__xludf.DUMMYFUNCTION("""COMPUTED_VALUE"""),"https://drive.google.com/uc?export=view&amp;id=1YAbgDwIr1UiUvknyZ3apfnhDGA8J-STL")</f>
        <v/>
      </c>
      <c r="Z1005" s="1">
        <f>IFERROR(__xludf.DUMMYFUNCTION("""COMPUTED_VALUE"""),"Unverified")</f>
        <v/>
      </c>
      <c r="AA1005" s="1" t="n"/>
      <c r="AB1005" s="1" t="n"/>
      <c r="AC1005" s="1" t="n"/>
      <c r="AD1005" s="1" t="n"/>
      <c r="AE1005" s="1" t="n"/>
    </row>
    <row r="1006" ht="42" customHeight="1">
      <c r="A1006" s="14">
        <f>IFERROR(__xludf.DUMMYFUNCTION("""COMPUTED_VALUE"""),45181)</f>
        <v/>
      </c>
      <c r="B1006" s="1">
        <f>IFERROR(__xludf.DUMMYFUNCTION("""COMPUTED_VALUE"""),"ORG_1368")</f>
        <v/>
      </c>
      <c r="C1006" s="1">
        <f>IFERROR(__xludf.DUMMYFUNCTION("""COMPUTED_VALUE"""),TRUE)</f>
        <v/>
      </c>
      <c r="D1006" s="1">
        <f>IFERROR(__xludf.DUMMYFUNCTION("""COMPUTED_VALUE"""),"Docendo")</f>
        <v/>
      </c>
      <c r="E1006" s="15">
        <f>IFERROR(__xludf.DUMMYFUNCTION("""COMPUTED_VALUE"""),"https://docendo.co")</f>
        <v/>
      </c>
      <c r="F1006" s="1">
        <f>IFERROR(__xludf.DUMMYFUNCTION("""COMPUTED_VALUE"""),"Docendo is used by 10.000+ school administrators &amp; teachers worldwide for school scheduling, resource planning and substitute management.")</f>
        <v/>
      </c>
      <c r="G1006" s="1">
        <f>IFERROR(__xludf.DUMMYFUNCTION("""COMPUTED_VALUE"""),"EdTech Denmark")</f>
        <v/>
      </c>
      <c r="H1006" s="1" t="n"/>
      <c r="I1006" s="1">
        <f>IFERROR(__xludf.DUMMYFUNCTION("""COMPUTED_VALUE"""),"contact@docendo.co")</f>
        <v/>
      </c>
      <c r="J1006" s="1" t="n"/>
      <c r="K1006" s="1">
        <f>IFERROR(__xludf.DUMMYFUNCTION("""COMPUTED_VALUE"""),"Aalborg")</f>
        <v/>
      </c>
      <c r="L1006" s="1">
        <f>IFERROR(__xludf.DUMMYFUNCTION("""COMPUTED_VALUE"""),"Denmark")</f>
        <v/>
      </c>
      <c r="M1006" s="1">
        <f>IFERROR(__xludf.DUMMYFUNCTION("""COMPUTED_VALUE"""),"Denmark, France, Netherlands, Norway, Spain")</f>
        <v/>
      </c>
      <c r="N1006" s="1">
        <f>IFERROR(__xludf.DUMMYFUNCTION("""COMPUTED_VALUE"""),"0 to 10")</f>
        <v/>
      </c>
      <c r="O1006" s="1">
        <f>IFERROR(__xludf.DUMMYFUNCTION("""COMPUTED_VALUE"""),"Business to Business, Business to Consumer, Business to Government, Business to Schools")</f>
        <v/>
      </c>
      <c r="P1006" s="1">
        <f>IFERROR(__xludf.DUMMYFUNCTION("""COMPUTED_VALUE"""),"Primary Education, Secondary Education, Higher Education")</f>
        <v/>
      </c>
      <c r="Q1006" s="1">
        <f>IFERROR(__xludf.DUMMYFUNCTION("""COMPUTED_VALUE"""),"Teacher interfacing")</f>
        <v/>
      </c>
      <c r="R1006" s="1" t="n"/>
      <c r="S1006" s="1" t="n"/>
      <c r="T1006" s="1" t="n"/>
      <c r="U1006" s="1">
        <f>IFERROR(__xludf.DUMMYFUNCTION("""COMPUTED_VALUE"""),"Docendo")</f>
        <v/>
      </c>
      <c r="V1006" s="1">
        <f>IFERROR(__xludf.DUMMYFUNCTION("""COMPUTED_VALUE"""),"Easy drag-and-drop school scheduling.")</f>
        <v/>
      </c>
      <c r="W1006" s="1">
        <f>IFERROR(__xludf.DUMMYFUNCTION("""COMPUTED_VALUE"""),"Zen")</f>
        <v/>
      </c>
      <c r="X1006" s="1">
        <f>IFERROR(__xludf.DUMMYFUNCTION("""COMPUTED_VALUE"""),"School scheduling software - easy and lightning fast.
With a powerful optimiser and simple drag-and-drop Docendo ZEN makes it easy to create school schedules 🚀")</f>
        <v/>
      </c>
      <c r="Y1006" s="15">
        <f>IFERROR(__xludf.DUMMYFUNCTION("""COMPUTED_VALUE"""),"https://drive.google.com/uc?export=view&amp;id=1n6t5EM3chtGcC82FK4A_KDhPzTZZpeXC")</f>
        <v/>
      </c>
      <c r="Z1006" s="1">
        <f>IFERROR(__xludf.DUMMYFUNCTION("""COMPUTED_VALUE"""),"Unverified")</f>
        <v/>
      </c>
      <c r="AA1006" s="1" t="n"/>
      <c r="AB1006" s="1" t="n"/>
      <c r="AC1006" s="1" t="n"/>
      <c r="AD1006" s="1" t="n"/>
      <c r="AE1006" s="1" t="n"/>
    </row>
    <row r="1007" ht="42" customHeight="1">
      <c r="A1007" s="14">
        <f>IFERROR(__xludf.DUMMYFUNCTION("""COMPUTED_VALUE"""),45181)</f>
        <v/>
      </c>
      <c r="B1007" s="1">
        <f>IFERROR(__xludf.DUMMYFUNCTION("""COMPUTED_VALUE"""),"ORG_1431")</f>
        <v/>
      </c>
      <c r="C1007" s="1">
        <f>IFERROR(__xludf.DUMMYFUNCTION("""COMPUTED_VALUE"""),TRUE)</f>
        <v/>
      </c>
      <c r="D1007" s="1">
        <f>IFERROR(__xludf.DUMMYFUNCTION("""COMPUTED_VALUE"""),"Education Hackathon")</f>
        <v/>
      </c>
      <c r="E1007" s="15">
        <f>IFERROR(__xludf.DUMMYFUNCTION("""COMPUTED_VALUE"""),"Nickvanbreda.com/hackathon")</f>
        <v/>
      </c>
      <c r="F1007" s="1">
        <f>IFERROR(__xludf.DUMMYFUNCTION("""COMPUTED_VALUE"""),"We help solve complex Educational problems in hackathon and living lab programs to accelerate Future proof education by constantly rethinking the status quo with multidisciplinair teams in- and outside education. Leveraging exponential trends and technolo"&amp;"gies.")</f>
        <v/>
      </c>
      <c r="G1007" s="1">
        <f>IFERROR(__xludf.DUMMYFUNCTION("""COMPUTED_VALUE"""),"I'm not part of any EdTech association")</f>
        <v/>
      </c>
      <c r="H1007" s="1" t="n"/>
      <c r="I1007" s="1">
        <f>IFERROR(__xludf.DUMMYFUNCTION("""COMPUTED_VALUE"""),"info@nickvanbreda.com")</f>
        <v/>
      </c>
      <c r="J1007" s="1">
        <f>IFERROR(__xludf.DUMMYFUNCTION("""COMPUTED_VALUE"""),"+31639895302")</f>
        <v/>
      </c>
      <c r="K1007" s="1">
        <f>IFERROR(__xludf.DUMMYFUNCTION("""COMPUTED_VALUE"""),"UDEN")</f>
        <v/>
      </c>
      <c r="L1007" s="1">
        <f>IFERROR(__xludf.DUMMYFUNCTION("""COMPUTED_VALUE"""),"The Netherlands")</f>
        <v/>
      </c>
      <c r="M1007" s="1">
        <f>IFERROR(__xludf.DUMMYFUNCTION("""COMPUTED_VALUE"""),"Austria, Belgium, Denmark, France, Germany, Italy, Netherlands, Norway, Portugal, Spain, United Kingdom")</f>
        <v/>
      </c>
      <c r="N1007" s="1">
        <f>IFERROR(__xludf.DUMMYFUNCTION("""COMPUTED_VALUE"""),"0 to 10")</f>
        <v/>
      </c>
      <c r="O1007" s="1">
        <f>IFERROR(__xludf.DUMMYFUNCTION("""COMPUTED_VALUE"""),"Business to Business, Business to Consumer, Business to Government, Business to Schools")</f>
        <v/>
      </c>
      <c r="P1007" s="1">
        <f>IFERROR(__xludf.DUMMYFUNCTION("""COMPUTED_VALUE"""),"Early childhood development (0-5 years), Primary Education, Secondary Education, Higher Education, Corporate Training, Lifelong learning/Adult education")</f>
        <v/>
      </c>
      <c r="Q1007" s="1">
        <f>IFERROR(__xludf.DUMMYFUNCTION("""COMPUTED_VALUE"""),"System/Administrative, Student interfacing, Teacher interfacing")</f>
        <v/>
      </c>
      <c r="R1007" s="15">
        <f>IFERROR(__xludf.DUMMYFUNCTION("""COMPUTED_VALUE"""),"Http://instagram.com/nickvanbreda")</f>
        <v/>
      </c>
      <c r="S1007" s="15">
        <f>IFERROR(__xludf.DUMMYFUNCTION("""COMPUTED_VALUE"""),"Http://twitter.com/nickvanbreda")</f>
        <v/>
      </c>
      <c r="T1007" s="15">
        <f>IFERROR(__xludf.DUMMYFUNCTION("""COMPUTED_VALUE"""),"LinkedIn.com/in/nickvanbreda")</f>
        <v/>
      </c>
      <c r="U1007" s="1">
        <f>IFERROR(__xludf.DUMMYFUNCTION("""COMPUTED_VALUE"""),"Education Hackathon")</f>
        <v/>
      </c>
      <c r="V1007" s="1">
        <f>IFERROR(__xludf.DUMMYFUNCTION("""COMPUTED_VALUE"""),"In 12 - 68 hours we work towards holistic solutions for pre-defined education challenges. We can organize and facilitate such events, hackathons/innovation pressure cookers from A to Z. Including production, accomodation, venue, decorations and inspiratio"&amp;"n sessions like Future tech tables, comedians, cartoonists and design Thinking facilitators.")</f>
        <v/>
      </c>
      <c r="W1007" s="1">
        <f>IFERROR(__xludf.DUMMYFUNCTION("""COMPUTED_VALUE"""),"Sprint Coaching")</f>
        <v/>
      </c>
      <c r="X1007" s="1">
        <f>IFERROR(__xludf.DUMMYFUNCTION("""COMPUTED_VALUE"""),"After defining an opportunity route out of hackathons or problem definition, we help guide (management) teams to implement startup culture and attributen into their organization to setup new business units that can then 10x scale ideas and pilots into mar"&amp;"ket disruptions.")</f>
        <v/>
      </c>
      <c r="Y1007" s="15">
        <f>IFERROR(__xludf.DUMMYFUNCTION("""COMPUTED_VALUE"""),"https://drive.google.com/uc?export=view&amp;id=1F_tT22xEBdjbuGobmzrCx_N0cMwq00WA")</f>
        <v/>
      </c>
      <c r="Z1007" s="1">
        <f>IFERROR(__xludf.DUMMYFUNCTION("""COMPUTED_VALUE"""),"Unverified")</f>
        <v/>
      </c>
      <c r="AA1007" s="1" t="n"/>
      <c r="AB1007" s="1" t="n"/>
      <c r="AC1007" s="1" t="n"/>
      <c r="AD1007" s="1" t="n"/>
      <c r="AE1007" s="1" t="n"/>
    </row>
    <row r="1008" ht="42" customHeight="1">
      <c r="A1008" s="14">
        <f>IFERROR(__xludf.DUMMYFUNCTION("""COMPUTED_VALUE"""),45181)</f>
        <v/>
      </c>
      <c r="B1008" s="1">
        <f>IFERROR(__xludf.DUMMYFUNCTION("""COMPUTED_VALUE"""),"ORG_1597")</f>
        <v/>
      </c>
      <c r="C1008" s="1">
        <f>IFERROR(__xludf.DUMMYFUNCTION("""COMPUTED_VALUE"""),TRUE)</f>
        <v/>
      </c>
      <c r="D1008" s="1">
        <f>IFERROR(__xludf.DUMMYFUNCTION("""COMPUTED_VALUE"""),"Futuclass")</f>
        <v/>
      </c>
      <c r="E1008" s="15">
        <f>IFERROR(__xludf.DUMMYFUNCTION("""COMPUTED_VALUE"""),"https://futuclass.com/")</f>
        <v/>
      </c>
      <c r="F1008" s="1">
        <f>IFERROR(__xludf.DUMMYFUNCTION("""COMPUTED_VALUE"""),"Futuclass delivers highly engaging and effective lessons in Virtual Reality to teach natural sciences (Chemistry, Physics, Biology) to students aged 11-16 in school or home setting. Futuclass lessons and lesson plans have been co-created with teachers and"&amp;" students to achieve maximum learning outcomes. Each school is provided with teacher training, usage analytics, and a turn-key solution to take advantage of this huge leap in learning technologies.")</f>
        <v/>
      </c>
      <c r="G1008" s="1">
        <f>IFERROR(__xludf.DUMMYFUNCTION("""COMPUTED_VALUE"""),"EdTech Estonia")</f>
        <v/>
      </c>
      <c r="H1008" s="1" t="n"/>
      <c r="I1008" s="1">
        <f>IFERROR(__xludf.DUMMYFUNCTION("""COMPUTED_VALUE"""),"info@futuclass.com")</f>
        <v/>
      </c>
      <c r="J1008" s="1" t="n"/>
      <c r="K1008" s="1">
        <f>IFERROR(__xludf.DUMMYFUNCTION("""COMPUTED_VALUE"""),"Tartu")</f>
        <v/>
      </c>
      <c r="L1008" s="1">
        <f>IFERROR(__xludf.DUMMYFUNCTION("""COMPUTED_VALUE"""),"Estonia")</f>
        <v/>
      </c>
      <c r="M1008" s="1">
        <f>IFERROR(__xludf.DUMMYFUNCTION("""COMPUTED_VALUE"""),"Estonia, Germany, Sweden, United Kingdom")</f>
        <v/>
      </c>
      <c r="N1008" s="1">
        <f>IFERROR(__xludf.DUMMYFUNCTION("""COMPUTED_VALUE"""),"0 to 10")</f>
        <v/>
      </c>
      <c r="O1008" s="1">
        <f>IFERROR(__xludf.DUMMYFUNCTION("""COMPUTED_VALUE"""),"Business to Business, Business to Consumer, Business to Schools")</f>
        <v/>
      </c>
      <c r="P1008" s="1">
        <f>IFERROR(__xludf.DUMMYFUNCTION("""COMPUTED_VALUE"""),"Secondary Education")</f>
        <v/>
      </c>
      <c r="Q1008" s="1">
        <f>IFERROR(__xludf.DUMMYFUNCTION("""COMPUTED_VALUE"""),"System/Administrative, Student interfacing, Teacher interfacing")</f>
        <v/>
      </c>
      <c r="R1008" s="15">
        <f>IFERROR(__xludf.DUMMYFUNCTION("""COMPUTED_VALUE"""),"https://www.instagram.com/futu_class/")</f>
        <v/>
      </c>
      <c r="S1008" s="15">
        <f>IFERROR(__xludf.DUMMYFUNCTION("""COMPUTED_VALUE"""),"https://twitter.com/Futuclass")</f>
        <v/>
      </c>
      <c r="T1008" s="15">
        <f>IFERROR(__xludf.DUMMYFUNCTION("""COMPUTED_VALUE"""),"https://www.linkedin.com/company/futuclass/")</f>
        <v/>
      </c>
      <c r="U1008" s="1">
        <f>IFERROR(__xludf.DUMMYFUNCTION("""COMPUTED_VALUE"""),"Futuclass")</f>
        <v/>
      </c>
      <c r="V1008" s="1">
        <f>IFERROR(__xludf.DUMMYFUNCTION("""COMPUTED_VALUE"""),"Futuclass is a library of educational VR software for higher middle-schoolers that brings joy and efficiency to learning important topics in chemistry, physics and biology. Each module has been co-created with Estonia's leading teachers and students, and "&amp;"has been extensively tested to ensure student achieves specific learning goals in a 20-40 gamified VR experience. Futuclass is available on all standalone 6dof headsets (Meta Quest 1-2, Pico Neo 3).")</f>
        <v/>
      </c>
      <c r="W1008" s="1">
        <f>IFERROR(__xludf.DUMMYFUNCTION("""COMPUTED_VALUE"""),"Futuclass School Kit")</f>
        <v/>
      </c>
      <c r="X1008" s="1">
        <f>IFERROR(__xludf.DUMMYFUNCTION("""COMPUTED_VALUE"""),"Futuclass School Kit is a turnkey solution drawing from our extensive experience in using VR in higher middle-school education. The School Kit contains:
- Storage case with standalone VR devices (6 per case, Quest 1-2 or Pico Neo 3)
- Annual subscription "&amp;"to all Futuclass and its partners content
- Group Lesson Plans, Individual Lesson Plans, best practices materials (through Teacher Portal)
- Access to Class functionality to track student progress in VR and to log results
- Teacher onboarding webinar. Acc"&amp;"ess to Futuclass Teacher Support")</f>
        <v/>
      </c>
      <c r="Y1008" s="15">
        <f>IFERROR(__xludf.DUMMYFUNCTION("""COMPUTED_VALUE"""),"https://drive.google.com/uc?export=view&amp;id=1vxkVRmDgiR3mwejmjGapvKMNlm9XAVkV")</f>
        <v/>
      </c>
      <c r="Z1008" s="1">
        <f>IFERROR(__xludf.DUMMYFUNCTION("""COMPUTED_VALUE"""),"Unverified")</f>
        <v/>
      </c>
      <c r="AA1008" s="1" t="n"/>
      <c r="AB1008" s="1" t="n"/>
      <c r="AC1008" s="1" t="n"/>
      <c r="AD1008" s="1" t="n"/>
      <c r="AE1008" s="1" t="n"/>
    </row>
    <row r="1009" ht="42" customHeight="1">
      <c r="A1009" s="14">
        <f>IFERROR(__xludf.DUMMYFUNCTION("""COMPUTED_VALUE"""),45181)</f>
        <v/>
      </c>
      <c r="B1009" s="1">
        <f>IFERROR(__xludf.DUMMYFUNCTION("""COMPUTED_VALUE"""),"ORG_1722")</f>
        <v/>
      </c>
      <c r="C1009" s="1">
        <f>IFERROR(__xludf.DUMMYFUNCTION("""COMPUTED_VALUE"""),TRUE)</f>
        <v/>
      </c>
      <c r="D1009" s="1">
        <f>IFERROR(__xludf.DUMMYFUNCTION("""COMPUTED_VALUE"""),"Infowijs")</f>
        <v/>
      </c>
      <c r="E1009" s="15">
        <f>IFERROR(__xludf.DUMMYFUNCTION("""COMPUTED_VALUE"""),"https://infowijs.nl")</f>
        <v/>
      </c>
      <c r="F1009" s="1">
        <f>IFERROR(__xludf.DUMMYFUNCTION("""COMPUTED_VALUE"""),"Clear communication between schools, parents and students forms the bedrock of a good education, to which both parents and schools can contribute. Therefore, clear, simple and straightforward communication should be a top priority for schools.
Infowijs e"&amp;"nables schools to do exactly this with a number of software solutions, developed in co-creation with secondary schools. Hoy, our communication app, and Schoolwiki, the digital school guide.")</f>
        <v/>
      </c>
      <c r="G1009" s="1">
        <f>IFERROR(__xludf.DUMMYFUNCTION("""COMPUTED_VALUE"""),"Dutch EdTech")</f>
        <v/>
      </c>
      <c r="H1009" s="1" t="n"/>
      <c r="I1009" s="1">
        <f>IFERROR(__xludf.DUMMYFUNCTION("""COMPUTED_VALUE"""),"info@infowijs.nl")</f>
        <v/>
      </c>
      <c r="J1009" s="1">
        <f>IFERROR(__xludf.DUMMYFUNCTION("""COMPUTED_VALUE"""),"+31 85 0606 286")</f>
        <v/>
      </c>
      <c r="K1009" s="1">
        <f>IFERROR(__xludf.DUMMYFUNCTION("""COMPUTED_VALUE"""),"Amsterdam")</f>
        <v/>
      </c>
      <c r="L1009" s="1">
        <f>IFERROR(__xludf.DUMMYFUNCTION("""COMPUTED_VALUE"""),"The Netherlands")</f>
        <v/>
      </c>
      <c r="M1009" s="1">
        <f>IFERROR(__xludf.DUMMYFUNCTION("""COMPUTED_VALUE"""),"Netherlands")</f>
        <v/>
      </c>
      <c r="N1009" s="1">
        <f>IFERROR(__xludf.DUMMYFUNCTION("""COMPUTED_VALUE"""),"0 to 10")</f>
        <v/>
      </c>
      <c r="O1009" s="1">
        <f>IFERROR(__xludf.DUMMYFUNCTION("""COMPUTED_VALUE"""),"Business to Business, Business to Consumer, Business to Schools")</f>
        <v/>
      </c>
      <c r="P1009" s="1">
        <f>IFERROR(__xludf.DUMMYFUNCTION("""COMPUTED_VALUE"""),"Secondary Education")</f>
        <v/>
      </c>
      <c r="Q1009" s="1">
        <f>IFERROR(__xludf.DUMMYFUNCTION("""COMPUTED_VALUE"""),"System/Administrative, Student interfacing, Teacher interfacing")</f>
        <v/>
      </c>
      <c r="R1009" s="15">
        <f>IFERROR(__xludf.DUMMYFUNCTION("""COMPUTED_VALUE"""),"https://www.instagram.com/infowijs/")</f>
        <v/>
      </c>
      <c r="S1009" s="15">
        <f>IFERROR(__xludf.DUMMYFUNCTION("""COMPUTED_VALUE"""),"https://twitter.com/infowijs")</f>
        <v/>
      </c>
      <c r="T1009" s="15">
        <f>IFERROR(__xludf.DUMMYFUNCTION("""COMPUTED_VALUE"""),"https://www.linkedin.com/company/infowijs/")</f>
        <v/>
      </c>
      <c r="U1009" s="1">
        <f>IFERROR(__xludf.DUMMYFUNCTION("""COMPUTED_VALUE"""),"Hoy")</f>
        <v/>
      </c>
      <c r="V1009" s="1">
        <f>IFERROR(__xludf.DUMMYFUNCTION("""COMPUTED_VALUE"""),"With Hoy every high school can communicate via their own mobile app. The app enables schools and teachers to keep in contact with parents and students easily and directly, while gaining overview and protecting their privacy.")</f>
        <v/>
      </c>
      <c r="W1009" s="1">
        <f>IFERROR(__xludf.DUMMYFUNCTION("""COMPUTED_VALUE"""),"Schoolwiki")</f>
        <v/>
      </c>
      <c r="X1009" s="1">
        <f>IFERROR(__xludf.DUMMYFUNCTION("""COMPUTED_VALUE"""),"A modern online school guide, allowing parents and students to quickly access all of the practical school information. Via any device. While the school keeps all information up to date in no time.")</f>
        <v/>
      </c>
      <c r="Y1009" s="15">
        <f>IFERROR(__xludf.DUMMYFUNCTION("""COMPUTED_VALUE"""),"https://drive.google.com/uc?export=view&amp;id=1m5Bs1wsPDh0x7EcBY6ui5IMpci7HCtup")</f>
        <v/>
      </c>
      <c r="Z1009" s="1">
        <f>IFERROR(__xludf.DUMMYFUNCTION("""COMPUTED_VALUE"""),"Unverified")</f>
        <v/>
      </c>
      <c r="AA1009" s="1" t="n"/>
      <c r="AB1009" s="1" t="n"/>
      <c r="AC1009" s="1" t="n"/>
      <c r="AD1009" s="1" t="n"/>
      <c r="AE1009" s="1" t="n"/>
    </row>
    <row r="1010" ht="42" customHeight="1">
      <c r="A1010" s="14">
        <f>IFERROR(__xludf.DUMMYFUNCTION("""COMPUTED_VALUE"""),45181)</f>
        <v/>
      </c>
      <c r="B1010" s="1">
        <f>IFERROR(__xludf.DUMMYFUNCTION("""COMPUTED_VALUE"""),"ORG_1742")</f>
        <v/>
      </c>
      <c r="C1010" s="1">
        <f>IFERROR(__xludf.DUMMYFUNCTION("""COMPUTED_VALUE"""),TRUE)</f>
        <v/>
      </c>
      <c r="D1010" s="1">
        <f>IFERROR(__xludf.DUMMYFUNCTION("""COMPUTED_VALUE"""),"IST Deutschland")</f>
        <v/>
      </c>
      <c r="E1010" s="15">
        <f>IFERROR(__xludf.DUMMYFUNCTION("""COMPUTED_VALUE"""),"www.ist.com/de")</f>
        <v/>
      </c>
      <c r="F1010" s="1">
        <f>IFERROR(__xludf.DUMMYFUNCTION("""COMPUTED_VALUE"""),"As a member of the Scandinavian EdTech market leader IST Group, we provide schools and school authorities in Germany with software solutions for school administration, learning management, timetabling and IT security. We combine this with individual servi"&amp;"ces.")</f>
        <v/>
      </c>
      <c r="G1010" s="1">
        <f>IFERROR(__xludf.DUMMYFUNCTION("""COMPUTED_VALUE"""),"I'm not part of any EdTech association")</f>
        <v/>
      </c>
      <c r="H1010" s="1" t="n"/>
      <c r="I1010" s="1">
        <f>IFERROR(__xludf.DUMMYFUNCTION("""COMPUTED_VALUE"""),"info.de@ist.com")</f>
        <v/>
      </c>
      <c r="J1010" s="1">
        <f>IFERROR(__xludf.DUMMYFUNCTION("""COMPUTED_VALUE"""),"+ 49 4 53 18 80 44 0")</f>
        <v/>
      </c>
      <c r="K1010" s="1">
        <f>IFERROR(__xludf.DUMMYFUNCTION("""COMPUTED_VALUE"""),"NERITZ")</f>
        <v/>
      </c>
      <c r="L1010" s="1">
        <f>IFERROR(__xludf.DUMMYFUNCTION("""COMPUTED_VALUE"""),"Germany")</f>
        <v/>
      </c>
      <c r="M1010" s="1">
        <f>IFERROR(__xludf.DUMMYFUNCTION("""COMPUTED_VALUE"""),"Austria, Finland, Italy, Portugal, Romania, Switzerland")</f>
        <v/>
      </c>
      <c r="N1010" s="1">
        <f>IFERROR(__xludf.DUMMYFUNCTION("""COMPUTED_VALUE"""),"11 to 50")</f>
        <v/>
      </c>
      <c r="O1010" s="1">
        <f>IFERROR(__xludf.DUMMYFUNCTION("""COMPUTED_VALUE"""),"Business to Business, Business to Consumer, Business to Schools")</f>
        <v/>
      </c>
      <c r="P1010" s="1">
        <f>IFERROR(__xludf.DUMMYFUNCTION("""COMPUTED_VALUE"""),"Primary Education, Secondary Education, Higher Education")</f>
        <v/>
      </c>
      <c r="Q1010" s="1">
        <f>IFERROR(__xludf.DUMMYFUNCTION("""COMPUTED_VALUE"""),"Teacher interfacing, System/Administrative")</f>
        <v/>
      </c>
      <c r="R1010" s="1" t="n"/>
      <c r="S1010" s="1" t="n"/>
      <c r="T1010" s="1" t="n"/>
      <c r="U1010" s="1" t="n"/>
      <c r="V1010" s="1" t="n"/>
      <c r="W1010" s="1" t="n"/>
      <c r="X1010" s="1" t="n"/>
      <c r="Y1010" s="15">
        <f>IFERROR(__xludf.DUMMYFUNCTION("""COMPUTED_VALUE"""),"https://drive.google.com/uc?export=view&amp;id=1wRMzIpNnbhSHEACMUQzkjZmcGddy5Jj4")</f>
        <v/>
      </c>
      <c r="Z1010" s="1">
        <f>IFERROR(__xludf.DUMMYFUNCTION("""COMPUTED_VALUE"""),"Unverified")</f>
        <v/>
      </c>
      <c r="AA1010" s="1" t="n"/>
      <c r="AB1010" s="1" t="n"/>
      <c r="AC1010" s="1" t="n"/>
      <c r="AD1010" s="1" t="n"/>
      <c r="AE1010" s="1" t="n"/>
    </row>
    <row r="1011" ht="42" customHeight="1">
      <c r="A1011" s="14">
        <f>IFERROR(__xludf.DUMMYFUNCTION("""COMPUTED_VALUE"""),45181)</f>
        <v/>
      </c>
      <c r="B1011" s="1">
        <f>IFERROR(__xludf.DUMMYFUNCTION("""COMPUTED_VALUE"""),"ORG_1826")</f>
        <v/>
      </c>
      <c r="C1011" s="1">
        <f>IFERROR(__xludf.DUMMYFUNCTION("""COMPUTED_VALUE"""),TRUE)</f>
        <v/>
      </c>
      <c r="D1011" s="1">
        <f>IFERROR(__xludf.DUMMYFUNCTION("""COMPUTED_VALUE"""),"LearnCove")</f>
        <v/>
      </c>
      <c r="E1011" s="15">
        <f>IFERROR(__xludf.DUMMYFUNCTION("""COMPUTED_VALUE"""),"Learmcove.com")</f>
        <v/>
      </c>
      <c r="F1011" s="1">
        <f>IFERROR(__xludf.DUMMYFUNCTION("""COMPUTED_VALUE"""),"LearnCove is the training platform for your industry. Our customers use LearnCove to train their customers, partners and staff worldwide. 
- Digitize training and onboard easier 
- Schedule processes and track progress 
- provide multilingual training")</f>
        <v/>
      </c>
      <c r="G1011" s="1">
        <f>IFERROR(__xludf.DUMMYFUNCTION("""COMPUTED_VALUE"""),"xEdu")</f>
        <v/>
      </c>
      <c r="H1011" s="1" t="n"/>
      <c r="I1011" s="1">
        <f>IFERROR(__xludf.DUMMYFUNCTION("""COMPUTED_VALUE"""),"heida@learncove.com")</f>
        <v/>
      </c>
      <c r="J1011" s="1">
        <f>IFERROR(__xludf.DUMMYFUNCTION("""COMPUTED_VALUE"""),"00354-6612326")</f>
        <v/>
      </c>
      <c r="K1011" s="1">
        <f>IFERROR(__xludf.DUMMYFUNCTION("""COMPUTED_VALUE"""),"Reykjavik")</f>
        <v/>
      </c>
      <c r="L1011" s="1">
        <f>IFERROR(__xludf.DUMMYFUNCTION("""COMPUTED_VALUE"""),"Iceland")</f>
        <v/>
      </c>
      <c r="M1011" s="1">
        <f>IFERROR(__xludf.DUMMYFUNCTION("""COMPUTED_VALUE"""),"Denmark, Greece, Iceland")</f>
        <v/>
      </c>
      <c r="N1011" s="1">
        <f>IFERROR(__xludf.DUMMYFUNCTION("""COMPUTED_VALUE"""),"0 to 10")</f>
        <v/>
      </c>
      <c r="O1011" s="1">
        <f>IFERROR(__xludf.DUMMYFUNCTION("""COMPUTED_VALUE"""),"Business to Business, Business to Consumer, Business to Schools")</f>
        <v/>
      </c>
      <c r="P1011" s="1">
        <f>IFERROR(__xludf.DUMMYFUNCTION("""COMPUTED_VALUE"""),"Corporate Training")</f>
        <v/>
      </c>
      <c r="Q1011" s="1">
        <f>IFERROR(__xludf.DUMMYFUNCTION("""COMPUTED_VALUE"""),"System/Administrative")</f>
        <v/>
      </c>
      <c r="R1011" s="15">
        <f>IFERROR(__xludf.DUMMYFUNCTION("""COMPUTED_VALUE"""),"https://instagram.com/learncove?igshid=YmMyMTA2M2Y=")</f>
        <v/>
      </c>
      <c r="S1011" s="1" t="n"/>
      <c r="T1011" s="15">
        <f>IFERROR(__xludf.DUMMYFUNCTION("""COMPUTED_VALUE"""),"https://www.linkedin.com/company/learncove/")</f>
        <v/>
      </c>
      <c r="U1011" s="1">
        <f>IFERROR(__xludf.DUMMYFUNCTION("""COMPUTED_VALUE"""),"LearnCove")</f>
        <v/>
      </c>
      <c r="V1011" s="1">
        <f>IFERROR(__xludf.DUMMYFUNCTION("""COMPUTED_VALUE"""),"LearnCove is the training platform for your industry. Our customers use LearnCove to train their customers, partners and staff worldwide. 
- Digitize training and onboard easier 
- Schedule processes and track progress 
- provide multilingual training")</f>
        <v/>
      </c>
      <c r="W1011" s="1" t="n"/>
      <c r="X1011" s="1" t="n"/>
      <c r="Y1011" s="15">
        <f>IFERROR(__xludf.DUMMYFUNCTION("""COMPUTED_VALUE"""),"https://drive.google.com/uc?export=view&amp;id=1q9ZDMoKOvEscc-CnQwZghZ0_lismnzD6")</f>
        <v/>
      </c>
      <c r="Z1011" s="1">
        <f>IFERROR(__xludf.DUMMYFUNCTION("""COMPUTED_VALUE"""),"Unverified")</f>
        <v/>
      </c>
      <c r="AA1011" s="1" t="n"/>
      <c r="AB1011" s="1" t="n"/>
      <c r="AC1011" s="1" t="n"/>
      <c r="AD1011" s="1" t="n"/>
      <c r="AE1011" s="1" t="n"/>
    </row>
    <row r="1012" ht="42" customHeight="1">
      <c r="A1012" s="14">
        <f>IFERROR(__xludf.DUMMYFUNCTION("""COMPUTED_VALUE"""),45181)</f>
        <v/>
      </c>
      <c r="B1012" s="1">
        <f>IFERROR(__xludf.DUMMYFUNCTION("""COMPUTED_VALUE"""),"ORG_1847")</f>
        <v/>
      </c>
      <c r="C1012" s="1">
        <f>IFERROR(__xludf.DUMMYFUNCTION("""COMPUTED_VALUE"""),TRUE)</f>
        <v/>
      </c>
      <c r="D1012" s="1">
        <f>IFERROR(__xludf.DUMMYFUNCTION("""COMPUTED_VALUE"""),"Leer Zelf Online")</f>
        <v/>
      </c>
      <c r="E1012" s="15">
        <f>IFERROR(__xludf.DUMMYFUNCTION("""COMPUTED_VALUE"""),"leerzelfonline.nl")</f>
        <v/>
      </c>
      <c r="F1012" s="1">
        <f>IFERROR(__xludf.DUMMYFUNCTION("""COMPUTED_VALUE"""),"Social enterprise Leer Zelf Online is specialized in explaining difficult subjects in an easy to understand way.
We focus our efforts on people that are vulnerable in society and have limited (digital) skills. We do this step by step, using simplified la"&amp;"nguage, attractive illustrations and animations. Our combined platforms receives over three million visitors per year from all walks of life.")</f>
        <v/>
      </c>
      <c r="G1012" s="1">
        <f>IFERROR(__xludf.DUMMYFUNCTION("""COMPUTED_VALUE"""),"I'm not part of any EdTech association")</f>
        <v/>
      </c>
      <c r="H1012" s="1" t="n"/>
      <c r="I1012" s="1">
        <f>IFERROR(__xludf.DUMMYFUNCTION("""COMPUTED_VALUE"""),"info@leerzelfonline.nl")</f>
        <v/>
      </c>
      <c r="J1012" s="1">
        <f>IFERROR(__xludf.DUMMYFUNCTION("""COMPUTED_VALUE"""),"348743272")</f>
        <v/>
      </c>
      <c r="K1012" s="1">
        <f>IFERROR(__xludf.DUMMYFUNCTION("""COMPUTED_VALUE"""),"WOERDEN")</f>
        <v/>
      </c>
      <c r="L1012" s="1">
        <f>IFERROR(__xludf.DUMMYFUNCTION("""COMPUTED_VALUE"""),"The Netherlands")</f>
        <v/>
      </c>
      <c r="M1012" s="1">
        <f>IFERROR(__xludf.DUMMYFUNCTION("""COMPUTED_VALUE"""),"Netherlands")</f>
        <v/>
      </c>
      <c r="N1012" s="1">
        <f>IFERROR(__xludf.DUMMYFUNCTION("""COMPUTED_VALUE"""),"11 to 50")</f>
        <v/>
      </c>
      <c r="O1012" s="1">
        <f>IFERROR(__xludf.DUMMYFUNCTION("""COMPUTED_VALUE"""),"Business to Business, Business to Consumer, Business to Schools")</f>
        <v/>
      </c>
      <c r="P1012" s="1">
        <f>IFERROR(__xludf.DUMMYFUNCTION("""COMPUTED_VALUE"""),"Early childhood development (0-5 years), Primary Education, Corporate Training, Lifelong learning/Adult education")</f>
        <v/>
      </c>
      <c r="Q1012" s="1">
        <f>IFERROR(__xludf.DUMMYFUNCTION("""COMPUTED_VALUE"""),"System/Administrative, Teacher interfacing, Student interfacing")</f>
        <v/>
      </c>
      <c r="R1012" s="15">
        <f>IFERROR(__xludf.DUMMYFUNCTION("""COMPUTED_VALUE"""),"https://www.instagram.com/steffiehelpt/")</f>
        <v/>
      </c>
      <c r="S1012" s="15">
        <f>IFERROR(__xludf.DUMMYFUNCTION("""COMPUTED_VALUE"""),"https://twitter.com/leerzelfonline")</f>
        <v/>
      </c>
      <c r="T1012" s="15">
        <f>IFERROR(__xludf.DUMMYFUNCTION("""COMPUTED_VALUE"""),"https://www.linkedin.com/company/10372565/admin/")</f>
        <v/>
      </c>
      <c r="U1012" s="1">
        <f>IFERROR(__xludf.DUMMYFUNCTION("""COMPUTED_VALUE"""),"Steffie")</f>
        <v/>
      </c>
      <c r="V1012" s="1">
        <f>IFERROR(__xludf.DUMMYFUNCTION("""COMPUTED_VALUE"""),"Supporting guide
All explanations from our Avatar Steffie are both in text and are spoken by our animated figure Steffie. Steffie is the guide that takes you through the subject matter and supports you along the way. The feeling of being supported throug"&amp;"hout the explanations is very much appreciated by our users, as this is usually lacking in other online learning and information tools. To improve their skills, users can practice subjects in different forms, that fit the subject matter best.
Many subjec"&amp;"ts
Steffie helps with a wide selection of subjects, like financial and administrative skills, news, health, relations and sexuality as well as computer skills. Steffie makes information comprehensible for the Dutch government about vaccination, quarantin"&amp;"e, self-testing, social benefits and elections. Steffie empowers people in these areas by reducing anxiety, transferring knowledge and building up self-esteem.")</f>
        <v/>
      </c>
      <c r="W1012" s="1">
        <f>IFERROR(__xludf.DUMMYFUNCTION("""COMPUTED_VALUE"""),"ABCDate")</f>
        <v/>
      </c>
      <c r="X1012" s="1">
        <f>IFERROR(__xludf.DUMMYFUNCTION("""COMPUTED_VALUE"""),"ABCDate is for people of 18 years or older with an intellectual disability. They can meet new people on this website. For example, to do fun things together, to share a hobby, to make friends or to look for a relationship.
You can only use ABCDate if you"&amp;"r healthcare organization has agreements with ABCDate. We want to build a nationwide network so that everyone will soon have a lot to choose from! ABCDate consists of an easy and safe to use app, websites and special events.")</f>
        <v/>
      </c>
      <c r="Y1012" s="15">
        <f>IFERROR(__xludf.DUMMYFUNCTION("""COMPUTED_VALUE"""),"https://drive.google.com/uc?export=view&amp;id=1RxrE5GT7RhcQ1NwkZ07Xw87w3UNG7oW1")</f>
        <v/>
      </c>
      <c r="Z1012" s="1">
        <f>IFERROR(__xludf.DUMMYFUNCTION("""COMPUTED_VALUE"""),"Unverified")</f>
        <v/>
      </c>
      <c r="AA1012" s="1" t="n"/>
      <c r="AB1012" s="1" t="n"/>
      <c r="AC1012" s="1" t="n"/>
      <c r="AD1012" s="1" t="n"/>
      <c r="AE1012" s="1" t="n"/>
    </row>
    <row r="1013" ht="42" customHeight="1">
      <c r="A1013" s="14">
        <f>IFERROR(__xludf.DUMMYFUNCTION("""COMPUTED_VALUE"""),45181)</f>
        <v/>
      </c>
      <c r="B1013" s="1">
        <f>IFERROR(__xludf.DUMMYFUNCTION("""COMPUTED_VALUE"""),"ORG_1955")</f>
        <v/>
      </c>
      <c r="C1013" s="1">
        <f>IFERROR(__xludf.DUMMYFUNCTION("""COMPUTED_VALUE"""),TRUE)</f>
        <v/>
      </c>
      <c r="D1013" s="1">
        <f>IFERROR(__xludf.DUMMYFUNCTION("""COMPUTED_VALUE"""),"Mereos")</f>
        <v/>
      </c>
      <c r="E1013" s="15">
        <f>IFERROR(__xludf.DUMMYFUNCTION("""COMPUTED_VALUE"""),"https://mereos.eu/")</f>
        <v/>
      </c>
      <c r="F1013" s="1">
        <f>IFERROR(__xludf.DUMMYFUNCTION("""COMPUTED_VALUE"""),"We have entered in a new era, the era of remote everything. Today, we can take online courses, train on Youtube and even attend virtual events. The only catch? The tools to assess and certify skill level have not evolved. 
At Mereos, we make sure your onl"&amp;"ine tests are 100% secure and we fight fraud with top-of-the-notch proctoring solutions.")</f>
        <v/>
      </c>
      <c r="G1013" s="1">
        <f>IFERROR(__xludf.DUMMYFUNCTION("""COMPUTED_VALUE"""),"EdTech France")</f>
        <v/>
      </c>
      <c r="H1013" s="1" t="n"/>
      <c r="I1013" s="1">
        <f>IFERROR(__xludf.DUMMYFUNCTION("""COMPUTED_VALUE"""),"contact@mereos.eu")</f>
        <v/>
      </c>
      <c r="J1013" s="1">
        <f>IFERROR(__xludf.DUMMYFUNCTION("""COMPUTED_VALUE"""),"+33 1 79 72 33 44")</f>
        <v/>
      </c>
      <c r="K1013" s="1">
        <f>IFERROR(__xludf.DUMMYFUNCTION("""COMPUTED_VALUE"""),"PARIS")</f>
        <v/>
      </c>
      <c r="L1013" s="1">
        <f>IFERROR(__xludf.DUMMYFUNCTION("""COMPUTED_VALUE"""),"France")</f>
        <v/>
      </c>
      <c r="M1013" s="1">
        <f>IFERROR(__xludf.DUMMYFUNCTION("""COMPUTED_VALUE"""),"France")</f>
        <v/>
      </c>
      <c r="N1013" s="1">
        <f>IFERROR(__xludf.DUMMYFUNCTION("""COMPUTED_VALUE"""),"0 to 10")</f>
        <v/>
      </c>
      <c r="O1013" s="1">
        <f>IFERROR(__xludf.DUMMYFUNCTION("""COMPUTED_VALUE"""),"Business to Business, Business to Consumer, Business to Schools")</f>
        <v/>
      </c>
      <c r="P1013" s="1">
        <f>IFERROR(__xludf.DUMMYFUNCTION("""COMPUTED_VALUE"""),"Secondary Education, Higher Education, Corporate Training, Lifelong learning/Adult education")</f>
        <v/>
      </c>
      <c r="Q1013" s="1">
        <f>IFERROR(__xludf.DUMMYFUNCTION("""COMPUTED_VALUE"""),"Teacher interfacing, Student interfacing, System/Administrative")</f>
        <v/>
      </c>
      <c r="R1013" s="1" t="n"/>
      <c r="S1013" s="1" t="n"/>
      <c r="T1013" s="1" t="n"/>
      <c r="U1013" s="1" t="n"/>
      <c r="V1013" s="1" t="n"/>
      <c r="W1013" s="1" t="n"/>
      <c r="X1013" s="1" t="n"/>
      <c r="Y1013" s="15">
        <f>IFERROR(__xludf.DUMMYFUNCTION("""COMPUTED_VALUE"""),"https://drive.google.com/uc?export=view&amp;id=1MaJou1O684Cuooh5HxLW3gE3JrLkFZCf")</f>
        <v/>
      </c>
      <c r="Z1013" s="1">
        <f>IFERROR(__xludf.DUMMYFUNCTION("""COMPUTED_VALUE"""),"Unverified")</f>
        <v/>
      </c>
      <c r="AA1013" s="1" t="n"/>
      <c r="AB1013" s="1" t="n"/>
      <c r="AC1013" s="1" t="n"/>
      <c r="AD1013" s="1" t="n"/>
      <c r="AE1013" s="1" t="n"/>
    </row>
    <row r="1014" ht="42" customHeight="1">
      <c r="A1014" s="14">
        <f>IFERROR(__xludf.DUMMYFUNCTION("""COMPUTED_VALUE"""),45181)</f>
        <v/>
      </c>
      <c r="B1014" s="1">
        <f>IFERROR(__xludf.DUMMYFUNCTION("""COMPUTED_VALUE"""),"ORG_2043")</f>
        <v/>
      </c>
      <c r="C1014" s="1">
        <f>IFERROR(__xludf.DUMMYFUNCTION("""COMPUTED_VALUE"""),TRUE)</f>
        <v/>
      </c>
      <c r="D1014" s="1">
        <f>IFERROR(__xludf.DUMMYFUNCTION("""COMPUTED_VALUE"""),"Nominis")</f>
        <v/>
      </c>
      <c r="E1014" s="15">
        <f>IFERROR(__xludf.DUMMYFUNCTION("""COMPUTED_VALUE"""),"https://nominis.es/")</f>
        <v/>
      </c>
      <c r="F1014" s="1">
        <f>IFERROR(__xludf.DUMMYFUNCTION("""COMPUTED_VALUE"""),"Nominis is the digital language academy during childhood. It uses interactive stories as a key resource to enhance the learning experience.")</f>
        <v/>
      </c>
      <c r="G1014" s="1">
        <f>IFERROR(__xludf.DUMMYFUNCTION("""COMPUTED_VALUE"""),"I'm not part of any EdTech association")</f>
        <v/>
      </c>
      <c r="H1014" s="1" t="n"/>
      <c r="I1014" s="1">
        <f>IFERROR(__xludf.DUMMYFUNCTION("""COMPUTED_VALUE"""),"hola@nominis.es")</f>
        <v/>
      </c>
      <c r="J1014" s="1">
        <f>IFERROR(__xludf.DUMMYFUNCTION("""COMPUTED_VALUE"""),"+34681013608")</f>
        <v/>
      </c>
      <c r="K1014" s="1">
        <f>IFERROR(__xludf.DUMMYFUNCTION("""COMPUTED_VALUE"""),"Barcelona")</f>
        <v/>
      </c>
      <c r="L1014" s="1">
        <f>IFERROR(__xludf.DUMMYFUNCTION("""COMPUTED_VALUE"""),"Spain")</f>
        <v/>
      </c>
      <c r="M1014" s="1">
        <f>IFERROR(__xludf.DUMMYFUNCTION("""COMPUTED_VALUE"""),"Spain")</f>
        <v/>
      </c>
      <c r="N1014" s="1">
        <f>IFERROR(__xludf.DUMMYFUNCTION("""COMPUTED_VALUE"""),"0 to 10")</f>
        <v/>
      </c>
      <c r="O1014" s="1">
        <f>IFERROR(__xludf.DUMMYFUNCTION("""COMPUTED_VALUE"""),"Business to Business, Business to Government")</f>
        <v/>
      </c>
      <c r="P1014" s="1">
        <f>IFERROR(__xludf.DUMMYFUNCTION("""COMPUTED_VALUE"""),"Primary Education")</f>
        <v/>
      </c>
      <c r="Q1014" s="1">
        <f>IFERROR(__xludf.DUMMYFUNCTION("""COMPUTED_VALUE"""),"System/Administrative, Student interfacing, Teacher interfacing")</f>
        <v/>
      </c>
      <c r="R1014" s="1" t="n"/>
      <c r="S1014" s="1" t="n"/>
      <c r="T1014" s="1" t="n"/>
      <c r="U1014" s="1" t="n"/>
      <c r="V1014" s="1" t="n"/>
      <c r="W1014" s="1" t="n"/>
      <c r="X1014" s="1" t="n"/>
      <c r="Y1014" s="15">
        <f>IFERROR(__xludf.DUMMYFUNCTION("""COMPUTED_VALUE"""),"https://drive.google.com/uc?export=view&amp;id=1FRC_djKqUnjYd7I-peVn9gjRY-E8oAXs")</f>
        <v/>
      </c>
      <c r="Z1014" s="1">
        <f>IFERROR(__xludf.DUMMYFUNCTION("""COMPUTED_VALUE"""),"Unverified")</f>
        <v/>
      </c>
      <c r="AA1014" s="1" t="n"/>
      <c r="AB1014" s="1" t="n"/>
      <c r="AC1014" s="1" t="n"/>
      <c r="AD1014" s="1" t="n"/>
      <c r="AE1014" s="1" t="n"/>
    </row>
    <row r="1015" ht="42" customHeight="1">
      <c r="A1015" s="14">
        <f>IFERROR(__xludf.DUMMYFUNCTION("""COMPUTED_VALUE"""),45181)</f>
        <v/>
      </c>
      <c r="B1015" s="1">
        <f>IFERROR(__xludf.DUMMYFUNCTION("""COMPUTED_VALUE"""),"ORG_2091")</f>
        <v/>
      </c>
      <c r="C1015" s="1">
        <f>IFERROR(__xludf.DUMMYFUNCTION("""COMPUTED_VALUE"""),TRUE)</f>
        <v/>
      </c>
      <c r="D1015" s="1">
        <f>IFERROR(__xludf.DUMMYFUNCTION("""COMPUTED_VALUE"""),"pearprogramming")</f>
        <v/>
      </c>
      <c r="E1015" s="15">
        <f>IFERROR(__xludf.DUMMYFUNCTION("""COMPUTED_VALUE"""),"www.pearup.de")</f>
        <v/>
      </c>
      <c r="F1015" s="1">
        <f>IFERROR(__xludf.DUMMYFUNCTION("""COMPUTED_VALUE"""),"pearprogramming is an educational startup founded by graduates from the University of Osnabrück. Our mission is to develop innovative software for school lessons that inspires students to learn and empowers them to understand and actively shape the world "&amp;"of tomorrow.")</f>
        <v/>
      </c>
      <c r="G1015" s="1">
        <f>IFERROR(__xludf.DUMMYFUNCTION("""COMPUTED_VALUE"""),"EDUvation")</f>
        <v/>
      </c>
      <c r="H1015" s="1" t="n"/>
      <c r="I1015" s="1">
        <f>IFERROR(__xludf.DUMMYFUNCTION("""COMPUTED_VALUE"""),"info@pearup.de")</f>
        <v/>
      </c>
      <c r="J1015" s="1" t="n"/>
      <c r="K1015" s="1">
        <f>IFERROR(__xludf.DUMMYFUNCTION("""COMPUTED_VALUE"""),"Osnabrück")</f>
        <v/>
      </c>
      <c r="L1015" s="1">
        <f>IFERROR(__xludf.DUMMYFUNCTION("""COMPUTED_VALUE"""),"Germany")</f>
        <v/>
      </c>
      <c r="M1015" s="1">
        <f>IFERROR(__xludf.DUMMYFUNCTION("""COMPUTED_VALUE"""),"Austria, Germany")</f>
        <v/>
      </c>
      <c r="N1015" s="1">
        <f>IFERROR(__xludf.DUMMYFUNCTION("""COMPUTED_VALUE"""),"0 to 10")</f>
        <v/>
      </c>
      <c r="O1015" s="1">
        <f>IFERROR(__xludf.DUMMYFUNCTION("""COMPUTED_VALUE"""),"Business to Business, Business to Government, Business to Schools")</f>
        <v/>
      </c>
      <c r="P1015" s="1">
        <f>IFERROR(__xludf.DUMMYFUNCTION("""COMPUTED_VALUE"""),"Secondary Education")</f>
        <v/>
      </c>
      <c r="Q1015" s="1">
        <f>IFERROR(__xludf.DUMMYFUNCTION("""COMPUTED_VALUE"""),"Student interfacing, Teacher interfacing")</f>
        <v/>
      </c>
      <c r="R1015" s="15">
        <f>IFERROR(__xludf.DUMMYFUNCTION("""COMPUTED_VALUE"""),"https://www.instagram.com/pearup_edu/")</f>
        <v/>
      </c>
      <c r="S1015" s="15">
        <f>IFERROR(__xludf.DUMMYFUNCTION("""COMPUTED_VALUE"""),"https://twitter.com/pearup_edu")</f>
        <v/>
      </c>
      <c r="T1015" s="15">
        <f>IFERROR(__xludf.DUMMYFUNCTION("""COMPUTED_VALUE"""),"https://www.linkedin.com/company/11718283")</f>
        <v/>
      </c>
      <c r="U1015" s="1">
        <f>IFERROR(__xludf.DUMMYFUNCTION("""COMPUTED_VALUE"""),"PearUp")</f>
        <v/>
      </c>
      <c r="V1015" s="1">
        <f>IFERROR(__xludf.DUMMYFUNCTION("""COMPUTED_VALUE"""),"PearUp is a marketplace for interactive worksheets. We offer a diverse selection of teaching material from various educational providers - both free and paid. All content can be adjusted as desired and conveniently sent to the students via a link. The eva"&amp;"luation takes place automatically and can be tracked in real time.")</f>
        <v/>
      </c>
      <c r="W1015" s="1" t="n"/>
      <c r="X1015" s="1" t="n"/>
      <c r="Y1015" s="15">
        <f>IFERROR(__xludf.DUMMYFUNCTION("""COMPUTED_VALUE"""),"https://drive.google.com/uc?export=view&amp;id=1ynzuI7VamJj22wIyGKdc0ZgNDr1xXz63")</f>
        <v/>
      </c>
      <c r="Z1015" s="1">
        <f>IFERROR(__xludf.DUMMYFUNCTION("""COMPUTED_VALUE"""),"Unverified")</f>
        <v/>
      </c>
      <c r="AA1015" s="1" t="n"/>
      <c r="AB1015" s="1" t="n"/>
      <c r="AC1015" s="1" t="n"/>
      <c r="AD1015" s="1" t="n"/>
      <c r="AE1015" s="1" t="n"/>
    </row>
    <row r="1016" ht="42" customHeight="1">
      <c r="A1016" s="14">
        <f>IFERROR(__xludf.DUMMYFUNCTION("""COMPUTED_VALUE"""),45181)</f>
        <v/>
      </c>
      <c r="B1016" s="1">
        <f>IFERROR(__xludf.DUMMYFUNCTION("""COMPUTED_VALUE"""),"ORG_2092")</f>
        <v/>
      </c>
      <c r="C1016" s="1">
        <f>IFERROR(__xludf.DUMMYFUNCTION("""COMPUTED_VALUE"""),TRUE)</f>
        <v/>
      </c>
      <c r="D1016" s="1">
        <f>IFERROR(__xludf.DUMMYFUNCTION("""COMPUTED_VALUE"""),"PebblePad - The Learning Journey &amp; Assessment Platform")</f>
        <v/>
      </c>
      <c r="E1016" s="15">
        <f>IFERROR(__xludf.DUMMYFUNCTION("""COMPUTED_VALUE"""),"www.pebblepad.com")</f>
        <v/>
      </c>
      <c r="F1016" s="1">
        <f>IFERROR(__xludf.DUMMYFUNCTION("""COMPUTED_VALUE"""),"PEBBLEPAD HELPS UNIVERSITIES AROUND THE WORLD IMPROVE STUDENT OUTCOMES,ENGAGEMENT &amp; LEARNING BY TRANSFORMING THE LEARNING JOURNEY &amp; THE PROCESS OF LEARNING AT SCALE.
PebblePad delivers unrivalled capability when it comes to student-centred learning, scaff"&amp;"olding end-to-end learning journeys and learner pathways that make a real difference to your students' success. Student-centred, experiential learning initiatives, e-portfolio and reflective practices, authentic and programmatic assessment are notoriously"&amp;" difficult to support and assess, especially at scale. That's why universities around the globe are choosing the PebblePad Learning Journey &amp; Assessment Platform to bolster their institution-wide capacity for scaffolding learner journeys and learner pathw"&amp;"ays that seamlessly span learning on and off campus - in any context, at any scale, from application to graduation on onwards.
PebblePad helps Universities around the world bring continuity and structure to the diverse learning experiences your students w"&amp;"ill undertake, helping them navigate, reflect on, and make sense of their curricular, co- and extra-curricular activities on the journey to becoming successful future and career ready graduates.")</f>
        <v/>
      </c>
      <c r="G1016" s="1">
        <f>IFERROR(__xludf.DUMMYFUNCTION("""COMPUTED_VALUE"""),"I'm not part of any EdTech association")</f>
        <v/>
      </c>
      <c r="H1016" s="1" t="n"/>
      <c r="I1016" s="1">
        <f>IFERROR(__xludf.DUMMYFUNCTION("""COMPUTED_VALUE"""),"hello@pebblepad.com")</f>
        <v/>
      </c>
      <c r="J1016" s="1">
        <f>IFERROR(__xludf.DUMMYFUNCTION("""COMPUTED_VALUE"""),"+44 1952 288 300")</f>
        <v/>
      </c>
      <c r="K1016" s="1">
        <f>IFERROR(__xludf.DUMMYFUNCTION("""COMPUTED_VALUE"""),"Telford")</f>
        <v/>
      </c>
      <c r="L1016" s="1">
        <f>IFERROR(__xludf.DUMMYFUNCTION("""COMPUTED_VALUE"""),"United Kingdom")</f>
        <v/>
      </c>
      <c r="M1016" s="1">
        <f>IFERROR(__xludf.DUMMYFUNCTION("""COMPUTED_VALUE"""),"Austria, Belgium, Denmark, Finland, France, Germany, Iceland, Ireland, Italy, Netherlands, Norway, Poland, Spain, Sweden, Switzerland, United Kingdom")</f>
        <v/>
      </c>
      <c r="N1016" s="1">
        <f>IFERROR(__xludf.DUMMYFUNCTION("""COMPUTED_VALUE"""),"51 to 100")</f>
        <v/>
      </c>
      <c r="O1016" s="1">
        <f>IFERROR(__xludf.DUMMYFUNCTION("""COMPUTED_VALUE"""),"Business to Business, Business to Government, Business to Schools")</f>
        <v/>
      </c>
      <c r="P1016" s="1">
        <f>IFERROR(__xludf.DUMMYFUNCTION("""COMPUTED_VALUE"""),"Higher Education, Lifelong learning/Adult education")</f>
        <v/>
      </c>
      <c r="Q1016" s="1">
        <f>IFERROR(__xludf.DUMMYFUNCTION("""COMPUTED_VALUE"""),"Teacher interfacing, System/Administrative")</f>
        <v/>
      </c>
      <c r="R1016" s="1" t="n"/>
      <c r="S1016" s="1" t="n"/>
      <c r="T1016" s="1" t="n"/>
      <c r="U1016" s="1" t="n"/>
      <c r="V1016" s="1" t="n"/>
      <c r="W1016" s="1" t="n"/>
      <c r="X1016" s="1" t="n"/>
      <c r="Y1016" s="15">
        <f>IFERROR(__xludf.DUMMYFUNCTION("""COMPUTED_VALUE"""),"https://drive.google.com/uc?export=view&amp;id=1XHo35bAfWcQNKwddSD2vSCuBe0um5hwC")</f>
        <v/>
      </c>
      <c r="Z1016" s="1">
        <f>IFERROR(__xludf.DUMMYFUNCTION("""COMPUTED_VALUE"""),"Unverified")</f>
        <v/>
      </c>
      <c r="AA1016" s="1" t="n"/>
      <c r="AB1016" s="1" t="n"/>
      <c r="AC1016" s="1" t="n"/>
      <c r="AD1016" s="1" t="n"/>
      <c r="AE1016" s="1" t="n"/>
    </row>
    <row r="1017" ht="42" customHeight="1">
      <c r="A1017" s="14">
        <f>IFERROR(__xludf.DUMMYFUNCTION("""COMPUTED_VALUE"""),45181)</f>
        <v/>
      </c>
      <c r="B1017" s="1">
        <f>IFERROR(__xludf.DUMMYFUNCTION("""COMPUTED_VALUE"""),"ORG_2116")</f>
        <v/>
      </c>
      <c r="C1017" s="1">
        <f>IFERROR(__xludf.DUMMYFUNCTION("""COMPUTED_VALUE"""),TRUE)</f>
        <v/>
      </c>
      <c r="D1017" s="1">
        <f>IFERROR(__xludf.DUMMYFUNCTION("""COMPUTED_VALUE"""),"Poikilingo")</f>
        <v/>
      </c>
      <c r="E1017" s="15">
        <f>IFERROR(__xludf.DUMMYFUNCTION("""COMPUTED_VALUE"""),"https://www.poikilingo.com")</f>
        <v/>
      </c>
      <c r="F1017" s="1">
        <f>IFERROR(__xludf.DUMMYFUNCTION("""COMPUTED_VALUE"""),"Poikilingo is a subscription-based language app for kids 2-6, with games, interactive books, songs and cartoons. Our main target group are immigrant children who moved to another country or children of immigrants learning their parent's language. Children"&amp;" have a cartoon avatar of themselves, who engage in plots about daily situations. When failing an activity, an instruction in their mother language is given, keeping them engaged. The app is available in English, Spanish, Portuguese and Danish, and we wil"&amp;"l scale by adding new languages from countries with high migration flow. Our activities are created by early childhood and language experts, and inspired by the UN Sustainable Development Goals.")</f>
        <v/>
      </c>
      <c r="G1017" s="1">
        <f>IFERROR(__xludf.DUMMYFUNCTION("""COMPUTED_VALUE"""),"EdTech Denmark")</f>
        <v/>
      </c>
      <c r="H1017" s="1" t="n"/>
      <c r="I1017" s="1">
        <f>IFERROR(__xludf.DUMMYFUNCTION("""COMPUTED_VALUE"""),"support@poikilingo.com")</f>
        <v/>
      </c>
      <c r="J1017" s="1" t="n"/>
      <c r="K1017" s="1">
        <f>IFERROR(__xludf.DUMMYFUNCTION("""COMPUTED_VALUE"""),"TØRRING")</f>
        <v/>
      </c>
      <c r="L1017" s="1">
        <f>IFERROR(__xludf.DUMMYFUNCTION("""COMPUTED_VALUE"""),"Denmark")</f>
        <v/>
      </c>
      <c r="M1017"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017" s="1">
        <f>IFERROR(__xludf.DUMMYFUNCTION("""COMPUTED_VALUE"""),"0 to 10")</f>
        <v/>
      </c>
      <c r="O1017" s="1">
        <f>IFERROR(__xludf.DUMMYFUNCTION("""COMPUTED_VALUE"""),"Business to Business, Business to Government, Business to Schools")</f>
        <v/>
      </c>
      <c r="P1017" s="1">
        <f>IFERROR(__xludf.DUMMYFUNCTION("""COMPUTED_VALUE"""),"Early childhood development (0-5 years)")</f>
        <v/>
      </c>
      <c r="Q1017" s="1">
        <f>IFERROR(__xludf.DUMMYFUNCTION("""COMPUTED_VALUE"""),"Student interfacing")</f>
        <v/>
      </c>
      <c r="R1017" s="1" t="n"/>
      <c r="S1017" s="1" t="n"/>
      <c r="T1017" s="1" t="n"/>
      <c r="U1017" s="1" t="n"/>
      <c r="V1017" s="1" t="n"/>
      <c r="W1017" s="1" t="n"/>
      <c r="X1017" s="1" t="n"/>
      <c r="Y1017" s="15">
        <f>IFERROR(__xludf.DUMMYFUNCTION("""COMPUTED_VALUE"""),"https://drive.google.com/uc?export=view&amp;id=1BSjr9gQWpuqlh-FFcGxBOI0LeZEQit5k")</f>
        <v/>
      </c>
      <c r="Z1017" s="1">
        <f>IFERROR(__xludf.DUMMYFUNCTION("""COMPUTED_VALUE"""),"Unverified")</f>
        <v/>
      </c>
      <c r="AA1017" s="1" t="n"/>
      <c r="AB1017" s="1" t="n"/>
      <c r="AC1017" s="1" t="n"/>
      <c r="AD1017" s="1" t="n"/>
      <c r="AE1017" s="1" t="n"/>
    </row>
    <row r="1018" ht="42" customHeight="1">
      <c r="A1018" s="14">
        <f>IFERROR(__xludf.DUMMYFUNCTION("""COMPUTED_VALUE"""),45181)</f>
        <v/>
      </c>
      <c r="B1018" s="1">
        <f>IFERROR(__xludf.DUMMYFUNCTION("""COMPUTED_VALUE"""),"ORG_2220")</f>
        <v/>
      </c>
      <c r="C1018" s="1">
        <f>IFERROR(__xludf.DUMMYFUNCTION("""COMPUTED_VALUE"""),TRUE)</f>
        <v/>
      </c>
      <c r="D1018" s="1">
        <f>IFERROR(__xludf.DUMMYFUNCTION("""COMPUTED_VALUE"""),"Scorecard")</f>
        <v/>
      </c>
      <c r="E1018" s="15">
        <f>IFERROR(__xludf.DUMMYFUNCTION("""COMPUTED_VALUE"""),"www.scorecard.school")</f>
        <v/>
      </c>
      <c r="F1018" s="1">
        <f>IFERROR(__xludf.DUMMYFUNCTION("""COMPUTED_VALUE"""),"Scorecard's mission is to make all study skills visible.")</f>
        <v/>
      </c>
      <c r="G1018" s="1" t="n"/>
      <c r="H1018" s="1" t="n"/>
      <c r="I1018" s="1">
        <f>IFERROR(__xludf.DUMMYFUNCTION("""COMPUTED_VALUE"""),"richard@scorecard.school")</f>
        <v/>
      </c>
      <c r="J1018" s="1">
        <f>IFERROR(__xludf.DUMMYFUNCTION("""COMPUTED_VALUE"""),"+31627274303")</f>
        <v/>
      </c>
      <c r="K1018" s="1">
        <f>IFERROR(__xludf.DUMMYFUNCTION("""COMPUTED_VALUE"""),"Amerongen")</f>
        <v/>
      </c>
      <c r="L1018" s="1">
        <f>IFERROR(__xludf.DUMMYFUNCTION("""COMPUTED_VALUE"""),"The Netherlands")</f>
        <v/>
      </c>
      <c r="M1018" s="1">
        <f>IFERROR(__xludf.DUMMYFUNCTION("""COMPUTED_VALUE"""),"Belgium, France, Germany, Italy, Netherlands, Portugal, Serbia, Spain, Turkey, United Kingdom")</f>
        <v/>
      </c>
      <c r="N1018" s="1">
        <f>IFERROR(__xludf.DUMMYFUNCTION("""COMPUTED_VALUE"""),"0 to 10")</f>
        <v/>
      </c>
      <c r="O1018" s="1">
        <f>IFERROR(__xludf.DUMMYFUNCTION("""COMPUTED_VALUE"""),"Business to Business, Business to Government, Business to Schools")</f>
        <v/>
      </c>
      <c r="P1018" s="1">
        <f>IFERROR(__xludf.DUMMYFUNCTION("""COMPUTED_VALUE"""),"Secondary Education, Higher Education, Corporate Training, Lifelong learning/Adult education")</f>
        <v/>
      </c>
      <c r="Q1018" s="1">
        <f>IFERROR(__xludf.DUMMYFUNCTION("""COMPUTED_VALUE"""),"Teacher interfacing, System/Administrative, Student interfacing")</f>
        <v/>
      </c>
      <c r="R1018" s="1">
        <f>IFERROR(__xludf.DUMMYFUNCTION("""COMPUTED_VALUE"""),"Wireheads")</f>
        <v/>
      </c>
      <c r="S1018" s="1">
        <f>IFERROR(__xludf.DUMMYFUNCTION("""COMPUTED_VALUE"""),"Wireheads")</f>
        <v/>
      </c>
      <c r="T1018" s="15">
        <f>IFERROR(__xludf.DUMMYFUNCTION("""COMPUTED_VALUE"""),"https://www.linkedin.com/company/scorecardsuite/")</f>
        <v/>
      </c>
      <c r="U1018" s="1">
        <f>IFERROR(__xludf.DUMMYFUNCTION("""COMPUTED_VALUE"""),"StudyCard")</f>
        <v/>
      </c>
      <c r="V1018" s="1">
        <f>IFERROR(__xludf.DUMMYFUNCTION("""COMPUTED_VALUE"""),"StudyCard makes all study skills visible that students have obtained throughout their school and study curriculum e.g. hard and soft skills, competencies on various taxonomy levels.")</f>
        <v/>
      </c>
      <c r="W1018" s="1">
        <f>IFERROR(__xludf.DUMMYFUNCTION("""COMPUTED_VALUE"""),"Curriculum Maker")</f>
        <v/>
      </c>
      <c r="X1018" s="1">
        <f>IFERROR(__xludf.DUMMYFUNCTION("""COMPUTED_VALUE"""),"Defining a curriculum can be tedious and takes a lot of time and effort. Curriculum maker helps you with your constructive alignment that matches your study learning outcomes. How many leaning goals do we have? Do the learning goals meet the module delive"&amp;"rables? On which level are the students assessed? Which competencies and skills do we measure? And how often? Curriculum Maker helps you to map out your curriculum in an easy structured way and provides a clear overview of your curriculum.")</f>
        <v/>
      </c>
      <c r="Y1018" s="15">
        <f>IFERROR(__xludf.DUMMYFUNCTION("""COMPUTED_VALUE"""),"https://drive.google.com/uc?export=view&amp;id=1oPtTBVD5cK6ckhfn0thL0h55f76ohqPs")</f>
        <v/>
      </c>
      <c r="Z1018" s="1">
        <f>IFERROR(__xludf.DUMMYFUNCTION("""COMPUTED_VALUE"""),"Unverified")</f>
        <v/>
      </c>
      <c r="AA1018" s="1" t="n"/>
      <c r="AB1018" s="1" t="n"/>
      <c r="AC1018" s="1" t="n"/>
      <c r="AD1018" s="1" t="n"/>
      <c r="AE1018" s="1" t="n"/>
    </row>
    <row r="1019" ht="42" customHeight="1">
      <c r="A1019" s="14">
        <f>IFERROR(__xludf.DUMMYFUNCTION("""COMPUTED_VALUE"""),45181)</f>
        <v/>
      </c>
      <c r="B1019" s="1">
        <f>IFERROR(__xludf.DUMMYFUNCTION("""COMPUTED_VALUE"""),"ORG_2224")</f>
        <v/>
      </c>
      <c r="C1019" s="1">
        <f>IFERROR(__xludf.DUMMYFUNCTION("""COMPUTED_VALUE"""),TRUE)</f>
        <v/>
      </c>
      <c r="D1019" s="1">
        <f>IFERROR(__xludf.DUMMYFUNCTION("""COMPUTED_VALUE"""),"See the Good!")</f>
        <v/>
      </c>
      <c r="E1019" s="15">
        <f>IFERROR(__xludf.DUMMYFUNCTION("""COMPUTED_VALUE"""),"http://seethegood.app")</f>
        <v/>
      </c>
      <c r="F1019" s="1">
        <f>IFERROR(__xludf.DUMMYFUNCTION("""COMPUTED_VALUE"""),"""The bad will look after itself, the good needs looking after."" 
Bringing out talents and skills is beneficial for everyone but especially for those with challenges in learning. Positive’s central mission is to help educators recognise children’s and ad"&amp;"olescents’ strengths and construct teaching and learning based on these strengths.
See the Good! is a SAAS service from Positive Learning. Positive is a Helsinki-based startup from Finland.")</f>
        <v/>
      </c>
      <c r="G1019" s="1">
        <f>IFERROR(__xludf.DUMMYFUNCTION("""COMPUTED_VALUE"""),"I'm not part of any EdTech association")</f>
        <v/>
      </c>
      <c r="H1019" s="1" t="n"/>
      <c r="I1019" s="1">
        <f>IFERROR(__xludf.DUMMYFUNCTION("""COMPUTED_VALUE"""),"hello@positive.fi")</f>
        <v/>
      </c>
      <c r="J1019" s="1" t="n"/>
      <c r="K1019" s="1">
        <f>IFERROR(__xludf.DUMMYFUNCTION("""COMPUTED_VALUE"""),"HELSINKI")</f>
        <v/>
      </c>
      <c r="L1019" s="1">
        <f>IFERROR(__xludf.DUMMYFUNCTION("""COMPUTED_VALUE"""),"Finland")</f>
        <v/>
      </c>
      <c r="M1019" s="1">
        <f>IFERROR(__xludf.DUMMYFUNCTION("""COMPUTED_VALUE"""),"Finland, Italy, Poland, Spain, Sweden")</f>
        <v/>
      </c>
      <c r="N1019" s="1">
        <f>IFERROR(__xludf.DUMMYFUNCTION("""COMPUTED_VALUE"""),"11 to 50")</f>
        <v/>
      </c>
      <c r="O1019" s="1">
        <f>IFERROR(__xludf.DUMMYFUNCTION("""COMPUTED_VALUE"""),"Business to Business, Business to Schools")</f>
        <v/>
      </c>
      <c r="P1019" s="1">
        <f>IFERROR(__xludf.DUMMYFUNCTION("""COMPUTED_VALUE"""),"Early childhood development (0-5 years), Primary Education, Secondary Education")</f>
        <v/>
      </c>
      <c r="Q1019" s="1">
        <f>IFERROR(__xludf.DUMMYFUNCTION("""COMPUTED_VALUE"""),"Student interfacing, Teacher interfacing")</f>
        <v/>
      </c>
      <c r="R1019" s="1" t="n"/>
      <c r="S1019" s="1" t="n"/>
      <c r="T1019" s="1" t="n"/>
      <c r="U1019" s="1" t="n"/>
      <c r="V1019" s="1" t="n"/>
      <c r="W1019" s="1" t="n"/>
      <c r="X1019" s="1" t="n"/>
      <c r="Y1019" s="15">
        <f>IFERROR(__xludf.DUMMYFUNCTION("""COMPUTED_VALUE"""),"https://drive.google.com/uc?export=view&amp;id=1S5GdT-S514enTnfi5qkIHFGuOauIMLBQ")</f>
        <v/>
      </c>
      <c r="Z1019" s="1">
        <f>IFERROR(__xludf.DUMMYFUNCTION("""COMPUTED_VALUE"""),"Unverified")</f>
        <v/>
      </c>
      <c r="AA1019" s="1" t="n"/>
      <c r="AB1019" s="1" t="n"/>
      <c r="AC1019" s="1" t="n"/>
      <c r="AD1019" s="1" t="n"/>
      <c r="AE1019" s="1" t="n"/>
    </row>
    <row r="1020" ht="42" customHeight="1">
      <c r="A1020" s="14">
        <f>IFERROR(__xludf.DUMMYFUNCTION("""COMPUTED_VALUE"""),45181)</f>
        <v/>
      </c>
      <c r="B1020" s="1">
        <f>IFERROR(__xludf.DUMMYFUNCTION("""COMPUTED_VALUE"""),"ORG_2257")</f>
        <v/>
      </c>
      <c r="C1020" s="1">
        <f>IFERROR(__xludf.DUMMYFUNCTION("""COMPUTED_VALUE"""),TRUE)</f>
        <v/>
      </c>
      <c r="D1020" s="1">
        <f>IFERROR(__xludf.DUMMYFUNCTION("""COMPUTED_VALUE"""),"skillogs")</f>
        <v/>
      </c>
      <c r="E1020" s="15">
        <f>IFERROR(__xludf.DUMMYFUNCTION("""COMPUTED_VALUE"""),"https://www.skillogs.com/")</f>
        <v/>
      </c>
      <c r="F1020" s="1">
        <f>IFERROR(__xludf.DUMMYFUNCTION("""COMPUTED_VALUE"""),"Skillogs: EdTech at the service of skills. It draws on the C3 Group's 20 years of expertise in the fields of commerce, the digital economy and business management. 
 A team of experts in educational technologies offers turnkey solutions with support for "&amp;"the hybridization and digitalization of training courses. Skillogs brings together a team of experts in educational technologies to offer turnkey solutions with support for the hybridization and digitalization of training courses. Skillogs, LCMS/ LXP solu"&amp;"tion is a partner of training centers and skills certifiers since 2017.")</f>
        <v/>
      </c>
      <c r="G1020" s="1">
        <f>IFERROR(__xludf.DUMMYFUNCTION("""COMPUTED_VALUE"""),"EdTech France")</f>
        <v/>
      </c>
      <c r="H1020" s="1" t="n"/>
      <c r="I1020" s="1">
        <f>IFERROR(__xludf.DUMMYFUNCTION("""COMPUTED_VALUE"""),"eric.parquet@c3groupe.com")</f>
        <v/>
      </c>
      <c r="J1020" s="1">
        <f>IFERROR(__xludf.DUMMYFUNCTION("""COMPUTED_VALUE"""),"142371234")</f>
        <v/>
      </c>
      <c r="K1020" s="1">
        <f>IFERROR(__xludf.DUMMYFUNCTION("""COMPUTED_VALUE"""),"ANTONY")</f>
        <v/>
      </c>
      <c r="L1020" s="1">
        <f>IFERROR(__xludf.DUMMYFUNCTION("""COMPUTED_VALUE"""),"France")</f>
        <v/>
      </c>
      <c r="M1020" s="1">
        <f>IFERROR(__xludf.DUMMYFUNCTION("""COMPUTED_VALUE"""),"France")</f>
        <v/>
      </c>
      <c r="N1020" s="1">
        <f>IFERROR(__xludf.DUMMYFUNCTION("""COMPUTED_VALUE"""),"0 to 10")</f>
        <v/>
      </c>
      <c r="O1020" s="1">
        <f>IFERROR(__xludf.DUMMYFUNCTION("""COMPUTED_VALUE"""),"Business to Consumer, Business to Government, Business to Schools")</f>
        <v/>
      </c>
      <c r="P1020" s="1">
        <f>IFERROR(__xludf.DUMMYFUNCTION("""COMPUTED_VALUE"""),"Higher Education, Corporate Training, Lifelong learning/Adult education")</f>
        <v/>
      </c>
      <c r="Q1020" s="1">
        <f>IFERROR(__xludf.DUMMYFUNCTION("""COMPUTED_VALUE"""),"Teacher interfacing, Student interfacing, System/Administrative")</f>
        <v/>
      </c>
      <c r="R1020" s="1">
        <f>IFERROR(__xludf.DUMMYFUNCTION("""COMPUTED_VALUE"""),"Skale Business School")</f>
        <v/>
      </c>
      <c r="S1020" s="15">
        <f>IFERROR(__xludf.DUMMYFUNCTION("""COMPUTED_VALUE"""),"https://twitter.com/skillogsacarya")</f>
        <v/>
      </c>
      <c r="T1020" s="15">
        <f>IFERROR(__xludf.DUMMYFUNCTION("""COMPUTED_VALUE"""),"https://www.linkedin.com/company/skillogs/")</f>
        <v/>
      </c>
      <c r="U1020" s="1">
        <f>IFERROR(__xludf.DUMMYFUNCTION("""COMPUTED_VALUE"""),"Skillogs")</f>
        <v/>
      </c>
      <c r="V1020" s="1">
        <f>IFERROR(__xludf.DUMMYFUNCTION("""COMPUTED_VALUE"""),"Turnkey solutions with support for the hybridization and digitalization of training courses.")</f>
        <v/>
      </c>
      <c r="W1020" s="1" t="n"/>
      <c r="X1020" s="1" t="n"/>
      <c r="Y1020" s="15">
        <f>IFERROR(__xludf.DUMMYFUNCTION("""COMPUTED_VALUE"""),"https://drive.google.com/uc?export=view&amp;id=17Mw6NyNHr9KMHDR4rOeu-laEzt1VxvDK")</f>
        <v/>
      </c>
      <c r="Z1020" s="1">
        <f>IFERROR(__xludf.DUMMYFUNCTION("""COMPUTED_VALUE"""),"Unverified")</f>
        <v/>
      </c>
      <c r="AA1020" s="1" t="n"/>
      <c r="AB1020" s="1" t="n"/>
      <c r="AC1020" s="1" t="n"/>
      <c r="AD1020" s="1" t="n"/>
      <c r="AE1020" s="1" t="n"/>
    </row>
    <row r="1021" ht="42" customHeight="1">
      <c r="A1021" s="14">
        <f>IFERROR(__xludf.DUMMYFUNCTION("""COMPUTED_VALUE"""),45181)</f>
        <v/>
      </c>
      <c r="B1021" s="1">
        <f>IFERROR(__xludf.DUMMYFUNCTION("""COMPUTED_VALUE"""),"ORG_2281")</f>
        <v/>
      </c>
      <c r="C1021" s="1">
        <f>IFERROR(__xludf.DUMMYFUNCTION("""COMPUTED_VALUE"""),TRUE)</f>
        <v/>
      </c>
      <c r="D1021" s="1">
        <f>IFERROR(__xludf.DUMMYFUNCTION("""COMPUTED_VALUE"""),"Smartmicrooptics srl")</f>
        <v/>
      </c>
      <c r="E1021" s="15">
        <f>IFERROR(__xludf.DUMMYFUNCTION("""COMPUTED_VALUE"""),"www.smartmicrooptics.com")</f>
        <v/>
      </c>
      <c r="F1021" s="1">
        <f>IFERROR(__xludf.DUMMYFUNCTION("""COMPUTED_VALUE"""),"SmartMicroOptics develops and manufactures mini-lenses and optical systems to transform any smartphone and tablet into portable macro cameras or digital microscopes. Our mission is to give anyone the tools to explore the micro-world.")</f>
        <v/>
      </c>
      <c r="G1021" s="1">
        <f>IFERROR(__xludf.DUMMYFUNCTION("""COMPUTED_VALUE"""),"I'm not part of any EdTech association")</f>
        <v/>
      </c>
      <c r="H1021" s="1" t="n"/>
      <c r="I1021" s="1">
        <f>IFERROR(__xludf.DUMMYFUNCTION("""COMPUTED_VALUE"""),"info@smartmicrooptics.com")</f>
        <v/>
      </c>
      <c r="J1021" s="1">
        <f>IFERROR(__xludf.DUMMYFUNCTION("""COMPUTED_VALUE"""),"+390106563317")</f>
        <v/>
      </c>
      <c r="K1021" s="1">
        <f>IFERROR(__xludf.DUMMYFUNCTION("""COMPUTED_VALUE"""),"GENOVA")</f>
        <v/>
      </c>
      <c r="L1021" s="1">
        <f>IFERROR(__xludf.DUMMYFUNCTION("""COMPUTED_VALUE"""),"Italy")</f>
        <v/>
      </c>
      <c r="M1021" s="1">
        <f>IFERROR(__xludf.DUMMYFUNCTION("""COMPUTED_VALUE"""),"Denmark, France, Germany, Italy, Luxembourg, Netherlands, Spain, Sweden, Switzerland, United Kingdom")</f>
        <v/>
      </c>
      <c r="N1021" s="1">
        <f>IFERROR(__xludf.DUMMYFUNCTION("""COMPUTED_VALUE"""),"0 to 10")</f>
        <v/>
      </c>
      <c r="O1021" s="1">
        <f>IFERROR(__xludf.DUMMYFUNCTION("""COMPUTED_VALUE"""),"Business to Consumer, Business to Government, Business to Schools")</f>
        <v/>
      </c>
      <c r="P1021" s="1">
        <f>IFERROR(__xludf.DUMMYFUNCTION("""COMPUTED_VALUE"""),"Secondary Education, Higher Education")</f>
        <v/>
      </c>
      <c r="Q1021" s="1">
        <f>IFERROR(__xludf.DUMMYFUNCTION("""COMPUTED_VALUE"""),"System/Administrative, Teacher interfacing")</f>
        <v/>
      </c>
      <c r="R1021" s="1" t="n"/>
      <c r="S1021" s="1" t="n"/>
      <c r="T1021" s="1" t="n"/>
      <c r="U1021" s="1" t="n"/>
      <c r="V1021" s="1" t="n"/>
      <c r="W1021" s="1" t="n"/>
      <c r="X1021" s="1" t="n"/>
      <c r="Y1021" s="15">
        <f>IFERROR(__xludf.DUMMYFUNCTION("""COMPUTED_VALUE"""),"https://drive.google.com/uc?export=view&amp;id=1VJk6Cntf237suTTIvMcMfwmdEnCEBniD")</f>
        <v/>
      </c>
      <c r="Z1021" s="1">
        <f>IFERROR(__xludf.DUMMYFUNCTION("""COMPUTED_VALUE"""),"Unverified")</f>
        <v/>
      </c>
      <c r="AA1021" s="1" t="n"/>
      <c r="AB1021" s="1" t="n"/>
      <c r="AC1021" s="1" t="n"/>
      <c r="AD1021" s="1" t="n"/>
      <c r="AE1021" s="1" t="n"/>
    </row>
    <row r="1022" ht="42" customHeight="1">
      <c r="A1022" s="14">
        <f>IFERROR(__xludf.DUMMYFUNCTION("""COMPUTED_VALUE"""),45181)</f>
        <v/>
      </c>
      <c r="B1022" s="1">
        <f>IFERROR(__xludf.DUMMYFUNCTION("""COMPUTED_VALUE"""),"ORG_2363")</f>
        <v/>
      </c>
      <c r="C1022" s="1">
        <f>IFERROR(__xludf.DUMMYFUNCTION("""COMPUTED_VALUE"""),TRUE)</f>
        <v/>
      </c>
      <c r="D1022" s="1">
        <f>IFERROR(__xludf.DUMMYFUNCTION("""COMPUTED_VALUE"""),"Tackl")</f>
        <v/>
      </c>
      <c r="E1022" s="15">
        <f>IFERROR(__xludf.DUMMYFUNCTION("""COMPUTED_VALUE"""),"https://www.habiit.io/en")</f>
        <v/>
      </c>
      <c r="F1022" s="1">
        <f>IFERROR(__xludf.DUMMYFUNCTION("""COMPUTED_VALUE"""),"Tackl is a Norwegian edtech/health tech company working to help kids cope with school and everyday routines. In 2022, we're launching our app Habiit in the European market. The app uses positive reinforcement techniques to nudge healthy school day routine"&amp;"s.")</f>
        <v/>
      </c>
      <c r="G1022" s="1">
        <f>IFERROR(__xludf.DUMMYFUNCTION("""COMPUTED_VALUE"""),"I'm not part of any EdTech association")</f>
        <v/>
      </c>
      <c r="H1022" s="1" t="n"/>
      <c r="I1022" s="1">
        <f>IFERROR(__xludf.DUMMYFUNCTION("""COMPUTED_VALUE"""),"sindre@tackl.no")</f>
        <v/>
      </c>
      <c r="J1022" s="1">
        <f>IFERROR(__xludf.DUMMYFUNCTION("""COMPUTED_VALUE"""),"4793208269")</f>
        <v/>
      </c>
      <c r="K1022" s="1">
        <f>IFERROR(__xludf.DUMMYFUNCTION("""COMPUTED_VALUE"""),"OSLO")</f>
        <v/>
      </c>
      <c r="L1022" s="1">
        <f>IFERROR(__xludf.DUMMYFUNCTION("""COMPUTED_VALUE"""),"Norway")</f>
        <v/>
      </c>
      <c r="M1022" s="1">
        <f>IFERROR(__xludf.DUMMYFUNCTION("""COMPUTED_VALUE"""),"Denmark, Norway, Sweden, Turkey, Ukraine, United Kingdom")</f>
        <v/>
      </c>
      <c r="N1022" s="1">
        <f>IFERROR(__xludf.DUMMYFUNCTION("""COMPUTED_VALUE"""),"0 to 10")</f>
        <v/>
      </c>
      <c r="O1022" s="1">
        <f>IFERROR(__xludf.DUMMYFUNCTION("""COMPUTED_VALUE"""),"Business to Consumer, Business to Schools")</f>
        <v/>
      </c>
      <c r="P1022" s="1">
        <f>IFERROR(__xludf.DUMMYFUNCTION("""COMPUTED_VALUE"""),"Primary Education")</f>
        <v/>
      </c>
      <c r="Q1022" s="1">
        <f>IFERROR(__xludf.DUMMYFUNCTION("""COMPUTED_VALUE"""),"System/Administrative, Student interfacing")</f>
        <v/>
      </c>
      <c r="R1022" s="1" t="n"/>
      <c r="S1022" s="1" t="n"/>
      <c r="T1022" s="1" t="n"/>
      <c r="U1022" s="1" t="n"/>
      <c r="V1022" s="1" t="n"/>
      <c r="W1022" s="1" t="n"/>
      <c r="X1022" s="1" t="n"/>
      <c r="Y1022" s="15">
        <f>IFERROR(__xludf.DUMMYFUNCTION("""COMPUTED_VALUE"""),"https://drive.google.com/uc?export=view&amp;id=1m-BDoKejv_KNvqXZcDAEv9Xxkl2Or2L8")</f>
        <v/>
      </c>
      <c r="Z1022" s="1">
        <f>IFERROR(__xludf.DUMMYFUNCTION("""COMPUTED_VALUE"""),"Unverified")</f>
        <v/>
      </c>
      <c r="AA1022" s="1" t="n"/>
      <c r="AB1022" s="1" t="n"/>
      <c r="AC1022" s="1" t="n"/>
      <c r="AD1022" s="1" t="n"/>
      <c r="AE1022" s="1" t="n"/>
    </row>
    <row r="1023" ht="42" customHeight="1">
      <c r="A1023" s="14">
        <f>IFERROR(__xludf.DUMMYFUNCTION("""COMPUTED_VALUE"""),45181)</f>
        <v/>
      </c>
      <c r="B1023" s="1">
        <f>IFERROR(__xludf.DUMMYFUNCTION("""COMPUTED_VALUE"""),"ORG_2439")</f>
        <v/>
      </c>
      <c r="C1023" s="1">
        <f>IFERROR(__xludf.DUMMYFUNCTION("""COMPUTED_VALUE"""),TRUE)</f>
        <v/>
      </c>
      <c r="D1023" s="1">
        <f>IFERROR(__xludf.DUMMYFUNCTION("""COMPUTED_VALUE"""),"Tutored")</f>
        <v/>
      </c>
      <c r="E1023" s="15">
        <f>IFERROR(__xludf.DUMMYFUNCTION("""COMPUTED_VALUE"""),"tutored.me")</f>
        <v/>
      </c>
      <c r="F1023" s="1">
        <f>IFERROR(__xludf.DUMMYFUNCTION("""COMPUTED_VALUE"""),"Tutored is a two-sided platform where students and recent graduates meet companies and achieve their professional ambitions. 
In Italy, many students access to tutored for two main reasons:
Applying for job offers aligned with their study path that the tu"&amp;"tored algorithm suggests; 
Taking part in “Online Experiences” organized by companies.
With online experiences developed by Tutored, students can meet companies’ young employees to understand how they work, which technology they use, and get to know tips "&amp;"to start their career in that specific industry or role.")</f>
        <v/>
      </c>
      <c r="G1023" s="1">
        <f>IFERROR(__xludf.DUMMYFUNCTION("""COMPUTED_VALUE"""),"I'm not part of any EdTech association")</f>
        <v/>
      </c>
      <c r="H1023" s="1" t="n"/>
      <c r="I1023" s="1">
        <f>IFERROR(__xludf.DUMMYFUNCTION("""COMPUTED_VALUE"""),"gabriele@tutored.it")</f>
        <v/>
      </c>
      <c r="J1023" s="1" t="n"/>
      <c r="K1023" s="1">
        <f>IFERROR(__xludf.DUMMYFUNCTION("""COMPUTED_VALUE"""),"MILAN")</f>
        <v/>
      </c>
      <c r="L1023" s="1">
        <f>IFERROR(__xludf.DUMMYFUNCTION("""COMPUTED_VALUE"""),"Italy")</f>
        <v/>
      </c>
      <c r="M1023" s="1">
        <f>IFERROR(__xludf.DUMMYFUNCTION("""COMPUTED_VALUE"""),"Italy, United Kingdom")</f>
        <v/>
      </c>
      <c r="N1023" s="1">
        <f>IFERROR(__xludf.DUMMYFUNCTION("""COMPUTED_VALUE"""),"11 to 50")</f>
        <v/>
      </c>
      <c r="O1023" s="1">
        <f>IFERROR(__xludf.DUMMYFUNCTION("""COMPUTED_VALUE"""),"Business to Government, Business to Schools")</f>
        <v/>
      </c>
      <c r="P1023" s="1">
        <f>IFERROR(__xludf.DUMMYFUNCTION("""COMPUTED_VALUE"""),"Higher Education, Corporate Training")</f>
        <v/>
      </c>
      <c r="Q1023" s="1">
        <f>IFERROR(__xludf.DUMMYFUNCTION("""COMPUTED_VALUE"""),"Student interfacing, System/Administrative")</f>
        <v/>
      </c>
      <c r="R1023" s="1" t="n"/>
      <c r="S1023" s="1" t="n"/>
      <c r="T1023" s="1" t="n"/>
      <c r="U1023" s="1" t="n"/>
      <c r="V1023" s="1" t="n"/>
      <c r="W1023" s="1" t="n"/>
      <c r="X1023" s="1" t="n"/>
      <c r="Y1023" s="15">
        <f>IFERROR(__xludf.DUMMYFUNCTION("""COMPUTED_VALUE"""),"https://drive.google.com/uc?export=view&amp;id=1O9ew02Zks5fDtiDlgxXrLoUloQKl0MUG")</f>
        <v/>
      </c>
      <c r="Z1023" s="1">
        <f>IFERROR(__xludf.DUMMYFUNCTION("""COMPUTED_VALUE"""),"Unverified")</f>
        <v/>
      </c>
      <c r="AA1023" s="1" t="n"/>
      <c r="AB1023" s="1" t="n"/>
      <c r="AC1023" s="1" t="n"/>
      <c r="AD1023" s="1" t="n"/>
      <c r="AE1023" s="1" t="n"/>
    </row>
    <row r="1024" ht="42" customHeight="1">
      <c r="A1024" s="14">
        <f>IFERROR(__xludf.DUMMYFUNCTION("""COMPUTED_VALUE"""),45181)</f>
        <v/>
      </c>
      <c r="B1024" s="1">
        <f>IFERROR(__xludf.DUMMYFUNCTION("""COMPUTED_VALUE"""),"ORG_2448")</f>
        <v/>
      </c>
      <c r="C1024" s="1">
        <f>IFERROR(__xludf.DUMMYFUNCTION("""COMPUTED_VALUE"""),TRUE)</f>
        <v/>
      </c>
      <c r="D1024" s="1">
        <f>IFERROR(__xludf.DUMMYFUNCTION("""COMPUTED_VALUE"""),"Typing Master")</f>
        <v/>
      </c>
      <c r="E1024" s="15">
        <f>IFERROR(__xludf.DUMMYFUNCTION("""COMPUTED_VALUE"""),"https://www.typetastic.com")</f>
        <v/>
      </c>
      <c r="F1024" s="1">
        <f>IFERROR(__xludf.DUMMYFUNCTION("""COMPUTED_VALUE"""),"We're from Finland, the land of world-class education and booming gaming industry, like Angry Birds and Clash Royale. We’re connecting these two spheres with TypeTastic, a game-based keyboarding product.")</f>
        <v/>
      </c>
      <c r="G1024" s="1">
        <f>IFERROR(__xludf.DUMMYFUNCTION("""COMPUTED_VALUE"""),"EdTech Finland")</f>
        <v/>
      </c>
      <c r="H1024" s="1" t="n"/>
      <c r="I1024" s="1">
        <f>IFERROR(__xludf.DUMMYFUNCTION("""COMPUTED_VALUE"""),"anssi.valiaho@typingmaster.com")</f>
        <v/>
      </c>
      <c r="J1024" s="1">
        <f>IFERROR(__xludf.DUMMYFUNCTION("""COMPUTED_VALUE"""),"+358407370623")</f>
        <v/>
      </c>
      <c r="K1024" s="1">
        <f>IFERROR(__xludf.DUMMYFUNCTION("""COMPUTED_VALUE"""),"Helsinki")</f>
        <v/>
      </c>
      <c r="L1024" s="1">
        <f>IFERROR(__xludf.DUMMYFUNCTION("""COMPUTED_VALUE"""),"Finland")</f>
        <v/>
      </c>
      <c r="M1024" s="1">
        <f>IFERROR(__xludf.DUMMYFUNCTION("""COMPUTED_VALUE"""),"Finland, Sweden")</f>
        <v/>
      </c>
      <c r="N1024" s="1">
        <f>IFERROR(__xludf.DUMMYFUNCTION("""COMPUTED_VALUE"""),"6 to 10")</f>
        <v/>
      </c>
      <c r="O1024" s="1">
        <f>IFERROR(__xludf.DUMMYFUNCTION("""COMPUTED_VALUE"""),"Business to Schools")</f>
        <v/>
      </c>
      <c r="P1024" s="1">
        <f>IFERROR(__xludf.DUMMYFUNCTION("""COMPUTED_VALUE"""),"Primary Education, Secondary Education")</f>
        <v/>
      </c>
      <c r="Q1024" s="1">
        <f>IFERROR(__xludf.DUMMYFUNCTION("""COMPUTED_VALUE"""),"Teacher interfacing")</f>
        <v/>
      </c>
      <c r="R1024" s="1" t="n"/>
      <c r="S1024" s="1" t="n"/>
      <c r="T1024" s="1" t="n"/>
      <c r="U1024" s="1">
        <f>IFERROR(__xludf.DUMMYFUNCTION("""COMPUTED_VALUE"""),"TypeTastic")</f>
        <v/>
      </c>
      <c r="V1024" s="1">
        <f>IFERROR(__xludf.DUMMYFUNCTION("""COMPUTED_VALUE"""),"TypeTastic School Edition includes a fun and inspiring K-12 keyboarding curriculum along with a suite of teacher tools. Watch your students embark on a thrilling island adventure to collect words and letters in exciting landscapes while becoming fluent ty"&amp;"pists!")</f>
        <v/>
      </c>
      <c r="W1024" s="1" t="n"/>
      <c r="X1024" s="1" t="n"/>
      <c r="Y1024" s="15">
        <f>IFERROR(__xludf.DUMMYFUNCTION("""COMPUTED_VALUE"""),"https://drive.google.com/uc?export=view&amp;id=1zC0BjsbALi1EHz83I3pWTa-rSWlVCUsu")</f>
        <v/>
      </c>
      <c r="Z1024" s="1">
        <f>IFERROR(__xludf.DUMMYFUNCTION("""COMPUTED_VALUE"""),"Unverified")</f>
        <v/>
      </c>
      <c r="AA1024" s="1" t="n"/>
      <c r="AB1024" s="1" t="n"/>
      <c r="AC1024" s="1" t="n"/>
      <c r="AD1024" s="1" t="n"/>
      <c r="AE1024" s="1" t="n"/>
    </row>
    <row r="1025" ht="42" customHeight="1">
      <c r="A1025" s="14">
        <f>IFERROR(__xludf.DUMMYFUNCTION("""COMPUTED_VALUE"""),45181)</f>
        <v/>
      </c>
      <c r="B1025" s="1">
        <f>IFERROR(__xludf.DUMMYFUNCTION("""COMPUTED_VALUE"""),"ORG_2498")</f>
        <v/>
      </c>
      <c r="C1025" s="1">
        <f>IFERROR(__xludf.DUMMYFUNCTION("""COMPUTED_VALUE"""),TRUE)</f>
        <v/>
      </c>
      <c r="D1025" s="1">
        <f>IFERROR(__xludf.DUMMYFUNCTION("""COMPUTED_VALUE"""),"Virtuleap")</f>
        <v/>
      </c>
      <c r="E1025" s="15">
        <f>IFERROR(__xludf.DUMMYFUNCTION("""COMPUTED_VALUE"""),"https://virtuleap.com/")</f>
        <v/>
      </c>
      <c r="F1025" s="1">
        <f>IFERROR(__xludf.DUMMYFUNCTION("""COMPUTED_VALUE"""),"Virtuleap combines neuroscience and virtual reality to help increase attention levels and address learning challenges.")</f>
        <v/>
      </c>
      <c r="G1025" s="1">
        <f>IFERROR(__xludf.DUMMYFUNCTION("""COMPUTED_VALUE"""),"I'm not part of any EdTech association")</f>
        <v/>
      </c>
      <c r="H1025" s="1" t="n"/>
      <c r="I1025" s="1">
        <f>IFERROR(__xludf.DUMMYFUNCTION("""COMPUTED_VALUE"""),"amir@virtuleap.com")</f>
        <v/>
      </c>
      <c r="J1025" s="1">
        <f>IFERROR(__xludf.DUMMYFUNCTION("""COMPUTED_VALUE"""),"+351932107888")</f>
        <v/>
      </c>
      <c r="K1025" s="1">
        <f>IFERROR(__xludf.DUMMYFUNCTION("""COMPUTED_VALUE"""),"Lisbon")</f>
        <v/>
      </c>
      <c r="L1025" s="1">
        <f>IFERROR(__xludf.DUMMYFUNCTION("""COMPUTED_VALUE"""),"Portugal")</f>
        <v/>
      </c>
      <c r="M1025" s="1">
        <f>IFERROR(__xludf.DUMMYFUNCTION("""COMPUTED_VALUE"""),"Austria, Belgium, France, Germany, Hungary, Italy, Netherlands, Portugal, Spain, Switzerland, United Kingdom")</f>
        <v/>
      </c>
      <c r="N1025" s="1">
        <f>IFERROR(__xludf.DUMMYFUNCTION("""COMPUTED_VALUE"""),"11 to 50")</f>
        <v/>
      </c>
      <c r="O1025" s="1">
        <f>IFERROR(__xludf.DUMMYFUNCTION("""COMPUTED_VALUE"""),"Business to Schools")</f>
        <v/>
      </c>
      <c r="P1025" s="1">
        <f>IFERROR(__xludf.DUMMYFUNCTION("""COMPUTED_VALUE"""),"Early childhood development (0-5 years), Primary Education, Secondary Education, Higher Education, Corporate Training, Lifelong learning/Adult education")</f>
        <v/>
      </c>
      <c r="Q1025" s="1">
        <f>IFERROR(__xludf.DUMMYFUNCTION("""COMPUTED_VALUE"""),"System/Administrative, Student interfacing, Teacher interfacing")</f>
        <v/>
      </c>
      <c r="R1025" s="1" t="n"/>
      <c r="S1025" s="1" t="n"/>
      <c r="T1025" s="1" t="n"/>
      <c r="U1025" s="1" t="n"/>
      <c r="V1025" s="1" t="n"/>
      <c r="W1025" s="1" t="n"/>
      <c r="X1025" s="1" t="n"/>
      <c r="Y1025" s="15">
        <f>IFERROR(__xludf.DUMMYFUNCTION("""COMPUTED_VALUE"""),"https://drive.google.com/uc?export=view&amp;id=1u3BNYbdWBY54PTDKrxy5Aud74YV7S8kM")</f>
        <v/>
      </c>
      <c r="Z1025" s="1">
        <f>IFERROR(__xludf.DUMMYFUNCTION("""COMPUTED_VALUE"""),"Unverified")</f>
        <v/>
      </c>
      <c r="AA1025" s="1" t="n"/>
      <c r="AB1025" s="1" t="n"/>
      <c r="AC1025" s="1" t="n"/>
      <c r="AD1025" s="1" t="n"/>
      <c r="AE1025" s="1" t="n"/>
    </row>
    <row r="1026" ht="42" customHeight="1">
      <c r="A1026" s="14">
        <f>IFERROR(__xludf.DUMMYFUNCTION("""COMPUTED_VALUE"""),45181)</f>
        <v/>
      </c>
      <c r="B1026" s="1">
        <f>IFERROR(__xludf.DUMMYFUNCTION("""COMPUTED_VALUE"""),"ORG_1010")</f>
        <v/>
      </c>
      <c r="C1026" s="1">
        <f>IFERROR(__xludf.DUMMYFUNCTION("""COMPUTED_VALUE"""),TRUE)</f>
        <v/>
      </c>
      <c r="D1026" s="1">
        <f>IFERROR(__xludf.DUMMYFUNCTION("""COMPUTED_VALUE"""),"3DBear")</f>
        <v/>
      </c>
      <c r="E1026" s="15">
        <f>IFERROR(__xludf.DUMMYFUNCTION("""COMPUTED_VALUE"""),"www.3dbear.io")</f>
        <v/>
      </c>
      <c r="F1026" s="1">
        <f>IFERROR(__xludf.DUMMYFUNCTION("""COMPUTED_VALUE"""),"3DBear provides a service for taking immersive learning environments into use for education. We are an integrator, combining own and best 3rd partner software, hardware, teacher training, co-development, i.e. everything you need to use augmented and virtu"&amp;"al reality technologies in a pedagogically meaningful way. Our approach is to use do-it-yourself AR/VR authoring tools and teach your staff how to design own metaverse environments with them. This way we help you to become creators of your own AR/VR learn"&amp;"ing content.")</f>
        <v/>
      </c>
      <c r="G1026" s="1">
        <f>IFERROR(__xludf.DUMMYFUNCTION("""COMPUTED_VALUE"""),"EdTech Finland")</f>
        <v/>
      </c>
      <c r="H1026" s="1" t="n"/>
      <c r="I1026" s="1">
        <f>IFERROR(__xludf.DUMMYFUNCTION("""COMPUTED_VALUE"""),"sara@3dbear.fi")</f>
        <v/>
      </c>
      <c r="J1026" s="1">
        <f>IFERROR(__xludf.DUMMYFUNCTION("""COMPUTED_VALUE"""),"+358505615411")</f>
        <v/>
      </c>
      <c r="K1026" s="1">
        <f>IFERROR(__xludf.DUMMYFUNCTION("""COMPUTED_VALUE"""),"Vantaa")</f>
        <v/>
      </c>
      <c r="L1026" s="1">
        <f>IFERROR(__xludf.DUMMYFUNCTION("""COMPUTED_VALUE"""),"Finland")</f>
        <v/>
      </c>
      <c r="M1026" s="1">
        <f>IFERROR(__xludf.DUMMYFUNCTION("""COMPUTED_VALUE"""),"Belgium, Estonia, Finland, France, Germany, Iceland, Italy, Latvia, Lithuania, Netherlands, Norway, Poland, Portugal, Slovakia, Slovenia, Spain, Sweden, Ukraine, United Kingdom")</f>
        <v/>
      </c>
      <c r="N1026" s="1">
        <f>IFERROR(__xludf.DUMMYFUNCTION("""COMPUTED_VALUE"""),"0 to 10")</f>
        <v/>
      </c>
      <c r="O1026" s="1">
        <f>IFERROR(__xludf.DUMMYFUNCTION("""COMPUTED_VALUE"""),"Business to Business")</f>
        <v/>
      </c>
      <c r="P1026" s="1">
        <f>IFERROR(__xludf.DUMMYFUNCTION("""COMPUTED_VALUE"""),"Higher Education, Corporate Training")</f>
        <v/>
      </c>
      <c r="Q1026" s="1">
        <f>IFERROR(__xludf.DUMMYFUNCTION("""COMPUTED_VALUE"""),"Student interfacing, Teacher interfacing, System/Administrative")</f>
        <v/>
      </c>
      <c r="R1026" s="1">
        <f>IFERROR(__xludf.DUMMYFUNCTION("""COMPUTED_VALUE"""),"@3DBearOfficial")</f>
        <v/>
      </c>
      <c r="S1026" s="1">
        <f>IFERROR(__xludf.DUMMYFUNCTION("""COMPUTED_VALUE"""),"@3DBearOfficial")</f>
        <v/>
      </c>
      <c r="T1026" s="1" t="n"/>
      <c r="U1026" s="1">
        <f>IFERROR(__xludf.DUMMYFUNCTION("""COMPUTED_VALUE"""),"3DBear Service")</f>
        <v/>
      </c>
      <c r="V1026" s="1">
        <f>IFERROR(__xludf.DUMMYFUNCTION("""COMPUTED_VALUE"""),"Full integrator service of bringing tailored do-it-yourself AR/VR learning environments into use for education.")</f>
        <v/>
      </c>
      <c r="W1026" s="1">
        <f>IFERROR(__xludf.DUMMYFUNCTION("""COMPUTED_VALUE"""),"3DBear application")</f>
        <v/>
      </c>
      <c r="X1026" s="1">
        <f>IFERROR(__xludf.DUMMYFUNCTION("""COMPUTED_VALUE"""),"Easiest application for creating your own augmented reality!")</f>
        <v/>
      </c>
      <c r="Y1026" s="15">
        <f>IFERROR(__xludf.DUMMYFUNCTION("""COMPUTED_VALUE"""),"https://drive.google.com/uc?export=view&amp;id=1olng-zvSfFosciqSsSv8-6ASCbpDSzry")</f>
        <v/>
      </c>
      <c r="Z1026" s="1">
        <f>IFERROR(__xludf.DUMMYFUNCTION("""COMPUTED_VALUE"""),"Unverified")</f>
        <v/>
      </c>
      <c r="AA1026" s="1" t="n"/>
      <c r="AB1026" s="1" t="n"/>
      <c r="AC1026" s="1" t="n"/>
      <c r="AD1026" s="1" t="n"/>
      <c r="AE1026" s="1" t="n"/>
    </row>
    <row r="1027" ht="42" customHeight="1">
      <c r="A1027" s="14">
        <f>IFERROR(__xludf.DUMMYFUNCTION("""COMPUTED_VALUE"""),45181)</f>
        <v/>
      </c>
      <c r="B1027" s="1">
        <f>IFERROR(__xludf.DUMMYFUNCTION("""COMPUTED_VALUE"""),"ORG_1018")</f>
        <v/>
      </c>
      <c r="C1027" s="1">
        <f>IFERROR(__xludf.DUMMYFUNCTION("""COMPUTED_VALUE"""),TRUE)</f>
        <v/>
      </c>
      <c r="D1027" s="1">
        <f>IFERROR(__xludf.DUMMYFUNCTION("""COMPUTED_VALUE"""),"A-dapt International Ltd")</f>
        <v/>
      </c>
      <c r="E1027" s="15">
        <f>IFERROR(__xludf.DUMMYFUNCTION("""COMPUTED_VALUE"""),"https://a-dapttraining.com/")</f>
        <v/>
      </c>
      <c r="F1027" s="1">
        <f>IFERROR(__xludf.DUMMYFUNCTION("""COMPUTED_VALUE"""),"A-dapt has launched a new EdTech format called Adaptive-media®, that adapts video-based tutorials to learners in real-time based upon human factors such as emotion, attention, positivity and learning engagement, by using AI facial analysis of the user. No"&amp;"t to be confused with facial recognition, A-dapt’s browser-based ‘Edge AI’ algorithm works within the user’s device to perceive the viewer without sending personal data to a server. A-dapt’s model is B2B2C working with partners in education and training t"&amp;"o create adaptive video tutorials that play back in our custom media player. This new format works on existing laptops, PCs, smartphones and is highly scalable and cost-effective. A-dapt has won 3 Innovate UK grants for EdTech projects and has been nomina"&amp;"ted for Innovator of the Year Award at BETT 2022. A-dapt have just won the Global Webby Award for Science &amp; Education, Virtual &amp; Remote.")</f>
        <v/>
      </c>
      <c r="G1027" s="1">
        <f>IFERROR(__xludf.DUMMYFUNCTION("""COMPUTED_VALUE"""),"I'm not part of any EdTech association")</f>
        <v/>
      </c>
      <c r="H1027" s="1" t="n"/>
      <c r="I1027" s="1">
        <f>IFERROR(__xludf.DUMMYFUNCTION("""COMPUTED_VALUE"""),"matthew@a-dapt.com")</f>
        <v/>
      </c>
      <c r="J1027" s="1">
        <f>IFERROR(__xludf.DUMMYFUNCTION("""COMPUTED_VALUE"""),"7711604767")</f>
        <v/>
      </c>
      <c r="K1027" s="1">
        <f>IFERROR(__xludf.DUMMYFUNCTION("""COMPUTED_VALUE"""),"London")</f>
        <v/>
      </c>
      <c r="L1027" s="1">
        <f>IFERROR(__xludf.DUMMYFUNCTION("""COMPUTED_VALUE"""),"United Kingdom")</f>
        <v/>
      </c>
      <c r="M1027" s="1">
        <f>IFERROR(__xludf.DUMMYFUNCTION("""COMPUTED_VALUE"""),"France, United Kingdom")</f>
        <v/>
      </c>
      <c r="N1027" s="1">
        <f>IFERROR(__xludf.DUMMYFUNCTION("""COMPUTED_VALUE"""),"0 to 10")</f>
        <v/>
      </c>
      <c r="O1027" s="1">
        <f>IFERROR(__xludf.DUMMYFUNCTION("""COMPUTED_VALUE"""),"Business to Business")</f>
        <v/>
      </c>
      <c r="P1027" s="1">
        <f>IFERROR(__xludf.DUMMYFUNCTION("""COMPUTED_VALUE"""),"Primary Education, Secondary Education, Higher Education, Corporate Training, Lifelong learning/Adult education")</f>
        <v/>
      </c>
      <c r="Q1027" s="1">
        <f>IFERROR(__xludf.DUMMYFUNCTION("""COMPUTED_VALUE"""),"System/Administrative")</f>
        <v/>
      </c>
      <c r="R1027" s="1" t="n"/>
      <c r="S1027" s="1" t="n"/>
      <c r="T1027" s="1" t="n"/>
      <c r="U1027" s="1" t="n"/>
      <c r="V1027" s="1" t="n"/>
      <c r="W1027" s="1" t="n"/>
      <c r="X1027" s="1" t="n"/>
      <c r="Y1027" s="15">
        <f>IFERROR(__xludf.DUMMYFUNCTION("""COMPUTED_VALUE"""),"https://drive.google.com/uc?export=view&amp;id=1x81WWixXtmbuWL1UlAS4QZgy_8D9lP1R")</f>
        <v/>
      </c>
      <c r="Z1027" s="1">
        <f>IFERROR(__xludf.DUMMYFUNCTION("""COMPUTED_VALUE"""),"Unverified")</f>
        <v/>
      </c>
      <c r="AA1027" s="1" t="n"/>
      <c r="AB1027" s="1" t="n"/>
      <c r="AC1027" s="1" t="n"/>
      <c r="AD1027" s="1" t="n"/>
      <c r="AE1027" s="1" t="n"/>
    </row>
    <row r="1028" ht="42" customHeight="1">
      <c r="A1028" s="14">
        <f>IFERROR(__xludf.DUMMYFUNCTION("""COMPUTED_VALUE"""),45181)</f>
        <v/>
      </c>
      <c r="B1028" s="1">
        <f>IFERROR(__xludf.DUMMYFUNCTION("""COMPUTED_VALUE"""),"ORG_1036")</f>
        <v/>
      </c>
      <c r="C1028" s="1">
        <f>IFERROR(__xludf.DUMMYFUNCTION("""COMPUTED_VALUE"""),TRUE)</f>
        <v/>
      </c>
      <c r="D1028" s="1">
        <f>IFERROR(__xludf.DUMMYFUNCTION("""COMPUTED_VALUE"""),"Additio App")</f>
        <v/>
      </c>
      <c r="E1028" s="15">
        <f>IFERROR(__xludf.DUMMYFUNCTION("""COMPUTED_VALUE"""),"https://www.additioapp.com/en")</f>
        <v/>
      </c>
      <c r="F1028" s="1">
        <f>IFERROR(__xludf.DUMMYFUNCTION("""COMPUTED_VALUE"""),"Additio is education software for school management, student growth and family engagement. For all types of educational projects.
Our solution is based on 5 pilars: formative assessment, 360º communication, didactic units and skills development, efficien"&amp;"t school management and connected with wordlclass partners.
Our platform is flexible and adapts to all types of educational projects: schools and districts, language schools and kindergarten, universities...
Additio is available on all devices: web vers"&amp;"ion, specific application for Apple and Android Chromebooks, tablets and smartphones.
Trusted by schools and governments around the world.
+3 million of students, +150 features, +30 years in the education sector.")</f>
        <v/>
      </c>
      <c r="G1028" s="1">
        <f>IFERROR(__xludf.DUMMYFUNCTION("""COMPUTED_VALUE"""),"EduTech Cluster Spain")</f>
        <v/>
      </c>
      <c r="H1028" s="1">
        <f>IFERROR(__xludf.DUMMYFUNCTION("""COMPUTED_VALUE"""),"English, Spanish, French, Catalan")</f>
        <v/>
      </c>
      <c r="I1028" s="1">
        <f>IFERROR(__xludf.DUMMYFUNCTION("""COMPUTED_VALUE"""),"info@additioapp.com")</f>
        <v/>
      </c>
      <c r="J1028" s="1">
        <f>IFERROR(__xludf.DUMMYFUNCTION("""COMPUTED_VALUE"""),"+34 972 18 32 14")</f>
        <v/>
      </c>
      <c r="K1028" s="1">
        <f>IFERROR(__xludf.DUMMYFUNCTION("""COMPUTED_VALUE"""),"GIRONA")</f>
        <v/>
      </c>
      <c r="L1028" s="1">
        <f>IFERROR(__xludf.DUMMYFUNCTION("""COMPUTED_VALUE"""),"Spain")</f>
        <v/>
      </c>
      <c r="M1028" s="1">
        <f>IFERROR(__xludf.DUMMYFUNCTION("""COMPUTED_VALUE"""),"Andorra, Austria, Belgium, Denmark, Finland, France, Germany, Greece, Iceland, Ireland, Italy, Luxembourg, Monaco, Netherlands, Norway, Portugal, Spain, Sweden, Switzerland, United Kingdom")</f>
        <v/>
      </c>
      <c r="N1028" s="1">
        <f>IFERROR(__xludf.DUMMYFUNCTION("""COMPUTED_VALUE"""),"11 to 50")</f>
        <v/>
      </c>
      <c r="O1028" s="1">
        <f>IFERROR(__xludf.DUMMYFUNCTION("""COMPUTED_VALUE"""),"Business to Business")</f>
        <v/>
      </c>
      <c r="P1028" s="1">
        <f>IFERROR(__xludf.DUMMYFUNCTION("""COMPUTED_VALUE"""),"Early childhood development (0-5 years)")</f>
        <v/>
      </c>
      <c r="Q1028" s="1">
        <f>IFERROR(__xludf.DUMMYFUNCTION("""COMPUTED_VALUE"""),"System/Administrative, Student interfacing, Teacher interfacing")</f>
        <v/>
      </c>
      <c r="R1028" s="15">
        <f>IFERROR(__xludf.DUMMYFUNCTION("""COMPUTED_VALUE"""),"https://www.instagram.com/additioapp/")</f>
        <v/>
      </c>
      <c r="S1028" s="15">
        <f>IFERROR(__xludf.DUMMYFUNCTION("""COMPUTED_VALUE"""),"https://twitter.com/additioapp_EN")</f>
        <v/>
      </c>
      <c r="T1028" s="15">
        <f>IFERROR(__xludf.DUMMYFUNCTION("""COMPUTED_VALUE"""),"https://es.linkedin.com/company/additio-for-schools")</f>
        <v/>
      </c>
      <c r="U1028" s="1">
        <f>IFERROR(__xludf.DUMMYFUNCTION("""COMPUTED_VALUE"""),"Additio for Schools")</f>
        <v/>
      </c>
      <c r="V1028" s="1">
        <f>IFERROR(__xludf.DUMMYFUNCTION("""COMPUTED_VALUE"""),"K-12 education technology platform fueling better classroom management, student growth, and family engagement.
The flexible school platform for all types of educational projects
Trusted by education institutions worldwide")</f>
        <v/>
      </c>
      <c r="W1028" s="1" t="n"/>
      <c r="X1028" s="1" t="n"/>
      <c r="Y1028" s="15">
        <f>IFERROR(__xludf.DUMMYFUNCTION("""COMPUTED_VALUE"""),"https://drive.google.com/uc?export=view&amp;id=1pq5o7hkgAkw-2dxHpxVaEYnhDIyzS2BT")</f>
        <v/>
      </c>
      <c r="Z1028" s="1">
        <f>IFERROR(__xludf.DUMMYFUNCTION("""COMPUTED_VALUE"""),"Unverified")</f>
        <v/>
      </c>
      <c r="AA1028" s="1" t="n"/>
      <c r="AB1028" s="1" t="n"/>
      <c r="AC1028" s="1" t="n"/>
      <c r="AD1028" s="1" t="n"/>
      <c r="AE1028" s="1" t="n"/>
    </row>
    <row r="1029" ht="42" customHeight="1">
      <c r="A1029" s="14">
        <f>IFERROR(__xludf.DUMMYFUNCTION("""COMPUTED_VALUE"""),45181)</f>
        <v/>
      </c>
      <c r="B1029" s="1">
        <f>IFERROR(__xludf.DUMMYFUNCTION("""COMPUTED_VALUE"""),"ORG_1039")</f>
        <v/>
      </c>
      <c r="C1029" s="1">
        <f>IFERROR(__xludf.DUMMYFUNCTION("""COMPUTED_VALUE"""),TRUE)</f>
        <v/>
      </c>
      <c r="D1029" s="1">
        <f>IFERROR(__xludf.DUMMYFUNCTION("""COMPUTED_VALUE"""),"Adservio")</f>
        <v/>
      </c>
      <c r="E1029" s="15">
        <f>IFERROR(__xludf.DUMMYFUNCTION("""COMPUTED_VALUE"""),"www.adservio.education")</f>
        <v/>
      </c>
      <c r="F1029" s="1">
        <f>IFERROR(__xludf.DUMMYFUNCTION("""COMPUTED_VALUE"""),"Adservio education management platform helps schools work easier, faster and smarter through technology. Students, teachers, parents and public authorities have dedicated accounts, so that all school stakeholders are connected. With digitising bureacratic"&amp;" processes, school &amp; class management, detailed analytics and secure communication, the solution allows schools to better prepare their students for the future. Plus, parents get real-time notifications on their child's school activity. Adservio has 14 ye"&amp;"ars of experience in building ”wow” learning experiences and a very good engagement rate from over 1.000 K-12 educational institutions.")</f>
        <v/>
      </c>
      <c r="G1029" s="1">
        <f>IFERROR(__xludf.DUMMYFUNCTION("""COMPUTED_VALUE"""),"I'm not part of any EdTech association")</f>
        <v/>
      </c>
      <c r="H1029" s="1" t="n"/>
      <c r="I1029" s="1">
        <f>IFERROR(__xludf.DUMMYFUNCTION("""COMPUTED_VALUE"""),"mihai.mocanu@adservio.education")</f>
        <v/>
      </c>
      <c r="J1029" s="1">
        <f>IFERROR(__xludf.DUMMYFUNCTION("""COMPUTED_VALUE"""),"+40 332 10 28 28")</f>
        <v/>
      </c>
      <c r="K1029" s="1">
        <f>IFERROR(__xludf.DUMMYFUNCTION("""COMPUTED_VALUE"""),"IAȘI")</f>
        <v/>
      </c>
      <c r="L1029" s="1">
        <f>IFERROR(__xludf.DUMMYFUNCTION("""COMPUTED_VALUE"""),"Romania")</f>
        <v/>
      </c>
      <c r="M1029" s="1">
        <f>IFERROR(__xludf.DUMMYFUNCTION("""COMPUTED_VALUE"""),"Belgium, Romania, Turkey")</f>
        <v/>
      </c>
      <c r="N1029" s="1">
        <f>IFERROR(__xludf.DUMMYFUNCTION("""COMPUTED_VALUE"""),"11 to 50")</f>
        <v/>
      </c>
      <c r="O1029" s="1">
        <f>IFERROR(__xludf.DUMMYFUNCTION("""COMPUTED_VALUE"""),"Business to Business")</f>
        <v/>
      </c>
      <c r="P1029" s="1">
        <f>IFERROR(__xludf.DUMMYFUNCTION("""COMPUTED_VALUE"""),"Primary Education, Secondary Education, Higher Education")</f>
        <v/>
      </c>
      <c r="Q1029" s="1">
        <f>IFERROR(__xludf.DUMMYFUNCTION("""COMPUTED_VALUE"""),"System/Administrative, Student interfacing, Teacher interfacing")</f>
        <v/>
      </c>
      <c r="R1029" s="1" t="n"/>
      <c r="S1029" s="1" t="n"/>
      <c r="T1029" s="1" t="n"/>
      <c r="U1029" s="1" t="n"/>
      <c r="V1029" s="1" t="n"/>
      <c r="W1029" s="1" t="n"/>
      <c r="X1029" s="1" t="n"/>
      <c r="Y1029" s="15">
        <f>IFERROR(__xludf.DUMMYFUNCTION("""COMPUTED_VALUE"""),"https://drive.google.com/uc?export=view&amp;id=1QfpxpWMeGJ86hbTSMo_vmvVPvNcDPg_E")</f>
        <v/>
      </c>
      <c r="Z1029" s="1">
        <f>IFERROR(__xludf.DUMMYFUNCTION("""COMPUTED_VALUE"""),"Unverified")</f>
        <v/>
      </c>
      <c r="AA1029" s="1" t="n"/>
      <c r="AB1029" s="1" t="n"/>
      <c r="AC1029" s="1" t="n"/>
      <c r="AD1029" s="1" t="n"/>
      <c r="AE1029" s="1" t="n"/>
    </row>
    <row r="1030" ht="42" customHeight="1">
      <c r="A1030" s="14">
        <f>IFERROR(__xludf.DUMMYFUNCTION("""COMPUTED_VALUE"""),45181)</f>
        <v/>
      </c>
      <c r="B1030" s="1">
        <f>IFERROR(__xludf.DUMMYFUNCTION("""COMPUTED_VALUE"""),"ORG_1041")</f>
        <v/>
      </c>
      <c r="C1030" s="1">
        <f>IFERROR(__xludf.DUMMYFUNCTION("""COMPUTED_VALUE"""),TRUE)</f>
        <v/>
      </c>
      <c r="D1030" s="1">
        <f>IFERROR(__xludf.DUMMYFUNCTION("""COMPUTED_VALUE"""),"Ahoiii Entertainment")</f>
        <v/>
      </c>
      <c r="E1030" s="15">
        <f>IFERROR(__xludf.DUMMYFUNCTION("""COMPUTED_VALUE"""),"ahoiii.com")</f>
        <v/>
      </c>
      <c r="F1030" s="1">
        <f>IFERROR(__xludf.DUMMYFUNCTION("""COMPUTED_VALUE"""),"Ahoiii Entertainment UG is a 6-person game development studio based in Cologne, Germany. Since 2013, Ahoiii has been developing apps for children with great success. 
Under the brand ""Fiete"", Ahoiii has published over 40 children's apps, which have been"&amp;" downloaded over 15 million times worldwide and have won numerous awards. This makes Ahoiii one of the most known children's app developers in Germany.")</f>
        <v/>
      </c>
      <c r="G1030" s="1">
        <f>IFERROR(__xludf.DUMMYFUNCTION("""COMPUTED_VALUE"""),"I'm not part of any EdTech association")</f>
        <v/>
      </c>
      <c r="H1030" s="1" t="n"/>
      <c r="I1030" s="1">
        <f>IFERROR(__xludf.DUMMYFUNCTION("""COMPUTED_VALUE"""),"mail@ahoiii.com")</f>
        <v/>
      </c>
      <c r="J1030" s="1">
        <f>IFERROR(__xludf.DUMMYFUNCTION("""COMPUTED_VALUE"""),"+49 221 169 10 781")</f>
        <v/>
      </c>
      <c r="K1030" s="1">
        <f>IFERROR(__xludf.DUMMYFUNCTION("""COMPUTED_VALUE"""),"COLOGNE")</f>
        <v/>
      </c>
      <c r="L1030" s="1">
        <f>IFERROR(__xludf.DUMMYFUNCTION("""COMPUTED_VALUE"""),"Germany")</f>
        <v/>
      </c>
      <c r="M1030"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030" s="1">
        <f>IFERROR(__xludf.DUMMYFUNCTION("""COMPUTED_VALUE"""),"0 to 10")</f>
        <v/>
      </c>
      <c r="O1030" s="1">
        <f>IFERROR(__xludf.DUMMYFUNCTION("""COMPUTED_VALUE"""),"Business to Business")</f>
        <v/>
      </c>
      <c r="P1030" s="1">
        <f>IFERROR(__xludf.DUMMYFUNCTION("""COMPUTED_VALUE"""),"Early childhood development (0-5 years), Primary Education")</f>
        <v/>
      </c>
      <c r="Q1030" s="1">
        <f>IFERROR(__xludf.DUMMYFUNCTION("""COMPUTED_VALUE"""),"System/Administrative, Student interfacing, Teacher interfacing")</f>
        <v/>
      </c>
      <c r="R1030" s="1" t="n"/>
      <c r="S1030" s="1" t="n"/>
      <c r="T1030" s="1" t="n"/>
      <c r="U1030" s="1" t="n"/>
      <c r="V1030" s="1" t="n"/>
      <c r="W1030" s="1" t="n"/>
      <c r="X1030" s="1" t="n"/>
      <c r="Y1030" s="15">
        <f>IFERROR(__xludf.DUMMYFUNCTION("""COMPUTED_VALUE"""),"https://drive.google.com/uc?export=view&amp;id=1ldZ47F8A_W7Y-IBF1-pWoP45_ZIyeHyL")</f>
        <v/>
      </c>
      <c r="Z1030" s="1">
        <f>IFERROR(__xludf.DUMMYFUNCTION("""COMPUTED_VALUE"""),"Unverified")</f>
        <v/>
      </c>
      <c r="AA1030" s="1" t="n"/>
      <c r="AB1030" s="1" t="n"/>
      <c r="AC1030" s="1" t="n"/>
      <c r="AD1030" s="1" t="n"/>
      <c r="AE1030" s="1" t="n"/>
    </row>
    <row r="1031" ht="42" customHeight="1">
      <c r="A1031" s="14">
        <f>IFERROR(__xludf.DUMMYFUNCTION("""COMPUTED_VALUE"""),45181)</f>
        <v/>
      </c>
      <c r="B1031" s="1">
        <f>IFERROR(__xludf.DUMMYFUNCTION("""COMPUTED_VALUE"""),"ORG_1054")</f>
        <v/>
      </c>
      <c r="C1031" s="1">
        <f>IFERROR(__xludf.DUMMYFUNCTION("""COMPUTED_VALUE"""),TRUE)</f>
        <v/>
      </c>
      <c r="D1031" s="1">
        <f>IFERROR(__xludf.DUMMYFUNCTION("""COMPUTED_VALUE"""),"ALPA Kids")</f>
        <v/>
      </c>
      <c r="E1031" s="15">
        <f>IFERROR(__xludf.DUMMYFUNCTION("""COMPUTED_VALUE"""),"https://www.alpakids.com/")</f>
        <v/>
      </c>
      <c r="F1031" s="1">
        <f>IFERROR(__xludf.DUMMYFUNCTION("""COMPUTED_VALUE"""),"ALPA Kids develops e-learning games for children aged 3-8 and focuses mainly on less spoken languages. The company is active in the Baltics, in India and in Ukraine.")</f>
        <v/>
      </c>
      <c r="G1031" s="1">
        <f>IFERROR(__xludf.DUMMYFUNCTION("""COMPUTED_VALUE"""),"EdTech Estonia")</f>
        <v/>
      </c>
      <c r="H1031" s="1" t="n"/>
      <c r="I1031" s="1" t="n"/>
      <c r="J1031" s="1" t="n"/>
      <c r="K1031" s="1">
        <f>IFERROR(__xludf.DUMMYFUNCTION("""COMPUTED_VALUE"""),"TALLINN")</f>
        <v/>
      </c>
      <c r="L1031" s="1">
        <f>IFERROR(__xludf.DUMMYFUNCTION("""COMPUTED_VALUE"""),"Estonia")</f>
        <v/>
      </c>
      <c r="M1031"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031" s="1">
        <f>IFERROR(__xludf.DUMMYFUNCTION("""COMPUTED_VALUE"""),"0 to 10")</f>
        <v/>
      </c>
      <c r="O1031" s="1">
        <f>IFERROR(__xludf.DUMMYFUNCTION("""COMPUTED_VALUE"""),"Business to Business")</f>
        <v/>
      </c>
      <c r="P1031" s="1">
        <f>IFERROR(__xludf.DUMMYFUNCTION("""COMPUTED_VALUE"""),"Early childhood development (0-5 years), Primary Education")</f>
        <v/>
      </c>
      <c r="Q1031" s="1">
        <f>IFERROR(__xludf.DUMMYFUNCTION("""COMPUTED_VALUE"""),"System/Administrative, Student interfacing, Teacher interfacing")</f>
        <v/>
      </c>
      <c r="R1031" s="15">
        <f>IFERROR(__xludf.DUMMYFUNCTION("""COMPUTED_VALUE"""),"https://www.instagram.com/alpa.kids/")</f>
        <v/>
      </c>
      <c r="S1031" s="1" t="n"/>
      <c r="T1031" s="15">
        <f>IFERROR(__xludf.DUMMYFUNCTION("""COMPUTED_VALUE"""),"https://www.linkedin.com/company/alpa-kids/")</f>
        <v/>
      </c>
      <c r="U1031" s="1">
        <f>IFERROR(__xludf.DUMMYFUNCTION("""COMPUTED_VALUE"""),"ALPA Kids")</f>
        <v/>
      </c>
      <c r="V1031" s="1">
        <f>IFERROR(__xludf.DUMMYFUNCTION("""COMPUTED_VALUE"""),"The ALPA e-learning games:
* Bring together the knowledge of Nordic and local teachers
* Based on local culture and nature
* Age-appropriate with 4 difficulty levels (ages 3-8)
* Combined with off-screen activities
* Directory of 60+ games")</f>
        <v/>
      </c>
      <c r="W1031" s="1" t="n"/>
      <c r="X1031" s="1" t="n"/>
      <c r="Y1031" s="15">
        <f>IFERROR(__xludf.DUMMYFUNCTION("""COMPUTED_VALUE"""),"https://drive.google.com/uc?export=view&amp;id=127OWTAFmzA2FE25qCc6bmEoWdHkAQulf")</f>
        <v/>
      </c>
      <c r="Z1031" s="1">
        <f>IFERROR(__xludf.DUMMYFUNCTION("""COMPUTED_VALUE"""),"Unverified")</f>
        <v/>
      </c>
      <c r="AA1031" s="1" t="n"/>
      <c r="AB1031" s="1" t="n"/>
      <c r="AC1031" s="1" t="n"/>
      <c r="AD1031" s="1" t="n"/>
      <c r="AE1031" s="1" t="n"/>
    </row>
    <row r="1032" ht="42" customHeight="1">
      <c r="A1032" s="14">
        <f>IFERROR(__xludf.DUMMYFUNCTION("""COMPUTED_VALUE"""),45181)</f>
        <v/>
      </c>
      <c r="B1032" s="1">
        <f>IFERROR(__xludf.DUMMYFUNCTION("""COMPUTED_VALUE"""),"ORG_1055")</f>
        <v/>
      </c>
      <c r="C1032" s="1">
        <f>IFERROR(__xludf.DUMMYFUNCTION("""COMPUTED_VALUE"""),TRUE)</f>
        <v/>
      </c>
      <c r="D1032" s="1">
        <f>IFERROR(__xludf.DUMMYFUNCTION("""COMPUTED_VALUE"""),"Alt Academy")</f>
        <v/>
      </c>
      <c r="E1032" s="15">
        <f>IFERROR(__xludf.DUMMYFUNCTION("""COMPUTED_VALUE"""),"altacademy.org")</f>
        <v/>
      </c>
      <c r="F1032" s="1">
        <f>IFERROR(__xludf.DUMMYFUNCTION("""COMPUTED_VALUE"""),"Alt brings you the best GCSE, IGCSE, O &amp; A Level content, completely on demand. Stream anytime, anywhere - on your phone or at your desk.")</f>
        <v/>
      </c>
      <c r="G1032" s="1">
        <f>IFERROR(__xludf.DUMMYFUNCTION("""COMPUTED_VALUE"""),"I'm not part of any EdTech association")</f>
        <v/>
      </c>
      <c r="H1032" s="1" t="n"/>
      <c r="I1032" s="1">
        <f>IFERROR(__xludf.DUMMYFUNCTION("""COMPUTED_VALUE"""),"help@altacademy.org")</f>
        <v/>
      </c>
      <c r="J1032" s="1" t="n"/>
      <c r="K1032" s="1">
        <f>IFERROR(__xludf.DUMMYFUNCTION("""COMPUTED_VALUE"""),"London")</f>
        <v/>
      </c>
      <c r="L1032" s="1">
        <f>IFERROR(__xludf.DUMMYFUNCTION("""COMPUTED_VALUE"""),"United Kingdom")</f>
        <v/>
      </c>
      <c r="M103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032" s="1">
        <f>IFERROR(__xludf.DUMMYFUNCTION("""COMPUTED_VALUE"""),"11 to 50")</f>
        <v/>
      </c>
      <c r="O1032" s="1">
        <f>IFERROR(__xludf.DUMMYFUNCTION("""COMPUTED_VALUE"""),"Business to Business")</f>
        <v/>
      </c>
      <c r="P1032" s="1">
        <f>IFERROR(__xludf.DUMMYFUNCTION("""COMPUTED_VALUE"""),"Secondary Education")</f>
        <v/>
      </c>
      <c r="Q1032" s="1">
        <f>IFERROR(__xludf.DUMMYFUNCTION("""COMPUTED_VALUE"""),"Student interfacing")</f>
        <v/>
      </c>
      <c r="R1032" s="1" t="n"/>
      <c r="S1032" s="1" t="n"/>
      <c r="T1032" s="1" t="n"/>
      <c r="U1032" s="1" t="n"/>
      <c r="V1032" s="1" t="n"/>
      <c r="W1032" s="1" t="n"/>
      <c r="X1032" s="1" t="n"/>
      <c r="Y1032" s="15">
        <f>IFERROR(__xludf.DUMMYFUNCTION("""COMPUTED_VALUE"""),"https://drive.google.com/uc?export=view&amp;id=1qD-uidGCpG57CETtTr47HPowqTbetHqz")</f>
        <v/>
      </c>
      <c r="Z1032" s="1">
        <f>IFERROR(__xludf.DUMMYFUNCTION("""COMPUTED_VALUE"""),"Unverified")</f>
        <v/>
      </c>
      <c r="AA1032" s="1" t="n"/>
      <c r="AB1032" s="1" t="n"/>
      <c r="AC1032" s="1" t="n"/>
      <c r="AD1032" s="1" t="n"/>
      <c r="AE1032" s="1" t="n"/>
    </row>
    <row r="1033" ht="42" customHeight="1">
      <c r="A1033" s="14">
        <f>IFERROR(__xludf.DUMMYFUNCTION("""COMPUTED_VALUE"""),45181)</f>
        <v/>
      </c>
      <c r="B1033" s="1">
        <f>IFERROR(__xludf.DUMMYFUNCTION("""COMPUTED_VALUE"""),"ORG_1104")</f>
        <v/>
      </c>
      <c r="C1033" s="1">
        <f>IFERROR(__xludf.DUMMYFUNCTION("""COMPUTED_VALUE"""),TRUE)</f>
        <v/>
      </c>
      <c r="D1033" s="1">
        <f>IFERROR(__xludf.DUMMYFUNCTION("""COMPUTED_VALUE"""),"Artsci")</f>
        <v/>
      </c>
      <c r="E1033" s="15">
        <f>IFERROR(__xludf.DUMMYFUNCTION("""COMPUTED_VALUE"""),"https://www.artsci.fr")</f>
        <v/>
      </c>
      <c r="F1033" s="1">
        <f>IFERROR(__xludf.DUMMYFUNCTION("""COMPUTED_VALUE"""),"Creative consulting for schools, companies, universities, and people interested in education. We propose a learning model based on the student's active role, in contextualized knowledge, in the promotion of curiosity and the constant integration between S"&amp;"cience, Technology, Engineering, Arts and Mathematics (STEAM).
It means hard and soft skills together!")</f>
        <v/>
      </c>
      <c r="G1033" s="1">
        <f>IFERROR(__xludf.DUMMYFUNCTION("""COMPUTED_VALUE"""),"I'm not part of any EdTech association")</f>
        <v/>
      </c>
      <c r="H1033" s="1" t="n"/>
      <c r="I1033" s="1">
        <f>IFERROR(__xludf.DUMMYFUNCTION("""COMPUTED_VALUE"""),"joao@artsci.fr")</f>
        <v/>
      </c>
      <c r="J1033" s="1">
        <f>IFERROR(__xludf.DUMMYFUNCTION("""COMPUTED_VALUE"""),"+33783320200")</f>
        <v/>
      </c>
      <c r="K1033" s="1">
        <f>IFERROR(__xludf.DUMMYFUNCTION("""COMPUTED_VALUE"""),"Marseille")</f>
        <v/>
      </c>
      <c r="L1033" s="1">
        <f>IFERROR(__xludf.DUMMYFUNCTION("""COMPUTED_VALUE"""),"France")</f>
        <v/>
      </c>
      <c r="M1033" s="1">
        <f>IFERROR(__xludf.DUMMYFUNCTION("""COMPUTED_VALUE"""),"France, Germany, Portugal, Spain, Switzerland")</f>
        <v/>
      </c>
      <c r="N1033" s="1">
        <f>IFERROR(__xludf.DUMMYFUNCTION("""COMPUTED_VALUE"""),"0 to 10")</f>
        <v/>
      </c>
      <c r="O1033" s="1">
        <f>IFERROR(__xludf.DUMMYFUNCTION("""COMPUTED_VALUE"""),"Business to Business")</f>
        <v/>
      </c>
      <c r="P1033" s="1">
        <f>IFERROR(__xludf.DUMMYFUNCTION("""COMPUTED_VALUE"""),"Secondary Education, Higher Education, Corporate Training")</f>
        <v/>
      </c>
      <c r="Q1033" s="1">
        <f>IFERROR(__xludf.DUMMYFUNCTION("""COMPUTED_VALUE"""),"Teacher interfacing, System/Administrative")</f>
        <v/>
      </c>
      <c r="R1033" s="1" t="n"/>
      <c r="S1033" s="1" t="n"/>
      <c r="T1033" s="1" t="n"/>
      <c r="U1033" s="1" t="n"/>
      <c r="V1033" s="1" t="n"/>
      <c r="W1033" s="1" t="n"/>
      <c r="X1033" s="1" t="n"/>
      <c r="Y1033" s="15">
        <f>IFERROR(__xludf.DUMMYFUNCTION("""COMPUTED_VALUE"""),"https://drive.google.com/uc?export=view&amp;id=1Lma8Z2jhTTmcGMxiMhcLmUE7UGXOBRlc")</f>
        <v/>
      </c>
      <c r="Z1033" s="1">
        <f>IFERROR(__xludf.DUMMYFUNCTION("""COMPUTED_VALUE"""),"Unverified")</f>
        <v/>
      </c>
      <c r="AA1033" s="1" t="n"/>
      <c r="AB1033" s="1" t="n"/>
      <c r="AC1033" s="1" t="n"/>
      <c r="AD1033" s="1" t="n"/>
      <c r="AE1033" s="1" t="n"/>
    </row>
    <row r="1034" ht="42" customHeight="1">
      <c r="A1034" s="14">
        <f>IFERROR(__xludf.DUMMYFUNCTION("""COMPUTED_VALUE"""),45181)</f>
        <v/>
      </c>
      <c r="B1034" s="1">
        <f>IFERROR(__xludf.DUMMYFUNCTION("""COMPUTED_VALUE"""),"ORG_1122")</f>
        <v/>
      </c>
      <c r="C1034" s="1">
        <f>IFERROR(__xludf.DUMMYFUNCTION("""COMPUTED_VALUE"""),TRUE)</f>
        <v/>
      </c>
      <c r="D1034" s="1">
        <f>IFERROR(__xludf.DUMMYFUNCTION("""COMPUTED_VALUE"""),"Augmented Class!")</f>
        <v/>
      </c>
      <c r="E1034" s="15">
        <f>IFERROR(__xludf.DUMMYFUNCTION("""COMPUTED_VALUE"""),"www.augmentedclass.com")</f>
        <v/>
      </c>
      <c r="F1034" s="1">
        <f>IFERROR(__xludf.DUMMYFUNCTION("""COMPUTED_VALUE"""),"AugmentedClass! The Extended Reality Platform to democratize XR in Education!
Augmented Class is an amazing way to create and share Extended Reality contents and interactions for Prototyping and Education in STEM/STEAM.
Augmented Class allows, on the on"&amp;" hand, to create educational XR projects, in an easy and quick way, which can later be used by teachers and students through mobile devices, both in classrooms and out of them. On the other hand, it provides with a sharing environment where those projects"&amp;" can be exchanged and purchased, feedbacking the system and encouraging its exponential growth.")</f>
        <v/>
      </c>
      <c r="G1034" s="1">
        <f>IFERROR(__xludf.DUMMYFUNCTION("""COMPUTED_VALUE"""),"I'm not part of any EdTech association")</f>
        <v/>
      </c>
      <c r="H1034" s="1" t="n"/>
      <c r="I1034" s="1">
        <f>IFERROR(__xludf.DUMMYFUNCTION("""COMPUTED_VALUE"""),"enroll@augmentedclass.com")</f>
        <v/>
      </c>
      <c r="J1034" s="1">
        <f>IFERROR(__xludf.DUMMYFUNCTION("""COMPUTED_VALUE"""),"+34629443386")</f>
        <v/>
      </c>
      <c r="K1034" s="1">
        <f>IFERROR(__xludf.DUMMYFUNCTION("""COMPUTED_VALUE"""),"Bilbao")</f>
        <v/>
      </c>
      <c r="L1034" s="1">
        <f>IFERROR(__xludf.DUMMYFUNCTION("""COMPUTED_VALUE"""),"Spain")</f>
        <v/>
      </c>
      <c r="M1034" s="1">
        <f>IFERROR(__xludf.DUMMYFUNCTION("""COMPUTED_VALUE"""),"France, Germany, Greece, Ireland, Italy, Portugal, Spain, United Kingdom")</f>
        <v/>
      </c>
      <c r="N1034" s="1">
        <f>IFERROR(__xludf.DUMMYFUNCTION("""COMPUTED_VALUE"""),"0 to 10")</f>
        <v/>
      </c>
      <c r="O1034" s="1">
        <f>IFERROR(__xludf.DUMMYFUNCTION("""COMPUTED_VALUE"""),"Business to Business")</f>
        <v/>
      </c>
      <c r="P1034" s="1">
        <f>IFERROR(__xludf.DUMMYFUNCTION("""COMPUTED_VALUE"""),"Primary Education, Secondary Education")</f>
        <v/>
      </c>
      <c r="Q1034" s="1">
        <f>IFERROR(__xludf.DUMMYFUNCTION("""COMPUTED_VALUE"""),"System/Administrative, Student interfacing, Teacher interfacing")</f>
        <v/>
      </c>
      <c r="R1034" s="1" t="n"/>
      <c r="S1034" s="1" t="n"/>
      <c r="T1034" s="1" t="n"/>
      <c r="U1034" s="1" t="n"/>
      <c r="V1034" s="1" t="n"/>
      <c r="W1034" s="1" t="n"/>
      <c r="X1034" s="1" t="n"/>
      <c r="Y1034" s="15">
        <f>IFERROR(__xludf.DUMMYFUNCTION("""COMPUTED_VALUE"""),"https://drive.google.com/uc?export=view&amp;id=1WoGxbZ9eDL4JGJ2j7z3R0LbNaJG0mP4I")</f>
        <v/>
      </c>
      <c r="Z1034" s="1">
        <f>IFERROR(__xludf.DUMMYFUNCTION("""COMPUTED_VALUE"""),"Unverified")</f>
        <v/>
      </c>
      <c r="AA1034" s="1" t="n"/>
      <c r="AB1034" s="1" t="n"/>
      <c r="AC1034" s="1" t="n"/>
      <c r="AD1034" s="1" t="n"/>
      <c r="AE1034" s="1" t="n"/>
    </row>
    <row r="1035" ht="42" customHeight="1">
      <c r="A1035" s="14">
        <f>IFERROR(__xludf.DUMMYFUNCTION("""COMPUTED_VALUE"""),45181)</f>
        <v/>
      </c>
      <c r="B1035" s="1">
        <f>IFERROR(__xludf.DUMMYFUNCTION("""COMPUTED_VALUE"""),"ORG_1204")</f>
        <v/>
      </c>
      <c r="C1035" s="1">
        <f>IFERROR(__xludf.DUMMYFUNCTION("""COMPUTED_VALUE"""),TRUE)</f>
        <v/>
      </c>
      <c r="D1035" s="1">
        <f>IFERROR(__xludf.DUMMYFUNCTION("""COMPUTED_VALUE"""),"buya")</f>
        <v/>
      </c>
      <c r="E1035" s="15">
        <f>IFERROR(__xludf.DUMMYFUNCTION("""COMPUTED_VALUE"""),"www.buya.de")</f>
        <v/>
      </c>
      <c r="F1035" s="1">
        <f>IFERROR(__xludf.DUMMYFUNCTION("""COMPUTED_VALUE"""),"buya is the marketplace for live-online-learning | bringing together passionate teachers &amp; curious kids / K-12
buya is the live-learning-marketplace for all non-school and school topics.
Children learn together with other children and a dedicated online"&amp;"-teacher.
Children can choose from a huge selection of topics (e.g. Arts, Coding, Life Skills, Music, Languages, Health, Science, Tutoring).")</f>
        <v/>
      </c>
      <c r="G1035" s="1">
        <f>IFERROR(__xludf.DUMMYFUNCTION("""COMPUTED_VALUE"""),"I'm not part of any EdTech association")</f>
        <v/>
      </c>
      <c r="H1035" s="1" t="n"/>
      <c r="I1035" s="1">
        <f>IFERROR(__xludf.DUMMYFUNCTION("""COMPUTED_VALUE"""),"info@buya.de")</f>
        <v/>
      </c>
      <c r="J1035" s="1" t="n"/>
      <c r="K1035" s="1">
        <f>IFERROR(__xludf.DUMMYFUNCTION("""COMPUTED_VALUE"""),"Hamburg")</f>
        <v/>
      </c>
      <c r="L1035" s="1">
        <f>IFERROR(__xludf.DUMMYFUNCTION("""COMPUTED_VALUE"""),"Germany")</f>
        <v/>
      </c>
      <c r="M1035" s="1">
        <f>IFERROR(__xludf.DUMMYFUNCTION("""COMPUTED_VALUE"""),"Austria, France, Germany, Italy, Netherlands, Norway, Switzerland, Turkey, United Kingdom")</f>
        <v/>
      </c>
      <c r="N1035" s="1">
        <f>IFERROR(__xludf.DUMMYFUNCTION("""COMPUTED_VALUE"""),"0 to 10")</f>
        <v/>
      </c>
      <c r="O1035" s="1">
        <f>IFERROR(__xludf.DUMMYFUNCTION("""COMPUTED_VALUE"""),"Business to Business")</f>
        <v/>
      </c>
      <c r="P1035" s="1">
        <f>IFERROR(__xludf.DUMMYFUNCTION("""COMPUTED_VALUE"""),"Early childhood development (0-5 years), Primary Education, Secondary Education, Lifelong learning/Adult education")</f>
        <v/>
      </c>
      <c r="Q1035" s="1">
        <f>IFERROR(__xludf.DUMMYFUNCTION("""COMPUTED_VALUE"""),"System/Administrative, Student interfacing, Teacher interfacing")</f>
        <v/>
      </c>
      <c r="R1035" s="1" t="n"/>
      <c r="S1035" s="1" t="n"/>
      <c r="T1035" s="1" t="n"/>
      <c r="U1035" s="1" t="n"/>
      <c r="V1035" s="1" t="n"/>
      <c r="W1035" s="1" t="n"/>
      <c r="X1035" s="1" t="n"/>
      <c r="Y1035" s="15">
        <f>IFERROR(__xludf.DUMMYFUNCTION("""COMPUTED_VALUE"""),"https://drive.google.com/uc?export=view&amp;id=1JTPky2jTGHdQfM19qC-B35BRYYG9LFYg")</f>
        <v/>
      </c>
      <c r="Z1035" s="1">
        <f>IFERROR(__xludf.DUMMYFUNCTION("""COMPUTED_VALUE"""),"Unverified")</f>
        <v/>
      </c>
      <c r="AA1035" s="1" t="n"/>
      <c r="AB1035" s="1" t="n"/>
      <c r="AC1035" s="1" t="n"/>
      <c r="AD1035" s="1" t="n"/>
      <c r="AE1035" s="1" t="n"/>
    </row>
    <row r="1036" ht="42" customHeight="1">
      <c r="A1036" s="14">
        <f>IFERROR(__xludf.DUMMYFUNCTION("""COMPUTED_VALUE"""),45181)</f>
        <v/>
      </c>
      <c r="B1036" s="1">
        <f>IFERROR(__xludf.DUMMYFUNCTION("""COMPUTED_VALUE"""),"ORG_1259")</f>
        <v/>
      </c>
      <c r="C1036" s="1">
        <f>IFERROR(__xludf.DUMMYFUNCTION("""COMPUTED_VALUE"""),TRUE)</f>
        <v/>
      </c>
      <c r="D1036" s="1">
        <f>IFERROR(__xludf.DUMMYFUNCTION("""COMPUTED_VALUE"""),"Clickedu")</f>
        <v/>
      </c>
      <c r="E1036" s="15">
        <f>IFERROR(__xludf.DUMMYFUNCTION("""COMPUTED_VALUE"""),"www.clickedu.net")</f>
        <v/>
      </c>
      <c r="F1036" s="1">
        <f>IFERROR(__xludf.DUMMYFUNCTION("""COMPUTED_VALUE"""),"Clickedu offers its customers school administration systems and digital learning environments. The software of Clickedu contains a school platform in the cloud that includes academic, administrative and economic management tools, a virtual learning enviro"&amp;"nment with connection to digital books and free content, management of teachers, tutors and heads of studies, the quality of the center and a communication environment with families.
Clickedu serves around 700 schools mainly in Spain, but also in Latin A"&amp;"merica and the UK.")</f>
        <v/>
      </c>
      <c r="G1036" s="1">
        <f>IFERROR(__xludf.DUMMYFUNCTION("""COMPUTED_VALUE"""),"EduTech Cluster Spain")</f>
        <v/>
      </c>
      <c r="H1036" s="1" t="n"/>
      <c r="I1036" s="1">
        <f>IFERROR(__xludf.DUMMYFUNCTION("""COMPUTED_VALUE"""),"info@clickedu.net")</f>
        <v/>
      </c>
      <c r="J1036" s="1">
        <f>IFERROR(__xludf.DUMMYFUNCTION("""COMPUTED_VALUE"""),"+34932788204")</f>
        <v/>
      </c>
      <c r="K1036" s="1">
        <f>IFERROR(__xludf.DUMMYFUNCTION("""COMPUTED_VALUE"""),"BARCELONA")</f>
        <v/>
      </c>
      <c r="L1036" s="1">
        <f>IFERROR(__xludf.DUMMYFUNCTION("""COMPUTED_VALUE"""),"Spain")</f>
        <v/>
      </c>
      <c r="M1036" s="1">
        <f>IFERROR(__xludf.DUMMYFUNCTION("""COMPUTED_VALUE"""),"Spain")</f>
        <v/>
      </c>
      <c r="N1036" s="1">
        <f>IFERROR(__xludf.DUMMYFUNCTION("""COMPUTED_VALUE"""),"51 to 100")</f>
        <v/>
      </c>
      <c r="O1036" s="1">
        <f>IFERROR(__xludf.DUMMYFUNCTION("""COMPUTED_VALUE"""),"Business to Business")</f>
        <v/>
      </c>
      <c r="P1036" s="1">
        <f>IFERROR(__xludf.DUMMYFUNCTION("""COMPUTED_VALUE"""),"Early childhood development (0-5 years), Primary Education, Secondary Education, Higher Education")</f>
        <v/>
      </c>
      <c r="Q1036" s="1">
        <f>IFERROR(__xludf.DUMMYFUNCTION("""COMPUTED_VALUE"""),"System/Administrative, Student interfacing, Teacher interfacing")</f>
        <v/>
      </c>
      <c r="R1036" s="15">
        <f>IFERROR(__xludf.DUMMYFUNCTION("""COMPUTED_VALUE"""),"https://www.instagram.com/clickedu.eu/")</f>
        <v/>
      </c>
      <c r="S1036" s="15">
        <f>IFERROR(__xludf.DUMMYFUNCTION("""COMPUTED_VALUE"""),"https://twitter.com/Clickedu")</f>
        <v/>
      </c>
      <c r="T1036" s="15">
        <f>IFERROR(__xludf.DUMMYFUNCTION("""COMPUTED_VALUE"""),"https://www.linkedin.com/company/clickart")</f>
        <v/>
      </c>
      <c r="U1036" s="1">
        <f>IFERROR(__xludf.DUMMYFUNCTION("""COMPUTED_VALUE"""),"Clickedu")</f>
        <v/>
      </c>
      <c r="V1036" s="1">
        <f>IFERROR(__xludf.DUMMYFUNCTION("""COMPUTED_VALUE"""),"School administration systems plus digital learning environments, all in one. 
Our software includes a school platform in the cloud that offers academic, administrative and economic management tools, a virtual learning environment with connection to digit"&amp;"al books and free content, management of teachers, tutors and heads of studies, the quality of the center and a communication environment with families.")</f>
        <v/>
      </c>
      <c r="W1036" s="1" t="n"/>
      <c r="X1036" s="1" t="n"/>
      <c r="Y1036" s="15">
        <f>IFERROR(__xludf.DUMMYFUNCTION("""COMPUTED_VALUE"""),"https://drive.google.com/uc?export=view&amp;id=1qceBVyrs2rT7cz31zEOEnGk-Yqq1n0g_")</f>
        <v/>
      </c>
      <c r="Z1036" s="1">
        <f>IFERROR(__xludf.DUMMYFUNCTION("""COMPUTED_VALUE"""),"Unverified")</f>
        <v/>
      </c>
      <c r="AA1036" s="1" t="n"/>
      <c r="AB1036" s="1" t="n"/>
      <c r="AC1036" s="1" t="n"/>
      <c r="AD1036" s="1" t="n"/>
      <c r="AE1036" s="1" t="n"/>
    </row>
    <row r="1037" ht="42" customHeight="1">
      <c r="A1037" s="14">
        <f>IFERROR(__xludf.DUMMYFUNCTION("""COMPUTED_VALUE"""),45181)</f>
        <v/>
      </c>
      <c r="B1037" s="1">
        <f>IFERROR(__xludf.DUMMYFUNCTION("""COMPUTED_VALUE"""),"ORG_1279")</f>
        <v/>
      </c>
      <c r="C1037" s="1">
        <f>IFERROR(__xludf.DUMMYFUNCTION("""COMPUTED_VALUE"""),TRUE)</f>
        <v/>
      </c>
      <c r="D1037" s="1">
        <f>IFERROR(__xludf.DUMMYFUNCTION("""COMPUTED_VALUE"""),"Cognitive Kids")</f>
        <v/>
      </c>
      <c r="E1037" s="15">
        <f>IFERROR(__xludf.DUMMYFUNCTION("""COMPUTED_VALUE"""),"https://cognitivekids.org/")</f>
        <v/>
      </c>
      <c r="F1037" s="1">
        <f>IFERROR(__xludf.DUMMYFUNCTION("""COMPUTED_VALUE"""),"Cognitive Kids aims to address the problem of less than 33% of children globally not getting any form of early childhood education (ECE) due to cost or accessibility constraints, through a combination of innovative technology use, AI, the latest knowledge"&amp;" on Cognitive and Behavioural Neuroscience along with tried and tested ECE methods, we have developed a high quality, hyper personalised mobile solution that works on all versions of iOS &amp; Android operating systems (old &amp; new), with zero post-download dat"&amp;"a costs that makes ECE both Accessible (due to the high mobile growth market penetration rates in low &amp; middle income countries) &amp; Affordable (business operating model that can provide wide profit margins at 1%-5% of the cost of existing ECE).")</f>
        <v/>
      </c>
      <c r="G1037" s="1">
        <f>IFERROR(__xludf.DUMMYFUNCTION("""COMPUTED_VALUE"""),"I'm not part of any EdTech association")</f>
        <v/>
      </c>
      <c r="H1037" s="1" t="n"/>
      <c r="I1037" s="1">
        <f>IFERROR(__xludf.DUMMYFUNCTION("""COMPUTED_VALUE"""),"MattZietsmanBrodie@cognitivekids.org")</f>
        <v/>
      </c>
      <c r="J1037" s="1">
        <f>IFERROR(__xludf.DUMMYFUNCTION("""COMPUTED_VALUE"""),"447501026531")</f>
        <v/>
      </c>
      <c r="K1037" s="1">
        <f>IFERROR(__xludf.DUMMYFUNCTION("""COMPUTED_VALUE"""),"LONDON")</f>
        <v/>
      </c>
      <c r="L1037" s="1">
        <f>IFERROR(__xludf.DUMMYFUNCTION("""COMPUTED_VALUE"""),"United Kingdom")</f>
        <v/>
      </c>
      <c r="M1037" s="1">
        <f>IFERROR(__xludf.DUMMYFUNCTION("""COMPUTED_VALUE"""),"United Kingdom")</f>
        <v/>
      </c>
      <c r="N1037" s="1">
        <f>IFERROR(__xludf.DUMMYFUNCTION("""COMPUTED_VALUE"""),"0 to 10")</f>
        <v/>
      </c>
      <c r="O1037" s="1">
        <f>IFERROR(__xludf.DUMMYFUNCTION("""COMPUTED_VALUE"""),"Business to Business")</f>
        <v/>
      </c>
      <c r="P1037" s="1">
        <f>IFERROR(__xludf.DUMMYFUNCTION("""COMPUTED_VALUE"""),"Early childhood development (0-5 years)")</f>
        <v/>
      </c>
      <c r="Q1037" s="1">
        <f>IFERROR(__xludf.DUMMYFUNCTION("""COMPUTED_VALUE"""),"System/Administrative, Student interfacing")</f>
        <v/>
      </c>
      <c r="R1037" s="1" t="n"/>
      <c r="S1037" s="1" t="n"/>
      <c r="T1037" s="1" t="n"/>
      <c r="U1037" s="1" t="n"/>
      <c r="V1037" s="1" t="n"/>
      <c r="W1037" s="1" t="n"/>
      <c r="X1037" s="1" t="n"/>
      <c r="Y1037" s="15">
        <f>IFERROR(__xludf.DUMMYFUNCTION("""COMPUTED_VALUE"""),"https://drive.google.com/uc?export=view&amp;id=1Ngn7mRDTCWb2lroudAxMChbZnSp6LMgm")</f>
        <v/>
      </c>
      <c r="Z1037" s="1">
        <f>IFERROR(__xludf.DUMMYFUNCTION("""COMPUTED_VALUE"""),"Unverified")</f>
        <v/>
      </c>
      <c r="AA1037" s="1" t="n"/>
      <c r="AB1037" s="1" t="n"/>
      <c r="AC1037" s="1" t="n"/>
      <c r="AD1037" s="1" t="n"/>
      <c r="AE1037" s="1" t="n"/>
    </row>
    <row r="1038" ht="42" customHeight="1">
      <c r="A1038" s="14">
        <f>IFERROR(__xludf.DUMMYFUNCTION("""COMPUTED_VALUE"""),45181)</f>
        <v/>
      </c>
      <c r="B1038" s="1">
        <f>IFERROR(__xludf.DUMMYFUNCTION("""COMPUTED_VALUE"""),"ORG_1282")</f>
        <v/>
      </c>
      <c r="C1038" s="1">
        <f>IFERROR(__xludf.DUMMYFUNCTION("""COMPUTED_VALUE"""),TRUE)</f>
        <v/>
      </c>
      <c r="D1038" s="1">
        <f>IFERROR(__xludf.DUMMYFUNCTION("""COMPUTED_VALUE"""),"Collegial")</f>
        <v/>
      </c>
      <c r="E1038" s="15">
        <f>IFERROR(__xludf.DUMMYFUNCTION("""COMPUTED_VALUE"""),"https://www.collegial.com/")</f>
        <v/>
      </c>
      <c r="F1038" s="1">
        <f>IFERROR(__xludf.DUMMYFUNCTION("""COMPUTED_VALUE"""),"Collegial brings together world-leading content, learning process, and data insights on our platform.")</f>
        <v/>
      </c>
      <c r="G1038" s="1">
        <f>IFERROR(__xludf.DUMMYFUNCTION("""COMPUTED_VALUE"""),"Swedish EdTech Industry")</f>
        <v/>
      </c>
      <c r="H1038" s="1" t="n"/>
      <c r="I1038" s="1">
        <f>IFERROR(__xludf.DUMMYFUNCTION("""COMPUTED_VALUE"""),"hello@collegial.com")</f>
        <v/>
      </c>
      <c r="J1038" s="1" t="n"/>
      <c r="K1038" s="1">
        <f>IFERROR(__xludf.DUMMYFUNCTION("""COMPUTED_VALUE"""),"Stockholm")</f>
        <v/>
      </c>
      <c r="L1038" s="1">
        <f>IFERROR(__xludf.DUMMYFUNCTION("""COMPUTED_VALUE"""),"Sweden")</f>
        <v/>
      </c>
      <c r="M1038" s="1">
        <f>IFERROR(__xludf.DUMMYFUNCTION("""COMPUTED_VALUE"""),"Sweden")</f>
        <v/>
      </c>
      <c r="N1038" s="1">
        <f>IFERROR(__xludf.DUMMYFUNCTION("""COMPUTED_VALUE"""),"11 to 50")</f>
        <v/>
      </c>
      <c r="O1038" s="1">
        <f>IFERROR(__xludf.DUMMYFUNCTION("""COMPUTED_VALUE"""),"Business to Business")</f>
        <v/>
      </c>
      <c r="P1038" s="1">
        <f>IFERROR(__xludf.DUMMYFUNCTION("""COMPUTED_VALUE"""),"Corporate Training, Lifelong learning/Adult education")</f>
        <v/>
      </c>
      <c r="Q1038" s="1">
        <f>IFERROR(__xludf.DUMMYFUNCTION("""COMPUTED_VALUE"""),"System/Administrative")</f>
        <v/>
      </c>
      <c r="R1038" s="1" t="n"/>
      <c r="S1038" s="1" t="n"/>
      <c r="T1038" s="15">
        <f>IFERROR(__xludf.DUMMYFUNCTION("""COMPUTED_VALUE"""),"https://www.linkedin.com/company/collegial")</f>
        <v/>
      </c>
      <c r="U1038" s="1">
        <f>IFERROR(__xludf.DUMMYFUNCTION("""COMPUTED_VALUE"""),"Open Learning")</f>
        <v/>
      </c>
      <c r="V1038" s="1">
        <f>IFERROR(__xludf.DUMMYFUNCTION("""COMPUTED_VALUE"""),"Self-driven learning where the learner access over 28 000 world-leading learning experiences. We curate the content to align with your business. With everything in one place, employees can develop the right skills at the right time – and help drive your b"&amp;"usiness forward.")</f>
        <v/>
      </c>
      <c r="W1038" s="1">
        <f>IFERROR(__xludf.DUMMYFUNCTION("""COMPUTED_VALUE"""),"Strategic Learning")</f>
        <v/>
      </c>
      <c r="X1038" s="1">
        <f>IFERROR(__xludf.DUMMYFUNCTION("""COMPUTED_VALUE"""),"Impact-focused learning to upskill teams on your defined skills gaps. Customize your learning journey based on the content in our learning ecosystem. The learning process is connected to business goals and the team learns together with peer-to-peer intera"&amp;"ction.")</f>
        <v/>
      </c>
      <c r="Y1038" s="15">
        <f>IFERROR(__xludf.DUMMYFUNCTION("""COMPUTED_VALUE"""),"https://drive.google.com/uc?export=view&amp;id=1Lqx7jRwazc0Wir5-0OLIP9z1MyGc3D7j")</f>
        <v/>
      </c>
      <c r="Z1038" s="1">
        <f>IFERROR(__xludf.DUMMYFUNCTION("""COMPUTED_VALUE"""),"Unverified")</f>
        <v/>
      </c>
      <c r="AA1038" s="1" t="n"/>
      <c r="AB1038" s="1" t="n"/>
      <c r="AC1038" s="1" t="n"/>
      <c r="AD1038" s="1" t="n"/>
      <c r="AE1038" s="1" t="n"/>
    </row>
    <row r="1039" ht="42" customHeight="1">
      <c r="A1039" s="14">
        <f>IFERROR(__xludf.DUMMYFUNCTION("""COMPUTED_VALUE"""),45181)</f>
        <v/>
      </c>
      <c r="B1039" s="1">
        <f>IFERROR(__xludf.DUMMYFUNCTION("""COMPUTED_VALUE"""),"ORG_1291")</f>
        <v/>
      </c>
      <c r="C1039" s="1">
        <f>IFERROR(__xludf.DUMMYFUNCTION("""COMPUTED_VALUE"""),TRUE)</f>
        <v/>
      </c>
      <c r="D1039" s="1">
        <f>IFERROR(__xludf.DUMMYFUNCTION("""COMPUTED_VALUE"""),"Constel Education")</f>
        <v/>
      </c>
      <c r="E1039" s="15">
        <f>IFERROR(__xludf.DUMMYFUNCTION("""COMPUTED_VALUE"""),"https://constel-education.com/")</f>
        <v/>
      </c>
      <c r="F1039" s="1">
        <f>IFERROR(__xludf.DUMMYFUNCTION("""COMPUTED_VALUE"""),"Constel Education is a 100% online mentoring and collaborative plateform between students in the same field of higher education. 
Our goal is to allow each student to find answers and support to perform ! 
In Constel Education, you can find :
- Mentors"&amp;" who were in the same field as you
- A discussion space divided in groups between students in the community
- Feedbacks and information about different studies and schools
- A lot of information in Instagram and Tiktok too !")</f>
        <v/>
      </c>
      <c r="G1039" s="1">
        <f>IFERROR(__xludf.DUMMYFUNCTION("""COMPUTED_VALUE"""),"I'm not part of any EdTech association")</f>
        <v/>
      </c>
      <c r="H1039" s="1" t="n"/>
      <c r="I1039" s="1">
        <f>IFERROR(__xludf.DUMMYFUNCTION("""COMPUTED_VALUE"""),"contact@constel-education.com")</f>
        <v/>
      </c>
      <c r="J1039" s="1" t="n"/>
      <c r="K1039" s="1">
        <f>IFERROR(__xludf.DUMMYFUNCTION("""COMPUTED_VALUE"""),"PARIS")</f>
        <v/>
      </c>
      <c r="L1039" s="1">
        <f>IFERROR(__xludf.DUMMYFUNCTION("""COMPUTED_VALUE"""),"France")</f>
        <v/>
      </c>
      <c r="M1039" s="1">
        <f>IFERROR(__xludf.DUMMYFUNCTION("""COMPUTED_VALUE"""),"France")</f>
        <v/>
      </c>
      <c r="N1039" s="1">
        <f>IFERROR(__xludf.DUMMYFUNCTION("""COMPUTED_VALUE"""),"0 to 10")</f>
        <v/>
      </c>
      <c r="O1039" s="1">
        <f>IFERROR(__xludf.DUMMYFUNCTION("""COMPUTED_VALUE"""),"Business to Business")</f>
        <v/>
      </c>
      <c r="P1039" s="1">
        <f>IFERROR(__xludf.DUMMYFUNCTION("""COMPUTED_VALUE"""),"Secondary Education, Higher Education")</f>
        <v/>
      </c>
      <c r="Q1039" s="1">
        <f>IFERROR(__xludf.DUMMYFUNCTION("""COMPUTED_VALUE"""),"Student interfacing")</f>
        <v/>
      </c>
      <c r="R1039" s="1" t="n"/>
      <c r="S1039" s="1" t="n"/>
      <c r="T1039" s="1" t="n"/>
      <c r="U1039" s="1" t="n"/>
      <c r="V1039" s="1" t="n"/>
      <c r="W1039" s="1" t="n"/>
      <c r="X1039" s="1" t="n"/>
      <c r="Y1039" s="1" t="n"/>
      <c r="Z1039" s="1">
        <f>IFERROR(__xludf.DUMMYFUNCTION("""COMPUTED_VALUE"""),"Unverified")</f>
        <v/>
      </c>
      <c r="AA1039" s="1" t="n"/>
      <c r="AB1039" s="1" t="n"/>
      <c r="AC1039" s="1" t="n"/>
      <c r="AD1039" s="1" t="n"/>
      <c r="AE1039" s="1" t="n"/>
    </row>
    <row r="1040" ht="42" customHeight="1">
      <c r="A1040" s="14">
        <f>IFERROR(__xludf.DUMMYFUNCTION("""COMPUTED_VALUE"""),45181)</f>
        <v/>
      </c>
      <c r="B1040" s="1">
        <f>IFERROR(__xludf.DUMMYFUNCTION("""COMPUTED_VALUE"""),"ORG_1351")</f>
        <v/>
      </c>
      <c r="C1040" s="1">
        <f>IFERROR(__xludf.DUMMYFUNCTION("""COMPUTED_VALUE"""),TRUE)</f>
        <v/>
      </c>
      <c r="D1040" s="1">
        <f>IFERROR(__xludf.DUMMYFUNCTION("""COMPUTED_VALUE"""),"Differ")</f>
        <v/>
      </c>
      <c r="E1040" s="15">
        <f>IFERROR(__xludf.DUMMYFUNCTION("""COMPUTED_VALUE"""),"www.differ.chat")</f>
        <v/>
      </c>
      <c r="F1040" s="1">
        <f>IFERROR(__xludf.DUMMYFUNCTION("""COMPUTED_VALUE"""),"Differ.Chat is a new innovative social platform, especially designed to support students in transition to university. The goal is to empower students with social confidence, skills and relationships that are keys to improved student wellbeing and success.")</f>
        <v/>
      </c>
      <c r="G1040" s="1">
        <f>IFERROR(__xludf.DUMMYFUNCTION("""COMPUTED_VALUE"""),"I'm not part of any EdTech association")</f>
        <v/>
      </c>
      <c r="H1040" s="1" t="n"/>
      <c r="I1040" s="1">
        <f>IFERROR(__xludf.DUMMYFUNCTION("""COMPUTED_VALUE"""),"lars@differ.chat")</f>
        <v/>
      </c>
      <c r="J1040" s="1">
        <f>IFERROR(__xludf.DUMMYFUNCTION("""COMPUTED_VALUE"""),"+4745517645")</f>
        <v/>
      </c>
      <c r="K1040" s="1">
        <f>IFERROR(__xludf.DUMMYFUNCTION("""COMPUTED_VALUE"""),"Oslo")</f>
        <v/>
      </c>
      <c r="L1040" s="1">
        <f>IFERROR(__xludf.DUMMYFUNCTION("""COMPUTED_VALUE"""),"Norway")</f>
        <v/>
      </c>
      <c r="M1040" s="1">
        <f>IFERROR(__xludf.DUMMYFUNCTION("""COMPUTED_VALUE"""),"Norway, United Kingdom")</f>
        <v/>
      </c>
      <c r="N1040" s="1">
        <f>IFERROR(__xludf.DUMMYFUNCTION("""COMPUTED_VALUE"""),"0 to 10")</f>
        <v/>
      </c>
      <c r="O1040" s="1">
        <f>IFERROR(__xludf.DUMMYFUNCTION("""COMPUTED_VALUE"""),"Business to Business")</f>
        <v/>
      </c>
      <c r="P1040" s="1">
        <f>IFERROR(__xludf.DUMMYFUNCTION("""COMPUTED_VALUE"""),"Higher Education")</f>
        <v/>
      </c>
      <c r="Q1040" s="1">
        <f>IFERROR(__xludf.DUMMYFUNCTION("""COMPUTED_VALUE"""),"Student interfacing")</f>
        <v/>
      </c>
      <c r="R1040" s="1" t="n"/>
      <c r="S1040" s="1" t="n"/>
      <c r="T1040" s="15">
        <f>IFERROR(__xludf.DUMMYFUNCTION("""COMPUTED_VALUE"""),"https://www.linkedin.com/company/4858076")</f>
        <v/>
      </c>
      <c r="U1040" s="1">
        <f>IFERROR(__xludf.DUMMYFUNCTION("""COMPUTED_VALUE"""),"Differ.Chat")</f>
        <v/>
      </c>
      <c r="V1040" s="1">
        <f>IFERROR(__xludf.DUMMYFUNCTION("""COMPUTED_VALUE"""),"Differ.Chat is a social platform for new students going to University, helping them connect and develop a sense of belonging. It is the easiest way for students to connect with peers during the transition to university.")</f>
        <v/>
      </c>
      <c r="W1040" s="1" t="n"/>
      <c r="X1040" s="1" t="n"/>
      <c r="Y1040" s="15">
        <f>IFERROR(__xludf.DUMMYFUNCTION("""COMPUTED_VALUE"""),"https://drive.google.com/uc?export=view&amp;id=1_tRAy_FvJ-Ot-YMISHJrw6EZI4U18--j")</f>
        <v/>
      </c>
      <c r="Z1040" s="1">
        <f>IFERROR(__xludf.DUMMYFUNCTION("""COMPUTED_VALUE"""),"Unverified")</f>
        <v/>
      </c>
      <c r="AA1040" s="1" t="n"/>
      <c r="AB1040" s="1" t="n"/>
      <c r="AC1040" s="1" t="n"/>
      <c r="AD1040" s="1" t="n"/>
      <c r="AE1040" s="1" t="n"/>
    </row>
    <row r="1041" ht="42" customHeight="1">
      <c r="A1041" s="14">
        <f>IFERROR(__xludf.DUMMYFUNCTION("""COMPUTED_VALUE"""),45181)</f>
        <v/>
      </c>
      <c r="B1041" s="1">
        <f>IFERROR(__xludf.DUMMYFUNCTION("""COMPUTED_VALUE"""),"ORG_1378")</f>
        <v/>
      </c>
      <c r="C1041" s="1">
        <f>IFERROR(__xludf.DUMMYFUNCTION("""COMPUTED_VALUE"""),TRUE)</f>
        <v/>
      </c>
      <c r="D1041" s="1">
        <f>IFERROR(__xludf.DUMMYFUNCTION("""COMPUTED_VALUE"""),"DOTHEGAP")</f>
        <v/>
      </c>
      <c r="E1041" s="15">
        <f>IFERROR(__xludf.DUMMYFUNCTION("""COMPUTED_VALUE"""),"https://dothegap.com/en/")</f>
        <v/>
      </c>
      <c r="F1041" s="1">
        <f>IFERROR(__xludf.DUMMYFUNCTION("""COMPUTED_VALUE"""),"New international network for schools and families to connect and organise all kinds of cross-cultural activities without any intermediary or added cost.")</f>
        <v/>
      </c>
      <c r="G1041" s="1">
        <f>IFERROR(__xludf.DUMMYFUNCTION("""COMPUTED_VALUE"""),"EduTech Cluster Spain")</f>
        <v/>
      </c>
      <c r="H1041" s="1">
        <f>IFERROR(__xludf.DUMMYFUNCTION("""COMPUTED_VALUE"""),"Spanish, English")</f>
        <v/>
      </c>
      <c r="I1041" s="1">
        <f>IFERROR(__xludf.DUMMYFUNCTION("""COMPUTED_VALUE"""),"hello@dothegap.com")</f>
        <v/>
      </c>
      <c r="J1041" s="1">
        <f>IFERROR(__xludf.DUMMYFUNCTION("""COMPUTED_VALUE"""),"+34 676948765")</f>
        <v/>
      </c>
      <c r="K1041" s="1">
        <f>IFERROR(__xludf.DUMMYFUNCTION("""COMPUTED_VALUE"""),"BARCELONA")</f>
        <v/>
      </c>
      <c r="L1041" s="1">
        <f>IFERROR(__xludf.DUMMYFUNCTION("""COMPUTED_VALUE"""),"Spain")</f>
        <v/>
      </c>
      <c r="M1041"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041" s="1">
        <f>IFERROR(__xludf.DUMMYFUNCTION("""COMPUTED_VALUE"""),"0 to 2")</f>
        <v/>
      </c>
      <c r="O1041" s="1">
        <f>IFERROR(__xludf.DUMMYFUNCTION("""COMPUTED_VALUE"""),"Business to Business")</f>
        <v/>
      </c>
      <c r="P1041" s="1">
        <f>IFERROR(__xludf.DUMMYFUNCTION("""COMPUTED_VALUE"""),"Secondary Education")</f>
        <v/>
      </c>
      <c r="Q1041" s="1">
        <f>IFERROR(__xludf.DUMMYFUNCTION("""COMPUTED_VALUE"""),"System/Administrative, Teacher interfacing")</f>
        <v/>
      </c>
      <c r="R1041" s="15">
        <f>IFERROR(__xludf.DUMMYFUNCTION("""COMPUTED_VALUE"""),"https://www.instagram.com/dothegap_/")</f>
        <v/>
      </c>
      <c r="S1041" s="15">
        <f>IFERROR(__xludf.DUMMYFUNCTION("""COMPUTED_VALUE"""),"https://twitter.com/dothegap_/")</f>
        <v/>
      </c>
      <c r="T1041" s="15">
        <f>IFERROR(__xludf.DUMMYFUNCTION("""COMPUTED_VALUE"""),"https://www.linkedin.com/company/dothegap/")</f>
        <v/>
      </c>
      <c r="U1041" s="1">
        <f>IFERROR(__xludf.DUMMYFUNCTION("""COMPUTED_VALUE"""),"dothegap, let's exchange activities!")</f>
        <v/>
      </c>
      <c r="V1041" s="1">
        <f>IFERROR(__xludf.DUMMYFUNCTION("""COMPUTED_VALUE"""),"New international network for schools and families that allows them to connect to organize all kinds of cross-cultural activities without intermediaries or added costs. Become part of the community in three easy steps: register, launch your exchange propo"&amp;"sal, connect. Our dashboard and supporting content makes it easy to manage your trip.
Our aim is to normalize cultural exchange by opening the opportunity for all young people around the world to learn through international experiences, which is fundamen"&amp;"tal to build a better world based on respect and tolerance for cultural diversity.")</f>
        <v/>
      </c>
      <c r="W1041" s="1" t="n"/>
      <c r="X1041" s="1" t="n"/>
      <c r="Y1041" s="15">
        <f>IFERROR(__xludf.DUMMYFUNCTION("""COMPUTED_VALUE"""),"https://drive.google.com/uc?export=view&amp;id=1ZVfkYVM2r-wvkHOgxkar9wt90WH1f8vT")</f>
        <v/>
      </c>
      <c r="Z1041" s="1">
        <f>IFERROR(__xludf.DUMMYFUNCTION("""COMPUTED_VALUE"""),"Unverified")</f>
        <v/>
      </c>
      <c r="AA1041" s="1" t="n"/>
      <c r="AB1041" s="1" t="n"/>
      <c r="AC1041" s="1" t="n"/>
      <c r="AD1041" s="1" t="n"/>
      <c r="AE1041" s="1" t="n"/>
    </row>
    <row r="1042" ht="42" customHeight="1">
      <c r="A1042" s="14">
        <f>IFERROR(__xludf.DUMMYFUNCTION("""COMPUTED_VALUE"""),45181)</f>
        <v/>
      </c>
      <c r="B1042" s="1">
        <f>IFERROR(__xludf.DUMMYFUNCTION("""COMPUTED_VALUE"""),"ORG_1403")</f>
        <v/>
      </c>
      <c r="C1042" s="1">
        <f>IFERROR(__xludf.DUMMYFUNCTION("""COMPUTED_VALUE"""),TRUE)</f>
        <v/>
      </c>
      <c r="D1042" s="1">
        <f>IFERROR(__xludf.DUMMYFUNCTION("""COMPUTED_VALUE"""),"Edebé Educación S.L.")</f>
        <v/>
      </c>
      <c r="E1042" s="15">
        <f>IFERROR(__xludf.DUMMYFUNCTION("""COMPUTED_VALUE"""),"https://www.edebe.com/")</f>
        <v/>
      </c>
      <c r="F1042" s="1">
        <f>IFERROR(__xludf.DUMMYFUNCTION("""COMPUTED_VALUE"""),"Edebé is one of the major publishing entities in Spain, devoted to publishing school
textbooks and also literature for children and young adults. More than 100 of years of
experience and thousands of books published mean that our group is a point of refer"&amp;"ence in the field of education.
In last 15 years Edebé has invested in the creation of educational multimedia resources which delivers through its own platforms and apps. It has a wide and demonstrated experience in creating and leading new digital and mu"&amp;"ltimedia content and methodologies adapted to enhance the interest of students and teachers. Delivers a user-driven and adaptive technological solution that allows the guided acquisition and evaluation of knowledge and competences, helping teachers and st"&amp;"udents to achieve a more personalized learning and better results.")</f>
        <v/>
      </c>
      <c r="G1042" s="1">
        <f>IFERROR(__xludf.DUMMYFUNCTION("""COMPUTED_VALUE"""),"EduTech Cluster Spain")</f>
        <v/>
      </c>
      <c r="H1042" s="1">
        <f>IFERROR(__xludf.DUMMYFUNCTION("""COMPUTED_VALUE"""),"English, Spanish, Catalan, Galician, Valencian, Portuguese, Basque")</f>
        <v/>
      </c>
      <c r="I1042" s="1">
        <f>IFERROR(__xludf.DUMMYFUNCTION("""COMPUTED_VALUE"""),"contacta@edebe.net")</f>
        <v/>
      </c>
      <c r="J1042" s="1">
        <f>IFERROR(__xludf.DUMMYFUNCTION("""COMPUTED_VALUE"""),"+34 902 44 44 41")</f>
        <v/>
      </c>
      <c r="K1042" s="1">
        <f>IFERROR(__xludf.DUMMYFUNCTION("""COMPUTED_VALUE"""),"BARCELONA")</f>
        <v/>
      </c>
      <c r="L1042" s="1">
        <f>IFERROR(__xludf.DUMMYFUNCTION("""COMPUTED_VALUE"""),"Spain")</f>
        <v/>
      </c>
      <c r="M1042" s="1">
        <f>IFERROR(__xludf.DUMMYFUNCTION("""COMPUTED_VALUE"""),"Andorra, Austria, Belgium, Germany, Greece, Spain")</f>
        <v/>
      </c>
      <c r="N1042" s="1">
        <f>IFERROR(__xludf.DUMMYFUNCTION("""COMPUTED_VALUE"""),"101 to 500")</f>
        <v/>
      </c>
      <c r="O1042" s="1">
        <f>IFERROR(__xludf.DUMMYFUNCTION("""COMPUTED_VALUE"""),"Business to Business")</f>
        <v/>
      </c>
      <c r="P1042" s="1">
        <f>IFERROR(__xludf.DUMMYFUNCTION("""COMPUTED_VALUE"""),"Early childhood development (0-5 years)")</f>
        <v/>
      </c>
      <c r="Q1042" s="1">
        <f>IFERROR(__xludf.DUMMYFUNCTION("""COMPUTED_VALUE"""),"Student interfacing, Teacher interfacing, System/Administrative")</f>
        <v/>
      </c>
      <c r="R1042" s="1" t="n"/>
      <c r="S1042" s="15">
        <f>IFERROR(__xludf.DUMMYFUNCTION("""COMPUTED_VALUE"""),"https://twitter.com/GRUPOEDEBE")</f>
        <v/>
      </c>
      <c r="T1042" s="15">
        <f>IFERROR(__xludf.DUMMYFUNCTION("""COMPUTED_VALUE"""),"https://es.linkedin.com/company/editorial-edebe")</f>
        <v/>
      </c>
      <c r="U1042" s="1">
        <f>IFERROR(__xludf.DUMMYFUNCTION("""COMPUTED_VALUE"""),"EdebeOn+")</f>
        <v/>
      </c>
      <c r="V1042" s="1">
        <f>IFERROR(__xludf.DUMMYFUNCTION("""COMPUTED_VALUE"""),"""EdebeOn+ is a personalized Learning platform which makes personalization and adaptation to educational contents easy to adapt to the needs and rhythm of each student. Provides an on-time diagnostic of the students’ progress along their learning and educ"&amp;"ational process.
Furthermore it is complemented with an Artificial Intelligence Assistant that helps teachers with their daily tasks: - Identification of alerts: students in risk, students who require special attention…
- Recommendations of contents and n"&amp;"avigation: from those resources that students most see, offer them contents from our Resources Library, show them links they are bound to be interested in…
group clustering
Teachers can do anything they want in relation to contents either if they come fro"&amp;"m publishers or their own contents. They can:
- adapt and personalise its structure: move and organize the units or blocks as well as the elements in it, according to your needs.
- add, copy, edit and delete units or blocks
- add, copy, edit and delete an"&amp;"y item inside the blocks, such as:
-Information items
-task items: tasks which students have to do some production
-self-corrected exercises -rubrics - assessment
-learning diary - as an e-portfolio
They share contents and blocks with groups or subgroups "&amp;"of students and send all to google classroom and receive feedback At the same time, the system alerts the teacher when a student has delivered any task, when they are doing mistakes, when they need help, when they are doing great, … but the system will al"&amp;"so suggest contents, links and students’ group creation.
EdebeOn+ has an analytics module which is based on the information generated at the platform, considering variables easy to quantify. Both teachers and students will be able to check their progress "&amp;"in the learning process. The qualitative dimensions that are analysed are:
- Motivation
- Effort The quantitative dimensions that are analysed are:
-Students status (failed, in progress, well)
- Number of exercises done
- Progress of contents reviewed
Fin"&amp;"ally, EdebeOn+ includes artificial intelligence that will be learning about the learning process of each participant and it will be able to predict and suggest contents, exercises, sequences, people to whom connect to ask for help or collaborate, etc.""")</f>
        <v/>
      </c>
      <c r="W1042" s="1" t="n"/>
      <c r="X1042" s="1" t="n"/>
      <c r="Y1042" s="1" t="n"/>
      <c r="Z1042" s="1">
        <f>IFERROR(__xludf.DUMMYFUNCTION("""COMPUTED_VALUE"""),"Unverified")</f>
        <v/>
      </c>
      <c r="AA1042" s="1" t="n"/>
      <c r="AB1042" s="1" t="n"/>
      <c r="AC1042" s="1" t="n"/>
      <c r="AD1042" s="1" t="n"/>
      <c r="AE1042" s="1" t="n"/>
    </row>
    <row r="1043" ht="42" customHeight="1">
      <c r="A1043" s="14">
        <f>IFERROR(__xludf.DUMMYFUNCTION("""COMPUTED_VALUE"""),45181)</f>
        <v/>
      </c>
      <c r="B1043" s="1">
        <f>IFERROR(__xludf.DUMMYFUNCTION("""COMPUTED_VALUE"""),"ORG_1425")</f>
        <v/>
      </c>
      <c r="C1043" s="1">
        <f>IFERROR(__xludf.DUMMYFUNCTION("""COMPUTED_VALUE"""),TRUE)</f>
        <v/>
      </c>
      <c r="D1043" s="1">
        <f>IFERROR(__xludf.DUMMYFUNCTION("""COMPUTED_VALUE"""),"Educai")</f>
        <v/>
      </c>
      <c r="E1043" s="15">
        <f>IFERROR(__xludf.DUMMYFUNCTION("""COMPUTED_VALUE"""),"www.educai.io")</f>
        <v/>
      </c>
      <c r="F1043" s="1">
        <f>IFERROR(__xludf.DUMMYFUNCTION("""COMPUTED_VALUE"""),"Educai is an AI-powered teaching platform, making it easy and affordable for educators to deliver personalised learning to every child. We do this through our personalized teaching engine: Assess the child into one of 10 learning profiles, assign a learni"&amp;"ng path, and note-taking through classes.")</f>
        <v/>
      </c>
      <c r="G1043" s="1">
        <f>IFERROR(__xludf.DUMMYFUNCTION("""COMPUTED_VALUE"""),"I'm not part of any EdTech association")</f>
        <v/>
      </c>
      <c r="H1043" s="1" t="n"/>
      <c r="I1043" s="1">
        <f>IFERROR(__xludf.DUMMYFUNCTION("""COMPUTED_VALUE"""),"karishma@educai.io")</f>
        <v/>
      </c>
      <c r="J1043" s="1">
        <f>IFERROR(__xludf.DUMMYFUNCTION("""COMPUTED_VALUE"""),"+447572782627")</f>
        <v/>
      </c>
      <c r="K1043" s="1">
        <f>IFERROR(__xludf.DUMMYFUNCTION("""COMPUTED_VALUE"""),"London")</f>
        <v/>
      </c>
      <c r="L1043" s="1">
        <f>IFERROR(__xludf.DUMMYFUNCTION("""COMPUTED_VALUE"""),"United Kingdom")</f>
        <v/>
      </c>
      <c r="M1043" s="1">
        <f>IFERROR(__xludf.DUMMYFUNCTION("""COMPUTED_VALUE"""),"Turkey, United Kingdom")</f>
        <v/>
      </c>
      <c r="N1043" s="1">
        <f>IFERROR(__xludf.DUMMYFUNCTION("""COMPUTED_VALUE"""),"11 to 50")</f>
        <v/>
      </c>
      <c r="O1043" s="1">
        <f>IFERROR(__xludf.DUMMYFUNCTION("""COMPUTED_VALUE"""),"Business to Business")</f>
        <v/>
      </c>
      <c r="P1043" s="1">
        <f>IFERROR(__xludf.DUMMYFUNCTION("""COMPUTED_VALUE"""),"Primary Education, Secondary Education")</f>
        <v/>
      </c>
      <c r="Q1043" s="1">
        <f>IFERROR(__xludf.DUMMYFUNCTION("""COMPUTED_VALUE"""),"System/Administrative")</f>
        <v/>
      </c>
      <c r="R1043" s="1" t="n"/>
      <c r="S1043" s="1" t="n"/>
      <c r="T1043" s="1" t="n"/>
      <c r="U1043" s="1" t="n"/>
      <c r="V1043" s="1" t="n"/>
      <c r="W1043" s="1" t="n"/>
      <c r="X1043" s="1" t="n"/>
      <c r="Y1043" s="15">
        <f>IFERROR(__xludf.DUMMYFUNCTION("""COMPUTED_VALUE"""),"https://drive.google.com/uc?export=view&amp;id=1LtHl4GHi8mq_z-xUJU8CKwAKA7iO0mT1")</f>
        <v/>
      </c>
      <c r="Z1043" s="1">
        <f>IFERROR(__xludf.DUMMYFUNCTION("""COMPUTED_VALUE"""),"Unverified")</f>
        <v/>
      </c>
      <c r="AA1043" s="1" t="n"/>
      <c r="AB1043" s="1" t="n"/>
      <c r="AC1043" s="1" t="n"/>
      <c r="AD1043" s="1" t="n"/>
      <c r="AE1043" s="1" t="n"/>
    </row>
    <row r="1044" ht="42" customHeight="1">
      <c r="A1044" s="14">
        <f>IFERROR(__xludf.DUMMYFUNCTION("""COMPUTED_VALUE"""),45181)</f>
        <v/>
      </c>
      <c r="B1044" s="1">
        <f>IFERROR(__xludf.DUMMYFUNCTION("""COMPUTED_VALUE"""),"ORG_1432")</f>
        <v/>
      </c>
      <c r="C1044" s="1">
        <f>IFERROR(__xludf.DUMMYFUNCTION("""COMPUTED_VALUE"""),TRUE)</f>
        <v/>
      </c>
      <c r="D1044" s="1">
        <f>IFERROR(__xludf.DUMMYFUNCTION("""COMPUTED_VALUE"""),"Education21")</f>
        <v/>
      </c>
      <c r="E1044" s="15">
        <f>IFERROR(__xludf.DUMMYFUNCTION("""COMPUTED_VALUE"""),"Www.Education21.eu")</f>
        <v/>
      </c>
      <c r="F1044" s="1">
        <f>IFERROR(__xludf.DUMMYFUNCTION("""COMPUTED_VALUE"""),"Building a digital intelligent notebook with integrated language proofing to support students suffering from dyslexia.")</f>
        <v/>
      </c>
      <c r="G1044" s="1">
        <f>IFERROR(__xludf.DUMMYFUNCTION("""COMPUTED_VALUE"""),"I'm not part of any EdTech association")</f>
        <v/>
      </c>
      <c r="H1044" s="1" t="n"/>
      <c r="I1044" s="1">
        <f>IFERROR(__xludf.DUMMYFUNCTION("""COMPUTED_VALUE"""),"info@education21.eu")</f>
        <v/>
      </c>
      <c r="J1044" s="1">
        <f>IFERROR(__xludf.DUMMYFUNCTION("""COMPUTED_VALUE"""),"+49 17662260046")</f>
        <v/>
      </c>
      <c r="K1044" s="1">
        <f>IFERROR(__xludf.DUMMYFUNCTION("""COMPUTED_VALUE"""),"Frankfurt am Main")</f>
        <v/>
      </c>
      <c r="L1044" s="1">
        <f>IFERROR(__xludf.DUMMYFUNCTION("""COMPUTED_VALUE"""),"Germany")</f>
        <v/>
      </c>
      <c r="M1044" s="1">
        <f>IFERROR(__xludf.DUMMYFUNCTION("""COMPUTED_VALUE"""),"Germany")</f>
        <v/>
      </c>
      <c r="N1044" s="1">
        <f>IFERROR(__xludf.DUMMYFUNCTION("""COMPUTED_VALUE"""),"0 to 10")</f>
        <v/>
      </c>
      <c r="O1044" s="1">
        <f>IFERROR(__xludf.DUMMYFUNCTION("""COMPUTED_VALUE"""),"Business to Business, Business to Consumer")</f>
        <v/>
      </c>
      <c r="P1044" s="1">
        <f>IFERROR(__xludf.DUMMYFUNCTION("""COMPUTED_VALUE"""),"Secondary Education")</f>
        <v/>
      </c>
      <c r="Q1044" s="1">
        <f>IFERROR(__xludf.DUMMYFUNCTION("""COMPUTED_VALUE"""),"System/Administrative, Student interfacing, Teacher interfacing")</f>
        <v/>
      </c>
      <c r="R1044" s="1" t="n"/>
      <c r="S1044" s="1" t="n"/>
      <c r="T1044" s="1" t="n"/>
      <c r="U1044" s="1" t="n"/>
      <c r="V1044" s="1" t="n"/>
      <c r="W1044" s="1" t="n"/>
      <c r="X1044" s="1" t="n"/>
      <c r="Y1044" s="15">
        <f>IFERROR(__xludf.DUMMYFUNCTION("""COMPUTED_VALUE"""),"https://drive.google.com/uc?export=view&amp;id=1yewQgz9lGIx6vIwBydUvhoSDRH27vgbP")</f>
        <v/>
      </c>
      <c r="Z1044" s="1">
        <f>IFERROR(__xludf.DUMMYFUNCTION("""COMPUTED_VALUE"""),"Unverified")</f>
        <v/>
      </c>
      <c r="AA1044" s="1" t="n"/>
      <c r="AB1044" s="1" t="n"/>
      <c r="AC1044" s="1" t="n"/>
      <c r="AD1044" s="1" t="n"/>
      <c r="AE1044" s="1" t="n"/>
    </row>
    <row r="1045" ht="42" customHeight="1">
      <c r="A1045" s="14">
        <f>IFERROR(__xludf.DUMMYFUNCTION("""COMPUTED_VALUE"""),45181)</f>
        <v/>
      </c>
      <c r="B1045" s="1">
        <f>IFERROR(__xludf.DUMMYFUNCTION("""COMPUTED_VALUE"""),"ORG_1444")</f>
        <v/>
      </c>
      <c r="C1045" s="1">
        <f>IFERROR(__xludf.DUMMYFUNCTION("""COMPUTED_VALUE"""),TRUE)</f>
        <v/>
      </c>
      <c r="D1045" s="1">
        <f>IFERROR(__xludf.DUMMYFUNCTION("""COMPUTED_VALUE"""),"Edulai")</f>
        <v/>
      </c>
      <c r="E1045" s="15">
        <f>IFERROR(__xludf.DUMMYFUNCTION("""COMPUTED_VALUE"""),"www.edulai.com")</f>
        <v/>
      </c>
      <c r="F1045" s="1">
        <f>IFERROR(__xludf.DUMMYFUNCTION("""COMPUTED_VALUE"""),"Assessing and developing skills for the job market of the future
Edulai is Platform offering a 360° support service to companies, head huntings and universities for measuring and developing candidates, workers and students' skills")</f>
        <v/>
      </c>
      <c r="G1045" s="1">
        <f>IFERROR(__xludf.DUMMYFUNCTION("""COMPUTED_VALUE"""),"EdTech Italia")</f>
        <v/>
      </c>
      <c r="H1045" s="1" t="n"/>
      <c r="I1045" s="1">
        <f>IFERROR(__xludf.DUMMYFUNCTION("""COMPUTED_VALUE"""),"lucilla.crosta@smarthink.eu")</f>
        <v/>
      </c>
      <c r="J1045" s="1">
        <f>IFERROR(__xludf.DUMMYFUNCTION("""COMPUTED_VALUE"""),"393335958731")</f>
        <v/>
      </c>
      <c r="K1045" s="1">
        <f>IFERROR(__xludf.DUMMYFUNCTION("""COMPUTED_VALUE"""),"Busto Arsizio (VA)")</f>
        <v/>
      </c>
      <c r="L1045" s="1">
        <f>IFERROR(__xludf.DUMMYFUNCTION("""COMPUTED_VALUE"""),"Italy")</f>
        <v/>
      </c>
      <c r="M1045" s="1">
        <f>IFERROR(__xludf.DUMMYFUNCTION("""COMPUTED_VALUE"""),"Italy")</f>
        <v/>
      </c>
      <c r="N1045" s="1">
        <f>IFERROR(__xludf.DUMMYFUNCTION("""COMPUTED_VALUE"""),"0 to 10")</f>
        <v/>
      </c>
      <c r="O1045" s="1">
        <f>IFERROR(__xludf.DUMMYFUNCTION("""COMPUTED_VALUE"""),"Business to Business, Business to Consumer")</f>
        <v/>
      </c>
      <c r="P1045" s="1">
        <f>IFERROR(__xludf.DUMMYFUNCTION("""COMPUTED_VALUE"""),"Higher Education, Corporate Training, Lifelong learning/Adult education")</f>
        <v/>
      </c>
      <c r="Q1045" s="1">
        <f>IFERROR(__xludf.DUMMYFUNCTION("""COMPUTED_VALUE"""),"Teacher interfacing, Student interfacing, System/Administrative")</f>
        <v/>
      </c>
      <c r="R1045" s="1" t="n"/>
      <c r="S1045" s="1" t="n"/>
      <c r="T1045" s="15">
        <f>IFERROR(__xludf.DUMMYFUNCTION("""COMPUTED_VALUE"""),"https://www.linkedin.com/company/edulai/?viewAsMember=true")</f>
        <v/>
      </c>
      <c r="U1045" s="1">
        <f>IFERROR(__xludf.DUMMYFUNCTION("""COMPUTED_VALUE"""),"Edulai Skills Checker")</f>
        <v/>
      </c>
      <c r="V1045" s="1">
        <f>IFERROR(__xludf.DUMMYFUNCTION("""COMPUTED_VALUE"""),"Edulai Skills Checker measures in real time, the skills required nowadays by the labour market. The assessment is performed on individual workers, students and it comprise a range of 45+ skills and sub-skills, plus analytics on the results of skills asses"&amp;"sments performed, inside a specific company/institution")</f>
        <v/>
      </c>
      <c r="W1045" s="1">
        <f>IFERROR(__xludf.DUMMYFUNCTION("""COMPUTED_VALUE"""),"Edulai Intelligent Library")</f>
        <v/>
      </c>
      <c r="X1045" s="1">
        <f>IFERROR(__xludf.DUMMYFUNCTION("""COMPUTED_VALUE"""),"An Intelligent online tool that suggests users high quality selected content for skills improvement, based on individuals' current and potential level.")</f>
        <v/>
      </c>
      <c r="Y1045" s="15">
        <f>IFERROR(__xludf.DUMMYFUNCTION("""COMPUTED_VALUE"""),"https://drive.google.com/uc?export=view&amp;id=1MZcWK6cYNPu312bSWVJNQolzvZJl3gPb")</f>
        <v/>
      </c>
      <c r="Z1045" s="1">
        <f>IFERROR(__xludf.DUMMYFUNCTION("""COMPUTED_VALUE"""),"Unverified")</f>
        <v/>
      </c>
      <c r="AA1045" s="1" t="n"/>
      <c r="AB1045" s="1" t="n"/>
      <c r="AC1045" s="1" t="n"/>
      <c r="AD1045" s="1" t="n"/>
      <c r="AE1045" s="1" t="n"/>
    </row>
    <row r="1046" ht="42" customHeight="1">
      <c r="A1046" s="14">
        <f>IFERROR(__xludf.DUMMYFUNCTION("""COMPUTED_VALUE"""),45181)</f>
        <v/>
      </c>
      <c r="B1046" s="1">
        <f>IFERROR(__xludf.DUMMYFUNCTION("""COMPUTED_VALUE"""),"ORG_1456")</f>
        <v/>
      </c>
      <c r="C1046" s="1">
        <f>IFERROR(__xludf.DUMMYFUNCTION("""COMPUTED_VALUE"""),TRUE)</f>
        <v/>
      </c>
      <c r="D1046" s="1">
        <f>IFERROR(__xludf.DUMMYFUNCTION("""COMPUTED_VALUE"""),"EdUnity")</f>
        <v/>
      </c>
      <c r="E1046" s="15">
        <f>IFERROR(__xludf.DUMMYFUNCTION("""COMPUTED_VALUE"""),"https://www.edunity.co")</f>
        <v/>
      </c>
      <c r="F1046" s="1">
        <f>IFERROR(__xludf.DUMMYFUNCTION("""COMPUTED_VALUE"""),"EdUnity is a specialist provider of School Apps, offering a platform that allows schools to deploy their own apps capable of enhancing parent engagement, school communication and administrative processes.")</f>
        <v/>
      </c>
      <c r="G1046" s="1">
        <f>IFERROR(__xludf.DUMMYFUNCTION("""COMPUTED_VALUE"""),"I'm not part of any EdTech association")</f>
        <v/>
      </c>
      <c r="H1046" s="1" t="n"/>
      <c r="I1046" s="1">
        <f>IFERROR(__xludf.DUMMYFUNCTION("""COMPUTED_VALUE"""),"hello@edunity.co")</f>
        <v/>
      </c>
      <c r="J1046" s="1">
        <f>IFERROR(__xludf.DUMMYFUNCTION("""COMPUTED_VALUE"""),"+44 (0) 2045 385 505")</f>
        <v/>
      </c>
      <c r="K1046" s="1">
        <f>IFERROR(__xludf.DUMMYFUNCTION("""COMPUTED_VALUE"""),"Uttoxeter")</f>
        <v/>
      </c>
      <c r="L1046" s="1">
        <f>IFERROR(__xludf.DUMMYFUNCTION("""COMPUTED_VALUE"""),"United Kingdom")</f>
        <v/>
      </c>
      <c r="M104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1046" s="1">
        <f>IFERROR(__xludf.DUMMYFUNCTION("""COMPUTED_VALUE"""),"0 to 10")</f>
        <v/>
      </c>
      <c r="O1046" s="1">
        <f>IFERROR(__xludf.DUMMYFUNCTION("""COMPUTED_VALUE"""),"Business to Business, Business to Consumer")</f>
        <v/>
      </c>
      <c r="P1046" s="1">
        <f>IFERROR(__xludf.DUMMYFUNCTION("""COMPUTED_VALUE"""),"Early childhood development (0-5 years), Primary Education, Secondary Education")</f>
        <v/>
      </c>
      <c r="Q1046" s="1">
        <f>IFERROR(__xludf.DUMMYFUNCTION("""COMPUTED_VALUE"""),"System/Administrative, Student interfacing, Teacher interfacing")</f>
        <v/>
      </c>
      <c r="R1046" s="1" t="n"/>
      <c r="S1046" s="1" t="n"/>
      <c r="T1046" s="1" t="n"/>
      <c r="U1046" s="1" t="n"/>
      <c r="V1046" s="1" t="n"/>
      <c r="W1046" s="1" t="n"/>
      <c r="X1046" s="1" t="n"/>
      <c r="Y1046" s="15">
        <f>IFERROR(__xludf.DUMMYFUNCTION("""COMPUTED_VALUE"""),"https://drive.google.com/uc?export=view&amp;id=1Xl4iLrsi_HG17hr6iPza5Mh2UTQ-z0VZ")</f>
        <v/>
      </c>
      <c r="Z1046" s="1">
        <f>IFERROR(__xludf.DUMMYFUNCTION("""COMPUTED_VALUE"""),"Unverified")</f>
        <v/>
      </c>
      <c r="AA1046" s="1" t="n"/>
      <c r="AB1046" s="1" t="n"/>
      <c r="AC1046" s="1" t="n"/>
      <c r="AD1046" s="1" t="n"/>
      <c r="AE1046" s="1" t="n"/>
    </row>
    <row r="1047" ht="42" customHeight="1">
      <c r="A1047" s="14">
        <f>IFERROR(__xludf.DUMMYFUNCTION("""COMPUTED_VALUE"""),45181)</f>
        <v/>
      </c>
      <c r="B1047" s="1">
        <f>IFERROR(__xludf.DUMMYFUNCTION("""COMPUTED_VALUE"""),"ORG_1469")</f>
        <v/>
      </c>
      <c r="C1047" s="1">
        <f>IFERROR(__xludf.DUMMYFUNCTION("""COMPUTED_VALUE"""),TRUE)</f>
        <v/>
      </c>
      <c r="D1047" s="1">
        <f>IFERROR(__xludf.DUMMYFUNCTION("""COMPUTED_VALUE"""),"EDvisor Finland - Learning Design")</f>
        <v/>
      </c>
      <c r="E1047" s="15">
        <f>IFERROR(__xludf.DUMMYFUNCTION("""COMPUTED_VALUE"""),"https://www.linkedin.com/company/edvisor-finland")</f>
        <v/>
      </c>
      <c r="F1047" s="1">
        <f>IFERROR(__xludf.DUMMYFUNCTION("""COMPUTED_VALUE"""),"EDvisor Finland - Learning Design
'Design that LEARNS from Data'.
20 years in international education, as a K-12 educator, educator trainer, school evaluator &amp; now educational entrepreneur have taught us 3 things: 1 Our VALUES are Integrity, Initiative an"&amp;"d Integration. 2 Our VISION is of a Design that LEARNS from Data. 3 Our MISSION is to create value by solving problems.
'Dubh Linn', is a seven stage infrastructure for innovation which we initiated in 2020. A proprietary intellectual property that integr"&amp;"ates the right questions in the right order. Creating valuable and scalable Design that LEARNS from Data &amp; solves problems in the market.
Our niche is EdTech incubation, acceleration &amp; internationalisation &amp; we operate as a consultancy, currently contract"&amp;"ing out of Brussels as a Finnish company.
Let us help you solve your EdTech problems be they educational, technological or business-related.
🇫🇮 EDvisor Finland, Learning Design 🇮🇪 '♻️ Design that LEARNS from Data ♻️'")</f>
        <v/>
      </c>
      <c r="G1047" s="1">
        <f>IFERROR(__xludf.DUMMYFUNCTION("""COMPUTED_VALUE"""),"EdTech Finland")</f>
        <v/>
      </c>
      <c r="H1047" s="1" t="n"/>
      <c r="I1047" s="1">
        <f>IFERROR(__xludf.DUMMYFUNCTION("""COMPUTED_VALUE"""),"spiddaleen@gmail.com")</f>
        <v/>
      </c>
      <c r="J1047" s="1">
        <f>IFERROR(__xludf.DUMMYFUNCTION("""COMPUTED_VALUE"""),"+358 45 6302250")</f>
        <v/>
      </c>
      <c r="K1047" s="1">
        <f>IFERROR(__xludf.DUMMYFUNCTION("""COMPUTED_VALUE"""),"Ixelles")</f>
        <v/>
      </c>
      <c r="L1047" s="1">
        <f>IFERROR(__xludf.DUMMYFUNCTION("""COMPUTED_VALUE"""),"Belgium")</f>
        <v/>
      </c>
      <c r="M1047" s="1">
        <f>IFERROR(__xludf.DUMMYFUNCTION("""COMPUTED_VALUE"""),"Belgium, Czechia, Estonia, Finland, United Kingdom")</f>
        <v/>
      </c>
      <c r="N1047" s="1">
        <f>IFERROR(__xludf.DUMMYFUNCTION("""COMPUTED_VALUE"""),"0 to 10")</f>
        <v/>
      </c>
      <c r="O1047" s="1">
        <f>IFERROR(__xludf.DUMMYFUNCTION("""COMPUTED_VALUE"""),"Business to Business, Business to Consumer")</f>
        <v/>
      </c>
      <c r="P1047" s="1">
        <f>IFERROR(__xludf.DUMMYFUNCTION("""COMPUTED_VALUE"""),"Early childhood development (0-5 years), Primary Education, Secondary Education, Higher Education, Corporate Training, Lifelong learning/Adult education")</f>
        <v/>
      </c>
      <c r="Q1047" s="1">
        <f>IFERROR(__xludf.DUMMYFUNCTION("""COMPUTED_VALUE"""),"System/Administrative")</f>
        <v/>
      </c>
      <c r="R1047" s="1" t="n"/>
      <c r="S1047" s="1" t="n"/>
      <c r="T1047" s="1" t="n"/>
      <c r="U1047" s="1" t="n"/>
      <c r="V1047" s="1" t="n"/>
      <c r="W1047" s="1" t="n"/>
      <c r="X1047" s="1" t="n"/>
      <c r="Y1047" s="15">
        <f>IFERROR(__xludf.DUMMYFUNCTION("""COMPUTED_VALUE"""),"https://drive.google.com/uc?export=view&amp;id=1sxeT0AR03cWM7ltPrK-AQok2-pYoe0ZZ")</f>
        <v/>
      </c>
      <c r="Z1047" s="1">
        <f>IFERROR(__xludf.DUMMYFUNCTION("""COMPUTED_VALUE"""),"Unverified")</f>
        <v/>
      </c>
      <c r="AA1047" s="1" t="n"/>
      <c r="AB1047" s="1" t="n"/>
      <c r="AC1047" s="1" t="n"/>
      <c r="AD1047" s="1" t="n"/>
      <c r="AE1047" s="1" t="n"/>
    </row>
    <row r="1048" ht="42" customHeight="1">
      <c r="A1048" s="14">
        <f>IFERROR(__xludf.DUMMYFUNCTION("""COMPUTED_VALUE"""),45181)</f>
        <v/>
      </c>
      <c r="B1048" s="1">
        <f>IFERROR(__xludf.DUMMYFUNCTION("""COMPUTED_VALUE"""),"ORG_1470")</f>
        <v/>
      </c>
      <c r="C1048" s="1">
        <f>IFERROR(__xludf.DUMMYFUNCTION("""COMPUTED_VALUE"""),TRUE)</f>
        <v/>
      </c>
      <c r="D1048" s="1">
        <f>IFERROR(__xludf.DUMMYFUNCTION("""COMPUTED_VALUE"""),"EdVisto")</f>
        <v/>
      </c>
      <c r="E1048" s="15">
        <f>IFERROR(__xludf.DUMMYFUNCTION("""COMPUTED_VALUE"""),"www.edvisto.com")</f>
        <v/>
      </c>
      <c r="F1048" s="1">
        <f>IFERROR(__xludf.DUMMYFUNCTION("""COMPUTED_VALUE"""),"Co-founded with Helsinki University in 2015, EdVisto builds on years of practical research seeking to develop modern teaching and learning methods for the new generation. The result combines storytelling, the most ancient teaching method, with modern tech"&amp;"nology for consuming and producing content, mobile videos.
EdVisto transforms key elements from global sharing and social platforms like YouTube and Facebook into a powerful learning method designed for the education sector. It focuses on the creative an"&amp;"d collaborative learning process during students’ creations of video stories and projects about any topic.
In the process, teachers are empowered to take on the facilitator role and let students’ group dynamic be at the center, while collaboration is enc"&amp;"ouraged both locally and internationally through specific features that connect teachers and students across schools and countries in a boundless classroom.")</f>
        <v/>
      </c>
      <c r="G1048" s="1">
        <f>IFERROR(__xludf.DUMMYFUNCTION("""COMPUTED_VALUE"""),"xEdu")</f>
        <v/>
      </c>
      <c r="H1048" s="1" t="n"/>
      <c r="I1048" s="1" t="n"/>
      <c r="J1048" s="1" t="n"/>
      <c r="K1048" s="1">
        <f>IFERROR(__xludf.DUMMYFUNCTION("""COMPUTED_VALUE"""),"Espoo")</f>
        <v/>
      </c>
      <c r="L1048" s="1">
        <f>IFERROR(__xludf.DUMMYFUNCTION("""COMPUTED_VALUE"""),"Finland")</f>
        <v/>
      </c>
      <c r="M1048" s="1">
        <f>IFERROR(__xludf.DUMMYFUNCTION("""COMPUTED_VALUE"""),"Finland, Spain")</f>
        <v/>
      </c>
      <c r="N1048" s="1">
        <f>IFERROR(__xludf.DUMMYFUNCTION("""COMPUTED_VALUE"""),"0 to 10")</f>
        <v/>
      </c>
      <c r="O1048" s="1">
        <f>IFERROR(__xludf.DUMMYFUNCTION("""COMPUTED_VALUE"""),"Business to Business, Business to Consumer")</f>
        <v/>
      </c>
      <c r="P1048" s="1">
        <f>IFERROR(__xludf.DUMMYFUNCTION("""COMPUTED_VALUE"""),"Primary Education, Secondary Education, Higher Education")</f>
        <v/>
      </c>
      <c r="Q1048" s="1">
        <f>IFERROR(__xludf.DUMMYFUNCTION("""COMPUTED_VALUE"""),"Student interfacing, Teacher interfacing")</f>
        <v/>
      </c>
      <c r="R1048" s="1" t="n"/>
      <c r="S1048" s="1" t="n"/>
      <c r="T1048" s="1" t="n"/>
      <c r="U1048" s="1">
        <f>IFERROR(__xludf.DUMMYFUNCTION("""COMPUTED_VALUE"""),"EdVisto")</f>
        <v/>
      </c>
      <c r="V1048" s="1">
        <f>IFERROR(__xludf.DUMMYFUNCTION("""COMPUTED_VALUE"""),"EdVisto.com is a web-based platform that transforms key elements from global sharing and social platforms like YouTube and Facebook into a powerful learning method designed for the education sector. It focuses on the creative and collaborative learning pr"&amp;"ocess during students’ creations of video stories and projects about any topic.
In the process, teachers are empowered in the facilitator role.")</f>
        <v/>
      </c>
      <c r="W1048" s="1">
        <f>IFERROR(__xludf.DUMMYFUNCTION("""COMPUTED_VALUE"""),"FilmVIA Kids")</f>
        <v/>
      </c>
      <c r="X1048" s="1">
        <f>IFERROR(__xludf.DUMMYFUNCTION("""COMPUTED_VALUE"""),"Inspired from the independent film festival world, FilmVIA Kids is the evaluation tool for all video-based learning. The tool is in creation in partnership with the film festival rating organisation filmvia.com, the upcoming official evaluation tool for 5"&amp;" film festivals, including the Helsinki Education Film Festival International: heffifinland.com")</f>
        <v/>
      </c>
      <c r="Y1048" s="15">
        <f>IFERROR(__xludf.DUMMYFUNCTION("""COMPUTED_VALUE"""),"https://drive.google.com/uc?export=view&amp;id=173V9Q6sjBpCD4cCxivSUEwWjnJxnRbvJ")</f>
        <v/>
      </c>
      <c r="Z1048" s="1">
        <f>IFERROR(__xludf.DUMMYFUNCTION("""COMPUTED_VALUE"""),"Unverified")</f>
        <v/>
      </c>
      <c r="AA1048" s="1" t="n"/>
      <c r="AB1048" s="1" t="n"/>
      <c r="AC1048" s="1" t="n"/>
      <c r="AD1048" s="1" t="n"/>
      <c r="AE1048" s="1" t="n"/>
    </row>
    <row r="1049" ht="42" customHeight="1">
      <c r="A1049" s="14">
        <f>IFERROR(__xludf.DUMMYFUNCTION("""COMPUTED_VALUE"""),45181)</f>
        <v/>
      </c>
      <c r="B1049" s="1">
        <f>IFERROR(__xludf.DUMMYFUNCTION("""COMPUTED_VALUE"""),"ORG_1476")</f>
        <v/>
      </c>
      <c r="C1049" s="1">
        <f>IFERROR(__xludf.DUMMYFUNCTION("""COMPUTED_VALUE"""),TRUE)</f>
        <v/>
      </c>
      <c r="D1049" s="1">
        <f>IFERROR(__xludf.DUMMYFUNCTION("""COMPUTED_VALUE"""),"Einsteins Square")</f>
        <v/>
      </c>
      <c r="E1049" s="15">
        <f>IFERROR(__xludf.DUMMYFUNCTION("""COMPUTED_VALUE"""),"http://square.lepreschools.com/")</f>
        <v/>
      </c>
      <c r="F1049" s="1">
        <f>IFERROR(__xludf.DUMMYFUNCTION("""COMPUTED_VALUE"""),"Tutor led innovative i-classes which focusses on small group classes for life skill subjects. From chess, math, art, coding and all the way to yoga , Einsteins Square has learners from 138 countries!")</f>
        <v/>
      </c>
      <c r="G1049" s="1">
        <f>IFERROR(__xludf.DUMMYFUNCTION("""COMPUTED_VALUE"""),"EdTech Estonia")</f>
        <v/>
      </c>
      <c r="H1049" s="1" t="n"/>
      <c r="I1049" s="1">
        <f>IFERROR(__xludf.DUMMYFUNCTION("""COMPUTED_VALUE"""),"kopal@lepreschools.com")</f>
        <v/>
      </c>
      <c r="J1049" s="1">
        <f>IFERROR(__xludf.DUMMYFUNCTION("""COMPUTED_VALUE"""),"+37253746186")</f>
        <v/>
      </c>
      <c r="K1049" s="1">
        <f>IFERROR(__xludf.DUMMYFUNCTION("""COMPUTED_VALUE"""),"TALLINN")</f>
        <v/>
      </c>
      <c r="L1049" s="1">
        <f>IFERROR(__xludf.DUMMYFUNCTION("""COMPUTED_VALUE"""),"Estonia")</f>
        <v/>
      </c>
      <c r="M1049" s="1">
        <f>IFERROR(__xludf.DUMMYFUNCTION("""COMPUTED_VALUE"""),"Germany, Poland, Portugal, Romania, Spain, United Kingdom")</f>
        <v/>
      </c>
      <c r="N1049" s="1">
        <f>IFERROR(__xludf.DUMMYFUNCTION("""COMPUTED_VALUE"""),"0 to 10")</f>
        <v/>
      </c>
      <c r="O1049" s="1">
        <f>IFERROR(__xludf.DUMMYFUNCTION("""COMPUTED_VALUE"""),"Business to Business, Business to Consumer")</f>
        <v/>
      </c>
      <c r="P1049" s="1">
        <f>IFERROR(__xludf.DUMMYFUNCTION("""COMPUTED_VALUE"""),"Early childhood development (0-5 years), Primary Education")</f>
        <v/>
      </c>
      <c r="Q1049" s="1">
        <f>IFERROR(__xludf.DUMMYFUNCTION("""COMPUTED_VALUE"""),"System/Administrative, Student interfacing")</f>
        <v/>
      </c>
      <c r="R1049" s="1" t="n"/>
      <c r="S1049" s="1" t="n"/>
      <c r="T1049" s="1" t="n"/>
      <c r="U1049" s="1">
        <f>IFERROR(__xludf.DUMMYFUNCTION("""COMPUTED_VALUE"""),"Einsteins Square")</f>
        <v/>
      </c>
      <c r="V1049" s="1">
        <f>IFERROR(__xludf.DUMMYFUNCTION("""COMPUTED_VALUE"""),"Einsteins Square has tutor led innovative interactive classes which are focussed on small group size. The teachers are highly qualified and experts in their field who endeavour to make each class fun and interactive for young learners. Catering to age 5 t"&amp;" 15 years these classes are in lifeskill subjects like chess, maths, coding , art and yoga. More than 10k learners from 138 countries , all enjoy classes at Einsteins Square!")</f>
        <v/>
      </c>
      <c r="W1049" s="1" t="n"/>
      <c r="X1049" s="1" t="n"/>
      <c r="Y1049" s="15">
        <f>IFERROR(__xludf.DUMMYFUNCTION("""COMPUTED_VALUE"""),"https://drive.google.com/uc?export=view&amp;id=1HNwxln9o1bCIFCAmEflCZ9iBrhWsBg3k")</f>
        <v/>
      </c>
      <c r="Z1049" s="1">
        <f>IFERROR(__xludf.DUMMYFUNCTION("""COMPUTED_VALUE"""),"Unverified")</f>
        <v/>
      </c>
      <c r="AA1049" s="1" t="n"/>
      <c r="AB1049" s="1" t="n"/>
      <c r="AC1049" s="1" t="n"/>
      <c r="AD1049" s="1" t="n"/>
      <c r="AE1049" s="1" t="n"/>
    </row>
    <row r="1050" ht="42" customHeight="1">
      <c r="A1050" s="14">
        <f>IFERROR(__xludf.DUMMYFUNCTION("""COMPUTED_VALUE"""),45181)</f>
        <v/>
      </c>
      <c r="B1050" s="1">
        <f>IFERROR(__xludf.DUMMYFUNCTION("""COMPUTED_VALUE"""),"ORG_1533")</f>
        <v/>
      </c>
      <c r="C1050" s="1">
        <f>IFERROR(__xludf.DUMMYFUNCTION("""COMPUTED_VALUE"""),TRUE)</f>
        <v/>
      </c>
      <c r="D1050" s="1">
        <f>IFERROR(__xludf.DUMMYFUNCTION("""COMPUTED_VALUE"""),"evulpo")</f>
        <v/>
      </c>
      <c r="E1050" s="15">
        <f>IFERROR(__xludf.DUMMYFUNCTION("""COMPUTED_VALUE"""),"www.evulpo.com")</f>
        <v/>
      </c>
      <c r="F1050" s="1">
        <f>IFERROR(__xludf.DUMMYFUNCTION("""COMPUTED_VALUE"""),"Making the world to a smarter place - that's what it's all about! evulpo is a freemium learning platform with thousands of explanatory videos, summaries and exercises for math, English or French topics relevant to the curriculum. The platform teaches you "&amp;"what you didn't understand at school. Always. Everywhere. Online. And for everyone.")</f>
        <v/>
      </c>
      <c r="G1050" s="1">
        <f>IFERROR(__xludf.DUMMYFUNCTION("""COMPUTED_VALUE"""),"I'm not part of any EdTech association")</f>
        <v/>
      </c>
      <c r="H1050" s="1" t="n"/>
      <c r="I1050" s="1">
        <f>IFERROR(__xludf.DUMMYFUNCTION("""COMPUTED_VALUE"""),"info@evulpo.com")</f>
        <v/>
      </c>
      <c r="J1050" s="1" t="n"/>
      <c r="K1050" s="1">
        <f>IFERROR(__xludf.DUMMYFUNCTION("""COMPUTED_VALUE"""),"ZURICH")</f>
        <v/>
      </c>
      <c r="L1050" s="1">
        <f>IFERROR(__xludf.DUMMYFUNCTION("""COMPUTED_VALUE"""),"Switzerland")</f>
        <v/>
      </c>
      <c r="M1050" s="1">
        <f>IFERROR(__xludf.DUMMYFUNCTION("""COMPUTED_VALUE"""),"Switzerland")</f>
        <v/>
      </c>
      <c r="N1050" s="1">
        <f>IFERROR(__xludf.DUMMYFUNCTION("""COMPUTED_VALUE"""),"51 to 100")</f>
        <v/>
      </c>
      <c r="O1050" s="1">
        <f>IFERROR(__xludf.DUMMYFUNCTION("""COMPUTED_VALUE"""),"Business to Business, Business to Consumer")</f>
        <v/>
      </c>
      <c r="P1050" s="1">
        <f>IFERROR(__xludf.DUMMYFUNCTION("""COMPUTED_VALUE"""),"Primary Education, Secondary Education")</f>
        <v/>
      </c>
      <c r="Q1050" s="1">
        <f>IFERROR(__xludf.DUMMYFUNCTION("""COMPUTED_VALUE"""),"System/Administrative, Student interfacing, Teacher interfacing")</f>
        <v/>
      </c>
      <c r="R1050" s="1" t="n"/>
      <c r="S1050" s="1" t="n"/>
      <c r="T1050" s="1" t="n"/>
      <c r="U1050" s="1" t="n"/>
      <c r="V1050" s="1" t="n"/>
      <c r="W1050" s="1" t="n"/>
      <c r="X1050" s="1" t="n"/>
      <c r="Y1050" s="15">
        <f>IFERROR(__xludf.DUMMYFUNCTION("""COMPUTED_VALUE"""),"https://drive.google.com/uc?export=view&amp;id=1vAuKQP2l0r89bV89zMzZfeYYFA1Zd-eg")</f>
        <v/>
      </c>
      <c r="Z1050" s="1">
        <f>IFERROR(__xludf.DUMMYFUNCTION("""COMPUTED_VALUE"""),"Unverified")</f>
        <v/>
      </c>
      <c r="AA1050" s="1" t="n"/>
      <c r="AB1050" s="1" t="n"/>
      <c r="AC1050" s="1" t="n"/>
      <c r="AD1050" s="1" t="n"/>
      <c r="AE1050" s="1" t="n"/>
    </row>
    <row r="1051" ht="42" customHeight="1">
      <c r="A1051" s="14">
        <f>IFERROR(__xludf.DUMMYFUNCTION("""COMPUTED_VALUE"""),45181)</f>
        <v/>
      </c>
      <c r="B1051" s="1">
        <f>IFERROR(__xludf.DUMMYFUNCTION("""COMPUTED_VALUE"""),"ORG_1538")</f>
        <v/>
      </c>
      <c r="C1051" s="1">
        <f>IFERROR(__xludf.DUMMYFUNCTION("""COMPUTED_VALUE"""),TRUE)</f>
        <v/>
      </c>
      <c r="D1051" s="1">
        <f>IFERROR(__xludf.DUMMYFUNCTION("""COMPUTED_VALUE"""),"Exams for Zoom")</f>
        <v/>
      </c>
      <c r="E1051" s="15">
        <f>IFERROR(__xludf.DUMMYFUNCTION("""COMPUTED_VALUE"""),"https://examsforzoom.com/")</f>
        <v/>
      </c>
      <c r="F1051" s="1">
        <f>IFERROR(__xludf.DUMMYFUNCTION("""COMPUTED_VALUE"""),"Exams for Zoom is a non-invasive solution for online exams that both institutions and participants can trust in a familiar Zoom environment. It’s as simple and easy as a video call, backed by years and millions of dollars in research, led by international"&amp;" education technology industry leaders. Exams for Zoom provides the foundation for trust, academic integrity and the future of assessment methodologies. Ranging from formative evaluations to highly regulated industry certifications. 
Features:
-Identity "&amp;"registration
-Face &amp; biometric recognition
-OCR process
-Liveness check
-Computer Vision
-Meta-assessment
-Live or unattended
-Non-invasive security
Assessment meta-data is captured with the ultimate goal of helping test-takers improve their exam perform"&amp;"ance as well as give hosts feedback on their assessments. Data like attention, focus, positiveness, assertion and facial expression help institutions and hosts differentiate an average from a great assessment.
In live sessions the host can interact and m"&amp;"onitor all participants, including their desktops, in real time. However, participants can only see and interact with the session host. We don’t block, prevent or control users actions, but merely alert users and the host of certain behaviors while docume"&amp;"nting, monitoring and collecting data.
We strictly follow GDPR guidelines. All the academic integrity settings can be enabled and disabled by the host and/or institution. Some interfaces and proctoring solutions have focused on an almost Orwellian type o"&amp;"f control with unfamiliar daunting interfaces.Exams for Zoom provides an alternative assessment experience with the aim of improving overall experience as we look towards the future of online assessment.")</f>
        <v/>
      </c>
      <c r="G1051" s="1">
        <f>IFERROR(__xludf.DUMMYFUNCTION("""COMPUTED_VALUE"""),"I'm not part of any EdTech association")</f>
        <v/>
      </c>
      <c r="H1051" s="1" t="n"/>
      <c r="I1051" s="1">
        <f>IFERROR(__xludf.DUMMYFUNCTION("""COMPUTED_VALUE"""),"dduran@wearexams.com")</f>
        <v/>
      </c>
      <c r="J1051" s="1" t="n"/>
      <c r="K1051" s="1">
        <f>IFERROR(__xludf.DUMMYFUNCTION("""COMPUTED_VALUE"""),"Valencia")</f>
        <v/>
      </c>
      <c r="L1051" s="1">
        <f>IFERROR(__xludf.DUMMYFUNCTION("""COMPUTED_VALUE"""),"Spain")</f>
        <v/>
      </c>
      <c r="M1051" s="1">
        <f>IFERROR(__xludf.DUMMYFUNCTION("""COMPUTED_VALUE"""),"Italy, Netherlands, Portugal, Spain, United Kingdom")</f>
        <v/>
      </c>
      <c r="N1051" s="1">
        <f>IFERROR(__xludf.DUMMYFUNCTION("""COMPUTED_VALUE"""),"0 to 10")</f>
        <v/>
      </c>
      <c r="O1051" s="1">
        <f>IFERROR(__xludf.DUMMYFUNCTION("""COMPUTED_VALUE"""),"Business to Business, Business to Consumer, Business to Government")</f>
        <v/>
      </c>
      <c r="P1051" s="1">
        <f>IFERROR(__xludf.DUMMYFUNCTION("""COMPUTED_VALUE"""),"Higher Education, Corporate Training, Lifelong learning/Adult education")</f>
        <v/>
      </c>
      <c r="Q1051" s="1">
        <f>IFERROR(__xludf.DUMMYFUNCTION("""COMPUTED_VALUE"""),"Student interfacing, Teacher interfacing, System/Administrative")</f>
        <v/>
      </c>
      <c r="R1051" s="1" t="n"/>
      <c r="S1051" s="1" t="n"/>
      <c r="T1051" s="1" t="n"/>
      <c r="U1051" s="1" t="n"/>
      <c r="V1051" s="1" t="n"/>
      <c r="W1051" s="1" t="n"/>
      <c r="X1051" s="1" t="n"/>
      <c r="Y1051" s="15">
        <f>IFERROR(__xludf.DUMMYFUNCTION("""COMPUTED_VALUE"""),"https://drive.google.com/uc?export=view&amp;id=1cQjKSAkHW43xkuT1CbXedzS81KAOEPZF")</f>
        <v/>
      </c>
      <c r="Z1051" s="1">
        <f>IFERROR(__xludf.DUMMYFUNCTION("""COMPUTED_VALUE"""),"Unverified")</f>
        <v/>
      </c>
      <c r="AA1051" s="1" t="n"/>
      <c r="AB1051" s="1" t="n"/>
      <c r="AC1051" s="1" t="n"/>
      <c r="AD1051" s="1" t="n"/>
      <c r="AE1051" s="1" t="n"/>
    </row>
    <row r="1052" ht="42" customHeight="1">
      <c r="A1052" s="14">
        <f>IFERROR(__xludf.DUMMYFUNCTION("""COMPUTED_VALUE"""),45181)</f>
        <v/>
      </c>
      <c r="B1052" s="1">
        <f>IFERROR(__xludf.DUMMYFUNCTION("""COMPUTED_VALUE"""),"ORG_1591")</f>
        <v/>
      </c>
      <c r="C1052" s="1">
        <f>IFERROR(__xludf.DUMMYFUNCTION("""COMPUTED_VALUE"""),TRUE)</f>
        <v/>
      </c>
      <c r="D1052" s="1">
        <f>IFERROR(__xludf.DUMMYFUNCTION("""COMPUTED_VALUE"""),"FullSpektrum")</f>
        <v/>
      </c>
      <c r="E1052" s="15">
        <f>IFERROR(__xludf.DUMMYFUNCTION("""COMPUTED_VALUE"""),"www.fullspektrum.co.uk")</f>
        <v/>
      </c>
      <c r="F1052" s="1">
        <f>IFERROR(__xludf.DUMMYFUNCTION("""COMPUTED_VALUE"""),"FullSpektrum is a London-based innovation company, providing ground-breaking technologies and services designed to facilitate the full digital transformation of local education and integrated care services for neurodivergent learners, including children a"&amp;"nd young people with Special Educational 
Needs &amp; Disabilities (SEND).")</f>
        <v/>
      </c>
      <c r="G1052" s="1">
        <f>IFERROR(__xludf.DUMMYFUNCTION("""COMPUTED_VALUE"""),"I'm not part of any EdTech association")</f>
        <v/>
      </c>
      <c r="H1052" s="1" t="n"/>
      <c r="I1052" s="1">
        <f>IFERROR(__xludf.DUMMYFUNCTION("""COMPUTED_VALUE"""),"info@fullspektrum.co.uk")</f>
        <v/>
      </c>
      <c r="J1052" s="1">
        <f>IFERROR(__xludf.DUMMYFUNCTION("""COMPUTED_VALUE"""),"+44 7710536043")</f>
        <v/>
      </c>
      <c r="K1052" s="1">
        <f>IFERROR(__xludf.DUMMYFUNCTION("""COMPUTED_VALUE"""),"LONDON")</f>
        <v/>
      </c>
      <c r="L1052" s="1">
        <f>IFERROR(__xludf.DUMMYFUNCTION("""COMPUTED_VALUE"""),"United Kingdom")</f>
        <v/>
      </c>
      <c r="M1052" s="1">
        <f>IFERROR(__xludf.DUMMYFUNCTION("""COMPUTED_VALUE"""),"United Kingdom")</f>
        <v/>
      </c>
      <c r="N1052" s="1">
        <f>IFERROR(__xludf.DUMMYFUNCTION("""COMPUTED_VALUE"""),"0 to 10")</f>
        <v/>
      </c>
      <c r="O1052" s="1">
        <f>IFERROR(__xludf.DUMMYFUNCTION("""COMPUTED_VALUE"""),"Business to Business, Business to Consumer, Business to Government")</f>
        <v/>
      </c>
      <c r="P1052" s="1">
        <f>IFERROR(__xludf.DUMMYFUNCTION("""COMPUTED_VALUE"""),"Early childhood development (0-5 years), Primary Education, Secondary Education, Higher Education, Lifelong learning/Adult education")</f>
        <v/>
      </c>
      <c r="Q1052" s="1">
        <f>IFERROR(__xludf.DUMMYFUNCTION("""COMPUTED_VALUE"""),"Teacher interfacing, Student interfacing, System/Administrative")</f>
        <v/>
      </c>
      <c r="R1052" s="1" t="n"/>
      <c r="S1052" s="1" t="n"/>
      <c r="T1052" s="1" t="n"/>
      <c r="U1052" s="1" t="n"/>
      <c r="V1052" s="1" t="n"/>
      <c r="W1052" s="1" t="n"/>
      <c r="X1052" s="1" t="n"/>
      <c r="Y1052" s="15">
        <f>IFERROR(__xludf.DUMMYFUNCTION("""COMPUTED_VALUE"""),"https://drive.google.com/uc?export=view&amp;id=1bAvVthCr02Tc_X97oLvmK6WrX7OZeeDv")</f>
        <v/>
      </c>
      <c r="Z1052" s="1">
        <f>IFERROR(__xludf.DUMMYFUNCTION("""COMPUTED_VALUE"""),"Unverified")</f>
        <v/>
      </c>
      <c r="AA1052" s="1" t="n"/>
      <c r="AB1052" s="1" t="n"/>
      <c r="AC1052" s="1" t="n"/>
      <c r="AD1052" s="1" t="n"/>
      <c r="AE1052" s="1" t="n"/>
    </row>
    <row r="1053" ht="42" customHeight="1">
      <c r="A1053" s="14">
        <f>IFERROR(__xludf.DUMMYFUNCTION("""COMPUTED_VALUE"""),45181)</f>
        <v/>
      </c>
      <c r="B1053" s="1">
        <f>IFERROR(__xludf.DUMMYFUNCTION("""COMPUTED_VALUE"""),"ORG_1603")</f>
        <v/>
      </c>
      <c r="C1053" s="1">
        <f>IFERROR(__xludf.DUMMYFUNCTION("""COMPUTED_VALUE"""),TRUE)</f>
        <v/>
      </c>
      <c r="D1053" s="1">
        <f>IFERROR(__xludf.DUMMYFUNCTION("""COMPUTED_VALUE"""),"gamedoo")</f>
        <v/>
      </c>
      <c r="E1053" s="15">
        <f>IFERROR(__xludf.DUMMYFUNCTION("""COMPUTED_VALUE"""),"https://www.gamedoo.it")</f>
        <v/>
      </c>
      <c r="F1053" s="1">
        <f>IFERROR(__xludf.DUMMYFUNCTION("""COMPUTED_VALUE"""),"Gamedoo provides learning experiences and learning games with an education theme, through a video game platform.
Video games are designed according to the rules of the serious game and allow users to learn according to game mechanics and dynamics that are"&amp;" inspired by topics and educational content.
Gamedoo is part of OperaLogica's innovative ecosystem.")</f>
        <v/>
      </c>
      <c r="G1053" s="1">
        <f>IFERROR(__xludf.DUMMYFUNCTION("""COMPUTED_VALUE"""),"I'm not part of any EdTech association")</f>
        <v/>
      </c>
      <c r="H1053" s="1" t="n"/>
      <c r="I1053" s="1">
        <f>IFERROR(__xludf.DUMMYFUNCTION("""COMPUTED_VALUE"""),"team@gamedoo.it")</f>
        <v/>
      </c>
      <c r="J1053" s="1" t="n"/>
      <c r="K1053" s="1">
        <f>IFERROR(__xludf.DUMMYFUNCTION("""COMPUTED_VALUE"""),"GARBAGNATE MILANESE")</f>
        <v/>
      </c>
      <c r="L1053" s="1">
        <f>IFERROR(__xludf.DUMMYFUNCTION("""COMPUTED_VALUE"""),"Italy")</f>
        <v/>
      </c>
      <c r="M1053" s="1">
        <f>IFERROR(__xludf.DUMMYFUNCTION("""COMPUTED_VALUE"""),"Italy, Spain, Switzerland, United Kingdom")</f>
        <v/>
      </c>
      <c r="N1053" s="1">
        <f>IFERROR(__xludf.DUMMYFUNCTION("""COMPUTED_VALUE"""),"0 to 10")</f>
        <v/>
      </c>
      <c r="O1053" s="1">
        <f>IFERROR(__xludf.DUMMYFUNCTION("""COMPUTED_VALUE"""),"Business to Business, Business to Consumer, Business to Government, Business to Schools")</f>
        <v/>
      </c>
      <c r="P1053" s="1">
        <f>IFERROR(__xludf.DUMMYFUNCTION("""COMPUTED_VALUE"""),"Secondary Education, Corporate Training, Lifelong learning/Adult education")</f>
        <v/>
      </c>
      <c r="Q1053" s="1">
        <f>IFERROR(__xludf.DUMMYFUNCTION("""COMPUTED_VALUE"""),"Student interfacing, Teacher interfacing, System/Administrative")</f>
        <v/>
      </c>
      <c r="R1053" s="1" t="n"/>
      <c r="S1053" s="1" t="n"/>
      <c r="T1053" s="15">
        <f>IFERROR(__xludf.DUMMYFUNCTION("""COMPUTED_VALUE"""),"https://www.linkedin.com/company/gamedoo")</f>
        <v/>
      </c>
      <c r="U1053" s="1">
        <f>IFERROR(__xludf.DUMMYFUNCTION("""COMPUTED_VALUE"""),"gamedoo")</f>
        <v/>
      </c>
      <c r="V1053" s="1">
        <f>IFERROR(__xludf.DUMMYFUNCTION("""COMPUTED_VALUE"""),"Gamedoo builds digital and interactive learning paths for both schools and companies, where the result is not just fun, but the acquisition of skills and knowledge that can be measured on a personal level. The platform collects educational content and the"&amp;"n proceeds to the design of the game dynamics in a context of competitive, collaborative and narrative game design.")</f>
        <v/>
      </c>
      <c r="W1053" s="1" t="n"/>
      <c r="X1053" s="1" t="n"/>
      <c r="Y1053" s="15">
        <f>IFERROR(__xludf.DUMMYFUNCTION("""COMPUTED_VALUE"""),"https://drive.google.com/uc?export=view&amp;id=1xjVYpE8jPDaqO1QnCHXKY9SvC2SvzFVa")</f>
        <v/>
      </c>
      <c r="Z1053" s="1">
        <f>IFERROR(__xludf.DUMMYFUNCTION("""COMPUTED_VALUE"""),"Unverified")</f>
        <v/>
      </c>
      <c r="AA1053" s="1" t="n"/>
      <c r="AB1053" s="1" t="n"/>
      <c r="AC1053" s="1" t="n"/>
      <c r="AD1053" s="1" t="n"/>
      <c r="AE1053" s="1" t="n"/>
    </row>
    <row r="1054" ht="42" customHeight="1">
      <c r="A1054" s="14">
        <f>IFERROR(__xludf.DUMMYFUNCTION("""COMPUTED_VALUE"""),45181)</f>
        <v/>
      </c>
      <c r="B1054" s="1">
        <f>IFERROR(__xludf.DUMMYFUNCTION("""COMPUTED_VALUE"""),"ORG_1627")</f>
        <v/>
      </c>
      <c r="C1054" s="1">
        <f>IFERROR(__xludf.DUMMYFUNCTION("""COMPUTED_VALUE"""),TRUE)</f>
        <v/>
      </c>
      <c r="D1054" s="1">
        <f>IFERROR(__xludf.DUMMYFUNCTION("""COMPUTED_VALUE"""),"Global Technological Education Network")</f>
        <v/>
      </c>
      <c r="E1054" s="15">
        <f>IFERROR(__xludf.DUMMYFUNCTION("""COMPUTED_VALUE"""),"www.gten.uk")</f>
        <v/>
      </c>
      <c r="F1054" s="1">
        <f>IFERROR(__xludf.DUMMYFUNCTION("""COMPUTED_VALUE"""),"GTEN specialized in harnessing communication and information technology in the educational process by rehabilitating educational institutions technologically by providing the best devices, systems and software, training teachers and acquiring modern aids "&amp;"for teaching in the classroom or distance education
GTEN works more with the governments of countries through the ministries of education to build their technology education strategies and to contribute to the training of teachers to be able to use techn"&amp;"ology in education")</f>
        <v/>
      </c>
      <c r="G1054" s="1">
        <f>IFERROR(__xludf.DUMMYFUNCTION("""COMPUTED_VALUE"""),"I'm not part of any EdTech association")</f>
        <v/>
      </c>
      <c r="H1054" s="1" t="n"/>
      <c r="I1054" s="1">
        <f>IFERROR(__xludf.DUMMYFUNCTION("""COMPUTED_VALUE"""),"technological.education@outlook.com")</f>
        <v/>
      </c>
      <c r="J1054" s="1">
        <f>IFERROR(__xludf.DUMMYFUNCTION("""COMPUTED_VALUE"""),"+447471008704")</f>
        <v/>
      </c>
      <c r="K1054" s="1">
        <f>IFERROR(__xludf.DUMMYFUNCTION("""COMPUTED_VALUE"""),"Cambridge")</f>
        <v/>
      </c>
      <c r="L1054" s="1">
        <f>IFERROR(__xludf.DUMMYFUNCTION("""COMPUTED_VALUE"""),"United Kingdom")</f>
        <v/>
      </c>
      <c r="M1054" s="1">
        <f>IFERROR(__xludf.DUMMYFUNCTION("""COMPUTED_VALUE"""),"Albania, Armenia, Azerbaijan, Belarus, Bosnia and Herzegovina, Greece, Turkey")</f>
        <v/>
      </c>
      <c r="N1054" s="1">
        <f>IFERROR(__xludf.DUMMYFUNCTION("""COMPUTED_VALUE"""),"11 to 50")</f>
        <v/>
      </c>
      <c r="O1054" s="1">
        <f>IFERROR(__xludf.DUMMYFUNCTION("""COMPUTED_VALUE"""),"Business to Business, Business to Consumer, Business to Government, Business to Schools")</f>
        <v/>
      </c>
      <c r="P1054" s="1">
        <f>IFERROR(__xludf.DUMMYFUNCTION("""COMPUTED_VALUE"""),"Primary Education, Secondary Education, Higher Education, Corporate Training")</f>
        <v/>
      </c>
      <c r="Q1054" s="1">
        <f>IFERROR(__xludf.DUMMYFUNCTION("""COMPUTED_VALUE"""),"Teacher interfacing, System/Administrative, Student interfacing")</f>
        <v/>
      </c>
      <c r="R1054" s="1" t="n"/>
      <c r="S1054" s="1" t="n"/>
      <c r="T1054" s="1" t="n"/>
      <c r="U1054" s="1" t="n"/>
      <c r="V1054" s="1" t="n"/>
      <c r="W1054" s="1" t="n"/>
      <c r="X1054" s="1" t="n"/>
      <c r="Y1054" s="15">
        <f>IFERROR(__xludf.DUMMYFUNCTION("""COMPUTED_VALUE"""),"https://drive.google.com/uc?export=view&amp;id=1jxnCYv5l03Nd5OrW9uo7EKrV0Rrw2ZgD")</f>
        <v/>
      </c>
      <c r="Z1054" s="1">
        <f>IFERROR(__xludf.DUMMYFUNCTION("""COMPUTED_VALUE"""),"Unverified")</f>
        <v/>
      </c>
      <c r="AA1054" s="1" t="n"/>
      <c r="AB1054" s="1" t="n"/>
      <c r="AC1054" s="1" t="n"/>
      <c r="AD1054" s="1" t="n"/>
      <c r="AE1054" s="1" t="n"/>
    </row>
    <row r="1055" ht="42" customHeight="1">
      <c r="A1055" s="14">
        <f>IFERROR(__xludf.DUMMYFUNCTION("""COMPUTED_VALUE"""),45181)</f>
        <v/>
      </c>
      <c r="B1055" s="1">
        <f>IFERROR(__xludf.DUMMYFUNCTION("""COMPUTED_VALUE"""),"ORG_1643")</f>
        <v/>
      </c>
      <c r="C1055" s="1">
        <f>IFERROR(__xludf.DUMMYFUNCTION("""COMPUTED_VALUE"""),TRUE)</f>
        <v/>
      </c>
      <c r="D1055" s="1">
        <f>IFERROR(__xludf.DUMMYFUNCTION("""COMPUTED_VALUE"""),"Grave Cool")</f>
        <v/>
      </c>
      <c r="E1055" s="15">
        <f>IFERROR(__xludf.DUMMYFUNCTION("""COMPUTED_VALUE"""),"www.grave.cool")</f>
        <v/>
      </c>
      <c r="F1055" s="1">
        <f>IFERROR(__xludf.DUMMYFUNCTION("""COMPUTED_VALUE"""),"Grave Cool is a start-up that offers its customers, training organizations, an innovative business model and a unique way of collaboration.
As Social business, Grave Cool accompanies its customers throughout the digitalization of their training catalog b"&amp;"y pursuing a long-term partnership dynamic.
Implementation of a digitalization strategy, joint creation of the digitalization economic plan, digitalized products development, marketing, educational and technical exploitation, Grave Cool intervenes at all"&amp;" stages of the project with a collaborative and global approach alongside its clients.
By offering a cooperative environment, Grave Cool contributes to increasing the value of its clients' training and guaranteeing their sustainability by placing digital"&amp;"ization at the center of their development.")</f>
        <v/>
      </c>
      <c r="G1055" s="1">
        <f>IFERROR(__xludf.DUMMYFUNCTION("""COMPUTED_VALUE"""),"EdTech France")</f>
        <v/>
      </c>
      <c r="H1055" s="1" t="n"/>
      <c r="I1055" s="1">
        <f>IFERROR(__xludf.DUMMYFUNCTION("""COMPUTED_VALUE"""),"pascal.p@grave.cool")</f>
        <v/>
      </c>
      <c r="J1055" s="1">
        <f>IFERROR(__xludf.DUMMYFUNCTION("""COMPUTED_VALUE"""),"+33 6 87 46 26 45")</f>
        <v/>
      </c>
      <c r="K1055" s="1">
        <f>IFERROR(__xludf.DUMMYFUNCTION("""COMPUTED_VALUE"""),"Paris")</f>
        <v/>
      </c>
      <c r="L1055" s="1">
        <f>IFERROR(__xludf.DUMMYFUNCTION("""COMPUTED_VALUE"""),"France")</f>
        <v/>
      </c>
      <c r="M1055" s="1">
        <f>IFERROR(__xludf.DUMMYFUNCTION("""COMPUTED_VALUE"""),"France")</f>
        <v/>
      </c>
      <c r="N1055" s="1">
        <f>IFERROR(__xludf.DUMMYFUNCTION("""COMPUTED_VALUE"""),"0 to 10")</f>
        <v/>
      </c>
      <c r="O1055" s="1">
        <f>IFERROR(__xludf.DUMMYFUNCTION("""COMPUTED_VALUE"""),"Business to Business, Business to Consumer, Business to Government, Business to Schools")</f>
        <v/>
      </c>
      <c r="P1055" s="1">
        <f>IFERROR(__xludf.DUMMYFUNCTION("""COMPUTED_VALUE"""),"Higher Education, Corporate Training, Lifelong learning/Adult education")</f>
        <v/>
      </c>
      <c r="Q1055" s="1">
        <f>IFERROR(__xludf.DUMMYFUNCTION("""COMPUTED_VALUE"""),"Student interfacing, Teacher interfacing, System/Administrative")</f>
        <v/>
      </c>
      <c r="R1055" s="1" t="n"/>
      <c r="S1055" s="1" t="n"/>
      <c r="T1055" s="15">
        <f>IFERROR(__xludf.DUMMYFUNCTION("""COMPUTED_VALUE"""),"https://www.linkedin.com/company/grave-cool/")</f>
        <v/>
      </c>
      <c r="U1055" s="1">
        <f>IFERROR(__xludf.DUMMYFUNCTION("""COMPUTED_VALUE"""),"Le COOC Gardien")</f>
        <v/>
      </c>
      <c r="V1055" s="1">
        <f>IFERROR(__xludf.DUMMYFUNCTION("""COMPUTED_VALUE"""),"The COOC Gardien is a serious game: a video game in which you are the hero, intended for future building caretakers.
A subtle mix of theory and practice, the AFPOLS blended building caretaker course combines face-to-face training with self-study immersed "&amp;"in a gamified 3D environment.
Scenarios, quizzes, expert videos, educational sheets, chats, the serious game energizes learning situations to develop the skills of professionals and lead them to obtain a professional certification")</f>
        <v/>
      </c>
      <c r="W1055" s="1" t="n"/>
      <c r="X1055" s="1" t="n"/>
      <c r="Y1055" s="15">
        <f>IFERROR(__xludf.DUMMYFUNCTION("""COMPUTED_VALUE"""),"https://drive.google.com/uc?export=view&amp;id=1ga3CmUt7yGrbhgfZSJxyrPoGz3KV9ckb")</f>
        <v/>
      </c>
      <c r="Z1055" s="1">
        <f>IFERROR(__xludf.DUMMYFUNCTION("""COMPUTED_VALUE"""),"Unverified")</f>
        <v/>
      </c>
      <c r="AA1055" s="1" t="n"/>
      <c r="AB1055" s="1" t="n"/>
      <c r="AC1055" s="1" t="n"/>
      <c r="AD1055" s="1" t="n"/>
      <c r="AE1055" s="1" t="n"/>
    </row>
    <row r="1056" ht="42" customHeight="1">
      <c r="A1056" s="14">
        <f>IFERROR(__xludf.DUMMYFUNCTION("""COMPUTED_VALUE"""),45181)</f>
        <v/>
      </c>
      <c r="B1056" s="1">
        <f>IFERROR(__xludf.DUMMYFUNCTION("""COMPUTED_VALUE"""),"ORG_1651")</f>
        <v/>
      </c>
      <c r="C1056" s="1">
        <f>IFERROR(__xludf.DUMMYFUNCTION("""COMPUTED_VALUE"""),TRUE)</f>
        <v/>
      </c>
      <c r="D1056" s="1">
        <f>IFERROR(__xludf.DUMMYFUNCTION("""COMPUTED_VALUE"""),"Guide Education")</f>
        <v/>
      </c>
      <c r="E1056" s="15">
        <f>IFERROR(__xludf.DUMMYFUNCTION("""COMPUTED_VALUE"""),"Www.guideeducation.co.uk")</f>
        <v/>
      </c>
      <c r="F1056" s="1">
        <f>IFERROR(__xludf.DUMMYFUNCTION("""COMPUTED_VALUE"""),"Guide Education creates technology and content that improves teaching practice and creates better teachers. Inside and outside the classroom. Used by over 1000 schools to train all staff online with global expertise and best practice. Used by parents to u"&amp;"nderstand how their children learn and to become a better influence on their education.")</f>
        <v/>
      </c>
      <c r="G1056" s="1">
        <f>IFERROR(__xludf.DUMMYFUNCTION("""COMPUTED_VALUE"""),"I'm not part of any EdTech association")</f>
        <v/>
      </c>
      <c r="H1056" s="1" t="n"/>
      <c r="I1056" s="1">
        <f>IFERROR(__xludf.DUMMYFUNCTION("""COMPUTED_VALUE"""),"hello@guideeducation.co.uk")</f>
        <v/>
      </c>
      <c r="J1056" s="1" t="n"/>
      <c r="K1056" s="1">
        <f>IFERROR(__xludf.DUMMYFUNCTION("""COMPUTED_VALUE"""),"RAITHBY")</f>
        <v/>
      </c>
      <c r="L1056" s="1">
        <f>IFERROR(__xludf.DUMMYFUNCTION("""COMPUTED_VALUE"""),"United Kingdom")</f>
        <v/>
      </c>
      <c r="M1056" s="1">
        <f>IFERROR(__xludf.DUMMYFUNCTION("""COMPUTED_VALUE"""),"Ireland, Italy, Portugal, Spain, United Kingdom")</f>
        <v/>
      </c>
      <c r="N1056" s="1">
        <f>IFERROR(__xludf.DUMMYFUNCTION("""COMPUTED_VALUE"""),"11 to 50")</f>
        <v/>
      </c>
      <c r="O1056" s="1">
        <f>IFERROR(__xludf.DUMMYFUNCTION("""COMPUTED_VALUE"""),"Business to Business, Business to Consumer, Business to Schools")</f>
        <v/>
      </c>
      <c r="P1056" s="1">
        <f>IFERROR(__xludf.DUMMYFUNCTION("""COMPUTED_VALUE"""),"Early childhood development (0-5 years), Primary Education, Secondary Education, Lifelong learning/Adult education")</f>
        <v/>
      </c>
      <c r="Q1056" s="1">
        <f>IFERROR(__xludf.DUMMYFUNCTION("""COMPUTED_VALUE"""),"System/Administrative, Teacher interfacing, Student interfacing")</f>
        <v/>
      </c>
      <c r="R1056" s="1" t="n"/>
      <c r="S1056" s="1" t="n"/>
      <c r="T1056" s="1" t="n"/>
      <c r="U1056" s="1" t="n"/>
      <c r="V1056" s="1" t="n"/>
      <c r="W1056" s="1" t="n"/>
      <c r="X1056" s="1" t="n"/>
      <c r="Y1056" s="15">
        <f>IFERROR(__xludf.DUMMYFUNCTION("""COMPUTED_VALUE"""),"https://drive.google.com/uc?export=view&amp;id=19VnHOFBYiRYJUWuLO1HZ0W8x7FB2Sl0P")</f>
        <v/>
      </c>
      <c r="Z1056" s="1">
        <f>IFERROR(__xludf.DUMMYFUNCTION("""COMPUTED_VALUE"""),"Unverified")</f>
        <v/>
      </c>
      <c r="AA1056" s="1" t="n"/>
      <c r="AB1056" s="1" t="n"/>
      <c r="AC1056" s="1" t="n"/>
      <c r="AD1056" s="1" t="n"/>
      <c r="AE1056" s="1" t="n"/>
    </row>
    <row r="1057" ht="42" customHeight="1">
      <c r="A1057" s="14">
        <f>IFERROR(__xludf.DUMMYFUNCTION("""COMPUTED_VALUE"""),45181)</f>
        <v/>
      </c>
      <c r="B1057" s="1">
        <f>IFERROR(__xludf.DUMMYFUNCTION("""COMPUTED_VALUE"""),"ORG_1655")</f>
        <v/>
      </c>
      <c r="C1057" s="1">
        <f>IFERROR(__xludf.DUMMYFUNCTION("""COMPUTED_VALUE"""),TRUE)</f>
        <v/>
      </c>
      <c r="D1057" s="1">
        <f>IFERROR(__xludf.DUMMYFUNCTION("""COMPUTED_VALUE"""),"H4Young")</f>
        <v/>
      </c>
      <c r="E1057" s="15">
        <f>IFERROR(__xludf.DUMMYFUNCTION("""COMPUTED_VALUE"""),"www.h4young.it")</f>
        <v/>
      </c>
      <c r="F1057" s="1">
        <f>IFERROR(__xludf.DUMMYFUNCTION("""COMPUTED_VALUE"""),"H4Young is a space where every young person can find multiple opportunities to discover their own value, cultivate their passions and reach their goals.
The project aims to assist the youngest generations during the process of looking for a new study or b"&amp;"efore choosing the most suitable work experience. Resources and instruments are organised to offer qualified help and valid guidance. Through a variety of tools users can enter into a personalised path leading into suggested choice of learning and profess"&amp;"ion for their future.
H4Young is a HUB that works mainly in 3 directions: helping YOUNG PEOPLE, organising projects with SCHOOLS and functioning as a bridge between COMPANY , Schools and young people.")</f>
        <v/>
      </c>
      <c r="G1057" s="1">
        <f>IFERROR(__xludf.DUMMYFUNCTION("""COMPUTED_VALUE"""),"I'm not part of any EdTech association")</f>
        <v/>
      </c>
      <c r="H1057" s="1" t="n"/>
      <c r="I1057" s="1">
        <f>IFERROR(__xludf.DUMMYFUNCTION("""COMPUTED_VALUE"""),"aradin@h4young.it")</f>
        <v/>
      </c>
      <c r="J1057" s="1">
        <f>IFERROR(__xludf.DUMMYFUNCTION("""COMPUTED_VALUE"""),"+303406699578")</f>
        <v/>
      </c>
      <c r="K1057" s="1">
        <f>IFERROR(__xludf.DUMMYFUNCTION("""COMPUTED_VALUE"""),"Pordenone")</f>
        <v/>
      </c>
      <c r="L1057" s="1">
        <f>IFERROR(__xludf.DUMMYFUNCTION("""COMPUTED_VALUE"""),"Italy")</f>
        <v/>
      </c>
      <c r="M1057" s="1">
        <f>IFERROR(__xludf.DUMMYFUNCTION("""COMPUTED_VALUE"""),"Italy, Spain")</f>
        <v/>
      </c>
      <c r="N1057" s="1">
        <f>IFERROR(__xludf.DUMMYFUNCTION("""COMPUTED_VALUE"""),"0 to 10")</f>
        <v/>
      </c>
      <c r="O1057" s="1">
        <f>IFERROR(__xludf.DUMMYFUNCTION("""COMPUTED_VALUE"""),"Business to Business, Business to Consumer, Business to Schools")</f>
        <v/>
      </c>
      <c r="P1057" s="1">
        <f>IFERROR(__xludf.DUMMYFUNCTION("""COMPUTED_VALUE"""),"Secondary Education, Higher Education, Corporate Training, Lifelong learning/Adult education")</f>
        <v/>
      </c>
      <c r="Q1057" s="1">
        <f>IFERROR(__xludf.DUMMYFUNCTION("""COMPUTED_VALUE"""),"Student interfacing, Teacher interfacing, System/Administrative")</f>
        <v/>
      </c>
      <c r="R1057" s="1">
        <f>IFERROR(__xludf.DUMMYFUNCTION("""COMPUTED_VALUE"""),"@h4young_it")</f>
        <v/>
      </c>
      <c r="S1057" s="1" t="n"/>
      <c r="T1057" s="15">
        <f>IFERROR(__xludf.DUMMYFUNCTION("""COMPUTED_VALUE"""),"https://www.linkedin.com/company/h4young")</f>
        <v/>
      </c>
      <c r="U1057" s="1">
        <f>IFERROR(__xludf.DUMMYFUNCTION("""COMPUTED_VALUE"""),"To Young People")</f>
        <v/>
      </c>
      <c r="V1057" s="1">
        <f>IFERROR(__xludf.DUMMYFUNCTION("""COMPUTED_VALUE"""),"Our site offers different tests to value their skills and attitudes which lead than into courses, videos, books and guidance from mentors. 
The instruments and resources are design for youth which with to enter into the right carreer, project development"&amp;" of creating a new business
We also offers service as Career coaching")</f>
        <v/>
      </c>
      <c r="W1057" s="1">
        <f>IFERROR(__xludf.DUMMYFUNCTION("""COMPUTED_VALUE"""),"To School")</f>
        <v/>
      </c>
      <c r="X1057" s="1">
        <f>IFERROR(__xludf.DUMMYFUNCTION("""COMPUTED_VALUE"""),"We offer partnership for 
- Hackaton with challenges from companies
- Creativity Camp
- Career guidance projects
- Organization of projects that bring together young people and businesses
- Training courses to learn robotics")</f>
        <v/>
      </c>
      <c r="Y1057" s="15">
        <f>IFERROR(__xludf.DUMMYFUNCTION("""COMPUTED_VALUE"""),"https://drive.google.com/uc?export=view&amp;id=1fLoaUuARhF5hJMgNySGm5ze6zpPr2Uvj")</f>
        <v/>
      </c>
      <c r="Z1057" s="1">
        <f>IFERROR(__xludf.DUMMYFUNCTION("""COMPUTED_VALUE"""),"Unverified")</f>
        <v/>
      </c>
      <c r="AA1057" s="1" t="n"/>
      <c r="AB1057" s="1" t="n"/>
      <c r="AC1057" s="1" t="n"/>
      <c r="AD1057" s="1" t="n"/>
      <c r="AE1057" s="1" t="n"/>
    </row>
    <row r="1058" ht="42" customHeight="1">
      <c r="A1058" s="14">
        <f>IFERROR(__xludf.DUMMYFUNCTION("""COMPUTED_VALUE"""),45181)</f>
        <v/>
      </c>
      <c r="B1058" s="1">
        <f>IFERROR(__xludf.DUMMYFUNCTION("""COMPUTED_VALUE"""),"ORG_1679")</f>
        <v/>
      </c>
      <c r="C1058" s="1">
        <f>IFERROR(__xludf.DUMMYFUNCTION("""COMPUTED_VALUE"""),TRUE)</f>
        <v/>
      </c>
      <c r="D1058" s="1">
        <f>IFERROR(__xludf.DUMMYFUNCTION("""COMPUTED_VALUE"""),"Hololink")</f>
        <v/>
      </c>
      <c r="E1058" s="15">
        <f>IFERROR(__xludf.DUMMYFUNCTION("""COMPUTED_VALUE"""),"https://www.hololink.io/")</f>
        <v/>
      </c>
      <c r="F1058" s="1">
        <f>IFERROR(__xludf.DUMMYFUNCTION("""COMPUTED_VALUE"""),"Augmented reality for your classroom.
Hololink makes it easy for students and teachers to create interactive augmented reality learning experiences. No app download is needed. Works on any device.")</f>
        <v/>
      </c>
      <c r="G1058" s="1">
        <f>IFERROR(__xludf.DUMMYFUNCTION("""COMPUTED_VALUE"""),"EdTech Denmark")</f>
        <v/>
      </c>
      <c r="H1058" s="1" t="n"/>
      <c r="I1058" s="1">
        <f>IFERROR(__xludf.DUMMYFUNCTION("""COMPUTED_VALUE"""),"contact@hololink.io")</f>
        <v/>
      </c>
      <c r="J1058" s="1">
        <f>IFERROR(__xludf.DUMMYFUNCTION("""COMPUTED_VALUE"""),"+45 24 79 50 99")</f>
        <v/>
      </c>
      <c r="K1058" s="1">
        <f>IFERROR(__xludf.DUMMYFUNCTION("""COMPUTED_VALUE"""),"Frederiksberg C")</f>
        <v/>
      </c>
      <c r="L1058" s="1">
        <f>IFERROR(__xludf.DUMMYFUNCTION("""COMPUTED_VALUE"""),"Denmark")</f>
        <v/>
      </c>
      <c r="M1058" s="1">
        <f>IFERROR(__xludf.DUMMYFUNCTION("""COMPUTED_VALUE"""),"Denmark, Germany, Norway, Sweden, United Kingdom")</f>
        <v/>
      </c>
      <c r="N1058" s="1">
        <f>IFERROR(__xludf.DUMMYFUNCTION("""COMPUTED_VALUE"""),"0 to 10")</f>
        <v/>
      </c>
      <c r="O1058" s="1">
        <f>IFERROR(__xludf.DUMMYFUNCTION("""COMPUTED_VALUE"""),"Business to Business, Business to Consumer, Business to Schools")</f>
        <v/>
      </c>
      <c r="P1058" s="1">
        <f>IFERROR(__xludf.DUMMYFUNCTION("""COMPUTED_VALUE"""),"Primary Education, Secondary Education, Higher Education, Corporate Training, Lifelong learning/Adult education")</f>
        <v/>
      </c>
      <c r="Q1058" s="1">
        <f>IFERROR(__xludf.DUMMYFUNCTION("""COMPUTED_VALUE"""),"Student interfacing, Teacher interfacing, System/Administrative")</f>
        <v/>
      </c>
      <c r="R1058" s="1">
        <f>IFERROR(__xludf.DUMMYFUNCTION("""COMPUTED_VALUE"""),"Hololink")</f>
        <v/>
      </c>
      <c r="S1058" s="1">
        <f>IFERROR(__xludf.DUMMYFUNCTION("""COMPUTED_VALUE"""),"Hololink")</f>
        <v/>
      </c>
      <c r="T1058" s="15">
        <f>IFERROR(__xludf.DUMMYFUNCTION("""COMPUTED_VALUE"""),"https://www.linkedin.com/company/23690079")</f>
        <v/>
      </c>
      <c r="U1058" s="1">
        <f>IFERROR(__xludf.DUMMYFUNCTION("""COMPUTED_VALUE"""),"Hololink")</f>
        <v/>
      </c>
      <c r="V1058" s="1">
        <f>IFERROR(__xludf.DUMMYFUNCTION("""COMPUTED_VALUE"""),"Hololink is a web-based platform that opens in the browser and enables students and teachers to create interactive augmented reality presentations, treasure hunts and quizzes.")</f>
        <v/>
      </c>
      <c r="W1058" s="1" t="n"/>
      <c r="X1058" s="1" t="n"/>
      <c r="Y1058" s="15">
        <f>IFERROR(__xludf.DUMMYFUNCTION("""COMPUTED_VALUE"""),"https://drive.google.com/uc?export=view&amp;id=1s8VP7Fqjc7X3U2J0piL-pI5agyT-Fzhn")</f>
        <v/>
      </c>
      <c r="Z1058" s="1">
        <f>IFERROR(__xludf.DUMMYFUNCTION("""COMPUTED_VALUE"""),"Unverified")</f>
        <v/>
      </c>
      <c r="AA1058" s="1" t="n"/>
      <c r="AB1058" s="1" t="n"/>
      <c r="AC1058" s="1" t="n"/>
      <c r="AD1058" s="1" t="n"/>
      <c r="AE1058" s="1" t="n"/>
    </row>
    <row r="1059" ht="42" customHeight="1">
      <c r="A1059" s="14">
        <f>IFERROR(__xludf.DUMMYFUNCTION("""COMPUTED_VALUE"""),45181)</f>
        <v/>
      </c>
      <c r="B1059" s="1">
        <f>IFERROR(__xludf.DUMMYFUNCTION("""COMPUTED_VALUE"""),"ORG_1680")</f>
        <v/>
      </c>
      <c r="C1059" s="1">
        <f>IFERROR(__xludf.DUMMYFUNCTION("""COMPUTED_VALUE"""),TRUE)</f>
        <v/>
      </c>
      <c r="D1059" s="1">
        <f>IFERROR(__xludf.DUMMYFUNCTION("""COMPUTED_VALUE"""),"Holy Owly")</f>
        <v/>
      </c>
      <c r="E1059" s="15">
        <f>IFERROR(__xludf.DUMMYFUNCTION("""COMPUTED_VALUE"""),"https://www.holyowly.com/")</f>
        <v/>
      </c>
      <c r="F1059" s="1">
        <f>IFERROR(__xludf.DUMMYFUNCTION("""COMPUTED_VALUE"""),"Holy Owly is a language learning app for kids from 3 to 12. 
After 3 years of testing to find the perfect formula to learn languages at a young age : a 5 minute daily micro-learning sessions, with oral recognition and adaptive learning. Now a 15 people ge"&amp;"nder balanced team led by Stéphanie Bourgeois and Julie Boucon, we’re ready for our next step : from an English learning app to a global language learning game !")</f>
        <v/>
      </c>
      <c r="G1059" s="1">
        <f>IFERROR(__xludf.DUMMYFUNCTION("""COMPUTED_VALUE"""),"EdTech France")</f>
        <v/>
      </c>
      <c r="H1059" s="1" t="n"/>
      <c r="I1059" s="1">
        <f>IFERROR(__xludf.DUMMYFUNCTION("""COMPUTED_VALUE"""),"julie@holyowly.fr")</f>
        <v/>
      </c>
      <c r="J1059" s="1">
        <f>IFERROR(__xludf.DUMMYFUNCTION("""COMPUTED_VALUE"""),"+33611966269")</f>
        <v/>
      </c>
      <c r="K1059" s="1">
        <f>IFERROR(__xludf.DUMMYFUNCTION("""COMPUTED_VALUE"""),"Le village by CA")</f>
        <v/>
      </c>
      <c r="L1059" s="1">
        <f>IFERROR(__xludf.DUMMYFUNCTION("""COMPUTED_VALUE"""),"France")</f>
        <v/>
      </c>
      <c r="M105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059" s="1">
        <f>IFERROR(__xludf.DUMMYFUNCTION("""COMPUTED_VALUE"""),"11 to 50")</f>
        <v/>
      </c>
      <c r="O1059" s="1">
        <f>IFERROR(__xludf.DUMMYFUNCTION("""COMPUTED_VALUE"""),"Business to Business, Business to Consumer, Business to Schools")</f>
        <v/>
      </c>
      <c r="P1059" s="1">
        <f>IFERROR(__xludf.DUMMYFUNCTION("""COMPUTED_VALUE"""),"Primary Education")</f>
        <v/>
      </c>
      <c r="Q1059" s="1">
        <f>IFERROR(__xludf.DUMMYFUNCTION("""COMPUTED_VALUE"""),"System/Administrative")</f>
        <v/>
      </c>
      <c r="R1059" s="15">
        <f>IFERROR(__xludf.DUMMYFUNCTION("""COMPUTED_VALUE"""),"https://www.instagram.com/holyowlyapp/?hl=fr")</f>
        <v/>
      </c>
      <c r="S1059" s="15">
        <f>IFERROR(__xludf.DUMMYFUNCTION("""COMPUTED_VALUE"""),"https://twitter.com/HolyOwlyApp?ref_src=twsrc%5Egoogle%7Ctwcamp%5Eserp%7Ctwgr%5Eauthor")</f>
        <v/>
      </c>
      <c r="T1059" s="15">
        <f>IFERROR(__xludf.DUMMYFUNCTION("""COMPUTED_VALUE"""),"https://www.linkedin.com/company/holy-owly-app/?originalSubdomain=fr")</f>
        <v/>
      </c>
      <c r="U1059" s="1">
        <f>IFERROR(__xludf.DUMMYFUNCTION("""COMPUTED_VALUE"""),"Holy Owly for Family")</f>
        <v/>
      </c>
      <c r="V1059" s="1">
        <f>IFERROR(__xludf.DUMMYFUNCTION("""COMPUTED_VALUE"""),"Holy Owly for Family is an educational resource for teaching English to children from 3 to 12 years old. Our 7-step method is based on microlearning and our voice recognition system allows children to gain confidence and work on the prosody of the languag"&amp;"e. We have integrated adaptive learning so that each learner progresses at their own pace.")</f>
        <v/>
      </c>
      <c r="W1059" s="1">
        <f>IFERROR(__xludf.DUMMYFUNCTION("""COMPUTED_VALUE"""),"Holy Owly for School")</f>
        <v/>
      </c>
      <c r="X1059" s="1">
        <f>IFERROR(__xludf.DUMMYFUNCTION("""COMPUTED_VALUE"""),"Holy Owly is an educational resource for teaching English to children aged 6 to 11. Our 7-step method is based on microlearning and our voice recognition system allows children to gain confidence and work on the prosody of the language. This gamified appl"&amp;"ication allows children to learn 3 words or 3 sentences per day on a tablet in class or in a video-projected way.")</f>
        <v/>
      </c>
      <c r="Y1059" s="15">
        <f>IFERROR(__xludf.DUMMYFUNCTION("""COMPUTED_VALUE"""),"https://drive.google.com/uc?export=view&amp;id=1cMaC9znsQMT5AF9twNzp_kFuIBn-3Y0h")</f>
        <v/>
      </c>
      <c r="Z1059" s="1">
        <f>IFERROR(__xludf.DUMMYFUNCTION("""COMPUTED_VALUE"""),"Unverified")</f>
        <v/>
      </c>
      <c r="AA1059" s="1" t="n"/>
      <c r="AB1059" s="1" t="n"/>
      <c r="AC1059" s="1" t="n"/>
      <c r="AD1059" s="1" t="n"/>
      <c r="AE1059" s="1" t="n"/>
    </row>
    <row r="1060" ht="42" customHeight="1">
      <c r="A1060" s="14">
        <f>IFERROR(__xludf.DUMMYFUNCTION("""COMPUTED_VALUE"""),45181)</f>
        <v/>
      </c>
      <c r="B1060" s="1">
        <f>IFERROR(__xludf.DUMMYFUNCTION("""COMPUTED_VALUE"""),"ORG_1689")</f>
        <v/>
      </c>
      <c r="C1060" s="1">
        <f>IFERROR(__xludf.DUMMYFUNCTION("""COMPUTED_VALUE"""),TRUE)</f>
        <v/>
      </c>
      <c r="D1060" s="1">
        <f>IFERROR(__xludf.DUMMYFUNCTION("""COMPUTED_VALUE"""),"HUH Corporate")</f>
        <v/>
      </c>
      <c r="E1060" s="15">
        <f>IFERROR(__xludf.DUMMYFUNCTION("""COMPUTED_VALUE"""),"www.huhcorporate.com")</f>
        <v/>
      </c>
      <c r="F1060" s="1">
        <f>IFERROR(__xludf.DUMMYFUNCTION("""COMPUTED_VALUE"""),"HUH Corporate offers mobile learning solutions via their learning chatbots. Our solution enables to deploy any training program and ensure skill improvement. Thanks to our unique hybrid learning system, trainers can follow the learners real-time progress "&amp;"and interact with them.")</f>
        <v/>
      </c>
      <c r="G1060" s="1">
        <f>IFERROR(__xludf.DUMMYFUNCTION("""COMPUTED_VALUE"""),"I'm not part of any EdTech association")</f>
        <v/>
      </c>
      <c r="H1060" s="1" t="n"/>
      <c r="I1060" s="1">
        <f>IFERROR(__xludf.DUMMYFUNCTION("""COMPUTED_VALUE"""),"alexandre@huhcorporate.com")</f>
        <v/>
      </c>
      <c r="J1060" s="1" t="n"/>
      <c r="K1060" s="1">
        <f>IFERROR(__xludf.DUMMYFUNCTION("""COMPUTED_VALUE"""),"CRETEIL")</f>
        <v/>
      </c>
      <c r="L1060" s="1">
        <f>IFERROR(__xludf.DUMMYFUNCTION("""COMPUTED_VALUE"""),"France")</f>
        <v/>
      </c>
      <c r="M1060" s="1">
        <f>IFERROR(__xludf.DUMMYFUNCTION("""COMPUTED_VALUE"""),"Austria, Belgium, France, Germany, Spain, United Kingdom")</f>
        <v/>
      </c>
      <c r="N1060" s="1">
        <f>IFERROR(__xludf.DUMMYFUNCTION("""COMPUTED_VALUE"""),"11 to 50")</f>
        <v/>
      </c>
      <c r="O1060" s="1">
        <f>IFERROR(__xludf.DUMMYFUNCTION("""COMPUTED_VALUE"""),"Business to Business, Business to Consumer, Business to Schools")</f>
        <v/>
      </c>
      <c r="P1060" s="1">
        <f>IFERROR(__xludf.DUMMYFUNCTION("""COMPUTED_VALUE"""),"Corporate Training, Lifelong learning/Adult education")</f>
        <v/>
      </c>
      <c r="Q1060" s="1">
        <f>IFERROR(__xludf.DUMMYFUNCTION("""COMPUTED_VALUE"""),"Teacher interfacing, Student interfacing, System/Administrative")</f>
        <v/>
      </c>
      <c r="R1060" s="1" t="n"/>
      <c r="S1060" s="1" t="n"/>
      <c r="T1060" s="1" t="n"/>
      <c r="U1060" s="1" t="n"/>
      <c r="V1060" s="1" t="n"/>
      <c r="W1060" s="1" t="n"/>
      <c r="X1060" s="1" t="n"/>
      <c r="Y1060" s="15">
        <f>IFERROR(__xludf.DUMMYFUNCTION("""COMPUTED_VALUE"""),"https://drive.google.com/uc?export=view&amp;id=1NJUL6eclXUWLh5YZAVoAV8A735aZLHCw")</f>
        <v/>
      </c>
      <c r="Z1060" s="1">
        <f>IFERROR(__xludf.DUMMYFUNCTION("""COMPUTED_VALUE"""),"Unverified")</f>
        <v/>
      </c>
      <c r="AA1060" s="1" t="n"/>
      <c r="AB1060" s="1" t="n"/>
      <c r="AC1060" s="1" t="n"/>
      <c r="AD1060" s="1" t="n"/>
      <c r="AE1060" s="1" t="n"/>
    </row>
    <row r="1061" ht="42" customHeight="1">
      <c r="A1061" s="14">
        <f>IFERROR(__xludf.DUMMYFUNCTION("""COMPUTED_VALUE"""),45181)</f>
        <v/>
      </c>
      <c r="B1061" s="1">
        <f>IFERROR(__xludf.DUMMYFUNCTION("""COMPUTED_VALUE"""),"ORG_1707")</f>
        <v/>
      </c>
      <c r="C1061" s="1">
        <f>IFERROR(__xludf.DUMMYFUNCTION("""COMPUTED_VALUE"""),TRUE)</f>
        <v/>
      </c>
      <c r="D1061" s="1">
        <f>IFERROR(__xludf.DUMMYFUNCTION("""COMPUTED_VALUE"""),"IeXa Academy")</f>
        <v/>
      </c>
      <c r="E1061" s="15">
        <f>IFERROR(__xludf.DUMMYFUNCTION("""COMPUTED_VALUE"""),"https://www.iexa.it/")</f>
        <v/>
      </c>
      <c r="F1061" s="1">
        <f>IFERROR(__xludf.DUMMYFUNCTION("""COMPUTED_VALUE"""),"Today there are tons of online resources to learn and grow but most people don't complete the courses they sign up for. It's necessary to strengthen the model with 1-t-1 tutoring and chort based learning services. Sintropy Platform (by IeXa Academy) is a "&amp;"marketplace that in a sustainable, scalable and open way will allow everyone to complete their growth paths!
Our mission is Democratize Techcnical Learning for everyone through the Sintropy Network Platform that disintermediates the traditional supply ch"&amp;"ains of ""Learning Market"" and directly connects those who want to offer their skills with those who need to learn.
All the Colearning centers distributed throughout Italy and Europe that wish to join this network will also be connected to the platform."&amp;"
Sintropy is a Phygital project. A network platform and a series of physical ""Colearning Spaces"" distributed to host students online and offer value-added services for students.")</f>
        <v/>
      </c>
      <c r="G1061" s="1">
        <f>IFERROR(__xludf.DUMMYFUNCTION("""COMPUTED_VALUE"""),"I'm not part of any EdTech association")</f>
        <v/>
      </c>
      <c r="H1061" s="1" t="n"/>
      <c r="I1061" s="1">
        <f>IFERROR(__xludf.DUMMYFUNCTION("""COMPUTED_VALUE"""),"giuseppe.citerna@iexa.it")</f>
        <v/>
      </c>
      <c r="J1061" s="1">
        <f>IFERROR(__xludf.DUMMYFUNCTION("""COMPUTED_VALUE"""),"+39 366 57 54 118")</f>
        <v/>
      </c>
      <c r="K1061" s="1">
        <f>IFERROR(__xludf.DUMMYFUNCTION("""COMPUTED_VALUE"""),"ROME")</f>
        <v/>
      </c>
      <c r="L1061" s="1">
        <f>IFERROR(__xludf.DUMMYFUNCTION("""COMPUTED_VALUE"""),"Italy")</f>
        <v/>
      </c>
      <c r="M1061" s="1">
        <f>IFERROR(__xludf.DUMMYFUNCTION("""COMPUTED_VALUE"""),"Italy")</f>
        <v/>
      </c>
      <c r="N1061" s="1">
        <f>IFERROR(__xludf.DUMMYFUNCTION("""COMPUTED_VALUE"""),"0 to 10")</f>
        <v/>
      </c>
      <c r="O1061" s="1">
        <f>IFERROR(__xludf.DUMMYFUNCTION("""COMPUTED_VALUE"""),"Business to Business, Business to Consumer, Business to Schools")</f>
        <v/>
      </c>
      <c r="P1061" s="1">
        <f>IFERROR(__xludf.DUMMYFUNCTION("""COMPUTED_VALUE"""),"Higher Education, Corporate Training, Lifelong learning/Adult education")</f>
        <v/>
      </c>
      <c r="Q1061" s="1">
        <f>IFERROR(__xludf.DUMMYFUNCTION("""COMPUTED_VALUE"""),"System/Administrative, Student interfacing, Teacher interfacing")</f>
        <v/>
      </c>
      <c r="R1061" s="1" t="n"/>
      <c r="S1061" s="1" t="n"/>
      <c r="T1061" s="1" t="n"/>
      <c r="U1061" s="1" t="n"/>
      <c r="V1061" s="1" t="n"/>
      <c r="W1061" s="1" t="n"/>
      <c r="X1061" s="1" t="n"/>
      <c r="Y1061" s="15">
        <f>IFERROR(__xludf.DUMMYFUNCTION("""COMPUTED_VALUE"""),"https://drive.google.com/uc?export=view&amp;id=14lMi8IvIfDpc-U1HSyr850-cIRi2ZF0g")</f>
        <v/>
      </c>
      <c r="Z1061" s="1">
        <f>IFERROR(__xludf.DUMMYFUNCTION("""COMPUTED_VALUE"""),"Unverified")</f>
        <v/>
      </c>
      <c r="AA1061" s="1" t="n"/>
      <c r="AB1061" s="1" t="n"/>
      <c r="AC1061" s="1" t="n"/>
      <c r="AD1061" s="1" t="n"/>
      <c r="AE1061" s="1" t="n"/>
    </row>
    <row r="1062" ht="42" customHeight="1">
      <c r="A1062" s="14">
        <f>IFERROR(__xludf.DUMMYFUNCTION("""COMPUTED_VALUE"""),45181)</f>
        <v/>
      </c>
      <c r="B1062" s="1">
        <f>IFERROR(__xludf.DUMMYFUNCTION("""COMPUTED_VALUE"""),"ORG_1719")</f>
        <v/>
      </c>
      <c r="C1062" s="1">
        <f>IFERROR(__xludf.DUMMYFUNCTION("""COMPUTED_VALUE"""),TRUE)</f>
        <v/>
      </c>
      <c r="D1062" s="1">
        <f>IFERROR(__xludf.DUMMYFUNCTION("""COMPUTED_VALUE"""),"IMTLazarus")</f>
        <v/>
      </c>
      <c r="E1062" s="15">
        <f>IFERROR(__xludf.DUMMYFUNCTION("""COMPUTED_VALUE"""),"www.imtlazarus.com")</f>
        <v/>
      </c>
      <c r="F1062" s="1">
        <f>IFERROR(__xludf.DUMMYFUNCTION("""COMPUTED_VALUE"""),"IMTLazarus is a manufacturer of a cloud-based solution for devices' management in education, providing Security and Control 24H and in all technologies.
Integrating with schools current digital tools and providing them a wide variety of 3p digital solutio"&amp;"ns, eases and enhance at the same time the digital daily use of teachers and school Admin team.
With a variable security settings we ensure each user is applied security policies depending on the circunstances (school hours or family time, age, grade, spe"&amp;"cific needs) to guarantee a normalised class management.
Active participation of teachers and families ensures a proper and safe use of technology by underage while respecting their rights at all given time.
Adapting to each school needs, digital model an"&amp;"d environment eases a fluent and smooth use of technology while creating a secured and control environment for all players involved.")</f>
        <v/>
      </c>
      <c r="G1062" s="1">
        <f>IFERROR(__xludf.DUMMYFUNCTION("""COMPUTED_VALUE"""),"I'm not part of any EdTech association")</f>
        <v/>
      </c>
      <c r="H1062" s="1">
        <f>IFERROR(__xludf.DUMMYFUNCTION("""COMPUTED_VALUE"""),"Spanish, Catalan, English, Basque, Italian, Portuguese, Chinese, Arabic, Dutch, Malay, Norwegian, Greek, Turkish, Korean, Lithuanian, Japanese, Finnish, Swedish, Polish, Bulgarian, Czech, Danish, Slovakian, Welsh, Irish, Icelandic, Latvian, Thai, Romanian")</f>
        <v/>
      </c>
      <c r="I1062" s="1">
        <f>IFERROR(__xludf.DUMMYFUNCTION("""COMPUTED_VALUE"""),"alberto@imtlazarus.com")</f>
        <v/>
      </c>
      <c r="J1062" s="1">
        <f>IFERROR(__xludf.DUMMYFUNCTION("""COMPUTED_VALUE"""),"+34670885003")</f>
        <v/>
      </c>
      <c r="K1062" s="1">
        <f>IFERROR(__xludf.DUMMYFUNCTION("""COMPUTED_VALUE"""),"Bilbao")</f>
        <v/>
      </c>
      <c r="L1062" s="1">
        <f>IFERROR(__xludf.DUMMYFUNCTION("""COMPUTED_VALUE"""),"Spain")</f>
        <v/>
      </c>
      <c r="M1062" s="1">
        <f>IFERROR(__xludf.DUMMYFUNCTION("""COMPUTED_VALUE"""),"Spain")</f>
        <v/>
      </c>
      <c r="N1062" s="1">
        <f>IFERROR(__xludf.DUMMYFUNCTION("""COMPUTED_VALUE"""),"11 to 50")</f>
        <v/>
      </c>
      <c r="O1062" s="1">
        <f>IFERROR(__xludf.DUMMYFUNCTION("""COMPUTED_VALUE"""),"Business to Business, Business to Consumer, Business to Schools")</f>
        <v/>
      </c>
      <c r="P1062" s="1">
        <f>IFERROR(__xludf.DUMMYFUNCTION("""COMPUTED_VALUE"""),"Secondary Education")</f>
        <v/>
      </c>
      <c r="Q1062" s="1">
        <f>IFERROR(__xludf.DUMMYFUNCTION("""COMPUTED_VALUE"""),"System/Administrative, Teacher interfacing")</f>
        <v/>
      </c>
      <c r="R1062" s="1" t="n"/>
      <c r="S1062" s="15">
        <f>IFERROR(__xludf.DUMMYFUNCTION("""COMPUTED_VALUE"""),"https://twitter.com/IMTLazarus_EN")</f>
        <v/>
      </c>
      <c r="T1062" s="15">
        <f>IFERROR(__xludf.DUMMYFUNCTION("""COMPUTED_VALUE"""),"https://es.linkedin.com/company/imtlazarus")</f>
        <v/>
      </c>
      <c r="U1062" s="1">
        <f>IFERROR(__xludf.DUMMYFUNCTION("""COMPUTED_VALUE"""),"IMTLazarus")</f>
        <v/>
      </c>
      <c r="V1062" s="1">
        <f>IFERROR(__xludf.DUMMYFUNCTION("""COMPUTED_VALUE"""),"Cloud solution for device management, with fully customizable and self-management for teachers, classroom management, and security and monitor features.
- Fully technologically agnostic
- Involving Teachers and Families in responsible use of technology by"&amp;" the underage
- Data Persistence environment through working spaces
- Enhancing teachers' digital experience")</f>
        <v/>
      </c>
      <c r="W1062" s="1">
        <f>IFERROR(__xludf.DUMMYFUNCTION("""COMPUTED_VALUE"""),"IMTFusion")</f>
        <v/>
      </c>
      <c r="X1062" s="1">
        <f>IFERROR(__xludf.DUMMYFUNCTION("""COMPUTED_VALUE"""),"Part of the IMTLazarus ecosystem, put in place a set of imbrication technologies, that display students' valuable data from IMTLaarus itself or any other educational platform onto the trusted and commonly used teachers' platform, so smoothing their digita"&amp;"l interactions in a more comprehensive way.")</f>
        <v/>
      </c>
      <c r="Y1062" s="15">
        <f>IFERROR(__xludf.DUMMYFUNCTION("""COMPUTED_VALUE"""),"https://drive.google.com/uc?export=view&amp;id=173KfMTzwbhXC9kva11Z4fAZaOcL6S2aP")</f>
        <v/>
      </c>
      <c r="Z1062" s="1">
        <f>IFERROR(__xludf.DUMMYFUNCTION("""COMPUTED_VALUE"""),"Unverified")</f>
        <v/>
      </c>
      <c r="AA1062" s="1" t="n"/>
      <c r="AB1062" s="1" t="n"/>
      <c r="AC1062" s="1" t="n"/>
      <c r="AD1062" s="1" t="n"/>
      <c r="AE1062" s="1" t="n"/>
    </row>
    <row r="1063" ht="42" customHeight="1">
      <c r="A1063" s="14">
        <f>IFERROR(__xludf.DUMMYFUNCTION("""COMPUTED_VALUE"""),45181)</f>
        <v/>
      </c>
      <c r="B1063" s="1">
        <f>IFERROR(__xludf.DUMMYFUNCTION("""COMPUTED_VALUE"""),"ORG_1730")</f>
        <v/>
      </c>
      <c r="C1063" s="1">
        <f>IFERROR(__xludf.DUMMYFUNCTION("""COMPUTED_VALUE"""),TRUE)</f>
        <v/>
      </c>
      <c r="D1063" s="1">
        <f>IFERROR(__xludf.DUMMYFUNCTION("""COMPUTED_VALUE"""),"INTERFORA IFAIP")</f>
        <v/>
      </c>
      <c r="E1063" s="15">
        <f>IFERROR(__xludf.DUMMYFUNCTION("""COMPUTED_VALUE"""),"https://www.interfora-ifaip.fr/")</f>
        <v/>
      </c>
      <c r="F1063" s="1">
        <f>IFERROR(__xludf.DUMMYFUNCTION("""COMPUTED_VALUE"""),"INTERFORA IFAIP develops online training program for the chemical industry. From e-learning modules to 3D experience, we strive to propose a collaborative and immersive learning. We developed a simulator to immerse the learners in a chemical working envir"&amp;"onment, in order to teach the handiwork link to the occupational hazards and understand the fundamentals of the craft.")</f>
        <v/>
      </c>
      <c r="G1063" s="1">
        <f>IFERROR(__xludf.DUMMYFUNCTION("""COMPUTED_VALUE"""),"EdTech France")</f>
        <v/>
      </c>
      <c r="H1063" s="1" t="n"/>
      <c r="I1063" s="1">
        <f>IFERROR(__xludf.DUMMYFUNCTION("""COMPUTED_VALUE"""),"damien.briatte@interfora.fr")</f>
        <v/>
      </c>
      <c r="J1063" s="1">
        <f>IFERROR(__xludf.DUMMYFUNCTION("""COMPUTED_VALUE"""),"+33699742019")</f>
        <v/>
      </c>
      <c r="K1063" s="1">
        <f>IFERROR(__xludf.DUMMYFUNCTION("""COMPUTED_VALUE"""),"St Fons")</f>
        <v/>
      </c>
      <c r="L1063" s="1">
        <f>IFERROR(__xludf.DUMMYFUNCTION("""COMPUTED_VALUE"""),"France")</f>
        <v/>
      </c>
      <c r="M1063" s="1">
        <f>IFERROR(__xludf.DUMMYFUNCTION("""COMPUTED_VALUE"""),"France")</f>
        <v/>
      </c>
      <c r="N1063" s="1">
        <f>IFERROR(__xludf.DUMMYFUNCTION("""COMPUTED_VALUE"""),"11 to 50")</f>
        <v/>
      </c>
      <c r="O1063" s="1">
        <f>IFERROR(__xludf.DUMMYFUNCTION("""COMPUTED_VALUE"""),"Business to Business, Business to Government")</f>
        <v/>
      </c>
      <c r="P1063" s="1">
        <f>IFERROR(__xludf.DUMMYFUNCTION("""COMPUTED_VALUE"""),"Primary Education, Secondary Education, Higher Education, Corporate Training, Lifelong learning/Adult education")</f>
        <v/>
      </c>
      <c r="Q1063" s="1">
        <f>IFERROR(__xludf.DUMMYFUNCTION("""COMPUTED_VALUE"""),"Student interfacing, System/Administrative")</f>
        <v/>
      </c>
      <c r="R1063" s="15">
        <f>IFERROR(__xludf.DUMMYFUNCTION("""COMPUTED_VALUE"""),"https://www.instagram.com/interfora_ifaip/")</f>
        <v/>
      </c>
      <c r="S1063" s="15">
        <f>IFERROR(__xludf.DUMMYFUNCTION("""COMPUTED_VALUE"""),"https://twitter.com/Interfora_Ifaip")</f>
        <v/>
      </c>
      <c r="T1063" s="15">
        <f>IFERROR(__xludf.DUMMYFUNCTION("""COMPUTED_VALUE"""),"https://www.linkedin.com/company/interfora-ifaip/")</f>
        <v/>
      </c>
      <c r="U1063" s="1">
        <f>IFERROR(__xludf.DUMMYFUNCTION("""COMPUTED_VALUE"""),"On-line and immersive trainning for industry")</f>
        <v/>
      </c>
      <c r="V1063" s="1">
        <f>IFERROR(__xludf.DUMMYFUNCTION("""COMPUTED_VALUE"""),"INTERFORA IFAIP develops online training program for the chemical industry. From e-learning modules to 3D experience, we strive to propose a collaborative and immersive learning. We developed a simulator to immerse the learners in a chemical working envir"&amp;"onment, in order to teach the handiwork link to the occupational hazards and understand the fundamentals of the craft.")</f>
        <v/>
      </c>
      <c r="W1063" s="1" t="n"/>
      <c r="X1063" s="1" t="n"/>
      <c r="Y1063" s="15">
        <f>IFERROR(__xludf.DUMMYFUNCTION("""COMPUTED_VALUE"""),"https://drive.google.com/uc?export=view&amp;id=1LOaY9H53U_PbwFFxBCzno9ZLNy9XoUrQ")</f>
        <v/>
      </c>
      <c r="Z1063" s="1">
        <f>IFERROR(__xludf.DUMMYFUNCTION("""COMPUTED_VALUE"""),"Unverified")</f>
        <v/>
      </c>
      <c r="AA1063" s="1" t="n"/>
      <c r="AB1063" s="1" t="n"/>
      <c r="AC1063" s="1" t="n"/>
      <c r="AD1063" s="1" t="n"/>
      <c r="AE1063" s="1" t="n"/>
    </row>
    <row r="1064" ht="42" customHeight="1">
      <c r="A1064" s="14">
        <f>IFERROR(__xludf.DUMMYFUNCTION("""COMPUTED_VALUE"""),45181)</f>
        <v/>
      </c>
      <c r="B1064" s="1">
        <f>IFERROR(__xludf.DUMMYFUNCTION("""COMPUTED_VALUE"""),"ORG_1759")</f>
        <v/>
      </c>
      <c r="C1064" s="1">
        <f>IFERROR(__xludf.DUMMYFUNCTION("""COMPUTED_VALUE"""),TRUE)</f>
        <v/>
      </c>
      <c r="D1064" s="1">
        <f>IFERROR(__xludf.DUMMYFUNCTION("""COMPUTED_VALUE"""),"Jungle Program")</f>
        <v/>
      </c>
      <c r="E1064" s="15">
        <f>IFERROR(__xludf.DUMMYFUNCTION("""COMPUTED_VALUE"""),"https://www.jungleprogram.com")</f>
        <v/>
      </c>
      <c r="F1064" s="1">
        <f>IFERROR(__xludf.DUMMYFUNCTION("""COMPUTED_VALUE"""),"We supercharge your tech team to deliver better software faster. Get matched with senior engineers to guide your team in solving your tech challenges.")</f>
        <v/>
      </c>
      <c r="G1064" s="1">
        <f>IFERROR(__xludf.DUMMYFUNCTION("""COMPUTED_VALUE"""),"EdTech France")</f>
        <v/>
      </c>
      <c r="H1064" s="1" t="n"/>
      <c r="I1064" s="1">
        <f>IFERROR(__xludf.DUMMYFUNCTION("""COMPUTED_VALUE"""),"contact@jungleprogram.com")</f>
        <v/>
      </c>
      <c r="J1064" s="1" t="n"/>
      <c r="K1064" s="1">
        <f>IFERROR(__xludf.DUMMYFUNCTION("""COMPUTED_VALUE"""),"Berlin")</f>
        <v/>
      </c>
      <c r="L1064" s="1">
        <f>IFERROR(__xludf.DUMMYFUNCTION("""COMPUTED_VALUE"""),"Germany")</f>
        <v/>
      </c>
      <c r="M1064" s="1">
        <f>IFERROR(__xludf.DUMMYFUNCTION("""COMPUTED_VALUE"""),"France, Germany")</f>
        <v/>
      </c>
      <c r="N1064" s="1">
        <f>IFERROR(__xludf.DUMMYFUNCTION("""COMPUTED_VALUE"""),"0 to 10")</f>
        <v/>
      </c>
      <c r="O1064" s="1">
        <f>IFERROR(__xludf.DUMMYFUNCTION("""COMPUTED_VALUE"""),"Business to Business, Business to Government")</f>
        <v/>
      </c>
      <c r="P1064" s="1">
        <f>IFERROR(__xludf.DUMMYFUNCTION("""COMPUTED_VALUE"""),"Corporate Training, Lifelong learning/Adult education")</f>
        <v/>
      </c>
      <c r="Q1064" s="1">
        <f>IFERROR(__xludf.DUMMYFUNCTION("""COMPUTED_VALUE"""),"Teacher interfacing, System/Administrative, Student interfacing")</f>
        <v/>
      </c>
      <c r="R1064" s="1" t="n"/>
      <c r="S1064" s="15">
        <f>IFERROR(__xludf.DUMMYFUNCTION("""COMPUTED_VALUE"""),"https://twitter.com/jungleprogram")</f>
        <v/>
      </c>
      <c r="T1064" s="15">
        <f>IFERROR(__xludf.DUMMYFUNCTION("""COMPUTED_VALUE"""),"https://www.linkedin.com/school/jungleprogram")</f>
        <v/>
      </c>
      <c r="U1064" s="1">
        <f>IFERROR(__xludf.DUMMYFUNCTION("""COMPUTED_VALUE"""),"Jungle Program")</f>
        <v/>
      </c>
      <c r="V1064" s="1">
        <f>IFERROR(__xludf.DUMMYFUNCTION("""COMPUTED_VALUE"""),"Any developer can request expert help on their current issue at hand, and get connected in a few hours with a senior experienced developer with high knowledge on the subject.")</f>
        <v/>
      </c>
      <c r="W1064" s="1" t="n"/>
      <c r="X1064" s="1" t="n"/>
      <c r="Y1064" s="1" t="n"/>
      <c r="Z1064" s="1">
        <f>IFERROR(__xludf.DUMMYFUNCTION("""COMPUTED_VALUE"""),"Unverified")</f>
        <v/>
      </c>
      <c r="AA1064" s="1" t="n"/>
      <c r="AB1064" s="1" t="n"/>
      <c r="AC1064" s="1" t="n"/>
      <c r="AD1064" s="1" t="n"/>
      <c r="AE1064" s="1" t="n"/>
    </row>
    <row r="1065" ht="42" customHeight="1">
      <c r="A1065" s="14">
        <f>IFERROR(__xludf.DUMMYFUNCTION("""COMPUTED_VALUE"""),45181)</f>
        <v/>
      </c>
      <c r="B1065" s="1">
        <f>IFERROR(__xludf.DUMMYFUNCTION("""COMPUTED_VALUE"""),"ORG_1779")</f>
        <v/>
      </c>
      <c r="C1065" s="1">
        <f>IFERROR(__xludf.DUMMYFUNCTION("""COMPUTED_VALUE"""),TRUE)</f>
        <v/>
      </c>
      <c r="D1065" s="1">
        <f>IFERROR(__xludf.DUMMYFUNCTION("""COMPUTED_VALUE"""),"Kiron Digital")</f>
        <v/>
      </c>
      <c r="E1065" s="15">
        <f>IFERROR(__xludf.DUMMYFUNCTION("""COMPUTED_VALUE"""),"https://kiron.digital")</f>
        <v/>
      </c>
      <c r="F1065" s="1">
        <f>IFERROR(__xludf.DUMMYFUNCTION("""COMPUTED_VALUE"""),"Kiron Digital is the backbone of a new education ecosystem, that enables organisations around the world to create, deliver and retain better collective learning experiences.
Our SaaS digital learning experience platform not only empowers the digital trans"&amp;"formation within organisations. Part of our revenue also goes to the NGO Kiron, which is educating refugees worldwide, which makes us a social enterprise.
We want to enable organisations to scale their impact without equally scaling costs. Many other sol"&amp;"utions price per learner, course taken or admin, which is very expensive if not completely impossible for many. We developed an innovative pricing model, making digital education and therefore the benefits of digitalization accessible to all.")</f>
        <v/>
      </c>
      <c r="G1065" s="1">
        <f>IFERROR(__xludf.DUMMYFUNCTION("""COMPUTED_VALUE"""),"I'm not part of any EdTech association")</f>
        <v/>
      </c>
      <c r="H1065" s="1" t="n"/>
      <c r="I1065" s="1">
        <f>IFERROR(__xludf.DUMMYFUNCTION("""COMPUTED_VALUE"""),"sabrina.konzok@kiron.digital")</f>
        <v/>
      </c>
      <c r="J1065" s="1" t="n"/>
      <c r="K1065" s="1">
        <f>IFERROR(__xludf.DUMMYFUNCTION("""COMPUTED_VALUE"""),"BERLIN")</f>
        <v/>
      </c>
      <c r="L1065" s="1">
        <f>IFERROR(__xludf.DUMMYFUNCTION("""COMPUTED_VALUE"""),"Germany")</f>
        <v/>
      </c>
      <c r="M1065" s="1">
        <f>IFERROR(__xludf.DUMMYFUNCTION("""COMPUTED_VALUE"""),"Austria, Germany, Netherlands, Spain, Switzerland, United Kingdom")</f>
        <v/>
      </c>
      <c r="N1065" s="1">
        <f>IFERROR(__xludf.DUMMYFUNCTION("""COMPUTED_VALUE"""),"0 to 10")</f>
        <v/>
      </c>
      <c r="O1065" s="1">
        <f>IFERROR(__xludf.DUMMYFUNCTION("""COMPUTED_VALUE"""),"Business to Business, Business to Government")</f>
        <v/>
      </c>
      <c r="P1065" s="1">
        <f>IFERROR(__xludf.DUMMYFUNCTION("""COMPUTED_VALUE"""),"Primary Education, Secondary Education, Corporate Training")</f>
        <v/>
      </c>
      <c r="Q1065" s="1">
        <f>IFERROR(__xludf.DUMMYFUNCTION("""COMPUTED_VALUE"""),"Student interfacing, Teacher interfacing, System/Administrative")</f>
        <v/>
      </c>
      <c r="R1065" s="1" t="n"/>
      <c r="S1065" s="1" t="n"/>
      <c r="T1065" s="1" t="n"/>
      <c r="U1065" s="1" t="n"/>
      <c r="V1065" s="1" t="n"/>
      <c r="W1065" s="1" t="n"/>
      <c r="X1065" s="1" t="n"/>
      <c r="Y1065" s="15">
        <f>IFERROR(__xludf.DUMMYFUNCTION("""COMPUTED_VALUE"""),"https://drive.google.com/uc?export=view&amp;id=1LsOoOykKzqrTGROuCPsZETbdb2PRPjFW")</f>
        <v/>
      </c>
      <c r="Z1065" s="1">
        <f>IFERROR(__xludf.DUMMYFUNCTION("""COMPUTED_VALUE"""),"Unverified")</f>
        <v/>
      </c>
      <c r="AA1065" s="1" t="n"/>
      <c r="AB1065" s="1" t="n"/>
      <c r="AC1065" s="1" t="n"/>
      <c r="AD1065" s="1" t="n"/>
      <c r="AE1065" s="1" t="n"/>
    </row>
    <row r="1066" ht="42" customHeight="1">
      <c r="A1066" s="14">
        <f>IFERROR(__xludf.DUMMYFUNCTION("""COMPUTED_VALUE"""),45181)</f>
        <v/>
      </c>
      <c r="B1066" s="1">
        <f>IFERROR(__xludf.DUMMYFUNCTION("""COMPUTED_VALUE"""),"ORG_1790")</f>
        <v/>
      </c>
      <c r="C1066" s="1">
        <f>IFERROR(__xludf.DUMMYFUNCTION("""COMPUTED_VALUE"""),TRUE)</f>
        <v/>
      </c>
      <c r="D1066" s="1">
        <f>IFERROR(__xludf.DUMMYFUNCTION("""COMPUTED_VALUE"""),"Kronos")</f>
        <v/>
      </c>
      <c r="E1066" s="15">
        <f>IFERROR(__xludf.DUMMYFUNCTION("""COMPUTED_VALUE"""),"https://www.kronos.fr/")</f>
        <v/>
      </c>
      <c r="F1066" s="1">
        <f>IFERROR(__xludf.DUMMYFUNCTION("""COMPUTED_VALUE"""),"Our mindset:
With us, everything is possible. Let's start together from what you imagine for your company and find the tailor-made solution to help you to achieve it. We stand for an original approach. When we operate somewhere, the whole company is set i"&amp;"n motion and we are driven by this desire to empower everyone.
Our uniqueness:
In our core business, tailor-made training, and skills development, we are reinventing the managerial relationship to bring the teams to live the “leadership – membership” duo"&amp;" and then, create a “partner” relationship, which is an assumed, solid and powerful relationship between managers and employees. Our signature translate this: Empower People")</f>
        <v/>
      </c>
      <c r="G1066" s="1">
        <f>IFERROR(__xludf.DUMMYFUNCTION("""COMPUTED_VALUE"""),"I'm not part of any EdTech association")</f>
        <v/>
      </c>
      <c r="H1066" s="1" t="n"/>
      <c r="I1066" s="1">
        <f>IFERROR(__xludf.DUMMYFUNCTION("""COMPUTED_VALUE"""),"contact@kronos.fr")</f>
        <v/>
      </c>
      <c r="J1066" s="1">
        <f>IFERROR(__xludf.DUMMYFUNCTION("""COMPUTED_VALUE"""),"+33 3 20 71 41 20")</f>
        <v/>
      </c>
      <c r="K1066" s="1">
        <f>IFERROR(__xludf.DUMMYFUNCTION("""COMPUTED_VALUE"""),"Lezennes")</f>
        <v/>
      </c>
      <c r="L1066" s="1">
        <f>IFERROR(__xludf.DUMMYFUNCTION("""COMPUTED_VALUE"""),"France")</f>
        <v/>
      </c>
      <c r="M1066" s="1">
        <f>IFERROR(__xludf.DUMMYFUNCTION("""COMPUTED_VALUE"""),"France")</f>
        <v/>
      </c>
      <c r="N1066" s="1">
        <f>IFERROR(__xludf.DUMMYFUNCTION("""COMPUTED_VALUE"""),"11 to 50")</f>
        <v/>
      </c>
      <c r="O1066" s="1">
        <f>IFERROR(__xludf.DUMMYFUNCTION("""COMPUTED_VALUE"""),"Business to Business, Business to Government")</f>
        <v/>
      </c>
      <c r="P1066" s="1">
        <f>IFERROR(__xludf.DUMMYFUNCTION("""COMPUTED_VALUE"""),"Corporate Training, Lifelong learning/Adult education")</f>
        <v/>
      </c>
      <c r="Q1066" s="1">
        <f>IFERROR(__xludf.DUMMYFUNCTION("""COMPUTED_VALUE"""),"Teacher interfacing, Student interfacing, System/Administrative")</f>
        <v/>
      </c>
      <c r="R1066" s="1" t="n"/>
      <c r="S1066" s="1" t="n"/>
      <c r="T1066" s="1" t="n"/>
      <c r="U1066" s="1" t="n"/>
      <c r="V1066" s="1" t="n"/>
      <c r="W1066" s="1" t="n"/>
      <c r="X1066" s="1" t="n"/>
      <c r="Y1066" s="15">
        <f>IFERROR(__xludf.DUMMYFUNCTION("""COMPUTED_VALUE"""),"https://drive.google.com/uc?export=view&amp;id=1FEZ6r1CdlG7vxHY_OTIsNF0FnxbHOzPi")</f>
        <v/>
      </c>
      <c r="Z1066" s="1">
        <f>IFERROR(__xludf.DUMMYFUNCTION("""COMPUTED_VALUE"""),"Unverified")</f>
        <v/>
      </c>
      <c r="AA1066" s="1" t="n"/>
      <c r="AB1066" s="1" t="n"/>
      <c r="AC1066" s="1" t="n"/>
      <c r="AD1066" s="1" t="n"/>
      <c r="AE1066" s="1" t="n"/>
    </row>
    <row r="1067" ht="42" customHeight="1">
      <c r="A1067" s="14">
        <f>IFERROR(__xludf.DUMMYFUNCTION("""COMPUTED_VALUE"""),45181)</f>
        <v/>
      </c>
      <c r="B1067" s="1">
        <f>IFERROR(__xludf.DUMMYFUNCTION("""COMPUTED_VALUE"""),"ORG_1802")</f>
        <v/>
      </c>
      <c r="C1067" s="1">
        <f>IFERROR(__xludf.DUMMYFUNCTION("""COMPUTED_VALUE"""),TRUE)</f>
        <v/>
      </c>
      <c r="D1067" s="1">
        <f>IFERROR(__xludf.DUMMYFUNCTION("""COMPUTED_VALUE"""),"La Innovation Kitchen")</f>
        <v/>
      </c>
      <c r="E1067" s="15">
        <f>IFERROR(__xludf.DUMMYFUNCTION("""COMPUTED_VALUE"""),"LaInnovationKitchen.com")</f>
        <v/>
      </c>
      <c r="F1067" s="1">
        <f>IFERROR(__xludf.DUMMYFUNCTION("""COMPUTED_VALUE"""),"La Innovation Kitchen (LIK) is an experiential learning space where anyone can develop their innovation power and change-making skills through Project-Based-Learning and Learning-by-Doing Methods. 
LIK helps grow both technical and soft skills that suppo"&amp;"rt the formation of a critical, creative, and proactive mindset oriented to complex problem-solving. 
LIK's programs and activities involve real-life challenges that motivate participants and challenge sponsors to find practical solutions. We also provid"&amp;"e a set of resources and mentors, that guide and support participants to develop unique solutions.
LIK has a deeply humanistic approach and a social, entrepreneurial, and professional concern for the future, in order to find new and better ways to partic"&amp;"ipate in society, do business, create and run organizations and impact the natural and economic environment that surrounds us.
LIK is the evolution of traditional university or college learning program schemes, combined with a living lab and community-ba"&amp;"sed action for a more agile, practical, and hands-on approach to creativity. All our efforts are applied to social and organizational problem-solving.")</f>
        <v/>
      </c>
      <c r="G1067" s="1">
        <f>IFERROR(__xludf.DUMMYFUNCTION("""COMPUTED_VALUE"""),"I'm not part of any EdTech association")</f>
        <v/>
      </c>
      <c r="H1067" s="1" t="n"/>
      <c r="I1067" s="1">
        <f>IFERROR(__xludf.DUMMYFUNCTION("""COMPUTED_VALUE"""),"info@designthinkers.es")</f>
        <v/>
      </c>
      <c r="J1067" s="1">
        <f>IFERROR(__xludf.DUMMYFUNCTION("""COMPUTED_VALUE"""),"+34930198402")</f>
        <v/>
      </c>
      <c r="K1067" s="1">
        <f>IFERROR(__xludf.DUMMYFUNCTION("""COMPUTED_VALUE"""),"St Boi de Llobregart, Barcelona")</f>
        <v/>
      </c>
      <c r="L1067" s="1">
        <f>IFERROR(__xludf.DUMMYFUNCTION("""COMPUTED_VALUE"""),"Spain")</f>
        <v/>
      </c>
      <c r="M1067" s="1">
        <f>IFERROR(__xludf.DUMMYFUNCTION("""COMPUTED_VALUE"""),"Austria, Germany, Netherlands, Portugal, Spain")</f>
        <v/>
      </c>
      <c r="N1067" s="1">
        <f>IFERROR(__xludf.DUMMYFUNCTION("""COMPUTED_VALUE"""),"11 to 50")</f>
        <v/>
      </c>
      <c r="O1067" s="1">
        <f>IFERROR(__xludf.DUMMYFUNCTION("""COMPUTED_VALUE"""),"Business to Business, Business to Government")</f>
        <v/>
      </c>
      <c r="P1067" s="1">
        <f>IFERROR(__xludf.DUMMYFUNCTION("""COMPUTED_VALUE"""),"Higher Education, Corporate Training, Lifelong learning/Adult education")</f>
        <v/>
      </c>
      <c r="Q1067" s="1">
        <f>IFERROR(__xludf.DUMMYFUNCTION("""COMPUTED_VALUE"""),"Teacher interfacing, Student interfacing, System/Administrative")</f>
        <v/>
      </c>
      <c r="R1067" s="1" t="n"/>
      <c r="S1067" s="1" t="n"/>
      <c r="T1067" s="1" t="n"/>
      <c r="U1067" s="1" t="n"/>
      <c r="V1067" s="1" t="n"/>
      <c r="W1067" s="1" t="n"/>
      <c r="X1067" s="1" t="n"/>
      <c r="Y1067" s="15">
        <f>IFERROR(__xludf.DUMMYFUNCTION("""COMPUTED_VALUE"""),"https://drive.google.com/uc?export=view&amp;id=1d0iLg0HA6WZQNwzkpCEa4ROxe7vaKIum")</f>
        <v/>
      </c>
      <c r="Z1067" s="1">
        <f>IFERROR(__xludf.DUMMYFUNCTION("""COMPUTED_VALUE"""),"Unverified")</f>
        <v/>
      </c>
      <c r="AA1067" s="1" t="n"/>
      <c r="AB1067" s="1" t="n"/>
      <c r="AC1067" s="1" t="n"/>
      <c r="AD1067" s="1" t="n"/>
      <c r="AE1067" s="1" t="n"/>
    </row>
    <row r="1068" ht="42" customHeight="1">
      <c r="A1068" s="14">
        <f>IFERROR(__xludf.DUMMYFUNCTION("""COMPUTED_VALUE"""),45181)</f>
        <v/>
      </c>
      <c r="B1068" s="1">
        <f>IFERROR(__xludf.DUMMYFUNCTION("""COMPUTED_VALUE"""),"ORG_1804")</f>
        <v/>
      </c>
      <c r="C1068" s="1">
        <f>IFERROR(__xludf.DUMMYFUNCTION("""COMPUTED_VALUE"""),TRUE)</f>
        <v/>
      </c>
      <c r="D1068" s="1">
        <f>IFERROR(__xludf.DUMMYFUNCTION("""COMPUTED_VALUE"""),"Laava Tech")</f>
        <v/>
      </c>
      <c r="E1068" s="15">
        <f>IFERROR(__xludf.DUMMYFUNCTION("""COMPUTED_VALUE"""),"www.premifarm.com")</f>
        <v/>
      </c>
      <c r="F1068" s="1">
        <f>IFERROR(__xludf.DUMMYFUNCTION("""COMPUTED_VALUE"""),"Laava Tech OÜ is an Estonian technology start-up company, that develops LED growth lamps, software and related automation.
Our company has won prestigious international awards related to climate, energy, start-up and food production. 
After years of R&amp;D"&amp;", we believe that our solution offers versatile learning outcomes for our customers.
We see smart greenhouses as an integral part of today's environmentally conscious society, enabling people to get excited about biology, advanced energy-
efficient agricu"&amp;"ltural technology, and healthy eating.")</f>
        <v/>
      </c>
      <c r="G1068" s="1">
        <f>IFERROR(__xludf.DUMMYFUNCTION("""COMPUTED_VALUE"""),"EdTech Estonia")</f>
        <v/>
      </c>
      <c r="H1068" s="1" t="n"/>
      <c r="I1068" s="1">
        <f>IFERROR(__xludf.DUMMYFUNCTION("""COMPUTED_VALUE"""),"info@laavatech.com")</f>
        <v/>
      </c>
      <c r="J1068" s="1">
        <f>IFERROR(__xludf.DUMMYFUNCTION("""COMPUTED_VALUE"""),"+37256961196")</f>
        <v/>
      </c>
      <c r="K1068" s="1">
        <f>IFERROR(__xludf.DUMMYFUNCTION("""COMPUTED_VALUE"""),"TALLINN")</f>
        <v/>
      </c>
      <c r="L1068" s="1">
        <f>IFERROR(__xludf.DUMMYFUNCTION("""COMPUTED_VALUE"""),"Estonia")</f>
        <v/>
      </c>
      <c r="M1068" s="1">
        <f>IFERROR(__xludf.DUMMYFUNCTION("""COMPUTED_VALUE"""),"Denmark, Estonia, Finland, Sweden")</f>
        <v/>
      </c>
      <c r="N1068" s="1">
        <f>IFERROR(__xludf.DUMMYFUNCTION("""COMPUTED_VALUE"""),"11 to 50")</f>
        <v/>
      </c>
      <c r="O1068" s="1">
        <f>IFERROR(__xludf.DUMMYFUNCTION("""COMPUTED_VALUE"""),"Business to Business, Business to Government")</f>
        <v/>
      </c>
      <c r="P1068" s="1">
        <f>IFERROR(__xludf.DUMMYFUNCTION("""COMPUTED_VALUE"""),"Primary Education, Secondary Education, Lifelong learning/Adult education")</f>
        <v/>
      </c>
      <c r="Q1068" s="1">
        <f>IFERROR(__xludf.DUMMYFUNCTION("""COMPUTED_VALUE"""),"Teacher interfacing, System/Administrative")</f>
        <v/>
      </c>
      <c r="R1068" s="15">
        <f>IFERROR(__xludf.DUMMYFUNCTION("""COMPUTED_VALUE"""),"https://www.instagram.com/premifarm/")</f>
        <v/>
      </c>
      <c r="S1068" s="1" t="n"/>
      <c r="T1068" s="1" t="n"/>
      <c r="U1068" s="1">
        <f>IFERROR(__xludf.DUMMYFUNCTION("""COMPUTED_VALUE"""),"Premifarm")</f>
        <v/>
      </c>
      <c r="V1068" s="1">
        <f>IFERROR(__xludf.DUMMYFUNCTION("""COMPUTED_VALUE"""),"PremiFarm is a vertical farm with integrated water and LED grow-lights powered
aeroponics system. Our grower allows you to grow your own sustainable food where
you live, work and study.
Grower helps students learn and understand cultivation processes f"&amp;"rom
biological/life science aspect at all stages and introduces the new vertical farming
trends in agriculture. Lack of agricultural land and expensive food production due to
increasing energy costs are the challenges vertical farms are solving.
Wheth"&amp;"er the user is student, teacher or director-vertical farm is for everybody, who
want to learn the principles of nature or to reunite to nature in todays fast-paced
society.")</f>
        <v/>
      </c>
      <c r="W1068" s="1" t="n"/>
      <c r="X1068" s="1" t="n"/>
      <c r="Y1068" s="15">
        <f>IFERROR(__xludf.DUMMYFUNCTION("""COMPUTED_VALUE"""),"https://drive.google.com/uc?export=view&amp;id=1l3HxNAWC1AeSIRDqRCDhl5PvB87X5h-A")</f>
        <v/>
      </c>
      <c r="Z1068" s="1">
        <f>IFERROR(__xludf.DUMMYFUNCTION("""COMPUTED_VALUE"""),"Unverified")</f>
        <v/>
      </c>
      <c r="AA1068" s="1" t="n"/>
      <c r="AB1068" s="1" t="n"/>
      <c r="AC1068" s="1" t="n"/>
      <c r="AD1068" s="1" t="n"/>
      <c r="AE1068" s="1" t="n"/>
    </row>
    <row r="1069" ht="42" customHeight="1">
      <c r="A1069" s="14">
        <f>IFERROR(__xludf.DUMMYFUNCTION("""COMPUTED_VALUE"""),45181)</f>
        <v/>
      </c>
      <c r="B1069" s="1">
        <f>IFERROR(__xludf.DUMMYFUNCTION("""COMPUTED_VALUE"""),"ORG_1805")</f>
        <v/>
      </c>
      <c r="C1069" s="1">
        <f>IFERROR(__xludf.DUMMYFUNCTION("""COMPUTED_VALUE"""),TRUE)</f>
        <v/>
      </c>
      <c r="D1069" s="1">
        <f>IFERROR(__xludf.DUMMYFUNCTION("""COMPUTED_VALUE"""),"Labla")</f>
        <v/>
      </c>
      <c r="E1069" s="15">
        <f>IFERROR(__xludf.DUMMYFUNCTION("""COMPUTED_VALUE"""),"labla.net")</f>
        <v/>
      </c>
      <c r="F1069" s="1">
        <f>IFERROR(__xludf.DUMMYFUNCTION("""COMPUTED_VALUE"""),"You can create gamification based digital education platform very quickly and cheap with Labla")</f>
        <v/>
      </c>
      <c r="G1069" s="1">
        <f>IFERROR(__xludf.DUMMYFUNCTION("""COMPUTED_VALUE"""),"I'm not part of any EdTech association")</f>
        <v/>
      </c>
      <c r="H1069" s="1" t="n"/>
      <c r="I1069" s="1">
        <f>IFERROR(__xludf.DUMMYFUNCTION("""COMPUTED_VALUE"""),"hello@labla.net")</f>
        <v/>
      </c>
      <c r="J1069" s="1">
        <f>IFERROR(__xludf.DUMMYFUNCTION("""COMPUTED_VALUE"""),"+905467989285")</f>
        <v/>
      </c>
      <c r="K1069" s="1">
        <f>IFERROR(__xludf.DUMMYFUNCTION("""COMPUTED_VALUE"""),"Yenimahalle / Ankara")</f>
        <v/>
      </c>
      <c r="L1069" s="1">
        <f>IFERROR(__xludf.DUMMYFUNCTION("""COMPUTED_VALUE"""),"Türkiye")</f>
        <v/>
      </c>
      <c r="M1069" s="1">
        <f>IFERROR(__xludf.DUMMYFUNCTION("""COMPUTED_VALUE"""),"Turkey")</f>
        <v/>
      </c>
      <c r="N1069" s="1">
        <f>IFERROR(__xludf.DUMMYFUNCTION("""COMPUTED_VALUE"""),"0 to 10")</f>
        <v/>
      </c>
      <c r="O1069" s="1">
        <f>IFERROR(__xludf.DUMMYFUNCTION("""COMPUTED_VALUE"""),"Business to Business, Business to Government")</f>
        <v/>
      </c>
      <c r="P1069" s="1">
        <f>IFERROR(__xludf.DUMMYFUNCTION("""COMPUTED_VALUE"""),"Early childhood development (0-5 years), Primary Education, Secondary Education")</f>
        <v/>
      </c>
      <c r="Q1069" s="1">
        <f>IFERROR(__xludf.DUMMYFUNCTION("""COMPUTED_VALUE"""),"System/Administrative, Student interfacing")</f>
        <v/>
      </c>
      <c r="R1069" s="1" t="n"/>
      <c r="S1069" s="1" t="n"/>
      <c r="T1069" s="1" t="n"/>
      <c r="U1069" s="1" t="n"/>
      <c r="V1069" s="1" t="n"/>
      <c r="W1069" s="1" t="n"/>
      <c r="X1069" s="1" t="n"/>
      <c r="Y1069" s="15">
        <f>IFERROR(__xludf.DUMMYFUNCTION("""COMPUTED_VALUE"""),"https://drive.google.com/uc?export=view&amp;id=1rINpLjvPr4ml2VKhJ0lJf_0610NrjaSG")</f>
        <v/>
      </c>
      <c r="Z1069" s="1">
        <f>IFERROR(__xludf.DUMMYFUNCTION("""COMPUTED_VALUE"""),"Unverified")</f>
        <v/>
      </c>
      <c r="AA1069" s="1" t="n"/>
      <c r="AB1069" s="1" t="n"/>
      <c r="AC1069" s="1" t="n"/>
      <c r="AD1069" s="1" t="n"/>
      <c r="AE1069" s="1" t="n"/>
    </row>
    <row r="1070" ht="42" customHeight="1">
      <c r="A1070" s="14">
        <f>IFERROR(__xludf.DUMMYFUNCTION("""COMPUTED_VALUE"""),45181)</f>
        <v/>
      </c>
      <c r="B1070" s="1">
        <f>IFERROR(__xludf.DUMMYFUNCTION("""COMPUTED_VALUE"""),"ORG_1812")</f>
        <v/>
      </c>
      <c r="C1070" s="1">
        <f>IFERROR(__xludf.DUMMYFUNCTION("""COMPUTED_VALUE"""),TRUE)</f>
        <v/>
      </c>
      <c r="D1070" s="1">
        <f>IFERROR(__xludf.DUMMYFUNCTION("""COMPUTED_VALUE"""),"Language Teams")</f>
        <v/>
      </c>
      <c r="E1070" s="15">
        <f>IFERROR(__xludf.DUMMYFUNCTION("""COMPUTED_VALUE"""),"www.languageteams.com")</f>
        <v/>
      </c>
      <c r="F1070" s="1">
        <f>IFERROR(__xludf.DUMMYFUNCTION("""COMPUTED_VALUE"""),"Language Teams is an online language school that offers online French, English, German, Dutch and Spanish courses adapted to the social and professional needs of its students.")</f>
        <v/>
      </c>
      <c r="G1070" s="1">
        <f>IFERROR(__xludf.DUMMYFUNCTION("""COMPUTED_VALUE"""),"I'm not part of any EdTech association")</f>
        <v/>
      </c>
      <c r="H1070" s="1" t="n"/>
      <c r="I1070" s="1">
        <f>IFERROR(__xludf.DUMMYFUNCTION("""COMPUTED_VALUE"""),"hello@languageteams.com")</f>
        <v/>
      </c>
      <c r="J1070" s="1">
        <f>IFERROR(__xludf.DUMMYFUNCTION("""COMPUTED_VALUE"""),"+33 1 76 21 05 79")</f>
        <v/>
      </c>
      <c r="K1070" s="1">
        <f>IFERROR(__xludf.DUMMYFUNCTION("""COMPUTED_VALUE"""),"Paris")</f>
        <v/>
      </c>
      <c r="L1070" s="1">
        <f>IFERROR(__xludf.DUMMYFUNCTION("""COMPUTED_VALUE"""),"France")</f>
        <v/>
      </c>
      <c r="M1070" s="1">
        <f>IFERROR(__xludf.DUMMYFUNCTION("""COMPUTED_VALUE"""),"Austria, Belgium, France, Germany, Greece, Ireland, Italy, Netherlands, Spain, Sweden, Switzerland, United Kingdom")</f>
        <v/>
      </c>
      <c r="N1070" s="1">
        <f>IFERROR(__xludf.DUMMYFUNCTION("""COMPUTED_VALUE"""),"0 to 10")</f>
        <v/>
      </c>
      <c r="O1070" s="1">
        <f>IFERROR(__xludf.DUMMYFUNCTION("""COMPUTED_VALUE"""),"Business to Business, Business to Government, Business to Schools")</f>
        <v/>
      </c>
      <c r="P1070" s="1">
        <f>IFERROR(__xludf.DUMMYFUNCTION("""COMPUTED_VALUE"""),"Higher Education, Corporate Training, Lifelong learning/Adult education")</f>
        <v/>
      </c>
      <c r="Q1070" s="1">
        <f>IFERROR(__xludf.DUMMYFUNCTION("""COMPUTED_VALUE"""),"Student interfacing, System/Administrative")</f>
        <v/>
      </c>
      <c r="R1070" s="1" t="n"/>
      <c r="S1070" s="1" t="n"/>
      <c r="T1070" s="1" t="n"/>
      <c r="U1070" s="1" t="n"/>
      <c r="V1070" s="1" t="n"/>
      <c r="W1070" s="1" t="n"/>
      <c r="X1070" s="1" t="n"/>
      <c r="Y1070" s="15">
        <f>IFERROR(__xludf.DUMMYFUNCTION("""COMPUTED_VALUE"""),"https://drive.google.com/uc?export=view&amp;id=1hLqxpjqiJEV7fFTAkA2Ptqt-HOTtUclf")</f>
        <v/>
      </c>
      <c r="Z1070" s="1">
        <f>IFERROR(__xludf.DUMMYFUNCTION("""COMPUTED_VALUE"""),"Unverified")</f>
        <v/>
      </c>
      <c r="AA1070" s="1" t="n"/>
      <c r="AB1070" s="1" t="n"/>
      <c r="AC1070" s="1" t="n"/>
      <c r="AD1070" s="1" t="n"/>
      <c r="AE1070" s="1" t="n"/>
    </row>
    <row r="1071" ht="42" customHeight="1">
      <c r="A1071" s="14">
        <f>IFERROR(__xludf.DUMMYFUNCTION("""COMPUTED_VALUE"""),45181)</f>
        <v/>
      </c>
      <c r="B1071" s="1">
        <f>IFERROR(__xludf.DUMMYFUNCTION("""COMPUTED_VALUE"""),"ORG_1824")</f>
        <v/>
      </c>
      <c r="C1071" s="1">
        <f>IFERROR(__xludf.DUMMYFUNCTION("""COMPUTED_VALUE"""),TRUE)</f>
        <v/>
      </c>
      <c r="D1071" s="1">
        <f>IFERROR(__xludf.DUMMYFUNCTION("""COMPUTED_VALUE"""),"Learn More")</f>
        <v/>
      </c>
      <c r="E1071" s="15">
        <f>IFERROR(__xludf.DUMMYFUNCTION("""COMPUTED_VALUE"""),"www.learn-more.eu")</f>
        <v/>
      </c>
      <c r="F1071" s="1">
        <f>IFERROR(__xludf.DUMMYFUNCTION("""COMPUTED_VALUE"""),"Learn More is a research and innovation centre focusing on education and learning. Our clients include the World Bank, the UN, Save the Children, the European Commission and a wide range of EdTech players.")</f>
        <v/>
      </c>
      <c r="G1071" s="1">
        <f>IFERROR(__xludf.DUMMYFUNCTION("""COMPUTED_VALUE"""),"I'm not part of any EdTech association")</f>
        <v/>
      </c>
      <c r="H1071" s="1" t="n"/>
      <c r="I1071" s="1" t="n"/>
      <c r="J1071" s="1" t="n"/>
      <c r="K1071" s="1">
        <f>IFERROR(__xludf.DUMMYFUNCTION("""COMPUTED_VALUE"""),"MILAN")</f>
        <v/>
      </c>
      <c r="L1071" s="1">
        <f>IFERROR(__xludf.DUMMYFUNCTION("""COMPUTED_VALUE"""),"Italy")</f>
        <v/>
      </c>
      <c r="M1071" s="1">
        <f>IFERROR(__xludf.DUMMYFUNCTION("""COMPUTED_VALUE"""),"Belgium, France, Germany, Greece, Ireland, Italy, Netherlands, Poland, Spain, Ukraine, United Kingdom")</f>
        <v/>
      </c>
      <c r="N1071" s="1">
        <f>IFERROR(__xludf.DUMMYFUNCTION("""COMPUTED_VALUE"""),"0 to 10")</f>
        <v/>
      </c>
      <c r="O1071" s="1">
        <f>IFERROR(__xludf.DUMMYFUNCTION("""COMPUTED_VALUE"""),"Business to Business, Business to Government, Business to Schools")</f>
        <v/>
      </c>
      <c r="P1071" s="1">
        <f>IFERROR(__xludf.DUMMYFUNCTION("""COMPUTED_VALUE"""),"Early childhood development (0-5 years), Primary Education, Secondary Education, Lifelong learning/Adult education")</f>
        <v/>
      </c>
      <c r="Q1071" s="1">
        <f>IFERROR(__xludf.DUMMYFUNCTION("""COMPUTED_VALUE"""),"Teacher interfacing, System/Administrative")</f>
        <v/>
      </c>
      <c r="R1071" s="1" t="n"/>
      <c r="S1071" s="1" t="n"/>
      <c r="T1071" s="15">
        <f>IFERROR(__xludf.DUMMYFUNCTION("""COMPUTED_VALUE"""),"https://www.linkedin.com/company/learnmore")</f>
        <v/>
      </c>
      <c r="U1071" s="1">
        <f>IFERROR(__xludf.DUMMYFUNCTION("""COMPUTED_VALUE"""),"Docenti Zen")</f>
        <v/>
      </c>
      <c r="V1071" s="1">
        <f>IFERROR(__xludf.DUMMYFUNCTION("""COMPUTED_VALUE"""),"Learn More's Online Community of Practice for teachers.")</f>
        <v/>
      </c>
      <c r="W1071" s="1" t="n"/>
      <c r="X1071" s="1" t="n"/>
      <c r="Y1071" s="15">
        <f>IFERROR(__xludf.DUMMYFUNCTION("""COMPUTED_VALUE"""),"https://drive.google.com/uc?export=view&amp;id=1qvdpm26fbOQ2XTHvWJlKI8FqVmfeFeMc")</f>
        <v/>
      </c>
      <c r="Z1071" s="1">
        <f>IFERROR(__xludf.DUMMYFUNCTION("""COMPUTED_VALUE"""),"Unverified")</f>
        <v/>
      </c>
      <c r="AA1071" s="1" t="n"/>
      <c r="AB1071" s="1" t="n"/>
      <c r="AC1071" s="1" t="n"/>
      <c r="AD1071" s="1" t="n"/>
      <c r="AE1071" s="1" t="n"/>
    </row>
    <row r="1072" ht="42" customHeight="1">
      <c r="A1072" s="14">
        <f>IFERROR(__xludf.DUMMYFUNCTION("""COMPUTED_VALUE"""),45181)</f>
        <v/>
      </c>
      <c r="B1072" s="1">
        <f>IFERROR(__xludf.DUMMYFUNCTION("""COMPUTED_VALUE"""),"ORG_1841")</f>
        <v/>
      </c>
      <c r="C1072" s="1">
        <f>IFERROR(__xludf.DUMMYFUNCTION("""COMPUTED_VALUE"""),TRUE)</f>
        <v/>
      </c>
      <c r="D1072" s="1">
        <f>IFERROR(__xludf.DUMMYFUNCTION("""COMPUTED_VALUE"""),"Learnship")</f>
        <v/>
      </c>
      <c r="E1072" s="15">
        <f>IFERROR(__xludf.DUMMYFUNCTION("""COMPUTED_VALUE"""),"www.learnship.com")</f>
        <v/>
      </c>
      <c r="F1072" s="1">
        <f>IFERROR(__xludf.DUMMYFUNCTION("""COMPUTED_VALUE"""),"Learnship is a leading provider of online language learning solutions. We help organizations succeed in global markets by breaking down cross-cultural communication barriers. To create more collaborative, productive, and successful workforces, we have dev"&amp;"eloped the widest range of communications training solutions covering 12+ languages.
For our clients, we build impactful training programs relying on four pillars:
- A customer-centric approach, with global and local teams dedicated to delivering the be"&amp;"st business impact
- Premium content development and delivery
- Cutting-edge digital technologies and tools, to boost learner engagement and monitor progress precisely
- A pool of 1,000+ expert trainers and coaches with relevant certifications and extensi"&amp;"ve experience")</f>
        <v/>
      </c>
      <c r="G1072" s="1">
        <f>IFERROR(__xludf.DUMMYFUNCTION("""COMPUTED_VALUE"""),"I'm not part of any EdTech association")</f>
        <v/>
      </c>
      <c r="H1072" s="1" t="n"/>
      <c r="I1072" s="1">
        <f>IFERROR(__xludf.DUMMYFUNCTION("""COMPUTED_VALUE"""),"contact@learnship.com")</f>
        <v/>
      </c>
      <c r="J1072" s="1" t="n"/>
      <c r="K1072" s="1">
        <f>IFERROR(__xludf.DUMMYFUNCTION("""COMPUTED_VALUE"""),"COLOGNE")</f>
        <v/>
      </c>
      <c r="L1072" s="1">
        <f>IFERROR(__xludf.DUMMYFUNCTION("""COMPUTED_VALUE"""),"Germany")</f>
        <v/>
      </c>
      <c r="M1072"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San Marino, Serbia, Slovakia, Slovenia, Spain, Sweden, Switzerland, Turkey, Ukraine, United Kingdom")</f>
        <v/>
      </c>
      <c r="N1072" s="1">
        <f>IFERROR(__xludf.DUMMYFUNCTION("""COMPUTED_VALUE"""),"100+")</f>
        <v/>
      </c>
      <c r="O1072" s="1">
        <f>IFERROR(__xludf.DUMMYFUNCTION("""COMPUTED_VALUE"""),"Business to Business, Business to Government, Business to Schools")</f>
        <v/>
      </c>
      <c r="P1072" s="1">
        <f>IFERROR(__xludf.DUMMYFUNCTION("""COMPUTED_VALUE"""),"Corporate Training, Lifelong learning/Adult education")</f>
        <v/>
      </c>
      <c r="Q1072" s="1">
        <f>IFERROR(__xludf.DUMMYFUNCTION("""COMPUTED_VALUE"""),"Teacher interfacing, Student interfacing, System/Administrative")</f>
        <v/>
      </c>
      <c r="R1072" s="1" t="n"/>
      <c r="S1072" s="1" t="n"/>
      <c r="T1072" s="1" t="n"/>
      <c r="U1072" s="1" t="n"/>
      <c r="V1072" s="1" t="n"/>
      <c r="W1072" s="1" t="n"/>
      <c r="X1072" s="1" t="n"/>
      <c r="Y1072" s="15">
        <f>IFERROR(__xludf.DUMMYFUNCTION("""COMPUTED_VALUE"""),"https://drive.google.com/uc?export=view&amp;id=1En0y1sVPIl3ZcYDdaoHgcj2g8m_9Vcb5")</f>
        <v/>
      </c>
      <c r="Z1072" s="1">
        <f>IFERROR(__xludf.DUMMYFUNCTION("""COMPUTED_VALUE"""),"Unverified")</f>
        <v/>
      </c>
      <c r="AA1072" s="1" t="n"/>
      <c r="AB1072" s="1" t="n"/>
      <c r="AC1072" s="1" t="n"/>
      <c r="AD1072" s="1" t="n"/>
      <c r="AE1072" s="1" t="n"/>
    </row>
    <row r="1073" ht="42" customHeight="1">
      <c r="A1073" s="14">
        <f>IFERROR(__xludf.DUMMYFUNCTION("""COMPUTED_VALUE"""),45181)</f>
        <v/>
      </c>
      <c r="B1073" s="1">
        <f>IFERROR(__xludf.DUMMYFUNCTION("""COMPUTED_VALUE"""),"ORG_1861")</f>
        <v/>
      </c>
      <c r="C1073" s="1">
        <f>IFERROR(__xludf.DUMMYFUNCTION("""COMPUTED_VALUE"""),TRUE)</f>
        <v/>
      </c>
      <c r="D1073" s="1">
        <f>IFERROR(__xludf.DUMMYFUNCTION("""COMPUTED_VALUE"""),"Levato")</f>
        <v/>
      </c>
      <c r="E1073" s="15">
        <f>IFERROR(__xludf.DUMMYFUNCTION("""COMPUTED_VALUE"""),"www.levato.no")</f>
        <v/>
      </c>
      <c r="F1073" s="1">
        <f>IFERROR(__xludf.DUMMYFUNCTION("""COMPUTED_VALUE"""),"Technology for Advanced Learning in Higher education and Professional Training")</f>
        <v/>
      </c>
      <c r="G1073" s="1">
        <f>IFERROR(__xludf.DUMMYFUNCTION("""COMPUTED_VALUE"""),"I'm not part of any EdTech association")</f>
        <v/>
      </c>
      <c r="H1073" s="1" t="n"/>
      <c r="I1073" s="1">
        <f>IFERROR(__xludf.DUMMYFUNCTION("""COMPUTED_VALUE"""),"hello@levato.no")</f>
        <v/>
      </c>
      <c r="J1073" s="1">
        <f>IFERROR(__xludf.DUMMYFUNCTION("""COMPUTED_VALUE"""),"+4748155511")</f>
        <v/>
      </c>
      <c r="K1073" s="1">
        <f>IFERROR(__xludf.DUMMYFUNCTION("""COMPUTED_VALUE"""),"BERGEN")</f>
        <v/>
      </c>
      <c r="L1073" s="1">
        <f>IFERROR(__xludf.DUMMYFUNCTION("""COMPUTED_VALUE"""),"Norway")</f>
        <v/>
      </c>
      <c r="M1073" s="1">
        <f>IFERROR(__xludf.DUMMYFUNCTION("""COMPUTED_VALUE"""),"Norway")</f>
        <v/>
      </c>
      <c r="N1073" s="1">
        <f>IFERROR(__xludf.DUMMYFUNCTION("""COMPUTED_VALUE"""),"0 to 10")</f>
        <v/>
      </c>
      <c r="O1073" s="1">
        <f>IFERROR(__xludf.DUMMYFUNCTION("""COMPUTED_VALUE"""),"Business to Business, Business to Government, Business to Schools")</f>
        <v/>
      </c>
      <c r="P1073" s="1">
        <f>IFERROR(__xludf.DUMMYFUNCTION("""COMPUTED_VALUE"""),"Higher Education, Corporate Training, Lifelong learning/Adult education")</f>
        <v/>
      </c>
      <c r="Q1073" s="1">
        <f>IFERROR(__xludf.DUMMYFUNCTION("""COMPUTED_VALUE"""),"Student interfacing, Teacher interfacing, System/Administrative")</f>
        <v/>
      </c>
      <c r="R1073" s="1" t="n"/>
      <c r="S1073" s="1" t="n"/>
      <c r="T1073" s="1" t="n"/>
      <c r="U1073" s="1" t="n"/>
      <c r="V1073" s="1" t="n"/>
      <c r="W1073" s="1" t="n"/>
      <c r="X1073" s="1" t="n"/>
      <c r="Y1073" s="15">
        <f>IFERROR(__xludf.DUMMYFUNCTION("""COMPUTED_VALUE"""),"https://drive.google.com/uc?export=view&amp;id=1FYPmR5doSU53OFph63hwrdX8hWXg31YL")</f>
        <v/>
      </c>
      <c r="Z1073" s="1">
        <f>IFERROR(__xludf.DUMMYFUNCTION("""COMPUTED_VALUE"""),"Unverified")</f>
        <v/>
      </c>
      <c r="AA1073" s="1" t="n"/>
      <c r="AB1073" s="1" t="n"/>
      <c r="AC1073" s="1" t="n"/>
      <c r="AD1073" s="1" t="n"/>
      <c r="AE1073" s="1" t="n"/>
    </row>
    <row r="1074" ht="42" customHeight="1">
      <c r="A1074" s="14">
        <f>IFERROR(__xludf.DUMMYFUNCTION("""COMPUTED_VALUE"""),45181)</f>
        <v/>
      </c>
      <c r="B1074" s="1">
        <f>IFERROR(__xludf.DUMMYFUNCTION("""COMPUTED_VALUE"""),"ORG_1879")</f>
        <v/>
      </c>
      <c r="C1074" s="1">
        <f>IFERROR(__xludf.DUMMYFUNCTION("""COMPUTED_VALUE"""),TRUE)</f>
        <v/>
      </c>
      <c r="D1074" s="1">
        <f>IFERROR(__xludf.DUMMYFUNCTION("""COMPUTED_VALUE"""),"Lincoln Method")</f>
        <v/>
      </c>
      <c r="E1074" s="15">
        <f>IFERROR(__xludf.DUMMYFUNCTION("""COMPUTED_VALUE"""),"LincolnMethod.com")</f>
        <v/>
      </c>
      <c r="F1074" s="1">
        <f>IFERROR(__xludf.DUMMYFUNCTION("""COMPUTED_VALUE"""),"We are an online school with qualified teachers that can help you study form any curriculum of your choice.")</f>
        <v/>
      </c>
      <c r="G1074" s="1">
        <f>IFERROR(__xludf.DUMMYFUNCTION("""COMPUTED_VALUE"""),"I'm not part of any EdTech association")</f>
        <v/>
      </c>
      <c r="H1074" s="1" t="n"/>
      <c r="I1074" s="1">
        <f>IFERROR(__xludf.DUMMYFUNCTION("""COMPUTED_VALUE"""),"Saleem@LincolnMethod.com")</f>
        <v/>
      </c>
      <c r="J1074" s="1">
        <f>IFERROR(__xludf.DUMMYFUNCTION("""COMPUTED_VALUE"""),"+923032914144")</f>
        <v/>
      </c>
      <c r="K1074" s="1">
        <f>IFERROR(__xludf.DUMMYFUNCTION("""COMPUTED_VALUE"""),"Helsinki")</f>
        <v/>
      </c>
      <c r="L1074" s="1">
        <f>IFERROR(__xludf.DUMMYFUNCTION("""COMPUTED_VALUE"""),"Finland")</f>
        <v/>
      </c>
      <c r="M1074" s="1">
        <f>IFERROR(__xludf.DUMMYFUNCTION("""COMPUTED_VALUE"""),"Belgium, Cyprus, Denmark, Finland, France, Germany, Greece, Ireland, Netherlands, Portugal, Spain, Turkey, United Kingdom")</f>
        <v/>
      </c>
      <c r="N1074" s="1">
        <f>IFERROR(__xludf.DUMMYFUNCTION("""COMPUTED_VALUE"""),"11 to 50")</f>
        <v/>
      </c>
      <c r="O1074" s="1">
        <f>IFERROR(__xludf.DUMMYFUNCTION("""COMPUTED_VALUE"""),"Business to Business, Business to Government, Business to Schools")</f>
        <v/>
      </c>
      <c r="P1074" s="1">
        <f>IFERROR(__xludf.DUMMYFUNCTION("""COMPUTED_VALUE"""),"Primary Education, Secondary Education")</f>
        <v/>
      </c>
      <c r="Q1074" s="1">
        <f>IFERROR(__xludf.DUMMYFUNCTION("""COMPUTED_VALUE"""),"System/Administrative, Student interfacing, Teacher interfacing")</f>
        <v/>
      </c>
      <c r="R1074" s="1" t="n"/>
      <c r="S1074" s="1" t="n"/>
      <c r="T1074" s="1" t="n"/>
      <c r="U1074" s="1" t="n"/>
      <c r="V1074" s="1" t="n"/>
      <c r="W1074" s="1" t="n"/>
      <c r="X1074" s="1" t="n"/>
      <c r="Y1074" s="15">
        <f>IFERROR(__xludf.DUMMYFUNCTION("""COMPUTED_VALUE"""),"https://drive.google.com/uc?export=view&amp;id=1GlHYV1QGYuGK8K0sr1_Z3swv-sn0FA-x")</f>
        <v/>
      </c>
      <c r="Z1074" s="1">
        <f>IFERROR(__xludf.DUMMYFUNCTION("""COMPUTED_VALUE"""),"Unverified")</f>
        <v/>
      </c>
      <c r="AA1074" s="1" t="n"/>
      <c r="AB1074" s="1" t="n"/>
      <c r="AC1074" s="1" t="n"/>
      <c r="AD1074" s="1" t="n"/>
      <c r="AE1074" s="1" t="n"/>
    </row>
    <row r="1075" ht="42" customHeight="1">
      <c r="A1075" s="14">
        <f>IFERROR(__xludf.DUMMYFUNCTION("""COMPUTED_VALUE"""),45181)</f>
        <v/>
      </c>
      <c r="B1075" s="1">
        <f>IFERROR(__xludf.DUMMYFUNCTION("""COMPUTED_VALUE"""),"ORG_1883")</f>
        <v/>
      </c>
      <c r="C1075" s="1">
        <f>IFERROR(__xludf.DUMMYFUNCTION("""COMPUTED_VALUE"""),TRUE)</f>
        <v/>
      </c>
      <c r="D1075" s="1">
        <f>IFERROR(__xludf.DUMMYFUNCTION("""COMPUTED_VALUE"""),"Lingua Amigos")</f>
        <v/>
      </c>
      <c r="E1075" s="15">
        <f>IFERROR(__xludf.DUMMYFUNCTION("""COMPUTED_VALUE"""),"https://www.lingua-amigos.com/")</f>
        <v/>
      </c>
      <c r="F1075" s="1">
        <f>IFERROR(__xludf.DUMMYFUNCTION("""COMPUTED_VALUE"""),"Learning a language is not only about grammar, it is also about discovering the cuisine, music, traditions and cultural aspects of another country. And of course, about making new friends along the way! This is the philosophy behind Lingua Amigos! 
Lingua"&amp;" Amigos brings together learners and native students, the Amigos, to make language learning and cultural exchanges fun, personalized and flexible, all from your home! While democratizing language learning, Lingua Amigos offers an opportunity to students w"&amp;"ho are hard hit by poverty to have access to a stable source of income while discovering their language and culture.")</f>
        <v/>
      </c>
      <c r="G1075" s="1">
        <f>IFERROR(__xludf.DUMMYFUNCTION("""COMPUTED_VALUE"""),"I'm not part of any EdTech association")</f>
        <v/>
      </c>
      <c r="H1075" s="1" t="n"/>
      <c r="I1075" s="1">
        <f>IFERROR(__xludf.DUMMYFUNCTION("""COMPUTED_VALUE"""),"audrey@lingua-amigos.com")</f>
        <v/>
      </c>
      <c r="J1075" s="1">
        <f>IFERROR(__xludf.DUMMYFUNCTION("""COMPUTED_VALUE"""),"+33 6 79 26 95 32")</f>
        <v/>
      </c>
      <c r="K1075" s="1">
        <f>IFERROR(__xludf.DUMMYFUNCTION("""COMPUTED_VALUE"""),"REIMS")</f>
        <v/>
      </c>
      <c r="L1075" s="1">
        <f>IFERROR(__xludf.DUMMYFUNCTION("""COMPUTED_VALUE"""),"France")</f>
        <v/>
      </c>
      <c r="M1075" s="1">
        <f>IFERROR(__xludf.DUMMYFUNCTION("""COMPUTED_VALUE"""),"France")</f>
        <v/>
      </c>
      <c r="N1075" s="1">
        <f>IFERROR(__xludf.DUMMYFUNCTION("""COMPUTED_VALUE"""),"0 to 10")</f>
        <v/>
      </c>
      <c r="O1075" s="1">
        <f>IFERROR(__xludf.DUMMYFUNCTION("""COMPUTED_VALUE"""),"Business to Business, Business to Government, Business to Schools")</f>
        <v/>
      </c>
      <c r="P1075" s="1">
        <f>IFERROR(__xludf.DUMMYFUNCTION("""COMPUTED_VALUE"""),"Lifelong learning/Adult education")</f>
        <v/>
      </c>
      <c r="Q1075" s="1">
        <f>IFERROR(__xludf.DUMMYFUNCTION("""COMPUTED_VALUE"""),"System/Administrative, Student interfacing")</f>
        <v/>
      </c>
      <c r="R1075" s="1" t="n"/>
      <c r="S1075" s="1" t="n"/>
      <c r="T1075" s="1" t="n"/>
      <c r="U1075" s="1" t="n"/>
      <c r="V1075" s="1" t="n"/>
      <c r="W1075" s="1" t="n"/>
      <c r="X1075" s="1" t="n"/>
      <c r="Y1075" s="15">
        <f>IFERROR(__xludf.DUMMYFUNCTION("""COMPUTED_VALUE"""),"https://drive.google.com/uc?export=view&amp;id=1DTQu3aOiOyH7AJmTEnJu0oJwYJASxIhF")</f>
        <v/>
      </c>
      <c r="Z1075" s="1">
        <f>IFERROR(__xludf.DUMMYFUNCTION("""COMPUTED_VALUE"""),"Unverified")</f>
        <v/>
      </c>
      <c r="AA1075" s="1" t="n"/>
      <c r="AB1075" s="1" t="n"/>
      <c r="AC1075" s="1" t="n"/>
      <c r="AD1075" s="1" t="n"/>
      <c r="AE1075" s="1" t="n"/>
    </row>
    <row r="1076" ht="42" customHeight="1">
      <c r="A1076" s="14">
        <f>IFERROR(__xludf.DUMMYFUNCTION("""COMPUTED_VALUE"""),45181)</f>
        <v/>
      </c>
      <c r="B1076" s="1">
        <f>IFERROR(__xludf.DUMMYFUNCTION("""COMPUTED_VALUE"""),"ORG_1905")</f>
        <v/>
      </c>
      <c r="C1076" s="1">
        <f>IFERROR(__xludf.DUMMYFUNCTION("""COMPUTED_VALUE"""),TRUE)</f>
        <v/>
      </c>
      <c r="D1076" s="1">
        <f>IFERROR(__xludf.DUMMYFUNCTION("""COMPUTED_VALUE"""),"Mainbot")</f>
        <v/>
      </c>
      <c r="E1076" s="15">
        <f>IFERROR(__xludf.DUMMYFUNCTION("""COMPUTED_VALUE"""),"https://mainbot.me")</f>
        <v/>
      </c>
      <c r="F1076" s="1">
        <f>IFERROR(__xludf.DUMMYFUNCTION("""COMPUTED_VALUE"""),"Winky is an edutainment robot for children from 5 to 12 years old. Children learn programming and robotics in a simplified and fun way with Winky and our app, Winky Code.
Combining didactic content and emotional behavior, Winky's design makes him very at"&amp;"tractive. Winky can communicate through body language, eye expressions and ""emotional"" language. Children are able to create their own programs or complete challenges and games, and play them with Winky robot.
Since the end of 2021, a second applicatio"&amp;"n, My Winky, is available to play with the robot, and to take advantage of its various sensors through many games.
After having developed Winky, an educational robot for children connected to two edutainment applications, we are currently developing the "&amp;"Winkyverse : Including the metaverse for children, a 3D world kids can explore and discover. It contains endless family-friendly contents created by our team, partners and community members.")</f>
        <v/>
      </c>
      <c r="G1076" s="1">
        <f>IFERROR(__xludf.DUMMYFUNCTION("""COMPUTED_VALUE"""),"EdTech France")</f>
        <v/>
      </c>
      <c r="H1076" s="1" t="n"/>
      <c r="I1076" s="1">
        <f>IFERROR(__xludf.DUMMYFUNCTION("""COMPUTED_VALUE"""),"boris.kesler@mainbot.me")</f>
        <v/>
      </c>
      <c r="J1076" s="1" t="n"/>
      <c r="K1076" s="1">
        <f>IFERROR(__xludf.DUMMYFUNCTION("""COMPUTED_VALUE"""),"Paris")</f>
        <v/>
      </c>
      <c r="L1076" s="1">
        <f>IFERROR(__xludf.DUMMYFUNCTION("""COMPUTED_VALUE"""),"France")</f>
        <v/>
      </c>
      <c r="M1076" s="1">
        <f>IFERROR(__xludf.DUMMYFUNCTION("""COMPUTED_VALUE"""),"France, Germany, Switzerland, United Kingdom")</f>
        <v/>
      </c>
      <c r="N1076" s="1">
        <f>IFERROR(__xludf.DUMMYFUNCTION("""COMPUTED_VALUE"""),"11 to 50")</f>
        <v/>
      </c>
      <c r="O1076" s="1">
        <f>IFERROR(__xludf.DUMMYFUNCTION("""COMPUTED_VALUE"""),"Business to Business, Business to Government, Business to Schools")</f>
        <v/>
      </c>
      <c r="P1076" s="1">
        <f>IFERROR(__xludf.DUMMYFUNCTION("""COMPUTED_VALUE"""),"Primary Education, Secondary Education, Higher Education")</f>
        <v/>
      </c>
      <c r="Q1076" s="1">
        <f>IFERROR(__xludf.DUMMYFUNCTION("""COMPUTED_VALUE"""),"System/Administrative, Student interfacing")</f>
        <v/>
      </c>
      <c r="R1076" s="1" t="n"/>
      <c r="S1076" s="15">
        <f>IFERROR(__xludf.DUMMYFUNCTION("""COMPUTED_VALUE"""),"https://twitter.com/mainbotme")</f>
        <v/>
      </c>
      <c r="T1076" s="15">
        <f>IFERROR(__xludf.DUMMYFUNCTION("""COMPUTED_VALUE"""),"https://www.linkedin.com/company/mainbot/mycompany/")</f>
        <v/>
      </c>
      <c r="U1076" s="1">
        <f>IFERROR(__xludf.DUMMYFUNCTION("""COMPUTED_VALUE"""),"Winky")</f>
        <v/>
      </c>
      <c r="V1076" s="1">
        <f>IFERROR(__xludf.DUMMYFUNCTION("""COMPUTED_VALUE"""),"The Winky robot allows children to develop their skills in programming, robotics and other school subjects, all while having fun.")</f>
        <v/>
      </c>
      <c r="W1076" s="1">
        <f>IFERROR(__xludf.DUMMYFUNCTION("""COMPUTED_VALUE"""),"Winky Code")</f>
        <v/>
      </c>
      <c r="X1076" s="1">
        <f>IFERROR(__xludf.DUMMYFUNCTION("""COMPUTED_VALUE"""),"Children learn to code by completing numerous and varied challenges on the Winky Code application that they can then activate directly on Winky, without having to use the tablet.")</f>
        <v/>
      </c>
      <c r="Y1076" s="15">
        <f>IFERROR(__xludf.DUMMYFUNCTION("""COMPUTED_VALUE"""),"https://drive.google.com/uc?export=view&amp;id=1keCWKxnVgGNmXPPT0-Z45l2YAZFFCPFC")</f>
        <v/>
      </c>
      <c r="Z1076" s="1">
        <f>IFERROR(__xludf.DUMMYFUNCTION("""COMPUTED_VALUE"""),"Unverified")</f>
        <v/>
      </c>
      <c r="AA1076" s="1" t="n"/>
      <c r="AB1076" s="1" t="n"/>
      <c r="AC1076" s="1" t="n"/>
      <c r="AD1076" s="1" t="n"/>
      <c r="AE1076" s="1" t="n"/>
    </row>
    <row r="1077" ht="42" customHeight="1">
      <c r="A1077" s="14">
        <f>IFERROR(__xludf.DUMMYFUNCTION("""COMPUTED_VALUE"""),45181)</f>
        <v/>
      </c>
      <c r="B1077" s="1">
        <f>IFERROR(__xludf.DUMMYFUNCTION("""COMPUTED_VALUE"""),"ORG_1925")</f>
        <v/>
      </c>
      <c r="C1077" s="1">
        <f>IFERROR(__xludf.DUMMYFUNCTION("""COMPUTED_VALUE"""),TRUE)</f>
        <v/>
      </c>
      <c r="D1077" s="1">
        <f>IFERROR(__xludf.DUMMYFUNCTION("""COMPUTED_VALUE"""),"MASTTIA")</f>
        <v/>
      </c>
      <c r="E1077" s="15">
        <f>IFERROR(__xludf.DUMMYFUNCTION("""COMPUTED_VALUE"""),"masttia.com")</f>
        <v/>
      </c>
      <c r="F1077" s="1">
        <f>IFERROR(__xludf.DUMMYFUNCTION("""COMPUTED_VALUE"""),"Metaverse of a virtual space in which to trace the uniqueness of the humanity history, of its kings and emperors, of its priests and advisors, of the battles, pacts and conquests that have advanced the different civilizations that have shaped over the cen"&amp;"turies the world we know today, documents that are often forgotten in archives around the planet, dumping in the Metaverse and through NFTs those original documents digitized and contextualized by the team of historians.
The company is based in the UNESCO"&amp;" program ""Memory of the World""* and is led by a team with a great seniority in the edition of works of historical traceability of great added value and by a scientific team composed of the best researchers in the field of world history.")</f>
        <v/>
      </c>
      <c r="G1077" s="1">
        <f>IFERROR(__xludf.DUMMYFUNCTION("""COMPUTED_VALUE"""),"I'm not part of any EdTech association")</f>
        <v/>
      </c>
      <c r="H1077" s="1" t="n"/>
      <c r="I1077" s="1">
        <f>IFERROR(__xludf.DUMMYFUNCTION("""COMPUTED_VALUE"""),"mariahblaya@gmail.com")</f>
        <v/>
      </c>
      <c r="J1077" s="1">
        <f>IFERROR(__xludf.DUMMYFUNCTION("""COMPUTED_VALUE"""),"+34 615048318")</f>
        <v/>
      </c>
      <c r="K1077" s="1">
        <f>IFERROR(__xludf.DUMMYFUNCTION("""COMPUTED_VALUE"""),"CARTAGENA")</f>
        <v/>
      </c>
      <c r="L1077" s="1">
        <f>IFERROR(__xludf.DUMMYFUNCTION("""COMPUTED_VALUE"""),"Spain")</f>
        <v/>
      </c>
      <c r="M1077" s="1">
        <f>IFERROR(__xludf.DUMMYFUNCTION("""COMPUTED_VALUE"""),"Spain")</f>
        <v/>
      </c>
      <c r="N1077" s="1">
        <f>IFERROR(__xludf.DUMMYFUNCTION("""COMPUTED_VALUE"""),"0 to 10")</f>
        <v/>
      </c>
      <c r="O1077" s="1">
        <f>IFERROR(__xludf.DUMMYFUNCTION("""COMPUTED_VALUE"""),"Business to Business, Business to Schools")</f>
        <v/>
      </c>
      <c r="P1077" s="1">
        <f>IFERROR(__xludf.DUMMYFUNCTION("""COMPUTED_VALUE"""),"Higher Education, Corporate Training, Lifelong learning/Adult education")</f>
        <v/>
      </c>
      <c r="Q1077" s="1">
        <f>IFERROR(__xludf.DUMMYFUNCTION("""COMPUTED_VALUE"""),"System/Administrative, Student interfacing, Teacher interfacing")</f>
        <v/>
      </c>
      <c r="R1077" s="1" t="n"/>
      <c r="S1077" s="1" t="n"/>
      <c r="T1077" s="1" t="n"/>
      <c r="U1077" s="1" t="n"/>
      <c r="V1077" s="1" t="n"/>
      <c r="W1077" s="1" t="n"/>
      <c r="X1077" s="1" t="n"/>
      <c r="Y1077" s="15">
        <f>IFERROR(__xludf.DUMMYFUNCTION("""COMPUTED_VALUE"""),"https://drive.google.com/uc?export=view&amp;id=1vCgKxCOBQYOE3mSNfoQStmG48H71zuxc")</f>
        <v/>
      </c>
      <c r="Z1077" s="1">
        <f>IFERROR(__xludf.DUMMYFUNCTION("""COMPUTED_VALUE"""),"Unverified")</f>
        <v/>
      </c>
      <c r="AA1077" s="1" t="n"/>
      <c r="AB1077" s="1" t="n"/>
      <c r="AC1077" s="1" t="n"/>
      <c r="AD1077" s="1" t="n"/>
      <c r="AE1077" s="1" t="n"/>
    </row>
    <row r="1078" ht="42" customHeight="1">
      <c r="A1078" s="14">
        <f>IFERROR(__xludf.DUMMYFUNCTION("""COMPUTED_VALUE"""),45181)</f>
        <v/>
      </c>
      <c r="B1078" s="1">
        <f>IFERROR(__xludf.DUMMYFUNCTION("""COMPUTED_VALUE"""),"ORG_1943")</f>
        <v/>
      </c>
      <c r="C1078" s="1">
        <f>IFERROR(__xludf.DUMMYFUNCTION("""COMPUTED_VALUE"""),TRUE)</f>
        <v/>
      </c>
      <c r="D1078" s="1">
        <f>IFERROR(__xludf.DUMMYFUNCTION("""COMPUTED_VALUE"""),"meinUnterricht")</f>
        <v/>
      </c>
      <c r="E1078" s="15">
        <f>IFERROR(__xludf.DUMMYFUNCTION("""COMPUTED_VALUE"""),"www.meinunterricht.de")</f>
        <v/>
      </c>
      <c r="F1078" s="1">
        <f>IFERROR(__xludf.DUMMYFUNCTION("""COMPUTED_VALUE"""),"We make teaching easier for teachers and want to contribute to even better teaching in the future. That is why we have been making educational technology usable with meinUnterricht and teachers prepare an average of over 100,000 lessons with us every mont"&amp;"h!")</f>
        <v/>
      </c>
      <c r="G1078" s="1">
        <f>IFERROR(__xludf.DUMMYFUNCTION("""COMPUTED_VALUE"""),"I'm not part of any EdTech association")</f>
        <v/>
      </c>
      <c r="H1078" s="1" t="n"/>
      <c r="I1078" s="1">
        <f>IFERROR(__xludf.DUMMYFUNCTION("""COMPUTED_VALUE"""),"product@meinunterricht.de")</f>
        <v/>
      </c>
      <c r="J1078" s="1">
        <f>IFERROR(__xludf.DUMMYFUNCTION("""COMPUTED_VALUE"""),"+49 (0) 30 940 546 35")</f>
        <v/>
      </c>
      <c r="K1078" s="1">
        <f>IFERROR(__xludf.DUMMYFUNCTION("""COMPUTED_VALUE"""),"Berlin")</f>
        <v/>
      </c>
      <c r="L1078" s="1">
        <f>IFERROR(__xludf.DUMMYFUNCTION("""COMPUTED_VALUE"""),"Germany")</f>
        <v/>
      </c>
      <c r="M1078" s="1">
        <f>IFERROR(__xludf.DUMMYFUNCTION("""COMPUTED_VALUE"""),"Austria, Germany, Luxembourg, Switzerland")</f>
        <v/>
      </c>
      <c r="N1078" s="1">
        <f>IFERROR(__xludf.DUMMYFUNCTION("""COMPUTED_VALUE"""),"11 to 50")</f>
        <v/>
      </c>
      <c r="O1078" s="1">
        <f>IFERROR(__xludf.DUMMYFUNCTION("""COMPUTED_VALUE"""),"Business to Business, Business to Schools")</f>
        <v/>
      </c>
      <c r="P1078" s="1">
        <f>IFERROR(__xludf.DUMMYFUNCTION("""COMPUTED_VALUE"""),"Primary Education, Secondary Education")</f>
        <v/>
      </c>
      <c r="Q1078" s="1">
        <f>IFERROR(__xludf.DUMMYFUNCTION("""COMPUTED_VALUE"""),"Teacher interfacing")</f>
        <v/>
      </c>
      <c r="R1078" s="1" t="n"/>
      <c r="S1078" s="1" t="n"/>
      <c r="T1078" s="1" t="n"/>
      <c r="U1078" s="1" t="n"/>
      <c r="V1078" s="1" t="n"/>
      <c r="W1078" s="1" t="n"/>
      <c r="X1078" s="1" t="n"/>
      <c r="Y1078" s="15">
        <f>IFERROR(__xludf.DUMMYFUNCTION("""COMPUTED_VALUE"""),"https://drive.google.com/uc?export=view&amp;id=1PMNCTuK9cqjFrG0k_c9E0dOsb8nFFmX1")</f>
        <v/>
      </c>
      <c r="Z1078" s="1">
        <f>IFERROR(__xludf.DUMMYFUNCTION("""COMPUTED_VALUE"""),"Unverified")</f>
        <v/>
      </c>
      <c r="AA1078" s="1" t="n"/>
      <c r="AB1078" s="1" t="n"/>
      <c r="AC1078" s="1" t="n"/>
      <c r="AD1078" s="1" t="n"/>
      <c r="AE1078" s="1" t="n"/>
    </row>
    <row r="1079" ht="42" customHeight="1">
      <c r="A1079" s="14">
        <f>IFERROR(__xludf.DUMMYFUNCTION("""COMPUTED_VALUE"""),45181)</f>
        <v/>
      </c>
      <c r="B1079" s="1">
        <f>IFERROR(__xludf.DUMMYFUNCTION("""COMPUTED_VALUE"""),"ORG_1946")</f>
        <v/>
      </c>
      <c r="C1079" s="1">
        <f>IFERROR(__xludf.DUMMYFUNCTION("""COMPUTED_VALUE"""),TRUE)</f>
        <v/>
      </c>
      <c r="D1079" s="1">
        <f>IFERROR(__xludf.DUMMYFUNCTION("""COMPUTED_VALUE"""),"Memby")</f>
        <v/>
      </c>
      <c r="E1079" s="15">
        <f>IFERROR(__xludf.DUMMYFUNCTION("""COMPUTED_VALUE"""),"https://company.memby.org/")</f>
        <v/>
      </c>
      <c r="F1079" s="1">
        <f>IFERROR(__xludf.DUMMYFUNCTION("""COMPUTED_VALUE"""),"Helping struggling school students to stay consistent in after-school studies Memby is an online learning platform that provides engagement-oriented real-time large group lessons.We've made after-school tutoring 5x cheaper and top-notch teachers available"&amp;" for everyone.")</f>
        <v/>
      </c>
      <c r="G1079" s="1">
        <f>IFERROR(__xludf.DUMMYFUNCTION("""COMPUTED_VALUE"""),"I'm not part of any EdTech association")</f>
        <v/>
      </c>
      <c r="H1079" s="1" t="n"/>
      <c r="I1079" s="1">
        <f>IFERROR(__xludf.DUMMYFUNCTION("""COMPUTED_VALUE"""),"info@memby.org")</f>
        <v/>
      </c>
      <c r="J1079" s="1">
        <f>IFERROR(__xludf.DUMMYFUNCTION("""COMPUTED_VALUE"""),"+37062026987")</f>
        <v/>
      </c>
      <c r="K1079" s="1">
        <f>IFERROR(__xludf.DUMMYFUNCTION("""COMPUTED_VALUE"""),"Vilnius")</f>
        <v/>
      </c>
      <c r="L1079" s="1">
        <f>IFERROR(__xludf.DUMMYFUNCTION("""COMPUTED_VALUE"""),"Lithuania")</f>
        <v/>
      </c>
      <c r="M1079" s="1">
        <f>IFERROR(__xludf.DUMMYFUNCTION("""COMPUTED_VALUE"""),"Greece, Lithuania")</f>
        <v/>
      </c>
      <c r="N1079" s="1">
        <f>IFERROR(__xludf.DUMMYFUNCTION("""COMPUTED_VALUE"""),"11 to 50")</f>
        <v/>
      </c>
      <c r="O1079" s="1">
        <f>IFERROR(__xludf.DUMMYFUNCTION("""COMPUTED_VALUE"""),"Business to Business, Business to Schools")</f>
        <v/>
      </c>
      <c r="P1079" s="1">
        <f>IFERROR(__xludf.DUMMYFUNCTION("""COMPUTED_VALUE"""),"Primary Education, Secondary Education")</f>
        <v/>
      </c>
      <c r="Q1079" s="1">
        <f>IFERROR(__xludf.DUMMYFUNCTION("""COMPUTED_VALUE"""),"System/Administrative, Student interfacing, Teacher interfacing")</f>
        <v/>
      </c>
      <c r="R1079" s="1" t="n"/>
      <c r="S1079" s="1" t="n"/>
      <c r="T1079" s="1" t="n"/>
      <c r="U1079" s="1" t="n"/>
      <c r="V1079" s="1" t="n"/>
      <c r="W1079" s="1" t="n"/>
      <c r="X1079" s="1" t="n"/>
      <c r="Y1079" s="15">
        <f>IFERROR(__xludf.DUMMYFUNCTION("""COMPUTED_VALUE"""),"https://drive.google.com/uc?export=view&amp;id=1X_TduXYnN-dDDNEGVi_-xBdx9nu0sS0b")</f>
        <v/>
      </c>
      <c r="Z1079" s="1">
        <f>IFERROR(__xludf.DUMMYFUNCTION("""COMPUTED_VALUE"""),"Unverified")</f>
        <v/>
      </c>
      <c r="AA1079" s="1" t="n"/>
      <c r="AB1079" s="1" t="n"/>
      <c r="AC1079" s="1" t="n"/>
      <c r="AD1079" s="1" t="n"/>
      <c r="AE1079" s="1" t="n"/>
    </row>
    <row r="1080" ht="42" customHeight="1">
      <c r="A1080" s="14">
        <f>IFERROR(__xludf.DUMMYFUNCTION("""COMPUTED_VALUE"""),45181)</f>
        <v/>
      </c>
      <c r="B1080" s="1">
        <f>IFERROR(__xludf.DUMMYFUNCTION("""COMPUTED_VALUE"""),"ORG_1953")</f>
        <v/>
      </c>
      <c r="C1080" s="1">
        <f>IFERROR(__xludf.DUMMYFUNCTION("""COMPUTED_VALUE"""),TRUE)</f>
        <v/>
      </c>
      <c r="D1080" s="1">
        <f>IFERROR(__xludf.DUMMYFUNCTION("""COMPUTED_VALUE"""),"Mentor Goal")</f>
        <v/>
      </c>
      <c r="E1080" s="15">
        <f>IFERROR(__xludf.DUMMYFUNCTION("""COMPUTED_VALUE"""),"https://mentorgoal.com")</f>
        <v/>
      </c>
      <c r="F1080" s="1">
        <f>IFERROR(__xludf.DUMMYFUNCTION("""COMPUTED_VALUE"""),"Mentor Goal is a plateform for higher education schools and universities to help them place their students into the workforce.")</f>
        <v/>
      </c>
      <c r="G1080" s="1">
        <f>IFERROR(__xludf.DUMMYFUNCTION("""COMPUTED_VALUE"""),"EdTech France")</f>
        <v/>
      </c>
      <c r="H1080" s="1" t="n"/>
      <c r="I1080" s="1">
        <f>IFERROR(__xludf.DUMMYFUNCTION("""COMPUTED_VALUE"""),"mansour@mentorgoal.com")</f>
        <v/>
      </c>
      <c r="J1080" s="1" t="n"/>
      <c r="K1080" s="1">
        <f>IFERROR(__xludf.DUMMYFUNCTION("""COMPUTED_VALUE"""),"Paris")</f>
        <v/>
      </c>
      <c r="L1080" s="1">
        <f>IFERROR(__xludf.DUMMYFUNCTION("""COMPUTED_VALUE"""),"France")</f>
        <v/>
      </c>
      <c r="M1080" s="1">
        <f>IFERROR(__xludf.DUMMYFUNCTION("""COMPUTED_VALUE"""),"France")</f>
        <v/>
      </c>
      <c r="N1080" s="1">
        <f>IFERROR(__xludf.DUMMYFUNCTION("""COMPUTED_VALUE"""),"0 to 10")</f>
        <v/>
      </c>
      <c r="O1080" s="1">
        <f>IFERROR(__xludf.DUMMYFUNCTION("""COMPUTED_VALUE"""),"Business to Business, Business to Schools")</f>
        <v/>
      </c>
      <c r="P1080" s="1">
        <f>IFERROR(__xludf.DUMMYFUNCTION("""COMPUTED_VALUE"""),"Higher Education")</f>
        <v/>
      </c>
      <c r="Q1080" s="1">
        <f>IFERROR(__xludf.DUMMYFUNCTION("""COMPUTED_VALUE"""),"Student interfacing, System/Administrative")</f>
        <v/>
      </c>
      <c r="R1080" s="1" t="n"/>
      <c r="S1080" s="1" t="n"/>
      <c r="T1080" s="1" t="n"/>
      <c r="U1080" s="1" t="n"/>
      <c r="V1080" s="1" t="n"/>
      <c r="W1080" s="1" t="n"/>
      <c r="X1080" s="1" t="n"/>
      <c r="Y1080" s="15">
        <f>IFERROR(__xludf.DUMMYFUNCTION("""COMPUTED_VALUE"""),"https://drive.google.com/uc?export=view&amp;id=16hr25lzjVp1OfT9H3e1fvZfHGo6VFdh1")</f>
        <v/>
      </c>
      <c r="Z1080" s="1">
        <f>IFERROR(__xludf.DUMMYFUNCTION("""COMPUTED_VALUE"""),"Unverified")</f>
        <v/>
      </c>
      <c r="AA1080" s="1" t="n"/>
      <c r="AB1080" s="1" t="n"/>
      <c r="AC1080" s="1" t="n"/>
      <c r="AD1080" s="1" t="n"/>
      <c r="AE1080" s="1" t="n"/>
    </row>
    <row r="1081" ht="42" customHeight="1">
      <c r="A1081" s="14">
        <f>IFERROR(__xludf.DUMMYFUNCTION("""COMPUTED_VALUE"""),45181)</f>
        <v/>
      </c>
      <c r="B1081" s="1">
        <f>IFERROR(__xludf.DUMMYFUNCTION("""COMPUTED_VALUE"""),"ORG_1960")</f>
        <v/>
      </c>
      <c r="C1081" s="1">
        <f>IFERROR(__xludf.DUMMYFUNCTION("""COMPUTED_VALUE"""),TRUE)</f>
        <v/>
      </c>
      <c r="D1081" s="1">
        <f>IFERROR(__xludf.DUMMYFUNCTION("""COMPUTED_VALUE"""),"MetaED School")</f>
        <v/>
      </c>
      <c r="E1081" s="15">
        <f>IFERROR(__xludf.DUMMYFUNCTION("""COMPUTED_VALUE"""),"https://www.metaed.school/")</f>
        <v/>
      </c>
      <c r="F1081" s="1">
        <f>IFERROR(__xludf.DUMMYFUNCTION("""COMPUTED_VALUE"""),"The new generation remote high school (FR/US), with flexible hours, specialist in professional and immersive orientation")</f>
        <v/>
      </c>
      <c r="G1081" s="1">
        <f>IFERROR(__xludf.DUMMYFUNCTION("""COMPUTED_VALUE"""),"I'm not part of any EdTech association")</f>
        <v/>
      </c>
      <c r="H1081" s="1" t="n"/>
      <c r="I1081" s="1">
        <f>IFERROR(__xludf.DUMMYFUNCTION("""COMPUTED_VALUE"""),"metaed.school@gmail.com")</f>
        <v/>
      </c>
      <c r="J1081" s="1">
        <f>IFERROR(__xludf.DUMMYFUNCTION("""COMPUTED_VALUE"""),"33695245666")</f>
        <v/>
      </c>
      <c r="K1081" s="1">
        <f>IFERROR(__xludf.DUMMYFUNCTION("""COMPUTED_VALUE"""),"Labenne")</f>
        <v/>
      </c>
      <c r="L1081" s="1">
        <f>IFERROR(__xludf.DUMMYFUNCTION("""COMPUTED_VALUE"""),"France")</f>
        <v/>
      </c>
      <c r="M1081" s="1">
        <f>IFERROR(__xludf.DUMMYFUNCTION("""COMPUTED_VALUE"""),"France")</f>
        <v/>
      </c>
      <c r="N1081" s="1">
        <f>IFERROR(__xludf.DUMMYFUNCTION("""COMPUTED_VALUE"""),"0 to 10")</f>
        <v/>
      </c>
      <c r="O1081" s="1">
        <f>IFERROR(__xludf.DUMMYFUNCTION("""COMPUTED_VALUE"""),"Business to Business, Business to Schools")</f>
        <v/>
      </c>
      <c r="P1081" s="1">
        <f>IFERROR(__xludf.DUMMYFUNCTION("""COMPUTED_VALUE"""),"Secondary Education")</f>
        <v/>
      </c>
      <c r="Q1081" s="1">
        <f>IFERROR(__xludf.DUMMYFUNCTION("""COMPUTED_VALUE"""),"System/Administrative, Student interfacing")</f>
        <v/>
      </c>
      <c r="R1081" s="1" t="n"/>
      <c r="S1081" s="1" t="n"/>
      <c r="T1081" s="1" t="n"/>
      <c r="U1081" s="1" t="n"/>
      <c r="V1081" s="1" t="n"/>
      <c r="W1081" s="1" t="n"/>
      <c r="X1081" s="1" t="n"/>
      <c r="Y1081" s="1" t="n"/>
      <c r="Z1081" s="1">
        <f>IFERROR(__xludf.DUMMYFUNCTION("""COMPUTED_VALUE"""),"Unverified")</f>
        <v/>
      </c>
      <c r="AA1081" s="1" t="n"/>
      <c r="AB1081" s="1" t="n"/>
      <c r="AC1081" s="1" t="n"/>
      <c r="AD1081" s="1" t="n"/>
      <c r="AE1081" s="1" t="n"/>
    </row>
    <row r="1082" ht="42" customHeight="1">
      <c r="A1082" s="14">
        <f>IFERROR(__xludf.DUMMYFUNCTION("""COMPUTED_VALUE"""),45181)</f>
        <v/>
      </c>
      <c r="B1082" s="1">
        <f>IFERROR(__xludf.DUMMYFUNCTION("""COMPUTED_VALUE"""),"ORG_1980")</f>
        <v/>
      </c>
      <c r="C1082" s="1">
        <f>IFERROR(__xludf.DUMMYFUNCTION("""COMPUTED_VALUE"""),TRUE)</f>
        <v/>
      </c>
      <c r="D1082" s="1">
        <f>IFERROR(__xludf.DUMMYFUNCTION("""COMPUTED_VALUE"""),"Moi Panda")</f>
        <v/>
      </c>
      <c r="E1082" s="15">
        <f>IFERROR(__xludf.DUMMYFUNCTION("""COMPUTED_VALUE"""),"www.moipanda.com")</f>
        <v/>
      </c>
      <c r="F1082" s="1">
        <f>IFERROR(__xludf.DUMMYFUNCTION("""COMPUTED_VALUE"""),"Moi Panda provides a social and educational APP for both children and parents to make friends worldwide. Our mission is to help children truly become global citizens. 
We help children of all ages together with their parents to learn and practice how to "&amp;"choose friends, how to make friends, and how to maintain good friendships worldwide, by doing this, children get a chance to learn new languages, practice social and communication skills in multiple languages through peer-to-peer support. Meanwhile, their"&amp;" parents can be friends as well and exchange education-related experience and parenting tips, and share all kinds of feelings, struggles and experiences globally. 
We believe that if all children would have the chance to use Moi Panda, it would significa"&amp;"ntly reduce the loneliness, develop their social skills with diverse people and really help them feel better and become good persons.")</f>
        <v/>
      </c>
      <c r="G1082" s="1">
        <f>IFERROR(__xludf.DUMMYFUNCTION("""COMPUTED_VALUE"""),"EdTech Finland")</f>
        <v/>
      </c>
      <c r="H1082" s="1" t="n"/>
      <c r="I1082" s="1">
        <f>IFERROR(__xludf.DUMMYFUNCTION("""COMPUTED_VALUE"""),"feiya.long@moipanda.com")</f>
        <v/>
      </c>
      <c r="J1082" s="1">
        <f>IFERROR(__xludf.DUMMYFUNCTION("""COMPUTED_VALUE"""),"+358503634374")</f>
        <v/>
      </c>
      <c r="K1082" s="1">
        <f>IFERROR(__xludf.DUMMYFUNCTION("""COMPUTED_VALUE"""),"Helsinki")</f>
        <v/>
      </c>
      <c r="L1082" s="1">
        <f>IFERROR(__xludf.DUMMYFUNCTION("""COMPUTED_VALUE"""),"Finland")</f>
        <v/>
      </c>
      <c r="M1082" s="1">
        <f>IFERROR(__xludf.DUMMYFUNCTION("""COMPUTED_VALUE"""),"Austria, Belgium, Croatia, Denmark, Estonia, Finland, France, Germany, Greece, Hungary, Iceland, Ireland, Italy, Latvia, Lithuania, Luxembourg, Malta, Monaco, Netherlands, Norway, Poland, Portugal, Romania, Spain, Sweden, Switzerland, Ukraine, United King"&amp;"dom")</f>
        <v/>
      </c>
      <c r="N1082" s="1">
        <f>IFERROR(__xludf.DUMMYFUNCTION("""COMPUTED_VALUE"""),"0 to 10")</f>
        <v/>
      </c>
      <c r="O1082" s="1">
        <f>IFERROR(__xludf.DUMMYFUNCTION("""COMPUTED_VALUE"""),"Business to Business, Business to Schools")</f>
        <v/>
      </c>
      <c r="P1082" s="1">
        <f>IFERROR(__xludf.DUMMYFUNCTION("""COMPUTED_VALUE"""),"Early childhood development (0-5 years), Primary Education, Secondary Education, Lifelong learning/Adult education")</f>
        <v/>
      </c>
      <c r="Q1082" s="1">
        <f>IFERROR(__xludf.DUMMYFUNCTION("""COMPUTED_VALUE"""),"System/Administrative, Student interfacing")</f>
        <v/>
      </c>
      <c r="R1082" s="1" t="n"/>
      <c r="S1082" s="1" t="n"/>
      <c r="T1082" s="1" t="n"/>
      <c r="U1082" s="1" t="n"/>
      <c r="V1082" s="1" t="n"/>
      <c r="W1082" s="1" t="n"/>
      <c r="X1082" s="1" t="n"/>
      <c r="Y1082" s="15">
        <f>IFERROR(__xludf.DUMMYFUNCTION("""COMPUTED_VALUE"""),"https://drive.google.com/uc?export=view&amp;id=191pn5U3stLrtaiCKDnAWz8gNidh9l4Al")</f>
        <v/>
      </c>
      <c r="Z1082" s="1">
        <f>IFERROR(__xludf.DUMMYFUNCTION("""COMPUTED_VALUE"""),"Unverified")</f>
        <v/>
      </c>
      <c r="AA1082" s="1" t="n"/>
      <c r="AB1082" s="1" t="n"/>
      <c r="AC1082" s="1" t="n"/>
      <c r="AD1082" s="1" t="n"/>
      <c r="AE1082" s="1" t="n"/>
    </row>
    <row r="1083" ht="42" customHeight="1">
      <c r="A1083" s="14">
        <f>IFERROR(__xludf.DUMMYFUNCTION("""COMPUTED_VALUE"""),45181)</f>
        <v/>
      </c>
      <c r="B1083" s="1">
        <f>IFERROR(__xludf.DUMMYFUNCTION("""COMPUTED_VALUE"""),"ORG_1998")</f>
        <v/>
      </c>
      <c r="C1083" s="1">
        <f>IFERROR(__xludf.DUMMYFUNCTION("""COMPUTED_VALUE"""),TRUE)</f>
        <v/>
      </c>
      <c r="D1083" s="1">
        <f>IFERROR(__xludf.DUMMYFUNCTION("""COMPUTED_VALUE"""),"My Data Protection World")</f>
        <v/>
      </c>
      <c r="E1083" s="15">
        <f>IFERROR(__xludf.DUMMYFUNCTION("""COMPUTED_VALUE"""),"https://www.mydataprotection.world")</f>
        <v/>
      </c>
      <c r="F1083" s="1">
        <f>IFERROR(__xludf.DUMMYFUNCTION("""COMPUTED_VALUE"""),"Helping EdTech vendors find solutions for Privacy by Design and by Default. 
No two EdTech solutions are the same, so helping vendors understand how they can support schools around Privacy, Data Protection, Safeguarding and CyberSecurity is essential. 
Cl"&amp;"ear language, transparency and empathic approaches will be nurtured and you will be provided with tools to support your growth.")</f>
        <v/>
      </c>
      <c r="G1083" s="1">
        <f>IFERROR(__xludf.DUMMYFUNCTION("""COMPUTED_VALUE"""),"I'm not part of any EdTech association")</f>
        <v/>
      </c>
      <c r="H1083" s="1" t="n"/>
      <c r="I1083" s="1">
        <f>IFERROR(__xludf.DUMMYFUNCTION("""COMPUTED_VALUE"""),"support@mydataprotection.co.uk")</f>
        <v/>
      </c>
      <c r="J1083" s="1">
        <f>IFERROR(__xludf.DUMMYFUNCTION("""COMPUTED_VALUE"""),"+44 02081448621")</f>
        <v/>
      </c>
      <c r="K1083" s="1">
        <f>IFERROR(__xludf.DUMMYFUNCTION("""COMPUTED_VALUE"""),"London")</f>
        <v/>
      </c>
      <c r="L1083" s="1">
        <f>IFERROR(__xludf.DUMMYFUNCTION("""COMPUTED_VALUE"""),"United Kingdom")</f>
        <v/>
      </c>
      <c r="M1083" s="1">
        <f>IFERROR(__xludf.DUMMYFUNCTION("""COMPUTED_VALUE"""),"Ireland, United Kingdom")</f>
        <v/>
      </c>
      <c r="N1083" s="1">
        <f>IFERROR(__xludf.DUMMYFUNCTION("""COMPUTED_VALUE"""),"0 to 10")</f>
        <v/>
      </c>
      <c r="O1083" s="1">
        <f>IFERROR(__xludf.DUMMYFUNCTION("""COMPUTED_VALUE"""),"Business to Consumer")</f>
        <v/>
      </c>
      <c r="P1083" s="1">
        <f>IFERROR(__xludf.DUMMYFUNCTION("""COMPUTED_VALUE"""),"Early childhood development (0-5 years), Primary Education, Secondary Education, Higher Education, Corporate Training, Lifelong learning/Adult education")</f>
        <v/>
      </c>
      <c r="Q1083" s="1">
        <f>IFERROR(__xludf.DUMMYFUNCTION("""COMPUTED_VALUE"""),"System/Administrative")</f>
        <v/>
      </c>
      <c r="R1083" s="1" t="n"/>
      <c r="S1083" s="1" t="n"/>
      <c r="T1083" s="1" t="n"/>
      <c r="U1083" s="1" t="n"/>
      <c r="V1083" s="1" t="n"/>
      <c r="W1083" s="1" t="n"/>
      <c r="X1083" s="1" t="n"/>
      <c r="Y1083" s="15">
        <f>IFERROR(__xludf.DUMMYFUNCTION("""COMPUTED_VALUE"""),"https://drive.google.com/uc?export=view&amp;id=1HjHBZOFgbvSAalKajK_KY3ax1MzgBsUi")</f>
        <v/>
      </c>
      <c r="Z1083" s="1">
        <f>IFERROR(__xludf.DUMMYFUNCTION("""COMPUTED_VALUE"""),"Unverified")</f>
        <v/>
      </c>
      <c r="AA1083" s="1" t="n"/>
      <c r="AB1083" s="1" t="n"/>
      <c r="AC1083" s="1" t="n"/>
      <c r="AD1083" s="1" t="n"/>
      <c r="AE1083" s="1" t="n"/>
    </row>
    <row r="1084" ht="42" customHeight="1">
      <c r="A1084" s="14">
        <f>IFERROR(__xludf.DUMMYFUNCTION("""COMPUTED_VALUE"""),45181)</f>
        <v/>
      </c>
      <c r="B1084" s="1">
        <f>IFERROR(__xludf.DUMMYFUNCTION("""COMPUTED_VALUE"""),"ORG_2017")</f>
        <v/>
      </c>
      <c r="C1084" s="1">
        <f>IFERROR(__xludf.DUMMYFUNCTION("""COMPUTED_VALUE"""),TRUE)</f>
        <v/>
      </c>
      <c r="D1084" s="1">
        <f>IFERROR(__xludf.DUMMYFUNCTION("""COMPUTED_VALUE"""),"Naimrod")</f>
        <v/>
      </c>
      <c r="E1084" s="15">
        <f>IFERROR(__xludf.DUMMYFUNCTION("""COMPUTED_VALUE"""),"naimrod.com")</f>
        <v/>
      </c>
      <c r="F1084" s="1">
        <f>IFERROR(__xludf.DUMMYFUNCTION("""COMPUTED_VALUE"""),"Naimrod makes language learning addictive. Our algorithm allows students to replace tiresome manuals and Apps with lessons based on binge-worthy TV series, karaoke songs and comic books. The technology we have developed at Inria, the French Institute for "&amp;"Computer Science, automatically spots content written for native speakers, but that is suited to the level and interests of language learners. We turn this content into bite-sized language lessons which English and Mandarin teachers, and three French univ"&amp;"ersities, are now testing in classrooms across Paris.")</f>
        <v/>
      </c>
      <c r="G1084" s="1">
        <f>IFERROR(__xludf.DUMMYFUNCTION("""COMPUTED_VALUE"""),"EdTech France")</f>
        <v/>
      </c>
      <c r="H1084" s="1" t="n"/>
      <c r="I1084" s="1">
        <f>IFERROR(__xludf.DUMMYFUNCTION("""COMPUTED_VALUE"""),"info@naimrod.com")</f>
        <v/>
      </c>
      <c r="J1084" s="1" t="n"/>
      <c r="K1084" s="1">
        <f>IFERROR(__xludf.DUMMYFUNCTION("""COMPUTED_VALUE"""),"PARIS")</f>
        <v/>
      </c>
      <c r="L1084" s="1">
        <f>IFERROR(__xludf.DUMMYFUNCTION("""COMPUTED_VALUE"""),"France")</f>
        <v/>
      </c>
      <c r="M1084" s="1">
        <f>IFERROR(__xludf.DUMMYFUNCTION("""COMPUTED_VALUE"""),"Belgium, France")</f>
        <v/>
      </c>
      <c r="N1084" s="1">
        <f>IFERROR(__xludf.DUMMYFUNCTION("""COMPUTED_VALUE"""),"0 to 10")</f>
        <v/>
      </c>
      <c r="O1084" s="1">
        <f>IFERROR(__xludf.DUMMYFUNCTION("""COMPUTED_VALUE"""),"Business to Consumer")</f>
        <v/>
      </c>
      <c r="P1084" s="1">
        <f>IFERROR(__xludf.DUMMYFUNCTION("""COMPUTED_VALUE"""),"Secondary Education, Higher Education, Corporate Training, Lifelong learning/Adult education")</f>
        <v/>
      </c>
      <c r="Q1084" s="1">
        <f>IFERROR(__xludf.DUMMYFUNCTION("""COMPUTED_VALUE"""),"Student interfacing, Teacher interfacing, System/Administrative")</f>
        <v/>
      </c>
      <c r="R1084" s="1" t="n"/>
      <c r="S1084" s="1" t="n"/>
      <c r="T1084" s="1">
        <f>IFERROR(__xludf.DUMMYFUNCTION("""COMPUTED_VALUE"""),"https:www.linkedin.com/company/69396888/admin/")</f>
        <v/>
      </c>
      <c r="U1084" s="1">
        <f>IFERROR(__xludf.DUMMYFUNCTION("""COMPUTED_VALUE"""),"English language teaching resources")</f>
        <v/>
      </c>
      <c r="V1084" s="1">
        <f>IFERROR(__xludf.DUMMYFUNCTION("""COMPUTED_VALUE"""),"Naimrod sells teaching resources to English instructors. Our material is based on movies, TED talks, TV series, podcasts and comic strips, and tailored to the level of students.")</f>
        <v/>
      </c>
      <c r="W1084" s="1">
        <f>IFERROR(__xludf.DUMMYFUNCTION("""COMPUTED_VALUE"""),"Mandarin language teaching resources")</f>
        <v/>
      </c>
      <c r="X1084" s="1">
        <f>IFERROR(__xludf.DUMMYFUNCTION("""COMPUTED_VALUE"""),"Naimrod sells teaching resources to Mandarin instructors. Our material is based on movies, TED talks, TV series, podcasts and comic strips, and tailored to the level of students.")</f>
        <v/>
      </c>
      <c r="Y1084" s="15">
        <f>IFERROR(__xludf.DUMMYFUNCTION("""COMPUTED_VALUE"""),"https://drive.google.com/uc?export=view&amp;id=1EEuu_E6NqhcxsCHD4ELZ1DsZ30jLYS3J")</f>
        <v/>
      </c>
      <c r="Z1084" s="1">
        <f>IFERROR(__xludf.DUMMYFUNCTION("""COMPUTED_VALUE"""),"Unverified")</f>
        <v/>
      </c>
      <c r="AA1084" s="1" t="n"/>
      <c r="AB1084" s="1" t="n"/>
      <c r="AC1084" s="1" t="n"/>
      <c r="AD1084" s="1" t="n"/>
      <c r="AE1084" s="1" t="n"/>
    </row>
    <row r="1085" ht="42" customHeight="1">
      <c r="A1085" s="14">
        <f>IFERROR(__xludf.DUMMYFUNCTION("""COMPUTED_VALUE"""),45181)</f>
        <v/>
      </c>
      <c r="B1085" s="1">
        <f>IFERROR(__xludf.DUMMYFUNCTION("""COMPUTED_VALUE"""),"ORG_2045")</f>
        <v/>
      </c>
      <c r="C1085" s="1">
        <f>IFERROR(__xludf.DUMMYFUNCTION("""COMPUTED_VALUE"""),TRUE)</f>
        <v/>
      </c>
      <c r="D1085" s="1">
        <f>IFERROR(__xludf.DUMMYFUNCTION("""COMPUTED_VALUE"""),"Novatice Technologies")</f>
        <v/>
      </c>
      <c r="E1085" s="15">
        <f>IFERROR(__xludf.DUMMYFUNCTION("""COMPUTED_VALUE"""),"https://www.novatice.com/")</f>
        <v/>
      </c>
      <c r="F1085" s="1">
        <f>IFERROR(__xludf.DUMMYFUNCTION("""COMPUTED_VALUE"""),"Forerunner in the field of IT asset management for more than 18 years, Novatice supervises all digital devices and software modules, and aggregates all their data in order to offer innovative uses for the city and education of tomorrow. Today, Novatice ha"&amp;"s 3 million users in 5 countries and 3 patents registered.")</f>
        <v/>
      </c>
      <c r="G1085" s="1">
        <f>IFERROR(__xludf.DUMMYFUNCTION("""COMPUTED_VALUE"""),"EdTech France")</f>
        <v/>
      </c>
      <c r="H1085" s="1" t="n"/>
      <c r="I1085" s="1">
        <f>IFERROR(__xludf.DUMMYFUNCTION("""COMPUTED_VALUE"""),"communication@novatice.com")</f>
        <v/>
      </c>
      <c r="J1085" s="1">
        <f>IFERROR(__xludf.DUMMYFUNCTION("""COMPUTED_VALUE"""),"+33 2 78 08 99 03")</f>
        <v/>
      </c>
      <c r="K1085" s="1">
        <f>IFERROR(__xludf.DUMMYFUNCTION("""COMPUTED_VALUE"""),"BOIS-GUILLAUME")</f>
        <v/>
      </c>
      <c r="L1085" s="1">
        <f>IFERROR(__xludf.DUMMYFUNCTION("""COMPUTED_VALUE"""),"France")</f>
        <v/>
      </c>
      <c r="M1085" s="1">
        <f>IFERROR(__xludf.DUMMYFUNCTION("""COMPUTED_VALUE"""),"Belgium, France")</f>
        <v/>
      </c>
      <c r="N1085" s="1">
        <f>IFERROR(__xludf.DUMMYFUNCTION("""COMPUTED_VALUE"""),"11 to 50")</f>
        <v/>
      </c>
      <c r="O1085" s="1">
        <f>IFERROR(__xludf.DUMMYFUNCTION("""COMPUTED_VALUE"""),"Business to Consumer")</f>
        <v/>
      </c>
      <c r="P1085" s="1">
        <f>IFERROR(__xludf.DUMMYFUNCTION("""COMPUTED_VALUE"""),"Early childhood development (0-5 years), Primary Education, Secondary Education, Higher Education")</f>
        <v/>
      </c>
      <c r="Q1085" s="1">
        <f>IFERROR(__xludf.DUMMYFUNCTION("""COMPUTED_VALUE"""),"Student interfacing, Teacher interfacing, System/Administrative")</f>
        <v/>
      </c>
      <c r="R1085" s="1" t="n"/>
      <c r="S1085" s="15">
        <f>IFERROR(__xludf.DUMMYFUNCTION("""COMPUTED_VALUE"""),"https://twitter.com/NovaticeTech")</f>
        <v/>
      </c>
      <c r="T1085" s="15">
        <f>IFERROR(__xludf.DUMMYFUNCTION("""COMPUTED_VALUE"""),"https://www.linkedin.com/company/novatice/")</f>
        <v/>
      </c>
      <c r="U1085" s="1">
        <f>IFERROR(__xludf.DUMMYFUNCTION("""COMPUTED_VALUE"""),"Novatice Solutions")</f>
        <v/>
      </c>
      <c r="V1085" s="1">
        <f>IFERROR(__xludf.DUMMYFUNCTION("""COMPUTED_VALUE"""),"The Novatice platform makes it possible to make connected devices interoperable and to pool their data in order to develop new innovative services for education, health and safety within communities.")</f>
        <v/>
      </c>
      <c r="W1085" s="1" t="n"/>
      <c r="X1085" s="1" t="n"/>
      <c r="Y1085" s="15">
        <f>IFERROR(__xludf.DUMMYFUNCTION("""COMPUTED_VALUE"""),"https://drive.google.com/uc?export=view&amp;id=17CDnpDVWJVNkjXPjxCeYixjOHlaHb61f")</f>
        <v/>
      </c>
      <c r="Z1085" s="1">
        <f>IFERROR(__xludf.DUMMYFUNCTION("""COMPUTED_VALUE"""),"Unverified")</f>
        <v/>
      </c>
      <c r="AA1085" s="1" t="n"/>
      <c r="AB1085" s="1" t="n"/>
      <c r="AC1085" s="1" t="n"/>
      <c r="AD1085" s="1" t="n"/>
      <c r="AE1085" s="1" t="n"/>
    </row>
    <row r="1086" ht="42" customHeight="1">
      <c r="A1086" s="14">
        <f>IFERROR(__xludf.DUMMYFUNCTION("""COMPUTED_VALUE"""),45181)</f>
        <v/>
      </c>
      <c r="B1086" s="1">
        <f>IFERROR(__xludf.DUMMYFUNCTION("""COMPUTED_VALUE"""),"ORG_2059")</f>
        <v/>
      </c>
      <c r="C1086" s="1">
        <f>IFERROR(__xludf.DUMMYFUNCTION("""COMPUTED_VALUE"""),TRUE)</f>
        <v/>
      </c>
      <c r="D1086" s="1">
        <f>IFERROR(__xludf.DUMMYFUNCTION("""COMPUTED_VALUE"""),"Oktonine")</f>
        <v/>
      </c>
      <c r="E1086" s="15">
        <f>IFERROR(__xludf.DUMMYFUNCTION("""COMPUTED_VALUE"""),"www.oktonine.com")</f>
        <v/>
      </c>
      <c r="F1086" s="1">
        <f>IFERROR(__xludf.DUMMYFUNCTION("""COMPUTED_VALUE"""),"Oktonine is a platform that supports higher education institutions in deploying large-scale and sustainable project-based learning experiences. It helps teachers in defining their pedagogical projects or using ready-to-use ones, provided by companies, or "&amp;"designed by their peers. Oktonine enables time-saving, teachers' skills evolution, a better learners' engagement, and better preparation of learners, to tackle the 21st-century companies and society challenges.
In addition, Oktonine is designed around a "&amp;"competency-based assessment approach, it allows a better identification and assessment of the acquired competencies within project-based learning experiences")</f>
        <v/>
      </c>
      <c r="G1086" s="1">
        <f>IFERROR(__xludf.DUMMYFUNCTION("""COMPUTED_VALUE"""),"EdTech France")</f>
        <v/>
      </c>
      <c r="H1086" s="1" t="n"/>
      <c r="I1086" s="1">
        <f>IFERROR(__xludf.DUMMYFUNCTION("""COMPUTED_VALUE"""),"contact@oktonine.com")</f>
        <v/>
      </c>
      <c r="J1086" s="1">
        <f>IFERROR(__xludf.DUMMYFUNCTION("""COMPUTED_VALUE"""),"667722695")</f>
        <v/>
      </c>
      <c r="K1086" s="1">
        <f>IFERROR(__xludf.DUMMYFUNCTION("""COMPUTED_VALUE"""),"BOULOGNE-BILLANCOURT")</f>
        <v/>
      </c>
      <c r="L1086" s="1">
        <f>IFERROR(__xludf.DUMMYFUNCTION("""COMPUTED_VALUE"""),"France")</f>
        <v/>
      </c>
      <c r="M1086" s="1">
        <f>IFERROR(__xludf.DUMMYFUNCTION("""COMPUTED_VALUE"""),"France, Spain")</f>
        <v/>
      </c>
      <c r="N1086" s="1">
        <f>IFERROR(__xludf.DUMMYFUNCTION("""COMPUTED_VALUE"""),"0 to 10")</f>
        <v/>
      </c>
      <c r="O1086" s="1">
        <f>IFERROR(__xludf.DUMMYFUNCTION("""COMPUTED_VALUE"""),"Business to Consumer, Business to Government")</f>
        <v/>
      </c>
      <c r="P1086" s="1">
        <f>IFERROR(__xludf.DUMMYFUNCTION("""COMPUTED_VALUE"""),"Higher Education, Corporate Training")</f>
        <v/>
      </c>
      <c r="Q1086" s="1">
        <f>IFERROR(__xludf.DUMMYFUNCTION("""COMPUTED_VALUE"""),"Teacher interfacing, System/Administrative")</f>
        <v/>
      </c>
      <c r="R1086" s="1" t="n"/>
      <c r="S1086" s="1" t="n"/>
      <c r="T1086" s="15">
        <f>IFERROR(__xludf.DUMMYFUNCTION("""COMPUTED_VALUE"""),"https://www.linkedin.com/company/oktonine")</f>
        <v/>
      </c>
      <c r="U1086" s="1">
        <f>IFERROR(__xludf.DUMMYFUNCTION("""COMPUTED_VALUE"""),"Oktonine")</f>
        <v/>
      </c>
      <c r="V1086" s="1">
        <f>IFERROR(__xludf.DUMMYFUNCTION("""COMPUTED_VALUE"""),"Oktonine is a project-based learning platform. It helps teachers in defining their pedagogical projects or using ready-to-use ones, provided by companies, or designed by their peers. Oktonine enables time-saving, teachers' skills evolution, a better learn"&amp;"ers' engagement, and better preparation of learners, to tackle the 21st-century companies and society challenges.")</f>
        <v/>
      </c>
      <c r="W1086" s="1" t="n"/>
      <c r="X1086" s="1" t="n"/>
      <c r="Y1086" s="15">
        <f>IFERROR(__xludf.DUMMYFUNCTION("""COMPUTED_VALUE"""),"https://drive.google.com/uc?export=view&amp;id=1S_WdB3w1Yg5rnjw4irIFDSGEqxosxuMU")</f>
        <v/>
      </c>
      <c r="Z1086" s="1">
        <f>IFERROR(__xludf.DUMMYFUNCTION("""COMPUTED_VALUE"""),"Unverified")</f>
        <v/>
      </c>
      <c r="AA1086" s="1" t="n"/>
      <c r="AB1086" s="1" t="n"/>
      <c r="AC1086" s="1" t="n"/>
      <c r="AD1086" s="1" t="n"/>
      <c r="AE1086" s="1" t="n"/>
    </row>
    <row r="1087" ht="42" customHeight="1">
      <c r="A1087" s="14">
        <f>IFERROR(__xludf.DUMMYFUNCTION("""COMPUTED_VALUE"""),45181)</f>
        <v/>
      </c>
      <c r="B1087" s="1">
        <f>IFERROR(__xludf.DUMMYFUNCTION("""COMPUTED_VALUE"""),"ORG_2107")</f>
        <v/>
      </c>
      <c r="C1087" s="1">
        <f>IFERROR(__xludf.DUMMYFUNCTION("""COMPUTED_VALUE"""),TRUE)</f>
        <v/>
      </c>
      <c r="D1087" s="1">
        <f>IFERROR(__xludf.DUMMYFUNCTION("""COMPUTED_VALUE"""),"PLACE TO LEARN")</f>
        <v/>
      </c>
      <c r="E1087" s="15">
        <f>IFERROR(__xludf.DUMMYFUNCTION("""COMPUTED_VALUE"""),"www.placetolearn.fr")</f>
        <v/>
      </c>
      <c r="F1087" s="1">
        <f>IFERROR(__xludf.DUMMYFUNCTION("""COMPUTED_VALUE"""),"Place to Learn deploys bespoke training programs, face-to-face, blended or remote, in the fields of real estate and wealth management, management, communication and marketing to “enable each company to build the best version of herself”. We consider that "&amp;"consistency is a major lever in the performance of the company. This leads us to build approaches that support the rise of employees skills while maintaining the company's DNA. Our digital courses are offered on our Open Source solution, LearnDash, custom"&amp;"izable, or with our client's LMS. They offer original training contents, designed by our team of business experts, our Multimedia Educational Engineer and our Video and Motion Design Studio.")</f>
        <v/>
      </c>
      <c r="G1087" s="1">
        <f>IFERROR(__xludf.DUMMYFUNCTION("""COMPUTED_VALUE"""),"I'm not part of any EdTech association")</f>
        <v/>
      </c>
      <c r="H1087" s="1" t="n"/>
      <c r="I1087" s="1">
        <f>IFERROR(__xludf.DUMMYFUNCTION("""COMPUTED_VALUE"""),"contact@placetolearn.fr")</f>
        <v/>
      </c>
      <c r="J1087" s="1">
        <f>IFERROR(__xludf.DUMMYFUNCTION("""COMPUTED_VALUE"""),"+ 33 4 726 941 54")</f>
        <v/>
      </c>
      <c r="K1087" s="1">
        <f>IFERROR(__xludf.DUMMYFUNCTION("""COMPUTED_VALUE"""),"Lyon")</f>
        <v/>
      </c>
      <c r="L1087" s="1">
        <f>IFERROR(__xludf.DUMMYFUNCTION("""COMPUTED_VALUE"""),"France")</f>
        <v/>
      </c>
      <c r="M1087" s="1">
        <f>IFERROR(__xludf.DUMMYFUNCTION("""COMPUTED_VALUE"""),"France")</f>
        <v/>
      </c>
      <c r="N1087" s="1">
        <f>IFERROR(__xludf.DUMMYFUNCTION("""COMPUTED_VALUE"""),"0 to 10")</f>
        <v/>
      </c>
      <c r="O1087" s="1">
        <f>IFERROR(__xludf.DUMMYFUNCTION("""COMPUTED_VALUE"""),"Business to Consumer, Business to Government")</f>
        <v/>
      </c>
      <c r="P1087" s="1">
        <f>IFERROR(__xludf.DUMMYFUNCTION("""COMPUTED_VALUE"""),"Corporate Training, Lifelong learning/Adult education")</f>
        <v/>
      </c>
      <c r="Q1087" s="1">
        <f>IFERROR(__xludf.DUMMYFUNCTION("""COMPUTED_VALUE"""),"System/Administrative")</f>
        <v/>
      </c>
      <c r="R1087" s="1" t="n"/>
      <c r="S1087" s="1" t="n"/>
      <c r="T1087" s="1" t="n"/>
      <c r="U1087" s="1" t="n"/>
      <c r="V1087" s="1" t="n"/>
      <c r="W1087" s="1" t="n"/>
      <c r="X1087" s="1" t="n"/>
      <c r="Y1087" s="15">
        <f>IFERROR(__xludf.DUMMYFUNCTION("""COMPUTED_VALUE"""),"https://drive.google.com/uc?export=view&amp;id=1mZzi_c5NfU_h2tdxi6AVtiKwTnfy_l3_")</f>
        <v/>
      </c>
      <c r="Z1087" s="1">
        <f>IFERROR(__xludf.DUMMYFUNCTION("""COMPUTED_VALUE"""),"Unverified")</f>
        <v/>
      </c>
      <c r="AA1087" s="1" t="n"/>
      <c r="AB1087" s="1" t="n"/>
      <c r="AC1087" s="1" t="n"/>
      <c r="AD1087" s="1" t="n"/>
      <c r="AE1087" s="1" t="n"/>
    </row>
    <row r="1088" ht="42" customHeight="1">
      <c r="A1088" s="14">
        <f>IFERROR(__xludf.DUMMYFUNCTION("""COMPUTED_VALUE"""),45181)</f>
        <v/>
      </c>
      <c r="B1088" s="1">
        <f>IFERROR(__xludf.DUMMYFUNCTION("""COMPUTED_VALUE"""),"ORG_2140")</f>
        <v/>
      </c>
      <c r="C1088" s="1">
        <f>IFERROR(__xludf.DUMMYFUNCTION("""COMPUTED_VALUE"""),TRUE)</f>
        <v/>
      </c>
      <c r="D1088" s="1">
        <f>IFERROR(__xludf.DUMMYFUNCTION("""COMPUTED_VALUE"""),"Qlosr")</f>
        <v/>
      </c>
      <c r="E1088" s="15">
        <f>IFERROR(__xludf.DUMMYFUNCTION("""COMPUTED_VALUE"""),"https://qlosr.se/skola/")</f>
        <v/>
      </c>
      <c r="F1088" s="1">
        <f>IFERROR(__xludf.DUMMYFUNCTION("""COMPUTED_VALUE"""),"Qlosr Group AB is a full-service supplier of core IT services mainly sold on a subscription basis. Our largest part of our business is based in the Nordics where we mainly offer workstation management, network and server operations. Out three primary cust"&amp;"omers we work with are SMEs, private school companies and the public sector.
Through the years, we’ve helped our education customers with Google Workspace, M365 including Teams for Education and many other solutions. We work closely with a range of partne"&amp;"rs that have allowed us to develop services such as School Identity in which we offer provisioning of users to federations such as the Swedish Skolfederation.")</f>
        <v/>
      </c>
      <c r="G1088" s="1">
        <f>IFERROR(__xludf.DUMMYFUNCTION("""COMPUTED_VALUE"""),"Swedish EdTech Industry")</f>
        <v/>
      </c>
      <c r="H1088" s="1" t="n"/>
      <c r="I1088" s="1">
        <f>IFERROR(__xludf.DUMMYFUNCTION("""COMPUTED_VALUE"""),"hello@qlosr.se")</f>
        <v/>
      </c>
      <c r="J1088" s="1">
        <f>IFERROR(__xludf.DUMMYFUNCTION("""COMPUTED_VALUE"""),"+46 (0)8-517 844 00")</f>
        <v/>
      </c>
      <c r="K1088" s="1">
        <f>IFERROR(__xludf.DUMMYFUNCTION("""COMPUTED_VALUE"""),"STOCKHOLM")</f>
        <v/>
      </c>
      <c r="L1088" s="1">
        <f>IFERROR(__xludf.DUMMYFUNCTION("""COMPUTED_VALUE"""),"Sweden")</f>
        <v/>
      </c>
      <c r="M1088" s="1">
        <f>IFERROR(__xludf.DUMMYFUNCTION("""COMPUTED_VALUE"""),"Denmark, Sweden")</f>
        <v/>
      </c>
      <c r="N1088" s="1">
        <f>IFERROR(__xludf.DUMMYFUNCTION("""COMPUTED_VALUE"""),"100+")</f>
        <v/>
      </c>
      <c r="O1088" s="1">
        <f>IFERROR(__xludf.DUMMYFUNCTION("""COMPUTED_VALUE"""),"Business to Consumer, Business to Schools")</f>
        <v/>
      </c>
      <c r="P1088" s="1">
        <f>IFERROR(__xludf.DUMMYFUNCTION("""COMPUTED_VALUE"""),"Early childhood development (0-5 years), Primary Education, Secondary Education, Higher Education, Corporate Training, Lifelong learning/Adult education")</f>
        <v/>
      </c>
      <c r="Q1088" s="1">
        <f>IFERROR(__xludf.DUMMYFUNCTION("""COMPUTED_VALUE"""),"Teacher interfacing, Student interfacing, System/Administrative")</f>
        <v/>
      </c>
      <c r="R1088" s="1">
        <f>IFERROR(__xludf.DUMMYFUNCTION("""COMPUTED_VALUE"""),"Qlosr")</f>
        <v/>
      </c>
      <c r="S1088" s="1">
        <f>IFERROR(__xludf.DUMMYFUNCTION("""COMPUTED_VALUE"""),"Qlosr")</f>
        <v/>
      </c>
      <c r="T1088" s="15">
        <f>IFERROR(__xludf.DUMMYFUNCTION("""COMPUTED_VALUE"""),"https://www.linkedin.com/company/qlosr-ab/mycompany/")</f>
        <v/>
      </c>
      <c r="U1088" s="1">
        <f>IFERROR(__xludf.DUMMYFUNCTION("""COMPUTED_VALUE"""),"School Identity")</f>
        <v/>
      </c>
      <c r="V1088" s="1">
        <f>IFERROR(__xludf.DUMMYFUNCTION("""COMPUTED_VALUE"""),"We support our customers in automating account creation, i.e. provisioning, and implementing secure authentication with our Qlosr Identity Management Services (QIMS). We offer support for Skolfederation and identity services such as BankID, FrejaID and FI"&amp;"DO-supported keys. The difference between schools and common businesses is the sheer number of identities they manage due to all the students. With QIMS implemented, all your identities will be secure and the IT environment work efficiently.")</f>
        <v/>
      </c>
      <c r="W1088" s="1">
        <f>IFERROR(__xludf.DUMMYFUNCTION("""COMPUTED_VALUE"""),"School Clients")</f>
        <v/>
      </c>
      <c r="X1088" s="1">
        <f>IFERROR(__xludf.DUMMYFUNCTION("""COMPUTED_VALUE"""),"Chromebooks, Macs, PCs and tablets together with the hybrid workplace of working from anywhere make the IT environment in schools today complex, but it’s with the end user in mind which is great. Making sure the clients are secure and have all the applica"&amp;"tions the users require is what we do. The clients also need to connect to projectors and printers. We provide a full suite of services so that you can focus on what matters, educating the next generation.")</f>
        <v/>
      </c>
      <c r="Y1088" s="15">
        <f>IFERROR(__xludf.DUMMYFUNCTION("""COMPUTED_VALUE"""),"https://drive.google.com/uc?export=view&amp;id=1WtttCqoXImTMuJLSidez_UBy20amODRP")</f>
        <v/>
      </c>
      <c r="Z1088" s="1">
        <f>IFERROR(__xludf.DUMMYFUNCTION("""COMPUTED_VALUE"""),"Unverified")</f>
        <v/>
      </c>
      <c r="AA1088" s="1" t="n"/>
      <c r="AB1088" s="1" t="n"/>
      <c r="AC1088" s="1" t="n"/>
      <c r="AD1088" s="1" t="n"/>
      <c r="AE1088" s="1" t="n"/>
    </row>
    <row r="1089" ht="42" customHeight="1">
      <c r="A1089" s="14">
        <f>IFERROR(__xludf.DUMMYFUNCTION("""COMPUTED_VALUE"""),45181)</f>
        <v/>
      </c>
      <c r="B1089" s="1">
        <f>IFERROR(__xludf.DUMMYFUNCTION("""COMPUTED_VALUE"""),"ORG_2151")</f>
        <v/>
      </c>
      <c r="C1089" s="1">
        <f>IFERROR(__xludf.DUMMYFUNCTION("""COMPUTED_VALUE"""),TRUE)</f>
        <v/>
      </c>
      <c r="D1089" s="1">
        <f>IFERROR(__xludf.DUMMYFUNCTION("""COMPUTED_VALUE"""),"QWAMPUS (rebranding still in process)")</f>
        <v/>
      </c>
      <c r="E1089" s="15">
        <f>IFERROR(__xludf.DUMMYFUNCTION("""COMPUTED_VALUE"""),"Www.fullstreet.co")</f>
        <v/>
      </c>
      <c r="F1089" s="1">
        <f>IFERROR(__xludf.DUMMYFUNCTION("""COMPUTED_VALUE"""),"Our software enable any entrepreneurship educational support program to deploy their own online incubator in a few days. 
- an entrepreneurial digital path,
- an e-learning dedicated platform,
- and a professional services marketplace
are embedded within"&amp;" the solution.
As a global tool, it helps entrepreneurs win visibility, time and money.")</f>
        <v/>
      </c>
      <c r="G1089" s="1">
        <f>IFERROR(__xludf.DUMMYFUNCTION("""COMPUTED_VALUE"""),"EdTech France")</f>
        <v/>
      </c>
      <c r="H1089" s="1" t="n"/>
      <c r="I1089" s="1">
        <f>IFERROR(__xludf.DUMMYFUNCTION("""COMPUTED_VALUE"""),"csanon@fullstreet.co")</f>
        <v/>
      </c>
      <c r="J1089" s="1">
        <f>IFERROR(__xludf.DUMMYFUNCTION("""COMPUTED_VALUE"""),"+33 9 80 80 52 32")</f>
        <v/>
      </c>
      <c r="K1089" s="1">
        <f>IFERROR(__xludf.DUMMYFUNCTION("""COMPUTED_VALUE"""),"MEAUX")</f>
        <v/>
      </c>
      <c r="L1089" s="1">
        <f>IFERROR(__xludf.DUMMYFUNCTION("""COMPUTED_VALUE"""),"France")</f>
        <v/>
      </c>
      <c r="M1089" s="1">
        <f>IFERROR(__xludf.DUMMYFUNCTION("""COMPUTED_VALUE"""),"France")</f>
        <v/>
      </c>
      <c r="N1089" s="1">
        <f>IFERROR(__xludf.DUMMYFUNCTION("""COMPUTED_VALUE"""),"0 to 10")</f>
        <v/>
      </c>
      <c r="O1089" s="1">
        <f>IFERROR(__xludf.DUMMYFUNCTION("""COMPUTED_VALUE"""),"Business to Consumer, Business to Schools")</f>
        <v/>
      </c>
      <c r="P1089" s="1">
        <f>IFERROR(__xludf.DUMMYFUNCTION("""COMPUTED_VALUE"""),"Higher Education, Lifelong learning/Adult education")</f>
        <v/>
      </c>
      <c r="Q1089" s="1">
        <f>IFERROR(__xludf.DUMMYFUNCTION("""COMPUTED_VALUE"""),"Teacher interfacing, System/Administrative")</f>
        <v/>
      </c>
      <c r="R1089" s="1" t="n"/>
      <c r="S1089" s="1" t="n"/>
      <c r="T1089" s="15">
        <f>IFERROR(__xludf.DUMMYFUNCTION("""COMPUTED_VALUE"""),"https://www.linkedin.com/company/fullstreet")</f>
        <v/>
      </c>
      <c r="U1089" s="1">
        <f>IFERROR(__xludf.DUMMYFUNCTION("""COMPUTED_VALUE"""),"QWAMPUS")</f>
        <v/>
      </c>
      <c r="V1089" s="1">
        <f>IFERROR(__xludf.DUMMYFUNCTION("""COMPUTED_VALUE"""),"Our software enable any entrepreneurship educational support program to deploy their own online incubator in a few days.
- an entrepreneurial digital path,
- an e-learning plateform,
- a professional services marketplace
Are embedded within the solution."&amp;"
As a global tool, it helps students entrepreneurs gain visibility, time and money.")</f>
        <v/>
      </c>
      <c r="W1089" s="1" t="n"/>
      <c r="X1089" s="1" t="n"/>
      <c r="Y1089" s="15">
        <f>IFERROR(__xludf.DUMMYFUNCTION("""COMPUTED_VALUE"""),"https://drive.google.com/uc?export=view&amp;id=1FrJe0rEBZ3Fcou02KCujv-DNlgjTUfC4")</f>
        <v/>
      </c>
      <c r="Z1089" s="1">
        <f>IFERROR(__xludf.DUMMYFUNCTION("""COMPUTED_VALUE"""),"Unverified")</f>
        <v/>
      </c>
      <c r="AA1089" s="1" t="n"/>
      <c r="AB1089" s="1" t="n"/>
      <c r="AC1089" s="1" t="n"/>
      <c r="AD1089" s="1" t="n"/>
      <c r="AE1089" s="1" t="n"/>
    </row>
    <row r="1090" ht="42" customHeight="1">
      <c r="A1090" s="14">
        <f>IFERROR(__xludf.DUMMYFUNCTION("""COMPUTED_VALUE"""),45181)</f>
        <v/>
      </c>
      <c r="B1090" s="1">
        <f>IFERROR(__xludf.DUMMYFUNCTION("""COMPUTED_VALUE"""),"ORG_2218")</f>
        <v/>
      </c>
      <c r="C1090" s="1">
        <f>IFERROR(__xludf.DUMMYFUNCTION("""COMPUTED_VALUE"""),TRUE)</f>
        <v/>
      </c>
      <c r="D1090" s="1">
        <f>IFERROR(__xludf.DUMMYFUNCTION("""COMPUTED_VALUE"""),"Scobees")</f>
        <v/>
      </c>
      <c r="E1090" s="15">
        <f>IFERROR(__xludf.DUMMYFUNCTION("""COMPUTED_VALUE"""),"scobees.com")</f>
        <v/>
      </c>
      <c r="F1090" s="1">
        <f>IFERROR(__xludf.DUMMYFUNCTION("""COMPUTED_VALUE"""),"The cloud-based learning system Scobees takes digital learning in school life to the next level with personalized learning paths and creates digitality in schools. By introducing self-organized learning, it is possible to accompany each student 1:1 in lea"&amp;"rning. With Scobees it is possible to focus on the individual learning development of the students, to recognize potential and to strengthen the personalities of the learners.
Scobees was designed with Germany's most innovative schools. Our learning syst"&amp;"em works for every type of school and supports the monitoring of learning developments for teachers in a data-driven and feedback-based manner. Scobees offers smart networks - within and across schools - the introduction of a modern learning format and, w"&amp;"ith the right integration of bonding partners, ensures that the administrative effort in everyday learning is simplified and rigid learning structures are replaced in the ""one fits all"" concept.")</f>
        <v/>
      </c>
      <c r="G1090" s="1">
        <f>IFERROR(__xludf.DUMMYFUNCTION("""COMPUTED_VALUE"""),"I'm not part of any EdTech association")</f>
        <v/>
      </c>
      <c r="H1090" s="1" t="n"/>
      <c r="I1090" s="1">
        <f>IFERROR(__xludf.DUMMYFUNCTION("""COMPUTED_VALUE"""),"info@scobees.com")</f>
        <v/>
      </c>
      <c r="J1090" s="1">
        <f>IFERROR(__xludf.DUMMYFUNCTION("""COMPUTED_VALUE"""),"0221 95019885")</f>
        <v/>
      </c>
      <c r="K1090" s="1">
        <f>IFERROR(__xludf.DUMMYFUNCTION("""COMPUTED_VALUE"""),"Cologne")</f>
        <v/>
      </c>
      <c r="L1090" s="1">
        <f>IFERROR(__xludf.DUMMYFUNCTION("""COMPUTED_VALUE"""),"Germany")</f>
        <v/>
      </c>
      <c r="M1090" s="1">
        <f>IFERROR(__xludf.DUMMYFUNCTION("""COMPUTED_VALUE"""),"Austria, Bulgaria, Czechia, Germany, Greece, Romania, Switzerland")</f>
        <v/>
      </c>
      <c r="N1090" s="1">
        <f>IFERROR(__xludf.DUMMYFUNCTION("""COMPUTED_VALUE"""),"0 to 10")</f>
        <v/>
      </c>
      <c r="O1090" s="1">
        <f>IFERROR(__xludf.DUMMYFUNCTION("""COMPUTED_VALUE"""),"Business to Consumer, Business to Schools")</f>
        <v/>
      </c>
      <c r="P1090" s="1">
        <f>IFERROR(__xludf.DUMMYFUNCTION("""COMPUTED_VALUE"""),"Primary Education, Secondary Education, Higher Education, Lifelong learning/Adult education")</f>
        <v/>
      </c>
      <c r="Q1090" s="1">
        <f>IFERROR(__xludf.DUMMYFUNCTION("""COMPUTED_VALUE"""),"System/Administrative, Student interfacing, Teacher interfacing")</f>
        <v/>
      </c>
      <c r="R1090" s="1" t="n"/>
      <c r="S1090" s="1" t="n"/>
      <c r="T1090" s="1" t="n"/>
      <c r="U1090" s="1" t="n"/>
      <c r="V1090" s="1" t="n"/>
      <c r="W1090" s="1" t="n"/>
      <c r="X1090" s="1" t="n"/>
      <c r="Y1090" s="15">
        <f>IFERROR(__xludf.DUMMYFUNCTION("""COMPUTED_VALUE"""),"https://drive.google.com/uc?export=view&amp;id=1OOtFfs3FVMbshDFilyvReyPuDOH0GF_Q")</f>
        <v/>
      </c>
      <c r="Z1090" s="1">
        <f>IFERROR(__xludf.DUMMYFUNCTION("""COMPUTED_VALUE"""),"Unverified")</f>
        <v/>
      </c>
      <c r="AA1090" s="1" t="n"/>
      <c r="AB1090" s="1" t="n"/>
      <c r="AC1090" s="1" t="n"/>
      <c r="AD1090" s="1" t="n"/>
      <c r="AE1090" s="1" t="n"/>
    </row>
    <row r="1091" ht="42" customHeight="1">
      <c r="A1091" s="14">
        <f>IFERROR(__xludf.DUMMYFUNCTION("""COMPUTED_VALUE"""),45181)</f>
        <v/>
      </c>
      <c r="B1091" s="1">
        <f>IFERROR(__xludf.DUMMYFUNCTION("""COMPUTED_VALUE"""),"ORG_2265")</f>
        <v/>
      </c>
      <c r="C1091" s="1">
        <f>IFERROR(__xludf.DUMMYFUNCTION("""COMPUTED_VALUE"""),TRUE)</f>
        <v/>
      </c>
      <c r="D1091" s="1">
        <f>IFERROR(__xludf.DUMMYFUNCTION("""COMPUTED_VALUE"""),"Skola24")</f>
        <v/>
      </c>
      <c r="E1091" s="15">
        <f>IFERROR(__xludf.DUMMYFUNCTION("""COMPUTED_VALUE"""),"https://www.skola24.com/")</f>
        <v/>
      </c>
      <c r="F1091" s="1">
        <f>IFERROR(__xludf.DUMMYFUNCTION("""COMPUTED_VALUE"""),"Skola24 is a SaaS company with more than +35 years’ experience in Edtech business, more than 600 customers and active in about 10 countries in Europe/worldwide. The School24 inforamtion plattform affords effctive and user centric tools for timetabling, re"&amp;"source planning, absence/presence and more on. Skola24s focus is to help students achieve more powerd by tools making their schooling easier. Skola24 helps customers within public sector and private schools.")</f>
        <v/>
      </c>
      <c r="G1091" s="1">
        <f>IFERROR(__xludf.DUMMYFUNCTION("""COMPUTED_VALUE"""),"Swedish EdTech Industry")</f>
        <v/>
      </c>
      <c r="H1091" s="1" t="n"/>
      <c r="I1091" s="1">
        <f>IFERROR(__xludf.DUMMYFUNCTION("""COMPUTED_VALUE"""),"andreas.astrand@skola24.com")</f>
        <v/>
      </c>
      <c r="J1091" s="1">
        <f>IFERROR(__xludf.DUMMYFUNCTION("""COMPUTED_VALUE"""),"+46708266032")</f>
        <v/>
      </c>
      <c r="K1091" s="1">
        <f>IFERROR(__xludf.DUMMYFUNCTION("""COMPUTED_VALUE"""),"Falköping")</f>
        <v/>
      </c>
      <c r="L1091" s="1">
        <f>IFERROR(__xludf.DUMMYFUNCTION("""COMPUTED_VALUE"""),"Sweden")</f>
        <v/>
      </c>
      <c r="M1091" s="1">
        <f>IFERROR(__xludf.DUMMYFUNCTION("""COMPUTED_VALUE"""),"Sweden")</f>
        <v/>
      </c>
      <c r="N1091" s="1">
        <f>IFERROR(__xludf.DUMMYFUNCTION("""COMPUTED_VALUE"""),"51 to 100")</f>
        <v/>
      </c>
      <c r="O1091" s="1">
        <f>IFERROR(__xludf.DUMMYFUNCTION("""COMPUTED_VALUE"""),"Business to Consumer, Business to Schools")</f>
        <v/>
      </c>
      <c r="P1091" s="1">
        <f>IFERROR(__xludf.DUMMYFUNCTION("""COMPUTED_VALUE"""),"Early childhood development (0-5 years), Primary Education, Secondary Education, Higher Education")</f>
        <v/>
      </c>
      <c r="Q1091" s="1">
        <f>IFERROR(__xludf.DUMMYFUNCTION("""COMPUTED_VALUE"""),"System/Administrative, Student interfacing, Teacher interfacing")</f>
        <v/>
      </c>
      <c r="R1091" s="15">
        <f>IFERROR(__xludf.DUMMYFUNCTION("""COMPUTED_VALUE"""),"https://www.instagram.com/skola24")</f>
        <v/>
      </c>
      <c r="S1091" s="1" t="n"/>
      <c r="T1091" s="15">
        <f>IFERROR(__xludf.DUMMYFUNCTION("""COMPUTED_VALUE"""),"https://www.linkedin.com/company/skola24/mycompany/?viewAsMember=true")</f>
        <v/>
      </c>
      <c r="U1091" s="1">
        <f>IFERROR(__xludf.DUMMYFUNCTION("""COMPUTED_VALUE"""),"Skola24 Timetabling")</f>
        <v/>
      </c>
      <c r="V1091" s="1">
        <f>IFERROR(__xludf.DUMMYFUNCTION("""COMPUTED_VALUE"""),"Skola24 offers a flexible multi user solution (SaaS) for timetabling evolved during more than 35 years. The core concept is to support the timetabling process with a rich setup of intuitive context sensitive tools, that enables you to try out different sc"&amp;"enarios in a graphical drag and drop/ undo and redo environment. A wide range of conditions can be configured to set up the framework for your timetabling. The system can handle complex timetabling for large organizations with individual timetables.")</f>
        <v/>
      </c>
      <c r="W1091" s="1">
        <f>IFERROR(__xludf.DUMMYFUNCTION("""COMPUTED_VALUE"""),"Skola24 Attendance")</f>
        <v/>
      </c>
      <c r="X1091" s="1">
        <f>IFERROR(__xludf.DUMMYFUNCTION("""COMPUTED_VALUE"""),"Skola24 offers a solution (SaaS) for registration and follow up of attendance for children and students. The attendance registration is based on published timetables for individual students to ensure a correct follow up. The solution enables teachers and "&amp;"administrators to change specific activities to map the actual situation in the classroom. The solution includes reports and messages representing attendance and absence for individual students as well as groups of students. Aggregated statistics are avai"&amp;"lable for all schools in your organization.")</f>
        <v/>
      </c>
      <c r="Y1091" s="15">
        <f>IFERROR(__xludf.DUMMYFUNCTION("""COMPUTED_VALUE"""),"https://drive.google.com/uc?export=view&amp;id=1_mYi7St9K0GQSD6pdgL34rwtjLu4myXX")</f>
        <v/>
      </c>
      <c r="Z1091" s="1">
        <f>IFERROR(__xludf.DUMMYFUNCTION("""COMPUTED_VALUE"""),"Unverified")</f>
        <v/>
      </c>
      <c r="AA1091" s="1" t="n"/>
      <c r="AB1091" s="1" t="n"/>
      <c r="AC1091" s="1" t="n"/>
      <c r="AD1091" s="1" t="n"/>
      <c r="AE1091" s="1" t="n"/>
    </row>
    <row r="1092" ht="42" customHeight="1">
      <c r="A1092" s="14">
        <f>IFERROR(__xludf.DUMMYFUNCTION("""COMPUTED_VALUE"""),45181)</f>
        <v/>
      </c>
      <c r="B1092" s="1">
        <f>IFERROR(__xludf.DUMMYFUNCTION("""COMPUTED_VALUE"""),"ORG_2317")</f>
        <v/>
      </c>
      <c r="C1092" s="1">
        <f>IFERROR(__xludf.DUMMYFUNCTION("""COMPUTED_VALUE"""),TRUE)</f>
        <v/>
      </c>
      <c r="D1092" s="1">
        <f>IFERROR(__xludf.DUMMYFUNCTION("""COMPUTED_VALUE"""),"start2impact | B Corp")</f>
        <v/>
      </c>
      <c r="E1092" s="15">
        <f>IFERROR(__xludf.DUMMYFUNCTION("""COMPUTED_VALUE"""),"https://www.start2impact.com/")</f>
        <v/>
      </c>
      <c r="F1092" s="1">
        <f>IFERROR(__xludf.DUMMYFUNCTION("""COMPUTED_VALUE"""),"Our mission is to inspire and train young talents to find their own path and make a positive impact on people's lives and on the planet thanks to their digital skills.
Start2impact is an online training school about digital professions where students intr"&amp;"oduce themselves to companies thanks to a Practical Projects Portfolio with which they show theirs skills.")</f>
        <v/>
      </c>
      <c r="G1092" s="1">
        <f>IFERROR(__xludf.DUMMYFUNCTION("""COMPUTED_VALUE"""),"I'm not part of any EdTech association")</f>
        <v/>
      </c>
      <c r="H1092" s="1" t="n"/>
      <c r="I1092" s="1">
        <f>IFERROR(__xludf.DUMMYFUNCTION("""COMPUTED_VALUE"""),"hello@start2impact.com")</f>
        <v/>
      </c>
      <c r="J1092" s="1" t="n"/>
      <c r="K1092" s="1">
        <f>IFERROR(__xludf.DUMMYFUNCTION("""COMPUTED_VALUE"""),"RIETI")</f>
        <v/>
      </c>
      <c r="L1092" s="1">
        <f>IFERROR(__xludf.DUMMYFUNCTION("""COMPUTED_VALUE"""),"Italy")</f>
        <v/>
      </c>
      <c r="M1092" s="1">
        <f>IFERROR(__xludf.DUMMYFUNCTION("""COMPUTED_VALUE"""),"Italy")</f>
        <v/>
      </c>
      <c r="N1092" s="1">
        <f>IFERROR(__xludf.DUMMYFUNCTION("""COMPUTED_VALUE"""),"11 to 50")</f>
        <v/>
      </c>
      <c r="O1092" s="1">
        <f>IFERROR(__xludf.DUMMYFUNCTION("""COMPUTED_VALUE"""),"Business to Consumer, Business to Schools")</f>
        <v/>
      </c>
      <c r="P1092" s="1">
        <f>IFERROR(__xludf.DUMMYFUNCTION("""COMPUTED_VALUE"""),"Higher Education, Lifelong learning/Adult education")</f>
        <v/>
      </c>
      <c r="Q1092" s="1">
        <f>IFERROR(__xludf.DUMMYFUNCTION("""COMPUTED_VALUE"""),"Student interfacing")</f>
        <v/>
      </c>
      <c r="R1092" s="1" t="n"/>
      <c r="S1092" s="1" t="n"/>
      <c r="T1092" s="1" t="n"/>
      <c r="U1092" s="1" t="n"/>
      <c r="V1092" s="1" t="n"/>
      <c r="W1092" s="1" t="n"/>
      <c r="X1092" s="1" t="n"/>
      <c r="Y1092" s="15">
        <f>IFERROR(__xludf.DUMMYFUNCTION("""COMPUTED_VALUE"""),"https://drive.google.com/uc?export=view&amp;id=1jEbBvhLEFTFmQQcyn8D-bJWKTlunt6Ua")</f>
        <v/>
      </c>
      <c r="Z1092" s="1">
        <f>IFERROR(__xludf.DUMMYFUNCTION("""COMPUTED_VALUE"""),"Unverified")</f>
        <v/>
      </c>
      <c r="AA1092" s="1" t="n"/>
      <c r="AB1092" s="1" t="n"/>
      <c r="AC1092" s="1" t="n"/>
      <c r="AD1092" s="1" t="n"/>
      <c r="AE1092" s="1" t="n"/>
    </row>
    <row r="1093" ht="42" customHeight="1">
      <c r="A1093" s="14">
        <f>IFERROR(__xludf.DUMMYFUNCTION("""COMPUTED_VALUE"""),45181)</f>
        <v/>
      </c>
      <c r="B1093" s="1">
        <f>IFERROR(__xludf.DUMMYFUNCTION("""COMPUTED_VALUE"""),"ORG_2318")</f>
        <v/>
      </c>
      <c r="C1093" s="1">
        <f>IFERROR(__xludf.DUMMYFUNCTION("""COMPUTED_VALUE"""),TRUE)</f>
        <v/>
      </c>
      <c r="D1093" s="1">
        <f>IFERROR(__xludf.DUMMYFUNCTION("""COMPUTED_VALUE"""),"Startlab Education")</f>
        <v/>
      </c>
      <c r="E1093" s="15">
        <f>IFERROR(__xludf.DUMMYFUNCTION("""COMPUTED_VALUE"""),"https://www.startlab-education.com/en")</f>
        <v/>
      </c>
      <c r="F1093" s="1">
        <f>IFERROR(__xludf.DUMMYFUNCTION("""COMPUTED_VALUE"""),"Fastlane Education imagines and designs innovative digital learning solutions to develop 21st century skills for 15 - 25 year old.
Startlab is our first e-learning program. Its objective is to teach entrepreneurship and develop 21st century skills by pro"&amp;"posing an immersive learning experience, easy to implement in any education or training environment : university, vocational training centres, high schools.")</f>
        <v/>
      </c>
      <c r="G1093" s="1">
        <f>IFERROR(__xludf.DUMMYFUNCTION("""COMPUTED_VALUE"""),"EdTech France")</f>
        <v/>
      </c>
      <c r="H1093" s="1" t="n"/>
      <c r="I1093" s="1">
        <f>IFERROR(__xludf.DUMMYFUNCTION("""COMPUTED_VALUE"""),"maxime@fastlane-education.com")</f>
        <v/>
      </c>
      <c r="J1093" s="1" t="n"/>
      <c r="K1093" s="1">
        <f>IFERROR(__xludf.DUMMYFUNCTION("""COMPUTED_VALUE"""),"Paris")</f>
        <v/>
      </c>
      <c r="L1093" s="1">
        <f>IFERROR(__xludf.DUMMYFUNCTION("""COMPUTED_VALUE"""),"France")</f>
        <v/>
      </c>
      <c r="M1093" s="1">
        <f>IFERROR(__xludf.DUMMYFUNCTION("""COMPUTED_VALUE"""),"Belgium, France, Italy, Luxembourg")</f>
        <v/>
      </c>
      <c r="N1093" s="1">
        <f>IFERROR(__xludf.DUMMYFUNCTION("""COMPUTED_VALUE"""),"0 to 10")</f>
        <v/>
      </c>
      <c r="O1093" s="1">
        <f>IFERROR(__xludf.DUMMYFUNCTION("""COMPUTED_VALUE"""),"Business to Consumer, Business to Schools")</f>
        <v/>
      </c>
      <c r="P1093" s="1">
        <f>IFERROR(__xludf.DUMMYFUNCTION("""COMPUTED_VALUE"""),"Secondary Education, Higher Education")</f>
        <v/>
      </c>
      <c r="Q1093" s="1">
        <f>IFERROR(__xludf.DUMMYFUNCTION("""COMPUTED_VALUE"""),"Student interfacing, Teacher interfacing")</f>
        <v/>
      </c>
      <c r="R1093" s="1" t="n"/>
      <c r="S1093" s="1" t="n"/>
      <c r="T1093" s="15">
        <f>IFERROR(__xludf.DUMMYFUNCTION("""COMPUTED_VALUE"""),"https://www.linkedin.com/company/fastlane-education/?viewAsMember=true")</f>
        <v/>
      </c>
      <c r="U1093" s="1">
        <f>IFERROR(__xludf.DUMMYFUNCTION("""COMPUTED_VALUE"""),"Startlab")</f>
        <v/>
      </c>
      <c r="V1093" s="1">
        <f>IFERROR(__xludf.DUMMYFUNCTION("""COMPUTED_VALUE"""),"Startlab is the leading program to teach entrepreneurship and develop 21st century skills.
Suited for age 15 - 25, it offers an immersive learning experience easy to implement in any education or training system : university, vocational training, high sc"&amp;"hools.
It includes a full set of resources (gamified app, webseries, teaching material) and a certificate from Sorbonne Entrepreneur Paris to prepare students for future of work.")</f>
        <v/>
      </c>
      <c r="W1093" s="1" t="n"/>
      <c r="X1093" s="1" t="n"/>
      <c r="Y1093" s="15">
        <f>IFERROR(__xludf.DUMMYFUNCTION("""COMPUTED_VALUE"""),"https://drive.google.com/uc?export=view&amp;id=1miKp0nzXbN-SMhjJKyfAqB215r20D14v")</f>
        <v/>
      </c>
      <c r="Z1093" s="1">
        <f>IFERROR(__xludf.DUMMYFUNCTION("""COMPUTED_VALUE"""),"Unverified")</f>
        <v/>
      </c>
      <c r="AA1093" s="1" t="n"/>
      <c r="AB1093" s="1" t="n"/>
      <c r="AC1093" s="1" t="n"/>
      <c r="AD1093" s="1" t="n"/>
      <c r="AE1093" s="1" t="n"/>
    </row>
    <row r="1094" ht="42" customHeight="1">
      <c r="A1094" s="14">
        <f>IFERROR(__xludf.DUMMYFUNCTION("""COMPUTED_VALUE"""),45181)</f>
        <v/>
      </c>
      <c r="B1094" s="1">
        <f>IFERROR(__xludf.DUMMYFUNCTION("""COMPUTED_VALUE"""),"ORG_2327")</f>
        <v/>
      </c>
      <c r="C1094" s="1">
        <f>IFERROR(__xludf.DUMMYFUNCTION("""COMPUTED_VALUE"""),TRUE)</f>
        <v/>
      </c>
      <c r="D1094" s="1">
        <f>IFERROR(__xludf.DUMMYFUNCTION("""COMPUTED_VALUE"""),"Storyals")</f>
        <v/>
      </c>
      <c r="E1094" s="15">
        <f>IFERROR(__xludf.DUMMYFUNCTION("""COMPUTED_VALUE"""),"https://storyals.com")</f>
        <v/>
      </c>
      <c r="F1094" s="1">
        <f>IFERROR(__xludf.DUMMYFUNCTION("""COMPUTED_VALUE"""),"Storyals is a Swedish EdTech company with a modern training product for organizations to continuously upskill their workforce on new digital ways of working using Microsoft 365. With a unique training concept, based on storytelling and blended learning, S"&amp;"toryals training product is designed to INSPIRE, MOTIVATE and EDUCATE people to achieve more in the digital workplace - one story at a time.")</f>
        <v/>
      </c>
      <c r="G1094" s="1" t="n"/>
      <c r="H1094" s="1" t="n"/>
      <c r="I1094" s="1">
        <f>IFERROR(__xludf.DUMMYFUNCTION("""COMPUTED_VALUE"""),"hello@storyals.com")</f>
        <v/>
      </c>
      <c r="J1094" s="1">
        <f>IFERROR(__xludf.DUMMYFUNCTION("""COMPUTED_VALUE"""),"+468 505 376 78")</f>
        <v/>
      </c>
      <c r="K1094" s="1">
        <f>IFERROR(__xludf.DUMMYFUNCTION("""COMPUTED_VALUE"""),"Stockholm")</f>
        <v/>
      </c>
      <c r="L1094" s="1">
        <f>IFERROR(__xludf.DUMMYFUNCTION("""COMPUTED_VALUE"""),"Sweden")</f>
        <v/>
      </c>
      <c r="M1094" s="1">
        <f>IFERROR(__xludf.DUMMYFUNCTION("""COMPUTED_VALUE"""),"Germany, Sweden, United Kingdom")</f>
        <v/>
      </c>
      <c r="N1094" s="1">
        <f>IFERROR(__xludf.DUMMYFUNCTION("""COMPUTED_VALUE"""),"11 to 50")</f>
        <v/>
      </c>
      <c r="O1094" s="1">
        <f>IFERROR(__xludf.DUMMYFUNCTION("""COMPUTED_VALUE"""),"Business to Government, Business to Schools")</f>
        <v/>
      </c>
      <c r="P1094" s="1">
        <f>IFERROR(__xludf.DUMMYFUNCTION("""COMPUTED_VALUE"""),"Corporate Training")</f>
        <v/>
      </c>
      <c r="Q1094" s="1">
        <f>IFERROR(__xludf.DUMMYFUNCTION("""COMPUTED_VALUE"""),"Student interfacing, System/Administrative")</f>
        <v/>
      </c>
      <c r="R1094" s="15">
        <f>IFERROR(__xludf.DUMMYFUNCTION("""COMPUTED_VALUE"""),"https://www.instagram.com/storyals_/")</f>
        <v/>
      </c>
      <c r="S1094" s="15">
        <f>IFERROR(__xludf.DUMMYFUNCTION("""COMPUTED_VALUE"""),"https://twitter.com/Storyals_")</f>
        <v/>
      </c>
      <c r="T1094" s="15">
        <f>IFERROR(__xludf.DUMMYFUNCTION("""COMPUTED_VALUE"""),"https://www.linkedin.com/company/storyals/")</f>
        <v/>
      </c>
      <c r="U1094" s="1">
        <f>IFERROR(__xludf.DUMMYFUNCTION("""COMPUTED_VALUE"""),"Storyals WorkplaceBuddy")</f>
        <v/>
      </c>
      <c r="V1094" s="1">
        <f>IFERROR(__xludf.DUMMYFUNCTION("""COMPUTED_VALUE"""),"Storyals WorkplaceBuddy is a cutting-edge training product for organizations looking for a smart and modern way of training employees on new digital ways of working with Microsoft – directly from within Microsoft Teams and in the flow of work. Storyals Wo"&amp;"rkplaceBuddy brings together the best of e-learning, chatbot technology, and real-life coaching in a modern and fun training experience. This Teams app training product is ideal for businesses looking for an easy and effective way to provide employees wit"&amp;"h continuous training for the digital workplace. https://storyals.com/storyals-workplacebuddy")</f>
        <v/>
      </c>
      <c r="W1094" s="1">
        <f>IFERROR(__xludf.DUMMYFUNCTION("""COMPUTED_VALUE"""),"Storyals Lite")</f>
        <v/>
      </c>
      <c r="X1094" s="1">
        <f>IFERROR(__xludf.DUMMYFUNCTION("""COMPUTED_VALUE"""),"Storyals Lite provides employees with on-demand, story-based training on how to work smarter with Microsoft 365. Storyals Lite is installed in your own Microsoft 365 environment and the streamed courses are automatically updated. In addition to Storyals c"&amp;"ourses, employees get access to product guides provided by Microsoft via Microsoft 365 learning pathways. Storyals Lite is the best option if you already have invested in a Learning Management System and you just want access to the Storyals courses, or if"&amp;" you want to provide your workforce with independent learning in your SharePoint intranet. https://storyals.com/storyalslite")</f>
        <v/>
      </c>
      <c r="Y1094" s="15">
        <f>IFERROR(__xludf.DUMMYFUNCTION("""COMPUTED_VALUE"""),"https://drive.google.com/uc?export=view&amp;id=1vfqEgCbDipVxz0cKRsRo6A0-4j2O0eWP")</f>
        <v/>
      </c>
      <c r="Z1094" s="1">
        <f>IFERROR(__xludf.DUMMYFUNCTION("""COMPUTED_VALUE"""),"Unverified")</f>
        <v/>
      </c>
      <c r="AA1094" s="1" t="n"/>
      <c r="AB1094" s="1" t="n"/>
      <c r="AC1094" s="1" t="n"/>
      <c r="AD1094" s="1" t="n"/>
      <c r="AE1094" s="1" t="n"/>
    </row>
    <row r="1095" ht="42" customHeight="1">
      <c r="A1095" s="14">
        <f>IFERROR(__xludf.DUMMYFUNCTION("""COMPUTED_VALUE"""),45181)</f>
        <v/>
      </c>
      <c r="B1095" s="1">
        <f>IFERROR(__xludf.DUMMYFUNCTION("""COMPUTED_VALUE"""),"ORG_2340")</f>
        <v/>
      </c>
      <c r="C1095" s="1">
        <f>IFERROR(__xludf.DUMMYFUNCTION("""COMPUTED_VALUE"""),TRUE)</f>
        <v/>
      </c>
      <c r="D1095" s="1">
        <f>IFERROR(__xludf.DUMMYFUNCTION("""COMPUTED_VALUE"""),"StudyCentral")</f>
        <v/>
      </c>
      <c r="E1095" s="15">
        <f>IFERROR(__xludf.DUMMYFUNCTION("""COMPUTED_VALUE"""),"www.studycentral.eu")</f>
        <v/>
      </c>
      <c r="F1095" s="1">
        <f>IFERROR(__xludf.DUMMYFUNCTION("""COMPUTED_VALUE"""),"We build a collaboration platform for higher education. We break up digital silos and facilitate joint modules, degrees and programs across universities with a lean, secure and enganging community management platform.")</f>
        <v/>
      </c>
      <c r="G1095" s="1">
        <f>IFERROR(__xludf.DUMMYFUNCTION("""COMPUTED_VALUE"""),"I'm not part of any EdTech association")</f>
        <v/>
      </c>
      <c r="H1095" s="1" t="n"/>
      <c r="I1095" s="1">
        <f>IFERROR(__xludf.DUMMYFUNCTION("""COMPUTED_VALUE"""),"hello@studycentral.eu")</f>
        <v/>
      </c>
      <c r="J1095" s="1" t="n"/>
      <c r="K1095" s="1">
        <f>IFERROR(__xludf.DUMMYFUNCTION("""COMPUTED_VALUE"""),"Berlin")</f>
        <v/>
      </c>
      <c r="L1095" s="1">
        <f>IFERROR(__xludf.DUMMYFUNCTION("""COMPUTED_VALUE"""),"Germany")</f>
        <v/>
      </c>
      <c r="M1095" s="1">
        <f>IFERROR(__xludf.DUMMYFUNCTION("""COMPUTED_VALUE"""),"Germany, Spain")</f>
        <v/>
      </c>
      <c r="N1095" s="1">
        <f>IFERROR(__xludf.DUMMYFUNCTION("""COMPUTED_VALUE"""),"0 to 10")</f>
        <v/>
      </c>
      <c r="O1095" s="1">
        <f>IFERROR(__xludf.DUMMYFUNCTION("""COMPUTED_VALUE"""),"Business to Government, Business to Schools")</f>
        <v/>
      </c>
      <c r="P1095" s="1">
        <f>IFERROR(__xludf.DUMMYFUNCTION("""COMPUTED_VALUE"""),"Higher Education, Lifelong learning/Adult education")</f>
        <v/>
      </c>
      <c r="Q1095" s="1">
        <f>IFERROR(__xludf.DUMMYFUNCTION("""COMPUTED_VALUE"""),"Teacher interfacing")</f>
        <v/>
      </c>
      <c r="R1095" s="1" t="n"/>
      <c r="S1095" s="1" t="n"/>
      <c r="T1095" s="1" t="n"/>
      <c r="U1095" s="1" t="n"/>
      <c r="V1095" s="1" t="n"/>
      <c r="W1095" s="1" t="n"/>
      <c r="X1095" s="1" t="n"/>
      <c r="Y1095" s="15">
        <f>IFERROR(__xludf.DUMMYFUNCTION("""COMPUTED_VALUE"""),"https://drive.google.com/uc?export=view&amp;id=1YSYfnrNgaLtZH5hubpGOBAaUyXQK393Q")</f>
        <v/>
      </c>
      <c r="Z1095" s="1">
        <f>IFERROR(__xludf.DUMMYFUNCTION("""COMPUTED_VALUE"""),"Unverified")</f>
        <v/>
      </c>
      <c r="AA1095" s="1" t="n"/>
      <c r="AB1095" s="1" t="n"/>
      <c r="AC1095" s="1" t="n"/>
      <c r="AD1095" s="1" t="n"/>
      <c r="AE1095" s="1" t="n"/>
    </row>
    <row r="1096" ht="42" customHeight="1">
      <c r="A1096" s="14">
        <f>IFERROR(__xludf.DUMMYFUNCTION("""COMPUTED_VALUE"""),45181)</f>
        <v/>
      </c>
      <c r="B1096" s="1">
        <f>IFERROR(__xludf.DUMMYFUNCTION("""COMPUTED_VALUE"""),"ORG_2347")</f>
        <v/>
      </c>
      <c r="C1096" s="1">
        <f>IFERROR(__xludf.DUMMYFUNCTION("""COMPUTED_VALUE"""),TRUE)</f>
        <v/>
      </c>
      <c r="D1096" s="1">
        <f>IFERROR(__xludf.DUMMYFUNCTION("""COMPUTED_VALUE"""),"Stuudium")</f>
        <v/>
      </c>
      <c r="E1096" s="15">
        <f>IFERROR(__xludf.DUMMYFUNCTION("""COMPUTED_VALUE"""),"https://stuudium.com")</f>
        <v/>
      </c>
      <c r="F1096" s="1">
        <f>IFERROR(__xludf.DUMMYFUNCTION("""COMPUTED_VALUE"""),"Stuudium is a suite of online apps for schools that connects teachers, parents and students. Study materials, information about academic progress and simple messaging are accessible in one online environment.")</f>
        <v/>
      </c>
      <c r="G1096" s="1">
        <f>IFERROR(__xludf.DUMMYFUNCTION("""COMPUTED_VALUE"""),"EdTech Estonia")</f>
        <v/>
      </c>
      <c r="H1096" s="1" t="n"/>
      <c r="I1096" s="1">
        <f>IFERROR(__xludf.DUMMYFUNCTION("""COMPUTED_VALUE"""),"info@stuudium.com")</f>
        <v/>
      </c>
      <c r="J1096" s="1" t="n"/>
      <c r="K1096" s="1">
        <f>IFERROR(__xludf.DUMMYFUNCTION("""COMPUTED_VALUE"""),"Viimsi")</f>
        <v/>
      </c>
      <c r="L1096" s="1">
        <f>IFERROR(__xludf.DUMMYFUNCTION("""COMPUTED_VALUE"""),"Estonia")</f>
        <v/>
      </c>
      <c r="M1096" s="1">
        <f>IFERROR(__xludf.DUMMYFUNCTION("""COMPUTED_VALUE"""),"Estonia")</f>
        <v/>
      </c>
      <c r="N1096" s="1">
        <f>IFERROR(__xludf.DUMMYFUNCTION("""COMPUTED_VALUE"""),"0 to 10")</f>
        <v/>
      </c>
      <c r="O1096" s="1">
        <f>IFERROR(__xludf.DUMMYFUNCTION("""COMPUTED_VALUE"""),"Business to Government, Business to Schools")</f>
        <v/>
      </c>
      <c r="P1096" s="1">
        <f>IFERROR(__xludf.DUMMYFUNCTION("""COMPUTED_VALUE"""),"Early childhood development (0-5 years), Primary Education, Secondary Education")</f>
        <v/>
      </c>
      <c r="Q1096" s="1">
        <f>IFERROR(__xludf.DUMMYFUNCTION("""COMPUTED_VALUE"""),"System/Administrative, Student interfacing, Teacher interfacing")</f>
        <v/>
      </c>
      <c r="R1096" s="1" t="n"/>
      <c r="S1096" s="1" t="n"/>
      <c r="T1096" s="1" t="n"/>
      <c r="U1096" s="1">
        <f>IFERROR(__xludf.DUMMYFUNCTION("""COMPUTED_VALUE"""),"Stuudium")</f>
        <v/>
      </c>
      <c r="V1096" s="1">
        <f>IFERROR(__xludf.DUMMYFUNCTION("""COMPUTED_VALUE"""),"Stuudium is a comprehensive suite of online apps for schools that connects teachers, parents and students. Study materials, information about academic progress and simple messaging are accessible in one online environment.")</f>
        <v/>
      </c>
      <c r="W1096" s="1" t="n"/>
      <c r="X1096" s="1" t="n"/>
      <c r="Y1096" s="15">
        <f>IFERROR(__xludf.DUMMYFUNCTION("""COMPUTED_VALUE"""),"https://drive.google.com/uc?export=view&amp;id=1nznwHt_LH3nTgLIr6zXkQDYR4ZSCaNqE")</f>
        <v/>
      </c>
      <c r="Z1096" s="1">
        <f>IFERROR(__xludf.DUMMYFUNCTION("""COMPUTED_VALUE"""),"Unverified")</f>
        <v/>
      </c>
      <c r="AA1096" s="1" t="n"/>
      <c r="AB1096" s="1" t="n"/>
      <c r="AC1096" s="1" t="n"/>
      <c r="AD1096" s="1" t="n"/>
      <c r="AE1096" s="1" t="n"/>
    </row>
    <row r="1097" ht="42" customHeight="1">
      <c r="A1097" s="14">
        <f>IFERROR(__xludf.DUMMYFUNCTION("""COMPUTED_VALUE"""),45181)</f>
        <v/>
      </c>
      <c r="B1097" s="1">
        <f>IFERROR(__xludf.DUMMYFUNCTION("""COMPUTED_VALUE"""),"ORG_2433")</f>
        <v/>
      </c>
      <c r="C1097" s="1">
        <f>IFERROR(__xludf.DUMMYFUNCTION("""COMPUTED_VALUE"""),TRUE)</f>
        <v/>
      </c>
      <c r="D1097" s="1">
        <f>IFERROR(__xludf.DUMMYFUNCTION("""COMPUTED_VALUE"""),"Triumf Health")</f>
        <v/>
      </c>
      <c r="E1097" s="1">
        <f>IFERROR(__xludf.DUMMYFUNCTION("""COMPUTED_VALUE"""),"triumf.health")</f>
        <v/>
      </c>
      <c r="F1097" s="1">
        <f>IFERROR(__xludf.DUMMYFUNCTION("""COMPUTED_VALUE"""),"Triumf Health is created to offer mental health support for children in the ages of 7-12. Through our evidence-based mobile game we aim to promote talking more openly about mental health and giving children control over their own mental well-being. We hav"&amp;"e created an engaging game, in which children will have an animal side-kick that never leaves their side- no one should feel alone! Within the game they will also learn how to understand and regulate their emotions, manage anxiety and stress, create healt"&amp;"hy habits and routine and will gain empathy through helping others.")</f>
        <v/>
      </c>
      <c r="G1097" s="1">
        <f>IFERROR(__xludf.DUMMYFUNCTION("""COMPUTED_VALUE"""),"EdTech Estonia")</f>
        <v/>
      </c>
      <c r="H1097" s="1" t="n"/>
      <c r="I1097" s="1">
        <f>IFERROR(__xludf.DUMMYFUNCTION("""COMPUTED_VALUE"""),"hero@triumf.health")</f>
        <v/>
      </c>
      <c r="J1097" s="1" t="n"/>
      <c r="K1097" s="1">
        <f>IFERROR(__xludf.DUMMYFUNCTION("""COMPUTED_VALUE"""),"Tartu")</f>
        <v/>
      </c>
      <c r="L1097" s="1">
        <f>IFERROR(__xludf.DUMMYFUNCTION("""COMPUTED_VALUE"""),"Estonia")</f>
        <v/>
      </c>
      <c r="M1097" s="1">
        <f>IFERROR(__xludf.DUMMYFUNCTION("""COMPUTED_VALUE"""),"Estonia, Finland, Latvia, Lithuania, Norway, Romania, Slovakia, Sweden, Ukraine")</f>
        <v/>
      </c>
      <c r="N1097" s="1">
        <f>IFERROR(__xludf.DUMMYFUNCTION("""COMPUTED_VALUE"""),"0 to 10")</f>
        <v/>
      </c>
      <c r="O1097" s="1">
        <f>IFERROR(__xludf.DUMMYFUNCTION("""COMPUTED_VALUE"""),"Business to Government, Business to Schools")</f>
        <v/>
      </c>
      <c r="P1097" s="1">
        <f>IFERROR(__xludf.DUMMYFUNCTION("""COMPUTED_VALUE"""),"Primary Education, Secondary Education")</f>
        <v/>
      </c>
      <c r="Q1097" s="1">
        <f>IFERROR(__xludf.DUMMYFUNCTION("""COMPUTED_VALUE"""),"System/Administrative, Student interfacing, Teacher interfacing")</f>
        <v/>
      </c>
      <c r="R1097" s="1">
        <f>IFERROR(__xludf.DUMMYFUNCTION("""COMPUTED_VALUE"""),"TriumfHQ")</f>
        <v/>
      </c>
      <c r="S1097" s="1">
        <f>IFERROR(__xludf.DUMMYFUNCTION("""COMPUTED_VALUE"""),"TriumfHQ")</f>
        <v/>
      </c>
      <c r="T1097" s="1">
        <f>IFERROR(__xludf.DUMMYFUNCTION("""COMPUTED_VALUE"""),"Triumf Health")</f>
        <v/>
      </c>
      <c r="U1097" s="1">
        <f>IFERROR(__xludf.DUMMYFUNCTION("""COMPUTED_VALUE"""),"Triumf Hero")</f>
        <v/>
      </c>
      <c r="V1097" s="1">
        <f>IFERROR(__xludf.DUMMYFUNCTION("""COMPUTED_VALUE"""),"LIGHT VERSION: Triumf Hero is a mobile game that is made to teach children about the importance of taking care of yourself. The game environment is engaging and challenging. It will teach children cope with everyday life with the help of behavioural psych"&amp;"ology that is imbued into the game with a science based algorithm. Playing Triumf Hero consistently will help decrease the chances of developing mental health disorders later in life.")</f>
        <v/>
      </c>
      <c r="W1097" s="1">
        <f>IFERROR(__xludf.DUMMYFUNCTION("""COMPUTED_VALUE"""),"Triumfland Saga")</f>
        <v/>
      </c>
      <c r="X1097" s="1">
        <f>IFERROR(__xludf.DUMMYFUNCTION("""COMPUTED_VALUE"""),"FULL VERSION: Mobile game designed specifically for and with children to offer personalised behavioural support and help break unhealthy habits. The game environment is engaging and challenging. It will teach children cope with everyday life with the help"&amp;" of behavioural psychology that is imbued into the game with a science based algorithm. Recommended for every child to support their mental wellbeing. Playing Triumfland Saga consistently will help decrease the chances of developing mental health disorder"&amp;"s later in life.")</f>
        <v/>
      </c>
      <c r="Y1097" s="1" t="n"/>
      <c r="Z1097" s="1">
        <f>IFERROR(__xludf.DUMMYFUNCTION("""COMPUTED_VALUE"""),"Unverified")</f>
        <v/>
      </c>
      <c r="AA1097" s="1" t="n"/>
      <c r="AB1097" s="1" t="n"/>
      <c r="AC1097" s="1" t="n"/>
      <c r="AD1097" s="1" t="n"/>
      <c r="AE1097" s="1" t="n"/>
    </row>
    <row r="1098" ht="42" customHeight="1">
      <c r="A1098" s="14">
        <f>IFERROR(__xludf.DUMMYFUNCTION("""COMPUTED_VALUE"""),45181)</f>
        <v/>
      </c>
      <c r="B1098" s="1">
        <f>IFERROR(__xludf.DUMMYFUNCTION("""COMPUTED_VALUE"""),"ORG_2479")</f>
        <v/>
      </c>
      <c r="C1098" s="1">
        <f>IFERROR(__xludf.DUMMYFUNCTION("""COMPUTED_VALUE"""),TRUE)</f>
        <v/>
      </c>
      <c r="D1098" s="1">
        <f>IFERROR(__xludf.DUMMYFUNCTION("""COMPUTED_VALUE"""),"Usophy")</f>
        <v/>
      </c>
      <c r="E1098" s="15">
        <f>IFERROR(__xludf.DUMMYFUNCTION("""COMPUTED_VALUE"""),"https://usophy.com/")</f>
        <v/>
      </c>
      <c r="F1098" s="1">
        <f>IFERROR(__xludf.DUMMYFUNCTION("""COMPUTED_VALUE"""),"Usophy is an education technology company that offers ebooks subscription through e-learning platforms.
Usophy, where eBooks are loved by kids as cartoons, and learners exceed their knowledge with the best authors in the world.")</f>
        <v/>
      </c>
      <c r="G1098" s="1">
        <f>IFERROR(__xludf.DUMMYFUNCTION("""COMPUTED_VALUE"""),"EdTech Italia")</f>
        <v/>
      </c>
      <c r="H1098" s="1" t="n"/>
      <c r="I1098" s="1" t="n"/>
      <c r="J1098" s="1" t="n"/>
      <c r="K1098" s="1">
        <f>IFERROR(__xludf.DUMMYFUNCTION("""COMPUTED_VALUE"""),"TORINO")</f>
        <v/>
      </c>
      <c r="L1098" s="1">
        <f>IFERROR(__xludf.DUMMYFUNCTION("""COMPUTED_VALUE"""),"Italy")</f>
        <v/>
      </c>
      <c r="M1098" s="1">
        <f>IFERROR(__xludf.DUMMYFUNCTION("""COMPUTED_VALUE"""),"Italy")</f>
        <v/>
      </c>
      <c r="N1098" s="1">
        <f>IFERROR(__xludf.DUMMYFUNCTION("""COMPUTED_VALUE"""),"0 to 10")</f>
        <v/>
      </c>
      <c r="O1098" s="1">
        <f>IFERROR(__xludf.DUMMYFUNCTION("""COMPUTED_VALUE"""),"Business to Government, Business to Schools")</f>
        <v/>
      </c>
      <c r="P1098" s="1">
        <f>IFERROR(__xludf.DUMMYFUNCTION("""COMPUTED_VALUE"""),"Early childhood development (0-5 years), Primary Education, Higher Education, Corporate Training, Lifelong learning/Adult education")</f>
        <v/>
      </c>
      <c r="Q1098" s="1">
        <f>IFERROR(__xludf.DUMMYFUNCTION("""COMPUTED_VALUE"""),"System/Administrative, Student interfacing, Teacher interfacing")</f>
        <v/>
      </c>
      <c r="R1098" s="15">
        <f>IFERROR(__xludf.DUMMYFUNCTION("""COMPUTED_VALUE"""),"https://www.instagram.com/usophy_books/")</f>
        <v/>
      </c>
      <c r="S1098" s="1" t="n"/>
      <c r="T1098" s="15">
        <f>IFERROR(__xludf.DUMMYFUNCTION("""COMPUTED_VALUE"""),"https://www.linkedin.com/company/usophy")</f>
        <v/>
      </c>
      <c r="U1098" s="1">
        <f>IFERROR(__xludf.DUMMYFUNCTION("""COMPUTED_VALUE"""),"Usophy")</f>
        <v/>
      </c>
      <c r="V1098" s="1">
        <f>IFERROR(__xludf.DUMMYFUNCTION("""COMPUTED_VALUE"""),"Usophy.com offers an over-the-top subscription to learning ebooks featuring titles from publishers like Hoepli, Utet DeAgostini to name a few.
We also provide the University's digital library service at the Pegaso Online University, therefore to +100,000 "&amp;"students.")</f>
        <v/>
      </c>
      <c r="W1098" s="1">
        <f>IFERROR(__xludf.DUMMYFUNCTION("""COMPUTED_VALUE"""),"Usophy Kids")</f>
        <v/>
      </c>
      <c r="X1098" s="1">
        <f>IFERROR(__xludf.DUMMYFUNCTION("""COMPUTED_VALUE"""),"Usophy Kids is the reading and learning app for children under 12. 
It offers unlimited access to +10000 of ebooks, audiobooks and educational content from +25 leading publishers worldwide!
We provide books and videos on various topics such as adventure"&amp;", animals, science etc and we support pupils reading with tools like Read-to-me and Dictionary Look Up.
Our Mission?
To spark children curiosity and build their reading confidence :)")</f>
        <v/>
      </c>
      <c r="Y1098" s="15">
        <f>IFERROR(__xludf.DUMMYFUNCTION("""COMPUTED_VALUE"""),"https://drive.google.com/uc?export=view&amp;id=1dBnQ0FmUzBP-laXDtmtfx5dtXuUlMKvc")</f>
        <v/>
      </c>
      <c r="Z1098" s="1">
        <f>IFERROR(__xludf.DUMMYFUNCTION("""COMPUTED_VALUE"""),"Unverified")</f>
        <v/>
      </c>
      <c r="AA1098" s="1" t="n"/>
      <c r="AB1098" s="1" t="n"/>
      <c r="AC1098" s="1" t="n"/>
      <c r="AD1098" s="1" t="n"/>
      <c r="AE1098" s="1" t="n"/>
    </row>
    <row r="1099" ht="42" customHeight="1">
      <c r="A1099" s="14">
        <f>IFERROR(__xludf.DUMMYFUNCTION("""COMPUTED_VALUE"""),45181)</f>
        <v/>
      </c>
      <c r="B1099" s="1">
        <f>IFERROR(__xludf.DUMMYFUNCTION("""COMPUTED_VALUE"""),"ORG_2499")</f>
        <v/>
      </c>
      <c r="C1099" s="1">
        <f>IFERROR(__xludf.DUMMYFUNCTION("""COMPUTED_VALUE"""),TRUE)</f>
        <v/>
      </c>
      <c r="D1099" s="1">
        <f>IFERROR(__xludf.DUMMYFUNCTION("""COMPUTED_VALUE"""),"Visibly")</f>
        <v/>
      </c>
      <c r="E1099" s="15">
        <f>IFERROR(__xludf.DUMMYFUNCTION("""COMPUTED_VALUE"""),"https://visiblyhq.com")</f>
        <v/>
      </c>
      <c r="F1099" s="1">
        <f>IFERROR(__xludf.DUMMYFUNCTION("""COMPUTED_VALUE"""),"Visibly is a skills-building and supervision app that motivates field engineers to improve their skills and deliver more high quality work, without in-person monitoring.")</f>
        <v/>
      </c>
      <c r="G1099" s="1">
        <f>IFERROR(__xludf.DUMMYFUNCTION("""COMPUTED_VALUE"""),"I'm not part of any EdTech association")</f>
        <v/>
      </c>
      <c r="H1099" s="1" t="n"/>
      <c r="I1099" s="1">
        <f>IFERROR(__xludf.DUMMYFUNCTION("""COMPUTED_VALUE"""),"info@visiblyhq.com")</f>
        <v/>
      </c>
      <c r="J1099" s="1" t="n"/>
      <c r="K1099" s="1">
        <f>IFERROR(__xludf.DUMMYFUNCTION("""COMPUTED_VALUE"""),"LONDON")</f>
        <v/>
      </c>
      <c r="L1099" s="1">
        <f>IFERROR(__xludf.DUMMYFUNCTION("""COMPUTED_VALUE"""),"United Kingdom")</f>
        <v/>
      </c>
      <c r="M1099" s="1">
        <f>IFERROR(__xludf.DUMMYFUNCTION("""COMPUTED_VALUE"""),"France, Germany, United Kingdom")</f>
        <v/>
      </c>
      <c r="N1099" s="1">
        <f>IFERROR(__xludf.DUMMYFUNCTION("""COMPUTED_VALUE"""),"0 to 10")</f>
        <v/>
      </c>
      <c r="O1099" s="1">
        <f>IFERROR(__xludf.DUMMYFUNCTION("""COMPUTED_VALUE"""),"Business to Schools")</f>
        <v/>
      </c>
      <c r="P1099" s="1">
        <f>IFERROR(__xludf.DUMMYFUNCTION("""COMPUTED_VALUE"""),"Lifelong learning/Adult education")</f>
        <v/>
      </c>
      <c r="Q1099" s="1">
        <f>IFERROR(__xludf.DUMMYFUNCTION("""COMPUTED_VALUE"""),"Student interfacing, System/Administrative")</f>
        <v/>
      </c>
      <c r="R1099" s="1" t="n"/>
      <c r="S1099" s="1" t="n"/>
      <c r="T1099" s="1" t="n"/>
      <c r="U1099" s="1" t="n"/>
      <c r="V1099" s="1" t="n"/>
      <c r="W1099" s="1" t="n"/>
      <c r="X1099" s="1" t="n"/>
      <c r="Y1099" s="15">
        <f>IFERROR(__xludf.DUMMYFUNCTION("""COMPUTED_VALUE"""),"https://drive.google.com/uc?export=view&amp;id=1UTZF8YwWtwxhOT11z5gDbgymHIVkuX2p")</f>
        <v/>
      </c>
      <c r="Z1099" s="1">
        <f>IFERROR(__xludf.DUMMYFUNCTION("""COMPUTED_VALUE"""),"Unverified")</f>
        <v/>
      </c>
      <c r="AA1099" s="1" t="n"/>
      <c r="AB1099" s="1" t="n"/>
      <c r="AC1099" s="1" t="n"/>
      <c r="AD1099" s="1" t="n"/>
      <c r="AE1099" s="1" t="n"/>
    </row>
    <row r="1100" ht="42" customHeight="1">
      <c r="A1100" s="14">
        <f>IFERROR(__xludf.DUMMYFUNCTION("""COMPUTED_VALUE"""),45181)</f>
        <v/>
      </c>
      <c r="B1100" s="1">
        <f>IFERROR(__xludf.DUMMYFUNCTION("""COMPUTED_VALUE"""),"ORG_2530")</f>
        <v/>
      </c>
      <c r="C1100" s="1">
        <f>IFERROR(__xludf.DUMMYFUNCTION("""COMPUTED_VALUE"""),TRUE)</f>
        <v/>
      </c>
      <c r="D1100" s="1">
        <f>IFERROR(__xludf.DUMMYFUNCTION("""COMPUTED_VALUE"""),"Wibo")</f>
        <v/>
      </c>
      <c r="E1100" s="15">
        <f>IFERROR(__xludf.DUMMYFUNCTION("""COMPUTED_VALUE"""),"https://wibo.app")</f>
        <v/>
      </c>
      <c r="F1100" s="1">
        <f>IFERROR(__xludf.DUMMYFUNCTION("""COMPUTED_VALUE"""),"Wibo makes corporate education a memorable experience.
Wibo is the platform that makes corporate education fun, memorable and interactive through micro-learning, gamification and meaningfull meetings.
We are a learner centric company, focused on improvi"&amp;"ng talents development and engagement adopting cutting edge technology.
We mixed the best innovative education solutions to create Wibo Experiences, cohort-based learning and team building experiences for talent development, social learning and engagemen"&amp;"t.")</f>
        <v/>
      </c>
      <c r="G1100" s="1">
        <f>IFERROR(__xludf.DUMMYFUNCTION("""COMPUTED_VALUE"""),"I'm not part of any EdTech association")</f>
        <v/>
      </c>
      <c r="H1100" s="1" t="n"/>
      <c r="I1100" s="1">
        <f>IFERROR(__xludf.DUMMYFUNCTION("""COMPUTED_VALUE"""),"hello@wibo.app")</f>
        <v/>
      </c>
      <c r="J1100" s="1" t="n"/>
      <c r="K1100" s="1">
        <f>IFERROR(__xludf.DUMMYFUNCTION("""COMPUTED_VALUE"""),"TORINO")</f>
        <v/>
      </c>
      <c r="L1100" s="1">
        <f>IFERROR(__xludf.DUMMYFUNCTION("""COMPUTED_VALUE"""),"Italy")</f>
        <v/>
      </c>
      <c r="M1100" s="1">
        <f>IFERROR(__xludf.DUMMYFUNCTION("""COMPUTED_VALUE"""),"Italy")</f>
        <v/>
      </c>
      <c r="N1100" s="1">
        <f>IFERROR(__xludf.DUMMYFUNCTION("""COMPUTED_VALUE"""),"0 to 10")</f>
        <v/>
      </c>
      <c r="O1100" s="1">
        <f>IFERROR(__xludf.DUMMYFUNCTION("""COMPUTED_VALUE"""),"Business to Schools")</f>
        <v/>
      </c>
      <c r="P1100" s="1">
        <f>IFERROR(__xludf.DUMMYFUNCTION("""COMPUTED_VALUE"""),"Corporate Training, Lifelong learning/Adult education")</f>
        <v/>
      </c>
      <c r="Q1100" s="1">
        <f>IFERROR(__xludf.DUMMYFUNCTION("""COMPUTED_VALUE"""),"Student interfacing, System/Administrative")</f>
        <v/>
      </c>
      <c r="R1100" s="15">
        <f>IFERROR(__xludf.DUMMYFUNCTION("""COMPUTED_VALUE"""),"https://www.instagram.com/wibo.family/")</f>
        <v/>
      </c>
      <c r="S1100" s="1" t="n"/>
      <c r="T1100" s="15">
        <f>IFERROR(__xludf.DUMMYFUNCTION("""COMPUTED_VALUE"""),"https://www.linkedin.com/company/wiboapp/")</f>
        <v/>
      </c>
      <c r="U1100" s="1">
        <f>IFERROR(__xludf.DUMMYFUNCTION("""COMPUTED_VALUE"""),"Wibo Experience")</f>
        <v/>
      </c>
      <c r="V1100" s="1">
        <f>IFERROR(__xludf.DUMMYFUNCTION("""COMPUTED_VALUE"""),"Customizable, mobile-first, cohort-based learning experiences with contents from the best learning providers.")</f>
        <v/>
      </c>
      <c r="W1100" s="1" t="n"/>
      <c r="X1100" s="1" t="n"/>
      <c r="Y1100" s="15">
        <f>IFERROR(__xludf.DUMMYFUNCTION("""COMPUTED_VALUE"""),"https://drive.google.com/uc?export=view&amp;id=1OAe2L3Xn1xHCy5KMWQsykLWYXs92J1vv")</f>
        <v/>
      </c>
      <c r="Z1100" s="1">
        <f>IFERROR(__xludf.DUMMYFUNCTION("""COMPUTED_VALUE"""),"Unverified")</f>
        <v/>
      </c>
      <c r="AA1100" s="1" t="n"/>
      <c r="AB1100" s="1" t="n"/>
      <c r="AC1100" s="1" t="n"/>
      <c r="AD1100" s="1" t="n"/>
      <c r="AE1100" s="1" t="n"/>
    </row>
    <row r="1101" ht="42" customHeight="1">
      <c r="A1101" s="14">
        <f>IFERROR(__xludf.DUMMYFUNCTION("""COMPUTED_VALUE"""),45181)</f>
        <v/>
      </c>
      <c r="B1101" s="1">
        <f>IFERROR(__xludf.DUMMYFUNCTION("""COMPUTED_VALUE"""),"ORG_2545")</f>
        <v/>
      </c>
      <c r="C1101" s="1">
        <f>IFERROR(__xludf.DUMMYFUNCTION("""COMPUTED_VALUE"""),TRUE)</f>
        <v/>
      </c>
      <c r="D1101" s="1">
        <f>IFERROR(__xludf.DUMMYFUNCTION("""COMPUTED_VALUE"""),"Wonderful Education")</f>
        <v/>
      </c>
      <c r="E1101" s="15">
        <f>IFERROR(__xludf.DUMMYFUNCTION("""COMPUTED_VALUE"""),"https://www.wef.education/")</f>
        <v/>
      </c>
      <c r="F1101" s="1">
        <f>IFERROR(__xludf.DUMMYFUNCTION("""COMPUTED_VALUE"""),"We research, design, develop and accelerate technologically-rich and socially-impactful educational experiences, across a variety of formats and targets.
We employ a range of tech-centered approaches, including machine learning, NLP, educational data mini"&amp;"ng and open hardware, to generate effective learning processes on core 21st century skills. Those include language L1 learning, sustainability education, mathematical thinking and arts' education.")</f>
        <v/>
      </c>
      <c r="G1101" s="1">
        <f>IFERROR(__xludf.DUMMYFUNCTION("""COMPUTED_VALUE"""),"EdTech Italia")</f>
        <v/>
      </c>
      <c r="H1101" s="1" t="n"/>
      <c r="I1101" s="1">
        <f>IFERROR(__xludf.DUMMYFUNCTION("""COMPUTED_VALUE"""),"direzione@wef.education")</f>
        <v/>
      </c>
      <c r="J1101" s="1" t="n"/>
      <c r="K1101" s="1">
        <f>IFERROR(__xludf.DUMMYFUNCTION("""COMPUTED_VALUE"""),"Modena")</f>
        <v/>
      </c>
      <c r="L1101" s="1">
        <f>IFERROR(__xludf.DUMMYFUNCTION("""COMPUTED_VALUE"""),"Italy")</f>
        <v/>
      </c>
      <c r="M1101" s="1">
        <f>IFERROR(__xludf.DUMMYFUNCTION("""COMPUTED_VALUE"""),"Italy")</f>
        <v/>
      </c>
      <c r="N1101" s="1">
        <f>IFERROR(__xludf.DUMMYFUNCTION("""COMPUTED_VALUE"""),"11 to 50")</f>
        <v/>
      </c>
      <c r="O1101" s="1">
        <f>IFERROR(__xludf.DUMMYFUNCTION("""COMPUTED_VALUE"""),"Business to Schools")</f>
        <v/>
      </c>
      <c r="P1101" s="1">
        <f>IFERROR(__xludf.DUMMYFUNCTION("""COMPUTED_VALUE"""),"Primary Education, Secondary Education, Higher Education, Corporate Training, Lifelong learning/Adult education")</f>
        <v/>
      </c>
      <c r="Q1101" s="1">
        <f>IFERROR(__xludf.DUMMYFUNCTION("""COMPUTED_VALUE"""),"System/Administrative, Student interfacing, Teacher interfacing")</f>
        <v/>
      </c>
      <c r="R1101" s="1" t="n"/>
      <c r="S1101" s="1" t="n"/>
      <c r="T1101" s="15">
        <f>IFERROR(__xludf.DUMMYFUNCTION("""COMPUTED_VALUE"""),"https://it.linkedin.com/company/wonderfuleducation")</f>
        <v/>
      </c>
      <c r="U1101" s="1">
        <f>IFERROR(__xludf.DUMMYFUNCTION("""COMPUTED_VALUE"""),"LINDA")</f>
        <v/>
      </c>
      <c r="V1101" s="1">
        <f>IFERROR(__xludf.DUMMYFUNCTION("""COMPUTED_VALUE"""),"LINDA is a digital platform designed to improve language L1 skills for lower and upper secondary school students and to offer automated linguistic and pedagogic support to language L1 and civic education teachers.
It is designed around state-of-the-art co"&amp;"gnitive linguistics research rooted in NLP/NLU models based on open source computational linguistics AI, aligned to state-of-the-art pedagogical research on language L1 didactics.")</f>
        <v/>
      </c>
      <c r="W1101" s="1">
        <f>IFERROR(__xludf.DUMMYFUNCTION("""COMPUTED_VALUE"""),"Pinxit: Augmented Arts")</f>
        <v/>
      </c>
      <c r="X1101" s="1">
        <f>IFERROR(__xludf.DUMMYFUNCTION("""COMPUTED_VALUE"""),"Pinxit is a digitally-augmented experience for enhancing and innovating arts education.
It is based on: a digital platform allowing users to interact with Gigapixed HD arts images (powered by HaltaDefinizione) through a set of interactive tools; a new STE"&amp;"AM methodology rooted in an innovative learning scenario bank; a 3d printed HD replica of famous paintings.")</f>
        <v/>
      </c>
      <c r="Y1101" s="15">
        <f>IFERROR(__xludf.DUMMYFUNCTION("""COMPUTED_VALUE"""),"https://drive.google.com/uc?export=view&amp;id=1u_ilA_MMlH_8XOOoUrxXAxw81xb5AfUv")</f>
        <v/>
      </c>
      <c r="Z1101" s="1">
        <f>IFERROR(__xludf.DUMMYFUNCTION("""COMPUTED_VALUE"""),"Unverified")</f>
        <v/>
      </c>
      <c r="AA1101" s="1" t="n"/>
      <c r="AB1101" s="1" t="n"/>
      <c r="AC1101" s="1" t="n"/>
      <c r="AD1101" s="1" t="n"/>
      <c r="AE1101" s="1" t="n"/>
    </row>
    <row r="1102" ht="42" customHeight="1">
      <c r="A1102" s="14">
        <f>IFERROR(__xludf.DUMMYFUNCTION("""COMPUTED_VALUE"""),45181)</f>
        <v/>
      </c>
      <c r="B1102" s="1">
        <f>IFERROR(__xludf.DUMMYFUNCTION("""COMPUTED_VALUE"""),"ORG_2558")</f>
        <v/>
      </c>
      <c r="C1102" s="1">
        <f>IFERROR(__xludf.DUMMYFUNCTION("""COMPUTED_VALUE"""),TRUE)</f>
        <v/>
      </c>
      <c r="D1102" s="1">
        <f>IFERROR(__xludf.DUMMYFUNCTION("""COMPUTED_VALUE"""),"XIMDEX")</f>
        <v/>
      </c>
      <c r="E1102" s="15">
        <f>IFERROR(__xludf.DUMMYFUNCTION("""COMPUTED_VALUE"""),"https://www.ximdex.com")</f>
        <v/>
      </c>
      <c r="F1102" s="1">
        <f>IFERROR(__xludf.DUMMYFUNCTION("""COMPUTED_VALUE"""),"The Ximdex Platform provides tools for simultaneous management of data and content through services such as intelligent search engines, concept recommendation, information aggregators, editors, image and text recognition, analysis and visualization.
In t"&amp;"he educational arena we have developed a mobile oriented LMS with offline mode (XEDU), an activity and assessment service (XEVAL) and a transformer of Adobe indesign and MS word documents into scorm.")</f>
        <v/>
      </c>
      <c r="G1102" s="1">
        <f>IFERROR(__xludf.DUMMYFUNCTION("""COMPUTED_VALUE"""),"I'm not part of any EdTech association")</f>
        <v/>
      </c>
      <c r="H1102" s="1">
        <f>IFERROR(__xludf.DUMMYFUNCTION("""COMPUTED_VALUE"""),"English, Spanish")</f>
        <v/>
      </c>
      <c r="I1102" s="1">
        <f>IFERROR(__xludf.DUMMYFUNCTION("""COMPUTED_VALUE"""),"info@ximdex.com")</f>
        <v/>
      </c>
      <c r="J1102" s="1">
        <f>IFERROR(__xludf.DUMMYFUNCTION("""COMPUTED_VALUE"""),"+34 954903113")</f>
        <v/>
      </c>
      <c r="K1102" s="1">
        <f>IFERROR(__xludf.DUMMYFUNCTION("""COMPUTED_VALUE"""),"SEVILLA")</f>
        <v/>
      </c>
      <c r="L1102" s="1">
        <f>IFERROR(__xludf.DUMMYFUNCTION("""COMPUTED_VALUE"""),"Spain")</f>
        <v/>
      </c>
      <c r="M1102" s="1">
        <f>IFERROR(__xludf.DUMMYFUNCTION("""COMPUTED_VALUE"""),"Spain")</f>
        <v/>
      </c>
      <c r="N1102" s="1">
        <f>IFERROR(__xludf.DUMMYFUNCTION("""COMPUTED_VALUE"""),"11 to 50")</f>
        <v/>
      </c>
      <c r="O1102" s="1">
        <f>IFERROR(__xludf.DUMMYFUNCTION("""COMPUTED_VALUE"""),"Business to Schools")</f>
        <v/>
      </c>
      <c r="P1102" s="1">
        <f>IFERROR(__xludf.DUMMYFUNCTION("""COMPUTED_VALUE"""),"Early childhood development (0-5 years), Primary Education, Secondary Education, Corporate Training, Lifelong learning/Adult education, Vocational Education and Training (VET), Higher Education")</f>
        <v/>
      </c>
      <c r="Q1102" s="1">
        <f>IFERROR(__xludf.DUMMYFUNCTION("""COMPUTED_VALUE"""),"System/Administrative")</f>
        <v/>
      </c>
      <c r="R1102" s="1" t="n"/>
      <c r="S1102" s="15">
        <f>IFERROR(__xludf.DUMMYFUNCTION("""COMPUTED_VALUE"""),"https://twitter.com/ximdex")</f>
        <v/>
      </c>
      <c r="T1102" s="15">
        <f>IFERROR(__xludf.DUMMYFUNCTION("""COMPUTED_VALUE"""),"https://www.linkedin.com/company/ximdex")</f>
        <v/>
      </c>
      <c r="U1102" s="1">
        <f>IFERROR(__xludf.DUMMYFUNCTION("""COMPUTED_VALUE"""),"XEDU")</f>
        <v/>
      </c>
      <c r="V1102" s="1">
        <f>IFERROR(__xludf.DUMMYFUNCTION("""COMPUTED_VALUE"""),"Omnichannel LMS with offline capabilities in the mobile version. It includes Editors, APP, Web, user management, WhatsApp style messaging, catalogue of resources and courses, gallery of courses, multi-language, etc.")</f>
        <v/>
      </c>
      <c r="W1102" s="1">
        <f>IFERROR(__xludf.DUMMYFUNCTION("""COMPUTED_VALUE"""),"INDESIGN SCORM generator")</f>
        <v/>
      </c>
      <c r="X1102" s="1">
        <f>IFERROR(__xludf.DUMMYFUNCTION("""COMPUTED_VALUE"""),"Generator of SCORM from Indesign files.")</f>
        <v/>
      </c>
      <c r="Y1102" s="15">
        <f>IFERROR(__xludf.DUMMYFUNCTION("""COMPUTED_VALUE"""),"https://drive.google.com/uc?export=view&amp;id=1YS76ueaqGBQVwjri4R2Mxg-nC6fNm3Ey")</f>
        <v/>
      </c>
      <c r="Z1102" s="1">
        <f>IFERROR(__xludf.DUMMYFUNCTION("""COMPUTED_VALUE"""),"Unverified")</f>
        <v/>
      </c>
      <c r="AA1102" s="1" t="n"/>
      <c r="AB1102" s="1" t="n"/>
      <c r="AC1102" s="1" t="n"/>
      <c r="AD1102" s="1" t="n"/>
      <c r="AE1102" s="1" t="n"/>
    </row>
    <row r="1103" ht="42" customHeight="1">
      <c r="A1103" s="14">
        <f>IFERROR(__xludf.DUMMYFUNCTION("""COMPUTED_VALUE"""),45181)</f>
        <v/>
      </c>
      <c r="B1103" s="1">
        <f>IFERROR(__xludf.DUMMYFUNCTION("""COMPUTED_VALUE"""),"ORG_2560")</f>
        <v/>
      </c>
      <c r="C1103" s="1">
        <f>IFERROR(__xludf.DUMMYFUNCTION("""COMPUTED_VALUE"""),TRUE)</f>
        <v/>
      </c>
      <c r="D1103" s="1">
        <f>IFERROR(__xludf.DUMMYFUNCTION("""COMPUTED_VALUE"""),"XRCONSOLE")</f>
        <v/>
      </c>
      <c r="E1103" s="15">
        <f>IFERROR(__xludf.DUMMYFUNCTION("""COMPUTED_VALUE"""),"www.xrconsole.net")</f>
        <v/>
      </c>
      <c r="F1103" s="1">
        <f>IFERROR(__xludf.DUMMYFUNCTION("""COMPUTED_VALUE"""),"XRCONSOLE develops immersive learning and training concepts for companies and educational institutions. With the synergy of innovative training methodology and state of the art virtual reality, we are reshaping the future of training.")</f>
        <v/>
      </c>
      <c r="G1103" s="1">
        <f>IFERROR(__xludf.DUMMYFUNCTION("""COMPUTED_VALUE"""),"EdTech Austria")</f>
        <v/>
      </c>
      <c r="H1103" s="1" t="n"/>
      <c r="I1103" s="1">
        <f>IFERROR(__xludf.DUMMYFUNCTION("""COMPUTED_VALUE"""),"austria@xrconsole.net")</f>
        <v/>
      </c>
      <c r="J1103" s="1" t="n"/>
      <c r="K1103" s="1">
        <f>IFERROR(__xludf.DUMMYFUNCTION("""COMPUTED_VALUE"""),"GRAZ")</f>
        <v/>
      </c>
      <c r="L1103" s="1">
        <f>IFERROR(__xludf.DUMMYFUNCTION("""COMPUTED_VALUE"""),"Austria")</f>
        <v/>
      </c>
      <c r="M1103" s="1">
        <f>IFERROR(__xludf.DUMMYFUNCTION("""COMPUTED_VALUE"""),"Austria, Germany, Switzerland")</f>
        <v/>
      </c>
      <c r="N1103" s="1">
        <f>IFERROR(__xludf.DUMMYFUNCTION("""COMPUTED_VALUE"""),"0 to 10")</f>
        <v/>
      </c>
      <c r="O1103" s="1">
        <f>IFERROR(__xludf.DUMMYFUNCTION("""COMPUTED_VALUE"""),"Business to Schools")</f>
        <v/>
      </c>
      <c r="P1103" s="1">
        <f>IFERROR(__xludf.DUMMYFUNCTION("""COMPUTED_VALUE"""),"Corporate Training")</f>
        <v/>
      </c>
      <c r="Q1103" s="1">
        <f>IFERROR(__xludf.DUMMYFUNCTION("""COMPUTED_VALUE"""),"Student interfacing, Teacher interfacing, System/Administrative")</f>
        <v/>
      </c>
      <c r="R1103" s="1" t="n"/>
      <c r="S1103" s="1" t="n"/>
      <c r="T1103" s="15">
        <f>IFERROR(__xludf.DUMMYFUNCTION("""COMPUTED_VALUE"""),"https://www.linkedin.com/company/xrconsole")</f>
        <v/>
      </c>
      <c r="U1103" s="1">
        <f>IFERROR(__xludf.DUMMYFUNCTION("""COMPUTED_VALUE"""),"Holistic immersive learning and training concepts")</f>
        <v/>
      </c>
      <c r="V1103" s="1">
        <f>IFERROR(__xludf.DUMMYFUNCTION("""COMPUTED_VALUE"""),"The focus is on experience-based training. Learning content is experienced instead of just being read or heard. In the virtual training world, people perform interaction actions just as they do in the real world, activating the same psychological and phys"&amp;"iological areas of the brain. Training using XR technology leads to real and measurable performance and contributes significantly to more effective and efficient learning outcomes.")</f>
        <v/>
      </c>
      <c r="W1103" s="1" t="n"/>
      <c r="X1103" s="1" t="n"/>
      <c r="Y1103" s="15">
        <f>IFERROR(__xludf.DUMMYFUNCTION("""COMPUTED_VALUE"""),"https://drive.google.com/uc?export=view&amp;id=1FNlObN3rntGIE_wLr9hXRWcjDrhrHak2")</f>
        <v/>
      </c>
      <c r="Z1103" s="1">
        <f>IFERROR(__xludf.DUMMYFUNCTION("""COMPUTED_VALUE"""),"Unverified")</f>
        <v/>
      </c>
      <c r="AA1103" s="1" t="n"/>
      <c r="AB1103" s="1" t="n"/>
      <c r="AC1103" s="1" t="n"/>
      <c r="AD1103" s="1" t="n"/>
      <c r="AE1103" s="1" t="n"/>
    </row>
    <row r="1104" ht="42" customHeight="1">
      <c r="A1104" s="14">
        <f>IFERROR(__xludf.DUMMYFUNCTION("""COMPUTED_VALUE"""),45181)</f>
        <v/>
      </c>
      <c r="B1104" s="1">
        <f>IFERROR(__xludf.DUMMYFUNCTION("""COMPUTED_VALUE"""),"ORG_2569")</f>
        <v/>
      </c>
      <c r="C1104" s="1">
        <f>IFERROR(__xludf.DUMMYFUNCTION("""COMPUTED_VALUE"""),TRUE)</f>
        <v/>
      </c>
      <c r="D1104" s="15">
        <f>IFERROR(__xludf.DUMMYFUNCTION("""COMPUTED_VALUE"""),"Zapiens.ai")</f>
        <v/>
      </c>
      <c r="E1104" s="15">
        <f>IFERROR(__xludf.DUMMYFUNCTION("""COMPUTED_VALUE"""),"https://zapiens.ai")</f>
        <v/>
      </c>
      <c r="F1104" s="1">
        <f>IFERROR(__xludf.DUMMYFUNCTION("""COMPUTED_VALUE"""),"Zapiens.ai is a knowledge management software. A cloud-based tool that allows remote training, manage recruitment and onboarding processes and share the organization's internal knowledge.")</f>
        <v/>
      </c>
      <c r="G1104" s="1">
        <f>IFERROR(__xludf.DUMMYFUNCTION("""COMPUTED_VALUE"""),"I'm not part of any EdTech association")</f>
        <v/>
      </c>
      <c r="H1104" s="1" t="n"/>
      <c r="I1104" s="1">
        <f>IFERROR(__xludf.DUMMYFUNCTION("""COMPUTED_VALUE"""),"olaya@zapiens.ai")</f>
        <v/>
      </c>
      <c r="J1104" s="1" t="n"/>
      <c r="K1104" s="1">
        <f>IFERROR(__xludf.DUMMYFUNCTION("""COMPUTED_VALUE"""),"GIJON")</f>
        <v/>
      </c>
      <c r="L1104" s="1">
        <f>IFERROR(__xludf.DUMMYFUNCTION("""COMPUTED_VALUE"""),"Spain")</f>
        <v/>
      </c>
      <c r="M1104" s="1">
        <f>IFERROR(__xludf.DUMMYFUNCTION("""COMPUTED_VALUE"""),"Spain")</f>
        <v/>
      </c>
      <c r="N1104" s="1">
        <f>IFERROR(__xludf.DUMMYFUNCTION("""COMPUTED_VALUE"""),"0 to 10")</f>
        <v/>
      </c>
      <c r="O1104" s="1">
        <f>IFERROR(__xludf.DUMMYFUNCTION("""COMPUTED_VALUE"""),"Business to Business")</f>
        <v/>
      </c>
      <c r="P1104" s="1">
        <f>IFERROR(__xludf.DUMMYFUNCTION("""COMPUTED_VALUE"""),"Primary Education, Corporate Training, Lifelong learning/Adult education")</f>
        <v/>
      </c>
      <c r="Q1104" s="1">
        <f>IFERROR(__xludf.DUMMYFUNCTION("""COMPUTED_VALUE"""),"Student interfacing, Teacher interfacing, System/Administrative")</f>
        <v/>
      </c>
      <c r="R1104" s="1" t="n"/>
      <c r="S1104" s="1" t="n"/>
      <c r="T1104" s="1" t="n"/>
      <c r="U1104" s="1" t="n"/>
      <c r="V1104" s="1" t="n"/>
      <c r="W1104" s="1" t="n"/>
      <c r="X1104" s="1" t="n"/>
      <c r="Y1104" s="15">
        <f>IFERROR(__xludf.DUMMYFUNCTION("""COMPUTED_VALUE"""),"https://drive.google.com/uc?export=view&amp;id=1Jug6aKOywa74jh867TJJ3qNGBYzluz7Z")</f>
        <v/>
      </c>
      <c r="Z1104" s="1">
        <f>IFERROR(__xludf.DUMMYFUNCTION("""COMPUTED_VALUE"""),"Unverified")</f>
        <v/>
      </c>
      <c r="AA1104" s="1" t="n"/>
      <c r="AB1104" s="1" t="n"/>
      <c r="AC1104" s="1" t="n"/>
      <c r="AD1104" s="1" t="n"/>
      <c r="AE1104" s="1" t="n"/>
    </row>
    <row r="1105" ht="42" customHeight="1">
      <c r="A1105" s="14">
        <f>IFERROR(__xludf.DUMMYFUNCTION("""COMPUTED_VALUE"""),45181)</f>
        <v/>
      </c>
      <c r="B1105" s="1">
        <f>IFERROR(__xludf.DUMMYFUNCTION("""COMPUTED_VALUE"""),"ORG_1014")</f>
        <v/>
      </c>
      <c r="C1105" s="1">
        <f>IFERROR(__xludf.DUMMYFUNCTION("""COMPUTED_VALUE"""),TRUE)</f>
        <v/>
      </c>
      <c r="D1105" s="1">
        <f>IFERROR(__xludf.DUMMYFUNCTION("""COMPUTED_VALUE"""),"4INDATA")</f>
        <v/>
      </c>
      <c r="E1105" s="15">
        <f>IFERROR(__xludf.DUMMYFUNCTION("""COMPUTED_VALUE"""),"https://4indata.com/fr/")</f>
        <v/>
      </c>
      <c r="F1105" s="1">
        <f>IFERROR(__xludf.DUMMYFUNCTION("""COMPUTED_VALUE"""),"4INDATA is a Paris-based French tech startup. We have developed an application called 4INSHIELD, to protect children and teenagers against violence in cyberspace and to educate them about Internet safety. Our goal is to automate the detection of diverse c"&amp;"yber-risks, including online sexual abuse, hate speech, and harassment, in real-time to alert parents, teachers, and educators about harmful or illegal online content that young people are exposed to at home and at school.")</f>
        <v/>
      </c>
      <c r="G1105" s="1">
        <f>IFERROR(__xludf.DUMMYFUNCTION("""COMPUTED_VALUE"""),"I'm not part of any EdTech association")</f>
        <v/>
      </c>
      <c r="H1105" s="1" t="n"/>
      <c r="I1105" s="1">
        <f>IFERROR(__xludf.DUMMYFUNCTION("""COMPUTED_VALUE"""),"contact@4indata.com")</f>
        <v/>
      </c>
      <c r="J1105" s="1">
        <f>IFERROR(__xludf.DUMMYFUNCTION("""COMPUTED_VALUE"""),"+33 9 53 72 52 99")</f>
        <v/>
      </c>
      <c r="K1105" s="1">
        <f>IFERROR(__xludf.DUMMYFUNCTION("""COMPUTED_VALUE"""),"Fontenay-sous-Bois")</f>
        <v/>
      </c>
      <c r="L1105" s="1">
        <f>IFERROR(__xludf.DUMMYFUNCTION("""COMPUTED_VALUE"""),"France")</f>
        <v/>
      </c>
      <c r="M1105" s="1">
        <f>IFERROR(__xludf.DUMMYFUNCTION("""COMPUTED_VALUE"""),"France")</f>
        <v/>
      </c>
      <c r="N1105" s="1">
        <f>IFERROR(__xludf.DUMMYFUNCTION("""COMPUTED_VALUE"""),"0 to 10")</f>
        <v/>
      </c>
      <c r="O1105" s="1">
        <f>IFERROR(__xludf.DUMMYFUNCTION("""COMPUTED_VALUE"""),"Business to Business")</f>
        <v/>
      </c>
      <c r="P1105" s="1">
        <f>IFERROR(__xludf.DUMMYFUNCTION("""COMPUTED_VALUE"""),"Secondary Education, Corporate Training, Lifelong learning/Adult education")</f>
        <v/>
      </c>
      <c r="Q1105" s="1">
        <f>IFERROR(__xludf.DUMMYFUNCTION("""COMPUTED_VALUE"""),"System/Administrative, Student interfacing")</f>
        <v/>
      </c>
      <c r="R1105" s="1" t="n"/>
      <c r="S1105" s="1" t="n"/>
      <c r="T1105" s="1" t="n"/>
      <c r="U1105" s="1" t="n"/>
      <c r="V1105" s="1" t="n"/>
      <c r="W1105" s="1" t="n"/>
      <c r="X1105" s="1" t="n"/>
      <c r="Y1105" s="15">
        <f>IFERROR(__xludf.DUMMYFUNCTION("""COMPUTED_VALUE"""),"https://drive.google.com/uc?export=view&amp;id=18O4BIdudHf_Cn21RGpL2QCN0tybnoJ19")</f>
        <v/>
      </c>
      <c r="Z1105" s="1">
        <f>IFERROR(__xludf.DUMMYFUNCTION("""COMPUTED_VALUE"""),"Unverified")</f>
        <v/>
      </c>
      <c r="AA1105" s="1" t="n"/>
      <c r="AB1105" s="1" t="n"/>
      <c r="AC1105" s="1" t="n"/>
      <c r="AD1105" s="1" t="n"/>
      <c r="AE1105" s="1" t="n"/>
    </row>
    <row r="1106" ht="42" customHeight="1">
      <c r="A1106" s="14">
        <f>IFERROR(__xludf.DUMMYFUNCTION("""COMPUTED_VALUE"""),45181)</f>
        <v/>
      </c>
      <c r="B1106" s="1">
        <f>IFERROR(__xludf.DUMMYFUNCTION("""COMPUTED_VALUE"""),"ORG_1015")</f>
        <v/>
      </c>
      <c r="C1106" s="1">
        <f>IFERROR(__xludf.DUMMYFUNCTION("""COMPUTED_VALUE"""),TRUE)</f>
        <v/>
      </c>
      <c r="D1106" s="1">
        <f>IFERROR(__xludf.DUMMYFUNCTION("""COMPUTED_VALUE"""),"5miles")</f>
        <v/>
      </c>
      <c r="E1106" s="15">
        <f>IFERROR(__xludf.DUMMYFUNCTION("""COMPUTED_VALUE"""),"https://www.5miles.nl")</f>
        <v/>
      </c>
      <c r="F1106" s="1">
        <f>IFERROR(__xludf.DUMMYFUNCTION("""COMPUTED_VALUE"""),"5miles is an online learning tool where professionals can improve their data &amp; digital skills in an innovative and inspiring way – and that in just 5 minutes a day. Using our unique challenge-based method, people become better, faster and more accurate in"&amp;" the tools they use on a daily basis – like Excel, PowerPoint and Power BI.
Companies already benefiting from 5miles on a global scale include ABN AMRO, Achmea and KPMG.
Founded in 2015, the company is based in Amsterdam with a team of 15.")</f>
        <v/>
      </c>
      <c r="G1106" s="1">
        <f>IFERROR(__xludf.DUMMYFUNCTION("""COMPUTED_VALUE"""),"Dutch EdTech")</f>
        <v/>
      </c>
      <c r="H1106" s="1">
        <f>IFERROR(__xludf.DUMMYFUNCTION("""COMPUTED_VALUE"""),"English, German, Dutch, French")</f>
        <v/>
      </c>
      <c r="I1106" s="1">
        <f>IFERROR(__xludf.DUMMYFUNCTION("""COMPUTED_VALUE"""),"info@5miles.nl")</f>
        <v/>
      </c>
      <c r="J1106" s="1" t="n"/>
      <c r="K1106" s="1">
        <f>IFERROR(__xludf.DUMMYFUNCTION("""COMPUTED_VALUE"""),"Amsterdam")</f>
        <v/>
      </c>
      <c r="L1106" s="1">
        <f>IFERROR(__xludf.DUMMYFUNCTION("""COMPUTED_VALUE"""),"The Netherlands")</f>
        <v/>
      </c>
      <c r="M1106" s="1">
        <f>IFERROR(__xludf.DUMMYFUNCTION("""COMPUTED_VALUE"""),"Belgium, France, Germany, Netherlands, United Kingdom")</f>
        <v/>
      </c>
      <c r="N1106" s="1">
        <f>IFERROR(__xludf.DUMMYFUNCTION("""COMPUTED_VALUE"""),"6 to 10")</f>
        <v/>
      </c>
      <c r="O1106" s="1">
        <f>IFERROR(__xludf.DUMMYFUNCTION("""COMPUTED_VALUE"""),"Business to Business")</f>
        <v/>
      </c>
      <c r="P1106" s="1">
        <f>IFERROR(__xludf.DUMMYFUNCTION("""COMPUTED_VALUE"""),"Corporate Training, Lifelong learning/Adult education")</f>
        <v/>
      </c>
      <c r="Q1106" s="1">
        <f>IFERROR(__xludf.DUMMYFUNCTION("""COMPUTED_VALUE"""),"System/Administrative")</f>
        <v/>
      </c>
      <c r="R1106" s="15">
        <f>IFERROR(__xludf.DUMMYFUNCTION("""COMPUTED_VALUE"""),"https://www.instagram.com/5mileshq/")</f>
        <v/>
      </c>
      <c r="S1106" s="15">
        <f>IFERROR(__xludf.DUMMYFUNCTION("""COMPUTED_VALUE"""),"https://twitter.com/5milesHQ/")</f>
        <v/>
      </c>
      <c r="T1106" s="15">
        <f>IFERROR(__xludf.DUMMYFUNCTION("""COMPUTED_VALUE"""),"https://www.linkedin.com/company/5miles/")</f>
        <v/>
      </c>
      <c r="U1106" s="1">
        <f>IFERROR(__xludf.DUMMYFUNCTION("""COMPUTED_VALUE"""),"5miles online learning tool")</f>
        <v/>
      </c>
      <c r="V1106" s="1">
        <f>IFERROR(__xludf.DUMMYFUNCTION("""COMPUTED_VALUE"""),"Using a micro-learning approach, 5miles enables busy professionals to learn something new every day in just 5 minutes - giving them the insights they need to work smarter.
In particular, 5miles is a great match for professionals in the finance, consultin"&amp;"g and insurance sectors. Companies where data and analytical skills are very important, influencing the quality of decision making and productivity. 
5miles started by offering courses in Microsoft Excel, VBA and PowerPoint, and recently added its first "&amp;"Outlook, Power BI and Teams modules. We continue to grow our training offering to meet the expanding needs of today and tomorrow’s workforce.")</f>
        <v/>
      </c>
      <c r="W1106" s="1" t="n"/>
      <c r="X1106" s="1" t="n"/>
      <c r="Y1106" s="15">
        <f>IFERROR(__xludf.DUMMYFUNCTION("""COMPUTED_VALUE"""),"https://drive.google.com/uc?export=view&amp;id=1InudfeaVxj--tjRsSJE3W4hhdKVrU1ps")</f>
        <v/>
      </c>
      <c r="Z1106" s="1">
        <f>IFERROR(__xludf.DUMMYFUNCTION("""COMPUTED_VALUE"""),"Unverified")</f>
        <v/>
      </c>
      <c r="AA1106" s="1" t="n"/>
      <c r="AB1106" s="1" t="n"/>
      <c r="AC1106" s="1" t="n"/>
      <c r="AD1106" s="1" t="n"/>
      <c r="AE1106" s="1" t="n"/>
    </row>
    <row r="1107" ht="42" customHeight="1">
      <c r="A1107" s="14">
        <f>IFERROR(__xludf.DUMMYFUNCTION("""COMPUTED_VALUE"""),45181)</f>
        <v/>
      </c>
      <c r="B1107" s="1">
        <f>IFERROR(__xludf.DUMMYFUNCTION("""COMPUTED_VALUE"""),"ORG_1050")</f>
        <v/>
      </c>
      <c r="C1107" s="1">
        <f>IFERROR(__xludf.DUMMYFUNCTION("""COMPUTED_VALUE"""),TRUE)</f>
        <v/>
      </c>
      <c r="D1107" s="1">
        <f>IFERROR(__xludf.DUMMYFUNCTION("""COMPUTED_VALUE"""),"Algor Education")</f>
        <v/>
      </c>
      <c r="E1107" s="15">
        <f>IFERROR(__xludf.DUMMYFUNCTION("""COMPUTED_VALUE"""),"https://www.algoreducation.com")</f>
        <v/>
      </c>
      <c r="F1107" s="1">
        <f>IFERROR(__xludf.DUMMYFUNCTION("""COMPUTED_VALUE"""),"Algor Lab is an Italian startup based in Turin. Our mission is to improve students' learning through our AI tools applied on text. Our product is Algor Education, a digital platform made of several tools for making learning more stimulating, collaborative"&amp;" and inclusive, particularly for students with Specific Learning Disorders. Algor Maps is its first web application where students and educators can create, personalize and share concept and mind maps on a digital multimedia whiteboard starting from text "&amp;"documents with the help of our NLP tools for automatic synthesis and concepts extraction. Algor Lab is initially addressing B2C Italian EdTech market with a SaaS freemium model. We are incubated in I3P, we raised €180k from CDI and collaborate with Italia"&amp;"n Dyslexia Association.")</f>
        <v/>
      </c>
      <c r="G1107" s="1">
        <f>IFERROR(__xludf.DUMMYFUNCTION("""COMPUTED_VALUE"""),"EdTech Italia")</f>
        <v/>
      </c>
      <c r="H1107" s="1" t="n"/>
      <c r="I1107" s="1">
        <f>IFERROR(__xludf.DUMMYFUNCTION("""COMPUTED_VALUE"""),"info@algoreducation.com")</f>
        <v/>
      </c>
      <c r="J1107" s="1">
        <f>IFERROR(__xludf.DUMMYFUNCTION("""COMPUTED_VALUE"""),"+39 3293963512")</f>
        <v/>
      </c>
      <c r="K1107" s="1">
        <f>IFERROR(__xludf.DUMMYFUNCTION("""COMPUTED_VALUE"""),"TORINO")</f>
        <v/>
      </c>
      <c r="L1107" s="1">
        <f>IFERROR(__xludf.DUMMYFUNCTION("""COMPUTED_VALUE"""),"Italy")</f>
        <v/>
      </c>
      <c r="M1107" s="1">
        <f>IFERROR(__xludf.DUMMYFUNCTION("""COMPUTED_VALUE"""),"Italy")</f>
        <v/>
      </c>
      <c r="N1107" s="1">
        <f>IFERROR(__xludf.DUMMYFUNCTION("""COMPUTED_VALUE"""),"0 to 10")</f>
        <v/>
      </c>
      <c r="O1107" s="1">
        <f>IFERROR(__xludf.DUMMYFUNCTION("""COMPUTED_VALUE"""),"Business to Business")</f>
        <v/>
      </c>
      <c r="P1107" s="1">
        <f>IFERROR(__xludf.DUMMYFUNCTION("""COMPUTED_VALUE"""),"Primary Education, Secondary Education, Higher Education, Lifelong learning/Adult education")</f>
        <v/>
      </c>
      <c r="Q1107" s="1">
        <f>IFERROR(__xludf.DUMMYFUNCTION("""COMPUTED_VALUE"""),"Student interfacing, Teacher interfacing")</f>
        <v/>
      </c>
      <c r="R1107" s="1" t="n"/>
      <c r="S1107" s="1" t="n"/>
      <c r="T1107" s="1" t="n"/>
      <c r="U1107" s="1" t="n"/>
      <c r="V1107" s="1" t="n"/>
      <c r="W1107" s="1" t="n"/>
      <c r="X1107" s="1" t="n"/>
      <c r="Y1107" s="15">
        <f>IFERROR(__xludf.DUMMYFUNCTION("""COMPUTED_VALUE"""),"https://drive.google.com/uc?export=view&amp;id=1nCgMiupgH6gzSJbHvg0x5KpUQ_i6v3II")</f>
        <v/>
      </c>
      <c r="Z1107" s="1">
        <f>IFERROR(__xludf.DUMMYFUNCTION("""COMPUTED_VALUE"""),"Unverified")</f>
        <v/>
      </c>
      <c r="AA1107" s="1" t="n"/>
      <c r="AB1107" s="1" t="n"/>
      <c r="AC1107" s="1" t="n"/>
      <c r="AD1107" s="1" t="n"/>
      <c r="AE1107" s="1" t="n"/>
    </row>
    <row r="1108" ht="42" customHeight="1">
      <c r="A1108" s="14">
        <f>IFERROR(__xludf.DUMMYFUNCTION("""COMPUTED_VALUE"""),45181)</f>
        <v/>
      </c>
      <c r="B1108" s="1">
        <f>IFERROR(__xludf.DUMMYFUNCTION("""COMPUTED_VALUE"""),"ORG_1109")</f>
        <v/>
      </c>
      <c r="C1108" s="1">
        <f>IFERROR(__xludf.DUMMYFUNCTION("""COMPUTED_VALUE"""),TRUE)</f>
        <v/>
      </c>
      <c r="D1108" s="1">
        <f>IFERROR(__xludf.DUMMYFUNCTION("""COMPUTED_VALUE"""),"Aski Raski")</f>
        <v/>
      </c>
      <c r="E1108" s="15">
        <f>IFERROR(__xludf.DUMMYFUNCTION("""COMPUTED_VALUE"""),"https://askiraski.no/")</f>
        <v/>
      </c>
      <c r="F1108" s="1">
        <f>IFERROR(__xludf.DUMMYFUNCTION("""COMPUTED_VALUE"""),"Aski Raski is a web-based reading programme, where the students practice their ability to decode the words correctly and rapidly. Decoding is the technical part of reading and plays a major role in the students' reading experience. 
The programme can als"&amp;"o be used as a tool to practice pronunciation and spelling.")</f>
        <v/>
      </c>
      <c r="G1108" s="1">
        <f>IFERROR(__xludf.DUMMYFUNCTION("""COMPUTED_VALUE"""),"I'm not part of any EdTech association")</f>
        <v/>
      </c>
      <c r="H1108" s="1" t="n"/>
      <c r="I1108" s="1">
        <f>IFERROR(__xludf.DUMMYFUNCTION("""COMPUTED_VALUE"""),"askiraski@askiraski.no")</f>
        <v/>
      </c>
      <c r="J1108" s="1">
        <f>IFERROR(__xludf.DUMMYFUNCTION("""COMPUTED_VALUE"""),"+47 415 01 046")</f>
        <v/>
      </c>
      <c r="K1108" s="1">
        <f>IFERROR(__xludf.DUMMYFUNCTION("""COMPUTED_VALUE"""),"SANDNES")</f>
        <v/>
      </c>
      <c r="L1108" s="1">
        <f>IFERROR(__xludf.DUMMYFUNCTION("""COMPUTED_VALUE"""),"Norway")</f>
        <v/>
      </c>
      <c r="M1108" s="1">
        <f>IFERROR(__xludf.DUMMYFUNCTION("""COMPUTED_VALUE"""),"Norway")</f>
        <v/>
      </c>
      <c r="N1108" s="1">
        <f>IFERROR(__xludf.DUMMYFUNCTION("""COMPUTED_VALUE"""),"0 to 10")</f>
        <v/>
      </c>
      <c r="O1108" s="1">
        <f>IFERROR(__xludf.DUMMYFUNCTION("""COMPUTED_VALUE"""),"Business to Business")</f>
        <v/>
      </c>
      <c r="P1108" s="1">
        <f>IFERROR(__xludf.DUMMYFUNCTION("""COMPUTED_VALUE"""),"Early childhood development (0-5 years), Primary Education, Secondary Education, Lifelong learning/Adult education")</f>
        <v/>
      </c>
      <c r="Q1108" s="1">
        <f>IFERROR(__xludf.DUMMYFUNCTION("""COMPUTED_VALUE"""),"System/Administrative, Student interfacing, Teacher interfacing")</f>
        <v/>
      </c>
      <c r="R1108" s="15">
        <f>IFERROR(__xludf.DUMMYFUNCTION("""COMPUTED_VALUE"""),"https://www.instagram.com/askiraskinorge/")</f>
        <v/>
      </c>
      <c r="S1108" s="1" t="n"/>
      <c r="T1108" s="15">
        <f>IFERROR(__xludf.DUMMYFUNCTION("""COMPUTED_VALUE"""),"https://www.linkedin.com/company/aski-raski-as/")</f>
        <v/>
      </c>
      <c r="U1108" s="1">
        <f>IFERROR(__xludf.DUMMYFUNCTION("""COMPUTED_VALUE"""),"Aski Raski - a web-based reading programme")</f>
        <v/>
      </c>
      <c r="V1108" s="1">
        <f>IFERROR(__xludf.DUMMYFUNCTION("""COMPUTED_VALUE"""),"Aski Raski is a web-based reading programme, where the students practice their ability to decode the words correctly and rapidly. Decoding is the technical part of reading and plays a major role in the students' reading experience. 
The programme can also"&amp;" be used as a tool to practice pronunciation and spelling. 
It is a structured, cumulative, multi-sensory programme containing sound support, where the students learn through listening, finding, writing and reading a set of sentences, words, syllables an"&amp;"d graphemes.")</f>
        <v/>
      </c>
      <c r="W1108" s="1" t="n"/>
      <c r="X1108" s="1" t="n"/>
      <c r="Y1108" s="15">
        <f>IFERROR(__xludf.DUMMYFUNCTION("""COMPUTED_VALUE"""),"https://drive.google.com/uc?export=view&amp;id=12ahJ1GmDHL5RsvQf1_BueJp6zLrtwtlE")</f>
        <v/>
      </c>
      <c r="Z1108" s="1">
        <f>IFERROR(__xludf.DUMMYFUNCTION("""COMPUTED_VALUE"""),"Unverified")</f>
        <v/>
      </c>
      <c r="AA1108" s="1" t="n"/>
      <c r="AB1108" s="1" t="n"/>
      <c r="AC1108" s="1" t="n"/>
      <c r="AD1108" s="1" t="n"/>
      <c r="AE1108" s="1" t="n"/>
    </row>
    <row r="1109" ht="42" customHeight="1">
      <c r="A1109" s="14">
        <f>IFERROR(__xludf.DUMMYFUNCTION("""COMPUTED_VALUE"""),45181)</f>
        <v/>
      </c>
      <c r="B1109" s="1">
        <f>IFERROR(__xludf.DUMMYFUNCTION("""COMPUTED_VALUE"""),"ORG_1121")</f>
        <v/>
      </c>
      <c r="C1109" s="1">
        <f>IFERROR(__xludf.DUMMYFUNCTION("""COMPUTED_VALUE"""),TRUE)</f>
        <v/>
      </c>
      <c r="D1109" s="1">
        <f>IFERROR(__xludf.DUMMYFUNCTION("""COMPUTED_VALUE"""),"Au Pair BUTRFLY")</f>
        <v/>
      </c>
      <c r="E1109" s="15">
        <f>IFERROR(__xludf.DUMMYFUNCTION("""COMPUTED_VALUE"""),"https://www.aupairbutrfly.com/")</f>
        <v/>
      </c>
      <c r="F1109" s="1">
        <f>IFERROR(__xludf.DUMMYFUNCTION("""COMPUTED_VALUE"""),"ButrFly connects au pairs and families in Europe 🇪🇺, Canada 🇨🇦 and Mexico 🇲🇽.
ButrFly supports parents in their work-life balance.
ButrFly accompanies ambitious young people in their life plans.")</f>
        <v/>
      </c>
      <c r="G1109" s="1">
        <f>IFERROR(__xludf.DUMMYFUNCTION("""COMPUTED_VALUE"""),"EdTech France")</f>
        <v/>
      </c>
      <c r="H1109" s="1" t="n"/>
      <c r="I1109" s="1">
        <f>IFERROR(__xludf.DUMMYFUNCTION("""COMPUTED_VALUE"""),"contact@butrfly.com")</f>
        <v/>
      </c>
      <c r="J1109" s="1">
        <f>IFERROR(__xludf.DUMMYFUNCTION("""COMPUTED_VALUE"""),"+33540169983")</f>
        <v/>
      </c>
      <c r="K1109" s="1">
        <f>IFERROR(__xludf.DUMMYFUNCTION("""COMPUTED_VALUE"""),"BIARRITZ")</f>
        <v/>
      </c>
      <c r="L1109" s="1">
        <f>IFERROR(__xludf.DUMMYFUNCTION("""COMPUTED_VALUE"""),"France")</f>
        <v/>
      </c>
      <c r="M1109" s="1">
        <f>IFERROR(__xludf.DUMMYFUNCTION("""COMPUTED_VALUE"""),"France")</f>
        <v/>
      </c>
      <c r="N1109" s="1">
        <f>IFERROR(__xludf.DUMMYFUNCTION("""COMPUTED_VALUE"""),"0 to 10")</f>
        <v/>
      </c>
      <c r="O1109" s="1">
        <f>IFERROR(__xludf.DUMMYFUNCTION("""COMPUTED_VALUE"""),"Business to Business, Business to Consumer")</f>
        <v/>
      </c>
      <c r="P1109" s="1">
        <f>IFERROR(__xludf.DUMMYFUNCTION("""COMPUTED_VALUE"""),"Higher Education, Lifelong learning/Adult education")</f>
        <v/>
      </c>
      <c r="Q1109" s="1">
        <f>IFERROR(__xludf.DUMMYFUNCTION("""COMPUTED_VALUE"""),"System/Administrative, Student interfacing")</f>
        <v/>
      </c>
      <c r="R1109" s="1">
        <f>IFERROR(__xludf.DUMMYFUNCTION("""COMPUTED_VALUE"""),"BUTRFLY")</f>
        <v/>
      </c>
      <c r="S1109" s="1">
        <f>IFERROR(__xludf.DUMMYFUNCTION("""COMPUTED_VALUE"""),"BUTRFLY")</f>
        <v/>
      </c>
      <c r="T1109" s="1">
        <f>IFERROR(__xludf.DUMMYFUNCTION("""COMPUTED_VALUE"""),"BUTRFLY")</f>
        <v/>
      </c>
      <c r="U1109" s="1">
        <f>IFERROR(__xludf.DUMMYFUNCTION("""COMPUTED_VALUE"""),"Au Pair BUTRFLY")</f>
        <v/>
      </c>
      <c r="V1109" s="1">
        <f>IFERROR(__xludf.DUMMYFUNCTION("""COMPUTED_VALUE"""),"ButrFly connects au pairs and families in Europe 🇪🇺, Canada 🇨🇦 and Mexico 🇲🇽.
ButrFly supports parents in their work-life balance.
ButrFly accompanies bold young people in their life plans.")</f>
        <v/>
      </c>
      <c r="W1109" s="1">
        <f>IFERROR(__xludf.DUMMYFUNCTION("""COMPUTED_VALUE"""),"Life coaching BUTRFLY")</f>
        <v/>
      </c>
      <c r="X1109" s="1">
        <f>IFERROR(__xludf.DUMMYFUNCTION("""COMPUTED_VALUE"""),"ButrFly accompanies bold young people in their life plans.")</f>
        <v/>
      </c>
      <c r="Y1109" s="15">
        <f>IFERROR(__xludf.DUMMYFUNCTION("""COMPUTED_VALUE"""),"https://drive.google.com/uc?export=view&amp;id=1fl6_hsnV2PD138NPaNgJByG-KFZ1msWS")</f>
        <v/>
      </c>
      <c r="Z1109" s="1">
        <f>IFERROR(__xludf.DUMMYFUNCTION("""COMPUTED_VALUE"""),"Unverified")</f>
        <v/>
      </c>
      <c r="AA1109" s="1" t="n"/>
      <c r="AB1109" s="1" t="n"/>
      <c r="AC1109" s="1" t="n"/>
      <c r="AD1109" s="1" t="n"/>
      <c r="AE1109" s="1" t="n"/>
    </row>
    <row r="1110" ht="42" customHeight="1">
      <c r="A1110" s="14">
        <f>IFERROR(__xludf.DUMMYFUNCTION("""COMPUTED_VALUE"""),45181)</f>
        <v/>
      </c>
      <c r="B1110" s="1">
        <f>IFERROR(__xludf.DUMMYFUNCTION("""COMPUTED_VALUE"""),"ORG_1160")</f>
        <v/>
      </c>
      <c r="C1110" s="1">
        <f>IFERROR(__xludf.DUMMYFUNCTION("""COMPUTED_VALUE"""),TRUE)</f>
        <v/>
      </c>
      <c r="D1110" s="1">
        <f>IFERROR(__xludf.DUMMYFUNCTION("""COMPUTED_VALUE"""),"BEYOND THE BOX")</f>
        <v/>
      </c>
      <c r="E1110" s="15">
        <f>IFERROR(__xludf.DUMMYFUNCTION("""COMPUTED_VALUE"""),"https://beyondthebox.it")</f>
        <v/>
      </c>
      <c r="F1110" s="1">
        <f>IFERROR(__xludf.DUMMYFUNCTION("""COMPUTED_VALUE"""),"BEYOND THE BOX is the subscription-based skills platform for enterprises that harnesses the power of artificial intelligence to match the professional requests of employees with the right experts and connects them, over one-to-one video calls of 20 or 40 "&amp;"minutes, to get support for their daily challenges and learn through interaction.
We will become the first Italian EdTech company that makes accessible to all enterprises the skills they need to grow.")</f>
        <v/>
      </c>
      <c r="G1110" s="1">
        <f>IFERROR(__xludf.DUMMYFUNCTION("""COMPUTED_VALUE"""),"EdTech Italia")</f>
        <v/>
      </c>
      <c r="H1110" s="1" t="n"/>
      <c r="I1110" s="1">
        <f>IFERROR(__xludf.DUMMYFUNCTION("""COMPUTED_VALUE"""),"INFO@BEYONDTHEBOX.IT")</f>
        <v/>
      </c>
      <c r="J1110" s="1" t="n"/>
      <c r="K1110" s="1">
        <f>IFERROR(__xludf.DUMMYFUNCTION("""COMPUTED_VALUE"""),"MILAN")</f>
        <v/>
      </c>
      <c r="L1110" s="1">
        <f>IFERROR(__xludf.DUMMYFUNCTION("""COMPUTED_VALUE"""),"Italy")</f>
        <v/>
      </c>
      <c r="M1110" s="1">
        <f>IFERROR(__xludf.DUMMYFUNCTION("""COMPUTED_VALUE"""),"Italy")</f>
        <v/>
      </c>
      <c r="N1110" s="1">
        <f>IFERROR(__xludf.DUMMYFUNCTION("""COMPUTED_VALUE"""),"0 to 10")</f>
        <v/>
      </c>
      <c r="O1110" s="1">
        <f>IFERROR(__xludf.DUMMYFUNCTION("""COMPUTED_VALUE"""),"Business to Business, Business to Consumer")</f>
        <v/>
      </c>
      <c r="P1110" s="1">
        <f>IFERROR(__xludf.DUMMYFUNCTION("""COMPUTED_VALUE"""),"Corporate Training")</f>
        <v/>
      </c>
      <c r="Q1110" s="1">
        <f>IFERROR(__xludf.DUMMYFUNCTION("""COMPUTED_VALUE"""),"System/Administrative")</f>
        <v/>
      </c>
      <c r="R1110" s="15">
        <f>IFERROR(__xludf.DUMMYFUNCTION("""COMPUTED_VALUE"""),"https://www.instagram.com/_beyondthebox_/")</f>
        <v/>
      </c>
      <c r="S1110" s="1" t="n"/>
      <c r="T1110" s="15">
        <f>IFERROR(__xludf.DUMMYFUNCTION("""COMPUTED_VALUE"""),"https://www.linkedin.com/company/sharingcompetencies/?viewAsMember=true")</f>
        <v/>
      </c>
      <c r="U1110" s="1">
        <f>IFERROR(__xludf.DUMMYFUNCTION("""COMPUTED_VALUE"""),"/BeyondTheBox")</f>
        <v/>
      </c>
      <c r="V1110" s="1">
        <f>IFERROR(__xludf.DUMMYFUNCTION("""COMPUTED_VALUE"""),"/BeyondTheBox is a web-based platform for employees: they get 360° support and practical advice easily and worry-free with one subscription that gives them access to unlimited sessions with thousands of experts.
How it works:
1) Employees simply type thei"&amp;"r requests
2) Our AI matches the request with the skills of our experts
3) Employees book a 20/40 min meeting
4) They meet in 1:1 video call on the platform")</f>
        <v/>
      </c>
      <c r="W1110" s="1" t="n"/>
      <c r="X1110" s="1" t="n"/>
      <c r="Y1110" s="15">
        <f>IFERROR(__xludf.DUMMYFUNCTION("""COMPUTED_VALUE"""),"https://drive.google.com/uc?export=view&amp;id=1eAOStAsEFJzYvdYASrhiWfIeSKuj4Vp-")</f>
        <v/>
      </c>
      <c r="Z1110" s="1">
        <f>IFERROR(__xludf.DUMMYFUNCTION("""COMPUTED_VALUE"""),"Unverified")</f>
        <v/>
      </c>
      <c r="AA1110" s="1" t="n"/>
      <c r="AB1110" s="1" t="n"/>
      <c r="AC1110" s="1" t="n"/>
      <c r="AD1110" s="1" t="n"/>
      <c r="AE1110" s="1" t="n"/>
    </row>
    <row r="1111" ht="42" customHeight="1">
      <c r="A1111" s="14">
        <f>IFERROR(__xludf.DUMMYFUNCTION("""COMPUTED_VALUE"""),45181)</f>
        <v/>
      </c>
      <c r="B1111" s="1">
        <f>IFERROR(__xludf.DUMMYFUNCTION("""COMPUTED_VALUE"""),"ORG_1183")</f>
        <v/>
      </c>
      <c r="C1111" s="1">
        <f>IFERROR(__xludf.DUMMYFUNCTION("""COMPUTED_VALUE"""),TRUE)</f>
        <v/>
      </c>
      <c r="D1111" s="1">
        <f>IFERROR(__xludf.DUMMYFUNCTION("""COMPUTED_VALUE"""),"Boksnok")</f>
        <v/>
      </c>
      <c r="E1111" s="15">
        <f>IFERROR(__xludf.DUMMYFUNCTION("""COMPUTED_VALUE"""),"https://boksnok.de")</f>
        <v/>
      </c>
      <c r="F1111" s="1">
        <f>IFERROR(__xludf.DUMMYFUNCTION("""COMPUTED_VALUE"""),"Boksnok is the app that awakens the children's desire to read in a digital world. With captivating stories and innovative technology, our kids' books app creates a more enjoyable reading experience and inspires a life as a reader. Together with the best p"&amp;"ublishers, authors and creators, Boksnok offers unlimited access to a magical world with thousands of engaging titles, from new hits to old classics.")</f>
        <v/>
      </c>
      <c r="G1111" s="1">
        <f>IFERROR(__xludf.DUMMYFUNCTION("""COMPUTED_VALUE"""),"I'm not part of any EdTech association")</f>
        <v/>
      </c>
      <c r="H1111" s="1" t="n"/>
      <c r="I1111" s="1">
        <f>IFERROR(__xludf.DUMMYFUNCTION("""COMPUTED_VALUE"""),"monica@boksnok.se")</f>
        <v/>
      </c>
      <c r="J1111" s="1">
        <f>IFERROR(__xludf.DUMMYFUNCTION("""COMPUTED_VALUE"""),"+46706837616")</f>
        <v/>
      </c>
      <c r="K1111" s="1">
        <f>IFERROR(__xludf.DUMMYFUNCTION("""COMPUTED_VALUE"""),"MEDBORGARPLATSEN 25")</f>
        <v/>
      </c>
      <c r="L1111" s="1">
        <f>IFERROR(__xludf.DUMMYFUNCTION("""COMPUTED_VALUE"""),"Sweden")</f>
        <v/>
      </c>
      <c r="M1111" s="1">
        <f>IFERROR(__xludf.DUMMYFUNCTION("""COMPUTED_VALUE"""),"Austria, Germany, Sweden, Switzerland")</f>
        <v/>
      </c>
      <c r="N1111" s="1">
        <f>IFERROR(__xludf.DUMMYFUNCTION("""COMPUTED_VALUE"""),"0 to 10")</f>
        <v/>
      </c>
      <c r="O1111" s="1">
        <f>IFERROR(__xludf.DUMMYFUNCTION("""COMPUTED_VALUE"""),"Business to Business, Business to Consumer")</f>
        <v/>
      </c>
      <c r="P1111" s="1">
        <f>IFERROR(__xludf.DUMMYFUNCTION("""COMPUTED_VALUE"""),"Early childhood development (0-5 years)")</f>
        <v/>
      </c>
      <c r="Q1111" s="1">
        <f>IFERROR(__xludf.DUMMYFUNCTION("""COMPUTED_VALUE"""),"System/Administrative, Student interfacing")</f>
        <v/>
      </c>
      <c r="R1111" s="1" t="n"/>
      <c r="S1111" s="1" t="n"/>
      <c r="T1111" s="1" t="n"/>
      <c r="U1111" s="1" t="n"/>
      <c r="V1111" s="1" t="n"/>
      <c r="W1111" s="1" t="n"/>
      <c r="X1111" s="1" t="n"/>
      <c r="Y1111" s="15">
        <f>IFERROR(__xludf.DUMMYFUNCTION("""COMPUTED_VALUE"""),"https://drive.google.com/uc?export=view&amp;id=1ciBeCVvmEgHTxhdW7i2O7KVetsC79GxP")</f>
        <v/>
      </c>
      <c r="Z1111" s="1">
        <f>IFERROR(__xludf.DUMMYFUNCTION("""COMPUTED_VALUE"""),"Unverified")</f>
        <v/>
      </c>
      <c r="AA1111" s="1" t="n"/>
      <c r="AB1111" s="1" t="n"/>
      <c r="AC1111" s="1" t="n"/>
      <c r="AD1111" s="1" t="n"/>
      <c r="AE1111" s="1" t="n"/>
    </row>
    <row r="1112" ht="42" customHeight="1">
      <c r="A1112" s="14">
        <f>IFERROR(__xludf.DUMMYFUNCTION("""COMPUTED_VALUE"""),45181)</f>
        <v/>
      </c>
      <c r="B1112" s="1">
        <f>IFERROR(__xludf.DUMMYFUNCTION("""COMPUTED_VALUE"""),"ORG_1185")</f>
        <v/>
      </c>
      <c r="C1112" s="1">
        <f>IFERROR(__xludf.DUMMYFUNCTION("""COMPUTED_VALUE"""),TRUE)</f>
        <v/>
      </c>
      <c r="D1112" s="1">
        <f>IFERROR(__xludf.DUMMYFUNCTION("""COMPUTED_VALUE"""),"BOOKR Kids")</f>
        <v/>
      </c>
      <c r="E1112" s="15">
        <f>IFERROR(__xludf.DUMMYFUNCTION("""COMPUTED_VALUE"""),"Corp.bookrkids.com")</f>
        <v/>
      </c>
      <c r="F1112" s="1">
        <f>IFERROR(__xludf.DUMMYFUNCTION("""COMPUTED_VALUE"""),"BOOKR is an industry-leading publisher, pioneering interactive reading-based edutainment tools to help children foster native and/or second language skills.
BOOKR is best known about it's award winning ESL/EFL product: BOOKR Class.")</f>
        <v/>
      </c>
      <c r="G1112" s="1">
        <f>IFERROR(__xludf.DUMMYFUNCTION("""COMPUTED_VALUE"""),"I'm not part of any EdTech association")</f>
        <v/>
      </c>
      <c r="H1112" s="1" t="n"/>
      <c r="I1112" s="1">
        <f>IFERROR(__xludf.DUMMYFUNCTION("""COMPUTED_VALUE"""),"info@bookrkids.com")</f>
        <v/>
      </c>
      <c r="J1112" s="1">
        <f>IFERROR(__xludf.DUMMYFUNCTION("""COMPUTED_VALUE"""),"+36305378582")</f>
        <v/>
      </c>
      <c r="K1112" s="1">
        <f>IFERROR(__xludf.DUMMYFUNCTION("""COMPUTED_VALUE"""),"BUDAPEST")</f>
        <v/>
      </c>
      <c r="L1112" s="1">
        <f>IFERROR(__xludf.DUMMYFUNCTION("""COMPUTED_VALUE"""),"Hungary")</f>
        <v/>
      </c>
      <c r="M1112" s="1">
        <f>IFERROR(__xludf.DUMMYFUNCTION("""COMPUTED_VALUE"""),"Germany, Greece, Hungary, Turkey, United Kingdom")</f>
        <v/>
      </c>
      <c r="N1112" s="1">
        <f>IFERROR(__xludf.DUMMYFUNCTION("""COMPUTED_VALUE"""),"11 to 50")</f>
        <v/>
      </c>
      <c r="O1112" s="1">
        <f>IFERROR(__xludf.DUMMYFUNCTION("""COMPUTED_VALUE"""),"Business to Business, Business to Consumer")</f>
        <v/>
      </c>
      <c r="P1112" s="1">
        <f>IFERROR(__xludf.DUMMYFUNCTION("""COMPUTED_VALUE"""),"Primary Education")</f>
        <v/>
      </c>
      <c r="Q1112" s="1">
        <f>IFERROR(__xludf.DUMMYFUNCTION("""COMPUTED_VALUE"""),"Student interfacing, Teacher interfacing")</f>
        <v/>
      </c>
      <c r="R1112" s="1" t="n"/>
      <c r="S1112" s="1" t="n"/>
      <c r="T1112" s="1" t="n"/>
      <c r="U1112" s="1" t="n"/>
      <c r="V1112" s="1" t="n"/>
      <c r="W1112" s="1" t="n"/>
      <c r="X1112" s="1" t="n"/>
      <c r="Y1112" s="15">
        <f>IFERROR(__xludf.DUMMYFUNCTION("""COMPUTED_VALUE"""),"https://drive.google.com/uc?export=view&amp;id=1zlDBPLKYwmzyt1x9u41pDB6JqNpoLTqR")</f>
        <v/>
      </c>
      <c r="Z1112" s="1">
        <f>IFERROR(__xludf.DUMMYFUNCTION("""COMPUTED_VALUE"""),"Unverified")</f>
        <v/>
      </c>
      <c r="AA1112" s="1" t="n"/>
      <c r="AB1112" s="1" t="n"/>
      <c r="AC1112" s="1" t="n"/>
      <c r="AD1112" s="1" t="n"/>
      <c r="AE1112" s="1" t="n"/>
    </row>
    <row r="1113" ht="42" customHeight="1">
      <c r="A1113" s="14">
        <f>IFERROR(__xludf.DUMMYFUNCTION("""COMPUTED_VALUE"""),45181)</f>
        <v/>
      </c>
      <c r="B1113" s="1">
        <f>IFERROR(__xludf.DUMMYFUNCTION("""COMPUTED_VALUE"""),"ORG_1242")</f>
        <v/>
      </c>
      <c r="C1113" s="1">
        <f>IFERROR(__xludf.DUMMYFUNCTION("""COMPUTED_VALUE"""),TRUE)</f>
        <v/>
      </c>
      <c r="D1113" s="1">
        <f>IFERROR(__xludf.DUMMYFUNCTION("""COMPUTED_VALUE"""),"Clanbeat")</f>
        <v/>
      </c>
      <c r="E1113" s="15">
        <f>IFERROR(__xludf.DUMMYFUNCTION("""COMPUTED_VALUE"""),"https://clanbeat.com/")</f>
        <v/>
      </c>
      <c r="F1113" s="1">
        <f>IFERROR(__xludf.DUMMYFUNCTION("""COMPUTED_VALUE"""),"Clanbeat is a student's wellbeing solution with social learners communities.")</f>
        <v/>
      </c>
      <c r="G1113" s="1">
        <f>IFERROR(__xludf.DUMMYFUNCTION("""COMPUTED_VALUE"""),"EdTech Estonia")</f>
        <v/>
      </c>
      <c r="H1113" s="1" t="n"/>
      <c r="I1113" s="1">
        <f>IFERROR(__xludf.DUMMYFUNCTION("""COMPUTED_VALUE"""),"hello@clanbeat.com")</f>
        <v/>
      </c>
      <c r="J1113" s="1" t="n"/>
      <c r="K1113" s="1">
        <f>IFERROR(__xludf.DUMMYFUNCTION("""COMPUTED_VALUE"""),"Tallinn")</f>
        <v/>
      </c>
      <c r="L1113" s="1">
        <f>IFERROR(__xludf.DUMMYFUNCTION("""COMPUTED_VALUE"""),"Estonia")</f>
        <v/>
      </c>
      <c r="M1113" s="1">
        <f>IFERROR(__xludf.DUMMYFUNCTION("""COMPUTED_VALUE"""),"Estonia, Finland, France, Georgia, Germany, Netherlands, Spain, Sweden, Turkey, United Kingdom")</f>
        <v/>
      </c>
      <c r="N1113" s="1">
        <f>IFERROR(__xludf.DUMMYFUNCTION("""COMPUTED_VALUE"""),"0 to 10")</f>
        <v/>
      </c>
      <c r="O1113" s="1">
        <f>IFERROR(__xludf.DUMMYFUNCTION("""COMPUTED_VALUE"""),"Business to Business, Business to Consumer")</f>
        <v/>
      </c>
      <c r="P1113" s="1">
        <f>IFERROR(__xludf.DUMMYFUNCTION("""COMPUTED_VALUE"""),"Secondary Education, Higher Education")</f>
        <v/>
      </c>
      <c r="Q1113" s="1">
        <f>IFERROR(__xludf.DUMMYFUNCTION("""COMPUTED_VALUE"""),"Student interfacing, Teacher interfacing")</f>
        <v/>
      </c>
      <c r="R1113" s="15">
        <f>IFERROR(__xludf.DUMMYFUNCTION("""COMPUTED_VALUE"""),"https://instagram.com/clanbeat")</f>
        <v/>
      </c>
      <c r="S1113" s="15">
        <f>IFERROR(__xludf.DUMMYFUNCTION("""COMPUTED_VALUE"""),"https://twitter.com/ClanbeatApp")</f>
        <v/>
      </c>
      <c r="T1113" s="15">
        <f>IFERROR(__xludf.DUMMYFUNCTION("""COMPUTED_VALUE"""),"https://www.linkedin.com/company/clanbeat-education/")</f>
        <v/>
      </c>
      <c r="U1113" s="1">
        <f>IFERROR(__xludf.DUMMYFUNCTION("""COMPUTED_VALUE"""),"Clanbeat")</f>
        <v/>
      </c>
      <c r="V1113" s="1">
        <f>IFERROR(__xludf.DUMMYFUNCTION("""COMPUTED_VALUE"""),"Clanbeat provides a positive cycle of planning, acting and reflecting to support the self-directed learning and well-being of students. And monitors how students feel, perform and learn. Impact comes, in addition to developing positive habits and good rel"&amp;"ationship with themselves and their peers also from reflecting the data back in the form of insights for improvement. The end result is a solution that supports and motivates each student to nurture his or her passions, make connections between different "&amp;"learning experiences and opportunities - to design their own learning and processes in collaboration with others.")</f>
        <v/>
      </c>
      <c r="W1113" s="1" t="n"/>
      <c r="X1113" s="1" t="n"/>
      <c r="Y1113" s="15">
        <f>IFERROR(__xludf.DUMMYFUNCTION("""COMPUTED_VALUE"""),"https://drive.google.com/uc?export=view&amp;id=1yqo5yj5FlZY6wmuVmyMVJhT1ADnV2kAV")</f>
        <v/>
      </c>
      <c r="Z1113" s="1">
        <f>IFERROR(__xludf.DUMMYFUNCTION("""COMPUTED_VALUE"""),"Unverified")</f>
        <v/>
      </c>
      <c r="AA1113" s="1" t="n"/>
      <c r="AB1113" s="1" t="n"/>
      <c r="AC1113" s="1" t="n"/>
      <c r="AD1113" s="1" t="n"/>
      <c r="AE1113" s="1" t="n"/>
    </row>
    <row r="1114" ht="42" customHeight="1">
      <c r="A1114" s="14">
        <f>IFERROR(__xludf.DUMMYFUNCTION("""COMPUTED_VALUE"""),45181)</f>
        <v/>
      </c>
      <c r="B1114" s="1">
        <f>IFERROR(__xludf.DUMMYFUNCTION("""COMPUTED_VALUE"""),"ORG_1305")</f>
        <v/>
      </c>
      <c r="C1114" s="1">
        <f>IFERROR(__xludf.DUMMYFUNCTION("""COMPUTED_VALUE"""),TRUE)</f>
        <v/>
      </c>
      <c r="D1114" s="1">
        <f>IFERROR(__xludf.DUMMYFUNCTION("""COMPUTED_VALUE"""),"courseticket")</f>
        <v/>
      </c>
      <c r="E1114" s="15">
        <f>IFERROR(__xludf.DUMMYFUNCTION("""COMPUTED_VALUE"""),"https://join.courseticket.com")</f>
        <v/>
      </c>
      <c r="F1114" s="1">
        <f>IFERROR(__xludf.DUMMYFUNCTION("""COMPUTED_VALUE"""),"Building the next generation of Learning Experience Platforms: The first customizable white label platform that enables ""Business-to-Employee"", ""Business-to-Customer"" &amp; ""Business-to-Business-to-Employee"" booking processes and allows ""Self-driven"","&amp;" ""Supervised"" &amp; ""Collaborative"" learning experiences.
Serving international clients with highly customizable next-generation L&amp;D platforms as SaaS or white labeled. Focusing on R&amp;D in skills alignment &amp; artificial intelligence and predictive analytic"&amp;"s for next-generation learning platforms with e-commerce capabilities.")</f>
        <v/>
      </c>
      <c r="G1114" s="1">
        <f>IFERROR(__xludf.DUMMYFUNCTION("""COMPUTED_VALUE"""),"EdTech Austria")</f>
        <v/>
      </c>
      <c r="H1114" s="1" t="n"/>
      <c r="I1114" s="1">
        <f>IFERROR(__xludf.DUMMYFUNCTION("""COMPUTED_VALUE"""),"whitelabel@courseticket.com")</f>
        <v/>
      </c>
      <c r="J1114" s="1">
        <f>IFERROR(__xludf.DUMMYFUNCTION("""COMPUTED_VALUE"""),"+43 660 778 779 0")</f>
        <v/>
      </c>
      <c r="K1114" s="1">
        <f>IFERROR(__xludf.DUMMYFUNCTION("""COMPUTED_VALUE"""),"Liechtensteinstraße 111-115")</f>
        <v/>
      </c>
      <c r="L1114" s="1">
        <f>IFERROR(__xludf.DUMMYFUNCTION("""COMPUTED_VALUE"""),"Austria")</f>
        <v/>
      </c>
      <c r="M1114" s="1">
        <f>IFERROR(__xludf.DUMMYFUNCTION("""COMPUTED_VALUE"""),"Austria, Germany, Spain, Switzerland, United Kingdom")</f>
        <v/>
      </c>
      <c r="N1114" s="1">
        <f>IFERROR(__xludf.DUMMYFUNCTION("""COMPUTED_VALUE"""),"11 to 50")</f>
        <v/>
      </c>
      <c r="O1114" s="1">
        <f>IFERROR(__xludf.DUMMYFUNCTION("""COMPUTED_VALUE"""),"Business to Business, Business to Consumer")</f>
        <v/>
      </c>
      <c r="P1114" s="1">
        <f>IFERROR(__xludf.DUMMYFUNCTION("""COMPUTED_VALUE"""),"Corporate Training, Lifelong learning/Adult education")</f>
        <v/>
      </c>
      <c r="Q1114" s="1">
        <f>IFERROR(__xludf.DUMMYFUNCTION("""COMPUTED_VALUE"""),"System/Administrative")</f>
        <v/>
      </c>
      <c r="R1114" s="1" t="n"/>
      <c r="S1114" s="1" t="n"/>
      <c r="T1114" s="15">
        <f>IFERROR(__xludf.DUMMYFUNCTION("""COMPUTED_VALUE"""),"https://www.linkedin.com/company/courseticket-com")</f>
        <v/>
      </c>
      <c r="U1114" s="1">
        <f>IFERROR(__xludf.DUMMYFUNCTION("""COMPUTED_VALUE"""),"customizable LXP for B2C, B2E &amp; B2B2E")</f>
        <v/>
      </c>
      <c r="V1114" s="1">
        <f>IFERROR(__xludf.DUMMYFUNCTION("""COMPUTED_VALUE"""),"Building the next generation of Learning Experience Platforms: The first customizable white label platform that enables ""Business-to-Employee"", ""Business-to-Customer"" &amp; ""Business-to-Business-to-Employee"" booking processes and allows ""Self-driven"","&amp;" ""Supervised"" &amp; ""Collaborative"" learning experiences.")</f>
        <v/>
      </c>
      <c r="W1114" s="1" t="n"/>
      <c r="X1114" s="1" t="n"/>
      <c r="Y1114" s="15">
        <f>IFERROR(__xludf.DUMMYFUNCTION("""COMPUTED_VALUE"""),"https://drive.google.com/uc?export=view&amp;id=1E7_a2TFwuEiwZQCppHPJYOnjJupGZQ47")</f>
        <v/>
      </c>
      <c r="Z1114" s="1">
        <f>IFERROR(__xludf.DUMMYFUNCTION("""COMPUTED_VALUE"""),"Unverified")</f>
        <v/>
      </c>
      <c r="AA1114" s="1" t="n"/>
      <c r="AB1114" s="1" t="n"/>
      <c r="AC1114" s="1" t="n"/>
      <c r="AD1114" s="1" t="n"/>
      <c r="AE1114" s="1" t="n"/>
    </row>
    <row r="1115" ht="42" customHeight="1">
      <c r="A1115" s="14">
        <f>IFERROR(__xludf.DUMMYFUNCTION("""COMPUTED_VALUE"""),45181)</f>
        <v/>
      </c>
      <c r="B1115" s="1">
        <f>IFERROR(__xludf.DUMMYFUNCTION("""COMPUTED_VALUE"""),"ORG_1320")</f>
        <v/>
      </c>
      <c r="C1115" s="1">
        <f>IFERROR(__xludf.DUMMYFUNCTION("""COMPUTED_VALUE"""),TRUE)</f>
        <v/>
      </c>
      <c r="D1115" s="1">
        <f>IFERROR(__xludf.DUMMYFUNCTION("""COMPUTED_VALUE"""),"CyberEDU")</f>
        <v/>
      </c>
      <c r="E1115" s="15">
        <f>IFERROR(__xludf.DUMMYFUNCTION("""COMPUTED_VALUE"""),"https://cyberedu.ro/")</f>
        <v/>
      </c>
      <c r="F1115" s="1">
        <f>IFERROR(__xludf.DUMMYFUNCTION("""COMPUTED_VALUE"""),"CyberEDU uniquely bridges the gap between theory and practice, differentiating the experience from the standard cybersecurity learning journey. CyberEDU’s mission is to be an active booster in increasing and improving cybersecurity skills worldwide, by su"&amp;"pporting individuals--as well as companies and universities--to learn practical cybersecurity using exercises inspired by real-life scenarios.")</f>
        <v/>
      </c>
      <c r="G1115" s="1">
        <f>IFERROR(__xludf.DUMMYFUNCTION("""COMPUTED_VALUE"""),"I'm not part of any EdTech association")</f>
        <v/>
      </c>
      <c r="H1115" s="1" t="n"/>
      <c r="I1115" s="1">
        <f>IFERROR(__xludf.DUMMYFUNCTION("""COMPUTED_VALUE"""),"contact@cyberedu.ro")</f>
        <v/>
      </c>
      <c r="J1115" s="1" t="n"/>
      <c r="K1115" s="1">
        <f>IFERROR(__xludf.DUMMYFUNCTION("""COMPUTED_VALUE"""),"Bucharest")</f>
        <v/>
      </c>
      <c r="L1115" s="1">
        <f>IFERROR(__xludf.DUMMYFUNCTION("""COMPUTED_VALUE"""),"Romania")</f>
        <v/>
      </c>
      <c r="M1115" s="1">
        <f>IFERROR(__xludf.DUMMYFUNCTION("""COMPUTED_VALUE"""),"Romania")</f>
        <v/>
      </c>
      <c r="N1115" s="1">
        <f>IFERROR(__xludf.DUMMYFUNCTION("""COMPUTED_VALUE"""),"0 to 10")</f>
        <v/>
      </c>
      <c r="O1115" s="1">
        <f>IFERROR(__xludf.DUMMYFUNCTION("""COMPUTED_VALUE"""),"Business to Business, Business to Consumer")</f>
        <v/>
      </c>
      <c r="P1115" s="1">
        <f>IFERROR(__xludf.DUMMYFUNCTION("""COMPUTED_VALUE"""),"Higher Education, Corporate Training")</f>
        <v/>
      </c>
      <c r="Q1115" s="1">
        <f>IFERROR(__xludf.DUMMYFUNCTION("""COMPUTED_VALUE"""),"Student interfacing, Teacher interfacing, System/Administrative")</f>
        <v/>
      </c>
      <c r="R1115" s="1" t="n"/>
      <c r="S1115" s="1" t="n"/>
      <c r="T1115" s="1" t="n"/>
      <c r="U1115" s="1" t="n"/>
      <c r="V1115" s="1" t="n"/>
      <c r="W1115" s="1" t="n"/>
      <c r="X1115" s="1" t="n"/>
      <c r="Y1115" s="15">
        <f>IFERROR(__xludf.DUMMYFUNCTION("""COMPUTED_VALUE"""),"https://drive.google.com/uc?export=view&amp;id=1Me2Yr-3JYg0rlFMKUX5LvwSPSsVm8rin")</f>
        <v/>
      </c>
      <c r="Z1115" s="1">
        <f>IFERROR(__xludf.DUMMYFUNCTION("""COMPUTED_VALUE"""),"Unverified")</f>
        <v/>
      </c>
      <c r="AA1115" s="1" t="n"/>
      <c r="AB1115" s="1" t="n"/>
      <c r="AC1115" s="1" t="n"/>
      <c r="AD1115" s="1" t="n"/>
      <c r="AE1115" s="1" t="n"/>
    </row>
    <row r="1116" ht="42" customHeight="1">
      <c r="A1116" s="14">
        <f>IFERROR(__xludf.DUMMYFUNCTION("""COMPUTED_VALUE"""),45181)</f>
        <v/>
      </c>
      <c r="B1116" s="1">
        <f>IFERROR(__xludf.DUMMYFUNCTION("""COMPUTED_VALUE"""),"ORG_1353")</f>
        <v/>
      </c>
      <c r="C1116" s="1">
        <f>IFERROR(__xludf.DUMMYFUNCTION("""COMPUTED_VALUE"""),TRUE)</f>
        <v/>
      </c>
      <c r="D1116" s="1">
        <f>IFERROR(__xludf.DUMMYFUNCTION("""COMPUTED_VALUE"""),"Digiexam")</f>
        <v/>
      </c>
      <c r="E1116" s="15">
        <f>IFERROR(__xludf.DUMMYFUNCTION("""COMPUTED_VALUE"""),"https://www.digiexam.com/")</f>
        <v/>
      </c>
      <c r="F1116" s="1">
        <f>IFERROR(__xludf.DUMMYFUNCTION("""COMPUTED_VALUE"""),"Digiexam is an examination platform, built out of Sweden, with over a decade of experience. 
We focus on security, reliability, and ease of use to ensure the highest academic integrity and a world-class user experience for our users. Our unique and robus"&amp;"t platform is built on proprietary technology, which enables us to offer the most secure lock-down environment in our application, for your most important exams in both BYOD and managed environments. 
Our customers can be found within Higher Education, K"&amp;"12, Professional and awarding bodies. All praise our customer support, flexibility and ease of use, which helps drive exceptional adoption.")</f>
        <v/>
      </c>
      <c r="G1116" s="1">
        <f>IFERROR(__xludf.DUMMYFUNCTION("""COMPUTED_VALUE"""),"Swedish EdTech Industry")</f>
        <v/>
      </c>
      <c r="H1116" s="1" t="n"/>
      <c r="I1116" s="1">
        <f>IFERROR(__xludf.DUMMYFUNCTION("""COMPUTED_VALUE"""),"niklas.vernersson@digiexam.se")</f>
        <v/>
      </c>
      <c r="J1116" s="1" t="n"/>
      <c r="K1116" s="1">
        <f>IFERROR(__xludf.DUMMYFUNCTION("""COMPUTED_VALUE"""),"STOCKHOLM")</f>
        <v/>
      </c>
      <c r="L1116" s="1">
        <f>IFERROR(__xludf.DUMMYFUNCTION("""COMPUTED_VALUE"""),"Sweden")</f>
        <v/>
      </c>
      <c r="M1116" s="1">
        <f>IFERROR(__xludf.DUMMYFUNCTION("""COMPUTED_VALUE"""),"Finland, Germany, Iceland, Latvia, Sweden, United Kingdom")</f>
        <v/>
      </c>
      <c r="N1116" s="1">
        <f>IFERROR(__xludf.DUMMYFUNCTION("""COMPUTED_VALUE"""),"11 to 50")</f>
        <v/>
      </c>
      <c r="O1116" s="1">
        <f>IFERROR(__xludf.DUMMYFUNCTION("""COMPUTED_VALUE"""),"Business to Business, Business to Consumer, Business to Government, Business to Schools")</f>
        <v/>
      </c>
      <c r="P1116" s="1">
        <f>IFERROR(__xludf.DUMMYFUNCTION("""COMPUTED_VALUE"""),"Secondary Education, Higher Education, Corporate Training")</f>
        <v/>
      </c>
      <c r="Q1116" s="1">
        <f>IFERROR(__xludf.DUMMYFUNCTION("""COMPUTED_VALUE"""),"Teacher interfacing, System/Administrative")</f>
        <v/>
      </c>
      <c r="R1116" s="1" t="n"/>
      <c r="S1116" s="15">
        <f>IFERROR(__xludf.DUMMYFUNCTION("""COMPUTED_VALUE"""),"https://twitter.com/DigiExam")</f>
        <v/>
      </c>
      <c r="T1116" s="15">
        <f>IFERROR(__xludf.DUMMYFUNCTION("""COMPUTED_VALUE"""),"https://www.linkedin.com/company/digiexams")</f>
        <v/>
      </c>
      <c r="U1116" s="1">
        <f>IFERROR(__xludf.DUMMYFUNCTION("""COMPUTED_VALUE"""),"Digiexam Exam Platform")</f>
        <v/>
      </c>
      <c r="V1116" s="1">
        <f>IFERROR(__xludf.DUMMYFUNCTION("""COMPUTED_VALUE"""),"Digiexam is an end-to-end exam platform enabling institutions to create, set up, start, distribute and grade exams. Students take the exam in a lock-down application with offline functionality and auto-saving of the produced answers. The platform is desig"&amp;"ned as a hybrid solution with an administrator web application and a lock-down application for students connected and packaged as a cloud service. The platform runs on iPads, Mac, Windows, and managed Chromebooks.")</f>
        <v/>
      </c>
      <c r="W1116" s="1">
        <f>IFERROR(__xludf.DUMMYFUNCTION("""COMPUTED_VALUE"""),"Digiexam Online Proctoring")</f>
        <v/>
      </c>
      <c r="X1116" s="1">
        <f>IFERROR(__xludf.DUMMYFUNCTION("""COMPUTED_VALUE"""),"Digiexam’s online proctoring solution is an add-on integrated into the platform. It is used to run remote exams where security is crucial. Together with the lock-down application for students, proctoring adds monitoring through the camera, screen recordin"&amp;"g and automated algorithms to track and warn of misconduct, all fully automated. The solution produces a credibility report so institutions can assess the full performance of students. Institutions can also choose from various settings to accommodate thei"&amp;"r specific needs (GDPR) and proctoring setup.")</f>
        <v/>
      </c>
      <c r="Y1116" s="15">
        <f>IFERROR(__xludf.DUMMYFUNCTION("""COMPUTED_VALUE"""),"https://drive.google.com/uc?export=view&amp;id=1qvs908scc6Aal-klOcbuahuWnTu1LdLs")</f>
        <v/>
      </c>
      <c r="Z1116" s="1">
        <f>IFERROR(__xludf.DUMMYFUNCTION("""COMPUTED_VALUE"""),"Unverified")</f>
        <v/>
      </c>
      <c r="AA1116" s="1" t="n"/>
      <c r="AB1116" s="1" t="n"/>
      <c r="AC1116" s="1" t="n"/>
      <c r="AD1116" s="1" t="n"/>
      <c r="AE1116" s="1" t="n"/>
    </row>
    <row r="1117" ht="42" customHeight="1">
      <c r="A1117" s="14">
        <f>IFERROR(__xludf.DUMMYFUNCTION("""COMPUTED_VALUE"""),45181)</f>
        <v/>
      </c>
      <c r="B1117" s="1">
        <f>IFERROR(__xludf.DUMMYFUNCTION("""COMPUTED_VALUE"""),"ORG_1430")</f>
        <v/>
      </c>
      <c r="C1117" s="1">
        <f>IFERROR(__xludf.DUMMYFUNCTION("""COMPUTED_VALUE"""),TRUE)</f>
        <v/>
      </c>
      <c r="D1117" s="1">
        <f>IFERROR(__xludf.DUMMYFUNCTION("""COMPUTED_VALUE"""),"Education Digitale")</f>
        <v/>
      </c>
      <c r="E1117" s="15">
        <f>IFERROR(__xludf.DUMMYFUNCTION("""COMPUTED_VALUE"""),"https://www.educationdigitale.com/")</f>
        <v/>
      </c>
      <c r="F1117" s="1">
        <f>IFERROR(__xludf.DUMMYFUNCTION("""COMPUTED_VALUE"""),"Éducation Digitale is a content production, training, and consulting company aiming to transform learning experiences. 
Our ambition is to democratize the uses of digital technologies to make them understandable and accessible to everyone.
We support our"&amp;" customers through their digital transformation, their professional development, and the adoption of new digital practices.
We respond to the need for innovation while integrating the challenges of a constantly changing society: digital gaps, accelerated "&amp;"business transformation, gender equity, better inclusion, development of 21st-century skills...
We believe in reasoned and responsible digital technology, source of benefits and new opportunities for everyone, and able to help each citizen in his daily l"&amp;"ife.")</f>
        <v/>
      </c>
      <c r="G1117" s="1">
        <f>IFERROR(__xludf.DUMMYFUNCTION("""COMPUTED_VALUE"""),"EdTech France")</f>
        <v/>
      </c>
      <c r="H1117" s="1" t="n"/>
      <c r="I1117" s="1">
        <f>IFERROR(__xludf.DUMMYFUNCTION("""COMPUTED_VALUE"""),"contact@educationdigitale.com")</f>
        <v/>
      </c>
      <c r="J1117" s="1" t="n"/>
      <c r="K1117" s="1">
        <f>IFERROR(__xludf.DUMMYFUNCTION("""COMPUTED_VALUE"""),"PARIS")</f>
        <v/>
      </c>
      <c r="L1117" s="1">
        <f>IFERROR(__xludf.DUMMYFUNCTION("""COMPUTED_VALUE"""),"France")</f>
        <v/>
      </c>
      <c r="M1117" s="1">
        <f>IFERROR(__xludf.DUMMYFUNCTION("""COMPUTED_VALUE"""),"Belgium, France, Monaco")</f>
        <v/>
      </c>
      <c r="N1117" s="1">
        <f>IFERROR(__xludf.DUMMYFUNCTION("""COMPUTED_VALUE"""),"0 to 10")</f>
        <v/>
      </c>
      <c r="O1117" s="1">
        <f>IFERROR(__xludf.DUMMYFUNCTION("""COMPUTED_VALUE"""),"Business to Business, Business to Consumer, Business to Government, Business to Schools")</f>
        <v/>
      </c>
      <c r="P1117" s="1">
        <f>IFERROR(__xludf.DUMMYFUNCTION("""COMPUTED_VALUE"""),"Primary Education, Secondary Education, Higher Education, Corporate Training, Lifelong learning/Adult education")</f>
        <v/>
      </c>
      <c r="Q1117" s="1">
        <f>IFERROR(__xludf.DUMMYFUNCTION("""COMPUTED_VALUE"""),"Student interfacing, Teacher interfacing")</f>
        <v/>
      </c>
      <c r="R1117" s="1" t="n"/>
      <c r="S1117" s="1">
        <f>IFERROR(__xludf.DUMMYFUNCTION("""COMPUTED_VALUE"""),"@educationdigi")</f>
        <v/>
      </c>
      <c r="T1117" s="15">
        <f>IFERROR(__xludf.DUMMYFUNCTION("""COMPUTED_VALUE"""),"https://www.linkedin.com/company/%C3%A9ducation-digitale/")</f>
        <v/>
      </c>
      <c r="U1117" s="1">
        <f>IFERROR(__xludf.DUMMYFUNCTION("""COMPUTED_VALUE"""),"Training")</f>
        <v/>
      </c>
      <c r="V1117" s="1">
        <f>IFERROR(__xludf.DUMMYFUNCTION("""COMPUTED_VALUE"""),"We support and train teaching professionals, practitioners, and all employees to use new technologies in their practices. 
We help our customers developing new digital uses: collaboration, immersive learning (3D, Virtual Reality, Augmented Reality) and ma"&amp;"ny more. From change management to training we can support your digital journey in many ways to ensure its success.")</f>
        <v/>
      </c>
      <c r="W1117" s="1">
        <f>IFERROR(__xludf.DUMMYFUNCTION("""COMPUTED_VALUE"""),"Design of new learning experiences")</f>
        <v/>
      </c>
      <c r="X1117" s="1">
        <f>IFERROR(__xludf.DUMMYFUNCTION("""COMPUTED_VALUE"""),"We create content and new learning experiences tailored to our customers' specific audiences.
We can develop learning content under many formats, designed for general use or related to one particular topic or subject. We can create immersive learning envi"&amp;"ronments using XR, enhance visitors' experience (for museums &amp; cultural institutions), produce pedagogical textbooks, and many more.")</f>
        <v/>
      </c>
      <c r="Y1117" s="15">
        <f>IFERROR(__xludf.DUMMYFUNCTION("""COMPUTED_VALUE"""),"https://drive.google.com/uc?export=view&amp;id=1FYhDkLHvQycAP3E_b1nxIpFuP9FrvfVp")</f>
        <v/>
      </c>
      <c r="Z1117" s="1">
        <f>IFERROR(__xludf.DUMMYFUNCTION("""COMPUTED_VALUE"""),"Unverified")</f>
        <v/>
      </c>
      <c r="AA1117" s="1" t="n"/>
      <c r="AB1117" s="1" t="n"/>
      <c r="AC1117" s="1" t="n"/>
      <c r="AD1117" s="1" t="n"/>
      <c r="AE1117" s="1" t="n"/>
    </row>
    <row r="1118" ht="42" customHeight="1">
      <c r="A1118" s="14">
        <f>IFERROR(__xludf.DUMMYFUNCTION("""COMPUTED_VALUE"""),45181)</f>
        <v/>
      </c>
      <c r="B1118" s="1">
        <f>IFERROR(__xludf.DUMMYFUNCTION("""COMPUTED_VALUE"""),"ORG_1447")</f>
        <v/>
      </c>
      <c r="C1118" s="1">
        <f>IFERROR(__xludf.DUMMYFUNCTION("""COMPUTED_VALUE"""),TRUE)</f>
        <v/>
      </c>
      <c r="D1118" s="1">
        <f>IFERROR(__xludf.DUMMYFUNCTION("""COMPUTED_VALUE"""),"Edulinxs Club")</f>
        <v/>
      </c>
      <c r="E1118" s="15">
        <f>IFERROR(__xludf.DUMMYFUNCTION("""COMPUTED_VALUE"""),"www.edulinxs.club")</f>
        <v/>
      </c>
      <c r="F1118" s="1">
        <f>IFERROR(__xludf.DUMMYFUNCTION("""COMPUTED_VALUE"""),"Edulinxs Club offers an online preschool learning program for 3-4-year-olds. This includes lesson plans, activity printables and also recorded circle time sessions for children to interact with as well as guidance for parents and educators.")</f>
        <v/>
      </c>
      <c r="G1118" s="1">
        <f>IFERROR(__xludf.DUMMYFUNCTION("""COMPUTED_VALUE"""),"I'm not part of any EdTech association")</f>
        <v/>
      </c>
      <c r="H1118" s="1" t="n"/>
      <c r="I1118" s="1">
        <f>IFERROR(__xludf.DUMMYFUNCTION("""COMPUTED_VALUE"""),"shehla.ghori@edulinxs.com")</f>
        <v/>
      </c>
      <c r="J1118" s="1">
        <f>IFERROR(__xludf.DUMMYFUNCTION("""COMPUTED_VALUE"""),"+447440561102")</f>
        <v/>
      </c>
      <c r="K1118" s="1">
        <f>IFERROR(__xludf.DUMMYFUNCTION("""COMPUTED_VALUE"""),"LONDON")</f>
        <v/>
      </c>
      <c r="L1118" s="1">
        <f>IFERROR(__xludf.DUMMYFUNCTION("""COMPUTED_VALUE"""),"United Kingdom")</f>
        <v/>
      </c>
      <c r="M1118" s="1">
        <f>IFERROR(__xludf.DUMMYFUNCTION("""COMPUTED_VALUE"""),"United Kingdom")</f>
        <v/>
      </c>
      <c r="N1118" s="1">
        <f>IFERROR(__xludf.DUMMYFUNCTION("""COMPUTED_VALUE"""),"0 to 10")</f>
        <v/>
      </c>
      <c r="O1118" s="1">
        <f>IFERROR(__xludf.DUMMYFUNCTION("""COMPUTED_VALUE"""),"Business to Business, Business to Consumer, Business to Government, Business to Schools")</f>
        <v/>
      </c>
      <c r="P1118" s="1">
        <f>IFERROR(__xludf.DUMMYFUNCTION("""COMPUTED_VALUE"""),"Early childhood development (0-5 years)")</f>
        <v/>
      </c>
      <c r="Q1118" s="1">
        <f>IFERROR(__xludf.DUMMYFUNCTION("""COMPUTED_VALUE"""),"System/Administrative, Student interfacing, Teacher interfacing")</f>
        <v/>
      </c>
      <c r="R1118" s="1" t="n"/>
      <c r="S1118" s="1" t="n"/>
      <c r="T1118" s="1" t="n"/>
      <c r="U1118" s="1" t="n"/>
      <c r="V1118" s="1" t="n"/>
      <c r="W1118" s="1" t="n"/>
      <c r="X1118" s="1" t="n"/>
      <c r="Y1118" s="15">
        <f>IFERROR(__xludf.DUMMYFUNCTION("""COMPUTED_VALUE"""),"https://drive.google.com/uc?export=view&amp;id=1MdHnXnvnuV6XXcjUrsDFZIiG1ls7L_dM")</f>
        <v/>
      </c>
      <c r="Z1118" s="1">
        <f>IFERROR(__xludf.DUMMYFUNCTION("""COMPUTED_VALUE"""),"Unverified")</f>
        <v/>
      </c>
      <c r="AA1118" s="1" t="n"/>
      <c r="AB1118" s="1" t="n"/>
      <c r="AC1118" s="1" t="n"/>
      <c r="AD1118" s="1" t="n"/>
      <c r="AE1118" s="1" t="n"/>
    </row>
    <row r="1119" ht="42" customHeight="1">
      <c r="A1119" s="14">
        <f>IFERROR(__xludf.DUMMYFUNCTION("""COMPUTED_VALUE"""),45181)</f>
        <v/>
      </c>
      <c r="B1119" s="1">
        <f>IFERROR(__xludf.DUMMYFUNCTION("""COMPUTED_VALUE"""),"ORG_1467")</f>
        <v/>
      </c>
      <c r="C1119" s="1">
        <f>IFERROR(__xludf.DUMMYFUNCTION("""COMPUTED_VALUE"""),TRUE)</f>
        <v/>
      </c>
      <c r="D1119" s="1">
        <f>IFERROR(__xludf.DUMMYFUNCTION("""COMPUTED_VALUE"""),"Eduxim")</f>
        <v/>
      </c>
      <c r="E1119" s="15">
        <f>IFERROR(__xludf.DUMMYFUNCTION("""COMPUTED_VALUE"""),"https://www.eduxim.com")</f>
        <v/>
      </c>
      <c r="F1119" s="1">
        <f>IFERROR(__xludf.DUMMYFUNCTION("""COMPUTED_VALUE"""),"Eduxim is a competency-based assessment tool that makes teachers' daily lives easier and increases students' chances of success! To achieve these objectives, Eduxim relies on an assessment strategy where the notion of competency is at the heart of learnin"&amp;"g.")</f>
        <v/>
      </c>
      <c r="G1119" s="1">
        <f>IFERROR(__xludf.DUMMYFUNCTION("""COMPUTED_VALUE"""),"EdTech France")</f>
        <v/>
      </c>
      <c r="H1119" s="1" t="n"/>
      <c r="I1119" s="1">
        <f>IFERROR(__xludf.DUMMYFUNCTION("""COMPUTED_VALUE"""),"contact@eduxim.com")</f>
        <v/>
      </c>
      <c r="J1119" s="1" t="n"/>
      <c r="K1119" s="1">
        <f>IFERROR(__xludf.DUMMYFUNCTION("""COMPUTED_VALUE"""),"GRENOBLE")</f>
        <v/>
      </c>
      <c r="L1119" s="1">
        <f>IFERROR(__xludf.DUMMYFUNCTION("""COMPUTED_VALUE"""),"France")</f>
        <v/>
      </c>
      <c r="M1119" s="1">
        <f>IFERROR(__xludf.DUMMYFUNCTION("""COMPUTED_VALUE"""),"France")</f>
        <v/>
      </c>
      <c r="N1119" s="1">
        <f>IFERROR(__xludf.DUMMYFUNCTION("""COMPUTED_VALUE"""),"0 to 10")</f>
        <v/>
      </c>
      <c r="O1119" s="1">
        <f>IFERROR(__xludf.DUMMYFUNCTION("""COMPUTED_VALUE"""),"Business to Business, Business to Consumer, Business to Government, Business to Schools")</f>
        <v/>
      </c>
      <c r="P1119" s="1">
        <f>IFERROR(__xludf.DUMMYFUNCTION("""COMPUTED_VALUE"""),"Primary Education, Secondary Education, Higher Education")</f>
        <v/>
      </c>
      <c r="Q1119" s="1">
        <f>IFERROR(__xludf.DUMMYFUNCTION("""COMPUTED_VALUE"""),"Student interfacing, Teacher interfacing, System/Administrative")</f>
        <v/>
      </c>
      <c r="R1119" s="1" t="n"/>
      <c r="S1119" s="15">
        <f>IFERROR(__xludf.DUMMYFUNCTION("""COMPUTED_VALUE"""),"https://twitter.com/eduximapp")</f>
        <v/>
      </c>
      <c r="T1119" s="15">
        <f>IFERROR(__xludf.DUMMYFUNCTION("""COMPUTED_VALUE"""),"https://www.linkedin.com/company/eduxim")</f>
        <v/>
      </c>
      <c r="U1119" s="1">
        <f>IFERROR(__xludf.DUMMYFUNCTION("""COMPUTED_VALUE"""),"Eduxim App")</f>
        <v/>
      </c>
      <c r="V1119" s="1">
        <f>IFERROR(__xludf.DUMMYFUNCTION("""COMPUTED_VALUE"""),"For educational teams, managing assessments has never been easier thanks to criteria-based assessment grids. For their part, students can use self-evaluation, consult an individualized skills acquisition report at any time and take stock of their progress"&amp;" throughout the training course.")</f>
        <v/>
      </c>
      <c r="W1119" s="1">
        <f>IFERROR(__xludf.DUMMYFUNCTION("""COMPUTED_VALUE"""),"Competency-based assessment Coaching")</f>
        <v/>
      </c>
      <c r="X1119" s="1">
        <f>IFERROR(__xludf.DUMMYFUNCTION("""COMPUTED_VALUE"""),"More than a tool, Eduxim is a team of people who are passionate about education and who are fully prepared to support you in driving change and implementing a proven learning method based on pedagogical alignment and skills assessment.")</f>
        <v/>
      </c>
      <c r="Y1119" s="15">
        <f>IFERROR(__xludf.DUMMYFUNCTION("""COMPUTED_VALUE"""),"https://drive.google.com/uc?export=view&amp;id=1zwmzypNMh3xWzmnktR4CEVROKUIm4iH4")</f>
        <v/>
      </c>
      <c r="Z1119" s="1">
        <f>IFERROR(__xludf.DUMMYFUNCTION("""COMPUTED_VALUE"""),"Unverified")</f>
        <v/>
      </c>
      <c r="AA1119" s="1" t="n"/>
      <c r="AB1119" s="1" t="n"/>
      <c r="AC1119" s="1" t="n"/>
      <c r="AD1119" s="1" t="n"/>
      <c r="AE1119" s="1" t="n"/>
    </row>
    <row r="1120" ht="42" customHeight="1">
      <c r="A1120" s="14">
        <f>IFERROR(__xludf.DUMMYFUNCTION("""COMPUTED_VALUE"""),45181)</f>
        <v/>
      </c>
      <c r="B1120" s="1">
        <f>IFERROR(__xludf.DUMMYFUNCTION("""COMPUTED_VALUE"""),"ORG_1477")</f>
        <v/>
      </c>
      <c r="C1120" s="1">
        <f>IFERROR(__xludf.DUMMYFUNCTION("""COMPUTED_VALUE"""),TRUE)</f>
        <v/>
      </c>
      <c r="D1120" s="1">
        <f>IFERROR(__xludf.DUMMYFUNCTION("""COMPUTED_VALUE"""),"EISF")</f>
        <v/>
      </c>
      <c r="E1120" s="15">
        <f>IFERROR(__xludf.DUMMYFUNCTION("""COMPUTED_VALUE"""),"www.eisf.fr")</f>
        <v/>
      </c>
      <c r="F1120" s="1">
        <f>IFERROR(__xludf.DUMMYFUNCTION("""COMPUTED_VALUE"""),"EISF is a native digital training company.
It provides digital training in specifically French manual trades: French cuisine, French pastry, French bakery and chocolate maker.
It gives access to this traditional know-how recognized throughout the world, i"&amp;"n French, Chinese and English.
In France, EISF learners successfully pass the state exam. Many of them become great chefs.")</f>
        <v/>
      </c>
      <c r="G1120" s="1">
        <f>IFERROR(__xludf.DUMMYFUNCTION("""COMPUTED_VALUE"""),"I'm not part of any EdTech association")</f>
        <v/>
      </c>
      <c r="H1120" s="1">
        <f>IFERROR(__xludf.DUMMYFUNCTION("""COMPUTED_VALUE"""),"French, English, Chinese")</f>
        <v/>
      </c>
      <c r="I1120" s="1">
        <f>IFERROR(__xludf.DUMMYFUNCTION("""COMPUTED_VALUE"""),"olivier.querenet@eisf.fr")</f>
        <v/>
      </c>
      <c r="J1120" s="1">
        <f>IFERROR(__xludf.DUMMYFUNCTION("""COMPUTED_VALUE"""),"+33 7 83 61 92 26")</f>
        <v/>
      </c>
      <c r="K1120" s="1">
        <f>IFERROR(__xludf.DUMMYFUNCTION("""COMPUTED_VALUE"""),"Paris")</f>
        <v/>
      </c>
      <c r="L1120" s="1">
        <f>IFERROR(__xludf.DUMMYFUNCTION("""COMPUTED_VALUE"""),"France")</f>
        <v/>
      </c>
      <c r="M1120" s="1">
        <f>IFERROR(__xludf.DUMMYFUNCTION("""COMPUTED_VALUE"""),"Austria, Belgium, France, Germany, Luxembourg, Poland, Spain, Switzerland, United Kingdom")</f>
        <v/>
      </c>
      <c r="N1120" s="1">
        <f>IFERROR(__xludf.DUMMYFUNCTION("""COMPUTED_VALUE"""),"11 to 50")</f>
        <v/>
      </c>
      <c r="O1120" s="1">
        <f>IFERROR(__xludf.DUMMYFUNCTION("""COMPUTED_VALUE"""),"Business to Business, Business to Consumer, Business to Government, Business to Schools")</f>
        <v/>
      </c>
      <c r="P1120" s="1">
        <f>IFERROR(__xludf.DUMMYFUNCTION("""COMPUTED_VALUE"""),"Vocational Education and Training (VET)")</f>
        <v/>
      </c>
      <c r="Q1120" s="1">
        <f>IFERROR(__xludf.DUMMYFUNCTION("""COMPUTED_VALUE"""),"Student interfacing")</f>
        <v/>
      </c>
      <c r="R1120" s="15">
        <f>IFERROR(__xludf.DUMMYFUNCTION("""COMPUTED_VALUE"""),"https://www.instagram.com/e_i_s_f/")</f>
        <v/>
      </c>
      <c r="S1120" s="1" t="n"/>
      <c r="T1120" s="15">
        <f>IFERROR(__xludf.DUMMYFUNCTION("""COMPUTED_VALUE"""),"https://www.linkedin.com/company/27158557/admin/feed/posts/?feedType=following")</f>
        <v/>
      </c>
      <c r="U1120" s="1">
        <f>IFERROR(__xludf.DUMMYFUNCTION("""COMPUTED_VALUE"""),"CAP Pâtissier")</f>
        <v/>
      </c>
      <c r="V1120" s="1">
        <f>IFERROR(__xludf.DUMMYFUNCTION("""COMPUTED_VALUE"""),"Vocational training to become pastry chef")</f>
        <v/>
      </c>
      <c r="W1120" s="1">
        <f>IFERROR(__xludf.DUMMYFUNCTION("""COMPUTED_VALUE"""),"CAP boulanger")</f>
        <v/>
      </c>
      <c r="X1120" s="1">
        <f>IFERROR(__xludf.DUMMYFUNCTION("""COMPUTED_VALUE"""),"Vocational training to become baker")</f>
        <v/>
      </c>
      <c r="Y1120" s="15">
        <f>IFERROR(__xludf.DUMMYFUNCTION("""COMPUTED_VALUE"""),"https://drive.google.com/uc?export=view&amp;id=1CTWyvYoxaPe_FLOGdKKVjHkGRUZoS9um")</f>
        <v/>
      </c>
      <c r="Z1120" s="1">
        <f>IFERROR(__xludf.DUMMYFUNCTION("""COMPUTED_VALUE"""),"Unverified")</f>
        <v/>
      </c>
      <c r="AA1120" s="1" t="n"/>
      <c r="AB1120" s="1" t="n"/>
      <c r="AC1120" s="1" t="n"/>
      <c r="AD1120" s="1" t="n"/>
      <c r="AE1120" s="1" t="n"/>
    </row>
    <row r="1121" ht="42" customHeight="1">
      <c r="A1121" s="14">
        <f>IFERROR(__xludf.DUMMYFUNCTION("""COMPUTED_VALUE"""),45181)</f>
        <v/>
      </c>
      <c r="B1121" s="1">
        <f>IFERROR(__xludf.DUMMYFUNCTION("""COMPUTED_VALUE"""),"ORG_1552")</f>
        <v/>
      </c>
      <c r="C1121" s="1">
        <f>IFERROR(__xludf.DUMMYFUNCTION("""COMPUTED_VALUE"""),TRUE)</f>
        <v/>
      </c>
      <c r="D1121" s="1">
        <f>IFERROR(__xludf.DUMMYFUNCTION("""COMPUTED_VALUE"""),"Farma Leaders Talento")</f>
        <v/>
      </c>
      <c r="E1121" s="15">
        <f>IFERROR(__xludf.DUMMYFUNCTION("""COMPUTED_VALUE"""),"https://farmaleaderstalento.com/")</f>
        <v/>
      </c>
      <c r="F1121" s="1">
        <f>IFERROR(__xludf.DUMMYFUNCTION("""COMPUTED_VALUE"""),"Farma Leaders Talento is the biggest Pharmaceutical, Biotechnological and Healthtech professional community in Spain. In that sense, we have a revolutionary master degree specialized in the pharma, biotech and healthtech industry 100% online, based on mic"&amp;"rolearning approach, Youtube style, with internships assured in the sector! If you want to join the pharmaceutical industry world, we put our 5k members community at your service so you can connect and expand your contact network. You want more? We have o"&amp;"ur Talent Pool where people can find their dreamed job! And, as We are very dynamic people, we frequently have events, webinars and everything you ever were looking to access to this marvelous sector!")</f>
        <v/>
      </c>
      <c r="G1121" s="1">
        <f>IFERROR(__xludf.DUMMYFUNCTION("""COMPUTED_VALUE"""),"I'm not part of any EdTech association")</f>
        <v/>
      </c>
      <c r="H1121" s="1" t="n"/>
      <c r="I1121" s="1">
        <f>IFERROR(__xludf.DUMMYFUNCTION("""COMPUTED_VALUE"""),"academy@farmaleaderstalento.com")</f>
        <v/>
      </c>
      <c r="J1121" s="1">
        <f>IFERROR(__xludf.DUMMYFUNCTION("""COMPUTED_VALUE"""),"+34644926016")</f>
        <v/>
      </c>
      <c r="K1121" s="1">
        <f>IFERROR(__xludf.DUMMYFUNCTION("""COMPUTED_VALUE"""),"Valencia")</f>
        <v/>
      </c>
      <c r="L1121" s="1">
        <f>IFERROR(__xludf.DUMMYFUNCTION("""COMPUTED_VALUE"""),"Spain")</f>
        <v/>
      </c>
      <c r="M1121" s="1">
        <f>IFERROR(__xludf.DUMMYFUNCTION("""COMPUTED_VALUE"""),"Spain")</f>
        <v/>
      </c>
      <c r="N1121" s="1">
        <f>IFERROR(__xludf.DUMMYFUNCTION("""COMPUTED_VALUE"""),"0 to 10")</f>
        <v/>
      </c>
      <c r="O1121" s="1">
        <f>IFERROR(__xludf.DUMMYFUNCTION("""COMPUTED_VALUE"""),"Business to Business, Business to Consumer, Business to Government, Business to Schools")</f>
        <v/>
      </c>
      <c r="P1121" s="1">
        <f>IFERROR(__xludf.DUMMYFUNCTION("""COMPUTED_VALUE"""),"Higher Education")</f>
        <v/>
      </c>
      <c r="Q1121" s="1">
        <f>IFERROR(__xludf.DUMMYFUNCTION("""COMPUTED_VALUE"""),"Student interfacing")</f>
        <v/>
      </c>
      <c r="R1121" s="1" t="n"/>
      <c r="S1121" s="1" t="n"/>
      <c r="T1121" s="1" t="n"/>
      <c r="U1121" s="1" t="n"/>
      <c r="V1121" s="1" t="n"/>
      <c r="W1121" s="1" t="n"/>
      <c r="X1121" s="1" t="n"/>
      <c r="Y1121" s="15">
        <f>IFERROR(__xludf.DUMMYFUNCTION("""COMPUTED_VALUE"""),"https://drive.google.com/uc?export=view&amp;id=1lwRkUIaufzIjvDHq6iULrUvrn3WVZ7-i")</f>
        <v/>
      </c>
      <c r="Z1121" s="1">
        <f>IFERROR(__xludf.DUMMYFUNCTION("""COMPUTED_VALUE"""),"Unverified")</f>
        <v/>
      </c>
      <c r="AA1121" s="1" t="n"/>
      <c r="AB1121" s="1" t="n"/>
      <c r="AC1121" s="1" t="n"/>
      <c r="AD1121" s="1" t="n"/>
      <c r="AE1121" s="1" t="n"/>
    </row>
    <row r="1122" ht="42" customHeight="1">
      <c r="A1122" s="14">
        <f>IFERROR(__xludf.DUMMYFUNCTION("""COMPUTED_VALUE"""),45181)</f>
        <v/>
      </c>
      <c r="B1122" s="1">
        <f>IFERROR(__xludf.DUMMYFUNCTION("""COMPUTED_VALUE"""),"ORG_1585")</f>
        <v/>
      </c>
      <c r="C1122" s="1">
        <f>IFERROR(__xludf.DUMMYFUNCTION("""COMPUTED_VALUE"""),TRUE)</f>
        <v/>
      </c>
      <c r="D1122" s="1">
        <f>IFERROR(__xludf.DUMMYFUNCTION("""COMPUTED_VALUE"""),"French Lab")</f>
        <v/>
      </c>
      <c r="E1122" s="15">
        <f>IFERROR(__xludf.DUMMYFUNCTION("""COMPUTED_VALUE"""),"https://www.frenchlab.io/")</f>
        <v/>
      </c>
      <c r="F1122" s="1">
        <f>IFERROR(__xludf.DUMMYFUNCTION("""COMPUTED_VALUE"""),"French Lab is a French EdTech company providing French courses on Facebook through a Messenger Chatbot. 
Committed to widen access to French language teaching, French Lab explores the most used and accessible digital environment. By using a familiar inte"&amp;"rface, French Lab chatbot application provides learners easygoing interactions, so that learning French can happen anywhere and everywhere in a fun &amp; interactive way. 
French Lab provides quality &amp; engaging content through messaging apps in order to crea"&amp;"te learning opportunities for all.")</f>
        <v/>
      </c>
      <c r="G1122" s="1">
        <f>IFERROR(__xludf.DUMMYFUNCTION("""COMPUTED_VALUE"""),"AFINEF, EdTech France")</f>
        <v/>
      </c>
      <c r="H1122" s="1" t="n"/>
      <c r="I1122" s="1">
        <f>IFERROR(__xludf.DUMMYFUNCTION("""COMPUTED_VALUE"""),"info@frenchlab.io")</f>
        <v/>
      </c>
      <c r="J1122" s="1" t="n"/>
      <c r="K1122" s="1">
        <f>IFERROR(__xludf.DUMMYFUNCTION("""COMPUTED_VALUE"""),"PARIS")</f>
        <v/>
      </c>
      <c r="L1122" s="1">
        <f>IFERROR(__xludf.DUMMYFUNCTION("""COMPUTED_VALUE"""),"France")</f>
        <v/>
      </c>
      <c r="M1122" s="1">
        <f>IFERROR(__xludf.DUMMYFUNCTION("""COMPUTED_VALUE"""),"France")</f>
        <v/>
      </c>
      <c r="N1122" s="1">
        <f>IFERROR(__xludf.DUMMYFUNCTION("""COMPUTED_VALUE"""),"0 to 10")</f>
        <v/>
      </c>
      <c r="O1122" s="1">
        <f>IFERROR(__xludf.DUMMYFUNCTION("""COMPUTED_VALUE"""),"Business to Business, Business to Consumer, Business to Schools")</f>
        <v/>
      </c>
      <c r="P1122" s="1">
        <f>IFERROR(__xludf.DUMMYFUNCTION("""COMPUTED_VALUE"""),"Secondary Education, Higher Education, Corporate Training, Lifelong learning/Adult education")</f>
        <v/>
      </c>
      <c r="Q1122" s="1">
        <f>IFERROR(__xludf.DUMMYFUNCTION("""COMPUTED_VALUE"""),"Student interfacing, Teacher interfacing, System/Administrative")</f>
        <v/>
      </c>
      <c r="R1122" s="1">
        <f>IFERROR(__xludf.DUMMYFUNCTION("""COMPUTED_VALUE"""),"French Lab")</f>
        <v/>
      </c>
      <c r="S1122" s="1">
        <f>IFERROR(__xludf.DUMMYFUNCTION("""COMPUTED_VALUE"""),"French Lab")</f>
        <v/>
      </c>
      <c r="T1122" s="15">
        <f>IFERROR(__xludf.DUMMYFUNCTION("""COMPUTED_VALUE"""),"https://www.linkedin.com/company/french-lab/?viewAsMember=true")</f>
        <v/>
      </c>
      <c r="U1122" s="1">
        <f>IFERROR(__xludf.DUMMYFUNCTION("""COMPUTED_VALUE"""),"A Chatbot app to learn French")</f>
        <v/>
      </c>
      <c r="V1122" s="1">
        <f>IFERROR(__xludf.DUMMYFUNCTION("""COMPUTED_VALUE"""),"Being based on a messaging app, our chatbot delivers French courses the same way you chat with your tutor. Users can test their initial level, follow a curriculum based on CEFR (Common European Framework for Languages) and track their own progress on a pe"&amp;"rsonalized dashboard. 
Using social media as a digital medium, French Lab chatbot app aims at improving access to learning French by offering educational opportunities within one of the most used, accessible and familiar social network.")</f>
        <v/>
      </c>
      <c r="W1122" s="1">
        <f>IFERROR(__xludf.DUMMYFUNCTION("""COMPUTED_VALUE"""),"French Lab Platform")</f>
        <v/>
      </c>
      <c r="X1122" s="1">
        <f>IFERROR(__xludf.DUMMYFUNCTION("""COMPUTED_VALUE"""),"French Lab platform helps educational stakeholders to follow and analyse the cohorts of students using French Lab chatbot on Facebook. 
Once our chatbot is connected to the Facebook page of your choice, the French Lab platform gives teachers and administ"&amp;"rators real-time dashboards so that they can track registrations, students engagement and progress.")</f>
        <v/>
      </c>
      <c r="Y1122" s="15">
        <f>IFERROR(__xludf.DUMMYFUNCTION("""COMPUTED_VALUE"""),"https://drive.google.com/uc?export=view&amp;id=10zIFETR9VnCQbzphZqFNUseA67Zdj6UO")</f>
        <v/>
      </c>
      <c r="Z1122" s="1">
        <f>IFERROR(__xludf.DUMMYFUNCTION("""COMPUTED_VALUE"""),"Unverified")</f>
        <v/>
      </c>
      <c r="AA1122" s="1" t="n"/>
      <c r="AB1122" s="1" t="n"/>
      <c r="AC1122" s="1" t="n"/>
      <c r="AD1122" s="1" t="n"/>
      <c r="AE1122" s="1" t="n"/>
    </row>
    <row r="1123" ht="42" customHeight="1">
      <c r="A1123" s="14">
        <f>IFERROR(__xludf.DUMMYFUNCTION("""COMPUTED_VALUE"""),45181)</f>
        <v/>
      </c>
      <c r="B1123" s="1">
        <f>IFERROR(__xludf.DUMMYFUNCTION("""COMPUTED_VALUE"""),"ORG_1662")</f>
        <v/>
      </c>
      <c r="C1123" s="1">
        <f>IFERROR(__xludf.DUMMYFUNCTION("""COMPUTED_VALUE"""),TRUE)</f>
        <v/>
      </c>
      <c r="D1123" s="1">
        <f>IFERROR(__xludf.DUMMYFUNCTION("""COMPUTED_VALUE"""),"halfonse")</f>
        <v/>
      </c>
      <c r="E1123" s="15">
        <f>IFERROR(__xludf.DUMMYFUNCTION("""COMPUTED_VALUE"""),"https://halfonse.com")</f>
        <v/>
      </c>
      <c r="F1123" s="1">
        <f>IFERROR(__xludf.DUMMYFUNCTION("""COMPUTED_VALUE"""),"halfonse is an online platform that facilitates the educational and administrative follow-up of students in companies.
It allows teaching teams to simply visualize the status of students in internships or work-study programs and to identify the issues to "&amp;"support the progress and professional development of students.
By collecting educational data, halfonse allows higher education institutions to strengthen their relationships with companies, maintain links with students and consolidate their training offe"&amp;"r.
Thanks to the platform digital assistant, which acts as a trusted third party, students can follow their development progress and refine their professional project. On their side, companies are helped to onboard and welcome their students through manag"&amp;"erial contents provided by halfonse. 
The platform gathers schools, students and businesses together to foster professional development and employability.")</f>
        <v/>
      </c>
      <c r="G1123" s="1">
        <f>IFERROR(__xludf.DUMMYFUNCTION("""COMPUTED_VALUE"""),"EdTech France")</f>
        <v/>
      </c>
      <c r="H1123" s="1" t="n"/>
      <c r="I1123" s="1">
        <f>IFERROR(__xludf.DUMMYFUNCTION("""COMPUTED_VALUE"""),"hello@halfonse.com")</f>
        <v/>
      </c>
      <c r="J1123" s="1" t="n"/>
      <c r="K1123" s="1">
        <f>IFERROR(__xludf.DUMMYFUNCTION("""COMPUTED_VALUE"""),"LYON")</f>
        <v/>
      </c>
      <c r="L1123" s="1">
        <f>IFERROR(__xludf.DUMMYFUNCTION("""COMPUTED_VALUE"""),"France")</f>
        <v/>
      </c>
      <c r="M1123" s="1">
        <f>IFERROR(__xludf.DUMMYFUNCTION("""COMPUTED_VALUE"""),"France")</f>
        <v/>
      </c>
      <c r="N1123" s="1">
        <f>IFERROR(__xludf.DUMMYFUNCTION("""COMPUTED_VALUE"""),"0 to 2")</f>
        <v/>
      </c>
      <c r="O1123" s="1">
        <f>IFERROR(__xludf.DUMMYFUNCTION("""COMPUTED_VALUE"""),"Business to Business, Business to Consumer, Business to Schools")</f>
        <v/>
      </c>
      <c r="P1123" s="1">
        <f>IFERROR(__xludf.DUMMYFUNCTION("""COMPUTED_VALUE"""),"Lifelong learning/Adult education, Vocational Education and Training (VET), Higher Education")</f>
        <v/>
      </c>
      <c r="Q1123" s="1">
        <f>IFERROR(__xludf.DUMMYFUNCTION("""COMPUTED_VALUE"""),"Student interfacing, Teacher interfacing, System/Administrative")</f>
        <v/>
      </c>
      <c r="R1123" s="1" t="n"/>
      <c r="S1123" s="15">
        <f>IFERROR(__xludf.DUMMYFUNCTION("""COMPUTED_VALUE"""),"https://twitter.com/GetHalfonse")</f>
        <v/>
      </c>
      <c r="T1123" s="15">
        <f>IFERROR(__xludf.DUMMYFUNCTION("""COMPUTED_VALUE"""),"https://www.linkedin.com/company/halfonse")</f>
        <v/>
      </c>
      <c r="U1123" s="1">
        <f>IFERROR(__xludf.DUMMYFUNCTION("""COMPUTED_VALUE"""),"Internship follow-up")</f>
        <v/>
      </c>
      <c r="V1123" s="1">
        <f>IFERROR(__xludf.DUMMYFUNCTION("""COMPUTED_VALUE"""),"- Follow-up survey
- Detection of alerts
- Internship report
- Internship evaluation
- Global vision of student well-being")</f>
        <v/>
      </c>
      <c r="W1123" s="1">
        <f>IFERROR(__xludf.DUMMYFUNCTION("""COMPUTED_VALUE"""),"Work-Study training program follow-up")</f>
        <v/>
      </c>
      <c r="X1123" s="1">
        <f>IFERROR(__xludf.DUMMYFUNCTION("""COMPUTED_VALUE"""),"- Follow-up survey
- Detection of alerts
- Tracking Points
- Document exchanges
- Global vision of student well-being
Compliant with Work-Study training program obligations")</f>
        <v/>
      </c>
      <c r="Y1123" s="15">
        <f>IFERROR(__xludf.DUMMYFUNCTION("""COMPUTED_VALUE"""),"https://drive.google.com/uc?export=view&amp;id=1dhZWAW57pRo4MtrONDpYx4V5CxzN81Gn")</f>
        <v/>
      </c>
      <c r="Z1123" s="1">
        <f>IFERROR(__xludf.DUMMYFUNCTION("""COMPUTED_VALUE"""),"Unverified")</f>
        <v/>
      </c>
      <c r="AA1123" s="1" t="n"/>
      <c r="AB1123" s="1" t="n"/>
      <c r="AC1123" s="1" t="n"/>
      <c r="AD1123" s="1" t="n"/>
      <c r="AE1123" s="1" t="n"/>
    </row>
    <row r="1124" ht="42" customHeight="1">
      <c r="A1124" s="14">
        <f>IFERROR(__xludf.DUMMYFUNCTION("""COMPUTED_VALUE"""),45181)</f>
        <v/>
      </c>
      <c r="B1124" s="1">
        <f>IFERROR(__xludf.DUMMYFUNCTION("""COMPUTED_VALUE"""),"ORG_1672")</f>
        <v/>
      </c>
      <c r="C1124" s="1">
        <f>IFERROR(__xludf.DUMMYFUNCTION("""COMPUTED_VALUE"""),TRUE)</f>
        <v/>
      </c>
      <c r="D1124" s="1">
        <f>IFERROR(__xludf.DUMMYFUNCTION("""COMPUTED_VALUE"""),"HelloWork Group")</f>
        <v/>
      </c>
      <c r="E1124" s="15">
        <f>IFERROR(__xludf.DUMMYFUNCTION("""COMPUTED_VALUE"""),"https://www.hellowork-group.com/")</f>
        <v/>
      </c>
      <c r="F1124" s="1">
        <f>IFERROR(__xludf.DUMMYFUNCTION("""COMPUTED_VALUE"""),"HelloWork Group is the leading digital player in France for employment, recruitment and training, supports workers throughout their professional life, and companies, recruitment consultants and trainers in their HR challenges and recruitment, and helps tr"&amp;"aining centres/schools develop their training products. 
HelloWork Group builds 2 Edtech platforms :
•	the professional training platform MaFormation.fr
•	the platform for guidance in higher education Diplomeo.com
In 2021, those 2 platforms have brought"&amp;" more than 1 million of French people together with training organisations, schools or university students and staff.")</f>
        <v/>
      </c>
      <c r="G1124" s="1">
        <f>IFERROR(__xludf.DUMMYFUNCTION("""COMPUTED_VALUE"""),"EdTech France")</f>
        <v/>
      </c>
      <c r="H1124" s="1" t="n"/>
      <c r="I1124" s="1">
        <f>IFERROR(__xludf.DUMMYFUNCTION("""COMPUTED_VALUE"""),"contact@hellowork.com")</f>
        <v/>
      </c>
      <c r="J1124" s="1" t="n"/>
      <c r="K1124" s="1">
        <f>IFERROR(__xludf.DUMMYFUNCTION("""COMPUTED_VALUE"""),"RENNES")</f>
        <v/>
      </c>
      <c r="L1124" s="1">
        <f>IFERROR(__xludf.DUMMYFUNCTION("""COMPUTED_VALUE"""),"France")</f>
        <v/>
      </c>
      <c r="M1124" s="1">
        <f>IFERROR(__xludf.DUMMYFUNCTION("""COMPUTED_VALUE"""),"France")</f>
        <v/>
      </c>
      <c r="N1124" s="1">
        <f>IFERROR(__xludf.DUMMYFUNCTION("""COMPUTED_VALUE"""),"100+")</f>
        <v/>
      </c>
      <c r="O1124" s="1">
        <f>IFERROR(__xludf.DUMMYFUNCTION("""COMPUTED_VALUE"""),"Business to Business, Business to Consumer, Business to Schools")</f>
        <v/>
      </c>
      <c r="P1124" s="1">
        <f>IFERROR(__xludf.DUMMYFUNCTION("""COMPUTED_VALUE"""),"Higher Education, Corporate Training, Lifelong learning/Adult education")</f>
        <v/>
      </c>
      <c r="Q1124" s="1">
        <f>IFERROR(__xludf.DUMMYFUNCTION("""COMPUTED_VALUE"""),"System/Administrative, Student interfacing, Teacher interfacing")</f>
        <v/>
      </c>
      <c r="R1124" s="1" t="n"/>
      <c r="S1124" s="15">
        <f>IFERROR(__xludf.DUMMYFUNCTION("""COMPUTED_VALUE"""),"https://twitter.com/helloworkgroup")</f>
        <v/>
      </c>
      <c r="T1124" s="15">
        <f>IFERROR(__xludf.DUMMYFUNCTION("""COMPUTED_VALUE"""),"https://www.linkedin.com/company/helloworkcom/")</f>
        <v/>
      </c>
      <c r="U1124" s="15">
        <f>IFERROR(__xludf.DUMMYFUNCTION("""COMPUTED_VALUE"""),"MaFormation.fr")</f>
        <v/>
      </c>
      <c r="V1124" s="1">
        <f>IFERROR(__xludf.DUMMYFUNCTION("""COMPUTED_VALUE"""),"- MaFormation, the platform dedicated to professional training -
MaFormation.fr is the first private platform to connect candidates and training organizations in France.
Edited by HelloWork Group, it will have more than 1 million users each month by 202"&amp;"1. As an expert in the sector, MaFormation assists working people in their search for professional training, notably with news on their rights and procedures, as well as trend analyses. In May 2022, nearly 400,000 training courses are available on the pla"&amp;"tform.")</f>
        <v/>
      </c>
      <c r="W1124" s="1">
        <f>IFERROR(__xludf.DUMMYFUNCTION("""COMPUTED_VALUE"""),"Diplomeo")</f>
        <v/>
      </c>
      <c r="X1124" s="1">
        <f>IFERROR(__xludf.DUMMYFUNCTION("""COMPUTED_VALUE"""),"- Diplomeo, the platform dedicated to higher education orientation -
Diplomeo is the first platform to connect students and higher education institutions in France. 
Edited by HelloWork Group, the platform accompanies each year more than 40% of high scho"&amp;"ol graduates and their parents in their search for education.
More than 300,000 future students are put in contact each year with the more than 15,000 schools listed on Diplomeo.com
The students can also learn about their future school by discovering ph"&amp;"otos and videos of the premises and testimonies of current students. Many news about orientation, diplomas or procedures are also proposed.")</f>
        <v/>
      </c>
      <c r="Y1124" s="15">
        <f>IFERROR(__xludf.DUMMYFUNCTION("""COMPUTED_VALUE"""),"https://drive.google.com/uc?export=view&amp;id=1y1mKcFMyZQAk-Cu9psKnqN9bF75hOfaL")</f>
        <v/>
      </c>
      <c r="Z1124" s="1">
        <f>IFERROR(__xludf.DUMMYFUNCTION("""COMPUTED_VALUE"""),"Unverified")</f>
        <v/>
      </c>
      <c r="AA1124" s="1" t="n"/>
      <c r="AB1124" s="1" t="n"/>
      <c r="AC1124" s="1" t="n"/>
      <c r="AD1124" s="1" t="n"/>
      <c r="AE1124" s="1" t="n"/>
    </row>
    <row r="1125" ht="42" customHeight="1">
      <c r="A1125" s="14">
        <f>IFERROR(__xludf.DUMMYFUNCTION("""COMPUTED_VALUE"""),45181)</f>
        <v/>
      </c>
      <c r="B1125" s="1">
        <f>IFERROR(__xludf.DUMMYFUNCTION("""COMPUTED_VALUE"""),"ORG_1697")</f>
        <v/>
      </c>
      <c r="C1125" s="1">
        <f>IFERROR(__xludf.DUMMYFUNCTION("""COMPUTED_VALUE"""),TRUE)</f>
        <v/>
      </c>
      <c r="D1125" s="1">
        <f>IFERROR(__xludf.DUMMYFUNCTION("""COMPUTED_VALUE"""),"HYPNOLEDGE")</f>
        <v/>
      </c>
      <c r="E1125" s="15">
        <f>IFERROR(__xludf.DUMMYFUNCTION("""COMPUTED_VALUE"""),"www.hypnoledge.com")</f>
        <v/>
      </c>
      <c r="F1125" s="1">
        <f>IFERROR(__xludf.DUMMYFUNCTION("""COMPUTED_VALUE"""),"Founded by psychologist, hypnotherapists and native speakers, Hypnoledge is a Elearning solution to learn foreign languages through hypnosis. The objective is to associate language learning and personal growth/self awareness. Thanks to a unique sensory im"&amp;"mersion, the user finds himself in a state of hyperconcentration, deep relaxation that enables to overcome emotional barriers and boost confidence so one can reveal their full potential")</f>
        <v/>
      </c>
      <c r="G1125" s="1">
        <f>IFERROR(__xludf.DUMMYFUNCTION("""COMPUTED_VALUE"""),"EdTech France")</f>
        <v/>
      </c>
      <c r="H1125" s="1" t="n"/>
      <c r="I1125" s="1">
        <f>IFERROR(__xludf.DUMMYFUNCTION("""COMPUTED_VALUE"""),"pierre-yves@hypnoledge.com")</f>
        <v/>
      </c>
      <c r="J1125" s="1">
        <f>IFERROR(__xludf.DUMMYFUNCTION("""COMPUTED_VALUE"""),"671806200")</f>
        <v/>
      </c>
      <c r="K1125" s="1">
        <f>IFERROR(__xludf.DUMMYFUNCTION("""COMPUTED_VALUE"""),"Bordeaux")</f>
        <v/>
      </c>
      <c r="L1125" s="1">
        <f>IFERROR(__xludf.DUMMYFUNCTION("""COMPUTED_VALUE"""),"France")</f>
        <v/>
      </c>
      <c r="M1125" s="1">
        <f>IFERROR(__xludf.DUMMYFUNCTION("""COMPUTED_VALUE"""),"Belgium, France, Spain, United Kingdom")</f>
        <v/>
      </c>
      <c r="N1125" s="1">
        <f>IFERROR(__xludf.DUMMYFUNCTION("""COMPUTED_VALUE"""),"0 to 10")</f>
        <v/>
      </c>
      <c r="O1125" s="1">
        <f>IFERROR(__xludf.DUMMYFUNCTION("""COMPUTED_VALUE"""),"Business to Business, Business to Government")</f>
        <v/>
      </c>
      <c r="P1125" s="1">
        <f>IFERROR(__xludf.DUMMYFUNCTION("""COMPUTED_VALUE"""),"Primary Education, Secondary Education, Higher Education, Corporate Training, Lifelong learning/Adult education")</f>
        <v/>
      </c>
      <c r="Q1125" s="1">
        <f>IFERROR(__xludf.DUMMYFUNCTION("""COMPUTED_VALUE"""),"System/Administrative, Student interfacing, Teacher interfacing")</f>
        <v/>
      </c>
      <c r="R1125" s="15">
        <f>IFERROR(__xludf.DUMMYFUNCTION("""COMPUTED_VALUE"""),"https://www.instagram.com/hypnoledge/")</f>
        <v/>
      </c>
      <c r="S1125" s="1" t="n"/>
      <c r="T1125" s="15">
        <f>IFERROR(__xludf.DUMMYFUNCTION("""COMPUTED_VALUE"""),"https://www.linkedin.com/company/hypnoledge")</f>
        <v/>
      </c>
      <c r="U1125" s="1">
        <f>IFERROR(__xludf.DUMMYFUNCTION("""COMPUTED_VALUE"""),"Languages")</f>
        <v/>
      </c>
      <c r="V1125" s="1">
        <f>IFERROR(__xludf.DUMMYFUNCTION("""COMPUTED_VALUE"""),"Our solution is available for french, spanish and english speakers
5 languages available: French, English, Italian, Spanish, German
4 levels Help")</f>
        <v/>
      </c>
      <c r="W1125" s="1">
        <f>IFERROR(__xludf.DUMMYFUNCTION("""COMPUTED_VALUE"""),"Soft Skills")</f>
        <v/>
      </c>
      <c r="X1125" s="1" t="n"/>
      <c r="Y1125" s="15">
        <f>IFERROR(__xludf.DUMMYFUNCTION("""COMPUTED_VALUE"""),"https://drive.google.com/uc?export=view&amp;id=1pRQ55hCd9YswBOb9F2DHaFOPDkdwbZ54")</f>
        <v/>
      </c>
      <c r="Z1125" s="1">
        <f>IFERROR(__xludf.DUMMYFUNCTION("""COMPUTED_VALUE"""),"Unverified")</f>
        <v/>
      </c>
      <c r="AA1125" s="1" t="n"/>
      <c r="AB1125" s="1" t="n"/>
      <c r="AC1125" s="1" t="n"/>
      <c r="AD1125" s="1" t="n"/>
      <c r="AE1125" s="1" t="n"/>
    </row>
    <row r="1126" ht="42" customHeight="1">
      <c r="A1126" s="14">
        <f>IFERROR(__xludf.DUMMYFUNCTION("""COMPUTED_VALUE"""),45181)</f>
        <v/>
      </c>
      <c r="B1126" s="1">
        <f>IFERROR(__xludf.DUMMYFUNCTION("""COMPUTED_VALUE"""),"ORG_1785")</f>
        <v/>
      </c>
      <c r="C1126" s="1">
        <f>IFERROR(__xludf.DUMMYFUNCTION("""COMPUTED_VALUE"""),TRUE)</f>
        <v/>
      </c>
      <c r="D1126" s="1">
        <f>IFERROR(__xludf.DUMMYFUNCTION("""COMPUTED_VALUE"""),"KOBI")</f>
        <v/>
      </c>
      <c r="E1126" s="15">
        <f>IFERROR(__xludf.DUMMYFUNCTION("""COMPUTED_VALUE"""),"https://kobiapp.io")</f>
        <v/>
      </c>
      <c r="F1126" s="1">
        <f>IFERROR(__xludf.DUMMYFUNCTION("""COMPUTED_VALUE"""),"Hopalai is developing tech (and no-tech) for children who have difficulty learning to read, with a mission to make reading a happy experience for all children. Hopalai's core product is KOBI, a specialised reader app that provides necessary adjustments, g"&amp;"uidance, and progress tracking. It is effective, multilingual, user-friendly and beautiful - and promotes a child's intrinsic motivation. KOBI has become a trusted brand and edtech provider in Slovenia and is available globally since 2022.")</f>
        <v/>
      </c>
      <c r="G1126" s="1">
        <f>IFERROR(__xludf.DUMMYFUNCTION("""COMPUTED_VALUE"""),"EdTech Slovenia")</f>
        <v/>
      </c>
      <c r="H1126" s="1">
        <f>IFERROR(__xludf.DUMMYFUNCTION("""COMPUTED_VALUE"""),"English, Spanish, Slovenian, Dutch")</f>
        <v/>
      </c>
      <c r="I1126" s="1">
        <f>IFERROR(__xludf.DUMMYFUNCTION("""COMPUTED_VALUE"""),"kobi@kobiapp.io")</f>
        <v/>
      </c>
      <c r="J1126" s="1">
        <f>IFERROR(__xludf.DUMMYFUNCTION("""COMPUTED_VALUE"""),"+38651730327")</f>
        <v/>
      </c>
      <c r="K1126" s="1">
        <f>IFERROR(__xludf.DUMMYFUNCTION("""COMPUTED_VALUE"""),"SEMPETER PRI NOVI GORICI")</f>
        <v/>
      </c>
      <c r="L1126" s="1">
        <f>IFERROR(__xludf.DUMMYFUNCTION("""COMPUTED_VALUE"""),"Slovenia")</f>
        <v/>
      </c>
      <c r="M1126" s="1">
        <f>IFERROR(__xludf.DUMMYFUNCTION("""COMPUTED_VALUE"""),"Belgium, Germany, Ireland, Italy, Netherlands, Slovenia, Spain, Switzerland, United Kingdom")</f>
        <v/>
      </c>
      <c r="N1126" s="1">
        <f>IFERROR(__xludf.DUMMYFUNCTION("""COMPUTED_VALUE"""),"3 to 5")</f>
        <v/>
      </c>
      <c r="O1126" s="1">
        <f>IFERROR(__xludf.DUMMYFUNCTION("""COMPUTED_VALUE"""),"Business to Business, Business to Government, Business to Schools")</f>
        <v/>
      </c>
      <c r="P1126" s="1">
        <f>IFERROR(__xludf.DUMMYFUNCTION("""COMPUTED_VALUE"""),"Early childhood development (0-5 years), Primary Education")</f>
        <v/>
      </c>
      <c r="Q1126" s="1">
        <f>IFERROR(__xludf.DUMMYFUNCTION("""COMPUTED_VALUE"""),"System/Administrative, Student interfacing, Teacher interfacing")</f>
        <v/>
      </c>
      <c r="R1126" s="1" t="n"/>
      <c r="S1126" s="1" t="n"/>
      <c r="T1126" s="1" t="n"/>
      <c r="U1126" s="1">
        <f>IFERROR(__xludf.DUMMYFUNCTION("""COMPUTED_VALUE"""),"KOBI Helps Children Read")</f>
        <v/>
      </c>
      <c r="V1126" s="1">
        <f>IFERROR(__xludf.DUMMYFUNCTION("""COMPUTED_VALUE"""),"KOBI is a premium subscription eReader app for children with dyslexia, ADHD, and those who are looking to improve their reading skills. Our eReader is designed with innovative and proven methods, tested by experts and approved by kids. With over 1 million"&amp;" minutes read in the past year, nearly 97% of our users agree that Kobi is the best eReader for children with learning differences on the market.")</f>
        <v/>
      </c>
      <c r="W1126" s="1" t="n"/>
      <c r="X1126" s="1" t="n"/>
      <c r="Y1126" s="15">
        <f>IFERROR(__xludf.DUMMYFUNCTION("""COMPUTED_VALUE"""),"https://drive.google.com/uc?export=view&amp;id=1DKvbZiSfu6NtenK9icr0BAbJfKvTHPqV")</f>
        <v/>
      </c>
      <c r="Z1126" s="1">
        <f>IFERROR(__xludf.DUMMYFUNCTION("""COMPUTED_VALUE"""),"Unverified")</f>
        <v/>
      </c>
      <c r="AA1126" s="1" t="n"/>
      <c r="AB1126" s="1" t="n"/>
      <c r="AC1126" s="1" t="n"/>
      <c r="AD1126" s="1" t="n"/>
      <c r="AE1126" s="1" t="n"/>
    </row>
    <row r="1127" ht="42" customHeight="1">
      <c r="A1127" s="14">
        <f>IFERROR(__xludf.DUMMYFUNCTION("""COMPUTED_VALUE"""),45181)</f>
        <v/>
      </c>
      <c r="B1127" s="1">
        <f>IFERROR(__xludf.DUMMYFUNCTION("""COMPUTED_VALUE"""),"ORG_1870")</f>
        <v/>
      </c>
      <c r="C1127" s="1">
        <f>IFERROR(__xludf.DUMMYFUNCTION("""COMPUTED_VALUE"""),TRUE)</f>
        <v/>
      </c>
      <c r="D1127" s="1">
        <f>IFERROR(__xludf.DUMMYFUNCTION("""COMPUTED_VALUE"""),"Liber")</f>
        <v/>
      </c>
      <c r="E1127" s="15">
        <f>IFERROR(__xludf.DUMMYFUNCTION("""COMPUTED_VALUE"""),"liber.se")</f>
        <v/>
      </c>
      <c r="F1127" s="1">
        <f>IFERROR(__xludf.DUMMYFUNCTION("""COMPUTED_VALUE"""),"Liber is an Educational Publisher serving the Swedish market with printed and digital products from pre-school to Higher Education.")</f>
        <v/>
      </c>
      <c r="G1127" s="1">
        <f>IFERROR(__xludf.DUMMYFUNCTION("""COMPUTED_VALUE"""),"Swedish EdTech Industry")</f>
        <v/>
      </c>
      <c r="H1127" s="1" t="n"/>
      <c r="I1127" s="1">
        <f>IFERROR(__xludf.DUMMYFUNCTION("""COMPUTED_VALUE"""),"joke.palmkvist@liber.se")</f>
        <v/>
      </c>
      <c r="J1127" s="1" t="n"/>
      <c r="K1127" s="1">
        <f>IFERROR(__xludf.DUMMYFUNCTION("""COMPUTED_VALUE"""),"Stockholm")</f>
        <v/>
      </c>
      <c r="L1127" s="1">
        <f>IFERROR(__xludf.DUMMYFUNCTION("""COMPUTED_VALUE"""),"Sweden")</f>
        <v/>
      </c>
      <c r="M1127" s="1">
        <f>IFERROR(__xludf.DUMMYFUNCTION("""COMPUTED_VALUE"""),"Sweden")</f>
        <v/>
      </c>
      <c r="N1127" s="1">
        <f>IFERROR(__xludf.DUMMYFUNCTION("""COMPUTED_VALUE"""),"100+")</f>
        <v/>
      </c>
      <c r="O1127" s="1">
        <f>IFERROR(__xludf.DUMMYFUNCTION("""COMPUTED_VALUE"""),"Business to Business, Business to Government, Business to Schools")</f>
        <v/>
      </c>
      <c r="P1127" s="1">
        <f>IFERROR(__xludf.DUMMYFUNCTION("""COMPUTED_VALUE"""),"Early childhood development (0-5 years), Primary Education, Secondary Education, Higher Education, Corporate Training, Lifelong learning/Adult education")</f>
        <v/>
      </c>
      <c r="Q1127" s="1">
        <f>IFERROR(__xludf.DUMMYFUNCTION("""COMPUTED_VALUE"""),"Student interfacing, Teacher interfacing, System/Administrative")</f>
        <v/>
      </c>
      <c r="R1127" s="1">
        <f>IFERROR(__xludf.DUMMYFUNCTION("""COMPUTED_VALUE"""),"@liber.se")</f>
        <v/>
      </c>
      <c r="S1127" s="1">
        <f>IFERROR(__xludf.DUMMYFUNCTION("""COMPUTED_VALUE"""),"@LiberAB")</f>
        <v/>
      </c>
      <c r="T1127" s="15">
        <f>IFERROR(__xludf.DUMMYFUNCTION("""COMPUTED_VALUE"""),"https://www.linkedin.com/company/liber-ab")</f>
        <v/>
      </c>
      <c r="U1127" s="1">
        <f>IFERROR(__xludf.DUMMYFUNCTION("""COMPUTED_VALUE"""),"Blended material")</f>
        <v/>
      </c>
      <c r="V1127" s="1">
        <f>IFERROR(__xludf.DUMMYFUNCTION("""COMPUTED_VALUE"""),"Liber offers fully digital and/or blended products for all Educational segments and for a large variety of subjects.")</f>
        <v/>
      </c>
      <c r="W1127" s="1" t="n"/>
      <c r="X1127" s="1" t="n"/>
      <c r="Y1127" s="15">
        <f>IFERROR(__xludf.DUMMYFUNCTION("""COMPUTED_VALUE"""),"https://drive.google.com/uc?export=view&amp;id=1Z0cvhsQA8I_GgnDTJ64_s1PQHJUOwCDV")</f>
        <v/>
      </c>
      <c r="Z1127" s="1">
        <f>IFERROR(__xludf.DUMMYFUNCTION("""COMPUTED_VALUE"""),"Unverified")</f>
        <v/>
      </c>
      <c r="AA1127" s="1" t="n"/>
      <c r="AB1127" s="1" t="n"/>
      <c r="AC1127" s="1" t="n"/>
      <c r="AD1127" s="1" t="n"/>
      <c r="AE1127" s="1" t="n"/>
    </row>
    <row r="1128" ht="42" customHeight="1">
      <c r="A1128" s="14">
        <f>IFERROR(__xludf.DUMMYFUNCTION("""COMPUTED_VALUE"""),45181)</f>
        <v/>
      </c>
      <c r="B1128" s="1">
        <f>IFERROR(__xludf.DUMMYFUNCTION("""COMPUTED_VALUE"""),"ORG_1872")</f>
        <v/>
      </c>
      <c r="C1128" s="1">
        <f>IFERROR(__xludf.DUMMYFUNCTION("""COMPUTED_VALUE"""),TRUE)</f>
        <v/>
      </c>
      <c r="D1128" s="1">
        <f>IFERROR(__xludf.DUMMYFUNCTION("""COMPUTED_VALUE"""),"Lifeed")</f>
        <v/>
      </c>
      <c r="E1128" s="15">
        <f>IFERROR(__xludf.DUMMYFUNCTION("""COMPUTED_VALUE"""),"https://lifeed.io/en/")</f>
        <v/>
      </c>
      <c r="F1128" s="1">
        <f>IFERROR(__xludf.DUMMYFUNCTION("""COMPUTED_VALUE"""),"Lifeed® by LBV is the Education Technology company that has been creating innovative solutions for the development and sustainability of human capital since 2015. Through a proprietary learning method, Life Based Learning®, Lifeed® transforms life transit"&amp;"ions and care relationships into opportunities of learning and development of soft skills, which increase up to 35%. Cited by McKinsey &amp; Company as one of the 10 most innovative and inclusive reskilling initiatives in the world, the Lifeed® digital platfo"&amp;"rm is now used by over 30,000 people in 80 companies. Lifeed® is also the first and only Italian company among the 16 rapidly growing disruptive and innovative companies selected by Unreasonable Group to join the Unreasonable Future community, the interna"&amp;"tional program created to help co-plan the future of the world of work.")</f>
        <v/>
      </c>
      <c r="G1128" s="1">
        <f>IFERROR(__xludf.DUMMYFUNCTION("""COMPUTED_VALUE"""),"I'm not part of any EdTech association")</f>
        <v/>
      </c>
      <c r="H1128" s="1" t="n"/>
      <c r="I1128" s="1">
        <f>IFERROR(__xludf.DUMMYFUNCTION("""COMPUTED_VALUE"""),"info@lifeed.io")</f>
        <v/>
      </c>
      <c r="J1128" s="1" t="n"/>
      <c r="K1128" s="1">
        <f>IFERROR(__xludf.DUMMYFUNCTION("""COMPUTED_VALUE"""),"MILAN")</f>
        <v/>
      </c>
      <c r="L1128" s="1">
        <f>IFERROR(__xludf.DUMMYFUNCTION("""COMPUTED_VALUE"""),"Italy")</f>
        <v/>
      </c>
      <c r="M1128" s="1">
        <f>IFERROR(__xludf.DUMMYFUNCTION("""COMPUTED_VALUE"""),"Italy, United Kingdom")</f>
        <v/>
      </c>
      <c r="N1128" s="1">
        <f>IFERROR(__xludf.DUMMYFUNCTION("""COMPUTED_VALUE"""),"11 to 50")</f>
        <v/>
      </c>
      <c r="O1128" s="1">
        <f>IFERROR(__xludf.DUMMYFUNCTION("""COMPUTED_VALUE"""),"Business to Business, Business to Government, Business to Schools")</f>
        <v/>
      </c>
      <c r="P1128" s="1">
        <f>IFERROR(__xludf.DUMMYFUNCTION("""COMPUTED_VALUE"""),"Corporate Training, Lifelong learning/Adult education")</f>
        <v/>
      </c>
      <c r="Q1128" s="1">
        <f>IFERROR(__xludf.DUMMYFUNCTION("""COMPUTED_VALUE"""),"System/Administrative, Student interfacing")</f>
        <v/>
      </c>
      <c r="R1128" s="1" t="n"/>
      <c r="S1128" s="1" t="n"/>
      <c r="T1128" s="1" t="n"/>
      <c r="U1128" s="1" t="n"/>
      <c r="V1128" s="1" t="n"/>
      <c r="W1128" s="1" t="n"/>
      <c r="X1128" s="1" t="n"/>
      <c r="Y1128" s="15">
        <f>IFERROR(__xludf.DUMMYFUNCTION("""COMPUTED_VALUE"""),"https://drive.google.com/uc?export=view&amp;id=14yaaUe2PSEVHUwQi8Zo7gTqTJPpns8xT")</f>
        <v/>
      </c>
      <c r="Z1128" s="1">
        <f>IFERROR(__xludf.DUMMYFUNCTION("""COMPUTED_VALUE"""),"Unverified")</f>
        <v/>
      </c>
      <c r="AA1128" s="1" t="n"/>
      <c r="AB1128" s="1" t="n"/>
      <c r="AC1128" s="1" t="n"/>
      <c r="AD1128" s="1" t="n"/>
      <c r="AE1128" s="1" t="n"/>
    </row>
    <row r="1129" ht="42" customHeight="1">
      <c r="A1129" s="14">
        <f>IFERROR(__xludf.DUMMYFUNCTION("""COMPUTED_VALUE"""),45181)</f>
        <v/>
      </c>
      <c r="B1129" s="1">
        <f>IFERROR(__xludf.DUMMYFUNCTION("""COMPUTED_VALUE"""),"ORG_1940")</f>
        <v/>
      </c>
      <c r="C1129" s="1">
        <f>IFERROR(__xludf.DUMMYFUNCTION("""COMPUTED_VALUE"""),TRUE)</f>
        <v/>
      </c>
      <c r="D1129" s="1">
        <f>IFERROR(__xludf.DUMMYFUNCTION("""COMPUTED_VALUE"""),"Meek Ventures")</f>
        <v/>
      </c>
      <c r="E1129" s="15">
        <f>IFERROR(__xludf.DUMMYFUNCTION("""COMPUTED_VALUE"""),"www.meek.ventures")</f>
        <v/>
      </c>
      <c r="F1129" s="1">
        <f>IFERROR(__xludf.DUMMYFUNCTION("""COMPUTED_VALUE"""),"Meek is a unique platform and ecosystem where students, entrepreneurs, mentors and investors co-create success stories.
A place to engage with like-minded people who want to set up their start-up dreams, find people or groups with similar ideas, collabora"&amp;"te with businesses, learn and grow. A place for mentors and investors to seek ideas and start-ups to invest in.
Meek provides the capabilities through learning, societies, skills and networks to scale an idea and streamline the entrepreneurial journey.")</f>
        <v/>
      </c>
      <c r="G1129" s="1">
        <f>IFERROR(__xludf.DUMMYFUNCTION("""COMPUTED_VALUE"""),"I'm not part of any EdTech association")</f>
        <v/>
      </c>
      <c r="H1129" s="1" t="n"/>
      <c r="I1129" s="1">
        <f>IFERROR(__xludf.DUMMYFUNCTION("""COMPUTED_VALUE"""),"david@meek.ventures")</f>
        <v/>
      </c>
      <c r="J1129" s="1">
        <f>IFERROR(__xludf.DUMMYFUNCTION("""COMPUTED_VALUE"""),"0044 7398 758421")</f>
        <v/>
      </c>
      <c r="K1129" s="1">
        <f>IFERROR(__xludf.DUMMYFUNCTION("""COMPUTED_VALUE"""),"WATLINGTON")</f>
        <v/>
      </c>
      <c r="L1129" s="1">
        <f>IFERROR(__xludf.DUMMYFUNCTION("""COMPUTED_VALUE"""),"United Kingdom")</f>
        <v/>
      </c>
      <c r="M1129" s="1">
        <f>IFERROR(__xludf.DUMMYFUNCTION("""COMPUTED_VALUE"""),"United Kingdom")</f>
        <v/>
      </c>
      <c r="N1129" s="1">
        <f>IFERROR(__xludf.DUMMYFUNCTION("""COMPUTED_VALUE"""),"11 to 50")</f>
        <v/>
      </c>
      <c r="O1129" s="1">
        <f>IFERROR(__xludf.DUMMYFUNCTION("""COMPUTED_VALUE"""),"Business to Business, Business to Government, Business to Schools")</f>
        <v/>
      </c>
      <c r="P1129" s="1">
        <f>IFERROR(__xludf.DUMMYFUNCTION("""COMPUTED_VALUE"""),"Higher Education, Corporate Training, Lifelong learning/Adult education")</f>
        <v/>
      </c>
      <c r="Q1129" s="1">
        <f>IFERROR(__xludf.DUMMYFUNCTION("""COMPUTED_VALUE"""),"Student interfacing, Teacher interfacing, System/Administrative")</f>
        <v/>
      </c>
      <c r="R1129" s="1" t="n"/>
      <c r="S1129" s="1" t="n"/>
      <c r="T1129" s="1" t="n"/>
      <c r="U1129" s="1" t="n"/>
      <c r="V1129" s="1" t="n"/>
      <c r="W1129" s="1" t="n"/>
      <c r="X1129" s="1" t="n"/>
      <c r="Y1129" s="15">
        <f>IFERROR(__xludf.DUMMYFUNCTION("""COMPUTED_VALUE"""),"https://drive.google.com/uc?export=view&amp;id=1os1Xez8U30hKK1JTpHDUCvcK-LvrRvtg")</f>
        <v/>
      </c>
      <c r="Z1129" s="1">
        <f>IFERROR(__xludf.DUMMYFUNCTION("""COMPUTED_VALUE"""),"Unverified")</f>
        <v/>
      </c>
      <c r="AA1129" s="1" t="n"/>
      <c r="AB1129" s="1" t="n"/>
      <c r="AC1129" s="1" t="n"/>
      <c r="AD1129" s="1" t="n"/>
      <c r="AE1129" s="1" t="n"/>
    </row>
    <row r="1130" ht="42" customHeight="1">
      <c r="A1130" s="14">
        <f>IFERROR(__xludf.DUMMYFUNCTION("""COMPUTED_VALUE"""),45181)</f>
        <v/>
      </c>
      <c r="B1130" s="1">
        <f>IFERROR(__xludf.DUMMYFUNCTION("""COMPUTED_VALUE"""),"ORG_1963")</f>
        <v/>
      </c>
      <c r="C1130" s="1">
        <f>IFERROR(__xludf.DUMMYFUNCTION("""COMPUTED_VALUE"""),TRUE)</f>
        <v/>
      </c>
      <c r="D1130" s="1">
        <f>IFERROR(__xludf.DUMMYFUNCTION("""COMPUTED_VALUE"""),"Mightifier")</f>
        <v/>
      </c>
      <c r="E1130" s="15">
        <f>IFERROR(__xludf.DUMMYFUNCTION("""COMPUTED_VALUE"""),"https://mightifier.com/")</f>
        <v/>
      </c>
      <c r="F1130" s="1">
        <f>IFERROR(__xludf.DUMMYFUNCTION("""COMPUTED_VALUE"""),"Mightifier is a social-emotional learning and character development company. We provide professional training, SEL curriculum K-12 and self and peer evaluations on personal character development and emotional well-being. 
Using the program regularly impr"&amp;"oves classroom spirit and creates a strong sense of belonging. There’s less bullying and more positive interactions between students. Also, Mightifier boosts self-awareness – students recognize their own and other’s strengths. Finally, the program also de"&amp;"velops language skills and students can evaluate their own and other’s behaviour and communicate more openly.")</f>
        <v/>
      </c>
      <c r="G1130" s="1">
        <f>IFERROR(__xludf.DUMMYFUNCTION("""COMPUTED_VALUE"""),"EdTech Finland")</f>
        <v/>
      </c>
      <c r="H1130" s="1" t="n"/>
      <c r="I1130" s="1">
        <f>IFERROR(__xludf.DUMMYFUNCTION("""COMPUTED_VALUE"""),"hello@mightifier.com")</f>
        <v/>
      </c>
      <c r="J1130" s="1" t="n"/>
      <c r="K1130" s="1">
        <f>IFERROR(__xludf.DUMMYFUNCTION("""COMPUTED_VALUE"""),"Helsinki")</f>
        <v/>
      </c>
      <c r="L1130" s="1">
        <f>IFERROR(__xludf.DUMMYFUNCTION("""COMPUTED_VALUE"""),"Finland")</f>
        <v/>
      </c>
      <c r="M1130" s="1">
        <f>IFERROR(__xludf.DUMMYFUNCTION("""COMPUTED_VALUE"""),"Finland, Malta, United Kingdom")</f>
        <v/>
      </c>
      <c r="N1130" s="1">
        <f>IFERROR(__xludf.DUMMYFUNCTION("""COMPUTED_VALUE"""),"0 to 10")</f>
        <v/>
      </c>
      <c r="O1130" s="1">
        <f>IFERROR(__xludf.DUMMYFUNCTION("""COMPUTED_VALUE"""),"Business to Business, Business to Schools")</f>
        <v/>
      </c>
      <c r="P1130" s="1">
        <f>IFERROR(__xludf.DUMMYFUNCTION("""COMPUTED_VALUE"""),"Early childhood development (0-5 years), Primary Education, Secondary Education")</f>
        <v/>
      </c>
      <c r="Q1130" s="1">
        <f>IFERROR(__xludf.DUMMYFUNCTION("""COMPUTED_VALUE"""),"Teacher interfacing")</f>
        <v/>
      </c>
      <c r="R1130" s="1" t="n"/>
      <c r="S1130" s="1" t="n"/>
      <c r="T1130" s="1">
        <f>IFERROR(__xludf.DUMMYFUNCTION("""COMPUTED_VALUE"""),"Mightifier")</f>
        <v/>
      </c>
      <c r="U1130" s="1">
        <f>IFERROR(__xludf.DUMMYFUNCTION("""COMPUTED_VALUE"""),"Mightifier")</f>
        <v/>
      </c>
      <c r="V1130" s="1">
        <f>IFERROR(__xludf.DUMMYFUNCTION("""COMPUTED_VALUE"""),"Mightifier program is for K-12 educational institutions. We empower school leaders and teachers to implement SEL with impact in their schools.")</f>
        <v/>
      </c>
      <c r="W1130" s="1" t="n"/>
      <c r="X1130" s="1" t="n"/>
      <c r="Y1130" s="15">
        <f>IFERROR(__xludf.DUMMYFUNCTION("""COMPUTED_VALUE"""),"https://drive.google.com/uc?export=view&amp;id=1BHhnIib2H2NWAc8-XhTTmarNh3YdPwaI")</f>
        <v/>
      </c>
      <c r="Z1130" s="1">
        <f>IFERROR(__xludf.DUMMYFUNCTION("""COMPUTED_VALUE"""),"Unverified")</f>
        <v/>
      </c>
      <c r="AA1130" s="1" t="n"/>
      <c r="AB1130" s="1" t="n"/>
      <c r="AC1130" s="1" t="n"/>
      <c r="AD1130" s="1" t="n"/>
      <c r="AE1130" s="1" t="n"/>
    </row>
    <row r="1131" ht="42" customHeight="1">
      <c r="A1131" s="14">
        <f>IFERROR(__xludf.DUMMYFUNCTION("""COMPUTED_VALUE"""),45181)</f>
        <v/>
      </c>
      <c r="B1131" s="1">
        <f>IFERROR(__xludf.DUMMYFUNCTION("""COMPUTED_VALUE"""),"ORG_2004")</f>
        <v/>
      </c>
      <c r="C1131" s="1">
        <f>IFERROR(__xludf.DUMMYFUNCTION("""COMPUTED_VALUE"""),TRUE)</f>
        <v/>
      </c>
      <c r="D1131" s="1">
        <f>IFERROR(__xludf.DUMMYFUNCTION("""COMPUTED_VALUE"""),"MY VIRTUAL CLASSROOM")</f>
        <v/>
      </c>
      <c r="E1131" s="15">
        <f>IFERROR(__xludf.DUMMYFUNCTION("""COMPUTED_VALUE"""),"https://www.myclassevirtuelle.fr")</f>
        <v/>
      </c>
      <c r="F1131" s="1">
        <f>IFERROR(__xludf.DUMMYFUNCTION("""COMPUTED_VALUE"""),"Yes, human virtual events where you never get bored exist!
We are your partner to professionalise your virtual training, webinar, and online meeting.
For more than 15 years, we have supported the development of trainers, facilitators, designers, coordinat"&amp;"ors, and attendees ' skills. Acquire a better posture on online events to offer engaging virtual trainings, get together with webinars, progress with online meetings, unite with seminars.
Focus on substance and animation, we take care of the organisation,"&amp;" design, and facilitation of your online and live events for up to 20,000 people. Available on the main platforms on the market (Teams, Zoom, WebEx, Adobe Connect, Google Meet), in French and English.
Try different training methods ranging from virtual cl"&amp;"assroom, coaching, codevelopment to immersive learning.
We also offer a platform to manage your events: invitations, self-registration, reminders, easy login, reports, etc.
Do you have a new challenge?
Let's make it real!")</f>
        <v/>
      </c>
      <c r="G1131" s="1">
        <f>IFERROR(__xludf.DUMMYFUNCTION("""COMPUTED_VALUE"""),"EdTech France")</f>
        <v/>
      </c>
      <c r="H1131" s="1" t="n"/>
      <c r="I1131" s="1">
        <f>IFERROR(__xludf.DUMMYFUNCTION("""COMPUTED_VALUE"""),"hello@myve.live")</f>
        <v/>
      </c>
      <c r="J1131" s="1">
        <f>IFERROR(__xludf.DUMMYFUNCTION("""COMPUTED_VALUE"""),"+33 1 84 80 22 27")</f>
        <v/>
      </c>
      <c r="K1131" s="1">
        <f>IFERROR(__xludf.DUMMYFUNCTION("""COMPUTED_VALUE"""),"PARIS")</f>
        <v/>
      </c>
      <c r="L1131" s="1">
        <f>IFERROR(__xludf.DUMMYFUNCTION("""COMPUTED_VALUE"""),"France")</f>
        <v/>
      </c>
      <c r="M1131" s="1">
        <f>IFERROR(__xludf.DUMMYFUNCTION("""COMPUTED_VALUE"""),"France, Germany, Switzerland")</f>
        <v/>
      </c>
      <c r="N1131" s="1">
        <f>IFERROR(__xludf.DUMMYFUNCTION("""COMPUTED_VALUE"""),"0 to 10")</f>
        <v/>
      </c>
      <c r="O1131" s="1">
        <f>IFERROR(__xludf.DUMMYFUNCTION("""COMPUTED_VALUE"""),"Business to Business, Business to Schools")</f>
        <v/>
      </c>
      <c r="P1131" s="1">
        <f>IFERROR(__xludf.DUMMYFUNCTION("""COMPUTED_VALUE"""),"Higher Education, Corporate Training, Lifelong learning/Adult education")</f>
        <v/>
      </c>
      <c r="Q1131" s="1">
        <f>IFERROR(__xludf.DUMMYFUNCTION("""COMPUTED_VALUE"""),"Teacher interfacing, Student interfacing, System/Administrative")</f>
        <v/>
      </c>
      <c r="R1131" s="1" t="n"/>
      <c r="S1131" s="15">
        <f>IFERROR(__xludf.DUMMYFUNCTION("""COMPUTED_VALUE"""),"https://twitter.com/MyVClassroom")</f>
        <v/>
      </c>
      <c r="T1131" s="15">
        <f>IFERROR(__xludf.DUMMYFUNCTION("""COMPUTED_VALUE"""),"https://www.linkedin.com/company/my-virtual-classroom/")</f>
        <v/>
      </c>
      <c r="U1131" s="1">
        <f>IFERROR(__xludf.DUMMYFUNCTION("""COMPUTED_VALUE"""),"Training of facilitators - online trainers")</f>
        <v/>
      </c>
      <c r="V1131" s="1">
        <f>IFERROR(__xludf.DUMMYFUNCTION("""COMPUTED_VALUE"""),"We train and support your virtual class trainers and webinar facilitators with our proven method based on 5 major skill families and numerous exercises and role plays.")</f>
        <v/>
      </c>
      <c r="W1131" s="1">
        <f>IFERROR(__xludf.DUMMYFUNCTION("""COMPUTED_VALUE"""),"Design of virtual classes and webinars")</f>
        <v/>
      </c>
      <c r="X1131" s="1">
        <f>IFERROR(__xludf.DUMMYFUNCTION("""COMPUTED_VALUE"""),"From your raw content (docs, face-to-face training, e-learning), we help you to script and develop a real online and live experience. We use our 6-step structuring tool to build memorable sessions.")</f>
        <v/>
      </c>
      <c r="Y1131" s="15">
        <f>IFERROR(__xludf.DUMMYFUNCTION("""COMPUTED_VALUE"""),"https://drive.google.com/uc?export=view&amp;id=1klq0uLURnL21FWjhjfpJxJhcnzvpB35Q")</f>
        <v/>
      </c>
      <c r="Z1131" s="1">
        <f>IFERROR(__xludf.DUMMYFUNCTION("""COMPUTED_VALUE"""),"Unverified")</f>
        <v/>
      </c>
      <c r="AA1131" s="1" t="n"/>
      <c r="AB1131" s="1" t="n"/>
      <c r="AC1131" s="1" t="n"/>
      <c r="AD1131" s="1" t="n"/>
      <c r="AE1131" s="1" t="n"/>
    </row>
    <row r="1132" ht="42" customHeight="1">
      <c r="A1132" s="14">
        <f>IFERROR(__xludf.DUMMYFUNCTION("""COMPUTED_VALUE"""),45181)</f>
        <v/>
      </c>
      <c r="B1132" s="1">
        <f>IFERROR(__xludf.DUMMYFUNCTION("""COMPUTED_VALUE"""),"ORG_2042")</f>
        <v/>
      </c>
      <c r="C1132" s="1">
        <f>IFERROR(__xludf.DUMMYFUNCTION("""COMPUTED_VALUE"""),TRUE)</f>
        <v/>
      </c>
      <c r="D1132" s="1">
        <f>IFERROR(__xludf.DUMMYFUNCTION("""COMPUTED_VALUE"""),"NOMAD EDUCATION")</f>
        <v/>
      </c>
      <c r="E1132" s="15">
        <f>IFERROR(__xludf.DUMMYFUNCTION("""COMPUTED_VALUE"""),"https://nomadeducation.fr/")</f>
        <v/>
      </c>
      <c r="F1132" s="1">
        <f>IFERROR(__xludf.DUMMYFUNCTION("""COMPUTED_VALUE"""),"By providing one free app gathering 350 degrees, with no need for internet connexion, we allow every pupil all accross the french speaking african countries to access free quality education, no matter their gender, social level or geographic position. We "&amp;"believe that education can save lives, that's why we chose a universal device (the smartphone), gratuity and a wide range of diplomas. All our contents are written by teachers who want to spread their knowledge wider.
This all makes Nomad Education a uniq"&amp;"ue solution.")</f>
        <v/>
      </c>
      <c r="G1132" s="1">
        <f>IFERROR(__xludf.DUMMYFUNCTION("""COMPUTED_VALUE"""),"AFINEF, EdTech France")</f>
        <v/>
      </c>
      <c r="H1132" s="1" t="n"/>
      <c r="I1132" s="1">
        <f>IFERROR(__xludf.DUMMYFUNCTION("""COMPUTED_VALUE"""),"clemence.illien@nomadeducation.fr")</f>
        <v/>
      </c>
      <c r="J1132" s="1">
        <f>IFERROR(__xludf.DUMMYFUNCTION("""COMPUTED_VALUE"""),"+33664921693")</f>
        <v/>
      </c>
      <c r="K1132" s="1">
        <f>IFERROR(__xludf.DUMMYFUNCTION("""COMPUTED_VALUE"""),"PARIS")</f>
        <v/>
      </c>
      <c r="L1132" s="1">
        <f>IFERROR(__xludf.DUMMYFUNCTION("""COMPUTED_VALUE"""),"France")</f>
        <v/>
      </c>
      <c r="M113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132" s="1">
        <f>IFERROR(__xludf.DUMMYFUNCTION("""COMPUTED_VALUE"""),"11 to 50")</f>
        <v/>
      </c>
      <c r="O1132" s="1">
        <f>IFERROR(__xludf.DUMMYFUNCTION("""COMPUTED_VALUE"""),"Business to Business, Business to Schools")</f>
        <v/>
      </c>
      <c r="P1132" s="1">
        <f>IFERROR(__xludf.DUMMYFUNCTION("""COMPUTED_VALUE"""),"Primary Education, Secondary Education, Higher Education")</f>
        <v/>
      </c>
      <c r="Q1132" s="1">
        <f>IFERROR(__xludf.DUMMYFUNCTION("""COMPUTED_VALUE"""),"System/Administrative, Student interfacing")</f>
        <v/>
      </c>
      <c r="R1132" s="15">
        <f>IFERROR(__xludf.DUMMYFUNCTION("""COMPUTED_VALUE"""),"https://www.instagram.com/nomad_education/")</f>
        <v/>
      </c>
      <c r="S1132" s="15">
        <f>IFERROR(__xludf.DUMMYFUNCTION("""COMPUTED_VALUE"""),"https://twitter.com/nomadeducation?lang=fr")</f>
        <v/>
      </c>
      <c r="T1132" s="15">
        <f>IFERROR(__xludf.DUMMYFUNCTION("""COMPUTED_VALUE"""),"https://www.linkedin.com/company/nomad-education")</f>
        <v/>
      </c>
      <c r="U1132" s="1">
        <f>IFERROR(__xludf.DUMMYFUNCTION("""COMPUTED_VALUE"""),"Brevet Bac Sup")</f>
        <v/>
      </c>
      <c r="V1132" s="1">
        <f>IFERROR(__xludf.DUMMYFUNCTION("""COMPUTED_VALUE"""),"Here is what caracterizes our free educational app : 
- it is free 
- it is 100% mobile and prevents equipment issues (no need for computer) 
- it is inclusive and addresses a wide range of diplomas : 350+ degrees and diplomas 
- our 10 000+ courses and 1"&amp;"50 000+ quizzes are entirely written by French or local teachers 
- it is already used by 1M+ users every year, which acknowledges for our efficient and fluid UX/UI 
- the app is found by pupils / students themselves with no external intervention (parents"&amp;", teachers), fostering empowerment of young people in their own studies and success 
- Our users say they regained confidence and better grades thanks to the app
- Our content is created by 350 teachers")</f>
        <v/>
      </c>
      <c r="W1132" s="1">
        <f>IFERROR(__xludf.DUMMYFUNCTION("""COMPUTED_VALUE"""),"Tests de Français")</f>
        <v/>
      </c>
      <c r="X1132" s="1">
        <f>IFERROR(__xludf.DUMMYFUNCTION("""COMPUTED_VALUE"""),"We created one app to help everyone accross the globe to learn french and succeed in their french tests (DELF B1, B2, TCF, TEF and TFI) so that they can study or work in France afterwards. Our members can succeed thanks to various and numerous contents an"&amp;"d tools : exercices, trainings, complete tests in exam mode... Everything to perform both in written and spoken french exams.")</f>
        <v/>
      </c>
      <c r="Y1132" s="15">
        <f>IFERROR(__xludf.DUMMYFUNCTION("""COMPUTED_VALUE"""),"https://drive.google.com/uc?export=view&amp;id=1_wweovvH_7FtaOfaLmIdqqNR4kQ7A276")</f>
        <v/>
      </c>
      <c r="Z1132" s="1">
        <f>IFERROR(__xludf.DUMMYFUNCTION("""COMPUTED_VALUE"""),"Unverified")</f>
        <v/>
      </c>
      <c r="AA1132" s="1" t="n"/>
      <c r="AB1132" s="1" t="n"/>
      <c r="AC1132" s="1" t="n"/>
      <c r="AD1132" s="1" t="n"/>
      <c r="AE1132" s="1" t="n"/>
    </row>
    <row r="1133" ht="42" customHeight="1">
      <c r="A1133" s="14">
        <f>IFERROR(__xludf.DUMMYFUNCTION("""COMPUTED_VALUE"""),45181)</f>
        <v/>
      </c>
      <c r="B1133" s="1">
        <f>IFERROR(__xludf.DUMMYFUNCTION("""COMPUTED_VALUE"""),"ORG_2095")</f>
        <v/>
      </c>
      <c r="C1133" s="1">
        <f>IFERROR(__xludf.DUMMYFUNCTION("""COMPUTED_VALUE"""),TRUE)</f>
        <v/>
      </c>
      <c r="D1133" s="1">
        <f>IFERROR(__xludf.DUMMYFUNCTION("""COMPUTED_VALUE"""),"Perfectly Spoken")</f>
        <v/>
      </c>
      <c r="E1133" s="15">
        <f>IFERROR(__xludf.DUMMYFUNCTION("""COMPUTED_VALUE"""),"www.perfectlyspoken.com")</f>
        <v/>
      </c>
      <c r="F1133" s="1">
        <f>IFERROR(__xludf.DUMMYFUNCTION("""COMPUTED_VALUE"""),"Perfectly Spoken is a B2B and B2C award winning affordable and flexible custom built web application that provides the opportunity for students worldwide to learn English online with any internet connected device. Learning is delivered through on demand i"&amp;"nstruction, that can be combined with additional bespoke live services.
Structured video courses created and delivered by expert English language teachers form the foundation of the offer: over 1000 lessons and mini lessons in the form of general English "&amp;"courses - from Elementary to Proficiency following the CEFR framework - are complemented by a wide range of specialist premium courses.
An additional 3000+ supporting learning and practice activities are available to help consolidate learning. These inclu"&amp;"de familiarising students with natural, authentic English through guided learning using the latest news and current affairs from global media partner Reuters.")</f>
        <v/>
      </c>
      <c r="G1133" s="1">
        <f>IFERROR(__xludf.DUMMYFUNCTION("""COMPUTED_VALUE"""),"I'm not part of any EdTech association")</f>
        <v/>
      </c>
      <c r="H1133" s="1" t="n"/>
      <c r="I1133" s="1">
        <f>IFERROR(__xludf.DUMMYFUNCTION("""COMPUTED_VALUE"""),"hello@perfectlyspoken.com")</f>
        <v/>
      </c>
      <c r="J1133" s="1" t="n"/>
      <c r="K1133" s="1">
        <f>IFERROR(__xludf.DUMMYFUNCTION("""COMPUTED_VALUE"""),"LONDON")</f>
        <v/>
      </c>
      <c r="L1133" s="1">
        <f>IFERROR(__xludf.DUMMYFUNCTION("""COMPUTED_VALUE"""),"United Kingdom")</f>
        <v/>
      </c>
      <c r="M1133"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133" s="1">
        <f>IFERROR(__xludf.DUMMYFUNCTION("""COMPUTED_VALUE"""),"0 to 10")</f>
        <v/>
      </c>
      <c r="O1133" s="1">
        <f>IFERROR(__xludf.DUMMYFUNCTION("""COMPUTED_VALUE"""),"Business to Business, Business to Schools")</f>
        <v/>
      </c>
      <c r="P1133" s="1">
        <f>IFERROR(__xludf.DUMMYFUNCTION("""COMPUTED_VALUE"""),"Higher Education, Corporate Training, Lifelong learning/Adult education")</f>
        <v/>
      </c>
      <c r="Q1133" s="1">
        <f>IFERROR(__xludf.DUMMYFUNCTION("""COMPUTED_VALUE"""),"Student interfacing, Teacher interfacing, System/Administrative")</f>
        <v/>
      </c>
      <c r="R1133" s="1" t="n"/>
      <c r="S1133" s="1" t="n"/>
      <c r="T1133" s="1" t="n"/>
      <c r="U1133" s="1" t="n"/>
      <c r="V1133" s="1" t="n"/>
      <c r="W1133" s="1" t="n"/>
      <c r="X1133" s="1" t="n"/>
      <c r="Y1133" s="15">
        <f>IFERROR(__xludf.DUMMYFUNCTION("""COMPUTED_VALUE"""),"https://drive.google.com/uc?export=view&amp;id=1uKcYx5AuDuhTH0Is6daQe3dj_rD7a7jj")</f>
        <v/>
      </c>
      <c r="Z1133" s="1">
        <f>IFERROR(__xludf.DUMMYFUNCTION("""COMPUTED_VALUE"""),"Unverified")</f>
        <v/>
      </c>
      <c r="AA1133" s="1" t="n"/>
      <c r="AB1133" s="1" t="n"/>
      <c r="AC1133" s="1" t="n"/>
      <c r="AD1133" s="1" t="n"/>
      <c r="AE1133" s="1" t="n"/>
    </row>
    <row r="1134" ht="42" customHeight="1">
      <c r="A1134" s="14">
        <f>IFERROR(__xludf.DUMMYFUNCTION("""COMPUTED_VALUE"""),45181)</f>
        <v/>
      </c>
      <c r="B1134" s="1">
        <f>IFERROR(__xludf.DUMMYFUNCTION("""COMPUTED_VALUE"""),"ORG_2198")</f>
        <v/>
      </c>
      <c r="C1134" s="1">
        <f>IFERROR(__xludf.DUMMYFUNCTION("""COMPUTED_VALUE"""),TRUE)</f>
        <v/>
      </c>
      <c r="D1134" s="1">
        <f>IFERROR(__xludf.DUMMYFUNCTION("""COMPUTED_VALUE"""),"Rockbotic Educacion")</f>
        <v/>
      </c>
      <c r="E1134" s="15">
        <f>IFERROR(__xludf.DUMMYFUNCTION("""COMPUTED_VALUE"""),"Www.rockbotic.com")</f>
        <v/>
      </c>
      <c r="F1134" s="1">
        <f>IFERROR(__xludf.DUMMYFUNCTION("""COMPUTED_VALUE"""),"Edtech based in Madrid. Focus on creating steam educational contents and teaching educators to use Exponential technologies in the classroom.")</f>
        <v/>
      </c>
      <c r="G1134" s="1">
        <f>IFERROR(__xludf.DUMMYFUNCTION("""COMPUTED_VALUE"""),"I'm not part of any EdTech association")</f>
        <v/>
      </c>
      <c r="H1134" s="1" t="n"/>
      <c r="I1134" s="1" t="n"/>
      <c r="J1134" s="1">
        <f>IFERROR(__xludf.DUMMYFUNCTION("""COMPUTED_VALUE"""),"+34619434411")</f>
        <v/>
      </c>
      <c r="K1134" s="1">
        <f>IFERROR(__xludf.DUMMYFUNCTION("""COMPUTED_VALUE"""),"MADRID")</f>
        <v/>
      </c>
      <c r="L1134" s="1">
        <f>IFERROR(__xludf.DUMMYFUNCTION("""COMPUTED_VALUE"""),"Spain")</f>
        <v/>
      </c>
      <c r="M1134" s="1">
        <f>IFERROR(__xludf.DUMMYFUNCTION("""COMPUTED_VALUE"""),"Spain")</f>
        <v/>
      </c>
      <c r="N1134" s="1">
        <f>IFERROR(__xludf.DUMMYFUNCTION("""COMPUTED_VALUE"""),"0 to 10")</f>
        <v/>
      </c>
      <c r="O1134" s="1">
        <f>IFERROR(__xludf.DUMMYFUNCTION("""COMPUTED_VALUE"""),"Business to Business, Business to Schools")</f>
        <v/>
      </c>
      <c r="P1134" s="1">
        <f>IFERROR(__xludf.DUMMYFUNCTION("""COMPUTED_VALUE"""),"Early childhood development (0-5 years), Primary Education, Secondary Education")</f>
        <v/>
      </c>
      <c r="Q1134" s="1">
        <f>IFERROR(__xludf.DUMMYFUNCTION("""COMPUTED_VALUE"""),"System/Administrative, Student interfacing, Teacher interfacing")</f>
        <v/>
      </c>
      <c r="R1134" s="1" t="n"/>
      <c r="S1134" s="1" t="n"/>
      <c r="T1134" s="1" t="n"/>
      <c r="U1134" s="1" t="n"/>
      <c r="V1134" s="1" t="n"/>
      <c r="W1134" s="1" t="n"/>
      <c r="X1134" s="1" t="n"/>
      <c r="Y1134" s="15">
        <f>IFERROR(__xludf.DUMMYFUNCTION("""COMPUTED_VALUE"""),"https://drive.google.com/uc?export=view&amp;id=1mcTtk7dikufJVG_9_BC-qT47FEHd21nE")</f>
        <v/>
      </c>
      <c r="Z1134" s="1">
        <f>IFERROR(__xludf.DUMMYFUNCTION("""COMPUTED_VALUE"""),"Unverified")</f>
        <v/>
      </c>
      <c r="AA1134" s="1" t="n"/>
      <c r="AB1134" s="1" t="n"/>
      <c r="AC1134" s="1" t="n"/>
      <c r="AD1134" s="1" t="n"/>
      <c r="AE1134" s="1" t="n"/>
    </row>
    <row r="1135" ht="42" customHeight="1">
      <c r="A1135" s="14">
        <f>IFERROR(__xludf.DUMMYFUNCTION("""COMPUTED_VALUE"""),45181)</f>
        <v/>
      </c>
      <c r="B1135" s="1">
        <f>IFERROR(__xludf.DUMMYFUNCTION("""COMPUTED_VALUE"""),"ORG_2246")</f>
        <v/>
      </c>
      <c r="C1135" s="1">
        <f>IFERROR(__xludf.DUMMYFUNCTION("""COMPUTED_VALUE"""),TRUE)</f>
        <v/>
      </c>
      <c r="D1135" s="1">
        <f>IFERROR(__xludf.DUMMYFUNCTION("""COMPUTED_VALUE"""),"SimTrade")</f>
        <v/>
      </c>
      <c r="E1135" s="15">
        <f>IFERROR(__xludf.DUMMYFUNCTION("""COMPUTED_VALUE"""),"https://www.simtrade.com/")</f>
        <v/>
      </c>
      <c r="F1135" s="1">
        <f>IFERROR(__xludf.DUMMYFUNCTION("""COMPUTED_VALUE"""),"SimTrade is an EdTech &amp; FinTech company. 
The mission of SimTrade is to help individuals understand the mechanisms of the financial markets and gain financial freedom. Empower yourself! 
We offer an educational product to discover financial markets in a"&amp;" pedagogical and playful way. For the B2B version, our clients are both academic institutions and financial institutions.")</f>
        <v/>
      </c>
      <c r="G1135" s="1">
        <f>IFERROR(__xludf.DUMMYFUNCTION("""COMPUTED_VALUE"""),"I'm not part of any EdTech association")</f>
        <v/>
      </c>
      <c r="H1135" s="1" t="n"/>
      <c r="I1135" s="1">
        <f>IFERROR(__xludf.DUMMYFUNCTION("""COMPUTED_VALUE"""),"longin.simtrade@gmail.com")</f>
        <v/>
      </c>
      <c r="J1135" s="1">
        <f>IFERROR(__xludf.DUMMYFUNCTION("""COMPUTED_VALUE"""),"+33667344914")</f>
        <v/>
      </c>
      <c r="K1135" s="1">
        <f>IFERROR(__xludf.DUMMYFUNCTION("""COMPUTED_VALUE"""),"Le Vesinet")</f>
        <v/>
      </c>
      <c r="L1135" s="1">
        <f>IFERROR(__xludf.DUMMYFUNCTION("""COMPUTED_VALUE"""),"France")</f>
        <v/>
      </c>
      <c r="M1135" s="1">
        <f>IFERROR(__xludf.DUMMYFUNCTION("""COMPUTED_VALUE"""),"France")</f>
        <v/>
      </c>
      <c r="N1135" s="1">
        <f>IFERROR(__xludf.DUMMYFUNCTION("""COMPUTED_VALUE"""),"0 to 10")</f>
        <v/>
      </c>
      <c r="O1135" s="1">
        <f>IFERROR(__xludf.DUMMYFUNCTION("""COMPUTED_VALUE"""),"Business to Consumer")</f>
        <v/>
      </c>
      <c r="P1135" s="1">
        <f>IFERROR(__xludf.DUMMYFUNCTION("""COMPUTED_VALUE"""),"Higher Education, Corporate Training, Lifelong learning/Adult education")</f>
        <v/>
      </c>
      <c r="Q1135" s="1">
        <f>IFERROR(__xludf.DUMMYFUNCTION("""COMPUTED_VALUE"""),"Student interfacing")</f>
        <v/>
      </c>
      <c r="R1135" s="1" t="n"/>
      <c r="S1135" s="1" t="n"/>
      <c r="T1135" s="1" t="n"/>
      <c r="U1135" s="1" t="n"/>
      <c r="V1135" s="1" t="n"/>
      <c r="W1135" s="1" t="n"/>
      <c r="X1135" s="1" t="n"/>
      <c r="Y1135" s="15">
        <f>IFERROR(__xludf.DUMMYFUNCTION("""COMPUTED_VALUE"""),"https://drive.google.com/uc?export=view&amp;id=1fKHXcgPf-g0xmCjeuTNRIHN9Z_0juRNC")</f>
        <v/>
      </c>
      <c r="Z1135" s="1">
        <f>IFERROR(__xludf.DUMMYFUNCTION("""COMPUTED_VALUE"""),"Unverified")</f>
        <v/>
      </c>
      <c r="AA1135" s="1" t="n"/>
      <c r="AB1135" s="1" t="n"/>
      <c r="AC1135" s="1" t="n"/>
      <c r="AD1135" s="1" t="n"/>
      <c r="AE1135" s="1" t="n"/>
    </row>
    <row r="1136" ht="42" customHeight="1">
      <c r="A1136" s="14">
        <f>IFERROR(__xludf.DUMMYFUNCTION("""COMPUTED_VALUE"""),45181)</f>
        <v/>
      </c>
      <c r="B1136" s="1">
        <f>IFERROR(__xludf.DUMMYFUNCTION("""COMPUTED_VALUE"""),"ORG_2314")</f>
        <v/>
      </c>
      <c r="C1136" s="1">
        <f>IFERROR(__xludf.DUMMYFUNCTION("""COMPUTED_VALUE"""),TRUE)</f>
        <v/>
      </c>
      <c r="D1136" s="1">
        <f>IFERROR(__xludf.DUMMYFUNCTION("""COMPUTED_VALUE"""),"SPX Lab")</f>
        <v/>
      </c>
      <c r="E1136" s="15">
        <f>IFERROR(__xludf.DUMMYFUNCTION("""COMPUTED_VALUE"""),"https://www.spxlab.com/")</f>
        <v/>
      </c>
      <c r="F1136" s="1">
        <f>IFERROR(__xludf.DUMMYFUNCTION("""COMPUTED_VALUE"""),"SPX Lab is a laboratory of digital technologies and creativity that experiments and produces products, services and solutions in the field of educational, software development, marketing automation and smart forniture. In SPX Lab we develop innovative tec"&amp;"hnologies in order to meet the needs of people and companies, applying Agile Methodology and User Experience Design for the digital transformation. SPX Lab wants to demonstrate how to react to changes by absorbing new needs and building together with its "&amp;"customers those experiences that have not yet been imagined, through experimentation, communication and dissemination thanks to networking of excellence and new media. SPX Lab is a limited company based in Italy, connected to the world.")</f>
        <v/>
      </c>
      <c r="G1136" s="1">
        <f>IFERROR(__xludf.DUMMYFUNCTION("""COMPUTED_VALUE"""),"I'm not part of any EdTech association")</f>
        <v/>
      </c>
      <c r="H1136" s="1" t="n"/>
      <c r="I1136" s="1">
        <f>IFERROR(__xludf.DUMMYFUNCTION("""COMPUTED_VALUE"""),"m.margarone@spxlab.com")</f>
        <v/>
      </c>
      <c r="J1136" s="1">
        <f>IFERROR(__xludf.DUMMYFUNCTION("""COMPUTED_VALUE"""),"+390102465742")</f>
        <v/>
      </c>
      <c r="K1136" s="1">
        <f>IFERROR(__xludf.DUMMYFUNCTION("""COMPUTED_VALUE"""),"GENOVA")</f>
        <v/>
      </c>
      <c r="L1136" s="1">
        <f>IFERROR(__xludf.DUMMYFUNCTION("""COMPUTED_VALUE"""),"Italy")</f>
        <v/>
      </c>
      <c r="M1136" s="1">
        <f>IFERROR(__xludf.DUMMYFUNCTION("""COMPUTED_VALUE"""),"Italy")</f>
        <v/>
      </c>
      <c r="N1136" s="1">
        <f>IFERROR(__xludf.DUMMYFUNCTION("""COMPUTED_VALUE"""),"11 to 50")</f>
        <v/>
      </c>
      <c r="O1136" s="1">
        <f>IFERROR(__xludf.DUMMYFUNCTION("""COMPUTED_VALUE"""),"Business to Consumer, Business to Government, Business to Schools")</f>
        <v/>
      </c>
      <c r="P1136" s="1">
        <f>IFERROR(__xludf.DUMMYFUNCTION("""COMPUTED_VALUE"""),"Primary Education, Secondary Education, Higher Education, Corporate Training, Lifelong learning/Adult education")</f>
        <v/>
      </c>
      <c r="Q1136" s="1">
        <f>IFERROR(__xludf.DUMMYFUNCTION("""COMPUTED_VALUE"""),"Student interfacing, Teacher interfacing, System/Administrative")</f>
        <v/>
      </c>
      <c r="R1136" s="1" t="n"/>
      <c r="S1136" s="1" t="n"/>
      <c r="T1136" s="1" t="n"/>
      <c r="U1136" s="1" t="n"/>
      <c r="V1136" s="1" t="n"/>
      <c r="W1136" s="1" t="n"/>
      <c r="X1136" s="1" t="n"/>
      <c r="Y1136" s="15">
        <f>IFERROR(__xludf.DUMMYFUNCTION("""COMPUTED_VALUE"""),"https://drive.google.com/uc?export=view&amp;id=1uKSlqxsQEZ1vOH19B0FaL48UwEOAvWBs")</f>
        <v/>
      </c>
      <c r="Z1136" s="1">
        <f>IFERROR(__xludf.DUMMYFUNCTION("""COMPUTED_VALUE"""),"Unverified")</f>
        <v/>
      </c>
      <c r="AA1136" s="1" t="n"/>
      <c r="AB1136" s="1" t="n"/>
      <c r="AC1136" s="1" t="n"/>
      <c r="AD1136" s="1" t="n"/>
      <c r="AE1136" s="1" t="n"/>
    </row>
    <row r="1137" ht="42" customHeight="1">
      <c r="A1137" s="14">
        <f>IFERROR(__xludf.DUMMYFUNCTION("""COMPUTED_VALUE"""),45181)</f>
        <v/>
      </c>
      <c r="B1137" s="1">
        <f>IFERROR(__xludf.DUMMYFUNCTION("""COMPUTED_VALUE"""),"ORG_2329")</f>
        <v/>
      </c>
      <c r="C1137" s="1">
        <f>IFERROR(__xludf.DUMMYFUNCTION("""COMPUTED_VALUE"""),TRUE)</f>
        <v/>
      </c>
      <c r="D1137" s="1">
        <f>IFERROR(__xludf.DUMMYFUNCTION("""COMPUTED_VALUE"""),"Stratsys")</f>
        <v/>
      </c>
      <c r="E1137" s="15">
        <f>IFERROR(__xludf.DUMMYFUNCTION("""COMPUTED_VALUE"""),"https://www.stratsys.com/")</f>
        <v/>
      </c>
      <c r="F1137" s="1">
        <f>IFERROR(__xludf.DUMMYFUNCTION("""COMPUTED_VALUE"""),"Stratsys is a Swedish SaaS company which help the organisation with better workflow through all processes in the organisation.
As for education we are specialized in Quality management for schools and resource planning that aim to improve the efficiency c"&amp;"oncerning finance and timetables.")</f>
        <v/>
      </c>
      <c r="G1137" s="1">
        <f>IFERROR(__xludf.DUMMYFUNCTION("""COMPUTED_VALUE"""),"Swedish EdTech Industry")</f>
        <v/>
      </c>
      <c r="H1137" s="1" t="n"/>
      <c r="I1137" s="1">
        <f>IFERROR(__xludf.DUMMYFUNCTION("""COMPUTED_VALUE"""),"ulrika.munkby@stratsys.se")</f>
        <v/>
      </c>
      <c r="J1137" s="1">
        <f>IFERROR(__xludf.DUMMYFUNCTION("""COMPUTED_VALUE"""),"+46704293444")</f>
        <v/>
      </c>
      <c r="K1137" s="1">
        <f>IFERROR(__xludf.DUMMYFUNCTION("""COMPUTED_VALUE"""),"Brahegatan 10")</f>
        <v/>
      </c>
      <c r="L1137" s="1">
        <f>IFERROR(__xludf.DUMMYFUNCTION("""COMPUTED_VALUE"""),"Sweden")</f>
        <v/>
      </c>
      <c r="M1137" s="1">
        <f>IFERROR(__xludf.DUMMYFUNCTION("""COMPUTED_VALUE"""),"Denmark, Norway, Sweden")</f>
        <v/>
      </c>
      <c r="N1137" s="1">
        <f>IFERROR(__xludf.DUMMYFUNCTION("""COMPUTED_VALUE"""),"100+")</f>
        <v/>
      </c>
      <c r="O1137" s="1">
        <f>IFERROR(__xludf.DUMMYFUNCTION("""COMPUTED_VALUE"""),"Business to Consumer, Business to Schools")</f>
        <v/>
      </c>
      <c r="P1137" s="1">
        <f>IFERROR(__xludf.DUMMYFUNCTION("""COMPUTED_VALUE"""),"Primary Education, Secondary Education, Higher Education")</f>
        <v/>
      </c>
      <c r="Q1137" s="1">
        <f>IFERROR(__xludf.DUMMYFUNCTION("""COMPUTED_VALUE"""),"System/Administrative")</f>
        <v/>
      </c>
      <c r="R1137" s="1">
        <f>IFERROR(__xludf.DUMMYFUNCTION("""COMPUTED_VALUE"""),"stratsyssverige")</f>
        <v/>
      </c>
      <c r="S1137" s="1" t="n"/>
      <c r="T1137" s="15">
        <f>IFERROR(__xludf.DUMMYFUNCTION("""COMPUTED_VALUE"""),"https://www.linkedin.com/company/stratsys/mycompany/verification/")</f>
        <v/>
      </c>
      <c r="U1137" s="1">
        <f>IFERROR(__xludf.DUMMYFUNCTION("""COMPUTED_VALUE"""),"Resource planning")</f>
        <v/>
      </c>
      <c r="V1137" s="1">
        <f>IFERROR(__xludf.DUMMYFUNCTION("""COMPUTED_VALUE"""),"Our product handle the process from budget to staffing. It ensures quality planning and execution to live up both financial requirements and legal requirements regarding teaching.
It's an easy use product for head of schools, finance and HR.")</f>
        <v/>
      </c>
      <c r="W1137" s="1">
        <f>IFERROR(__xludf.DUMMYFUNCTION("""COMPUTED_VALUE"""),"Quality managemant for education")</f>
        <v/>
      </c>
      <c r="X1137" s="1">
        <f>IFERROR(__xludf.DUMMYFUNCTION("""COMPUTED_VALUE"""),"Simplify and improve the process for the quality work i school. All data cab be aggregated to constantly improve and clarify how the goal work proceed.")</f>
        <v/>
      </c>
      <c r="Y1137" s="1" t="n"/>
      <c r="Z1137" s="1">
        <f>IFERROR(__xludf.DUMMYFUNCTION("""COMPUTED_VALUE"""),"Unverified")</f>
        <v/>
      </c>
      <c r="AA1137" s="1" t="n"/>
      <c r="AB1137" s="1" t="n"/>
      <c r="AC1137" s="1" t="n"/>
      <c r="AD1137" s="1" t="n"/>
      <c r="AE1137" s="1" t="n"/>
    </row>
    <row r="1138" ht="42" customHeight="1">
      <c r="A1138" s="14">
        <f>IFERROR(__xludf.DUMMYFUNCTION("""COMPUTED_VALUE"""),45181)</f>
        <v/>
      </c>
      <c r="B1138" s="1">
        <f>IFERROR(__xludf.DUMMYFUNCTION("""COMPUTED_VALUE"""),"ORG_2371")</f>
        <v/>
      </c>
      <c r="C1138" s="1">
        <f>IFERROR(__xludf.DUMMYFUNCTION("""COMPUTED_VALUE"""),TRUE)</f>
        <v/>
      </c>
      <c r="D1138" s="1">
        <f>IFERROR(__xludf.DUMMYFUNCTION("""COMPUTED_VALUE"""),"Teach on Mars")</f>
        <v/>
      </c>
      <c r="E1138" s="15">
        <f>IFERROR(__xludf.DUMMYFUNCTION("""COMPUTED_VALUE"""),"https://www.teachonmars.com/")</f>
        <v/>
      </c>
      <c r="F1138" s="1">
        <f>IFERROR(__xludf.DUMMYFUNCTION("""COMPUTED_VALUE"""),"Teach on Mars publishes a new generation digital training platform for companies. It is a mobile and social platform that relies on the latest advances in artificial intelligence to provide users with relevant content every day and accelerate the developm"&amp;"ent of their skills.
Awarded numerous prizes in France and abroad, the company is the European leader in the mobile learning sector. Since its creation in 2013, Teach on Mars has deployed its solution to more than 200 prestigious international clients, i"&amp;"n over 39 languages and across more than 90 countries worldwide. Today, 80 Teach on Mars employees and a network of 50 international partners are at the service of companies wishing to create their own next-generation training ecosystem. Convinced that mo"&amp;"dern companies must make a strong commitment to the planet, Teach on Mars dedicates 1% of its annual turnover to educational projects linked to the UN's sustainable development goals.")</f>
        <v/>
      </c>
      <c r="G1138" s="1">
        <f>IFERROR(__xludf.DUMMYFUNCTION("""COMPUTED_VALUE"""),"EdTech France")</f>
        <v/>
      </c>
      <c r="H1138" s="1" t="n"/>
      <c r="I1138" s="1">
        <f>IFERROR(__xludf.DUMMYFUNCTION("""COMPUTED_VALUE"""),"contact@teachonmars.com")</f>
        <v/>
      </c>
      <c r="J1138" s="1">
        <f>IFERROR(__xludf.DUMMYFUNCTION("""COMPUTED_VALUE"""),"09 72 62 46 89")</f>
        <v/>
      </c>
      <c r="K1138" s="1">
        <f>IFERROR(__xludf.DUMMYFUNCTION("""COMPUTED_VALUE"""),"MOUGINS")</f>
        <v/>
      </c>
      <c r="L1138" s="1">
        <f>IFERROR(__xludf.DUMMYFUNCTION("""COMPUTED_VALUE"""),"France")</f>
        <v/>
      </c>
      <c r="M1138" s="1">
        <f>IFERROR(__xludf.DUMMYFUNCTION("""COMPUTED_VALUE"""),"Albania, Armenia, Austria, Azerbaijan, Belarus, Belgium, Bosnia and Herzegovina, Cyprus, Czechia, Denmark, Estonia, Finland, France, Georgia, Germany, Greece, Hungary, Iceland, Ireland, Italy, Kazakhstan, Kosovo, Latvia, Lithuania, Luxembourg, Malta, Mold"&amp;"ova, Montenegro, Netherlands, North Macedonia, Norway, Poland, Portugal, Romania, Russia, Serbia, Slovakia, Slovenia, Spain, Sweden, Switzerland, Turkey, Ukraine, United Kingdom")</f>
        <v/>
      </c>
      <c r="N1138" s="1">
        <f>IFERROR(__xludf.DUMMYFUNCTION("""COMPUTED_VALUE"""),"51 to 100")</f>
        <v/>
      </c>
      <c r="O1138" s="1">
        <f>IFERROR(__xludf.DUMMYFUNCTION("""COMPUTED_VALUE"""),"Business to Consumer, Business to Schools")</f>
        <v/>
      </c>
      <c r="P1138" s="1">
        <f>IFERROR(__xludf.DUMMYFUNCTION("""COMPUTED_VALUE"""),"Corporate Training")</f>
        <v/>
      </c>
      <c r="Q1138" s="1">
        <f>IFERROR(__xludf.DUMMYFUNCTION("""COMPUTED_VALUE"""),"Teacher interfacing, Student interfacing, System/Administrative")</f>
        <v/>
      </c>
      <c r="R1138" s="15">
        <f>IFERROR(__xludf.DUMMYFUNCTION("""COMPUTED_VALUE"""),"https://www.instagram.com/teachonmarsfr/")</f>
        <v/>
      </c>
      <c r="S1138" s="15">
        <f>IFERROR(__xludf.DUMMYFUNCTION("""COMPUTED_VALUE"""),"https://twitter.com/TeachonMarsfr")</f>
        <v/>
      </c>
      <c r="T1138" s="15">
        <f>IFERROR(__xludf.DUMMYFUNCTION("""COMPUTED_VALUE"""),"https://www.linkedin.com/company/teach-on-mars/")</f>
        <v/>
      </c>
      <c r="U1138" s="1">
        <f>IFERROR(__xludf.DUMMYFUNCTION("""COMPUTED_VALUE"""),"Teach on Mars")</f>
        <v/>
      </c>
      <c r="V1138" s="1">
        <f>IFERROR(__xludf.DUMMYFUNCTION("""COMPUTED_VALUE"""),"Teach on Mars reinvents digital learning by combining a modern digital training experience with unique communication features to develop user engagement and support change over time. Our solution immerses employees in a continuous learning experience that"&amp;" enhances the brand and corporate culture. Our applications incorporate the latest training technologies and include numerous customization options. Our solution is designed to interface with all mobile devices through its native applications. Also, we ha"&amp;"ve developed the social learning allowing the user to have a social learning dimension. The Teach on Mars solution allows for rapid deployment of training courses by reconciling agility and creativity with an integrated authoring tool to design numerous p"&amp;"rograms: from anchor activities to complete training courses. In addition, we offer quality off-the-shelf resources in a variety of formats (modules, podcasts, videos, articles...).
Teach on Mars has made the quality of its support and availability a reco"&amp;"gnized trademark: companies obtain the best deployment and engagement rates on the market thanks to a methodology built on hundreds of successful projects. Our application integrates business intelligence, artificial intelligence and a team dedicated to t"&amp;"he success of training projects. With connectors and extensions deployed globally, Teach on Mars extends the capabilities of HRIS or LMS and consolidates an already established training ecosystem, also integrating with everyday tools to deliver an integra"&amp;"ted learning experience.")</f>
        <v/>
      </c>
      <c r="W1138" s="1" t="n"/>
      <c r="X1138" s="1" t="n"/>
      <c r="Y1138" s="15">
        <f>IFERROR(__xludf.DUMMYFUNCTION("""COMPUTED_VALUE"""),"https://drive.google.com/uc?export=view&amp;id=1pwL-tiOHYjkp1ORNV9aQtNAF2S90Im14")</f>
        <v/>
      </c>
      <c r="Z1138" s="1">
        <f>IFERROR(__xludf.DUMMYFUNCTION("""COMPUTED_VALUE"""),"Unverified")</f>
        <v/>
      </c>
      <c r="AA1138" s="1" t="n"/>
      <c r="AB1138" s="1" t="n"/>
      <c r="AC1138" s="1" t="n"/>
      <c r="AD1138" s="1" t="n"/>
      <c r="AE1138" s="1" t="n"/>
    </row>
    <row r="1139" ht="42" customHeight="1">
      <c r="A1139" s="14">
        <f>IFERROR(__xludf.DUMMYFUNCTION("""COMPUTED_VALUE"""),45181)</f>
        <v/>
      </c>
      <c r="B1139" s="1">
        <f>IFERROR(__xludf.DUMMYFUNCTION("""COMPUTED_VALUE"""),"ORG_2373")</f>
        <v/>
      </c>
      <c r="C1139" s="1">
        <f>IFERROR(__xludf.DUMMYFUNCTION("""COMPUTED_VALUE"""),TRUE)</f>
        <v/>
      </c>
      <c r="D1139" s="1">
        <f>IFERROR(__xludf.DUMMYFUNCTION("""COMPUTED_VALUE"""),"Teachers Lead Tech")</f>
        <v/>
      </c>
      <c r="E1139" s="15">
        <f>IFERROR(__xludf.DUMMYFUNCTION("""COMPUTED_VALUE"""),"https://www.linkedin.com/company/teachers-lead-tech/mycompany/?viewAsMember=true")</f>
        <v/>
      </c>
      <c r="F1139" s="1">
        <f>IFERROR(__xludf.DUMMYFUNCTION("""COMPUTED_VALUE"""),"Teachers Lead Tech is helping education systems to make sure that EVERY kid
 learns to create with technology as a basic skill, next to reading and writing. Despite their gender, location, or socioeconomic background.
We are very honored to work with our"&amp;" power squad – primary school teachers. By upskilling one teacher, technology creativity skills reach at least 20 kids in a classroom at their crucial learning age. 
On a path to upskill 1M teachers globally by 2025.")</f>
        <v/>
      </c>
      <c r="G1139" s="1">
        <f>IFERROR(__xludf.DUMMYFUNCTION("""COMPUTED_VALUE"""),"EdTech Lithuania")</f>
        <v/>
      </c>
      <c r="H1139" s="1" t="n"/>
      <c r="I1139" s="1">
        <f>IFERROR(__xludf.DUMMYFUNCTION("""COMPUTED_VALUE"""),"monika@teachersleadtech.com")</f>
        <v/>
      </c>
      <c r="J1139" s="1">
        <f>IFERROR(__xludf.DUMMYFUNCTION("""COMPUTED_VALUE"""),"+37061034460")</f>
        <v/>
      </c>
      <c r="K1139" s="1">
        <f>IFERROR(__xludf.DUMMYFUNCTION("""COMPUTED_VALUE"""),"Vilnius")</f>
        <v/>
      </c>
      <c r="L1139" s="1">
        <f>IFERROR(__xludf.DUMMYFUNCTION("""COMPUTED_VALUE"""),"Lithuania")</f>
        <v/>
      </c>
      <c r="M1139" s="1">
        <f>IFERROR(__xludf.DUMMYFUNCTION("""COMPUTED_VALUE"""),"Lithuania, Poland")</f>
        <v/>
      </c>
      <c r="N1139" s="1">
        <f>IFERROR(__xludf.DUMMYFUNCTION("""COMPUTED_VALUE"""),"11 to 50")</f>
        <v/>
      </c>
      <c r="O1139" s="1">
        <f>IFERROR(__xludf.DUMMYFUNCTION("""COMPUTED_VALUE"""),"Business to Consumer, Business to Schools")</f>
        <v/>
      </c>
      <c r="P1139" s="1">
        <f>IFERROR(__xludf.DUMMYFUNCTION("""COMPUTED_VALUE"""),"Primary Education")</f>
        <v/>
      </c>
      <c r="Q1139" s="1">
        <f>IFERROR(__xludf.DUMMYFUNCTION("""COMPUTED_VALUE"""),"Teacher interfacing")</f>
        <v/>
      </c>
      <c r="R1139" s="1">
        <f>IFERROR(__xludf.DUMMYFUNCTION("""COMPUTED_VALUE"""),"UAB Vedliai")</f>
        <v/>
      </c>
      <c r="S1139" s="1">
        <f>IFERROR(__xludf.DUMMYFUNCTION("""COMPUTED_VALUE"""),"UAB Vedliai")</f>
        <v/>
      </c>
      <c r="T1139" s="15">
        <f>IFERROR(__xludf.DUMMYFUNCTION("""COMPUTED_VALUE"""),"https://www.linkedin.com/company/teachers-lead-tech/about/?viewAsMember=true")</f>
        <v/>
      </c>
      <c r="U1139" s="1">
        <f>IFERROR(__xludf.DUMMYFUNCTION("""COMPUTED_VALUE"""),"Teachers Lead Tech")</f>
        <v/>
      </c>
      <c r="V1139" s="1">
        <f>IFERROR(__xludf.DUMMYFUNCTION("""COMPUTED_VALUE"""),"A guided learning system for primary school teachers, brining tech skills to classrooms.")</f>
        <v/>
      </c>
      <c r="W1139" s="1" t="n"/>
      <c r="X1139" s="1" t="n"/>
      <c r="Y1139" s="15">
        <f>IFERROR(__xludf.DUMMYFUNCTION("""COMPUTED_VALUE"""),"https://drive.google.com/uc?export=view&amp;id=1fKPPoRVDCo28EdqAjxHjsTgzJClB4iZ4")</f>
        <v/>
      </c>
      <c r="Z1139" s="1">
        <f>IFERROR(__xludf.DUMMYFUNCTION("""COMPUTED_VALUE"""),"Unverified")</f>
        <v/>
      </c>
      <c r="AA1139" s="1" t="n"/>
      <c r="AB1139" s="1" t="n"/>
      <c r="AC1139" s="1" t="n"/>
      <c r="AD1139" s="1" t="n"/>
      <c r="AE1139" s="1" t="n"/>
    </row>
    <row r="1140" ht="42" customHeight="1">
      <c r="A1140" s="14">
        <f>IFERROR(__xludf.DUMMYFUNCTION("""COMPUTED_VALUE"""),45181)</f>
        <v/>
      </c>
      <c r="B1140" s="1">
        <f>IFERROR(__xludf.DUMMYFUNCTION("""COMPUTED_VALUE"""),"ORG_2445")</f>
        <v/>
      </c>
      <c r="C1140" s="1">
        <f>IFERROR(__xludf.DUMMYFUNCTION("""COMPUTED_VALUE"""),TRUE)</f>
        <v/>
      </c>
      <c r="D1140" s="1">
        <f>IFERROR(__xludf.DUMMYFUNCTION("""COMPUTED_VALUE"""),"TwentyOne Skills")</f>
        <v/>
      </c>
      <c r="E1140" s="15">
        <f>IFERROR(__xludf.DUMMYFUNCTION("""COMPUTED_VALUE"""),"www.twentyoneskills.de")</f>
        <v/>
      </c>
      <c r="F1140" s="1">
        <f>IFERROR(__xludf.DUMMYFUNCTION("""COMPUTED_VALUE"""),"""TwentyOne Skills"" is the largest digital training platform for scientists in the German-speaking world. We prepare doctoral students, postdocs and future-oriented professors from all disciplines for the challenges of the 21st century.
With our e-learn"&amp;"ing academy, our customers (universities and research institutions) expand and supplement their qualification offerings with a digital learning platform that is accessible at any time and any place. Overcrowded courses, long journeys or inappropriate appo"&amp;"intments are now a thing of the past.
All courses are also barrier-free and thus accessible to truly everyone. Our value proposition is: Learn when you want and where you want!")</f>
        <v/>
      </c>
      <c r="G1140" s="1">
        <f>IFERROR(__xludf.DUMMYFUNCTION("""COMPUTED_VALUE"""),"I'm not part of any EdTech association")</f>
        <v/>
      </c>
      <c r="H1140" s="1" t="n"/>
      <c r="I1140" s="1">
        <f>IFERROR(__xludf.DUMMYFUNCTION("""COMPUTED_VALUE"""),"kontakt@twentyoneskills.de")</f>
        <v/>
      </c>
      <c r="J1140" s="1">
        <f>IFERROR(__xludf.DUMMYFUNCTION("""COMPUTED_VALUE"""),"+49 221 29203434")</f>
        <v/>
      </c>
      <c r="K1140" s="1">
        <f>IFERROR(__xludf.DUMMYFUNCTION("""COMPUTED_VALUE"""),"Köln")</f>
        <v/>
      </c>
      <c r="L1140" s="1">
        <f>IFERROR(__xludf.DUMMYFUNCTION("""COMPUTED_VALUE"""),"Germany")</f>
        <v/>
      </c>
      <c r="M1140" s="1">
        <f>IFERROR(__xludf.DUMMYFUNCTION("""COMPUTED_VALUE"""),"Austria, Germany, Switzerland")</f>
        <v/>
      </c>
      <c r="N1140" s="1">
        <f>IFERROR(__xludf.DUMMYFUNCTION("""COMPUTED_VALUE"""),"0 to 10")</f>
        <v/>
      </c>
      <c r="O1140" s="1">
        <f>IFERROR(__xludf.DUMMYFUNCTION("""COMPUTED_VALUE"""),"Business to Government, Business to Schools")</f>
        <v/>
      </c>
      <c r="P1140" s="1">
        <f>IFERROR(__xludf.DUMMYFUNCTION("""COMPUTED_VALUE"""),"Higher Education")</f>
        <v/>
      </c>
      <c r="Q1140" s="1">
        <f>IFERROR(__xludf.DUMMYFUNCTION("""COMPUTED_VALUE"""),"Student interfacing")</f>
        <v/>
      </c>
      <c r="R1140" s="1" t="n"/>
      <c r="S1140" s="1" t="n"/>
      <c r="T1140" s="1" t="n"/>
      <c r="U1140" s="1" t="n"/>
      <c r="V1140" s="1" t="n"/>
      <c r="W1140" s="1" t="n"/>
      <c r="X1140" s="1" t="n"/>
      <c r="Y1140" s="15">
        <f>IFERROR(__xludf.DUMMYFUNCTION("""COMPUTED_VALUE"""),"https://drive.google.com/uc?export=view&amp;id=1VzirD7DC1hTZKWXw0vUbkKPoB41CVUik")</f>
        <v/>
      </c>
      <c r="Z1140" s="1">
        <f>IFERROR(__xludf.DUMMYFUNCTION("""COMPUTED_VALUE"""),"Unverified")</f>
        <v/>
      </c>
      <c r="AA1140" s="1" t="n"/>
      <c r="AB1140" s="1" t="n"/>
      <c r="AC1140" s="1" t="n"/>
      <c r="AD1140" s="1" t="n"/>
      <c r="AE1140" s="1" t="n"/>
    </row>
    <row r="1141" ht="42" customHeight="1">
      <c r="A1141" s="14">
        <f>IFERROR(__xludf.DUMMYFUNCTION("""COMPUTED_VALUE"""),45181)</f>
        <v/>
      </c>
      <c r="B1141" s="1">
        <f>IFERROR(__xludf.DUMMYFUNCTION("""COMPUTED_VALUE"""),"ORG_2495")</f>
        <v/>
      </c>
      <c r="C1141" s="1">
        <f>IFERROR(__xludf.DUMMYFUNCTION("""COMPUTED_VALUE"""),TRUE)</f>
        <v/>
      </c>
      <c r="D1141" s="1">
        <f>IFERROR(__xludf.DUMMYFUNCTION("""COMPUTED_VALUE"""),"Vilma")</f>
        <v/>
      </c>
      <c r="E1141" s="15">
        <f>IFERROR(__xludf.DUMMYFUNCTION("""COMPUTED_VALUE"""),"https://www.holavilma.com/")</f>
        <v/>
      </c>
      <c r="F1141" s="1">
        <f>IFERROR(__xludf.DUMMYFUNCTION("""COMPUTED_VALUE"""),"Vilma is the reference community of senior people focused on aging in a healthy way by learning new practical skills through online, live, multi-category classes, while socializing with other students and having fun.")</f>
        <v/>
      </c>
      <c r="G1141" s="1">
        <f>IFERROR(__xludf.DUMMYFUNCTION("""COMPUTED_VALUE"""),"I'm not part of any EdTech association")</f>
        <v/>
      </c>
      <c r="H1141" s="1" t="n"/>
      <c r="I1141" s="1" t="n"/>
      <c r="J1141" s="1" t="n"/>
      <c r="K1141" s="1">
        <f>IFERROR(__xludf.DUMMYFUNCTION("""COMPUTED_VALUE"""),"BARCELONA")</f>
        <v/>
      </c>
      <c r="L1141" s="1">
        <f>IFERROR(__xludf.DUMMYFUNCTION("""COMPUTED_VALUE"""),"Spain")</f>
        <v/>
      </c>
      <c r="M1141" s="1">
        <f>IFERROR(__xludf.DUMMYFUNCTION("""COMPUTED_VALUE"""),"Spain")</f>
        <v/>
      </c>
      <c r="N1141" s="1">
        <f>IFERROR(__xludf.DUMMYFUNCTION("""COMPUTED_VALUE"""),"11 to 50")</f>
        <v/>
      </c>
      <c r="O1141" s="1">
        <f>IFERROR(__xludf.DUMMYFUNCTION("""COMPUTED_VALUE"""),"Business to Schools")</f>
        <v/>
      </c>
      <c r="P1141" s="1">
        <f>IFERROR(__xludf.DUMMYFUNCTION("""COMPUTED_VALUE"""),"Lifelong learning/Adult education")</f>
        <v/>
      </c>
      <c r="Q1141" s="1">
        <f>IFERROR(__xludf.DUMMYFUNCTION("""COMPUTED_VALUE"""),"System/Administrative, Student interfacing")</f>
        <v/>
      </c>
      <c r="R1141" s="1" t="n"/>
      <c r="S1141" s="1" t="n"/>
      <c r="T1141" s="1" t="n"/>
      <c r="U1141" s="1" t="n"/>
      <c r="V1141" s="1" t="n"/>
      <c r="W1141" s="1" t="n"/>
      <c r="X1141" s="1" t="n"/>
      <c r="Y1141" s="15">
        <f>IFERROR(__xludf.DUMMYFUNCTION("""COMPUTED_VALUE"""),"https://drive.google.com/uc?export=view&amp;id=1HU9tuKqV6FPahvdKKhpw6vRYIGB-n1s1")</f>
        <v/>
      </c>
      <c r="Z1141" s="1">
        <f>IFERROR(__xludf.DUMMYFUNCTION("""COMPUTED_VALUE"""),"Unverified")</f>
        <v/>
      </c>
      <c r="AA1141" s="1" t="n"/>
      <c r="AB1141" s="1" t="n"/>
      <c r="AC1141" s="1" t="n"/>
      <c r="AD1141" s="1" t="n"/>
      <c r="AE1141" s="1" t="n"/>
    </row>
    <row r="1142" ht="42" customHeight="1">
      <c r="A1142" s="14">
        <f>IFERROR(__xludf.DUMMYFUNCTION("""COMPUTED_VALUE"""),45181)</f>
        <v/>
      </c>
      <c r="B1142" s="1">
        <f>IFERROR(__xludf.DUMMYFUNCTION("""COMPUTED_VALUE"""),"ORG_2517")</f>
        <v/>
      </c>
      <c r="C1142" s="1">
        <f>IFERROR(__xludf.DUMMYFUNCTION("""COMPUTED_VALUE"""),TRUE)</f>
        <v/>
      </c>
      <c r="D1142" s="1">
        <f>IFERROR(__xludf.DUMMYFUNCTION("""COMPUTED_VALUE"""),"WebForce3")</f>
        <v/>
      </c>
      <c r="E1142" s="15">
        <f>IFERROR(__xludf.DUMMYFUNCTION("""COMPUTED_VALUE"""),"https://wf3.fr")</f>
        <v/>
      </c>
      <c r="F1142" s="1">
        <f>IFERROR(__xludf.DUMMYFUNCTION("""COMPUTED_VALUE"""),"WebForce3 is a network of schools for digital professions, approved for social utility and labeled ""Grande Ecole du Numérique"". WebForce3 is established in 50 territories in France and abroad. In a world where professions and technologies are changing r"&amp;"apidly, WebForce3's mission is to enable anyone to train quickly to acquire new skills throughout their career, and thus access, maintain or even change jobs. The inclusion and diversity of learners within schools are essential values ​​for participating "&amp;"in a digital society that is inclusive, ethical and sustainable.")</f>
        <v/>
      </c>
      <c r="G1142" s="1">
        <f>IFERROR(__xludf.DUMMYFUNCTION("""COMPUTED_VALUE"""),"EdTech France")</f>
        <v/>
      </c>
      <c r="H1142" s="1" t="n"/>
      <c r="I1142" s="1">
        <f>IFERROR(__xludf.DUMMYFUNCTION("""COMPUTED_VALUE"""),"nicolas.chagny@wf3.fr")</f>
        <v/>
      </c>
      <c r="J1142" s="1" t="n"/>
      <c r="K1142" s="1">
        <f>IFERROR(__xludf.DUMMYFUNCTION("""COMPUTED_VALUE"""),"PARIS")</f>
        <v/>
      </c>
      <c r="L1142" s="1">
        <f>IFERROR(__xludf.DUMMYFUNCTION("""COMPUTED_VALUE"""),"France")</f>
        <v/>
      </c>
      <c r="M1142" s="1">
        <f>IFERROR(__xludf.DUMMYFUNCTION("""COMPUTED_VALUE"""),"Belgium, France, Luxembourg")</f>
        <v/>
      </c>
      <c r="N1142" s="1">
        <f>IFERROR(__xludf.DUMMYFUNCTION("""COMPUTED_VALUE"""),"51 to 100")</f>
        <v/>
      </c>
      <c r="O1142" s="1">
        <f>IFERROR(__xludf.DUMMYFUNCTION("""COMPUTED_VALUE"""),"Business to Schools")</f>
        <v/>
      </c>
      <c r="P1142" s="1">
        <f>IFERROR(__xludf.DUMMYFUNCTION("""COMPUTED_VALUE"""),"Higher Education, Corporate Training, Lifelong learning/Adult education")</f>
        <v/>
      </c>
      <c r="Q1142" s="1">
        <f>IFERROR(__xludf.DUMMYFUNCTION("""COMPUTED_VALUE"""),"Student interfacing, Teacher interfacing, System/Administrative")</f>
        <v/>
      </c>
      <c r="R1142" s="15">
        <f>IFERROR(__xludf.DUMMYFUNCTION("""COMPUTED_VALUE"""),"https://www.instagram.com/webforce3")</f>
        <v/>
      </c>
      <c r="S1142" s="15">
        <f>IFERROR(__xludf.DUMMYFUNCTION("""COMPUTED_VALUE"""),"https://twitter.com/WebForce3")</f>
        <v/>
      </c>
      <c r="T1142" s="15">
        <f>IFERROR(__xludf.DUMMYFUNCTION("""COMPUTED_VALUE"""),"https://www.linkedin.com/school/webforce3/mycompany/")</f>
        <v/>
      </c>
      <c r="U1142" s="1">
        <f>IFERROR(__xludf.DUMMYFUNCTION("""COMPUTED_VALUE"""),"Web and Mobile Web Developer Training")</f>
        <v/>
      </c>
      <c r="V1142" s="1">
        <f>IFERROR(__xludf.DUMMYFUNCTION("""COMPUTED_VALUE"""),"Bootcamp or work-study training as a web and mobile web developer")</f>
        <v/>
      </c>
      <c r="W1142" s="1">
        <f>IFERROR(__xludf.DUMMYFUNCTION("""COMPUTED_VALUE"""),"Digital project manager")</f>
        <v/>
      </c>
      <c r="X1142" s="1">
        <f>IFERROR(__xludf.DUMMYFUNCTION("""COMPUTED_VALUE"""),"Bootcamp or work-study training as a Digital project manager")</f>
        <v/>
      </c>
      <c r="Y1142" s="15">
        <f>IFERROR(__xludf.DUMMYFUNCTION("""COMPUTED_VALUE"""),"https://drive.google.com/uc?export=view&amp;id=1a19O-fvtUrSnDS6PIVl4Lz3SglmxyVSD")</f>
        <v/>
      </c>
      <c r="Z1142" s="1">
        <f>IFERROR(__xludf.DUMMYFUNCTION("""COMPUTED_VALUE"""),"Unverified")</f>
        <v/>
      </c>
      <c r="AA1142" s="1" t="n"/>
      <c r="AB1142" s="1" t="n"/>
      <c r="AC1142" s="1" t="n"/>
      <c r="AD1142" s="1" t="n"/>
      <c r="AE1142" s="1" t="n"/>
    </row>
    <row r="1143" ht="42" customHeight="1">
      <c r="A1143" s="14">
        <f>IFERROR(__xludf.DUMMYFUNCTION("""COMPUTED_VALUE"""),45181)</f>
        <v/>
      </c>
      <c r="B1143" s="1">
        <f>IFERROR(__xludf.DUMMYFUNCTION("""COMPUTED_VALUE"""),"ORG_2534")</f>
        <v/>
      </c>
      <c r="C1143" s="1">
        <f>IFERROR(__xludf.DUMMYFUNCTION("""COMPUTED_VALUE"""),TRUE)</f>
        <v/>
      </c>
      <c r="D1143" s="1">
        <f>IFERROR(__xludf.DUMMYFUNCTION("""COMPUTED_VALUE"""),"Wiloki")</f>
        <v/>
      </c>
      <c r="E1143" s="15">
        <f>IFERROR(__xludf.DUMMYFUNCTION("""COMPUTED_VALUE"""),"www.wiloki.com")</f>
        <v/>
      </c>
      <c r="F1143" s="1">
        <f>IFERROR(__xludf.DUMMYFUNCTION("""COMPUTED_VALUE"""),"Every child is different. So should be their education. We believe that adaptive learning and new technologies will radically transform education and fully exploit &amp; nurture the learning potential of each and every child.
Our cloud platforms Adibou and W"&amp;"iloki provide the best online learning support to each child (4-14). They combine rich &amp; fun content with Artificial Intelligence to tailor-fit the teaching process to the kid’s pedagogical &amp; psychological profiles.
Adibou is an edutainment app dedicated"&amp;" to young children development (4-7 yo). In a playful universe, kids explore Adibou’s world and experience the joy of learning thanks to fun activities.
Wiloki (7-14 yo) offers a personalised learning platform that allow preteens (7 to 14 yo) to learn, c"&amp;"reate, get informed and have fun.")</f>
        <v/>
      </c>
      <c r="G1143" s="1">
        <f>IFERROR(__xludf.DUMMYFUNCTION("""COMPUTED_VALUE"""),"EdTech France")</f>
        <v/>
      </c>
      <c r="H1143" s="1" t="n"/>
      <c r="I1143" s="1">
        <f>IFERROR(__xludf.DUMMYFUNCTION("""COMPUTED_VALUE"""),"contact@wiloki.com")</f>
        <v/>
      </c>
      <c r="J1143" s="1" t="n"/>
      <c r="K1143" s="1">
        <f>IFERROR(__xludf.DUMMYFUNCTION("""COMPUTED_VALUE"""),"LES LOGES-EN-JOSAS")</f>
        <v/>
      </c>
      <c r="L1143" s="1">
        <f>IFERROR(__xludf.DUMMYFUNCTION("""COMPUTED_VALUE"""),"France")</f>
        <v/>
      </c>
      <c r="M1143" s="1">
        <f>IFERROR(__xludf.DUMMYFUNCTION("""COMPUTED_VALUE"""),"Belgium, France, Luxembourg, Switzerland")</f>
        <v/>
      </c>
      <c r="N1143" s="1">
        <f>IFERROR(__xludf.DUMMYFUNCTION("""COMPUTED_VALUE"""),"0 to 10")</f>
        <v/>
      </c>
      <c r="O1143" s="1">
        <f>IFERROR(__xludf.DUMMYFUNCTION("""COMPUTED_VALUE"""),"Business to Schools")</f>
        <v/>
      </c>
      <c r="P1143" s="1">
        <f>IFERROR(__xludf.DUMMYFUNCTION("""COMPUTED_VALUE"""),"Early childhood development (0-5 years), Primary Education, Secondary Education")</f>
        <v/>
      </c>
      <c r="Q1143" s="1">
        <f>IFERROR(__xludf.DUMMYFUNCTION("""COMPUTED_VALUE"""),"System/Administrative, Student interfacing, Teacher interfacing")</f>
        <v/>
      </c>
      <c r="R1143" s="15">
        <f>IFERROR(__xludf.DUMMYFUNCTION("""COMPUTED_VALUE"""),"https://www.instagram.com/wiloki_ai/")</f>
        <v/>
      </c>
      <c r="S1143" s="15">
        <f>IFERROR(__xludf.DUMMYFUNCTION("""COMPUTED_VALUE"""),"https://twitter.com/wiloki_ai")</f>
        <v/>
      </c>
      <c r="T1143" s="15">
        <f>IFERROR(__xludf.DUMMYFUNCTION("""COMPUTED_VALUE"""),"https://www.linkedin.com/company/wiloki/")</f>
        <v/>
      </c>
      <c r="U1143" s="1">
        <f>IFERROR(__xludf.DUMMYFUNCTION("""COMPUTED_VALUE"""),"Wiloki")</f>
        <v/>
      </c>
      <c r="V1143" s="1">
        <f>IFERROR(__xludf.DUMMYFUNCTION("""COMPUTED_VALUE"""),"Wiloki offers each child a personalised, autonomous and motivating learning experience thanks to agile algorithms and an extremely rich content: thousands of interactive videos, course summaries, exercises, rewards, podcasts and many other functionalities"&amp;" depending on their evolving needs.
By identifying the child’s strengths, weaknesses and motivational drivers, Wiloki adapts to their profiles.")</f>
        <v/>
      </c>
      <c r="W1143" s="1">
        <f>IFERROR(__xludf.DUMMYFUNCTION("""COMPUTED_VALUE"""),"Adibou")</f>
        <v/>
      </c>
      <c r="X1143" s="1">
        <f>IFERROR(__xludf.DUMMYFUNCTION("""COMPUTED_VALUE"""),"Adibou is a wide universe dedicated to the development of young children (4-7 yo). The app is perfectly suited to accompany kids in their early years as it adjusts to their learning pace. Kids explore Adibou's playful world. +1,500 activities allow them t"&amp;"o learn how to read and write and maths. They also apply their knowledge in mini-games that stimulate their memory, logic, creativity…")</f>
        <v/>
      </c>
      <c r="Y1143" s="15">
        <f>IFERROR(__xludf.DUMMYFUNCTION("""COMPUTED_VALUE"""),"https://drive.google.com/uc?export=view&amp;id=1aMe-VZ1lnKLVoCBZ34hml29Wb5wOOE98")</f>
        <v/>
      </c>
      <c r="Z1143" s="1">
        <f>IFERROR(__xludf.DUMMYFUNCTION("""COMPUTED_VALUE"""),"Unverified")</f>
        <v/>
      </c>
      <c r="AA1143" s="1" t="n"/>
      <c r="AB1143" s="1" t="n"/>
      <c r="AC1143" s="1" t="n"/>
      <c r="AD1143" s="1" t="n"/>
      <c r="AE1143" s="1" t="n"/>
    </row>
    <row r="1144" ht="42" customHeight="1">
      <c r="A1144" s="14">
        <f>IFERROR(__xludf.DUMMYFUNCTION("""COMPUTED_VALUE"""),45181)</f>
        <v/>
      </c>
      <c r="B1144" s="1">
        <f>IFERROR(__xludf.DUMMYFUNCTION("""COMPUTED_VALUE"""),"ORG_1145")</f>
        <v/>
      </c>
      <c r="C1144" s="1">
        <f>IFERROR(__xludf.DUMMYFUNCTION("""COMPUTED_VALUE"""),TRUE)</f>
        <v/>
      </c>
      <c r="D1144" s="1">
        <f>IFERROR(__xludf.DUMMYFUNCTION("""COMPUTED_VALUE"""),"Beedeez SAS")</f>
        <v/>
      </c>
      <c r="E1144" s="15">
        <f>IFERROR(__xludf.DUMMYFUNCTION("""COMPUTED_VALUE"""),"https://www.beedeez.com/")</f>
        <v/>
      </c>
      <c r="F1144" s="1">
        <f>IFERROR(__xludf.DUMMYFUNCTION("""COMPUTED_VALUE"""),"Beedeez is a leading Mobile &amp; Social Learning solution that revolutionizes professional training. Through innovative and engaging pedagogies, Beedeez transforms corporate training into a fun, collaborative, and effective learning experience while answerin"&amp;"g time and mobility constraints.
To offer personalized training to your employees, Beedeez provides you with a complete and integrated training environment. Its collaborative and intuitive authoring platform will allow you to animate your communities of l"&amp;"earners and create customized content for instant knowledge transmission. Freed from strict formats and supervised training, the transmission of knowledge becomes exponential, with infinite sources!")</f>
        <v/>
      </c>
      <c r="G1144" s="1">
        <f>IFERROR(__xludf.DUMMYFUNCTION("""COMPUTED_VALUE"""),"EdTech France")</f>
        <v/>
      </c>
      <c r="H1144" s="1" t="n"/>
      <c r="I1144" s="1">
        <f>IFERROR(__xludf.DUMMYFUNCTION("""COMPUTED_VALUE"""),"contact@beedeez.com")</f>
        <v/>
      </c>
      <c r="J1144" s="1">
        <f>IFERROR(__xludf.DUMMYFUNCTION("""COMPUTED_VALUE"""),"+33 1 48 07 80 64")</f>
        <v/>
      </c>
      <c r="K1144" s="1">
        <f>IFERROR(__xludf.DUMMYFUNCTION("""COMPUTED_VALUE"""),"PARIS")</f>
        <v/>
      </c>
      <c r="L1144" s="1">
        <f>IFERROR(__xludf.DUMMYFUNCTION("""COMPUTED_VALUE"""),"France")</f>
        <v/>
      </c>
      <c r="M1144" s="1">
        <f>IFERROR(__xludf.DUMMYFUNCTION("""COMPUTED_VALUE"""),"Belgium, France, United Kingdom")</f>
        <v/>
      </c>
      <c r="N1144" s="1">
        <f>IFERROR(__xludf.DUMMYFUNCTION("""COMPUTED_VALUE"""),"11 to 50")</f>
        <v/>
      </c>
      <c r="O1144" s="1">
        <f>IFERROR(__xludf.DUMMYFUNCTION("""COMPUTED_VALUE"""),"Business to Business")</f>
        <v/>
      </c>
      <c r="P1144" s="1">
        <f>IFERROR(__xludf.DUMMYFUNCTION("""COMPUTED_VALUE"""),"Corporate Training")</f>
        <v/>
      </c>
      <c r="Q1144" s="1">
        <f>IFERROR(__xludf.DUMMYFUNCTION("""COMPUTED_VALUE"""),"System/Administrative")</f>
        <v/>
      </c>
      <c r="R1144" s="1" t="n"/>
      <c r="S1144" s="15">
        <f>IFERROR(__xludf.DUMMYFUNCTION("""COMPUTED_VALUE"""),"https://twitter.com/BeedeezApp")</f>
        <v/>
      </c>
      <c r="T1144" s="15">
        <f>IFERROR(__xludf.DUMMYFUNCTION("""COMPUTED_VALUE"""),"https://www.linkedin.com/company/beedeez/")</f>
        <v/>
      </c>
      <c r="U1144" s="1">
        <f>IFERROR(__xludf.DUMMYFUNCTION("""COMPUTED_VALUE"""),"Beedeez")</f>
        <v/>
      </c>
      <c r="V1144" s="1">
        <f>IFERROR(__xludf.DUMMYFUNCTION("""COMPUTED_VALUE"""),"Beedeez’s value proposition is to “learn at every moment”. Learners have access to a mobile-first social hub that is gamified, easy to use, and enables them to learn whenever and wherever they want. Digital Learning Managers can create and share meaningfu"&amp;"l content in 15 minutes on a collaborative back-office. They have access to diverse content and gamification options, detailed reporting as well as the ability to personalize the learner’s experience through recommendations, diagnostics, challenges, and c"&amp;"ertifications.")</f>
        <v/>
      </c>
      <c r="W1144" s="1" t="n"/>
      <c r="X1144" s="1" t="n"/>
      <c r="Y1144" s="15">
        <f>IFERROR(__xludf.DUMMYFUNCTION("""COMPUTED_VALUE"""),"https://drive.google.com/uc?export=view&amp;id=1xvGBiT6oTPSfkRGtk8TU6yW5Ynszi0bA")</f>
        <v/>
      </c>
      <c r="Z1144" s="1">
        <f>IFERROR(__xludf.DUMMYFUNCTION("""COMPUTED_VALUE"""),"Unverified")</f>
        <v/>
      </c>
      <c r="AA1144" s="1" t="n"/>
      <c r="AB1144" s="1" t="n"/>
      <c r="AC1144" s="1" t="n"/>
      <c r="AD1144" s="1" t="n"/>
      <c r="AE1144" s="1" t="n"/>
    </row>
    <row r="1145" ht="42" customHeight="1">
      <c r="A1145" s="14">
        <f>IFERROR(__xludf.DUMMYFUNCTION("""COMPUTED_VALUE"""),45181)</f>
        <v/>
      </c>
      <c r="B1145" s="1">
        <f>IFERROR(__xludf.DUMMYFUNCTION("""COMPUTED_VALUE"""),"ORG_1171")</f>
        <v/>
      </c>
      <c r="C1145" s="1">
        <f>IFERROR(__xludf.DUMMYFUNCTION("""COMPUTED_VALUE"""),TRUE)</f>
        <v/>
      </c>
      <c r="D1145" s="1">
        <f>IFERROR(__xludf.DUMMYFUNCTION("""COMPUTED_VALUE"""),"bizExaminer")</f>
        <v/>
      </c>
      <c r="E1145" s="15">
        <f>IFERROR(__xludf.DUMMYFUNCTION("""COMPUTED_VALUE"""),"www.bizexaminer.com")</f>
        <v/>
      </c>
      <c r="F1145" s="1">
        <f>IFERROR(__xludf.DUMMYFUNCTION("""COMPUTED_VALUE"""),"Manage and execute exams with bizExaminer, a software solution developed in Austria.
Workforce, higher education institutions, certification providers and public institutions are our clients in Europe, USA, Africa and India.")</f>
        <v/>
      </c>
      <c r="G1145" s="1">
        <f>IFERROR(__xludf.DUMMYFUNCTION("""COMPUTED_VALUE"""),"EdTech Austria")</f>
        <v/>
      </c>
      <c r="H1145" s="1" t="n"/>
      <c r="I1145" s="1">
        <f>IFERROR(__xludf.DUMMYFUNCTION("""COMPUTED_VALUE"""),"office@bizexaminer.com")</f>
        <v/>
      </c>
      <c r="J1145" s="1" t="n"/>
      <c r="K1145" s="1">
        <f>IFERROR(__xludf.DUMMYFUNCTION("""COMPUTED_VALUE"""),"VIENNA")</f>
        <v/>
      </c>
      <c r="L1145" s="1">
        <f>IFERROR(__xludf.DUMMYFUNCTION("""COMPUTED_VALUE"""),"Austria")</f>
        <v/>
      </c>
      <c r="M1145" s="1">
        <f>IFERROR(__xludf.DUMMYFUNCTION("""COMPUTED_VALUE"""),"Austria, Belgium, Croatia, Czechia, Denmark, Finland, France, Germany, Greece, Hungary, Ireland, Italy, Monaco, Netherlands, Norway, Poland, Portugal, Slovakia, Slovenia, Spain, Sweden, Switzerland, Turkey, United Kingdom")</f>
        <v/>
      </c>
      <c r="N1145" s="1">
        <f>IFERROR(__xludf.DUMMYFUNCTION("""COMPUTED_VALUE"""),"11 to 50")</f>
        <v/>
      </c>
      <c r="O1145" s="1">
        <f>IFERROR(__xludf.DUMMYFUNCTION("""COMPUTED_VALUE"""),"Business to Business")</f>
        <v/>
      </c>
      <c r="P1145" s="1">
        <f>IFERROR(__xludf.DUMMYFUNCTION("""COMPUTED_VALUE"""),"Secondary Education, Higher Education, Corporate Training, Lifelong learning/Adult education")</f>
        <v/>
      </c>
      <c r="Q1145" s="1">
        <f>IFERROR(__xludf.DUMMYFUNCTION("""COMPUTED_VALUE"""),"System/Administrative")</f>
        <v/>
      </c>
      <c r="R1145" s="1" t="n"/>
      <c r="S1145" s="1" t="n"/>
      <c r="T1145" s="15">
        <f>IFERROR(__xludf.DUMMYFUNCTION("""COMPUTED_VALUE"""),"https://www.linkedin.com/company/18919892/")</f>
        <v/>
      </c>
      <c r="U1145" s="1">
        <f>IFERROR(__xludf.DUMMYFUNCTION("""COMPUTED_VALUE"""),"bizExaminer")</f>
        <v/>
      </c>
      <c r="V1145" s="1">
        <f>IFERROR(__xludf.DUMMYFUNCTION("""COMPUTED_VALUE"""),"Software solution available as onDemand or onPremise to manage and execute exams. 24 question types, highly customizeable, complex workflow management, very robust execution and much much more.")</f>
        <v/>
      </c>
      <c r="W1145" s="1" t="n"/>
      <c r="X1145" s="1" t="n"/>
      <c r="Y1145" s="15">
        <f>IFERROR(__xludf.DUMMYFUNCTION("""COMPUTED_VALUE"""),"https://drive.google.com/uc?export=view&amp;id=1dtutgcB5phIZGSNFjxYvziqprm__qwTd")</f>
        <v/>
      </c>
      <c r="Z1145" s="1">
        <f>IFERROR(__xludf.DUMMYFUNCTION("""COMPUTED_VALUE"""),"Unverified")</f>
        <v/>
      </c>
      <c r="AA1145" s="1" t="n"/>
      <c r="AB1145" s="1" t="n"/>
      <c r="AC1145" s="1" t="n"/>
      <c r="AD1145" s="1" t="n"/>
      <c r="AE1145" s="1" t="n"/>
    </row>
    <row r="1146" ht="42" customHeight="1">
      <c r="A1146" s="14">
        <f>IFERROR(__xludf.DUMMYFUNCTION("""COMPUTED_VALUE"""),45181)</f>
        <v/>
      </c>
      <c r="B1146" s="1">
        <f>IFERROR(__xludf.DUMMYFUNCTION("""COMPUTED_VALUE"""),"ORG_1207")</f>
        <v/>
      </c>
      <c r="C1146" s="1">
        <f>IFERROR(__xludf.DUMMYFUNCTION("""COMPUTED_VALUE"""),TRUE)</f>
        <v/>
      </c>
      <c r="D1146" s="1">
        <f>IFERROR(__xludf.DUMMYFUNCTION("""COMPUTED_VALUE"""),"C&amp;C Spa")</f>
        <v/>
      </c>
      <c r="E1146" s="15">
        <f>IFERROR(__xludf.DUMMYFUNCTION("""COMPUTED_VALUE"""),"www.cec.com")</f>
        <v/>
      </c>
      <c r="F1146" s="1">
        <f>IFERROR(__xludf.DUMMYFUNCTION("""COMPUTED_VALUE"""),"C&amp;C è un’azienda italiana leader nella fornitura di tecnologia e servizi all’avanguardia che opera in 54 sedi tra Italia e Francia.
Dal 2006, C&amp;C lavora con Apple per garantire qualità e servizi ai propri clienti: dalla formazione alla consulenza per priv"&amp;"ati, studenti, docenti, professionisti e aziende, e conta 48 Centri di Assistenza Autorizzata Apple in Europa.
prima azienda in Italia e fra le prime otto in Europa per penetrazione dei prodotti Apple nella scuola e per i risultati conseguiti con i proget"&amp;"ti Education - è stato conferito il riconoscimento di Apple Authorised Education Specialist per aver favorito l’innovazione didattica attraverso l’utilizzo della tecnologia Apple a supporto dell’apprendimento.")</f>
        <v/>
      </c>
      <c r="G1146" s="1">
        <f>IFERROR(__xludf.DUMMYFUNCTION("""COMPUTED_VALUE"""),"I'm not part of any EdTech association")</f>
        <v/>
      </c>
      <c r="H1146" s="1" t="n"/>
      <c r="I1146" s="1">
        <f>IFERROR(__xludf.DUMMYFUNCTION("""COMPUTED_VALUE"""),"m.purificato@cec.com")</f>
        <v/>
      </c>
      <c r="J1146" s="1">
        <f>IFERROR(__xludf.DUMMYFUNCTION("""COMPUTED_VALUE"""),"3337345655")</f>
        <v/>
      </c>
      <c r="K1146" s="1">
        <f>IFERROR(__xludf.DUMMYFUNCTION("""COMPUTED_VALUE"""),"BARI")</f>
        <v/>
      </c>
      <c r="L1146" s="1">
        <f>IFERROR(__xludf.DUMMYFUNCTION("""COMPUTED_VALUE"""),"Italy")</f>
        <v/>
      </c>
      <c r="M1146" s="1">
        <f>IFERROR(__xludf.DUMMYFUNCTION("""COMPUTED_VALUE"""),"France, Italy")</f>
        <v/>
      </c>
      <c r="N1146" s="1">
        <f>IFERROR(__xludf.DUMMYFUNCTION("""COMPUTED_VALUE"""),"100+")</f>
        <v/>
      </c>
      <c r="O1146" s="1">
        <f>IFERROR(__xludf.DUMMYFUNCTION("""COMPUTED_VALUE"""),"Business to Business")</f>
        <v/>
      </c>
      <c r="P1146" s="1">
        <f>IFERROR(__xludf.DUMMYFUNCTION("""COMPUTED_VALUE"""),"Early childhood development (0-5 years), Primary Education, Secondary Education, Higher Education, Corporate Training, Lifelong learning/Adult education")</f>
        <v/>
      </c>
      <c r="Q1146" s="1">
        <f>IFERROR(__xludf.DUMMYFUNCTION("""COMPUTED_VALUE"""),"Student interfacing, Teacher interfacing, System/Administrative")</f>
        <v/>
      </c>
      <c r="R1146" s="1" t="n"/>
      <c r="S1146" s="1" t="n"/>
      <c r="T1146" s="1" t="n"/>
      <c r="U1146" s="1" t="n"/>
      <c r="V1146" s="1" t="n"/>
      <c r="W1146" s="1" t="n"/>
      <c r="X1146" s="1" t="n"/>
      <c r="Y1146" s="15">
        <f>IFERROR(__xludf.DUMMYFUNCTION("""COMPUTED_VALUE"""),"https://drive.google.com/uc?export=view&amp;id=1PUV195jj5VHdsX86t6Pmu28V3H4GiJ4Z")</f>
        <v/>
      </c>
      <c r="Z1146" s="1">
        <f>IFERROR(__xludf.DUMMYFUNCTION("""COMPUTED_VALUE"""),"Unverified")</f>
        <v/>
      </c>
      <c r="AA1146" s="1" t="n"/>
      <c r="AB1146" s="1" t="n"/>
      <c r="AC1146" s="1" t="n"/>
      <c r="AD1146" s="1" t="n"/>
      <c r="AE1146" s="1" t="n"/>
    </row>
    <row r="1147" ht="42" customHeight="1">
      <c r="A1147" s="14">
        <f>IFERROR(__xludf.DUMMYFUNCTION("""COMPUTED_VALUE"""),45181)</f>
        <v/>
      </c>
      <c r="B1147" s="1">
        <f>IFERROR(__xludf.DUMMYFUNCTION("""COMPUTED_VALUE"""),"ORG_1287")</f>
        <v/>
      </c>
      <c r="C1147" s="1">
        <f>IFERROR(__xludf.DUMMYFUNCTION("""COMPUTED_VALUE"""),TRUE)</f>
        <v/>
      </c>
      <c r="D1147" s="1">
        <f>IFERROR(__xludf.DUMMYFUNCTION("""COMPUTED_VALUE"""),"CompanyGame")</f>
        <v/>
      </c>
      <c r="E1147" s="15">
        <f>IFERROR(__xludf.DUMMYFUNCTION("""COMPUTED_VALUE"""),"www.companygame.com")</f>
        <v/>
      </c>
      <c r="F1147" s="1">
        <f>IFERROR(__xludf.DUMMYFUNCTION("""COMPUTED_VALUE"""),"CompanyGame offers a business simulator platform that allows you to generate educational experiences in the field of business management. Students will have the opportunity to carry out business practices (finance, marketing, strategy, entrepreneurship, o"&amp;"perations, hospitality, banking...) in the classroom with the use of simulators.
Our purpose is to collaborate with institutions, educational centers and corporations to enrich the teaching-learning process.
Currently, we work with more than 100 clients i"&amp;"n Spain and Latin America.
CompanyGame is a 100% Spanish company with headquarters and operations in Barcelona (Spain). We are an independent company, we do not belong to any business group, with an innovative and entrepreneurial vocation.")</f>
        <v/>
      </c>
      <c r="G1147" s="1">
        <f>IFERROR(__xludf.DUMMYFUNCTION("""COMPUTED_VALUE"""),"EduTech Cluster Spain")</f>
        <v/>
      </c>
      <c r="H1147" s="1" t="n"/>
      <c r="I1147" s="1">
        <f>IFERROR(__xludf.DUMMYFUNCTION("""COMPUTED_VALUE"""),"info@companygame.com")</f>
        <v/>
      </c>
      <c r="J1147" s="1">
        <f>IFERROR(__xludf.DUMMYFUNCTION("""COMPUTED_VALUE"""),"+34935340402")</f>
        <v/>
      </c>
      <c r="K1147" s="1">
        <f>IFERROR(__xludf.DUMMYFUNCTION("""COMPUTED_VALUE"""),"BARCELONA")</f>
        <v/>
      </c>
      <c r="L1147" s="1">
        <f>IFERROR(__xludf.DUMMYFUNCTION("""COMPUTED_VALUE"""),"Spain")</f>
        <v/>
      </c>
      <c r="M1147" s="1">
        <f>IFERROR(__xludf.DUMMYFUNCTION("""COMPUTED_VALUE"""),"Spain")</f>
        <v/>
      </c>
      <c r="N1147" s="1">
        <f>IFERROR(__xludf.DUMMYFUNCTION("""COMPUTED_VALUE"""),"0 to 10")</f>
        <v/>
      </c>
      <c r="O1147" s="1">
        <f>IFERROR(__xludf.DUMMYFUNCTION("""COMPUTED_VALUE"""),"Business to Business")</f>
        <v/>
      </c>
      <c r="P1147" s="1">
        <f>IFERROR(__xludf.DUMMYFUNCTION("""COMPUTED_VALUE"""),"Secondary Education, Higher Education, Corporate Training, Lifelong learning/Adult education")</f>
        <v/>
      </c>
      <c r="Q1147" s="1">
        <f>IFERROR(__xludf.DUMMYFUNCTION("""COMPUTED_VALUE"""),"Teacher interfacing, System/Administrative")</f>
        <v/>
      </c>
      <c r="R1147" s="15">
        <f>IFERROR(__xludf.DUMMYFUNCTION("""COMPUTED_VALUE"""),"https://www.instagram.com/companygame_simuladores")</f>
        <v/>
      </c>
      <c r="S1147" s="15">
        <f>IFERROR(__xludf.DUMMYFUNCTION("""COMPUTED_VALUE"""),"https://twitter.com/companygame")</f>
        <v/>
      </c>
      <c r="T1147" s="15">
        <f>IFERROR(__xludf.DUMMYFUNCTION("""COMPUTED_VALUE"""),"https://es.linkedin.com/company/companygame")</f>
        <v/>
      </c>
      <c r="U1147" s="1">
        <f>IFERROR(__xludf.DUMMYFUNCTION("""COMPUTED_VALUE"""),"CompanyGame")</f>
        <v/>
      </c>
      <c r="V1147" s="1">
        <f>IFERROR(__xludf.DUMMYFUNCTION("""COMPUTED_VALUE"""),"We have 35 simulators of different levels of difficulty, from basic levels to complex levels. We also offer the opportunity to develop simulators tailored to institutions and educational centers.
The CompanyGame Platform offers a wide variety of functiona"&amp;"lities that facilitate the design and monitoring of educational activity, as well as the automation of a series of tasks.")</f>
        <v/>
      </c>
      <c r="W1147" s="1" t="n"/>
      <c r="X1147" s="1" t="n"/>
      <c r="Y1147" s="15">
        <f>IFERROR(__xludf.DUMMYFUNCTION("""COMPUTED_VALUE"""),"https://drive.google.com/uc?export=view&amp;id=1jrLBtwXWdujkPfQtRF9XAjBZg4n-n_HF")</f>
        <v/>
      </c>
      <c r="Z1147" s="1">
        <f>IFERROR(__xludf.DUMMYFUNCTION("""COMPUTED_VALUE"""),"Unverified")</f>
        <v/>
      </c>
      <c r="AA1147" s="1" t="n"/>
      <c r="AB1147" s="1" t="n"/>
      <c r="AC1147" s="1" t="n"/>
      <c r="AD1147" s="1" t="n"/>
      <c r="AE1147" s="1" t="n"/>
    </row>
    <row r="1148" ht="42" customHeight="1">
      <c r="A1148" s="14">
        <f>IFERROR(__xludf.DUMMYFUNCTION("""COMPUTED_VALUE"""),45181)</f>
        <v/>
      </c>
      <c r="B1148" s="1">
        <f>IFERROR(__xludf.DUMMYFUNCTION("""COMPUTED_VALUE"""),"ORG_1316")</f>
        <v/>
      </c>
      <c r="C1148" s="1">
        <f>IFERROR(__xludf.DUMMYFUNCTION("""COMPUTED_VALUE"""),TRUE)</f>
        <v/>
      </c>
      <c r="D1148" s="1">
        <f>IFERROR(__xludf.DUMMYFUNCTION("""COMPUTED_VALUE"""),"Cultydata")</f>
        <v/>
      </c>
      <c r="E1148" s="15">
        <f>IFERROR(__xludf.DUMMYFUNCTION("""COMPUTED_VALUE"""),"https://www.linkedin.cn/company/cultydata")</f>
        <v/>
      </c>
      <c r="F1148" s="1">
        <f>IFERROR(__xludf.DUMMYFUNCTION("""COMPUTED_VALUE"""),"Tech company &amp; Edtech on Web3, Machine Learning, Iot, Maths &amp; Cryptographical System.")</f>
        <v/>
      </c>
      <c r="G1148" s="1">
        <f>IFERROR(__xludf.DUMMYFUNCTION("""COMPUTED_VALUE"""),"I'm not part of any EdTech association")</f>
        <v/>
      </c>
      <c r="H1148" s="1" t="n"/>
      <c r="I1148" s="1">
        <f>IFERROR(__xludf.DUMMYFUNCTION("""COMPUTED_VALUE"""),"mohamed.alaoui@cultydata.com")</f>
        <v/>
      </c>
      <c r="J1148" s="1">
        <f>IFERROR(__xludf.DUMMYFUNCTION("""COMPUTED_VALUE"""),"+33 6 99 52 56 24")</f>
        <v/>
      </c>
      <c r="K1148" s="1">
        <f>IFERROR(__xludf.DUMMYFUNCTION("""COMPUTED_VALUE"""),"Le Pecq")</f>
        <v/>
      </c>
      <c r="L1148" s="1">
        <f>IFERROR(__xludf.DUMMYFUNCTION("""COMPUTED_VALUE"""),"France")</f>
        <v/>
      </c>
      <c r="M1148" s="1">
        <f>IFERROR(__xludf.DUMMYFUNCTION("""COMPUTED_VALUE"""),"France")</f>
        <v/>
      </c>
      <c r="N1148" s="1">
        <f>IFERROR(__xludf.DUMMYFUNCTION("""COMPUTED_VALUE"""),"0 to 10")</f>
        <v/>
      </c>
      <c r="O1148" s="1">
        <f>IFERROR(__xludf.DUMMYFUNCTION("""COMPUTED_VALUE"""),"Business to Business")</f>
        <v/>
      </c>
      <c r="P1148" s="1">
        <f>IFERROR(__xludf.DUMMYFUNCTION("""COMPUTED_VALUE"""),"Corporate Training, Lifelong learning/Adult education")</f>
        <v/>
      </c>
      <c r="Q1148" s="1">
        <f>IFERROR(__xludf.DUMMYFUNCTION("""COMPUTED_VALUE"""),"Student interfacing, Teacher interfacing, System/Administrative")</f>
        <v/>
      </c>
      <c r="R1148" s="1" t="n"/>
      <c r="S1148" s="1" t="n"/>
      <c r="T1148" s="1" t="n"/>
      <c r="U1148" s="1" t="n"/>
      <c r="V1148" s="1" t="n"/>
      <c r="W1148" s="1" t="n"/>
      <c r="X1148" s="1" t="n"/>
      <c r="Y1148" s="15">
        <f>IFERROR(__xludf.DUMMYFUNCTION("""COMPUTED_VALUE"""),"https://drive.google.com/uc?export=view&amp;id=1Pb8rf-_bbwpKvcrm2cRyWVgXlUbkiDSn")</f>
        <v/>
      </c>
      <c r="Z1148" s="1">
        <f>IFERROR(__xludf.DUMMYFUNCTION("""COMPUTED_VALUE"""),"Unverified")</f>
        <v/>
      </c>
      <c r="AA1148" s="1" t="n"/>
      <c r="AB1148" s="1" t="n"/>
      <c r="AC1148" s="1" t="n"/>
      <c r="AD1148" s="1" t="n"/>
      <c r="AE1148" s="1" t="n"/>
    </row>
    <row r="1149" ht="42" customHeight="1">
      <c r="A1149" s="14">
        <f>IFERROR(__xludf.DUMMYFUNCTION("""COMPUTED_VALUE"""),45181)</f>
        <v/>
      </c>
      <c r="B1149" s="1">
        <f>IFERROR(__xludf.DUMMYFUNCTION("""COMPUTED_VALUE"""),"ORG_1713")</f>
        <v/>
      </c>
      <c r="C1149" s="1">
        <f>IFERROR(__xludf.DUMMYFUNCTION("""COMPUTED_VALUE"""),TRUE)</f>
        <v/>
      </c>
      <c r="D1149" s="1">
        <f>IFERROR(__xludf.DUMMYFUNCTION("""COMPUTED_VALUE"""),"imc")</f>
        <v/>
      </c>
      <c r="E1149" s="15">
        <f>IFERROR(__xludf.DUMMYFUNCTION("""COMPUTED_VALUE"""),"https://www.im-c.com/de/at/")</f>
        <v/>
      </c>
      <c r="F1149" s="1">
        <f>IFERROR(__xludf.DUMMYFUNCTION("""COMPUTED_VALUE"""),"We make learning better - by redefining (rewriting) the way we learn 
Experts in the fields of technology, e-learning content and strategy work hand in hand to provide holistic and customized e-learning solutions - worldwide. With 12 international locati"&amp;"ons and 350 employees, imc is the leading full-service provider for digital training. 1,300+ commercial enterprises, government organisations and educational institutes with over 10 million users around the world rely on imc's individual solutions.")</f>
        <v/>
      </c>
      <c r="G1149" s="1">
        <f>IFERROR(__xludf.DUMMYFUNCTION("""COMPUTED_VALUE"""),"EdTech Austria")</f>
        <v/>
      </c>
      <c r="H1149" s="1" t="n"/>
      <c r="I1149" s="1">
        <f>IFERROR(__xludf.DUMMYFUNCTION("""COMPUTED_VALUE"""),"info@im-c.com")</f>
        <v/>
      </c>
      <c r="J1149" s="1">
        <f>IFERROR(__xludf.DUMMYFUNCTION("""COMPUTED_VALUE"""),"+43 316 2536650")</f>
        <v/>
      </c>
      <c r="K1149" s="1">
        <f>IFERROR(__xludf.DUMMYFUNCTION("""COMPUTED_VALUE"""),"SAARBRÜCKEN")</f>
        <v/>
      </c>
      <c r="L1149" s="1">
        <f>IFERROR(__xludf.DUMMYFUNCTION("""COMPUTED_VALUE"""),"Germany")</f>
        <v/>
      </c>
      <c r="M1149" s="1">
        <f>IFERROR(__xludf.DUMMYFUNCTION("""COMPUTED_VALUE"""),"Austria, Germany, Netherlands, Romania, Switzerland, United Kingdom")</f>
        <v/>
      </c>
      <c r="N1149" s="1">
        <f>IFERROR(__xludf.DUMMYFUNCTION("""COMPUTED_VALUE"""),"100+")</f>
        <v/>
      </c>
      <c r="O1149" s="1">
        <f>IFERROR(__xludf.DUMMYFUNCTION("""COMPUTED_VALUE"""),"Business to Business, Business to Consumer, Business to Government, Business to Schools")</f>
        <v/>
      </c>
      <c r="P1149" s="1">
        <f>IFERROR(__xludf.DUMMYFUNCTION("""COMPUTED_VALUE"""),"Corporate Training")</f>
        <v/>
      </c>
      <c r="Q1149" s="1">
        <f>IFERROR(__xludf.DUMMYFUNCTION("""COMPUTED_VALUE"""),"Student interfacing, System/Administrative")</f>
        <v/>
      </c>
      <c r="R1149" s="15">
        <f>IFERROR(__xludf.DUMMYFUNCTION("""COMPUTED_VALUE"""),"https://www.instagram.com/imc_learning/?hl=de")</f>
        <v/>
      </c>
      <c r="S1149" s="15">
        <f>IFERROR(__xludf.DUMMYFUNCTION("""COMPUTED_VALUE"""),"https://twitter.com/imc_learning")</f>
        <v/>
      </c>
      <c r="T1149" s="15">
        <f>IFERROR(__xludf.DUMMYFUNCTION("""COMPUTED_VALUE"""),"https://www.linkedin.com/company/109738/admin/")</f>
        <v/>
      </c>
      <c r="U1149" s="1">
        <f>IFERROR(__xludf.DUMMYFUNCTION("""COMPUTED_VALUE"""),"imc Learning Suite")</f>
        <v/>
      </c>
      <c r="V1149" s="1">
        <f>IFERROR(__xludf.DUMMYFUNCTION("""COMPUTED_VALUE"""),"imc Learning Suite is the learning management system that can be smoothly integrated into any training scenario and any learning ecosystem. Classroom or digital, social, on the job, blended,
mobile or adaptive learning based on artificial intelligence – "&amp;"imc Learning Suite enables designed digital learning environments according to your personal needs. Manage all your learning processes in a single system, fully integrated with your IT ecosystem.")</f>
        <v/>
      </c>
      <c r="W1149" s="1">
        <f>IFERROR(__xludf.DUMMYFUNCTION("""COMPUTED_VALUE"""),"imc Express")</f>
        <v/>
      </c>
      <c r="X1149" s="1">
        <f>IFERROR(__xludf.DUMMYFUNCTION("""COMPUTED_VALUE"""),"With imc Express your company gets everything it needs to create corporate e-learning and custom lessons with flexible authoring. The comprehensive tool kit consisting of design templates, image databases, surveys and much more ensures maximum creativity "&amp;"and flexibility for your employees. Also the possibility of different output formats such as text or audio ensure a perfect implementation of the learning experience. Of course, produced learning contents can be integrated into the imc Learning Suite with"&amp;"out any problems.")</f>
        <v/>
      </c>
      <c r="Y1149" s="15">
        <f>IFERROR(__xludf.DUMMYFUNCTION("""COMPUTED_VALUE"""),"https://drive.google.com/uc?export=view&amp;id=1gdfZgbJP80bCuX24MmAYHEDY4nxJW2gR")</f>
        <v/>
      </c>
      <c r="Z1149" s="1">
        <f>IFERROR(__xludf.DUMMYFUNCTION("""COMPUTED_VALUE"""),"Unverified")</f>
        <v/>
      </c>
      <c r="AA1149" s="1" t="n"/>
      <c r="AB1149" s="1" t="n"/>
      <c r="AC1149" s="1" t="n"/>
      <c r="AD1149" s="1" t="n"/>
      <c r="AE1149" s="1" t="n"/>
    </row>
    <row r="1150" ht="42" customHeight="1">
      <c r="A1150" s="14">
        <f>IFERROR(__xludf.DUMMYFUNCTION("""COMPUTED_VALUE"""),45181)</f>
        <v/>
      </c>
      <c r="B1150" s="1">
        <f>IFERROR(__xludf.DUMMYFUNCTION("""COMPUTED_VALUE"""),"ORG_1724")</f>
        <v/>
      </c>
      <c r="C1150" s="1">
        <f>IFERROR(__xludf.DUMMYFUNCTION("""COMPUTED_VALUE"""),TRUE)</f>
        <v/>
      </c>
      <c r="D1150" s="1">
        <f>IFERROR(__xludf.DUMMYFUNCTION("""COMPUTED_VALUE"""),"Innoduel")</f>
        <v/>
      </c>
      <c r="E1150" s="15">
        <f>IFERROR(__xludf.DUMMYFUNCTION("""COMPUTED_VALUE"""),"www.innoduel.com")</f>
        <v/>
      </c>
      <c r="F1150" s="1">
        <f>IFERROR(__xludf.DUMMYFUNCTION("""COMPUTED_VALUE"""),"We help educational leaders and teachers improve communities' and student groups' sense of belonging, inclusion and learning together by offering respectful methods for co-creation and engagement. Our inclusive method for gathering student feedback with i"&amp;"mmediate benefits is designed to end the era of retrospective course evaluation habits. We offer Innoduel SaaS-licenses and expert services to run amazing co-creation and engagement projects.")</f>
        <v/>
      </c>
      <c r="G1150" s="1">
        <f>IFERROR(__xludf.DUMMYFUNCTION("""COMPUTED_VALUE"""),"EdTech Finland")</f>
        <v/>
      </c>
      <c r="H1150" s="1" t="n"/>
      <c r="I1150" s="1">
        <f>IFERROR(__xludf.DUMMYFUNCTION("""COMPUTED_VALUE"""),"jussi.simolin@innoduel.com")</f>
        <v/>
      </c>
      <c r="J1150" s="1">
        <f>IFERROR(__xludf.DUMMYFUNCTION("""COMPUTED_VALUE"""),"+358 40 747 1793")</f>
        <v/>
      </c>
      <c r="K1150" s="1">
        <f>IFERROR(__xludf.DUMMYFUNCTION("""COMPUTED_VALUE"""),"HELSINKI")</f>
        <v/>
      </c>
      <c r="L1150" s="1">
        <f>IFERROR(__xludf.DUMMYFUNCTION("""COMPUTED_VALUE"""),"Finland")</f>
        <v/>
      </c>
      <c r="M1150" s="1">
        <f>IFERROR(__xludf.DUMMYFUNCTION("""COMPUTED_VALUE"""),"Finland, Italy")</f>
        <v/>
      </c>
      <c r="N1150" s="1">
        <f>IFERROR(__xludf.DUMMYFUNCTION("""COMPUTED_VALUE"""),"0 to 10")</f>
        <v/>
      </c>
      <c r="O1150" s="1">
        <f>IFERROR(__xludf.DUMMYFUNCTION("""COMPUTED_VALUE"""),"Business to Business, Business to Consumer, Business to Government, Business to Schools")</f>
        <v/>
      </c>
      <c r="P1150" s="1">
        <f>IFERROR(__xludf.DUMMYFUNCTION("""COMPUTED_VALUE"""),"Secondary Education, Higher Education, Corporate Training, Lifelong learning/Adult education")</f>
        <v/>
      </c>
      <c r="Q1150" s="1">
        <f>IFERROR(__xludf.DUMMYFUNCTION("""COMPUTED_VALUE"""),"Teacher interfacing, System/Administrative")</f>
        <v/>
      </c>
      <c r="R1150" s="1" t="n"/>
      <c r="S1150" s="15">
        <f>IFERROR(__xludf.DUMMYFUNCTION("""COMPUTED_VALUE"""),"https://twitter.com/innoduel")</f>
        <v/>
      </c>
      <c r="T1150" s="15">
        <f>IFERROR(__xludf.DUMMYFUNCTION("""COMPUTED_VALUE"""),"https://www.linkedin.com/company/innoduel")</f>
        <v/>
      </c>
      <c r="U1150" s="1">
        <f>IFERROR(__xludf.DUMMYFUNCTION("""COMPUTED_VALUE"""),"Innoduel Saas -licence")</f>
        <v/>
      </c>
      <c r="V1150" s="1">
        <f>IFERROR(__xludf.DUMMYFUNCTION("""COMPUTED_VALUE"""),"For any teacher who wants to improve student groups' emotional climate by using inclusive co-creation methods. Use cases: course feed-forward, collective pedagogical activation, service design of new courses etc.
For any educational leader who wants to i"&amp;"mprove the well-being of his/her staff by utilizing inclusive and cyclic co-creation methods for better decision making.
For any educational institute wanting to scale inclusive and efficient co-creation methods for the benefit of students and employees.")</f>
        <v/>
      </c>
      <c r="W1150" s="1">
        <f>IFERROR(__xludf.DUMMYFUNCTION("""COMPUTED_VALUE"""),"Innoduel co-creation and engagement expert services")</f>
        <v/>
      </c>
      <c r="X1150" s="1">
        <f>IFERROR(__xludf.DUMMYFUNCTION("""COMPUTED_VALUE"""),"We help leaders, educators, service designers and project managers engage focus groups in very efficient and inclusive way. By crafting beautiful engagement processes the focus groups feels sense of belonging and provide amazingly easy-to-read prioritised"&amp;" insight for evidence-informed decision making.
Our expert services utilise Innoduel as a digital tool and we plan the engagement process always with the customer from invitation to success celebration.")</f>
        <v/>
      </c>
      <c r="Y1150" s="15">
        <f>IFERROR(__xludf.DUMMYFUNCTION("""COMPUTED_VALUE"""),"https://drive.google.com/uc?export=view&amp;id=1ED0h_SCTDi4w-wsxOF05RHVTItOfJsvW")</f>
        <v/>
      </c>
      <c r="Z1150" s="1">
        <f>IFERROR(__xludf.DUMMYFUNCTION("""COMPUTED_VALUE"""),"Unverified")</f>
        <v/>
      </c>
      <c r="AA1150" s="1" t="n"/>
      <c r="AB1150" s="1" t="n"/>
      <c r="AC1150" s="1" t="n"/>
      <c r="AD1150" s="1" t="n"/>
      <c r="AE1150" s="1" t="n"/>
    </row>
    <row r="1151" ht="42" customHeight="1">
      <c r="A1151" s="14">
        <f>IFERROR(__xludf.DUMMYFUNCTION("""COMPUTED_VALUE"""),45181)</f>
        <v/>
      </c>
      <c r="B1151" s="1">
        <f>IFERROR(__xludf.DUMMYFUNCTION("""COMPUTED_VALUE"""),"ORG_1869")</f>
        <v/>
      </c>
      <c r="C1151" s="1">
        <f>IFERROR(__xludf.DUMMYFUNCTION("""COMPUTED_VALUE"""),TRUE)</f>
        <v/>
      </c>
      <c r="D1151" s="1">
        <f>IFERROR(__xludf.DUMMYFUNCTION("""COMPUTED_VALUE"""),"Lexplore")</f>
        <v/>
      </c>
      <c r="E1151" s="15">
        <f>IFERROR(__xludf.DUMMYFUNCTION("""COMPUTED_VALUE"""),"https://www.lexplore.com/")</f>
        <v/>
      </c>
      <c r="F1151" s="1">
        <f>IFERROR(__xludf.DUMMYFUNCTION("""COMPUTED_VALUE"""),"Lexplore is all about reading development. We connect insights about each students reading ability, powered by AI, with proven reading exercises &amp; material. Our reading development platform is designed to empower teachers, motivate students and impact rea"&amp;"ding journeys everywhere.")</f>
        <v/>
      </c>
      <c r="G1151" s="1">
        <f>IFERROR(__xludf.DUMMYFUNCTION("""COMPUTED_VALUE"""),"Swedish EdTech Industry")</f>
        <v/>
      </c>
      <c r="H1151" s="1" t="n"/>
      <c r="I1151" s="1">
        <f>IFERROR(__xludf.DUMMYFUNCTION("""COMPUTED_VALUE"""),"hello@lexplore.com")</f>
        <v/>
      </c>
      <c r="J1151" s="1" t="n"/>
      <c r="K1151" s="1">
        <f>IFERROR(__xludf.DUMMYFUNCTION("""COMPUTED_VALUE"""),"Solna")</f>
        <v/>
      </c>
      <c r="L1151" s="1">
        <f>IFERROR(__xludf.DUMMYFUNCTION("""COMPUTED_VALUE"""),"Sweden")</f>
        <v/>
      </c>
      <c r="M1151" s="1">
        <f>IFERROR(__xludf.DUMMYFUNCTION("""COMPUTED_VALUE"""),"Finland, Norway, Portugal, Sweden, United Kingdom")</f>
        <v/>
      </c>
      <c r="N1151" s="1">
        <f>IFERROR(__xludf.DUMMYFUNCTION("""COMPUTED_VALUE"""),"11 to 50")</f>
        <v/>
      </c>
      <c r="O1151" s="1">
        <f>IFERROR(__xludf.DUMMYFUNCTION("""COMPUTED_VALUE"""),"Business to Business, Business to Consumer, Business to Government, Business to Schools")</f>
        <v/>
      </c>
      <c r="P1151" s="1">
        <f>IFERROR(__xludf.DUMMYFUNCTION("""COMPUTED_VALUE"""),"Primary Education")</f>
        <v/>
      </c>
      <c r="Q1151" s="1">
        <f>IFERROR(__xludf.DUMMYFUNCTION("""COMPUTED_VALUE"""),"Student interfacing, Teacher interfacing")</f>
        <v/>
      </c>
      <c r="R1151" s="15">
        <f>IFERROR(__xludf.DUMMYFUNCTION("""COMPUTED_VALUE"""),"https://instagram.com/lexploreinc")</f>
        <v/>
      </c>
      <c r="S1151" s="15">
        <f>IFERROR(__xludf.DUMMYFUNCTION("""COMPUTED_VALUE"""),"https://twitter.com/LexploreInc")</f>
        <v/>
      </c>
      <c r="T1151" s="15">
        <f>IFERROR(__xludf.DUMMYFUNCTION("""COMPUTED_VALUE"""),"https://www.linkedin.com/company/lexplore-global/")</f>
        <v/>
      </c>
      <c r="U1151" s="1">
        <f>IFERROR(__xludf.DUMMYFUNCTION("""COMPUTED_VALUE"""),"Digital Reading Platform")</f>
        <v/>
      </c>
      <c r="V1151" s="1">
        <f>IFERROR(__xludf.DUMMYFUNCTION("""COMPUTED_VALUE"""),"The digital reading platform supports reading development at your school or in your municipality. Connecting insights about reading, powered by AI, with proven reading excercises to enable your school to learn how the students reading activities impact th"&amp;"eir reading progress and journey.")</f>
        <v/>
      </c>
      <c r="W1151" s="1" t="n"/>
      <c r="X1151" s="1" t="n"/>
      <c r="Y1151" s="15">
        <f>IFERROR(__xludf.DUMMYFUNCTION("""COMPUTED_VALUE"""),"https://drive.google.com/uc?export=view&amp;id=1nRJiw6IGZE4MvGV75zFKV811KhrHJdy3")</f>
        <v/>
      </c>
      <c r="Z1151" s="1">
        <f>IFERROR(__xludf.DUMMYFUNCTION("""COMPUTED_VALUE"""),"Unverified")</f>
        <v/>
      </c>
      <c r="AA1151" s="1" t="n"/>
      <c r="AB1151" s="1" t="n"/>
      <c r="AC1151" s="1" t="n"/>
      <c r="AD1151" s="1" t="n"/>
      <c r="AE1151" s="1" t="n"/>
    </row>
    <row r="1152" ht="42" customHeight="1">
      <c r="A1152" s="14">
        <f>IFERROR(__xludf.DUMMYFUNCTION("""COMPUTED_VALUE"""),45181)</f>
        <v/>
      </c>
      <c r="B1152" s="1">
        <f>IFERROR(__xludf.DUMMYFUNCTION("""COMPUTED_VALUE"""),"ORG_1994")</f>
        <v/>
      </c>
      <c r="C1152" s="1">
        <f>IFERROR(__xludf.DUMMYFUNCTION("""COMPUTED_VALUE"""),TRUE)</f>
        <v/>
      </c>
      <c r="D1152" s="1">
        <f>IFERROR(__xludf.DUMMYFUNCTION("""COMPUTED_VALUE"""),"Mr. Chadd")</f>
        <v/>
      </c>
      <c r="E1152" s="15">
        <f>IFERROR(__xludf.DUMMYFUNCTION("""COMPUTED_VALUE"""),"https://www.mrchadd.nl/")</f>
        <v/>
      </c>
      <c r="F1152" s="1">
        <f>IFERROR(__xludf.DUMMYFUNCTION("""COMPUTED_VALUE"""),"Mr. Chadd: the digital teaching assistant
Teachers have a new solution in busy classrooms: Mr. Chadd. Pupils can ask their homework questions on our app that runs on mobile phone, tablet or desktop. Within ten seconds they are connected with a qualified, "&amp;"university student. They help the pupils until they understand the matter their questions was about. Mr. Chadd can provide help during class, or as an extra support outside the classroom.
We offer support for all courses and for all levels. By using Mr. "&amp;"Chadd, teachers get the opportunity to help single students, while others can ask their questions on Mr. Chadd. We see the results of the pupils that use Mr. Chadd improving and they have more fun studying!")</f>
        <v/>
      </c>
      <c r="G1152" s="1">
        <f>IFERROR(__xludf.DUMMYFUNCTION("""COMPUTED_VALUE"""),"I'm not part of any EdTech association")</f>
        <v/>
      </c>
      <c r="H1152" s="1" t="n"/>
      <c r="I1152" s="1">
        <f>IFERROR(__xludf.DUMMYFUNCTION("""COMPUTED_VALUE"""),"info@mrchadd.nl")</f>
        <v/>
      </c>
      <c r="J1152" s="1">
        <f>IFERROR(__xludf.DUMMYFUNCTION("""COMPUTED_VALUE"""),"+31854015418")</f>
        <v/>
      </c>
      <c r="K1152" s="1">
        <f>IFERROR(__xludf.DUMMYFUNCTION("""COMPUTED_VALUE"""),"GRONINGEN")</f>
        <v/>
      </c>
      <c r="L1152" s="1">
        <f>IFERROR(__xludf.DUMMYFUNCTION("""COMPUTED_VALUE"""),"The Netherlands")</f>
        <v/>
      </c>
      <c r="M1152" s="1">
        <f>IFERROR(__xludf.DUMMYFUNCTION("""COMPUTED_VALUE"""),"Belgium, Netherlands")</f>
        <v/>
      </c>
      <c r="N1152" s="1">
        <f>IFERROR(__xludf.DUMMYFUNCTION("""COMPUTED_VALUE"""),"11 to 50")</f>
        <v/>
      </c>
      <c r="O1152" s="1">
        <f>IFERROR(__xludf.DUMMYFUNCTION("""COMPUTED_VALUE"""),"Business to Business, Business to Consumer, Business to Schools")</f>
        <v/>
      </c>
      <c r="P1152" s="1">
        <f>IFERROR(__xludf.DUMMYFUNCTION("""COMPUTED_VALUE"""),"Secondary Education, Higher Education")</f>
        <v/>
      </c>
      <c r="Q1152" s="1">
        <f>IFERROR(__xludf.DUMMYFUNCTION("""COMPUTED_VALUE"""),"System/Administrative, Student interfacing, Teacher interfacing")</f>
        <v/>
      </c>
      <c r="R1152" s="1" t="n"/>
      <c r="S1152" s="1" t="n"/>
      <c r="T1152" s="1" t="n"/>
      <c r="U1152" s="1" t="n"/>
      <c r="V1152" s="1" t="n"/>
      <c r="W1152" s="1" t="n"/>
      <c r="X1152" s="1" t="n"/>
      <c r="Y1152" s="15">
        <f>IFERROR(__xludf.DUMMYFUNCTION("""COMPUTED_VALUE"""),"https://drive.google.com/uc?export=view&amp;id=14fT4FXXZ-YiTbXfbqJFqfnbu1XmeJx8C")</f>
        <v/>
      </c>
      <c r="Z1152" s="1">
        <f>IFERROR(__xludf.DUMMYFUNCTION("""COMPUTED_VALUE"""),"Unverified")</f>
        <v/>
      </c>
      <c r="AA1152" s="1" t="n"/>
      <c r="AB1152" s="1" t="n"/>
      <c r="AC1152" s="1" t="n"/>
      <c r="AD1152" s="1" t="n"/>
      <c r="AE1152" s="1" t="n"/>
    </row>
    <row r="1153" ht="42" customHeight="1">
      <c r="A1153" s="14">
        <f>IFERROR(__xludf.DUMMYFUNCTION("""COMPUTED_VALUE"""),45181)</f>
        <v/>
      </c>
      <c r="B1153" s="1">
        <f>IFERROR(__xludf.DUMMYFUNCTION("""COMPUTED_VALUE"""),"ORG_1999")</f>
        <v/>
      </c>
      <c r="C1153" s="1">
        <f>IFERROR(__xludf.DUMMYFUNCTION("""COMPUTED_VALUE"""),TRUE)</f>
        <v/>
      </c>
      <c r="D1153" s="1">
        <f>IFERROR(__xludf.DUMMYFUNCTION("""COMPUTED_VALUE"""),"My Education Lifestyle")</f>
        <v/>
      </c>
      <c r="E1153" s="15">
        <f>IFERROR(__xludf.DUMMYFUNCTION("""COMPUTED_VALUE"""),"http://myeducation.company/")</f>
        <v/>
      </c>
      <c r="F1153" s="1">
        <f>IFERROR(__xludf.DUMMYFUNCTION("""COMPUTED_VALUE"""),"Skills such as critical thinking, problem solving, financial literacy, stress resilience and active learning are at the top of the list of what young people need to develop so that they will have an interest in the next five years. And the traditional sch"&amp;"ool system fails to teach them. The students experience that they do not feel heard when it comes to personal development and their mental health. They also experience that they have to switch between different apps to get to school information, which cos"&amp;"ts them time and energy. They also need balance, fun and connection. The teachers do not experience interaction through their current app and see the motivation of the students decrease. The parents experience little contact from school about their childr"&amp;"en's progress. My Education Lifestyle ensures that young people need to develop soft and hard skills and we prepare them for the increasing change of technology where traditional schools fail. We offer an all-in-one solution app that is user-friendly for "&amp;"the youth, schools and the parents where they will experience balance, fun and gaining knowledge at the same time. This will prepare millions of young people for the future.")</f>
        <v/>
      </c>
      <c r="G1153" s="1">
        <f>IFERROR(__xludf.DUMMYFUNCTION("""COMPUTED_VALUE"""),"I'm not part of any EdTech association")</f>
        <v/>
      </c>
      <c r="H1153" s="1" t="n"/>
      <c r="I1153" s="1">
        <f>IFERROR(__xludf.DUMMYFUNCTION("""COMPUTED_VALUE"""),"lifestyle@myeducation.company")</f>
        <v/>
      </c>
      <c r="J1153" s="1" t="n"/>
      <c r="K1153" s="1">
        <f>IFERROR(__xludf.DUMMYFUNCTION("""COMPUTED_VALUE"""),"Purmerend")</f>
        <v/>
      </c>
      <c r="L1153" s="1">
        <f>IFERROR(__xludf.DUMMYFUNCTION("""COMPUTED_VALUE"""),"The Netherlands")</f>
        <v/>
      </c>
      <c r="M1153" s="1">
        <f>IFERROR(__xludf.DUMMYFUNCTION("""COMPUTED_VALUE"""),"Netherlands")</f>
        <v/>
      </c>
      <c r="N1153" s="1">
        <f>IFERROR(__xludf.DUMMYFUNCTION("""COMPUTED_VALUE"""),"0 to 10")</f>
        <v/>
      </c>
      <c r="O1153" s="1">
        <f>IFERROR(__xludf.DUMMYFUNCTION("""COMPUTED_VALUE"""),"Business to Business, Business to Consumer, Business to Schools")</f>
        <v/>
      </c>
      <c r="P1153" s="1">
        <f>IFERROR(__xludf.DUMMYFUNCTION("""COMPUTED_VALUE"""),"Secondary Education, Higher Education, Corporate Training")</f>
        <v/>
      </c>
      <c r="Q1153" s="1">
        <f>IFERROR(__xludf.DUMMYFUNCTION("""COMPUTED_VALUE"""),"System/Administrative, Student interfacing, Teacher interfacing")</f>
        <v/>
      </c>
      <c r="R1153" s="1" t="n"/>
      <c r="S1153" s="1" t="n"/>
      <c r="T1153" s="1" t="n"/>
      <c r="U1153" s="1" t="n"/>
      <c r="V1153" s="1" t="n"/>
      <c r="W1153" s="1" t="n"/>
      <c r="X1153" s="1" t="n"/>
      <c r="Y1153" s="15">
        <f>IFERROR(__xludf.DUMMYFUNCTION("""COMPUTED_VALUE"""),"https://drive.google.com/uc?export=view&amp;id=1DsOMND6IPzIUdf6Fhgw3TD4aVaEdsEnu")</f>
        <v/>
      </c>
      <c r="Z1153" s="1">
        <f>IFERROR(__xludf.DUMMYFUNCTION("""COMPUTED_VALUE"""),"Unverified")</f>
        <v/>
      </c>
      <c r="AA1153" s="1" t="n"/>
      <c r="AB1153" s="1" t="n"/>
      <c r="AC1153" s="1" t="n"/>
      <c r="AD1153" s="1" t="n"/>
      <c r="AE1153" s="1" t="n"/>
    </row>
    <row r="1154" ht="42" customHeight="1">
      <c r="A1154" s="14">
        <f>IFERROR(__xludf.DUMMYFUNCTION("""COMPUTED_VALUE"""),45181)</f>
        <v/>
      </c>
      <c r="B1154" s="1">
        <f>IFERROR(__xludf.DUMMYFUNCTION("""COMPUTED_VALUE"""),"ORG_2078")</f>
        <v/>
      </c>
      <c r="C1154" s="1">
        <f>IFERROR(__xludf.DUMMYFUNCTION("""COMPUTED_VALUE"""),TRUE)</f>
        <v/>
      </c>
      <c r="D1154" s="1">
        <f>IFERROR(__xludf.DUMMYFUNCTION("""COMPUTED_VALUE"""),"ORIENTOI")</f>
        <v/>
      </c>
      <c r="E1154" s="15">
        <f>IFERROR(__xludf.DUMMYFUNCTION("""COMPUTED_VALUE"""),"https://orientoi.fr")</f>
        <v/>
      </c>
      <c r="F1154" s="1">
        <f>IFERROR(__xludf.DUMMYFUNCTION("""COMPUTED_VALUE"""),"What if we orient ourselves through play?
Building your orientation project while having fun is possible with Orientoi: Thanks to the innovative digital platforms developed, young people play and discover new professions in a positive way.
Discover an int"&amp;"uitive technology based on artificial intelligence, allowing you to create a personalized route, adapted and designed for the user. Playful and connected, the platform is updated with each new interaction. The ideal solution to include young people and he"&amp;"lp them identify their talents and play a role in their orientation.
Give yourself the means to accompany them!
Orientoi provides a connected space to allow tailor-made support for everyone: parents, teachers, supervisors, psychologists and coaches. You a"&amp;"ll have superpowers.")</f>
        <v/>
      </c>
      <c r="G1154" s="1">
        <f>IFERROR(__xludf.DUMMYFUNCTION("""COMPUTED_VALUE"""),"EdTech France")</f>
        <v/>
      </c>
      <c r="H1154" s="1" t="n"/>
      <c r="I1154" s="1">
        <f>IFERROR(__xludf.DUMMYFUNCTION("""COMPUTED_VALUE"""),"contact@orientoi.fr")</f>
        <v/>
      </c>
      <c r="J1154" s="1">
        <f>IFERROR(__xludf.DUMMYFUNCTION("""COMPUTED_VALUE"""),"+33666438716")</f>
        <v/>
      </c>
      <c r="K1154" s="1">
        <f>IFERROR(__xludf.DUMMYFUNCTION("""COMPUTED_VALUE"""),"LILLE")</f>
        <v/>
      </c>
      <c r="L1154" s="1">
        <f>IFERROR(__xludf.DUMMYFUNCTION("""COMPUTED_VALUE"""),"France")</f>
        <v/>
      </c>
      <c r="M1154" s="1">
        <f>IFERROR(__xludf.DUMMYFUNCTION("""COMPUTED_VALUE"""),"France, Switzerland")</f>
        <v/>
      </c>
      <c r="N1154" s="1">
        <f>IFERROR(__xludf.DUMMYFUNCTION("""COMPUTED_VALUE"""),"0 to 10")</f>
        <v/>
      </c>
      <c r="O1154" s="1">
        <f>IFERROR(__xludf.DUMMYFUNCTION("""COMPUTED_VALUE"""),"Business to Business, Business to Government")</f>
        <v/>
      </c>
      <c r="P1154" s="1">
        <f>IFERROR(__xludf.DUMMYFUNCTION("""COMPUTED_VALUE"""),"Secondary Education, Higher Education, Corporate Training, Lifelong learning/Adult education")</f>
        <v/>
      </c>
      <c r="Q1154" s="1">
        <f>IFERROR(__xludf.DUMMYFUNCTION("""COMPUTED_VALUE"""),"System/Administrative, Student interfacing, Teacher interfacing")</f>
        <v/>
      </c>
      <c r="R1154" s="15">
        <f>IFERROR(__xludf.DUMMYFUNCTION("""COMPUTED_VALUE"""),"https://www.instagram.com/orientoi.fr/")</f>
        <v/>
      </c>
      <c r="S1154" s="15">
        <f>IFERROR(__xludf.DUMMYFUNCTION("""COMPUTED_VALUE"""),"https://twitter.com/orientoi")</f>
        <v/>
      </c>
      <c r="T1154" s="15">
        <f>IFERROR(__xludf.DUMMYFUNCTION("""COMPUTED_VALUE"""),"https://www.linkedin.com/company/orientoi/")</f>
        <v/>
      </c>
      <c r="U1154" s="1">
        <f>IFERROR(__xludf.DUMMYFUNCTION("""COMPUTED_VALUE"""),"Orientoi Success")</f>
        <v/>
      </c>
      <c r="V1154" s="1">
        <f>IFERROR(__xludf.DUMMYFUNCTION("""COMPUTED_VALUE"""),"This digital, fun and positive solution is an innovative vision of the construction of guidance paths. By offering this concept based on use and interconnected with all guidance actors, ORIENTOI allows the user to identify their talents while playing and "&amp;"to discover jobs adapted to their personality.
The platform contains 2 parts: a web application for users; a dashboard for teachers and parents.")</f>
        <v/>
      </c>
      <c r="W1154" s="1">
        <f>IFERROR(__xludf.DUMMYFUNCTION("""COMPUTED_VALUE"""),"Orientoi Opportunity")</f>
        <v/>
      </c>
      <c r="X1154" s="1">
        <f>IFERROR(__xludf.DUMMYFUNCTION("""COMPUTED_VALUE"""),"ORIENTOI has a personalized feature that allows training organizations to highlight their training, internship or work-study offers to their future candidates. The digital, fun and positive approach leads users to greater self-confidence and connects them"&amp;" to concrete proposals available.
The platform contains 2 parts: a web application for users; a dashboard for training and job placement advisors.")</f>
        <v/>
      </c>
      <c r="Y1154" s="15">
        <f>IFERROR(__xludf.DUMMYFUNCTION("""COMPUTED_VALUE"""),"https://drive.google.com/uc?export=view&amp;id=17moXERTj1ZGNWUaqGQ6UBPoaHz-va5EF")</f>
        <v/>
      </c>
      <c r="Z1154" s="1">
        <f>IFERROR(__xludf.DUMMYFUNCTION("""COMPUTED_VALUE"""),"Unverified")</f>
        <v/>
      </c>
      <c r="AA1154" s="1" t="n"/>
      <c r="AB1154" s="1" t="n"/>
      <c r="AC1154" s="1" t="n"/>
      <c r="AD1154" s="1" t="n"/>
      <c r="AE1154" s="1" t="n"/>
    </row>
    <row r="1155" ht="42" customHeight="1">
      <c r="A1155" s="14">
        <f>IFERROR(__xludf.DUMMYFUNCTION("""COMPUTED_VALUE"""),45181)</f>
        <v/>
      </c>
      <c r="B1155" s="1">
        <f>IFERROR(__xludf.DUMMYFUNCTION("""COMPUTED_VALUE"""),"ORG_2090")</f>
        <v/>
      </c>
      <c r="C1155" s="1">
        <f>IFERROR(__xludf.DUMMYFUNCTION("""COMPUTED_VALUE"""),TRUE)</f>
        <v/>
      </c>
      <c r="D1155" s="1">
        <f>IFERROR(__xludf.DUMMYFUNCTION("""COMPUTED_VALUE"""),"pathfindr ApS")</f>
        <v/>
      </c>
      <c r="E1155" s="1">
        <f>IFERROR(__xludf.DUMMYFUNCTION("""COMPUTED_VALUE"""),"pathfindr.dev")</f>
        <v/>
      </c>
      <c r="F1155" s="1">
        <f>IFERROR(__xludf.DUMMYFUNCTION("""COMPUTED_VALUE"""),"Pathfindr (formerly feedbackbox) provides you with a set of tools that enable you to share &amp; receive video messages, make screen recordings and comment or annotate in documents. You can seamlessly integrate our tools to your existing apps. We offer easily"&amp;" installed plugins, an API or an on-premise solution. Our infrastructure is ready for you to deploy immediately (incl. storage, encoding and streaming). We have pre built recorders and video players as front end components. This means, wherever you have t"&amp;"ext input today you can upgrade it to include a video and screen recorder.")</f>
        <v/>
      </c>
      <c r="G1155" s="1">
        <f>IFERROR(__xludf.DUMMYFUNCTION("""COMPUTED_VALUE"""),"EdTech Denmark")</f>
        <v/>
      </c>
      <c r="H1155" s="1" t="n"/>
      <c r="I1155" s="1">
        <f>IFERROR(__xludf.DUMMYFUNCTION("""COMPUTED_VALUE"""),"hi@pathfindr.dev")</f>
        <v/>
      </c>
      <c r="J1155" s="1">
        <f>IFERROR(__xludf.DUMMYFUNCTION("""COMPUTED_VALUE"""),"+45 35 10 52 52")</f>
        <v/>
      </c>
      <c r="K1155" s="1">
        <f>IFERROR(__xludf.DUMMYFUNCTION("""COMPUTED_VALUE"""),"Svendborg")</f>
        <v/>
      </c>
      <c r="L1155" s="1">
        <f>IFERROR(__xludf.DUMMYFUNCTION("""COMPUTED_VALUE"""),"Denmark")</f>
        <v/>
      </c>
      <c r="M1155" s="1">
        <f>IFERROR(__xludf.DUMMYFUNCTION("""COMPUTED_VALUE"""),"Denmark, Germany, Slovakia")</f>
        <v/>
      </c>
      <c r="N1155" s="1">
        <f>IFERROR(__xludf.DUMMYFUNCTION("""COMPUTED_VALUE"""),"0 to 10")</f>
        <v/>
      </c>
      <c r="O1155" s="1">
        <f>IFERROR(__xludf.DUMMYFUNCTION("""COMPUTED_VALUE"""),"Business to Business, Business to Government")</f>
        <v/>
      </c>
      <c r="P1155" s="1">
        <f>IFERROR(__xludf.DUMMYFUNCTION("""COMPUTED_VALUE"""),"Early childhood development (0-5 years), Primary Education, Secondary Education, Higher Education, Corporate Training, Lifelong learning/Adult education")</f>
        <v/>
      </c>
      <c r="Q1155" s="1">
        <f>IFERROR(__xludf.DUMMYFUNCTION("""COMPUTED_VALUE"""),"Teacher interfacing, System/Administrative")</f>
        <v/>
      </c>
      <c r="R1155" s="1" t="n"/>
      <c r="S1155" s="1" t="n"/>
      <c r="T1155" s="15">
        <f>IFERROR(__xludf.DUMMYFUNCTION("""COMPUTED_VALUE"""),"https://www.linkedin.com/company/feedbackbox/")</f>
        <v/>
      </c>
      <c r="U1155" s="1">
        <f>IFERROR(__xludf.DUMMYFUNCTION("""COMPUTED_VALUE"""),"Annotation SDK")</f>
        <v/>
      </c>
      <c r="V1155" s="1">
        <f>IFERROR(__xludf.DUMMYFUNCTION("""COMPUTED_VALUE"""),"Move away from red marks and turn corrections into screen and camera recordings where teachers' explanations become alive and attract attention. It is an SDK that you can deploy directly into your code base and be up and running with advanced features dev"&amp;"eloped in Denmark.")</f>
        <v/>
      </c>
      <c r="W1155" s="1">
        <f>IFERROR(__xludf.DUMMYFUNCTION("""COMPUTED_VALUE"""),"Video SDK")</f>
        <v/>
      </c>
      <c r="X1155" s="1">
        <f>IFERROR(__xludf.DUMMYFUNCTION("""COMPUTED_VALUE"""),"The video SDK is a cam/screen recorder that can be embedded into existing input fields. It can be implemented wherever you have a text to write. It provides the functionality to seamlessly record, upload, store, encode and stream videos.")</f>
        <v/>
      </c>
      <c r="Y1155" s="15">
        <f>IFERROR(__xludf.DUMMYFUNCTION("""COMPUTED_VALUE"""),"https://drive.google.com/uc?export=view&amp;id=1RGRmFCFoZkr1QaDuW2XCqtsw2RiGFA4d")</f>
        <v/>
      </c>
      <c r="Z1155" s="1">
        <f>IFERROR(__xludf.DUMMYFUNCTION("""COMPUTED_VALUE"""),"Unverified")</f>
        <v/>
      </c>
      <c r="AA1155" s="1" t="n"/>
      <c r="AB1155" s="1" t="n"/>
      <c r="AC1155" s="1" t="n"/>
      <c r="AD1155" s="1" t="n"/>
      <c r="AE1155" s="1" t="n"/>
    </row>
    <row r="1156" ht="42" customHeight="1">
      <c r="A1156" s="14">
        <f>IFERROR(__xludf.DUMMYFUNCTION("""COMPUTED_VALUE"""),45181)</f>
        <v/>
      </c>
      <c r="B1156" s="1">
        <f>IFERROR(__xludf.DUMMYFUNCTION("""COMPUTED_VALUE"""),"ORG_2121")</f>
        <v/>
      </c>
      <c r="C1156" s="1">
        <f>IFERROR(__xludf.DUMMYFUNCTION("""COMPUTED_VALUE"""),TRUE)</f>
        <v/>
      </c>
      <c r="D1156" s="1">
        <f>IFERROR(__xludf.DUMMYFUNCTION("""COMPUTED_VALUE"""),"Praktikal")</f>
        <v/>
      </c>
      <c r="E1156" s="15">
        <f>IFERROR(__xludf.DUMMYFUNCTION("""COMPUTED_VALUE"""),"www.praktikal.ee/en")</f>
        <v/>
      </c>
      <c r="F1156" s="1">
        <f>IFERROR(__xludf.DUMMYFUNCTION("""COMPUTED_VALUE"""),"Praktikal is an ecosystem for teaching STEM subjects.")</f>
        <v/>
      </c>
      <c r="G1156" s="1">
        <f>IFERROR(__xludf.DUMMYFUNCTION("""COMPUTED_VALUE"""),"EdTech Estonia")</f>
        <v/>
      </c>
      <c r="H1156" s="1" t="n"/>
      <c r="I1156" s="1">
        <f>IFERROR(__xludf.DUMMYFUNCTION("""COMPUTED_VALUE"""),"omari@praktikal.ee")</f>
        <v/>
      </c>
      <c r="J1156" s="1">
        <f>IFERROR(__xludf.DUMMYFUNCTION("""COMPUTED_VALUE"""),"+372 58161508")</f>
        <v/>
      </c>
      <c r="K1156" s="1">
        <f>IFERROR(__xludf.DUMMYFUNCTION("""COMPUTED_VALUE"""),"Tartu")</f>
        <v/>
      </c>
      <c r="L1156" s="1">
        <f>IFERROR(__xludf.DUMMYFUNCTION("""COMPUTED_VALUE"""),"Estonia")</f>
        <v/>
      </c>
      <c r="M1156" s="1">
        <f>IFERROR(__xludf.DUMMYFUNCTION("""COMPUTED_VALUE"""),"Estonia")</f>
        <v/>
      </c>
      <c r="N1156" s="1">
        <f>IFERROR(__xludf.DUMMYFUNCTION("""COMPUTED_VALUE"""),"0 to 10")</f>
        <v/>
      </c>
      <c r="O1156" s="1">
        <f>IFERROR(__xludf.DUMMYFUNCTION("""COMPUTED_VALUE"""),"Business to Business, Business to Government, Business to Schools")</f>
        <v/>
      </c>
      <c r="P1156" s="1">
        <f>IFERROR(__xludf.DUMMYFUNCTION("""COMPUTED_VALUE"""),"Primary Education, Secondary Education")</f>
        <v/>
      </c>
      <c r="Q1156" s="1">
        <f>IFERROR(__xludf.DUMMYFUNCTION("""COMPUTED_VALUE"""),"System/Administrative, Student interfacing, Teacher interfacing")</f>
        <v/>
      </c>
      <c r="R1156" s="15">
        <f>IFERROR(__xludf.DUMMYFUNCTION("""COMPUTED_VALUE"""),"https://www.instagram.com/praktikal_edu/")</f>
        <v/>
      </c>
      <c r="S1156" s="1" t="n"/>
      <c r="T1156" s="15">
        <f>IFERROR(__xludf.DUMMYFUNCTION("""COMPUTED_VALUE"""),"https://www.linkedin.com/company/74497960")</f>
        <v/>
      </c>
      <c r="U1156" s="1">
        <f>IFERROR(__xludf.DUMMYFUNCTION("""COMPUTED_VALUE"""),"STEM experiment kits")</f>
        <v/>
      </c>
      <c r="V1156" s="1">
        <f>IFERROR(__xludf.DUMMYFUNCTION("""COMPUTED_VALUE"""),"All of the needed materials in a single solution for hands-on experiments in a single topic, eg. optics, thermodynamics.")</f>
        <v/>
      </c>
      <c r="W1156" s="1">
        <f>IFERROR(__xludf.DUMMYFUNCTION("""COMPUTED_VALUE"""),"STEM teaching materials")</f>
        <v/>
      </c>
      <c r="X1156" s="1">
        <f>IFERROR(__xludf.DUMMYFUNCTION("""COMPUTED_VALUE"""),"It takes a lot of time and effort to create guides and lesson plans which have hands-on experiments in them. We offer ready made guides, lessons plans, videos etc. for the whole course.")</f>
        <v/>
      </c>
      <c r="Y1156" s="15">
        <f>IFERROR(__xludf.DUMMYFUNCTION("""COMPUTED_VALUE"""),"https://drive.google.com/uc?export=view&amp;id=1DahPExhIF6iqK5-ftiAVwq9CGfTBMOOF")</f>
        <v/>
      </c>
      <c r="Z1156" s="1">
        <f>IFERROR(__xludf.DUMMYFUNCTION("""COMPUTED_VALUE"""),"Unverified")</f>
        <v/>
      </c>
      <c r="AA1156" s="1" t="n"/>
      <c r="AB1156" s="1" t="n"/>
      <c r="AC1156" s="1" t="n"/>
      <c r="AD1156" s="1" t="n"/>
      <c r="AE1156" s="1" t="n"/>
    </row>
    <row r="1157" ht="42" customHeight="1">
      <c r="A1157" s="14">
        <f>IFERROR(__xludf.DUMMYFUNCTION("""COMPUTED_VALUE"""),45181)</f>
        <v/>
      </c>
      <c r="B1157" s="1">
        <f>IFERROR(__xludf.DUMMYFUNCTION("""COMPUTED_VALUE"""),"ORG_2144")</f>
        <v/>
      </c>
      <c r="C1157" s="1">
        <f>IFERROR(__xludf.DUMMYFUNCTION("""COMPUTED_VALUE"""),TRUE)</f>
        <v/>
      </c>
      <c r="D1157" s="1">
        <f>IFERROR(__xludf.DUMMYFUNCTION("""COMPUTED_VALUE"""),"QUBS")</f>
        <v/>
      </c>
      <c r="E1157" s="15">
        <f>IFERROR(__xludf.DUMMYFUNCTION("""COMPUTED_VALUE"""),"www.qubs.toys")</f>
        <v/>
      </c>
      <c r="F1157" s="1">
        <f>IFERROR(__xludf.DUMMYFUNCTION("""COMPUTED_VALUE"""),"At QUBS, we believe there are better ways for children to learn through play. That’s why we build toys that nurture creativity: enabling kids to explore their imagination and build future skills while having fun. QUBS products might look like traditional "&amp;"wooden toys, but there’s ingenious technology inside. Unlike other tech-enabled STEM children’s toys, QUBS products are secure to use and have an eternal shelf-life: never needing updates or linking to Wi-Fi or Bluetooth. Loved by little ones, and trusted"&amp;" by parents and teachers, our intuitive, gender neutral toys, make learning entertaining and accessible. Developing the next generation of thinkers and doers – no screens required.")</f>
        <v/>
      </c>
      <c r="G1157" s="1">
        <f>IFERROR(__xludf.DUMMYFUNCTION("""COMPUTED_VALUE"""),"I'm not part of any EdTech association")</f>
        <v/>
      </c>
      <c r="H1157" s="1" t="n"/>
      <c r="I1157" s="1">
        <f>IFERROR(__xludf.DUMMYFUNCTION("""COMPUTED_VALUE"""),"info@qubs.toys")</f>
        <v/>
      </c>
      <c r="J1157" s="1" t="n"/>
      <c r="K1157" s="1">
        <f>IFERROR(__xludf.DUMMYFUNCTION("""COMPUTED_VALUE"""),"ZURICH")</f>
        <v/>
      </c>
      <c r="L1157" s="1">
        <f>IFERROR(__xludf.DUMMYFUNCTION("""COMPUTED_VALUE"""),"Switzerland")</f>
        <v/>
      </c>
      <c r="M1157" s="1">
        <f>IFERROR(__xludf.DUMMYFUNCTION("""COMPUTED_VALUE"""),"Austria, Belgium, Cyprus, Denmark, France, Germany, Greece, Italy, Lithuania, Luxembourg, Malta, Monaco, Netherlands, Norway, Poland, Portugal, Romania, San Marino, Spain, Sweden, Switzerland, United Kingdom")</f>
        <v/>
      </c>
      <c r="N1157" s="1">
        <f>IFERROR(__xludf.DUMMYFUNCTION("""COMPUTED_VALUE"""),"0 to 10")</f>
        <v/>
      </c>
      <c r="O1157" s="1">
        <f>IFERROR(__xludf.DUMMYFUNCTION("""COMPUTED_VALUE"""),"Business to Business, Business to Government, Business to Schools")</f>
        <v/>
      </c>
      <c r="P1157" s="1">
        <f>IFERROR(__xludf.DUMMYFUNCTION("""COMPUTED_VALUE"""),"Early childhood development (0-5 years), Primary Education")</f>
        <v/>
      </c>
      <c r="Q1157" s="1">
        <f>IFERROR(__xludf.DUMMYFUNCTION("""COMPUTED_VALUE"""),"System/Administrative, Student interfacing, Teacher interfacing")</f>
        <v/>
      </c>
      <c r="R1157" s="1" t="n"/>
      <c r="S1157" s="1" t="n"/>
      <c r="T1157" s="1" t="n"/>
      <c r="U1157" s="1" t="n"/>
      <c r="V1157" s="1" t="n"/>
      <c r="W1157" s="1" t="n"/>
      <c r="X1157" s="1" t="n"/>
      <c r="Y1157" s="15">
        <f>IFERROR(__xludf.DUMMYFUNCTION("""COMPUTED_VALUE"""),"https://drive.google.com/uc?export=view&amp;id=18G2xDI5-8mV4ir5tfLVViKDuERCKjdF7")</f>
        <v/>
      </c>
      <c r="Z1157" s="1">
        <f>IFERROR(__xludf.DUMMYFUNCTION("""COMPUTED_VALUE"""),"Unverified")</f>
        <v/>
      </c>
      <c r="AA1157" s="1" t="n"/>
      <c r="AB1157" s="1" t="n"/>
      <c r="AC1157" s="1" t="n"/>
      <c r="AD1157" s="1" t="n"/>
      <c r="AE1157" s="1" t="n"/>
    </row>
    <row r="1158" ht="42" customHeight="1">
      <c r="A1158" s="14">
        <f>IFERROR(__xludf.DUMMYFUNCTION("""COMPUTED_VALUE"""),45181)</f>
        <v/>
      </c>
      <c r="B1158" s="1">
        <f>IFERROR(__xludf.DUMMYFUNCTION("""COMPUTED_VALUE"""),"ORG_2159")</f>
        <v/>
      </c>
      <c r="C1158" s="1">
        <f>IFERROR(__xludf.DUMMYFUNCTION("""COMPUTED_VALUE"""),TRUE)</f>
        <v/>
      </c>
      <c r="D1158" s="1">
        <f>IFERROR(__xludf.DUMMYFUNCTION("""COMPUTED_VALUE"""),"RE-L Network")</f>
        <v/>
      </c>
      <c r="E1158" s="15">
        <f>IFERROR(__xludf.DUMMYFUNCTION("""COMPUTED_VALUE"""),"https://re-l.network/")</f>
        <v/>
      </c>
      <c r="F1158" s="1">
        <f>IFERROR(__xludf.DUMMYFUNCTION("""COMPUTED_VALUE"""),"RE-L Network is the all-in-one people development and live events platform for the real estate industry and built world organizations.
Our platform provides businesses support to grow their teams, from the first hire to employee promotion and advancement"&amp;". 
RE-L Network Business brings all the infrastructure and tools for an effective people management strategy, team building and improved communications.
RE-L Network is the cloud-based solution that features the latest tools for faster training delivery"&amp;" and successful employee onboarding: live sessions, professional events, personalized coaching, and any types of e-learning content. 
For experts, RE-L Network Marketplace is the opportunity to build a community online and turn knowledge into a scalable "&amp;"venture.
We enable organisations increase their leadership and focus on their most important asset: their people. 
Our mission is to enhance the workplace experience for a whole industry.")</f>
        <v/>
      </c>
      <c r="G1158" s="1">
        <f>IFERROR(__xludf.DUMMYFUNCTION("""COMPUTED_VALUE"""),"I'm not part of any EdTech association")</f>
        <v/>
      </c>
      <c r="H1158" s="1" t="n"/>
      <c r="I1158" s="1">
        <f>IFERROR(__xludf.DUMMYFUNCTION("""COMPUTED_VALUE"""),"support@re-l.network")</f>
        <v/>
      </c>
      <c r="J1158" s="1" t="n"/>
      <c r="K1158" s="1">
        <f>IFERROR(__xludf.DUMMYFUNCTION("""COMPUTED_VALUE"""),"London")</f>
        <v/>
      </c>
      <c r="L1158" s="1">
        <f>IFERROR(__xludf.DUMMYFUNCTION("""COMPUTED_VALUE"""),"United Kingdom")</f>
        <v/>
      </c>
      <c r="M1158" s="1">
        <f>IFERROR(__xludf.DUMMYFUNCTION("""COMPUTED_VALUE"""),"United Kingdom")</f>
        <v/>
      </c>
      <c r="N1158" s="1">
        <f>IFERROR(__xludf.DUMMYFUNCTION("""COMPUTED_VALUE"""),"0 to 10")</f>
        <v/>
      </c>
      <c r="O1158" s="1">
        <f>IFERROR(__xludf.DUMMYFUNCTION("""COMPUTED_VALUE"""),"Business to Business, Business to Government, Business to Schools")</f>
        <v/>
      </c>
      <c r="P1158" s="1">
        <f>IFERROR(__xludf.DUMMYFUNCTION("""COMPUTED_VALUE"""),"Corporate Training, Lifelong learning/Adult education")</f>
        <v/>
      </c>
      <c r="Q1158" s="1">
        <f>IFERROR(__xludf.DUMMYFUNCTION("""COMPUTED_VALUE"""),"Teacher interfacing, System/Administrative")</f>
        <v/>
      </c>
      <c r="R1158" s="1" t="n"/>
      <c r="S1158" s="1" t="n"/>
      <c r="T1158" s="1" t="n"/>
      <c r="U1158" s="1" t="n"/>
      <c r="V1158" s="1" t="n"/>
      <c r="W1158" s="1" t="n"/>
      <c r="X1158" s="1" t="n"/>
      <c r="Y1158" s="15">
        <f>IFERROR(__xludf.DUMMYFUNCTION("""COMPUTED_VALUE"""),"https://drive.google.com/uc?export=view&amp;id=1Rl0kN3f3VuTBY5fY2ahciCgSG7vkgaaP")</f>
        <v/>
      </c>
      <c r="Z1158" s="1">
        <f>IFERROR(__xludf.DUMMYFUNCTION("""COMPUTED_VALUE"""),"Unverified")</f>
        <v/>
      </c>
      <c r="AA1158" s="1" t="n"/>
      <c r="AB1158" s="1" t="n"/>
      <c r="AC1158" s="1" t="n"/>
      <c r="AD1158" s="1" t="n"/>
      <c r="AE1158" s="1" t="n"/>
    </row>
    <row r="1159" ht="42" customHeight="1">
      <c r="A1159" s="14">
        <f>IFERROR(__xludf.DUMMYFUNCTION("""COMPUTED_VALUE"""),45181)</f>
        <v/>
      </c>
      <c r="B1159" s="1">
        <f>IFERROR(__xludf.DUMMYFUNCTION("""COMPUTED_VALUE"""),"ORG_2269")</f>
        <v/>
      </c>
      <c r="C1159" s="1">
        <f>IFERROR(__xludf.DUMMYFUNCTION("""COMPUTED_VALUE"""),TRUE)</f>
        <v/>
      </c>
      <c r="D1159" s="1">
        <f>IFERROR(__xludf.DUMMYFUNCTION("""COMPUTED_VALUE"""),"SKOLENGO")</f>
        <v/>
      </c>
      <c r="E1159" s="15">
        <f>IFERROR(__xludf.DUMMYFUNCTION("""COMPUTED_VALUE"""),"https://www.skolengo.com/en/")</f>
        <v/>
      </c>
      <c r="F1159" s="1">
        <f>IFERROR(__xludf.DUMMYFUNCTION("""COMPUTED_VALUE"""),"Skolengo is a major player in European Digital Education sector and, for more than 20 years, has been assisting schools, junior schools, high schools or Higher Education establishments as well as the institutions which administer them, in their process of"&amp;" integrating digital technology at all levels.
Our teams are composed of 120 educational specialists and digital experts, and, in collaboration with stakeholders in the field, have designed a solution which allows the educational community to concentrate"&amp;" on its missions while greatly easing the technical constraints which weigh on schools and universities.
A highly innovative company, we work together to offer digital solutions adapted to schools which are more and more connected, personalised and adapt"&amp;"ive.")</f>
        <v/>
      </c>
      <c r="G1159" s="1">
        <f>IFERROR(__xludf.DUMMYFUNCTION("""COMPUTED_VALUE"""),"AFINEF, EdTech France")</f>
        <v/>
      </c>
      <c r="H1159" s="1" t="n"/>
      <c r="I1159" s="1">
        <f>IFERROR(__xludf.DUMMYFUNCTION("""COMPUTED_VALUE"""),"communication@kosmos.fr")</f>
        <v/>
      </c>
      <c r="J1159" s="1">
        <f>IFERROR(__xludf.DUMMYFUNCTION("""COMPUTED_VALUE"""),"+33 2 40 20 47 95")</f>
        <v/>
      </c>
      <c r="K1159" s="1">
        <f>IFERROR(__xludf.DUMMYFUNCTION("""COMPUTED_VALUE"""),"NANTES")</f>
        <v/>
      </c>
      <c r="L1159" s="1">
        <f>IFERROR(__xludf.DUMMYFUNCTION("""COMPUTED_VALUE"""),"France")</f>
        <v/>
      </c>
      <c r="M1159" s="1">
        <f>IFERROR(__xludf.DUMMYFUNCTION("""COMPUTED_VALUE"""),"France")</f>
        <v/>
      </c>
      <c r="N1159" s="1">
        <f>IFERROR(__xludf.DUMMYFUNCTION("""COMPUTED_VALUE"""),"100+")</f>
        <v/>
      </c>
      <c r="O1159" s="1">
        <f>IFERROR(__xludf.DUMMYFUNCTION("""COMPUTED_VALUE"""),"Business to Business, Business to Schools")</f>
        <v/>
      </c>
      <c r="P1159" s="1">
        <f>IFERROR(__xludf.DUMMYFUNCTION("""COMPUTED_VALUE"""),"Primary Education, Secondary Education, Higher Education, Lifelong learning/Adult education")</f>
        <v/>
      </c>
      <c r="Q1159" s="1">
        <f>IFERROR(__xludf.DUMMYFUNCTION("""COMPUTED_VALUE"""),"System/Administrative, Student interfacing, Teacher interfacing")</f>
        <v/>
      </c>
      <c r="R1159" s="1" t="n"/>
      <c r="S1159" s="15">
        <f>IFERROR(__xludf.DUMMYFUNCTION("""COMPUTED_VALUE"""),"https://twitter.com/skolengo")</f>
        <v/>
      </c>
      <c r="T1159" s="1" t="n"/>
      <c r="U1159" s="1">
        <f>IFERROR(__xludf.DUMMYFUNCTION("""COMPUTED_VALUE"""),"Skolengo")</f>
        <v/>
      </c>
      <c r="V1159" s="1">
        <f>IFERROR(__xludf.DUMMYFUNCTION("""COMPUTED_VALUE"""),"Skolengo, the EMS (Education Management Software), is an SaaS platform dedicated to teaching and training establishments but also to the institutions managing school networks.
Its goal: to closely adapt to the needs of education and to optimise the oper"&amp;"ation of schools though all their facets.
Skolengo adapts to each school's own needs. Opt for modules that interest you and our teams will integrate them into your existing information system : 
- Communication
Develop and reinforce the links within you"&amp;"r educational community
- Collaborative
Reinforce the collaboration between teachers and their pupils/students but also between all members of your educational community
- Teaching
Liven up your teaching activities and provide each student with individu"&amp;"al assistance
- Schooling
Provide a tailored follow-up for each learner: management of absences, assessments, student records, punishments/sanctions; internship management, etc.
- Timetable
Design and modify your school’s timetable easily
- Administrat"&amp;"ive &amp; Finance
Provide efficient management of your school and simplify the administrative and financial procedures of the school and families
- Catering
No more uncounted entries! Gain in efficiency in the management of catering and its billing
- Traini"&amp;"ng &amp; Course Choice
Assisting students in building their educational and professional path")</f>
        <v/>
      </c>
      <c r="W1159" s="1" t="n"/>
      <c r="X1159" s="1" t="n"/>
      <c r="Y1159" s="15">
        <f>IFERROR(__xludf.DUMMYFUNCTION("""COMPUTED_VALUE"""),"https://drive.google.com/uc?export=view&amp;id=1Fr4xey2vcvAVdqnR9bN2y88ZENlS6Spc")</f>
        <v/>
      </c>
      <c r="Z1159" s="1">
        <f>IFERROR(__xludf.DUMMYFUNCTION("""COMPUTED_VALUE"""),"Unverified")</f>
        <v/>
      </c>
      <c r="AA1159" s="1" t="n"/>
      <c r="AB1159" s="1" t="n"/>
      <c r="AC1159" s="1" t="n"/>
      <c r="AD1159" s="1" t="n"/>
      <c r="AE1159" s="1" t="n"/>
    </row>
    <row r="1160" ht="42" customHeight="1">
      <c r="A1160" s="14">
        <f>IFERROR(__xludf.DUMMYFUNCTION("""COMPUTED_VALUE"""),45181)</f>
        <v/>
      </c>
      <c r="B1160" s="1">
        <f>IFERROR(__xludf.DUMMYFUNCTION("""COMPUTED_VALUE"""),"ORG_2270")</f>
        <v/>
      </c>
      <c r="C1160" s="1">
        <f>IFERROR(__xludf.DUMMYFUNCTION("""COMPUTED_VALUE"""),TRUE)</f>
        <v/>
      </c>
      <c r="D1160" s="1">
        <f>IFERROR(__xludf.DUMMYFUNCTION("""COMPUTED_VALUE"""),"Skolon")</f>
        <v/>
      </c>
      <c r="E1160" s="15">
        <f>IFERROR(__xludf.DUMMYFUNCTION("""COMPUTED_VALUE"""),"https://skolon.com")</f>
        <v/>
      </c>
      <c r="F1160" s="1">
        <f>IFERROR(__xludf.DUMMYFUNCTION("""COMPUTED_VALUE"""),"Skolon enables easy access to all digital tools for students and teachers, in the classroom and remotely. The Skolon Platform gathers all the school’s digital resources in a personal view for each teacher and student, accessible via one login with Single "&amp;"Sign On. Skolon also provides a unique licensing management function for managing the school’s various tools and licenses from different providers, all in one place. A single view allows you to clearly see and control who has access to what.
Skolon has a"&amp;" built in EduStore where our users can search, try out, find and buy new digital resources and tools, quickly and easily, with automated distribution and assignment for each user.")</f>
        <v/>
      </c>
      <c r="G1160" s="1">
        <f>IFERROR(__xludf.DUMMYFUNCTION("""COMPUTED_VALUE"""),"Swedish EdTech Industry")</f>
        <v/>
      </c>
      <c r="H1160" s="1" t="n"/>
      <c r="I1160" s="1">
        <f>IFERROR(__xludf.DUMMYFUNCTION("""COMPUTED_VALUE"""),"gabriel.wallen@skolon.com")</f>
        <v/>
      </c>
      <c r="J1160" s="1">
        <f>IFERROR(__xludf.DUMMYFUNCTION("""COMPUTED_VALUE"""),"+46 721 79 07 64")</f>
        <v/>
      </c>
      <c r="K1160" s="1">
        <f>IFERROR(__xludf.DUMMYFUNCTION("""COMPUTED_VALUE"""),"Karlshamn")</f>
        <v/>
      </c>
      <c r="L1160" s="1">
        <f>IFERROR(__xludf.DUMMYFUNCTION("""COMPUTED_VALUE"""),"Sweden")</f>
        <v/>
      </c>
      <c r="M1160" s="1">
        <f>IFERROR(__xludf.DUMMYFUNCTION("""COMPUTED_VALUE"""),"Denmark, Finland, Norway, Sweden, United Kingdom")</f>
        <v/>
      </c>
      <c r="N1160" s="1">
        <f>IFERROR(__xludf.DUMMYFUNCTION("""COMPUTED_VALUE"""),"11 to 50")</f>
        <v/>
      </c>
      <c r="O1160" s="1">
        <f>IFERROR(__xludf.DUMMYFUNCTION("""COMPUTED_VALUE"""),"Business to Business, Business to Schools")</f>
        <v/>
      </c>
      <c r="P1160" s="1">
        <f>IFERROR(__xludf.DUMMYFUNCTION("""COMPUTED_VALUE"""),"Early childhood development (0-5 years), Primary Education, Secondary Education")</f>
        <v/>
      </c>
      <c r="Q1160" s="1">
        <f>IFERROR(__xludf.DUMMYFUNCTION("""COMPUTED_VALUE"""),"Student interfacing, Teacher interfacing, System/Administrative")</f>
        <v/>
      </c>
      <c r="R1160" s="15">
        <f>IFERROR(__xludf.DUMMYFUNCTION("""COMPUTED_VALUE"""),"https://www.instagram.com/skolonsverige/?hl=en")</f>
        <v/>
      </c>
      <c r="S1160" s="1" t="n"/>
      <c r="T1160" s="15">
        <f>IFERROR(__xludf.DUMMYFUNCTION("""COMPUTED_VALUE"""),"https://www.linkedin.com/company/skolon/mycompany/")</f>
        <v/>
      </c>
      <c r="U1160" s="1">
        <f>IFERROR(__xludf.DUMMYFUNCTION("""COMPUTED_VALUE"""),"Skolon")</f>
        <v/>
      </c>
      <c r="V1160" s="1">
        <f>IFERROR(__xludf.DUMMYFUNCTION("""COMPUTED_VALUE"""),"Skolon gives teachers and students a personal collection for all their digital tools – in other words, all their resources. “My Collection” makes it easy to search for, sort and organise tools, and the tools shown are the ones that each individual has acc"&amp;"ess to. Click on a tool and it launches immediately – working digitally at school has never been easier.")</f>
        <v/>
      </c>
      <c r="W1160" s="1" t="n"/>
      <c r="X1160" s="1" t="n"/>
      <c r="Y1160" s="15">
        <f>IFERROR(__xludf.DUMMYFUNCTION("""COMPUTED_VALUE"""),"https://drive.google.com/uc?export=view&amp;id=1rgxspV0aJxBpygfV6i_6NJHZN9vRBHEU")</f>
        <v/>
      </c>
      <c r="Z1160" s="1">
        <f>IFERROR(__xludf.DUMMYFUNCTION("""COMPUTED_VALUE"""),"Unverified")</f>
        <v/>
      </c>
      <c r="AA1160" s="1" t="n"/>
      <c r="AB1160" s="1" t="n"/>
      <c r="AC1160" s="1" t="n"/>
      <c r="AD1160" s="1" t="n"/>
      <c r="AE1160" s="1" t="n"/>
    </row>
    <row r="1161" ht="42" customHeight="1">
      <c r="A1161" s="14">
        <f>IFERROR(__xludf.DUMMYFUNCTION("""COMPUTED_VALUE"""),45181)</f>
        <v/>
      </c>
      <c r="B1161" s="1">
        <f>IFERROR(__xludf.DUMMYFUNCTION("""COMPUTED_VALUE"""),"ORG_2384")</f>
        <v/>
      </c>
      <c r="C1161" s="1">
        <f>IFERROR(__xludf.DUMMYFUNCTION("""COMPUTED_VALUE"""),TRUE)</f>
        <v/>
      </c>
      <c r="D1161" s="1">
        <f>IFERROR(__xludf.DUMMYFUNCTION("""COMPUTED_VALUE"""),"Televic Education")</f>
        <v/>
      </c>
      <c r="E1161" s="15">
        <f>IFERROR(__xludf.DUMMYFUNCTION("""COMPUTED_VALUE"""),"https://assessmentq.com/?lang=en")</f>
        <v/>
      </c>
      <c r="F1161" s="1">
        <f>IFERROR(__xludf.DUMMYFUNCTION("""COMPUTED_VALUE"""),"TELEVIC EDUCATION
Televic Education is a world leader in the development of smart solutions for training, evaluation, certification, accreditation, and collaboration in many different industries.
Based on its long-standing know-how in education technolog"&amp;"y, Televic has created assessmentQ: the most versatile platform for online assessment and practice.
VERSATILE
assessmentQ can be used for the assessment of knowledge and 21st century skills. With 20+ unique question types, it gives you unrivalled possibi"&amp;"lities.
CLEVER
With assessmentQ, you can deliver objective tests and get reliable insights. It lets you turn assessments into real learning opportunities.
RELIABLE
assessmentQ is reliable in all circumstances, for small or large groups, with solid or un"&amp;"stable internet connections. 
LET’S TALK
Let’s schedule a 15-minute call, so we can discuss your specific e-assessment and e-practice needs. Simply go to www.assessmentq.com.")</f>
        <v/>
      </c>
      <c r="G1161" s="1">
        <f>IFERROR(__xludf.DUMMYFUNCTION("""COMPUTED_VALUE"""),"I'm not part of any EdTech association")</f>
        <v/>
      </c>
      <c r="H1161" s="1" t="n"/>
      <c r="I1161" s="1">
        <f>IFERROR(__xludf.DUMMYFUNCTION("""COMPUTED_VALUE"""),"education@televic.com")</f>
        <v/>
      </c>
      <c r="J1161" s="1">
        <f>IFERROR(__xludf.DUMMYFUNCTION("""COMPUTED_VALUE"""),"+32 51 79 14 98")</f>
        <v/>
      </c>
      <c r="K1161" s="1">
        <f>IFERROR(__xludf.DUMMYFUNCTION("""COMPUTED_VALUE"""),"IZEGEM")</f>
        <v/>
      </c>
      <c r="L1161" s="1">
        <f>IFERROR(__xludf.DUMMYFUNCTION("""COMPUTED_VALUE"""),"Belgium")</f>
        <v/>
      </c>
      <c r="M1161" s="1">
        <f>IFERROR(__xludf.DUMMYFUNCTION("""COMPUTED_VALUE"""),"Albania, Andorra, Austria, Belgium, Bosnia and Herzegovina, Bulgaria, Croatia, Cyprus, Czechia, Denmark, Estonia, Finland, France, Germany, Greece, Hungary, Iceland, Ireland, Italy, Latvia, Liechtenstein, Lithuania, Luxembourg, Malta, Monaco, Montenegro, "&amp;"Netherlands, North Macedonia, Norway, Poland, Portugal, Romania, Russia, San Marino, Serbia, Slovakia, Slovenia, Spain, Sweden, Switzerland, Turkey, Ukraine, United Kingdom")</f>
        <v/>
      </c>
      <c r="N1161" s="1">
        <f>IFERROR(__xludf.DUMMYFUNCTION("""COMPUTED_VALUE"""),"500+")</f>
        <v/>
      </c>
      <c r="O1161" s="1">
        <f>IFERROR(__xludf.DUMMYFUNCTION("""COMPUTED_VALUE"""),"Business to Consumer, Business to Government, Business to Schools")</f>
        <v/>
      </c>
      <c r="P1161" s="1">
        <f>IFERROR(__xludf.DUMMYFUNCTION("""COMPUTED_VALUE"""),"Primary Education, Secondary Education, Higher Education, Corporate Training, Lifelong learning/Adult education")</f>
        <v/>
      </c>
      <c r="Q1161" s="1">
        <f>IFERROR(__xludf.DUMMYFUNCTION("""COMPUTED_VALUE"""),"Teacher interfacing, Student interfacing, System/Administrative")</f>
        <v/>
      </c>
      <c r="R1161" s="1" t="n"/>
      <c r="S1161" s="1" t="n"/>
      <c r="T1161" s="1" t="n"/>
      <c r="U1161" s="1" t="n"/>
      <c r="V1161" s="1" t="n"/>
      <c r="W1161" s="1" t="n"/>
      <c r="X1161" s="1" t="n"/>
      <c r="Y1161" s="15">
        <f>IFERROR(__xludf.DUMMYFUNCTION("""COMPUTED_VALUE"""),"https://drive.google.com/uc?export=view&amp;id=1JROZxNsm7AVJVqIsOsqAzx0nd97mn14k")</f>
        <v/>
      </c>
      <c r="Z1161" s="1">
        <f>IFERROR(__xludf.DUMMYFUNCTION("""COMPUTED_VALUE"""),"Unverified")</f>
        <v/>
      </c>
      <c r="AA1161" s="1" t="n"/>
      <c r="AB1161" s="1" t="n"/>
      <c r="AC1161" s="1" t="n"/>
      <c r="AD1161" s="1" t="n"/>
      <c r="AE1161" s="1" t="n"/>
    </row>
    <row r="1162" ht="42" customHeight="1">
      <c r="A1162" s="14">
        <f>IFERROR(__xludf.DUMMYFUNCTION("""COMPUTED_VALUE"""),45181)</f>
        <v/>
      </c>
      <c r="B1162" s="1">
        <f>IFERROR(__xludf.DUMMYFUNCTION("""COMPUTED_VALUE"""),"ORG_2406")</f>
        <v/>
      </c>
      <c r="C1162" s="1">
        <f>IFERROR(__xludf.DUMMYFUNCTION("""COMPUTED_VALUE"""),TRUE)</f>
        <v/>
      </c>
      <c r="D1162" s="1">
        <f>IFERROR(__xludf.DUMMYFUNCTION("""COMPUTED_VALUE"""),"Themis")</f>
        <v/>
      </c>
      <c r="E1162" s="15">
        <f>IFERROR(__xludf.DUMMYFUNCTION("""COMPUTED_VALUE"""),"https://themis.eu/")</f>
        <v/>
      </c>
      <c r="F1162" s="1">
        <f>IFERROR(__xludf.DUMMYFUNCTION("""COMPUTED_VALUE"""),"Themis is the Change Acceleration Platform that empowers employees to radically accelerate internal change processes through AI-assisted knowledge sharing, data-driven transformation journeys and cross-organizational collaboration. Whether it’s 50, 500, o"&amp;"r 5000, we detect what employees need, align them behind a shared purpose, and measure the success of change projects.")</f>
        <v/>
      </c>
      <c r="G1162" s="1">
        <f>IFERROR(__xludf.DUMMYFUNCTION("""COMPUTED_VALUE"""),"I'm not part of any EdTech association")</f>
        <v/>
      </c>
      <c r="H1162" s="1" t="n"/>
      <c r="I1162" s="1">
        <f>IFERROR(__xludf.DUMMYFUNCTION("""COMPUTED_VALUE"""),"info@themis.eu")</f>
        <v/>
      </c>
      <c r="J1162" s="1" t="n"/>
      <c r="K1162" s="1">
        <f>IFERROR(__xludf.DUMMYFUNCTION("""COMPUTED_VALUE"""),"Berlin")</f>
        <v/>
      </c>
      <c r="L1162" s="1">
        <f>IFERROR(__xludf.DUMMYFUNCTION("""COMPUTED_VALUE"""),"Germany")</f>
        <v/>
      </c>
      <c r="M1162" s="1">
        <f>IFERROR(__xludf.DUMMYFUNCTION("""COMPUTED_VALUE"""),"Germany")</f>
        <v/>
      </c>
      <c r="N1162" s="1">
        <f>IFERROR(__xludf.DUMMYFUNCTION("""COMPUTED_VALUE"""),"0 to 10")</f>
        <v/>
      </c>
      <c r="O1162" s="1">
        <f>IFERROR(__xludf.DUMMYFUNCTION("""COMPUTED_VALUE"""),"Business to Consumer, Business to Schools")</f>
        <v/>
      </c>
      <c r="P1162" s="1">
        <f>IFERROR(__xludf.DUMMYFUNCTION("""COMPUTED_VALUE"""),"Corporate Training, Lifelong learning/Adult education")</f>
        <v/>
      </c>
      <c r="Q1162" s="1">
        <f>IFERROR(__xludf.DUMMYFUNCTION("""COMPUTED_VALUE"""),"Student interfacing, System/Administrative")</f>
        <v/>
      </c>
      <c r="R1162" s="1" t="n"/>
      <c r="S1162" s="1" t="n"/>
      <c r="T1162" s="1" t="n"/>
      <c r="U1162" s="1" t="n"/>
      <c r="V1162" s="1" t="n"/>
      <c r="W1162" s="1" t="n"/>
      <c r="X1162" s="1" t="n"/>
      <c r="Y1162" s="15">
        <f>IFERROR(__xludf.DUMMYFUNCTION("""COMPUTED_VALUE"""),"https://drive.google.com/uc?export=view&amp;id=1nlVzrTtyGmWy6H-gb8Jp30AwQQWArBiA")</f>
        <v/>
      </c>
      <c r="Z1162" s="1">
        <f>IFERROR(__xludf.DUMMYFUNCTION("""COMPUTED_VALUE"""),"Unverified")</f>
        <v/>
      </c>
      <c r="AA1162" s="1" t="n"/>
      <c r="AB1162" s="1" t="n"/>
      <c r="AC1162" s="1" t="n"/>
      <c r="AD1162" s="1" t="n"/>
      <c r="AE1162" s="1" t="n"/>
    </row>
    <row r="1163" ht="42" customHeight="1">
      <c r="A1163" s="14">
        <f>IFERROR(__xludf.DUMMYFUNCTION("""COMPUTED_VALUE"""),45181)</f>
        <v/>
      </c>
      <c r="B1163" s="1">
        <f>IFERROR(__xludf.DUMMYFUNCTION("""COMPUTED_VALUE"""),"ORG_2504")</f>
        <v/>
      </c>
      <c r="C1163" s="1">
        <f>IFERROR(__xludf.DUMMYFUNCTION("""COMPUTED_VALUE"""),TRUE)</f>
        <v/>
      </c>
      <c r="D1163" s="1">
        <f>IFERROR(__xludf.DUMMYFUNCTION("""COMPUTED_VALUE"""),"Vividbooks")</f>
        <v/>
      </c>
      <c r="E1163" s="15">
        <f>IFERROR(__xludf.DUMMYFUNCTION("""COMPUTED_VALUE"""),"www.vividbooks.com")</f>
        <v/>
      </c>
      <c r="F1163" s="1">
        <f>IFERROR(__xludf.DUMMYFUNCTION("""COMPUTED_VALUE"""),"Vividbooks are interactive textbooks with augmented reality, thanks to which science comes to life right in front of you.")</f>
        <v/>
      </c>
      <c r="G1163" s="1">
        <f>IFERROR(__xludf.DUMMYFUNCTION("""COMPUTED_VALUE"""),"I'm not part of any EdTech association")</f>
        <v/>
      </c>
      <c r="H1163" s="1">
        <f>IFERROR(__xludf.DUMMYFUNCTION("""COMPUTED_VALUE"""),"Czech, Spanish, Slovak")</f>
        <v/>
      </c>
      <c r="I1163" s="1">
        <f>IFERROR(__xludf.DUMMYFUNCTION("""COMPUTED_VALUE"""),"dan@vividbooks.com")</f>
        <v/>
      </c>
      <c r="J1163" s="1" t="n"/>
      <c r="K1163" s="1">
        <f>IFERROR(__xludf.DUMMYFUNCTION("""COMPUTED_VALUE"""),"Nad Královskou oborou 33")</f>
        <v/>
      </c>
      <c r="L1163" s="1">
        <f>IFERROR(__xludf.DUMMYFUNCTION("""COMPUTED_VALUE"""),"Czech Republic")</f>
        <v/>
      </c>
      <c r="M1163" s="1">
        <f>IFERROR(__xludf.DUMMYFUNCTION("""COMPUTED_VALUE"""),"Czechia, Slovakia, Spain")</f>
        <v/>
      </c>
      <c r="N1163" s="1">
        <f>IFERROR(__xludf.DUMMYFUNCTION("""COMPUTED_VALUE"""),"11 to 50")</f>
        <v/>
      </c>
      <c r="O1163" s="1">
        <f>IFERROR(__xludf.DUMMYFUNCTION("""COMPUTED_VALUE"""),"Business to Consumer, Business to Schools")</f>
        <v/>
      </c>
      <c r="P1163" s="1">
        <f>IFERROR(__xludf.DUMMYFUNCTION("""COMPUTED_VALUE"""),"Primary Education, Secondary Education, Corporate Training, Lifelong learning/Adult education")</f>
        <v/>
      </c>
      <c r="Q1163" s="1">
        <f>IFERROR(__xludf.DUMMYFUNCTION("""COMPUTED_VALUE"""),"Teacher interfacing, System/Administrative")</f>
        <v/>
      </c>
      <c r="R1163" s="1" t="n"/>
      <c r="S1163" s="1" t="n"/>
      <c r="T1163" s="1" t="n"/>
      <c r="U1163" s="1" t="n"/>
      <c r="V1163" s="1" t="n"/>
      <c r="W1163" s="1" t="n"/>
      <c r="X1163" s="1" t="n"/>
      <c r="Y1163" s="15">
        <f>IFERROR(__xludf.DUMMYFUNCTION("""COMPUTED_VALUE"""),"https://drive.google.com/uc?export=view&amp;id=19kCFsDgYXiSDplXrz0QLBPeOW8Fm6ulA")</f>
        <v/>
      </c>
      <c r="Z1163" s="1">
        <f>IFERROR(__xludf.DUMMYFUNCTION("""COMPUTED_VALUE"""),"Unverified")</f>
        <v/>
      </c>
      <c r="AA1163" s="1" t="n"/>
      <c r="AB1163" s="1" t="n"/>
      <c r="AC1163" s="1" t="n"/>
      <c r="AD1163" s="1" t="n"/>
      <c r="AE1163" s="1" t="n"/>
    </row>
    <row r="1164" ht="42" customHeight="1">
      <c r="A1164" s="14">
        <f>IFERROR(__xludf.DUMMYFUNCTION("""COMPUTED_VALUE"""),45181)</f>
        <v/>
      </c>
      <c r="B1164" s="1">
        <f>IFERROR(__xludf.DUMMYFUNCTION("""COMPUTED_VALUE"""),"ORG_1062")</f>
        <v/>
      </c>
      <c r="C1164" s="1">
        <f>IFERROR(__xludf.DUMMYFUNCTION("""COMPUTED_VALUE"""),TRUE)</f>
        <v/>
      </c>
      <c r="D1164" s="1">
        <f>IFERROR(__xludf.DUMMYFUNCTION("""COMPUTED_VALUE"""),"Altri fiumi")</f>
        <v/>
      </c>
      <c r="E1164" s="15">
        <f>IFERROR(__xludf.DUMMYFUNCTION("""COMPUTED_VALUE"""),"https://altrifiumi.com/")</f>
        <v/>
      </c>
      <c r="F1164" s="1">
        <f>IFERROR(__xludf.DUMMYFUNCTION("""COMPUTED_VALUE"""),"We design universes. We are a network which combines design, technology and innovation consultancy. Our job is to help organizations to conceive and to deliver experiences that people want. Our aim is to build up new and innovative ways of doing business."&amp;"
We expand universes. We tailor our services and solutions to the needs of every customer, developing integrated, out-of-the-box, innovative and disruptive solutions. We follow analytical methodologies and processes in order to guarantee the effectiveness"&amp;" of our projects.
We help organizations to design. Book, Interaction, Games, Information, Web and Apps, Digital tools.
We make use of data visualization and illustration to enhance the comprehension and enjoyment of your contents.")</f>
        <v/>
      </c>
      <c r="G1164" s="1">
        <f>IFERROR(__xludf.DUMMYFUNCTION("""COMPUTED_VALUE"""),"I'm not part of any EdTech association")</f>
        <v/>
      </c>
      <c r="H1164" s="1" t="n"/>
      <c r="I1164" s="1">
        <f>IFERROR(__xludf.DUMMYFUNCTION("""COMPUTED_VALUE"""),"info@altrifiumi.com")</f>
        <v/>
      </c>
      <c r="J1164" s="1">
        <f>IFERROR(__xludf.DUMMYFUNCTION("""COMPUTED_VALUE"""),"+39 3357027424")</f>
        <v/>
      </c>
      <c r="K1164" s="1">
        <f>IFERROR(__xludf.DUMMYFUNCTION("""COMPUTED_VALUE"""),"TREZZO SULL'ADDA, MILANO")</f>
        <v/>
      </c>
      <c r="L1164" s="1">
        <f>IFERROR(__xludf.DUMMYFUNCTION("""COMPUTED_VALUE"""),"Italy")</f>
        <v/>
      </c>
      <c r="M1164" s="1">
        <f>IFERROR(__xludf.DUMMYFUNCTION("""COMPUTED_VALUE"""),"Italy")</f>
        <v/>
      </c>
      <c r="N1164" s="1">
        <f>IFERROR(__xludf.DUMMYFUNCTION("""COMPUTED_VALUE"""),"11 to 50")</f>
        <v/>
      </c>
      <c r="O1164" s="1">
        <f>IFERROR(__xludf.DUMMYFUNCTION("""COMPUTED_VALUE"""),"Business to Business")</f>
        <v/>
      </c>
      <c r="P1164" s="1">
        <f>IFERROR(__xludf.DUMMYFUNCTION("""COMPUTED_VALUE"""),"Early childhood development (0-5 years), Primary Education, Secondary Education, Higher Education, Corporate Training, Lifelong learning/Adult education")</f>
        <v/>
      </c>
      <c r="Q1164" s="1">
        <f>IFERROR(__xludf.DUMMYFUNCTION("""COMPUTED_VALUE"""),"Student interfacing, Teacher interfacing, System/Administrative")</f>
        <v/>
      </c>
      <c r="R1164" s="1" t="n"/>
      <c r="S1164" s="1" t="n"/>
      <c r="T1164" s="1" t="n"/>
      <c r="U1164" s="1" t="n"/>
      <c r="V1164" s="1" t="n"/>
      <c r="W1164" s="1" t="n"/>
      <c r="X1164" s="1" t="n"/>
      <c r="Y1164" s="15">
        <f>IFERROR(__xludf.DUMMYFUNCTION("""COMPUTED_VALUE"""),"https://drive.google.com/uc?export=view&amp;id=1eVPKvX4rFBGdpsV_nVFgQLD7-IW_MxbQ")</f>
        <v/>
      </c>
      <c r="Z1164" s="1">
        <f>IFERROR(__xludf.DUMMYFUNCTION("""COMPUTED_VALUE"""),"Unverified")</f>
        <v/>
      </c>
      <c r="AA1164" s="1" t="n"/>
      <c r="AB1164" s="1" t="n"/>
      <c r="AC1164" s="1" t="n"/>
      <c r="AD1164" s="1" t="n"/>
      <c r="AE1164" s="1" t="n"/>
    </row>
    <row r="1165" ht="42" customHeight="1">
      <c r="A1165" s="14">
        <f>IFERROR(__xludf.DUMMYFUNCTION("""COMPUTED_VALUE"""),45181)</f>
        <v/>
      </c>
      <c r="B1165" s="1">
        <f>IFERROR(__xludf.DUMMYFUNCTION("""COMPUTED_VALUE"""),"ORG_1084")</f>
        <v/>
      </c>
      <c r="C1165" s="1">
        <f>IFERROR(__xludf.DUMMYFUNCTION("""COMPUTED_VALUE"""),TRUE)</f>
        <v/>
      </c>
      <c r="D1165" s="1">
        <f>IFERROR(__xludf.DUMMYFUNCTION("""COMPUTED_VALUE"""),"Apollo Edtech")</f>
        <v/>
      </c>
      <c r="E1165" s="15">
        <f>IFERROR(__xludf.DUMMYFUNCTION("""COMPUTED_VALUE"""),"simbound.com")</f>
        <v/>
      </c>
      <c r="F1165" s="1">
        <f>IFERROR(__xludf.DUMMYFUNCTION("""COMPUTED_VALUE"""),"A platform for digital marketing simulation used in higher education and corporate training. 
With +10 years of experience and a global customer base we are at the forefront of the active learning methodology for topics such as: website management, onli"&amp;"ne ads, e-mail marketing and online brand community management. 
Visit our website today and test your digital marketing skills and also to request your instructor account which will allow you to host your next memorable course.")</f>
        <v/>
      </c>
      <c r="G1165" s="1">
        <f>IFERROR(__xludf.DUMMYFUNCTION("""COMPUTED_VALUE"""),"I'm not part of any EdTech association")</f>
        <v/>
      </c>
      <c r="H1165" s="1" t="n"/>
      <c r="I1165" s="1">
        <f>IFERROR(__xludf.DUMMYFUNCTION("""COMPUTED_VALUE"""),"contact@simbound.com")</f>
        <v/>
      </c>
      <c r="J1165" s="1" t="n"/>
      <c r="K1165" s="1">
        <f>IFERROR(__xludf.DUMMYFUNCTION("""COMPUTED_VALUE"""),"Cluj-Napoca")</f>
        <v/>
      </c>
      <c r="L1165" s="1">
        <f>IFERROR(__xludf.DUMMYFUNCTION("""COMPUTED_VALUE"""),"Romania")</f>
        <v/>
      </c>
      <c r="M1165" s="1">
        <f>IFERROR(__xludf.DUMMYFUNCTION("""COMPUTED_VALUE"""),"Austria, Czechia, France, Netherlands, Norway, Poland, Portugal, Romania, Switzerland, United Kingdom")</f>
        <v/>
      </c>
      <c r="N1165" s="1">
        <f>IFERROR(__xludf.DUMMYFUNCTION("""COMPUTED_VALUE"""),"0 to 10")</f>
        <v/>
      </c>
      <c r="O1165" s="1">
        <f>IFERROR(__xludf.DUMMYFUNCTION("""COMPUTED_VALUE"""),"Business to Business")</f>
        <v/>
      </c>
      <c r="P1165" s="1">
        <f>IFERROR(__xludf.DUMMYFUNCTION("""COMPUTED_VALUE"""),"Higher Education, Corporate Training")</f>
        <v/>
      </c>
      <c r="Q1165" s="1">
        <f>IFERROR(__xludf.DUMMYFUNCTION("""COMPUTED_VALUE"""),"Student interfacing, Teacher interfacing, System/Administrative")</f>
        <v/>
      </c>
      <c r="R1165" s="1" t="n"/>
      <c r="S1165" s="1" t="n"/>
      <c r="T1165" s="1" t="n"/>
      <c r="U1165" s="1" t="n"/>
      <c r="V1165" s="1" t="n"/>
      <c r="W1165" s="1" t="n"/>
      <c r="X1165" s="1" t="n"/>
      <c r="Y1165" s="15">
        <f>IFERROR(__xludf.DUMMYFUNCTION("""COMPUTED_VALUE"""),"https://drive.google.com/uc?export=view&amp;id=1s4OZ7a7GYnpUhRSEZzRrEsNlrBbOoumR")</f>
        <v/>
      </c>
      <c r="Z1165" s="1">
        <f>IFERROR(__xludf.DUMMYFUNCTION("""COMPUTED_VALUE"""),"Unverified")</f>
        <v/>
      </c>
      <c r="AA1165" s="1" t="n"/>
      <c r="AB1165" s="1" t="n"/>
      <c r="AC1165" s="1" t="n"/>
      <c r="AD1165" s="1" t="n"/>
      <c r="AE1165" s="1" t="n"/>
    </row>
    <row r="1166" ht="42" customHeight="1">
      <c r="A1166" s="14">
        <f>IFERROR(__xludf.DUMMYFUNCTION("""COMPUTED_VALUE"""),45181)</f>
        <v/>
      </c>
      <c r="B1166" s="1">
        <f>IFERROR(__xludf.DUMMYFUNCTION("""COMPUTED_VALUE"""),"ORG_1113")</f>
        <v/>
      </c>
      <c r="C1166" s="1">
        <f>IFERROR(__xludf.DUMMYFUNCTION("""COMPUTED_VALUE"""),TRUE)</f>
        <v/>
      </c>
      <c r="D1166" s="1">
        <f>IFERROR(__xludf.DUMMYFUNCTION("""COMPUTED_VALUE"""),"Astrid")</f>
        <v/>
      </c>
      <c r="E1166" s="15">
        <f>IFERROR(__xludf.DUMMYFUNCTION("""COMPUTED_VALUE"""),"https://www.astrideducation.com/")</f>
        <v/>
      </c>
      <c r="F1166" s="1">
        <f>IFERROR(__xludf.DUMMYFUNCTION("""COMPUTED_VALUE"""),"Astrid is an EdTech company providing an AI-powered language learning app to make high-quality private English tutoring more affordable and accessible. Astrid enables students from around the world to compete in the global talent market by helping them be"&amp;"come fluent, confident English speakers. 
Astrid's complementary and diverse team consists of experienced engineers, academics, and company builders with backgrounds ranging from EF, Spotify, King and Kry. Astrid is located in Stockholm, Sweden, and Oxfo"&amp;"rd, UK, and backed by a global group of renowned tech entrepreneurs, investors, and advisers.")</f>
        <v/>
      </c>
      <c r="G1166" s="1">
        <f>IFERROR(__xludf.DUMMYFUNCTION("""COMPUTED_VALUE"""),"Swedish EdTech Industry")</f>
        <v/>
      </c>
      <c r="H1166" s="1" t="n"/>
      <c r="I1166" s="1">
        <f>IFERROR(__xludf.DUMMYFUNCTION("""COMPUTED_VALUE"""),"info@astrideducation.com")</f>
        <v/>
      </c>
      <c r="J1166" s="1" t="n"/>
      <c r="K1166" s="1">
        <f>IFERROR(__xludf.DUMMYFUNCTION("""COMPUTED_VALUE"""),"Stockholm")</f>
        <v/>
      </c>
      <c r="L1166" s="1">
        <f>IFERROR(__xludf.DUMMYFUNCTION("""COMPUTED_VALUE"""),"Sweden")</f>
        <v/>
      </c>
      <c r="M1166" s="1">
        <f>IFERROR(__xludf.DUMMYFUNCTION("""COMPUTED_VALUE"""),"Belgium, Denmark, France, Germany, Greece, Italy, Kosovo, Montenegro, Netherlands, Norway, Poland, Portugal, Romania, Serbia, Slovakia, Sweden, United Kingdom")</f>
        <v/>
      </c>
      <c r="N1166" s="1">
        <f>IFERROR(__xludf.DUMMYFUNCTION("""COMPUTED_VALUE"""),"11 to 50")</f>
        <v/>
      </c>
      <c r="O1166" s="1">
        <f>IFERROR(__xludf.DUMMYFUNCTION("""COMPUTED_VALUE"""),"Business to Business")</f>
        <v/>
      </c>
      <c r="P1166" s="1">
        <f>IFERROR(__xludf.DUMMYFUNCTION("""COMPUTED_VALUE"""),"Primary Education, Corporate Training, Lifelong learning/Adult education")</f>
        <v/>
      </c>
      <c r="Q1166" s="1">
        <f>IFERROR(__xludf.DUMMYFUNCTION("""COMPUTED_VALUE"""),"System/Administrative, Student interfacing, Teacher interfacing")</f>
        <v/>
      </c>
      <c r="R1166" s="15">
        <f>IFERROR(__xludf.DUMMYFUNCTION("""COMPUTED_VALUE"""),"https://www.instagram.com/astrideducation/")</f>
        <v/>
      </c>
      <c r="S1166" s="15">
        <f>IFERROR(__xludf.DUMMYFUNCTION("""COMPUTED_VALUE"""),"https://twitter.com/astrideducation")</f>
        <v/>
      </c>
      <c r="T1166" s="15">
        <f>IFERROR(__xludf.DUMMYFUNCTION("""COMPUTED_VALUE"""),"https://www.linkedin.com/company/astrid-education")</f>
        <v/>
      </c>
      <c r="U1166" s="1">
        <f>IFERROR(__xludf.DUMMYFUNCTION("""COMPUTED_VALUE"""),"Astrid")</f>
        <v/>
      </c>
      <c r="V1166" s="1">
        <f>IFERROR(__xludf.DUMMYFUNCTION("""COMPUTED_VALUE"""),"Utilising AI and cutting-edge speech recognition, Astrid is voice-based and personalised at the core. The unique combination of research-based technology and academics ensures an engaging and effective learning journey. Astrid provides personalized speaki"&amp;"ng and pronunciation practice, giving young learners a new, fun way to practice English in a stress-free environment. Astrid listens, evaluates, and supports English speaking and pronunciation skills in real-time, allowing learners to compare their speech"&amp;" to a native speaker’s, study their mistakes, and receive recommendations for improvement.")</f>
        <v/>
      </c>
      <c r="W1166" s="1" t="n"/>
      <c r="X1166" s="1" t="n"/>
      <c r="Y1166" s="15">
        <f>IFERROR(__xludf.DUMMYFUNCTION("""COMPUTED_VALUE"""),"https://drive.google.com/uc?export=view&amp;id=13lP_0bfeg62-5ZCqTLTk3wnzQv1XKwBw")</f>
        <v/>
      </c>
      <c r="Z1166" s="1">
        <f>IFERROR(__xludf.DUMMYFUNCTION("""COMPUTED_VALUE"""),"Unverified")</f>
        <v/>
      </c>
      <c r="AA1166" s="1" t="n"/>
      <c r="AB1166" s="1" t="n"/>
      <c r="AC1166" s="1" t="n"/>
      <c r="AD1166" s="1" t="n"/>
      <c r="AE1166" s="1" t="n"/>
    </row>
    <row r="1167" ht="42" customHeight="1">
      <c r="A1167" s="14">
        <f>IFERROR(__xludf.DUMMYFUNCTION("""COMPUTED_VALUE"""),45181)</f>
        <v/>
      </c>
      <c r="B1167" s="1">
        <f>IFERROR(__xludf.DUMMYFUNCTION("""COMPUTED_VALUE"""),"ORG_1124")</f>
        <v/>
      </c>
      <c r="C1167" s="1">
        <f>IFERROR(__xludf.DUMMYFUNCTION("""COMPUTED_VALUE"""),TRUE)</f>
        <v/>
      </c>
      <c r="D1167" s="1">
        <f>IFERROR(__xludf.DUMMYFUNCTION("""COMPUTED_VALUE"""),"Aulab")</f>
        <v/>
      </c>
      <c r="E1167" s="15">
        <f>IFERROR(__xludf.DUMMYFUNCTION("""COMPUTED_VALUE"""),"aulab.it/")</f>
        <v/>
      </c>
      <c r="F1167" s="1">
        <f>IFERROR(__xludf.DUMMYFUNCTION("""COMPUTED_VALUE"""),"Aulab is the first Italian Coding Factory active since 2014 in training and
software development sector. With our courses we train resources in the
IT sector to be placed in companies looking for staff.
We are also a software house, where many students ha"&amp;"ve the opportunity
to put into practice what they have learned during our courses.
Aulab Hackademy, our main product, is an intensive full-time online course which allows to acquire the skills necessary to write code and start a
new professional career a"&amp;"s a web developer.")</f>
        <v/>
      </c>
      <c r="G1167" s="1">
        <f>IFERROR(__xludf.DUMMYFUNCTION("""COMPUTED_VALUE"""),"I'm not part of any EdTech association")</f>
        <v/>
      </c>
      <c r="H1167" s="1" t="n"/>
      <c r="I1167" s="1">
        <f>IFERROR(__xludf.DUMMYFUNCTION("""COMPUTED_VALUE"""),"aulab@aulab.it")</f>
        <v/>
      </c>
      <c r="J1167" s="1" t="n"/>
      <c r="K1167" s="1">
        <f>IFERROR(__xludf.DUMMYFUNCTION("""COMPUTED_VALUE"""),"Bari")</f>
        <v/>
      </c>
      <c r="L1167" s="1">
        <f>IFERROR(__xludf.DUMMYFUNCTION("""COMPUTED_VALUE"""),"Italy")</f>
        <v/>
      </c>
      <c r="M1167" s="1">
        <f>IFERROR(__xludf.DUMMYFUNCTION("""COMPUTED_VALUE"""),"Italy, Spain")</f>
        <v/>
      </c>
      <c r="N1167" s="1">
        <f>IFERROR(__xludf.DUMMYFUNCTION("""COMPUTED_VALUE"""),"11 to 50")</f>
        <v/>
      </c>
      <c r="O1167" s="1">
        <f>IFERROR(__xludf.DUMMYFUNCTION("""COMPUTED_VALUE"""),"Business to Business")</f>
        <v/>
      </c>
      <c r="P1167" s="1">
        <f>IFERROR(__xludf.DUMMYFUNCTION("""COMPUTED_VALUE"""),"Higher Education, Corporate Training, Lifelong learning/Adult education")</f>
        <v/>
      </c>
      <c r="Q1167" s="1">
        <f>IFERROR(__xludf.DUMMYFUNCTION("""COMPUTED_VALUE"""),"Student interfacing, Teacher interfacing, System/Administrative")</f>
        <v/>
      </c>
      <c r="R1167" s="1" t="n"/>
      <c r="S1167" s="1" t="n"/>
      <c r="T1167" s="1" t="n"/>
      <c r="U1167" s="1" t="n"/>
      <c r="V1167" s="1" t="n"/>
      <c r="W1167" s="1" t="n"/>
      <c r="X1167" s="1" t="n"/>
      <c r="Y1167" s="1" t="n"/>
      <c r="Z1167" s="1">
        <f>IFERROR(__xludf.DUMMYFUNCTION("""COMPUTED_VALUE"""),"Unverified")</f>
        <v/>
      </c>
      <c r="AA1167" s="1" t="n"/>
      <c r="AB1167" s="1" t="n"/>
      <c r="AC1167" s="1" t="n"/>
      <c r="AD1167" s="1" t="n"/>
      <c r="AE1167" s="1" t="n"/>
    </row>
    <row r="1168" ht="42" customHeight="1">
      <c r="A1168" s="14">
        <f>IFERROR(__xludf.DUMMYFUNCTION("""COMPUTED_VALUE"""),45181)</f>
        <v/>
      </c>
      <c r="B1168" s="1">
        <f>IFERROR(__xludf.DUMMYFUNCTION("""COMPUTED_VALUE"""),"ORG_1139")</f>
        <v/>
      </c>
      <c r="C1168" s="1">
        <f>IFERROR(__xludf.DUMMYFUNCTION("""COMPUTED_VALUE"""),TRUE)</f>
        <v/>
      </c>
      <c r="D1168" s="1">
        <f>IFERROR(__xludf.DUMMYFUNCTION("""COMPUTED_VALUE"""),"BCdiploma")</f>
        <v/>
      </c>
      <c r="E1168" s="15">
        <f>IFERROR(__xludf.DUMMYFUNCTION("""COMPUTED_VALUE"""),"https://www.bcdiploma.com")</f>
        <v/>
      </c>
      <c r="F1168" s="1">
        <f>IFERROR(__xludf.DUMMYFUNCTION("""COMPUTED_VALUE"""),"The blockchain-based credentialing solution for all your online certificates, academic credentials, micro-credentials, transcripts, digital badges and open-badges. 
#TOEIC &amp; 120+ institutions on 4 continents rely on us.")</f>
        <v/>
      </c>
      <c r="G1168" s="1">
        <f>IFERROR(__xludf.DUMMYFUNCTION("""COMPUTED_VALUE"""),"EdTech France")</f>
        <v/>
      </c>
      <c r="H1168" s="1" t="n"/>
      <c r="I1168" s="1">
        <f>IFERROR(__xludf.DUMMYFUNCTION("""COMPUTED_VALUE"""),"contactus@bcdiploma.com")</f>
        <v/>
      </c>
      <c r="J1168" s="1" t="n"/>
      <c r="K1168" s="1">
        <f>IFERROR(__xludf.DUMMYFUNCTION("""COMPUTED_VALUE"""),"Paris")</f>
        <v/>
      </c>
      <c r="L1168" s="1">
        <f>IFERROR(__xludf.DUMMYFUNCTION("""COMPUTED_VALUE"""),"France")</f>
        <v/>
      </c>
      <c r="M1168" s="1">
        <f>IFERROR(__xludf.DUMMYFUNCTION("""COMPUTED_VALUE"""),"France, Hungary, Monaco, Spain, Switzerland")</f>
        <v/>
      </c>
      <c r="N1168" s="1">
        <f>IFERROR(__xludf.DUMMYFUNCTION("""COMPUTED_VALUE"""),"11 to 50")</f>
        <v/>
      </c>
      <c r="O1168" s="1">
        <f>IFERROR(__xludf.DUMMYFUNCTION("""COMPUTED_VALUE"""),"Business to Business")</f>
        <v/>
      </c>
      <c r="P1168" s="1">
        <f>IFERROR(__xludf.DUMMYFUNCTION("""COMPUTED_VALUE"""),"Higher Education, Corporate Training, Lifelong learning/Adult education")</f>
        <v/>
      </c>
      <c r="Q1168" s="1">
        <f>IFERROR(__xludf.DUMMYFUNCTION("""COMPUTED_VALUE"""),"System/Administrative")</f>
        <v/>
      </c>
      <c r="R1168" s="1" t="n"/>
      <c r="S1168" s="15">
        <f>IFERROR(__xludf.DUMMYFUNCTION("""COMPUTED_VALUE"""),"https://twitter.com/BCDiploma")</f>
        <v/>
      </c>
      <c r="T1168" s="15">
        <f>IFERROR(__xludf.DUMMYFUNCTION("""COMPUTED_VALUE"""),"https://www.linkedin.com/company/blockchaincertifieddata")</f>
        <v/>
      </c>
      <c r="U1168" s="1">
        <f>IFERROR(__xludf.DUMMYFUNCTION("""COMPUTED_VALUE"""),"BCdiploma Digital Credentials")</f>
        <v/>
      </c>
      <c r="V1168" s="1">
        <f>IFERROR(__xludf.DUMMYFUNCTION("""COMPUTED_VALUE"""),"All your diplomas, certifications, transcripts or acquired skills become tamper-proof and verifiable using the Blockchain technology system. BCdiploma also lets you customize the content and the design of all your academic documents.")</f>
        <v/>
      </c>
      <c r="W1168" s="1">
        <f>IFERROR(__xludf.DUMMYFUNCTION("""COMPUTED_VALUE"""),"BCdiploma Micro-Credentials")</f>
        <v/>
      </c>
      <c r="X1168" s="1">
        <f>IFERROR(__xludf.DUMMYFUNCTION("""COMPUTED_VALUE"""),"Add value to your training courses and acquired skills with our micro-credentials. Create, customize and secure your micro-credentials in a few clicks. With the Blockchain technology by BCdiploma, your micro-credentials are forgery-proof and durable.")</f>
        <v/>
      </c>
      <c r="Y1168" s="15">
        <f>IFERROR(__xludf.DUMMYFUNCTION("""COMPUTED_VALUE"""),"https://drive.google.com/uc?export=view&amp;id=1jgF-5lSUcH-u8WXqMzbtjbOqyoKtdIns")</f>
        <v/>
      </c>
      <c r="Z1168" s="1">
        <f>IFERROR(__xludf.DUMMYFUNCTION("""COMPUTED_VALUE"""),"Unverified")</f>
        <v/>
      </c>
      <c r="AA1168" s="1" t="n"/>
      <c r="AB1168" s="1" t="n"/>
      <c r="AC1168" s="1" t="n"/>
      <c r="AD1168" s="1" t="n"/>
      <c r="AE1168" s="1" t="n"/>
    </row>
    <row r="1169" ht="42" customHeight="1">
      <c r="A1169" s="14">
        <f>IFERROR(__xludf.DUMMYFUNCTION("""COMPUTED_VALUE"""),45181)</f>
        <v/>
      </c>
      <c r="B1169" s="1">
        <f>IFERROR(__xludf.DUMMYFUNCTION("""COMPUTED_VALUE"""),"ORG_1172")</f>
        <v/>
      </c>
      <c r="C1169" s="1">
        <f>IFERROR(__xludf.DUMMYFUNCTION("""COMPUTED_VALUE"""),TRUE)</f>
        <v/>
      </c>
      <c r="D1169" s="1">
        <f>IFERROR(__xludf.DUMMYFUNCTION("""COMPUTED_VALUE"""),"Bizplay")</f>
        <v/>
      </c>
      <c r="E1169" s="15">
        <f>IFERROR(__xludf.DUMMYFUNCTION("""COMPUTED_VALUE"""),"https://bizplay.ee/")</f>
        <v/>
      </c>
      <c r="F1169" s="1">
        <f>IFERROR(__xludf.DUMMYFUNCTION("""COMPUTED_VALUE"""),"Bizplay combines role-playing games and a web-based application to create a practical and playful learning format for practicing entrepreneurship. We have developed games with different topics and difficulty levels. Students get fun real-life content to r"&amp;"each their goals! Teachers can facilitate the process &amp; help to analyze situations.")</f>
        <v/>
      </c>
      <c r="G1169" s="1">
        <f>IFERROR(__xludf.DUMMYFUNCTION("""COMPUTED_VALUE"""),"EdTech Estonia")</f>
        <v/>
      </c>
      <c r="H1169" s="1" t="n"/>
      <c r="I1169" s="1">
        <f>IFERROR(__xludf.DUMMYFUNCTION("""COMPUTED_VALUE"""),"info@bizplay.ee")</f>
        <v/>
      </c>
      <c r="J1169" s="1" t="n"/>
      <c r="K1169" s="1">
        <f>IFERROR(__xludf.DUMMYFUNCTION("""COMPUTED_VALUE"""),"TARTU")</f>
        <v/>
      </c>
      <c r="L1169" s="1">
        <f>IFERROR(__xludf.DUMMYFUNCTION("""COMPUTED_VALUE"""),"Estonia")</f>
        <v/>
      </c>
      <c r="M1169" s="1">
        <f>IFERROR(__xludf.DUMMYFUNCTION("""COMPUTED_VALUE"""),"Estonia")</f>
        <v/>
      </c>
      <c r="N1169" s="1">
        <f>IFERROR(__xludf.DUMMYFUNCTION("""COMPUTED_VALUE"""),"0 to 10")</f>
        <v/>
      </c>
      <c r="O1169" s="1">
        <f>IFERROR(__xludf.DUMMYFUNCTION("""COMPUTED_VALUE"""),"Business to Business")</f>
        <v/>
      </c>
      <c r="P1169" s="1">
        <f>IFERROR(__xludf.DUMMYFUNCTION("""COMPUTED_VALUE"""),"Primary Education, Secondary Education, Higher Education")</f>
        <v/>
      </c>
      <c r="Q1169" s="1">
        <f>IFERROR(__xludf.DUMMYFUNCTION("""COMPUTED_VALUE"""),"Student interfacing, Teacher interfacing")</f>
        <v/>
      </c>
      <c r="R1169" s="1" t="n"/>
      <c r="S1169" s="1" t="n"/>
      <c r="T1169" s="15">
        <f>IFERROR(__xludf.DUMMYFUNCTION("""COMPUTED_VALUE"""),"https://www.linkedin.com/company/bizplay-o%C3%BC")</f>
        <v/>
      </c>
      <c r="U1169" s="1">
        <f>IFERROR(__xludf.DUMMYFUNCTION("""COMPUTED_VALUE"""),"Business Battle")</f>
        <v/>
      </c>
      <c r="V1169" s="1">
        <f>IFERROR(__xludf.DUMMYFUNCTION("""COMPUTED_VALUE"""),"Business Battle is an intensive learning game that involves digital tools, but is played in real time in one room. It helps to understand the challenges of a start-up.
The players come up with a business idea that suits them and must be able to outperfor"&amp;"m other companies operating in the same market as them.
Structure of the game is divided into stages and the process is managed by a facilitator. Stages change quickly during the game to hold the dynamics and to keep up the pace.
Age: 13+y
Group: 15-100"&amp;" players")</f>
        <v/>
      </c>
      <c r="W1169" s="1">
        <f>IFERROR(__xludf.DUMMYFUNCTION("""COMPUTED_VALUE"""),"Entrepreneurial Citizen")</f>
        <v/>
      </c>
      <c r="X1169" s="1">
        <f>IFERROR(__xludf.DUMMYFUNCTION("""COMPUTED_VALUE"""),"Entrepreneurial Citizen is a roleplay game that teaches how to run a business and the basics of taxes and economy. Game involves digital tools, but is played in real time in one room.
Young entrepreneurs need to manage their small businesses and come up "&amp;"with a plan how to raise value while making profit and keeping employees motivated. All options are possible but can they solve their problems? Entrepreneurial citizens work for their business and City government is collecting taxes to cover social and go"&amp;"vernmental expenses. Facilitator helps players to understand what the learning points were and
what can be done differently next time.
Age: 12-16y
Group: 20-30 players")</f>
        <v/>
      </c>
      <c r="Y1169" s="15">
        <f>IFERROR(__xludf.DUMMYFUNCTION("""COMPUTED_VALUE"""),"https://drive.google.com/uc?export=view&amp;id=1JlPAvMlMYFYX5A0Bwxvo2YEnp47hgQfy")</f>
        <v/>
      </c>
      <c r="Z1169" s="1">
        <f>IFERROR(__xludf.DUMMYFUNCTION("""COMPUTED_VALUE"""),"Unverified")</f>
        <v/>
      </c>
      <c r="AA1169" s="1" t="n"/>
      <c r="AB1169" s="1" t="n"/>
      <c r="AC1169" s="1" t="n"/>
      <c r="AD1169" s="1" t="n"/>
      <c r="AE1169" s="1" t="n"/>
    </row>
    <row r="1170" ht="42" customHeight="1">
      <c r="A1170" s="14">
        <f>IFERROR(__xludf.DUMMYFUNCTION("""COMPUTED_VALUE"""),45181)</f>
        <v/>
      </c>
      <c r="B1170" s="1">
        <f>IFERROR(__xludf.DUMMYFUNCTION("""COMPUTED_VALUE"""),"ORG_1374")</f>
        <v/>
      </c>
      <c r="C1170" s="1">
        <f>IFERROR(__xludf.DUMMYFUNCTION("""COMPUTED_VALUE"""),TRUE)</f>
        <v/>
      </c>
      <c r="D1170" s="1">
        <f>IFERROR(__xludf.DUMMYFUNCTION("""COMPUTED_VALUE"""),"Dokki")</f>
        <v/>
      </c>
      <c r="E1170" s="15">
        <f>IFERROR(__xludf.DUMMYFUNCTION("""COMPUTED_VALUE"""),"https://www.dokki.app/")</f>
        <v/>
      </c>
      <c r="F1170" s="1">
        <f>IFERROR(__xludf.DUMMYFUNCTION("""COMPUTED_VALUE"""),"Dokki is the Cloud Learning application, allowing you to learn a little every day in small sequences of 30 seconds to 5 minutes. Dokki is also a digitalization service for micro-training. We offer an extensive catalog of training courses. We also can prod"&amp;"uce training or information content entirely tailored to specific business needs, whatever they may be. And finally, we can integrate the content made by companies directly into the application. Dokki is a technology available on the computer, the tablet,"&amp;" the mobile, and tomorrow the VR, backed by a pedagogical approach adapted to the current world, the MicroLearning.")</f>
        <v/>
      </c>
      <c r="G1170" s="1">
        <f>IFERROR(__xludf.DUMMYFUNCTION("""COMPUTED_VALUE"""),"EdTech France")</f>
        <v/>
      </c>
      <c r="H1170" s="1" t="n"/>
      <c r="I1170" s="1">
        <f>IFERROR(__xludf.DUMMYFUNCTION("""COMPUTED_VALUE"""),"hello@dokki.app")</f>
        <v/>
      </c>
      <c r="J1170" s="1">
        <f>IFERROR(__xludf.DUMMYFUNCTION("""COMPUTED_VALUE"""),"+33 2 52 42 00 01")</f>
        <v/>
      </c>
      <c r="K1170" s="1">
        <f>IFERROR(__xludf.DUMMYFUNCTION("""COMPUTED_VALUE"""),"HEROUVILLE SAINT CLAIR")</f>
        <v/>
      </c>
      <c r="L1170" s="1">
        <f>IFERROR(__xludf.DUMMYFUNCTION("""COMPUTED_VALUE"""),"France")</f>
        <v/>
      </c>
      <c r="M1170" s="1">
        <f>IFERROR(__xludf.DUMMYFUNCTION("""COMPUTED_VALUE"""),"Denmark, Finland, France, Sweden")</f>
        <v/>
      </c>
      <c r="N1170" s="1">
        <f>IFERROR(__xludf.DUMMYFUNCTION("""COMPUTED_VALUE"""),"11 to 50")</f>
        <v/>
      </c>
      <c r="O1170" s="1">
        <f>IFERROR(__xludf.DUMMYFUNCTION("""COMPUTED_VALUE"""),"Business to Business")</f>
        <v/>
      </c>
      <c r="P1170" s="1">
        <f>IFERROR(__xludf.DUMMYFUNCTION("""COMPUTED_VALUE"""),"Corporate Training")</f>
        <v/>
      </c>
      <c r="Q1170" s="1">
        <f>IFERROR(__xludf.DUMMYFUNCTION("""COMPUTED_VALUE"""),"System/Administrative")</f>
        <v/>
      </c>
      <c r="R1170" s="15">
        <f>IFERROR(__xludf.DUMMYFUNCTION("""COMPUTED_VALUE"""),"https://www.instagram.com/dokkiapp")</f>
        <v/>
      </c>
      <c r="S1170" s="15">
        <f>IFERROR(__xludf.DUMMYFUNCTION("""COMPUTED_VALUE"""),"https://twitter.com/dokkiapp")</f>
        <v/>
      </c>
      <c r="T1170" s="15">
        <f>IFERROR(__xludf.DUMMYFUNCTION("""COMPUTED_VALUE"""),"https://www.linkedin.com/company/dokki")</f>
        <v/>
      </c>
      <c r="U1170" s="1">
        <f>IFERROR(__xludf.DUMMYFUNCTION("""COMPUTED_VALUE"""),"Dokki")</f>
        <v/>
      </c>
      <c r="V1170" s="1">
        <f>IFERROR(__xludf.DUMMYFUNCTION("""COMPUTED_VALUE"""),"Dokki is the Cloud Learning application, allowing you to learn a little every day in small sequences of 30 seconds to 5 minutes. Dokki is also a digitalization service for micro-training. We offer an extensive catalog of training courses. We also can prod"&amp;"uce training or information content entirely tailored to specific business needs, whatever they may be. And finally, we can integrate the content made by companies directly into the application. Dokki is a technology available on the computer, the tablet,"&amp;" the mobile, and tomorrow the VR, backed by a pedagogical approach adapted to the current world, the MicroLearning.")</f>
        <v/>
      </c>
      <c r="W1170" s="1" t="n"/>
      <c r="X1170" s="1" t="n"/>
      <c r="Y1170" s="15">
        <f>IFERROR(__xludf.DUMMYFUNCTION("""COMPUTED_VALUE"""),"https://drive.google.com/uc?export=view&amp;id=1uFPKRU_mc0lOZWYzTkgtx16m4eGYXeF4")</f>
        <v/>
      </c>
      <c r="Z1170" s="1">
        <f>IFERROR(__xludf.DUMMYFUNCTION("""COMPUTED_VALUE"""),"Unverified")</f>
        <v/>
      </c>
      <c r="AA1170" s="1" t="n"/>
      <c r="AB1170" s="1" t="n"/>
      <c r="AC1170" s="1" t="n"/>
      <c r="AD1170" s="1" t="n"/>
      <c r="AE1170" s="1" t="n"/>
    </row>
    <row r="1171" ht="42" customHeight="1">
      <c r="A1171" s="14">
        <f>IFERROR(__xludf.DUMMYFUNCTION("""COMPUTED_VALUE"""),45181)</f>
        <v/>
      </c>
      <c r="B1171" s="1">
        <f>IFERROR(__xludf.DUMMYFUNCTION("""COMPUTED_VALUE"""),"ORG_1386")</f>
        <v/>
      </c>
      <c r="C1171" s="1">
        <f>IFERROR(__xludf.DUMMYFUNCTION("""COMPUTED_VALUE"""),TRUE)</f>
        <v/>
      </c>
      <c r="D1171" s="1">
        <f>IFERROR(__xludf.DUMMYFUNCTION("""COMPUTED_VALUE"""),"DYNSEO")</f>
        <v/>
      </c>
      <c r="E1171" s="15">
        <f>IFERROR(__xludf.DUMMYFUNCTION("""COMPUTED_VALUE"""),"https://www.dynseo.com/en")</f>
        <v/>
      </c>
      <c r="F1171" s="1">
        <f>IFERROR(__xludf.DUMMYFUNCTION("""COMPUTED_VALUE"""),"DYNSEO is an e-health company developing brain and educational training programs for seniors, adults and children, available on tablets and smartphones. 
Our apps include more than 30 games, adapted to all the levels of cognition and culturally adapted as"&amp;" well.
With the Clint and Coco apps, you can personalize the training and participate in the children's development through playful and educational games targeting language, reading and written skills, attention and reflexes among other things.
The apps c"&amp;"an be used as a training tool for special needs children with cognitive impairments (down syndrome), developmental disorders (autism)and learning disabilities like DYS disorders. 
Thanks to 3 levels of difficulty for each game and the possibility to creat"&amp;"e a profile to follow your evolution.")</f>
        <v/>
      </c>
      <c r="G1171" s="1">
        <f>IFERROR(__xludf.DUMMYFUNCTION("""COMPUTED_VALUE"""),"EdTech France")</f>
        <v/>
      </c>
      <c r="H1171" s="1" t="n"/>
      <c r="I1171" s="1">
        <f>IFERROR(__xludf.DUMMYFUNCTION("""COMPUTED_VALUE"""),"justine.monsaingeon@dynseo.com")</f>
        <v/>
      </c>
      <c r="J1171" s="1">
        <f>IFERROR(__xludf.DUMMYFUNCTION("""COMPUTED_VALUE"""),"+33666240826")</f>
        <v/>
      </c>
      <c r="K1171" s="1">
        <f>IFERROR(__xludf.DUMMYFUNCTION("""COMPUTED_VALUE"""),"PARIS")</f>
        <v/>
      </c>
      <c r="L1171" s="1">
        <f>IFERROR(__xludf.DUMMYFUNCTION("""COMPUTED_VALUE"""),"France")</f>
        <v/>
      </c>
      <c r="M1171" s="1">
        <f>IFERROR(__xludf.DUMMYFUNCTION("""COMPUTED_VALUE"""),"Belgium, Denmark, France, Ireland, Italy, Luxembourg, Monaco, Netherlands, Portugal, Switzerland, United Kingdom")</f>
        <v/>
      </c>
      <c r="N1171" s="1">
        <f>IFERROR(__xludf.DUMMYFUNCTION("""COMPUTED_VALUE"""),"0 to 10")</f>
        <v/>
      </c>
      <c r="O1171" s="1">
        <f>IFERROR(__xludf.DUMMYFUNCTION("""COMPUTED_VALUE"""),"Business to Business, Business to Consumer")</f>
        <v/>
      </c>
      <c r="P1171" s="1">
        <f>IFERROR(__xludf.DUMMYFUNCTION("""COMPUTED_VALUE"""),"Early childhood development (0-5 years), Primary Education, Secondary Education, Lifelong learning/Adult education")</f>
        <v/>
      </c>
      <c r="Q1171" s="1">
        <f>IFERROR(__xludf.DUMMYFUNCTION("""COMPUTED_VALUE"""),"System/Administrative, Student interfacing, Teacher interfacing")</f>
        <v/>
      </c>
      <c r="R1171" s="15">
        <f>IFERROR(__xludf.DUMMYFUNCTION("""COMPUTED_VALUE"""),"https://www.instagram.com/coco_educationalgames/")</f>
        <v/>
      </c>
      <c r="S1171" s="1">
        <f>IFERROR(__xludf.DUMMYFUNCTION("""COMPUTED_VALUE"""),"DYNSEO")</f>
        <v/>
      </c>
      <c r="T1171" s="15">
        <f>IFERROR(__xludf.DUMMYFUNCTION("""COMPUTED_VALUE"""),"https://www.linkedin.com/company/dynseo")</f>
        <v/>
      </c>
      <c r="U1171" s="1">
        <f>IFERROR(__xludf.DUMMYFUNCTION("""COMPUTED_VALUE"""),"COCO")</f>
        <v/>
      </c>
      <c r="V1171" s="1">
        <f>IFERROR(__xludf.DUMMYFUNCTION("""COMPUTED_VALUE"""),"COCO is an educational app for children from 5 to 10 years old, which includes more than 30 games, to be used at home with the parents, in school with teachers and assistants, or during therapy with health professionals.
All the games are adapted for chil"&amp;"dren with cognitive impairments and can be adapted for all levels of cognition. 
The Coco app includes a Sports break after 15 minutes of screen time to help fight sedentary behaviors and teach a measured use of screens. These physical games can be played"&amp;" at any time or after 15 minutes of game time to allow the children to clear their brains and do some physical activity.")</f>
        <v/>
      </c>
      <c r="W1171" s="1">
        <f>IFERROR(__xludf.DUMMYFUNCTION("""COMPUTED_VALUE"""),"CLINT")</f>
        <v/>
      </c>
      <c r="X1171" s="1">
        <f>IFERROR(__xludf.DUMMYFUNCTION("""COMPUTED_VALUE"""),"The Clint training program is an app available on smartphones and tablets for adults wishing to train their brain and stimulate all their cognitive functions. 
The app contains more than 30 fun and cultural games to train the memory, attention, reflexes "&amp;"and so much more, all while having fun. 
It can be used by adults for a general training as well as teenagers with cognitive impairment as a tool for cognitive development.")</f>
        <v/>
      </c>
      <c r="Y1171" s="15">
        <f>IFERROR(__xludf.DUMMYFUNCTION("""COMPUTED_VALUE"""),"https://drive.google.com/uc?export=view&amp;id=1bV1NLlGEtI69C60Koyh8oEFV7ei_SYTK")</f>
        <v/>
      </c>
      <c r="Z1171" s="1">
        <f>IFERROR(__xludf.DUMMYFUNCTION("""COMPUTED_VALUE"""),"Unverified")</f>
        <v/>
      </c>
      <c r="AA1171" s="1" t="n"/>
      <c r="AB1171" s="1" t="n"/>
      <c r="AC1171" s="1" t="n"/>
      <c r="AD1171" s="1" t="n"/>
      <c r="AE1171" s="1" t="n"/>
    </row>
    <row r="1172" ht="42" customHeight="1">
      <c r="A1172" s="14">
        <f>IFERROR(__xludf.DUMMYFUNCTION("""COMPUTED_VALUE"""),45181)</f>
        <v/>
      </c>
      <c r="B1172" s="1">
        <f>IFERROR(__xludf.DUMMYFUNCTION("""COMPUTED_VALUE"""),"ORG_1389")</f>
        <v/>
      </c>
      <c r="C1172" s="1">
        <f>IFERROR(__xludf.DUMMYFUNCTION("""COMPUTED_VALUE"""),TRUE)</f>
        <v/>
      </c>
      <c r="D1172" s="1">
        <f>IFERROR(__xludf.DUMMYFUNCTION("""COMPUTED_VALUE"""),"e-Pitinglish")</f>
        <v/>
      </c>
      <c r="E1172" s="15">
        <f>IFERROR(__xludf.DUMMYFUNCTION("""COMPUTED_VALUE"""),"www.e-pitinglish.com")</f>
        <v/>
      </c>
      <c r="F1172" s="1">
        <f>IFERROR(__xludf.DUMMYFUNCTION("""COMPUTED_VALUE"""),"e-Pitinglish is an edtech startup that offers online English services for Spanish-speaking children from 5 to 12 years old through its disruptive technology platform based on AI + gamification. The e-Pitinglish methodology is focused on stimulating childr"&amp;"en's motivation through different techniques based on neuroeducation, good e-teachers and always based on the tastes and interests of the students.")</f>
        <v/>
      </c>
      <c r="G1172" s="1">
        <f>IFERROR(__xludf.DUMMYFUNCTION("""COMPUTED_VALUE"""),"I'm not part of any EdTech association")</f>
        <v/>
      </c>
      <c r="H1172" s="1" t="n"/>
      <c r="I1172" s="1">
        <f>IFERROR(__xludf.DUMMYFUNCTION("""COMPUTED_VALUE"""),"info@e-pitinglish.com")</f>
        <v/>
      </c>
      <c r="J1172" s="1">
        <f>IFERROR(__xludf.DUMMYFUNCTION("""COMPUTED_VALUE"""),"+34 671 68 45 68")</f>
        <v/>
      </c>
      <c r="K1172" s="1">
        <f>IFERROR(__xludf.DUMMYFUNCTION("""COMPUTED_VALUE"""),"Calle Lluis Domenech i Muntaner, 6")</f>
        <v/>
      </c>
      <c r="L1172" s="1">
        <f>IFERROR(__xludf.DUMMYFUNCTION("""COMPUTED_VALUE"""),"Spain")</f>
        <v/>
      </c>
      <c r="M1172" s="1">
        <f>IFERROR(__xludf.DUMMYFUNCTION("""COMPUTED_VALUE"""),"Spain")</f>
        <v/>
      </c>
      <c r="N1172" s="1">
        <f>IFERROR(__xludf.DUMMYFUNCTION("""COMPUTED_VALUE"""),"0 to 2")</f>
        <v/>
      </c>
      <c r="O1172" s="1">
        <f>IFERROR(__xludf.DUMMYFUNCTION("""COMPUTED_VALUE"""),"Business to Business, Business to Consumer")</f>
        <v/>
      </c>
      <c r="P1172" s="1">
        <f>IFERROR(__xludf.DUMMYFUNCTION("""COMPUTED_VALUE"""),"Primary Education")</f>
        <v/>
      </c>
      <c r="Q1172" s="1">
        <f>IFERROR(__xludf.DUMMYFUNCTION("""COMPUTED_VALUE"""),"System/Administrative, Student interfacing, Teacher interfacing")</f>
        <v/>
      </c>
      <c r="R1172" s="1" t="n"/>
      <c r="S1172" s="1" t="n"/>
      <c r="T1172" s="1" t="n"/>
      <c r="U1172" s="1" t="n"/>
      <c r="V1172" s="1" t="n"/>
      <c r="W1172" s="1" t="n"/>
      <c r="X1172" s="1" t="n"/>
      <c r="Y1172" s="15">
        <f>IFERROR(__xludf.DUMMYFUNCTION("""COMPUTED_VALUE"""),"https://drive.google.com/uc?export=view&amp;id=1z3_EfMU529IcyDjE6sICyEfO1KjnSH0C")</f>
        <v/>
      </c>
      <c r="Z1172" s="1">
        <f>IFERROR(__xludf.DUMMYFUNCTION("""COMPUTED_VALUE"""),"Unverified")</f>
        <v/>
      </c>
      <c r="AA1172" s="1" t="n"/>
      <c r="AB1172" s="1" t="n"/>
      <c r="AC1172" s="1" t="n"/>
      <c r="AD1172" s="1" t="n"/>
      <c r="AE1172" s="1" t="n"/>
    </row>
    <row r="1173" ht="42" customHeight="1">
      <c r="A1173" s="14">
        <f>IFERROR(__xludf.DUMMYFUNCTION("""COMPUTED_VALUE"""),45181)</f>
        <v/>
      </c>
      <c r="B1173" s="1">
        <f>IFERROR(__xludf.DUMMYFUNCTION("""COMPUTED_VALUE"""),"ORG_1441")</f>
        <v/>
      </c>
      <c r="C1173" s="1">
        <f>IFERROR(__xludf.DUMMYFUNCTION("""COMPUTED_VALUE"""),TRUE)</f>
        <v/>
      </c>
      <c r="D1173" s="1">
        <f>IFERROR(__xludf.DUMMYFUNCTION("""COMPUTED_VALUE"""),"EDUKARE")</f>
        <v/>
      </c>
      <c r="E1173" s="15">
        <f>IFERROR(__xludf.DUMMYFUNCTION("""COMPUTED_VALUE"""),"www.edukare.fr")</f>
        <v/>
      </c>
      <c r="F1173" s="1">
        <f>IFERROR(__xludf.DUMMYFUNCTION("""COMPUTED_VALUE"""),"Our mission is to facilitate access to higher education, helping family to finance courses with an high level of employability. With Edukare as a platform:
School promote their accessibility program. Family achieve to access to quality education courses. "&amp;"Banks invest into futur customer with a high level of revenue. Sponsors help candidates to integrate a successfull career.")</f>
        <v/>
      </c>
      <c r="G1173" s="1">
        <f>IFERROR(__xludf.DUMMYFUNCTION("""COMPUTED_VALUE"""),"I'm not part of any EdTech association")</f>
        <v/>
      </c>
      <c r="H1173" s="1" t="n"/>
      <c r="I1173" s="1">
        <f>IFERROR(__xludf.DUMMYFUNCTION("""COMPUTED_VALUE"""),"contact@edukare.fr")</f>
        <v/>
      </c>
      <c r="J1173" s="1">
        <f>IFERROR(__xludf.DUMMYFUNCTION("""COMPUTED_VALUE"""),"+33625902152")</f>
        <v/>
      </c>
      <c r="K1173" s="1">
        <f>IFERROR(__xludf.DUMMYFUNCTION("""COMPUTED_VALUE"""),"Gignac-la-Nerthe")</f>
        <v/>
      </c>
      <c r="L1173" s="1">
        <f>IFERROR(__xludf.DUMMYFUNCTION("""COMPUTED_VALUE"""),"France")</f>
        <v/>
      </c>
      <c r="M1173" s="1">
        <f>IFERROR(__xludf.DUMMYFUNCTION("""COMPUTED_VALUE"""),"France")</f>
        <v/>
      </c>
      <c r="N1173" s="1">
        <f>IFERROR(__xludf.DUMMYFUNCTION("""COMPUTED_VALUE"""),"0 to 10")</f>
        <v/>
      </c>
      <c r="O1173" s="1">
        <f>IFERROR(__xludf.DUMMYFUNCTION("""COMPUTED_VALUE"""),"Business to Business, Business to Consumer")</f>
        <v/>
      </c>
      <c r="P1173" s="1">
        <f>IFERROR(__xludf.DUMMYFUNCTION("""COMPUTED_VALUE"""),"Higher Education")</f>
        <v/>
      </c>
      <c r="Q1173" s="1">
        <f>IFERROR(__xludf.DUMMYFUNCTION("""COMPUTED_VALUE"""),"System/Administrative, Student interfacing")</f>
        <v/>
      </c>
      <c r="R1173" s="1" t="n"/>
      <c r="S1173" s="1" t="n"/>
      <c r="T1173" s="1" t="n"/>
      <c r="U1173" s="1" t="n"/>
      <c r="V1173" s="1" t="n"/>
      <c r="W1173" s="1" t="n"/>
      <c r="X1173" s="1" t="n"/>
      <c r="Y1173" s="15">
        <f>IFERROR(__xludf.DUMMYFUNCTION("""COMPUTED_VALUE"""),"https://drive.google.com/uc?export=view&amp;id=1ZV-gB3H0L106StF9dx07y077PVx0mQlJ")</f>
        <v/>
      </c>
      <c r="Z1173" s="1">
        <f>IFERROR(__xludf.DUMMYFUNCTION("""COMPUTED_VALUE"""),"Unverified")</f>
        <v/>
      </c>
      <c r="AA1173" s="1" t="n"/>
      <c r="AB1173" s="1" t="n"/>
      <c r="AC1173" s="1" t="n"/>
      <c r="AD1173" s="1" t="n"/>
      <c r="AE1173" s="1" t="n"/>
    </row>
    <row r="1174" ht="42" customHeight="1">
      <c r="A1174" s="14">
        <f>IFERROR(__xludf.DUMMYFUNCTION("""COMPUTED_VALUE"""),45181)</f>
        <v/>
      </c>
      <c r="B1174" s="1">
        <f>IFERROR(__xludf.DUMMYFUNCTION("""COMPUTED_VALUE"""),"ORG_1451")</f>
        <v/>
      </c>
      <c r="C1174" s="1">
        <f>IFERROR(__xludf.DUMMYFUNCTION("""COMPUTED_VALUE"""),TRUE)</f>
        <v/>
      </c>
      <c r="D1174" s="1">
        <f>IFERROR(__xludf.DUMMYFUNCTION("""COMPUTED_VALUE"""),"Edumundo")</f>
        <v/>
      </c>
      <c r="E1174" s="15">
        <f>IFERROR(__xludf.DUMMYFUNCTION("""COMPUTED_VALUE"""),"https://www.edumundo.com/home")</f>
        <v/>
      </c>
      <c r="F1174" s="1">
        <f>IFERROR(__xludf.DUMMYFUNCTION("""COMPUTED_VALUE"""),"Edumundo is een educatieve uitgeverij voor het hoger en beroepsonderwijs. Wij ontwikkelen online leertools die docenten optimaal faciliteren om studenten zoveel mogelijk uit een vak te laten halen. De tools bevatten elementen van gaming, gamification en a"&amp;"ctiverende didactiek en laten studenten meer plezier in hun studie ervaren. We maken leren leuker en interactiever met als resultaat: betrokken studenten en een hoger leerrendement.")</f>
        <v/>
      </c>
      <c r="G1174" s="1">
        <f>IFERROR(__xludf.DUMMYFUNCTION("""COMPUTED_VALUE"""),"I'm not part of any EdTech association")</f>
        <v/>
      </c>
      <c r="H1174" s="1" t="n"/>
      <c r="I1174" s="1">
        <f>IFERROR(__xludf.DUMMYFUNCTION("""COMPUTED_VALUE"""),"m.thijssen@edumundo.com")</f>
        <v/>
      </c>
      <c r="J1174" s="1">
        <f>IFERROR(__xludf.DUMMYFUNCTION("""COMPUTED_VALUE"""),"070-3600510")</f>
        <v/>
      </c>
      <c r="K1174" s="1">
        <f>IFERROR(__xludf.DUMMYFUNCTION("""COMPUTED_VALUE"""),"Den Haag")</f>
        <v/>
      </c>
      <c r="L1174" s="1">
        <f>IFERROR(__xludf.DUMMYFUNCTION("""COMPUTED_VALUE"""),"The Netherlands")</f>
        <v/>
      </c>
      <c r="M1174" s="1">
        <f>IFERROR(__xludf.DUMMYFUNCTION("""COMPUTED_VALUE"""),"Belgium, France, Germany, Luxembourg, Netherlands, Norway, Spain, Switzerland, Turkey, United Kingdom")</f>
        <v/>
      </c>
      <c r="N1174" s="1">
        <f>IFERROR(__xludf.DUMMYFUNCTION("""COMPUTED_VALUE"""),"11 to 50")</f>
        <v/>
      </c>
      <c r="O1174" s="1">
        <f>IFERROR(__xludf.DUMMYFUNCTION("""COMPUTED_VALUE"""),"Business to Business, Business to Consumer, Business to Government")</f>
        <v/>
      </c>
      <c r="P1174" s="1">
        <f>IFERROR(__xludf.DUMMYFUNCTION("""COMPUTED_VALUE"""),"Higher Education")</f>
        <v/>
      </c>
      <c r="Q1174" s="1">
        <f>IFERROR(__xludf.DUMMYFUNCTION("""COMPUTED_VALUE"""),"Teacher interfacing, System/Administrative")</f>
        <v/>
      </c>
      <c r="R1174" s="1" t="n"/>
      <c r="S1174" s="1" t="n"/>
      <c r="T1174" s="1" t="n"/>
      <c r="U1174" s="1" t="n"/>
      <c r="V1174" s="1" t="n"/>
      <c r="W1174" s="1" t="n"/>
      <c r="X1174" s="1" t="n"/>
      <c r="Y1174" s="15">
        <f>IFERROR(__xludf.DUMMYFUNCTION("""COMPUTED_VALUE"""),"https://drive.google.com/uc?export=view&amp;id=1_6JWyTz8R897Uo0FOjgZGG1X_jgpfLiY")</f>
        <v/>
      </c>
      <c r="Z1174" s="1">
        <f>IFERROR(__xludf.DUMMYFUNCTION("""COMPUTED_VALUE"""),"Unverified")</f>
        <v/>
      </c>
      <c r="AA1174" s="1" t="n"/>
      <c r="AB1174" s="1" t="n"/>
      <c r="AC1174" s="1" t="n"/>
      <c r="AD1174" s="1" t="n"/>
      <c r="AE1174" s="1" t="n"/>
    </row>
    <row r="1175" ht="42" customHeight="1">
      <c r="A1175" s="14">
        <f>IFERROR(__xludf.DUMMYFUNCTION("""COMPUTED_VALUE"""),45181)</f>
        <v/>
      </c>
      <c r="B1175" s="1">
        <f>IFERROR(__xludf.DUMMYFUNCTION("""COMPUTED_VALUE"""),"ORG_1530")</f>
        <v/>
      </c>
      <c r="C1175" s="1">
        <f>IFERROR(__xludf.DUMMYFUNCTION("""COMPUTED_VALUE"""),TRUE)</f>
        <v/>
      </c>
      <c r="D1175" s="1">
        <f>IFERROR(__xludf.DUMMYFUNCTION("""COMPUTED_VALUE"""),"Evolutiel")</f>
        <v/>
      </c>
      <c r="E1175" s="15">
        <f>IFERROR(__xludf.DUMMYFUNCTION("""COMPUTED_VALUE"""),"www.evolutiel.com")</f>
        <v/>
      </c>
      <c r="F1175" s="1">
        <f>IFERROR(__xludf.DUMMYFUNCTION("""COMPUTED_VALUE"""),"A platform with applications for analyzing skills and training, for HR and recruiter
It use business case and serious gaming")</f>
        <v/>
      </c>
      <c r="G1175" s="1">
        <f>IFERROR(__xludf.DUMMYFUNCTION("""COMPUTED_VALUE"""),"I'm not part of any EdTech association")</f>
        <v/>
      </c>
      <c r="H1175" s="1" t="n"/>
      <c r="I1175" s="1">
        <f>IFERROR(__xludf.DUMMYFUNCTION("""COMPUTED_VALUE"""),"contact@evolutiel.com")</f>
        <v/>
      </c>
      <c r="J1175" s="1">
        <f>IFERROR(__xludf.DUMMYFUNCTION("""COMPUTED_VALUE"""),"+33670311419")</f>
        <v/>
      </c>
      <c r="K1175" s="1">
        <f>IFERROR(__xludf.DUMMYFUNCTION("""COMPUTED_VALUE"""),"LYON")</f>
        <v/>
      </c>
      <c r="L1175" s="1">
        <f>IFERROR(__xludf.DUMMYFUNCTION("""COMPUTED_VALUE"""),"France")</f>
        <v/>
      </c>
      <c r="M1175" s="1">
        <f>IFERROR(__xludf.DUMMYFUNCTION("""COMPUTED_VALUE"""),"France")</f>
        <v/>
      </c>
      <c r="N1175" s="1">
        <f>IFERROR(__xludf.DUMMYFUNCTION("""COMPUTED_VALUE"""),"0 to 10")</f>
        <v/>
      </c>
      <c r="O1175" s="1">
        <f>IFERROR(__xludf.DUMMYFUNCTION("""COMPUTED_VALUE"""),"Business to Business, Business to Consumer, Business to Schools")</f>
        <v/>
      </c>
      <c r="P1175" s="1">
        <f>IFERROR(__xludf.DUMMYFUNCTION("""COMPUTED_VALUE"""),"Primary Education, Secondary Education, Higher Education, Corporate Training, Lifelong learning/Adult education")</f>
        <v/>
      </c>
      <c r="Q1175" s="1">
        <f>IFERROR(__xludf.DUMMYFUNCTION("""COMPUTED_VALUE"""),"Teacher interfacing, Student interfacing, System/Administrative")</f>
        <v/>
      </c>
      <c r="R1175" s="1" t="n"/>
      <c r="S1175" s="1" t="n"/>
      <c r="T1175" s="1" t="n"/>
      <c r="U1175" s="1" t="n"/>
      <c r="V1175" s="1" t="n"/>
      <c r="W1175" s="1" t="n"/>
      <c r="X1175" s="1" t="n"/>
      <c r="Y1175" s="15">
        <f>IFERROR(__xludf.DUMMYFUNCTION("""COMPUTED_VALUE"""),"https://drive.google.com/uc?export=view&amp;id=1h7QWrA0dCXYIurTvpeD5ViaF6R_-9k8A")</f>
        <v/>
      </c>
      <c r="Z1175" s="1">
        <f>IFERROR(__xludf.DUMMYFUNCTION("""COMPUTED_VALUE"""),"Unverified")</f>
        <v/>
      </c>
      <c r="AA1175" s="1" t="n"/>
      <c r="AB1175" s="1" t="n"/>
      <c r="AC1175" s="1" t="n"/>
      <c r="AD1175" s="1" t="n"/>
      <c r="AE1175" s="1" t="n"/>
    </row>
    <row r="1176" ht="42" customHeight="1">
      <c r="A1176" s="14">
        <f>IFERROR(__xludf.DUMMYFUNCTION("""COMPUTED_VALUE"""),45181)</f>
        <v/>
      </c>
      <c r="B1176" s="1">
        <f>IFERROR(__xludf.DUMMYFUNCTION("""COMPUTED_VALUE"""),"ORG_1633")</f>
        <v/>
      </c>
      <c r="C1176" s="1">
        <f>IFERROR(__xludf.DUMMYFUNCTION("""COMPUTED_VALUE"""),TRUE)</f>
        <v/>
      </c>
      <c r="D1176" s="1">
        <f>IFERROR(__xludf.DUMMYFUNCTION("""COMPUTED_VALUE"""),"GoLearn")</f>
        <v/>
      </c>
      <c r="E1176" s="15">
        <f>IFERROR(__xludf.DUMMYFUNCTION("""COMPUTED_VALUE"""),"www.golearn.dk")</f>
        <v/>
      </c>
      <c r="F1176" s="1">
        <f>IFERROR(__xludf.DUMMYFUNCTION("""COMPUTED_VALUE"""),"We provide state of the art subscription based E-learning for the commercial sector - Netflix for Companies.
The company was founded four years ago and currently have 155.000 users and experiences rapid growth.")</f>
        <v/>
      </c>
      <c r="G1176" s="1">
        <f>IFERROR(__xludf.DUMMYFUNCTION("""COMPUTED_VALUE"""),"I'm not part of any EdTech association")</f>
        <v/>
      </c>
      <c r="H1176" s="1" t="n"/>
      <c r="I1176" s="1">
        <f>IFERROR(__xludf.DUMMYFUNCTION("""COMPUTED_VALUE"""),"kontakt@golearn.dk")</f>
        <v/>
      </c>
      <c r="J1176" s="1">
        <f>IFERROR(__xludf.DUMMYFUNCTION("""COMPUTED_VALUE"""),"+45 70 605 558")</f>
        <v/>
      </c>
      <c r="K1176" s="1">
        <f>IFERROR(__xludf.DUMMYFUNCTION("""COMPUTED_VALUE"""),"BALLERUP")</f>
        <v/>
      </c>
      <c r="L1176" s="1">
        <f>IFERROR(__xludf.DUMMYFUNCTION("""COMPUTED_VALUE"""),"Denmark")</f>
        <v/>
      </c>
      <c r="M1176" s="1">
        <f>IFERROR(__xludf.DUMMYFUNCTION("""COMPUTED_VALUE"""),"Denmark")</f>
        <v/>
      </c>
      <c r="N1176" s="1">
        <f>IFERROR(__xludf.DUMMYFUNCTION("""COMPUTED_VALUE"""),"11 to 50")</f>
        <v/>
      </c>
      <c r="O1176" s="1">
        <f>IFERROR(__xludf.DUMMYFUNCTION("""COMPUTED_VALUE"""),"Business to Business, Business to Consumer, Business to Schools")</f>
        <v/>
      </c>
      <c r="P1176" s="1">
        <f>IFERROR(__xludf.DUMMYFUNCTION("""COMPUTED_VALUE"""),"Corporate Training")</f>
        <v/>
      </c>
      <c r="Q1176" s="1">
        <f>IFERROR(__xludf.DUMMYFUNCTION("""COMPUTED_VALUE"""),"Student interfacing, System/Administrative")</f>
        <v/>
      </c>
      <c r="R1176" s="1" t="n"/>
      <c r="S1176" s="1" t="n"/>
      <c r="T1176" s="1" t="n"/>
      <c r="U1176" s="1" t="n"/>
      <c r="V1176" s="1" t="n"/>
      <c r="W1176" s="1" t="n"/>
      <c r="X1176" s="1" t="n"/>
      <c r="Y1176" s="15">
        <f>IFERROR(__xludf.DUMMYFUNCTION("""COMPUTED_VALUE"""),"https://drive.google.com/uc?export=view&amp;id=1cyhB5pk1v9YEuEI-IKFPFWyNGDfTmH4L")</f>
        <v/>
      </c>
      <c r="Z1176" s="1">
        <f>IFERROR(__xludf.DUMMYFUNCTION("""COMPUTED_VALUE"""),"Unverified")</f>
        <v/>
      </c>
      <c r="AA1176" s="1" t="n"/>
      <c r="AB1176" s="1" t="n"/>
      <c r="AC1176" s="1" t="n"/>
      <c r="AD1176" s="1" t="n"/>
      <c r="AE1176" s="1" t="n"/>
    </row>
    <row r="1177" ht="42" customHeight="1">
      <c r="A1177" s="14">
        <f>IFERROR(__xludf.DUMMYFUNCTION("""COMPUTED_VALUE"""),45181)</f>
        <v/>
      </c>
      <c r="B1177" s="1">
        <f>IFERROR(__xludf.DUMMYFUNCTION("""COMPUTED_VALUE"""),"ORG_1686")</f>
        <v/>
      </c>
      <c r="C1177" s="1">
        <f>IFERROR(__xludf.DUMMYFUNCTION("""COMPUTED_VALUE"""),TRUE)</f>
        <v/>
      </c>
      <c r="D1177" s="1">
        <f>IFERROR(__xludf.DUMMYFUNCTION("""COMPUTED_VALUE"""),"Howdou")</f>
        <v/>
      </c>
      <c r="E1177" s="15">
        <f>IFERROR(__xludf.DUMMYFUNCTION("""COMPUTED_VALUE"""),"howdou.net")</f>
        <v/>
      </c>
      <c r="F1177" s="1">
        <f>IFERROR(__xludf.DUMMYFUNCTION("""COMPUTED_VALUE"""),"We believe that hands-on learning is far more efficient than videos, and definitely more fun and engaging.
That's why we created Howdou.
A new way of learning and assessing software based skills.
Practical scenario based workflows for learning or assess"&amp;"ing digital skills.
- Forget videos, howtos and assessment questions
- Work Hands-on in the system, and get personalised feedback and guidance
- AI driven objects to make the learning more effective
- Rapid, engaging, innovative and a guaranteed behaviour"&amp;" change")</f>
        <v/>
      </c>
      <c r="G1177" s="1">
        <f>IFERROR(__xludf.DUMMYFUNCTION("""COMPUTED_VALUE"""),"Swedish EdTech Industry")</f>
        <v/>
      </c>
      <c r="H1177" s="1" t="n"/>
      <c r="I1177" s="1">
        <f>IFERROR(__xludf.DUMMYFUNCTION("""COMPUTED_VALUE"""),"info@howdou.net")</f>
        <v/>
      </c>
      <c r="J1177" s="1" t="n"/>
      <c r="K1177" s="1">
        <f>IFERROR(__xludf.DUMMYFUNCTION("""COMPUTED_VALUE"""),"STOCKHOLM")</f>
        <v/>
      </c>
      <c r="L1177" s="1">
        <f>IFERROR(__xludf.DUMMYFUNCTION("""COMPUTED_VALUE"""),"Sweden")</f>
        <v/>
      </c>
      <c r="M1177" s="1">
        <f>IFERROR(__xludf.DUMMYFUNCTION("""COMPUTED_VALUE"""),"Belgium, Denmark, Finland, France, Germany, Greece, Norway, Portugal, Spain, Sweden, United Kingdom")</f>
        <v/>
      </c>
      <c r="N1177" s="1">
        <f>IFERROR(__xludf.DUMMYFUNCTION("""COMPUTED_VALUE"""),"0 to 10")</f>
        <v/>
      </c>
      <c r="O1177" s="1">
        <f>IFERROR(__xludf.DUMMYFUNCTION("""COMPUTED_VALUE"""),"Business to Business, Business to Consumer, Business to Schools")</f>
        <v/>
      </c>
      <c r="P1177" s="1">
        <f>IFERROR(__xludf.DUMMYFUNCTION("""COMPUTED_VALUE"""),"Primary Education, Secondary Education, Higher Education, Corporate Training")</f>
        <v/>
      </c>
      <c r="Q1177" s="1">
        <f>IFERROR(__xludf.DUMMYFUNCTION("""COMPUTED_VALUE"""),"Student interfacing, Teacher interfacing, System/Administrative")</f>
        <v/>
      </c>
      <c r="R1177" s="1" t="n"/>
      <c r="S1177" s="1">
        <f>IFERROR(__xludf.DUMMYFUNCTION("""COMPUTED_VALUE"""),"@howdounet")</f>
        <v/>
      </c>
      <c r="T1177" s="15">
        <f>IFERROR(__xludf.DUMMYFUNCTION("""COMPUTED_VALUE"""),"https://www.linkedin.com/company/evalve/")</f>
        <v/>
      </c>
      <c r="U1177" s="1">
        <f>IFERROR(__xludf.DUMMYFUNCTION("""COMPUTED_VALUE"""),"Howdou")</f>
        <v/>
      </c>
      <c r="V1177" s="1">
        <f>IFERROR(__xludf.DUMMYFUNCTION("""COMPUTED_VALUE"""),"We believe that hands-on learning is far more efficient than videos, and definitely more fun and engaging.
That's why we created Howdou.
A new way of learning and assessing software based skills.
Practical scenario based workflows for learning or assess"&amp;"ing digital skills
- Forget videos, howtos and assessment questions
- Work Hands-on in the system, and get personalised feedback and guidance
- AI driven objects to make the learning more effective
- Rapid, engaging, innovative and a guaranteed behaviour "&amp;"change")</f>
        <v/>
      </c>
      <c r="W1177" s="1">
        <f>IFERROR(__xludf.DUMMYFUNCTION("""COMPUTED_VALUE"""),"Workspace Skills")</f>
        <v/>
      </c>
      <c r="X1177" s="1">
        <f>IFERROR(__xludf.DUMMYFUNCTION("""COMPUTED_VALUE"""),"Self-paced Student Certification for Google Workspace
Workspace Skills is a series of interactive tutorials that help students and teachers make the most from Google Workspace for Education")</f>
        <v/>
      </c>
      <c r="Y1177" s="15">
        <f>IFERROR(__xludf.DUMMYFUNCTION("""COMPUTED_VALUE"""),"https://drive.google.com/uc?export=view&amp;id=1Fdo-da9NJNiDtDsNWYwwb2D_0_qirjCC")</f>
        <v/>
      </c>
      <c r="Z1177" s="1">
        <f>IFERROR(__xludf.DUMMYFUNCTION("""COMPUTED_VALUE"""),"Unverified")</f>
        <v/>
      </c>
      <c r="AA1177" s="1" t="n"/>
      <c r="AB1177" s="1" t="n"/>
      <c r="AC1177" s="1" t="n"/>
      <c r="AD1177" s="1" t="n"/>
      <c r="AE1177" s="1" t="n"/>
    </row>
    <row r="1178" ht="42" customHeight="1">
      <c r="A1178" s="14">
        <f>IFERROR(__xludf.DUMMYFUNCTION("""COMPUTED_VALUE"""),45181)</f>
        <v/>
      </c>
      <c r="B1178" s="1">
        <f>IFERROR(__xludf.DUMMYFUNCTION("""COMPUTED_VALUE"""),"ORG_1743")</f>
        <v/>
      </c>
      <c r="C1178" s="1">
        <f>IFERROR(__xludf.DUMMYFUNCTION("""COMPUTED_VALUE"""),TRUE)</f>
        <v/>
      </c>
      <c r="D1178" s="1">
        <f>IFERROR(__xludf.DUMMYFUNCTION("""COMPUTED_VALUE"""),"IST Group")</f>
        <v/>
      </c>
      <c r="E1178" s="15">
        <f>IFERROR(__xludf.DUMMYFUNCTION("""COMPUTED_VALUE"""),"www.ist.com")</f>
        <v/>
      </c>
      <c r="F1178" s="1">
        <f>IFERROR(__xludf.DUMMYFUNCTION("""COMPUTED_VALUE"""),"Simple and smart functionality developed for the future of learning.
When you are in the business of learning you need great tools to achieve great things. We make sure you get them. With digital solutions for administration, learning and scheduling, we "&amp;"make everyday life easier for students, parents, teachers and managers. Every day our solutions make a difference for millions of people. 
We build the future of EdTech!")</f>
        <v/>
      </c>
      <c r="G1178" s="1" t="n"/>
      <c r="H1178" s="1" t="n"/>
      <c r="I1178" s="1">
        <f>IFERROR(__xludf.DUMMYFUNCTION("""COMPUTED_VALUE"""),"info.se@ist.com")</f>
        <v/>
      </c>
      <c r="J1178" s="1">
        <f>IFERROR(__xludf.DUMMYFUNCTION("""COMPUTED_VALUE"""),"+46 470 70 71 00")</f>
        <v/>
      </c>
      <c r="K1178" s="1">
        <f>IFERROR(__xludf.DUMMYFUNCTION("""COMPUTED_VALUE"""),"Växjö")</f>
        <v/>
      </c>
      <c r="L1178" s="1">
        <f>IFERROR(__xludf.DUMMYFUNCTION("""COMPUTED_VALUE"""),"Sweden")</f>
        <v/>
      </c>
      <c r="M1178" s="1">
        <f>IFERROR(__xludf.DUMMYFUNCTION("""COMPUTED_VALUE"""),"Denmark, Germany, Norway, Sweden")</f>
        <v/>
      </c>
      <c r="N1178" s="1">
        <f>IFERROR(__xludf.DUMMYFUNCTION("""COMPUTED_VALUE"""),"100+")</f>
        <v/>
      </c>
      <c r="O1178" s="1">
        <f>IFERROR(__xludf.DUMMYFUNCTION("""COMPUTED_VALUE"""),"Business to Business, Business to Consumer, Business to Schools")</f>
        <v/>
      </c>
      <c r="P1178" s="1">
        <f>IFERROR(__xludf.DUMMYFUNCTION("""COMPUTED_VALUE"""),"Early childhood development (0-5 years), Primary Education, Secondary Education, Higher Education")</f>
        <v/>
      </c>
      <c r="Q1178" s="1">
        <f>IFERROR(__xludf.DUMMYFUNCTION("""COMPUTED_VALUE"""),"System/Administrative, Teacher interfacing, Student interfacing")</f>
        <v/>
      </c>
      <c r="R1178" s="1" t="n"/>
      <c r="S1178" s="1" t="n"/>
      <c r="T1178" s="15">
        <f>IFERROR(__xludf.DUMMYFUNCTION("""COMPUTED_VALUE"""),"https://www.linkedin.com/company/ist-sverige-ab/")</f>
        <v/>
      </c>
      <c r="U1178" s="1">
        <f>IFERROR(__xludf.DUMMYFUNCTION("""COMPUTED_VALUE"""),"IST Administration")</f>
        <v/>
      </c>
      <c r="V1178" s="1">
        <f>IFERROR(__xludf.DUMMYFUNCTION("""COMPUTED_VALUE"""),"IST Administration is a cloud-based system that provides a wide range of smart and efficient tools for school administration on all levels. The system is user friendly, role-based and offers support through all processes – from annual planning to daily ad"&amp;"ministrative tasks. Automated routines provide quicker and safer handling of tasks. By registering data centrally and distributing it for local use, you’ll get a secured handling and a higher quality of data.
IST Administration is developed both for chil"&amp;"dcare and for school administration.")</f>
        <v/>
      </c>
      <c r="W1178" s="1">
        <f>IFERROR(__xludf.DUMMYFUNCTION("""COMPUTED_VALUE"""),"IST Forms")</f>
        <v/>
      </c>
      <c r="X1178" s="1">
        <f>IFERROR(__xludf.DUMMYFUNCTION("""COMPUTED_VALUE"""),"The time for unnecessary paper slips is over! Parents can now easily fill out their consents digitally. The administrator gets a simple overview and can share the information securely with the right people. It is easy to create different questionnaires an"&amp;"d distribute them digitally to parents. Parents can easily and securely identify themselves with SchoolID to handle consents regarding their children and the administrator gets an easy overview of all consents and can sort them, for example, based on clas"&amp;"s groups.")</f>
        <v/>
      </c>
      <c r="Y1178" s="15">
        <f>IFERROR(__xludf.DUMMYFUNCTION("""COMPUTED_VALUE"""),"https://drive.google.com/uc?export=view&amp;id=1k2TYA4Q6roUCv7_UjExGyhoYLs24gVI1")</f>
        <v/>
      </c>
      <c r="Z1178" s="1">
        <f>IFERROR(__xludf.DUMMYFUNCTION("""COMPUTED_VALUE"""),"Unverified")</f>
        <v/>
      </c>
      <c r="AA1178" s="1" t="n"/>
      <c r="AB1178" s="1" t="n"/>
      <c r="AC1178" s="1" t="n"/>
      <c r="AD1178" s="1" t="n"/>
      <c r="AE1178" s="1" t="n"/>
    </row>
    <row r="1179" ht="42" customHeight="1">
      <c r="A1179" s="14">
        <f>IFERROR(__xludf.DUMMYFUNCTION("""COMPUTED_VALUE"""),45181)</f>
        <v/>
      </c>
      <c r="B1179" s="1">
        <f>IFERROR(__xludf.DUMMYFUNCTION("""COMPUTED_VALUE"""),"ORG_1764")</f>
        <v/>
      </c>
      <c r="C1179" s="1">
        <f>IFERROR(__xludf.DUMMYFUNCTION("""COMPUTED_VALUE"""),TRUE)</f>
        <v/>
      </c>
      <c r="D1179" s="1">
        <f>IFERROR(__xludf.DUMMYFUNCTION("""COMPUTED_VALUE"""),"Kalyzée")</f>
        <v/>
      </c>
      <c r="E1179" s="15">
        <f>IFERROR(__xludf.DUMMYFUNCTION("""COMPUTED_VALUE"""),"https://www.kalyzee.com/en/")</f>
        <v/>
      </c>
      <c r="F1179" s="1">
        <f>IFERROR(__xludf.DUMMYFUNCTION("""COMPUTED_VALUE"""),"Kalyzée is specialising in autonomous audiovisual solutions, with a lecture capture camera. Founded in 2014 by three passionate people, Kalyzée revolutionizes E-learning by offering an all-in-one and user-friendly camera, allowing to record and broadcast "&amp;"courses, tutorials and MOOCs.")</f>
        <v/>
      </c>
      <c r="G1179" s="1">
        <f>IFERROR(__xludf.DUMMYFUNCTION("""COMPUTED_VALUE"""),"EdTech France")</f>
        <v/>
      </c>
      <c r="H1179" s="1" t="n"/>
      <c r="I1179" s="1">
        <f>IFERROR(__xludf.DUMMYFUNCTION("""COMPUTED_VALUE"""),"contact@kalyzee.com")</f>
        <v/>
      </c>
      <c r="J1179" s="1">
        <f>IFERROR(__xludf.DUMMYFUNCTION("""COMPUTED_VALUE"""),"+33 4 84 25 85 57")</f>
        <v/>
      </c>
      <c r="K1179" s="1">
        <f>IFERROR(__xludf.DUMMYFUNCTION("""COMPUTED_VALUE"""),"MARSEILLE")</f>
        <v/>
      </c>
      <c r="L1179" s="1">
        <f>IFERROR(__xludf.DUMMYFUNCTION("""COMPUTED_VALUE"""),"France")</f>
        <v/>
      </c>
      <c r="M1179" s="1">
        <f>IFERROR(__xludf.DUMMYFUNCTION("""COMPUTED_VALUE"""),"France, Germany, Luxembourg, Spain, United Kingdom")</f>
        <v/>
      </c>
      <c r="N1179" s="1">
        <f>IFERROR(__xludf.DUMMYFUNCTION("""COMPUTED_VALUE"""),"11 to 50")</f>
        <v/>
      </c>
      <c r="O1179" s="1">
        <f>IFERROR(__xludf.DUMMYFUNCTION("""COMPUTED_VALUE"""),"Business to Business, Business to Government, Business to Schools")</f>
        <v/>
      </c>
      <c r="P1179" s="1">
        <f>IFERROR(__xludf.DUMMYFUNCTION("""COMPUTED_VALUE"""),"Primary Education, Secondary Education, Higher Education, Corporate Training, Lifelong learning/Adult education")</f>
        <v/>
      </c>
      <c r="Q1179" s="1">
        <f>IFERROR(__xludf.DUMMYFUNCTION("""COMPUTED_VALUE"""),"Teacher interfacing, System/Administrative")</f>
        <v/>
      </c>
      <c r="R1179" s="1" t="n"/>
      <c r="S1179" s="15">
        <f>IFERROR(__xludf.DUMMYFUNCTION("""COMPUTED_VALUE"""),"https://twitter.com/Kalyzee")</f>
        <v/>
      </c>
      <c r="T1179" s="15">
        <f>IFERROR(__xludf.DUMMYFUNCTION("""COMPUTED_VALUE"""),"https://www.linkedin.com/company/kalyz-e")</f>
        <v/>
      </c>
      <c r="U1179" s="1">
        <f>IFERROR(__xludf.DUMMYFUNCTION("""COMPUTED_VALUE"""),"Kast Revolt")</f>
        <v/>
      </c>
      <c r="V1179" s="1">
        <f>IFERROR(__xludf.DUMMYFUNCTION("""COMPUTED_VALUE"""),"The Kast camera is an intelligent, intuitive, and easy-to-use camera that allows teachers to broadcast their lessons via video while integrating their presentation support. Remotely controlled via an application or a web interface, it is the first camera "&amp;"that has an entire software system embedded directly within the camera.")</f>
        <v/>
      </c>
      <c r="W1179" s="1">
        <f>IFERROR(__xludf.DUMMYFUNCTION("""COMPUTED_VALUE"""),"Kapture")</f>
        <v/>
      </c>
      <c r="X1179" s="1">
        <f>IFERROR(__xludf.DUMMYFUNCTION("""COMPUTED_VALUE"""),"Kapture is a platform that allows teachers to broadcast, stream and record their content live to learners while keeping interaction at the utmost importance.")</f>
        <v/>
      </c>
      <c r="Y1179" s="15">
        <f>IFERROR(__xludf.DUMMYFUNCTION("""COMPUTED_VALUE"""),"https://drive.google.com/uc?export=view&amp;id=1B0Hi93eIeepsnwKKq_10us1Gsf78lf7W")</f>
        <v/>
      </c>
      <c r="Z1179" s="1">
        <f>IFERROR(__xludf.DUMMYFUNCTION("""COMPUTED_VALUE"""),"Unverified")</f>
        <v/>
      </c>
      <c r="AA1179" s="1" t="n"/>
      <c r="AB1179" s="1" t="n"/>
      <c r="AC1179" s="1" t="n"/>
      <c r="AD1179" s="1" t="n"/>
      <c r="AE1179" s="1" t="n"/>
    </row>
    <row r="1180" ht="42" customHeight="1">
      <c r="A1180" s="14">
        <f>IFERROR(__xludf.DUMMYFUNCTION("""COMPUTED_VALUE"""),45181)</f>
        <v/>
      </c>
      <c r="B1180" s="1">
        <f>IFERROR(__xludf.DUMMYFUNCTION("""COMPUTED_VALUE"""),"ORG_1793")</f>
        <v/>
      </c>
      <c r="C1180" s="1">
        <f>IFERROR(__xludf.DUMMYFUNCTION("""COMPUTED_VALUE"""),TRUE)</f>
        <v/>
      </c>
      <c r="D1180" s="1">
        <f>IFERROR(__xludf.DUMMYFUNCTION("""COMPUTED_VALUE"""),"KUMULLUS")</f>
        <v/>
      </c>
      <c r="E1180" s="15">
        <f>IFERROR(__xludf.DUMMYFUNCTION("""COMPUTED_VALUE"""),"www.kumullus.com")</f>
        <v/>
      </c>
      <c r="F1180" s="1">
        <f>IFERROR(__xludf.DUMMYFUNCTION("""COMPUTED_VALUE"""),"Kumullus is a French edtech start-up that provide an Interactive Video Learning solution.
The K.Air authoring tool, launched in 2018, permit to create and deploy a new generation of learning modules to engage employees and networks on all LMS and Web pla"&amp;"tforms on the market.
95% of their learners approve this learning experience and engagement rates are multiplied by 4 compared to traditional e-learning.
The solution is already used by more than 200 key account customers in all sectors. On our tool, no"&amp;" less than 1,500 designers created more than 22,000 modules in 2021.")</f>
        <v/>
      </c>
      <c r="G1180" s="1">
        <f>IFERROR(__xludf.DUMMYFUNCTION("""COMPUTED_VALUE"""),"EdTech France")</f>
        <v/>
      </c>
      <c r="H1180" s="1" t="n"/>
      <c r="I1180" s="1">
        <f>IFERROR(__xludf.DUMMYFUNCTION("""COMPUTED_VALUE"""),"contact@kumullus.com")</f>
        <v/>
      </c>
      <c r="J1180" s="1" t="n"/>
      <c r="K1180" s="1">
        <f>IFERROR(__xludf.DUMMYFUNCTION("""COMPUTED_VALUE"""),"Rueil-Malmaison")</f>
        <v/>
      </c>
      <c r="L1180" s="1">
        <f>IFERROR(__xludf.DUMMYFUNCTION("""COMPUTED_VALUE"""),"France")</f>
        <v/>
      </c>
      <c r="M1180" s="1">
        <f>IFERROR(__xludf.DUMMYFUNCTION("""COMPUTED_VALUE"""),"France, Luxembourg, Spain, United Kingdom")</f>
        <v/>
      </c>
      <c r="N1180" s="1">
        <f>IFERROR(__xludf.DUMMYFUNCTION("""COMPUTED_VALUE"""),"11 to 50")</f>
        <v/>
      </c>
      <c r="O1180" s="1">
        <f>IFERROR(__xludf.DUMMYFUNCTION("""COMPUTED_VALUE"""),"Business to Business, Business to Government, Business to Schools")</f>
        <v/>
      </c>
      <c r="P1180" s="1">
        <f>IFERROR(__xludf.DUMMYFUNCTION("""COMPUTED_VALUE"""),"Higher Education, Corporate Training")</f>
        <v/>
      </c>
      <c r="Q1180" s="1">
        <f>IFERROR(__xludf.DUMMYFUNCTION("""COMPUTED_VALUE"""),"Teacher interfacing, Student interfacing, System/Administrative")</f>
        <v/>
      </c>
      <c r="R1180" s="1" t="n"/>
      <c r="S1180" s="1" t="n"/>
      <c r="T1180" s="1" t="n"/>
      <c r="U1180" s="1" t="n"/>
      <c r="V1180" s="1" t="n"/>
      <c r="W1180" s="1" t="n"/>
      <c r="X1180" s="1" t="n"/>
      <c r="Y1180" s="15">
        <f>IFERROR(__xludf.DUMMYFUNCTION("""COMPUTED_VALUE"""),"https://drive.google.com/uc?export=view&amp;id=1U-EDrwZld5aZcySe-kRXjQmXTy9b9F3s")</f>
        <v/>
      </c>
      <c r="Z1180" s="1">
        <f>IFERROR(__xludf.DUMMYFUNCTION("""COMPUTED_VALUE"""),"Unverified")</f>
        <v/>
      </c>
      <c r="AA1180" s="1" t="n"/>
      <c r="AB1180" s="1" t="n"/>
      <c r="AC1180" s="1" t="n"/>
      <c r="AD1180" s="1" t="n"/>
      <c r="AE1180" s="1" t="n"/>
    </row>
    <row r="1181" ht="42" customHeight="1">
      <c r="A1181" s="14">
        <f>IFERROR(__xludf.DUMMYFUNCTION("""COMPUTED_VALUE"""),45181)</f>
        <v/>
      </c>
      <c r="B1181" s="1">
        <f>IFERROR(__xludf.DUMMYFUNCTION("""COMPUTED_VALUE"""),"ORG_1811")</f>
        <v/>
      </c>
      <c r="C1181" s="1">
        <f>IFERROR(__xludf.DUMMYFUNCTION("""COMPUTED_VALUE"""),TRUE)</f>
        <v/>
      </c>
      <c r="D1181" s="1">
        <f>IFERROR(__xludf.DUMMYFUNCTION("""COMPUTED_VALUE"""),"Language Clubhouse")</f>
        <v/>
      </c>
      <c r="E1181" s="15">
        <f>IFERROR(__xludf.DUMMYFUNCTION("""COMPUTED_VALUE"""),"https://language-clubhouse.com/")</f>
        <v/>
      </c>
      <c r="F1181" s="1">
        <f>IFERROR(__xludf.DUMMYFUNCTION("""COMPUTED_VALUE"""),"Language Clubhouse is a solution for young learners to learn English as a second language, interact with peers, and gain international exposure no matter their background or where they live. Our product is an online yearly program with thematic courses wi"&amp;"th topic lessons full of teaching and learning materials to facilitate playful, creative and interactive lessons. Our service is weekly online live English lessons for kindergarten groups at school, and for children in their homes.")</f>
        <v/>
      </c>
      <c r="G1181" s="1">
        <f>IFERROR(__xludf.DUMMYFUNCTION("""COMPUTED_VALUE"""),"EdTech Finland")</f>
        <v/>
      </c>
      <c r="H1181" s="1" t="n"/>
      <c r="I1181" s="1">
        <f>IFERROR(__xludf.DUMMYFUNCTION("""COMPUTED_VALUE"""),"becky@language-clubhouse.com")</f>
        <v/>
      </c>
      <c r="J1181" s="1">
        <f>IFERROR(__xludf.DUMMYFUNCTION("""COMPUTED_VALUE"""),"+358409114110")</f>
        <v/>
      </c>
      <c r="K1181" s="1">
        <f>IFERROR(__xludf.DUMMYFUNCTION("""COMPUTED_VALUE"""),"SEINÄJOKI")</f>
        <v/>
      </c>
      <c r="L1181" s="1">
        <f>IFERROR(__xludf.DUMMYFUNCTION("""COMPUTED_VALUE"""),"Finland")</f>
        <v/>
      </c>
      <c r="M1181" s="1">
        <f>IFERROR(__xludf.DUMMYFUNCTION("""COMPUTED_VALUE"""),"Finland")</f>
        <v/>
      </c>
      <c r="N1181" s="1">
        <f>IFERROR(__xludf.DUMMYFUNCTION("""COMPUTED_VALUE"""),"0 to 2")</f>
        <v/>
      </c>
      <c r="O1181" s="1">
        <f>IFERROR(__xludf.DUMMYFUNCTION("""COMPUTED_VALUE"""),"Business to Business, Business to Schools")</f>
        <v/>
      </c>
      <c r="P1181" s="1">
        <f>IFERROR(__xludf.DUMMYFUNCTION("""COMPUTED_VALUE"""),"Early childhood development (0-5 years)")</f>
        <v/>
      </c>
      <c r="Q1181" s="1">
        <f>IFERROR(__xludf.DUMMYFUNCTION("""COMPUTED_VALUE"""),"System/Administrative, Student interfacing, Teacher interfacing")</f>
        <v/>
      </c>
      <c r="R1181" s="15">
        <f>IFERROR(__xludf.DUMMYFUNCTION("""COMPUTED_VALUE"""),"https://www.instagram.com/language_clubhouse/")</f>
        <v/>
      </c>
      <c r="S1181" s="1" t="n"/>
      <c r="T1181" s="15">
        <f>IFERROR(__xludf.DUMMYFUNCTION("""COMPUTED_VALUE"""),"https://www.linkedin.com/company/language-clubhouse/?viewAsMember=true")</f>
        <v/>
      </c>
      <c r="U1181" s="1">
        <f>IFERROR(__xludf.DUMMYFUNCTION("""COMPUTED_VALUE"""),"English as a second language online program for schools.")</f>
        <v/>
      </c>
      <c r="V1181" s="1">
        <f>IFERROR(__xludf.DUMMYFUNCTION("""COMPUTED_VALUE"""),"An online educational yearly program for teachers in daycare, kindergarten and preschool. To help facilitate fun and motivating English as a second language teaching in the classroom. In addition to the online program the early child education centers can"&amp;" participate in weekly online live English classes virtually by Language Clubhouse with other groups of students from around the world.
The program is based on Finnish education principles and innovative pedagogical techniques. Thematic online courses (12"&amp;") and topic lessons (48) that align with the 21st century learning goals. Includes videos, songs, stories, interactive games and quizzes.")</f>
        <v/>
      </c>
      <c r="W1181" s="1">
        <f>IFERROR(__xludf.DUMMYFUNCTION("""COMPUTED_VALUE"""),"English as a second language online program For Households.")</f>
        <v/>
      </c>
      <c r="X1181" s="1">
        <f>IFERROR(__xludf.DUMMYFUNCTION("""COMPUTED_VALUE"""),"A playful online educational program for families with children aged 4-8 years old. It includes online courses and weekly online live English classes.")</f>
        <v/>
      </c>
      <c r="Y1181" s="15">
        <f>IFERROR(__xludf.DUMMYFUNCTION("""COMPUTED_VALUE"""),"https://drive.google.com/uc?export=view&amp;id=17tPygsG-MVINQNzYMvlgjJQcKDCybL7L")</f>
        <v/>
      </c>
      <c r="Z1181" s="1">
        <f>IFERROR(__xludf.DUMMYFUNCTION("""COMPUTED_VALUE"""),"Unverified")</f>
        <v/>
      </c>
      <c r="AA1181" s="1" t="n"/>
      <c r="AB1181" s="1" t="n"/>
      <c r="AC1181" s="1" t="n"/>
      <c r="AD1181" s="1" t="n"/>
      <c r="AE1181" s="1" t="n"/>
    </row>
    <row r="1182" ht="42" customHeight="1">
      <c r="A1182" s="14">
        <f>IFERROR(__xludf.DUMMYFUNCTION("""COMPUTED_VALUE"""),45181)</f>
        <v/>
      </c>
      <c r="B1182" s="1">
        <f>IFERROR(__xludf.DUMMYFUNCTION("""COMPUTED_VALUE"""),"ORG_1860")</f>
        <v/>
      </c>
      <c r="C1182" s="1">
        <f>IFERROR(__xludf.DUMMYFUNCTION("""COMPUTED_VALUE"""),TRUE)</f>
        <v/>
      </c>
      <c r="D1182" s="1">
        <f>IFERROR(__xludf.DUMMYFUNCTION("""COMPUTED_VALUE"""),"Letry")</f>
        <v/>
      </c>
      <c r="E1182" s="15">
        <f>IFERROR(__xludf.DUMMYFUNCTION("""COMPUTED_VALUE"""),"https://www.facebook.com/profile.php?id=100075119155258")</f>
        <v/>
      </c>
      <c r="F1182" s="1">
        <f>IFERROR(__xludf.DUMMYFUNCTION("""COMPUTED_VALUE"""),"Letry is an early-stage startup based in Lithuania. Letry sends personalized letters to kids with real-life content into their physical mailboxes. Letters discuss major issues for the current generation, e.g., emotional intelligence and financial literacy"&amp;". 
We are here to slow things down for kids and recapture attention on important subjects!
Currently, Letry is looking for a CMO co-founder. Got interested? Contact us!")</f>
        <v/>
      </c>
      <c r="G1182" s="1">
        <f>IFERROR(__xludf.DUMMYFUNCTION("""COMPUTED_VALUE"""),"I'm not part of any EdTech association")</f>
        <v/>
      </c>
      <c r="H1182" s="1" t="n"/>
      <c r="I1182" s="1" t="n"/>
      <c r="J1182" s="1" t="n"/>
      <c r="K1182" s="1">
        <f>IFERROR(__xludf.DUMMYFUNCTION("""COMPUTED_VALUE"""),"VILNIUS")</f>
        <v/>
      </c>
      <c r="L1182" s="1">
        <f>IFERROR(__xludf.DUMMYFUNCTION("""COMPUTED_VALUE"""),"Lithuania")</f>
        <v/>
      </c>
      <c r="M1182" s="1">
        <f>IFERROR(__xludf.DUMMYFUNCTION("""COMPUTED_VALUE"""),"Lithuania")</f>
        <v/>
      </c>
      <c r="N1182" s="1">
        <f>IFERROR(__xludf.DUMMYFUNCTION("""COMPUTED_VALUE"""),"0 to 10")</f>
        <v/>
      </c>
      <c r="O1182" s="1">
        <f>IFERROR(__xludf.DUMMYFUNCTION("""COMPUTED_VALUE"""),"Business to Business, Business to Schools")</f>
        <v/>
      </c>
      <c r="P1182" s="1">
        <f>IFERROR(__xludf.DUMMYFUNCTION("""COMPUTED_VALUE"""),"Primary Education")</f>
        <v/>
      </c>
      <c r="Q1182" s="1">
        <f>IFERROR(__xludf.DUMMYFUNCTION("""COMPUTED_VALUE"""),"System/Administrative, Student interfacing")</f>
        <v/>
      </c>
      <c r="R1182" s="1" t="n"/>
      <c r="S1182" s="1" t="n"/>
      <c r="T1182" s="1" t="n"/>
      <c r="U1182" s="1" t="n"/>
      <c r="V1182" s="1" t="n"/>
      <c r="W1182" s="1" t="n"/>
      <c r="X1182" s="1" t="n"/>
      <c r="Y1182" s="15">
        <f>IFERROR(__xludf.DUMMYFUNCTION("""COMPUTED_VALUE"""),"https://drive.google.com/uc?export=view&amp;id=1gYiwJlyjv64UmVy316dVNgGXmJnLuY9S")</f>
        <v/>
      </c>
      <c r="Z1182" s="1">
        <f>IFERROR(__xludf.DUMMYFUNCTION("""COMPUTED_VALUE"""),"Unverified")</f>
        <v/>
      </c>
      <c r="AA1182" s="1" t="n"/>
      <c r="AB1182" s="1" t="n"/>
      <c r="AC1182" s="1" t="n"/>
      <c r="AD1182" s="1" t="n"/>
      <c r="AE1182" s="1" t="n"/>
    </row>
    <row r="1183" ht="42" customHeight="1">
      <c r="A1183" s="14">
        <f>IFERROR(__xludf.DUMMYFUNCTION("""COMPUTED_VALUE"""),45181)</f>
        <v/>
      </c>
      <c r="B1183" s="1">
        <f>IFERROR(__xludf.DUMMYFUNCTION("""COMPUTED_VALUE"""),"ORG_1917")</f>
        <v/>
      </c>
      <c r="C1183" s="1">
        <f>IFERROR(__xludf.DUMMYFUNCTION("""COMPUTED_VALUE"""),TRUE)</f>
        <v/>
      </c>
      <c r="D1183" s="1">
        <f>IFERROR(__xludf.DUMMYFUNCTION("""COMPUTED_VALUE"""),"Marbotic")</f>
        <v/>
      </c>
      <c r="E1183" s="15">
        <f>IFERROR(__xludf.DUMMYFUNCTION("""COMPUTED_VALUE"""),"https://marbotic.com")</f>
        <v/>
      </c>
      <c r="F1183" s="1">
        <f>IFERROR(__xludf.DUMMYFUNCTION("""COMPUTED_VALUE"""),"Marbotic is a multi sensory learning program that helps pre-K kids learn to read and count. 
Our products are both hardware and software and inspired by the Montessori Method. We have developed beautiful wooden letters and numbers that interact with tabl"&amp;"ets via a patented technology. 
Our Marbotic app is deployed on iPads and Android and focuses on early literacy and numeracy. 
Our solution is localised in English, French, German, Dutch, and Swedish. We sell both to parents and educators worldwide and "&amp;"are based in France.")</f>
        <v/>
      </c>
      <c r="G1183" s="1">
        <f>IFERROR(__xludf.DUMMYFUNCTION("""COMPUTED_VALUE"""),"EdTech France")</f>
        <v/>
      </c>
      <c r="H1183" s="1" t="n"/>
      <c r="I1183" s="1">
        <f>IFERROR(__xludf.DUMMYFUNCTION("""COMPUTED_VALUE"""),"contact@marbotic.com")</f>
        <v/>
      </c>
      <c r="J1183" s="1">
        <f>IFERROR(__xludf.DUMMYFUNCTION("""COMPUTED_VALUE"""),"+33 7 66 87 00 02")</f>
        <v/>
      </c>
      <c r="K1183" s="1">
        <f>IFERROR(__xludf.DUMMYFUNCTION("""COMPUTED_VALUE"""),"BEGLES")</f>
        <v/>
      </c>
      <c r="L1183" s="1">
        <f>IFERROR(__xludf.DUMMYFUNCTION("""COMPUTED_VALUE"""),"France")</f>
        <v/>
      </c>
      <c r="M1183" s="1">
        <f>IFERROR(__xludf.DUMMYFUNCTION("""COMPUTED_VALUE"""),"Austria, Belgium, Denmark, Finland, France, Germany, Luxembourg, Netherlands, Norway, Sweden, Switzerland, United Kingdom")</f>
        <v/>
      </c>
      <c r="N1183" s="1">
        <f>IFERROR(__xludf.DUMMYFUNCTION("""COMPUTED_VALUE"""),"11 to 50")</f>
        <v/>
      </c>
      <c r="O1183" s="1">
        <f>IFERROR(__xludf.DUMMYFUNCTION("""COMPUTED_VALUE"""),"Business to Business, Business to Schools")</f>
        <v/>
      </c>
      <c r="P1183" s="1">
        <f>IFERROR(__xludf.DUMMYFUNCTION("""COMPUTED_VALUE"""),"Early childhood development (0-5 years), Primary Education")</f>
        <v/>
      </c>
      <c r="Q1183" s="1">
        <f>IFERROR(__xludf.DUMMYFUNCTION("""COMPUTED_VALUE"""),"System/Administrative, Teacher interfacing")</f>
        <v/>
      </c>
      <c r="R1183" s="15">
        <f>IFERROR(__xludf.DUMMYFUNCTION("""COMPUTED_VALUE"""),"https://www.instagram.com/marbotic/")</f>
        <v/>
      </c>
      <c r="S1183" s="15">
        <f>IFERROR(__xludf.DUMMYFUNCTION("""COMPUTED_VALUE"""),"https://twitter.com/marbotic")</f>
        <v/>
      </c>
      <c r="T1183" s="15">
        <f>IFERROR(__xludf.DUMMYFUNCTION("""COMPUTED_VALUE"""),"https://www.linkedin.com/company/marbotic")</f>
        <v/>
      </c>
      <c r="U1183" s="1">
        <f>IFERROR(__xludf.DUMMYFUNCTION("""COMPUTED_VALUE"""),"Marbotic Sensory Kit")</f>
        <v/>
      </c>
      <c r="V1183" s="1">
        <f>IFERROR(__xludf.DUMMYFUNCTION("""COMPUTED_VALUE"""),"The Marbotic Sensory Kit is an innovative educational tool designed by experts to guide preschoolers on their learning journey through early reading and math skills.
It includes 26 lowercase wooden letters and 10 wooden numbers that interact with Marbotic"&amp;" iPad app. 
Thanks to our Montessori-inspired multisensory approach, we offer hands-on learning to preschoolers and help them learn by doing.")</f>
        <v/>
      </c>
      <c r="W1183" s="1">
        <f>IFERROR(__xludf.DUMMYFUNCTION("""COMPUTED_VALUE"""),"Marbotic Deluxe Learning Kit")</f>
        <v/>
      </c>
      <c r="X1183" s="1">
        <f>IFERROR(__xludf.DUMMYFUNCTION("""COMPUTED_VALUE"""),"The Deluxe Learning Kit includes 26 lowercase wooden letters and 10 wooden numbers that interact with Marbotic iPad app. When your child stamps a letter or a number in Marbotic app, your tablet recognizes it. 
Thanks to our Montessori-inspired multisensor"&amp;"y approach, we offer hands-on learning to preschoolers and help them learn by doing.")</f>
        <v/>
      </c>
      <c r="Y1183" s="15">
        <f>IFERROR(__xludf.DUMMYFUNCTION("""COMPUTED_VALUE"""),"https://drive.google.com/uc?export=view&amp;id=1UlKnqcBY5rAjnfV7bY9JsHDlVtEEU1zX")</f>
        <v/>
      </c>
      <c r="Z1183" s="1">
        <f>IFERROR(__xludf.DUMMYFUNCTION("""COMPUTED_VALUE"""),"Unverified")</f>
        <v/>
      </c>
      <c r="AA1183" s="1" t="n"/>
      <c r="AB1183" s="1" t="n"/>
      <c r="AC1183" s="1" t="n"/>
      <c r="AD1183" s="1" t="n"/>
      <c r="AE1183" s="1" t="n"/>
    </row>
    <row r="1184" ht="42" customHeight="1">
      <c r="A1184" s="14">
        <f>IFERROR(__xludf.DUMMYFUNCTION("""COMPUTED_VALUE"""),45181)</f>
        <v/>
      </c>
      <c r="B1184" s="1">
        <f>IFERROR(__xludf.DUMMYFUNCTION("""COMPUTED_VALUE"""),"ORG_1930")</f>
        <v/>
      </c>
      <c r="C1184" s="1">
        <f>IFERROR(__xludf.DUMMYFUNCTION("""COMPUTED_VALUE"""),TRUE)</f>
        <v/>
      </c>
      <c r="D1184" s="1">
        <f>IFERROR(__xludf.DUMMYFUNCTION("""COMPUTED_VALUE"""),"Mathquizily")</f>
        <v/>
      </c>
      <c r="E1184" s="15">
        <f>IFERROR(__xludf.DUMMYFUNCTION("""COMPUTED_VALUE"""),"https://www.mathquizily.com")</f>
        <v/>
      </c>
      <c r="F1184" s="1">
        <f>IFERROR(__xludf.DUMMYFUNCTION("""COMPUTED_VALUE"""),"Mathquizily is an online learning platform solution for students &amp; schools that offers personalized math tests in all categories, mapping your math skills, math tests with step by step solutions, visualizing student's learning and development (Learning An"&amp;"alytics), generates math tests to pdf, and much more")</f>
        <v/>
      </c>
      <c r="G1184" s="1">
        <f>IFERROR(__xludf.DUMMYFUNCTION("""COMPUTED_VALUE"""),"I'm not part of any EdTech association")</f>
        <v/>
      </c>
      <c r="H1184" s="1" t="n"/>
      <c r="I1184" s="1">
        <f>IFERROR(__xludf.DUMMYFUNCTION("""COMPUTED_VALUE"""),"info@mathquizily.com")</f>
        <v/>
      </c>
      <c r="J1184" s="1">
        <f>IFERROR(__xludf.DUMMYFUNCTION("""COMPUTED_VALUE"""),"+46729023041")</f>
        <v/>
      </c>
      <c r="K1184" s="1">
        <f>IFERROR(__xludf.DUMMYFUNCTION("""COMPUTED_VALUE"""),"Hässleholm")</f>
        <v/>
      </c>
      <c r="L1184" s="1">
        <f>IFERROR(__xludf.DUMMYFUNCTION("""COMPUTED_VALUE"""),"Sweden")</f>
        <v/>
      </c>
      <c r="M1184" s="1">
        <f>IFERROR(__xludf.DUMMYFUNCTION("""COMPUTED_VALUE"""),"Austria, Belgium, Bosnia and Herzegovina, Croatia, Cyprus, Czechia, Denmark, Estonia, Finland, France, Germany, Greece, Hungary, Iceland, Ireland, Italy, Latvia, Liechtenstein, Lithuania, Luxembourg, Malta, Monaco, Montenegro, Netherlands, North Macedonia"&amp;", Norway, Poland, Portugal, Romania, San Marino, Serbia, Slovakia, Slovenia, Spain, Sweden, Switzerland, Turkey, Ukraine, United Kingdom")</f>
        <v/>
      </c>
      <c r="N1184" s="1">
        <f>IFERROR(__xludf.DUMMYFUNCTION("""COMPUTED_VALUE"""),"0 to 10")</f>
        <v/>
      </c>
      <c r="O1184" s="1">
        <f>IFERROR(__xludf.DUMMYFUNCTION("""COMPUTED_VALUE"""),"Business to Business, Business to Schools")</f>
        <v/>
      </c>
      <c r="P1184" s="1">
        <f>IFERROR(__xludf.DUMMYFUNCTION("""COMPUTED_VALUE"""),"Primary Education, Secondary Education")</f>
        <v/>
      </c>
      <c r="Q1184" s="1">
        <f>IFERROR(__xludf.DUMMYFUNCTION("""COMPUTED_VALUE"""),"Student interfacing, Teacher interfacing")</f>
        <v/>
      </c>
      <c r="R1184" s="1" t="n"/>
      <c r="S1184" s="1" t="n"/>
      <c r="T1184" s="1" t="n"/>
      <c r="U1184" s="1" t="n"/>
      <c r="V1184" s="1" t="n"/>
      <c r="W1184" s="1" t="n"/>
      <c r="X1184" s="1" t="n"/>
      <c r="Y1184" s="15">
        <f>IFERROR(__xludf.DUMMYFUNCTION("""COMPUTED_VALUE"""),"https://drive.google.com/uc?export=view&amp;id=1JaM1pBKfA-ru9EnLsTTnFNh-InnHjsLO")</f>
        <v/>
      </c>
      <c r="Z1184" s="1">
        <f>IFERROR(__xludf.DUMMYFUNCTION("""COMPUTED_VALUE"""),"Unverified")</f>
        <v/>
      </c>
      <c r="AA1184" s="1" t="n"/>
      <c r="AB1184" s="1" t="n"/>
      <c r="AC1184" s="1" t="n"/>
      <c r="AD1184" s="1" t="n"/>
      <c r="AE1184" s="1" t="n"/>
    </row>
    <row r="1185" ht="42" customHeight="1">
      <c r="A1185" s="14">
        <f>IFERROR(__xludf.DUMMYFUNCTION("""COMPUTED_VALUE"""),45181)</f>
        <v/>
      </c>
      <c r="B1185" s="1">
        <f>IFERROR(__xludf.DUMMYFUNCTION("""COMPUTED_VALUE"""),"ORG_2001")</f>
        <v/>
      </c>
      <c r="C1185" s="1">
        <f>IFERROR(__xludf.DUMMYFUNCTION("""COMPUTED_VALUE"""),TRUE)</f>
        <v/>
      </c>
      <c r="D1185" s="1">
        <f>IFERROR(__xludf.DUMMYFUNCTION("""COMPUTED_VALUE"""),"MY JOB GLASSES")</f>
        <v/>
      </c>
      <c r="E1185" s="15">
        <f>IFERROR(__xludf.DUMMYFUNCTION("""COMPUTED_VALUE"""),"www.myjobglasses.com")</f>
        <v/>
      </c>
      <c r="F1185" s="1">
        <f>IFERROR(__xludf.DUMMYFUNCTION("""COMPUTED_VALUE"""),"Founded in 2015, My Job Glasses is a platform that brings people together with the aim of sharing professional experiences. Nowadays, its community boasts 300,000 users in 130 countries.
The vision of My Job Glasses is to write a new chapter in the world "&amp;"of orientation and recruitment where access to experience-sharing is democratised. These discussions have a significant impact on the quality of guidance for young people. Companies are also able to recruit young people easily and increase retention over "&amp;"time.
Early 2022, My Job Glasses launched Experience, a SaaS platform that simplifies experience-sharing between employees from the same organisation in order to improve onboarding, encourage professional development, internal and geographical mobility, a"&amp;"mong others.
Digital at its best!")</f>
        <v/>
      </c>
      <c r="G1185" s="1">
        <f>IFERROR(__xludf.DUMMYFUNCTION("""COMPUTED_VALUE"""),"EdTech France")</f>
        <v/>
      </c>
      <c r="H1185" s="1" t="n"/>
      <c r="I1185" s="1">
        <f>IFERROR(__xludf.DUMMYFUNCTION("""COMPUTED_VALUE"""),"contact@myjobglasses.com")</f>
        <v/>
      </c>
      <c r="J1185" s="1" t="n"/>
      <c r="K1185" s="1">
        <f>IFERROR(__xludf.DUMMYFUNCTION("""COMPUTED_VALUE"""),"Paris")</f>
        <v/>
      </c>
      <c r="L1185" s="1">
        <f>IFERROR(__xludf.DUMMYFUNCTION("""COMPUTED_VALUE"""),"France")</f>
        <v/>
      </c>
      <c r="M1185" s="1">
        <f>IFERROR(__xludf.DUMMYFUNCTION("""COMPUTED_VALUE"""),"France")</f>
        <v/>
      </c>
      <c r="N1185" s="1">
        <f>IFERROR(__xludf.DUMMYFUNCTION("""COMPUTED_VALUE"""),"11 to 50")</f>
        <v/>
      </c>
      <c r="O1185" s="1">
        <f>IFERROR(__xludf.DUMMYFUNCTION("""COMPUTED_VALUE"""),"Business to Business, Business to Schools")</f>
        <v/>
      </c>
      <c r="P1185" s="1">
        <f>IFERROR(__xludf.DUMMYFUNCTION("""COMPUTED_VALUE"""),"Higher Education, Corporate Training")</f>
        <v/>
      </c>
      <c r="Q1185" s="1">
        <f>IFERROR(__xludf.DUMMYFUNCTION("""COMPUTED_VALUE"""),"Student interfacing, Teacher interfacing, System/Administrative")</f>
        <v/>
      </c>
      <c r="R1185" s="15">
        <f>IFERROR(__xludf.DUMMYFUNCTION("""COMPUTED_VALUE"""),"https://www.instagram.com/myjobglasses/")</f>
        <v/>
      </c>
      <c r="S1185" s="15">
        <f>IFERROR(__xludf.DUMMYFUNCTION("""COMPUTED_VALUE"""),"https://twitter.com/myjobglasses")</f>
        <v/>
      </c>
      <c r="T1185" s="15">
        <f>IFERROR(__xludf.DUMMYFUNCTION("""COMPUTED_VALUE"""),"https://www.linkedin.com/company/7585486")</f>
        <v/>
      </c>
      <c r="U1185" s="1">
        <f>IFERROR(__xludf.DUMMYFUNCTION("""COMPUTED_VALUE"""),"My Job Glasses")</f>
        <v/>
      </c>
      <c r="V1185" s="1">
        <f>IFERROR(__xludf.DUMMYFUNCTION("""COMPUTED_VALUE"""),"Founded in 2015, My Job Glasses is a platform that brings people together with the aim of sharing professional experiences. Nowadays, its community boasts 300,000 users in 130 countries.")</f>
        <v/>
      </c>
      <c r="W1185" s="1" t="n"/>
      <c r="X1185" s="1" t="n"/>
      <c r="Y1185" s="1" t="n"/>
      <c r="Z1185" s="1">
        <f>IFERROR(__xludf.DUMMYFUNCTION("""COMPUTED_VALUE"""),"Unverified")</f>
        <v/>
      </c>
      <c r="AA1185" s="1" t="n"/>
      <c r="AB1185" s="1" t="n"/>
      <c r="AC1185" s="1" t="n"/>
      <c r="AD1185" s="1" t="n"/>
      <c r="AE1185" s="1" t="n"/>
    </row>
    <row r="1186" ht="42" customHeight="1">
      <c r="A1186" s="14">
        <f>IFERROR(__xludf.DUMMYFUNCTION("""COMPUTED_VALUE"""),45181)</f>
        <v/>
      </c>
      <c r="B1186" s="1">
        <f>IFERROR(__xludf.DUMMYFUNCTION("""COMPUTED_VALUE"""),"ORG_2040")</f>
        <v/>
      </c>
      <c r="C1186" s="1">
        <f>IFERROR(__xludf.DUMMYFUNCTION("""COMPUTED_VALUE"""),TRUE)</f>
        <v/>
      </c>
      <c r="D1186" s="1">
        <f>IFERROR(__xludf.DUMMYFUNCTION("""COMPUTED_VALUE"""),"Niryo")</f>
        <v/>
      </c>
      <c r="E1186" s="15">
        <f>IFERROR(__xludf.DUMMYFUNCTION("""COMPUTED_VALUE"""),"https://niryo.com/")</f>
        <v/>
      </c>
      <c r="F1186" s="1">
        <f>IFERROR(__xludf.DUMMYFUNCTION("""COMPUTED_VALUE"""),"Niryo is specialized in robotics and was primarily founded to take students and schools toward accessible, efficient, and attractive collaborative robots. Today, Niryo's savoir-faire is recognized throughout 60 countries, from pupils to professors to appr"&amp;"entices. 
Prestigious universities and technical high schools have adopted Ned and Ned2, while training centers chose to integrate these cobots within their courses, often spread across multiple years. 2 500 cobots out there, 2 500 reasons for the next ("&amp;"and actual) generations to succeed within the expanding Industry 5.0.")</f>
        <v/>
      </c>
      <c r="G1186" s="1">
        <f>IFERROR(__xludf.DUMMYFUNCTION("""COMPUTED_VALUE"""),"I'm not part of any EdTech association")</f>
        <v/>
      </c>
      <c r="H1186" s="1" t="n"/>
      <c r="I1186" s="1">
        <f>IFERROR(__xludf.DUMMYFUNCTION("""COMPUTED_VALUE"""),"contact@niryo.com")</f>
        <v/>
      </c>
      <c r="J1186" s="1">
        <f>IFERROR(__xludf.DUMMYFUNCTION("""COMPUTED_VALUE"""),"+33 2 46 84 03 44")</f>
        <v/>
      </c>
      <c r="K1186" s="1">
        <f>IFERROR(__xludf.DUMMYFUNCTION("""COMPUTED_VALUE"""),"Wambrechies")</f>
        <v/>
      </c>
      <c r="L1186" s="1">
        <f>IFERROR(__xludf.DUMMYFUNCTION("""COMPUTED_VALUE"""),"France")</f>
        <v/>
      </c>
      <c r="M1186" s="1">
        <f>IFERROR(__xludf.DUMMYFUNCTION("""COMPUTED_VALUE"""),"Austria, Finland, France, Germany, Hungary, Ireland, Italy, Poland, Portugal, Slovenia, Switzerland, United Kingdom")</f>
        <v/>
      </c>
      <c r="N1186" s="1">
        <f>IFERROR(__xludf.DUMMYFUNCTION("""COMPUTED_VALUE"""),"11 to 50")</f>
        <v/>
      </c>
      <c r="O1186" s="1">
        <f>IFERROR(__xludf.DUMMYFUNCTION("""COMPUTED_VALUE"""),"Business to Business, Business to Schools")</f>
        <v/>
      </c>
      <c r="P1186" s="1">
        <f>IFERROR(__xludf.DUMMYFUNCTION("""COMPUTED_VALUE"""),"Primary Education, Secondary Education, Higher Education, Corporate Training, Lifelong learning/Adult education")</f>
        <v/>
      </c>
      <c r="Q1186" s="1">
        <f>IFERROR(__xludf.DUMMYFUNCTION("""COMPUTED_VALUE"""),"Teacher interfacing, System/Administrative")</f>
        <v/>
      </c>
      <c r="R1186" s="1" t="n"/>
      <c r="S1186" s="1" t="n"/>
      <c r="T1186" s="1" t="n"/>
      <c r="U1186" s="1" t="n"/>
      <c r="V1186" s="1" t="n"/>
      <c r="W1186" s="1" t="n"/>
      <c r="X1186" s="1" t="n"/>
      <c r="Y1186" s="15">
        <f>IFERROR(__xludf.DUMMYFUNCTION("""COMPUTED_VALUE"""),"https://drive.google.com/uc?export=view&amp;id=143_HP-7vU8twA5aAtNgJ9f6-tE0ifHJ_")</f>
        <v/>
      </c>
      <c r="Z1186" s="1">
        <f>IFERROR(__xludf.DUMMYFUNCTION("""COMPUTED_VALUE"""),"Unverified")</f>
        <v/>
      </c>
      <c r="AA1186" s="1" t="n"/>
      <c r="AB1186" s="1" t="n"/>
      <c r="AC1186" s="1" t="n"/>
      <c r="AD1186" s="1" t="n"/>
      <c r="AE1186" s="1" t="n"/>
    </row>
    <row r="1187" ht="42" customHeight="1">
      <c r="A1187" s="14">
        <f>IFERROR(__xludf.DUMMYFUNCTION("""COMPUTED_VALUE"""),45181)</f>
        <v/>
      </c>
      <c r="B1187" s="1">
        <f>IFERROR(__xludf.DUMMYFUNCTION("""COMPUTED_VALUE"""),"ORG_2053")</f>
        <v/>
      </c>
      <c r="C1187" s="1">
        <f>IFERROR(__xludf.DUMMYFUNCTION("""COMPUTED_VALUE"""),TRUE)</f>
        <v/>
      </c>
      <c r="D1187" s="1">
        <f>IFERROR(__xludf.DUMMYFUNCTION("""COMPUTED_VALUE"""),"Nxus")</f>
        <v/>
      </c>
      <c r="E1187" s="15">
        <f>IFERROR(__xludf.DUMMYFUNCTION("""COMPUTED_VALUE"""),"https://www.nxus.eu/")</f>
        <v/>
      </c>
      <c r="F1187" s="1">
        <f>IFERROR(__xludf.DUMMYFUNCTION("""COMPUTED_VALUE"""),"Nxus is a Software as a Service startup that developed a community and bias-free career platform, with a unique focus on providing students with equal job opportunities through the skills obtained during their studies. Nxus thereby connects universities, "&amp;"employers, students and alumni in a unique and innovative way. The Nxus platform is already deployed universitywide by the launching partner Radboud University in Nijmegen since Q4-2021, thereby connecting more than 2,500 students, 2,000 alumni and 400 co"&amp;"mpanies on the platform YTD.")</f>
        <v/>
      </c>
      <c r="G1187" s="1">
        <f>IFERROR(__xludf.DUMMYFUNCTION("""COMPUTED_VALUE"""),"Dutch EdTech")</f>
        <v/>
      </c>
      <c r="H1187" s="1" t="n"/>
      <c r="I1187" s="1">
        <f>IFERROR(__xludf.DUMMYFUNCTION("""COMPUTED_VALUE"""),"n.baay@nxus.eu")</f>
        <v/>
      </c>
      <c r="J1187" s="1">
        <f>IFERROR(__xludf.DUMMYFUNCTION("""COMPUTED_VALUE"""),"+31643289826")</f>
        <v/>
      </c>
      <c r="K1187" s="1">
        <f>IFERROR(__xludf.DUMMYFUNCTION("""COMPUTED_VALUE"""),"Amsterdam")</f>
        <v/>
      </c>
      <c r="L1187" s="1">
        <f>IFERROR(__xludf.DUMMYFUNCTION("""COMPUTED_VALUE"""),"The Netherlands")</f>
        <v/>
      </c>
      <c r="M1187" s="1">
        <f>IFERROR(__xludf.DUMMYFUNCTION("""COMPUTED_VALUE"""),"Netherlands")</f>
        <v/>
      </c>
      <c r="N1187" s="1">
        <f>IFERROR(__xludf.DUMMYFUNCTION("""COMPUTED_VALUE"""),"0 to 10")</f>
        <v/>
      </c>
      <c r="O1187" s="1">
        <f>IFERROR(__xludf.DUMMYFUNCTION("""COMPUTED_VALUE"""),"Business to Consumer")</f>
        <v/>
      </c>
      <c r="P1187" s="1">
        <f>IFERROR(__xludf.DUMMYFUNCTION("""COMPUTED_VALUE"""),"Higher Education, Lifelong learning/Adult education")</f>
        <v/>
      </c>
      <c r="Q1187" s="1">
        <f>IFERROR(__xludf.DUMMYFUNCTION("""COMPUTED_VALUE"""),"Student interfacing, System/Administrative")</f>
        <v/>
      </c>
      <c r="R1187" s="1" t="n"/>
      <c r="S1187" s="1" t="n"/>
      <c r="T1187" s="1" t="n"/>
      <c r="U1187" s="1" t="n"/>
      <c r="V1187" s="1" t="n"/>
      <c r="W1187" s="1" t="n"/>
      <c r="X1187" s="1" t="n"/>
      <c r="Y1187" s="15">
        <f>IFERROR(__xludf.DUMMYFUNCTION("""COMPUTED_VALUE"""),"https://drive.google.com/uc?export=view&amp;id=1ln8KY8MxUUdo2gxLavfnA-a_BfCWOyhY")</f>
        <v/>
      </c>
      <c r="Z1187" s="1">
        <f>IFERROR(__xludf.DUMMYFUNCTION("""COMPUTED_VALUE"""),"Unverified")</f>
        <v/>
      </c>
      <c r="AA1187" s="1" t="n"/>
      <c r="AB1187" s="1" t="n"/>
      <c r="AC1187" s="1" t="n"/>
      <c r="AD1187" s="1" t="n"/>
      <c r="AE1187" s="1" t="n"/>
    </row>
    <row r="1188" ht="42" customHeight="1">
      <c r="A1188" s="14">
        <f>IFERROR(__xludf.DUMMYFUNCTION("""COMPUTED_VALUE"""),45181)</f>
        <v/>
      </c>
      <c r="B1188" s="1">
        <f>IFERROR(__xludf.DUMMYFUNCTION("""COMPUTED_VALUE"""),"ORG_2122")</f>
        <v/>
      </c>
      <c r="C1188" s="1">
        <f>IFERROR(__xludf.DUMMYFUNCTION("""COMPUTED_VALUE"""),TRUE)</f>
        <v/>
      </c>
      <c r="D1188" s="1">
        <f>IFERROR(__xludf.DUMMYFUNCTION("""COMPUTED_VALUE"""),"PrepMyFuture")</f>
        <v/>
      </c>
      <c r="E1188" s="15">
        <f>IFERROR(__xludf.DUMMYFUNCTION("""COMPUTED_VALUE"""),"https://prepmyfuture.com/fr")</f>
        <v/>
      </c>
      <c r="F1188" s="1">
        <f>IFERROR(__xludf.DUMMYFUNCTION("""COMPUTED_VALUE"""),"PrepMyFuture is an online platform specialized in preparing candidates for language certifications such as TOEFL, TOEIC, Linguaskill, IELTS, TEF, TCF, DELF, etc. as well as admission tests such as TAGE and Score IAE Message. 
We propose innovative educati"&amp;"onal materials to allow teachers to save time in the management of homework, and to help students succeed in their exams. Our platform adapts the questions to our users level, optimizing difficulty as their weaknesses are identified.")</f>
        <v/>
      </c>
      <c r="G1188" s="1">
        <f>IFERROR(__xludf.DUMMYFUNCTION("""COMPUTED_VALUE"""),"EdTech France")</f>
        <v/>
      </c>
      <c r="H1188" s="1" t="n"/>
      <c r="I1188" s="1">
        <f>IFERROR(__xludf.DUMMYFUNCTION("""COMPUTED_VALUE"""),"achille.pinson@prepmyfuture.com")</f>
        <v/>
      </c>
      <c r="J1188" s="1">
        <f>IFERROR(__xludf.DUMMYFUNCTION("""COMPUTED_VALUE"""),"+33 1 76 36 05 98")</f>
        <v/>
      </c>
      <c r="K1188" s="1">
        <f>IFERROR(__xludf.DUMMYFUNCTION("""COMPUTED_VALUE"""),"PARIS")</f>
        <v/>
      </c>
      <c r="L1188" s="1">
        <f>IFERROR(__xludf.DUMMYFUNCTION("""COMPUTED_VALUE"""),"France")</f>
        <v/>
      </c>
      <c r="M1188" s="1">
        <f>IFERROR(__xludf.DUMMYFUNCTION("""COMPUTED_VALUE"""),"Austria, Belgium, France, Germany, Ireland, Italy, Luxembourg, Malta, Netherlands, Norway, Portugal, Romania, Spain, Switzerland, United Kingdom")</f>
        <v/>
      </c>
      <c r="N1188" s="1">
        <f>IFERROR(__xludf.DUMMYFUNCTION("""COMPUTED_VALUE"""),"0 to 10")</f>
        <v/>
      </c>
      <c r="O1188" s="1">
        <f>IFERROR(__xludf.DUMMYFUNCTION("""COMPUTED_VALUE"""),"Business to Consumer")</f>
        <v/>
      </c>
      <c r="P1188" s="1">
        <f>IFERROR(__xludf.DUMMYFUNCTION("""COMPUTED_VALUE"""),"Secondary Education, Higher Education")</f>
        <v/>
      </c>
      <c r="Q1188" s="1">
        <f>IFERROR(__xludf.DUMMYFUNCTION("""COMPUTED_VALUE"""),"Student interfacing, Teacher interfacing")</f>
        <v/>
      </c>
      <c r="R1188" s="15">
        <f>IFERROR(__xludf.DUMMYFUNCTION("""COMPUTED_VALUE"""),"https://www.instagram.com/prepmyfuture/")</f>
        <v/>
      </c>
      <c r="S1188" s="1" t="n"/>
      <c r="T1188" s="15">
        <f>IFERROR(__xludf.DUMMYFUNCTION("""COMPUTED_VALUE"""),"https://www.linkedin.com/company/prepmyfuture/?viewAsMember=true")</f>
        <v/>
      </c>
      <c r="U1188" s="1">
        <f>IFERROR(__xludf.DUMMYFUNCTION("""COMPUTED_VALUE"""),"Online preparations for language proficiency tests")</f>
        <v/>
      </c>
      <c r="V1188" s="1">
        <f>IFERROR(__xludf.DUMMYFUNCTION("""COMPUTED_VALUE"""),"Our online preparations for language certifications are designed for candidates who wish to study for a test that they choose to take, depending on their educational and professional objectives. 
Our online preparations cover the most important tests in E"&amp;"nglish (TOEIC, TOEFL, Linguaskill, IELTS, Language Cert LTE, CELPIP), in French (TEF, TCF, DELF, DFP) and in Spanish (DELE, esPRO). 
Each preparation includes lesson sheets, adaptive learning exercises, mock exams, and detailed corrections.")</f>
        <v/>
      </c>
      <c r="W1188" s="1">
        <f>IFERROR(__xludf.DUMMYFUNCTION("""COMPUTED_VALUE"""),"Online preparations for admission tests")</f>
        <v/>
      </c>
      <c r="X1188" s="1">
        <f>IFERROR(__xludf.DUMMYFUNCTION("""COMPUTED_VALUE"""),"Our online preparations for admission tests are designed for candidates who wish to apply for certain higher educational institutions, such as French business schools and French universities.
Our online preparations cover the most important admission test"&amp;"s such as TAGE (TAGE POST BAC, TAGE 2, TAGE MAGE) and Score IAE Message.
Each preparation includes lesson sheets, adaptive learning exercises, mock exams, and detailed corrections.")</f>
        <v/>
      </c>
      <c r="Y1188" s="15">
        <f>IFERROR(__xludf.DUMMYFUNCTION("""COMPUTED_VALUE"""),"https://drive.google.com/uc?export=view&amp;id=1zC0a8h5oU_oAvnI9CmYEKRcbxJlw2IZx")</f>
        <v/>
      </c>
      <c r="Z1188" s="1">
        <f>IFERROR(__xludf.DUMMYFUNCTION("""COMPUTED_VALUE"""),"Unverified")</f>
        <v/>
      </c>
      <c r="AA1188" s="1" t="n"/>
      <c r="AB1188" s="1" t="n"/>
      <c r="AC1188" s="1" t="n"/>
      <c r="AD1188" s="1" t="n"/>
      <c r="AE1188" s="1" t="n"/>
    </row>
    <row r="1189" ht="42" customHeight="1">
      <c r="A1189" s="14">
        <f>IFERROR(__xludf.DUMMYFUNCTION("""COMPUTED_VALUE"""),45181)</f>
        <v/>
      </c>
      <c r="B1189" s="1">
        <f>IFERROR(__xludf.DUMMYFUNCTION("""COMPUTED_VALUE"""),"ORG_2245")</f>
        <v/>
      </c>
      <c r="C1189" s="1">
        <f>IFERROR(__xludf.DUMMYFUNCTION("""COMPUTED_VALUE"""),TRUE)</f>
        <v/>
      </c>
      <c r="D1189" s="1">
        <f>IFERROR(__xludf.DUMMYFUNCTION("""COMPUTED_VALUE"""),"SimSkills")</f>
        <v/>
      </c>
      <c r="E1189" s="15">
        <f>IFERROR(__xludf.DUMMYFUNCTION("""COMPUTED_VALUE"""),"https://www.simskills.io")</f>
        <v/>
      </c>
      <c r="F1189" s="1">
        <f>IFERROR(__xludf.DUMMYFUNCTION("""COMPUTED_VALUE"""),"SimSkills is a role-play AI simulator for leadership and soft-skills training.
A 100% practical approach SaaS that offers role-play simulations based on real-life situations to educate the users with an effective approach.")</f>
        <v/>
      </c>
      <c r="G1189" s="1">
        <f>IFERROR(__xludf.DUMMYFUNCTION("""COMPUTED_VALUE"""),"I'm not part of any EdTech association")</f>
        <v/>
      </c>
      <c r="H1189" s="1" t="n"/>
      <c r="I1189" s="1">
        <f>IFERROR(__xludf.DUMMYFUNCTION("""COMPUTED_VALUE"""),"ana.paredes@simskills.io")</f>
        <v/>
      </c>
      <c r="J1189" s="1" t="n"/>
      <c r="K1189" s="1">
        <f>IFERROR(__xludf.DUMMYFUNCTION("""COMPUTED_VALUE"""),"Madrid")</f>
        <v/>
      </c>
      <c r="L1189" s="1">
        <f>IFERROR(__xludf.DUMMYFUNCTION("""COMPUTED_VALUE"""),"Spain")</f>
        <v/>
      </c>
      <c r="M1189" s="1">
        <f>IFERROR(__xludf.DUMMYFUNCTION("""COMPUTED_VALUE"""),"Spain")</f>
        <v/>
      </c>
      <c r="N1189" s="1">
        <f>IFERROR(__xludf.DUMMYFUNCTION("""COMPUTED_VALUE"""),"0 to 10")</f>
        <v/>
      </c>
      <c r="O1189" s="1">
        <f>IFERROR(__xludf.DUMMYFUNCTION("""COMPUTED_VALUE"""),"Business to Consumer, Business to Schools")</f>
        <v/>
      </c>
      <c r="P1189" s="1">
        <f>IFERROR(__xludf.DUMMYFUNCTION("""COMPUTED_VALUE"""),"Corporate Training, Lifelong learning/Adult education")</f>
        <v/>
      </c>
      <c r="Q1189" s="1">
        <f>IFERROR(__xludf.DUMMYFUNCTION("""COMPUTED_VALUE"""),"Teacher interfacing, Student interfacing, System/Administrative")</f>
        <v/>
      </c>
      <c r="R1189" s="1" t="n"/>
      <c r="S1189" s="1" t="n"/>
      <c r="T1189" s="1" t="n"/>
      <c r="U1189" s="1" t="n"/>
      <c r="V1189" s="1" t="n"/>
      <c r="W1189" s="1" t="n"/>
      <c r="X1189" s="1" t="n"/>
      <c r="Y1189" s="15">
        <f>IFERROR(__xludf.DUMMYFUNCTION("""COMPUTED_VALUE"""),"https://drive.google.com/uc?export=view&amp;id=14mzZMCXdARQ978N9OXmW7fBZB7xirp7m")</f>
        <v/>
      </c>
      <c r="Z1189" s="1">
        <f>IFERROR(__xludf.DUMMYFUNCTION("""COMPUTED_VALUE"""),"Unverified")</f>
        <v/>
      </c>
      <c r="AA1189" s="1" t="n"/>
      <c r="AB1189" s="1" t="n"/>
      <c r="AC1189" s="1" t="n"/>
      <c r="AD1189" s="1" t="n"/>
      <c r="AE1189" s="1" t="n"/>
    </row>
    <row r="1190" ht="42" customHeight="1">
      <c r="A1190" s="14">
        <f>IFERROR(__xludf.DUMMYFUNCTION("""COMPUTED_VALUE"""),45181)</f>
        <v/>
      </c>
      <c r="B1190" s="1">
        <f>IFERROR(__xludf.DUMMYFUNCTION("""COMPUTED_VALUE"""),"ORG_2514")</f>
        <v/>
      </c>
      <c r="C1190" s="1">
        <f>IFERROR(__xludf.DUMMYFUNCTION("""COMPUTED_VALUE"""),TRUE)</f>
        <v/>
      </c>
      <c r="D1190" s="1">
        <f>IFERROR(__xludf.DUMMYFUNCTION("""COMPUTED_VALUE"""),"WATURA")</f>
        <v/>
      </c>
      <c r="E1190" s="15">
        <f>IFERROR(__xludf.DUMMYFUNCTION("""COMPUTED_VALUE"""),"https://www.watura.fr/")</f>
        <v/>
      </c>
      <c r="F1190" s="1">
        <f>IFERROR(__xludf.DUMMYFUNCTION("""COMPUTED_VALUE"""),"The first digital learning platform for professionals in the water and sewerage sector
Through our platform, you can access the largest digital library of educational content for the water and sewerage sector. With our wide variety of learning modules in "&amp;"the form of videos, interactive quizzes and more, you can learn at your own pace.
Since 2010, we have been the experts in technical training for the water and sewerage sector. With the help of our experts, we’ve developed an unrivaled expertise in going "&amp;"digital with technical training.
Our ambition is to facilitate exchange between professionals through technology to positively impact the way knowledge is shared.
To respond to the specific needs of technical professions, we provide on-demand courses ad"&amp;"apted to you and integrate them into Learning Management Systems.")</f>
        <v/>
      </c>
      <c r="G1190" s="1">
        <f>IFERROR(__xludf.DUMMYFUNCTION("""COMPUTED_VALUE"""),"I'm not part of any EdTech association")</f>
        <v/>
      </c>
      <c r="H1190" s="1">
        <f>IFERROR(__xludf.DUMMYFUNCTION("""COMPUTED_VALUE"""),"French, English, Spanish")</f>
        <v/>
      </c>
      <c r="I1190" s="1">
        <f>IFERROR(__xludf.DUMMYFUNCTION("""COMPUTED_VALUE"""),"info@watura.fr")</f>
        <v/>
      </c>
      <c r="J1190" s="1">
        <f>IFERROR(__xludf.DUMMYFUNCTION("""COMPUTED_VALUE"""),"+33158791322")</f>
        <v/>
      </c>
      <c r="K1190" s="1">
        <f>IFERROR(__xludf.DUMMYFUNCTION("""COMPUTED_VALUE"""),"NEUILLY SUR SEINE")</f>
        <v/>
      </c>
      <c r="L1190" s="1">
        <f>IFERROR(__xludf.DUMMYFUNCTION("""COMPUTED_VALUE"""),"France")</f>
        <v/>
      </c>
      <c r="M1190" s="1">
        <f>IFERROR(__xludf.DUMMYFUNCTION("""COMPUTED_VALUE"""),"Azerbaijan, Belgium, France, Spain, Switzerland")</f>
        <v/>
      </c>
      <c r="N1190" s="1">
        <f>IFERROR(__xludf.DUMMYFUNCTION("""COMPUTED_VALUE"""),"11 to 50")</f>
        <v/>
      </c>
      <c r="O1190" s="1">
        <f>IFERROR(__xludf.DUMMYFUNCTION("""COMPUTED_VALUE"""),"Business to Schools")</f>
        <v/>
      </c>
      <c r="P1190" s="1">
        <f>IFERROR(__xludf.DUMMYFUNCTION("""COMPUTED_VALUE"""),"Corporate Training, Lifelong learning/Adult education")</f>
        <v/>
      </c>
      <c r="Q1190" s="1">
        <f>IFERROR(__xludf.DUMMYFUNCTION("""COMPUTED_VALUE"""),"System/Administrative, Student interfacing")</f>
        <v/>
      </c>
      <c r="R1190" s="1" t="n"/>
      <c r="S1190" s="1" t="n"/>
      <c r="T1190" s="1" t="n"/>
      <c r="U1190" s="1" t="n"/>
      <c r="V1190" s="1" t="n"/>
      <c r="W1190" s="1" t="n"/>
      <c r="X1190" s="1" t="n"/>
      <c r="Y1190" s="15">
        <f>IFERROR(__xludf.DUMMYFUNCTION("""COMPUTED_VALUE"""),"https://drive.google.com/uc?export=view&amp;id=1U6G9KqTp9IkN7UHVWcSl4lOKpg8syK0d")</f>
        <v/>
      </c>
      <c r="Z1190" s="1">
        <f>IFERROR(__xludf.DUMMYFUNCTION("""COMPUTED_VALUE"""),"Unverified")</f>
        <v/>
      </c>
      <c r="AA1190" s="1" t="n"/>
      <c r="AB1190" s="1" t="n"/>
      <c r="AC1190" s="1" t="n"/>
      <c r="AD1190" s="1" t="n"/>
      <c r="AE1190" s="1" t="n"/>
    </row>
    <row r="1191" ht="42" customHeight="1">
      <c r="A1191" s="14">
        <f>IFERROR(__xludf.DUMMYFUNCTION("""COMPUTED_VALUE"""),45181)</f>
        <v/>
      </c>
      <c r="B1191" s="1">
        <f>IFERROR(__xludf.DUMMYFUNCTION("""COMPUTED_VALUE"""),"ORG_1256")</f>
        <v/>
      </c>
      <c r="C1191" s="1">
        <f>IFERROR(__xludf.DUMMYFUNCTION("""COMPUTED_VALUE"""),TRUE)</f>
        <v/>
      </c>
      <c r="D1191" s="1">
        <f>IFERROR(__xludf.DUMMYFUNCTION("""COMPUTED_VALUE"""),"CleverBooks")</f>
        <v/>
      </c>
      <c r="E1191" s="15">
        <f>IFERROR(__xludf.DUMMYFUNCTION("""COMPUTED_VALUE"""),"www.cleverbooks.eu")</f>
        <v/>
      </c>
      <c r="F1191" s="1">
        <f>IFERROR(__xludf.DUMMYFUNCTION("""COMPUTED_VALUE"""),"CleverBooks sets the standards in Augmented Reality to help kids improve test-score by up to 33% and increases retention rate by up to 100% with the latest STEM-oriented Augmented Reality (AR) technology that supports students' individual learning styles.")</f>
        <v/>
      </c>
      <c r="G1191" s="1">
        <f>IFERROR(__xludf.DUMMYFUNCTION("""COMPUTED_VALUE"""),"I'm not part of any EdTech association")</f>
        <v/>
      </c>
      <c r="H1191" s="1" t="n"/>
      <c r="I1191" s="1">
        <f>IFERROR(__xludf.DUMMYFUNCTION("""COMPUTED_VALUE"""),"mail@cleverbooks.eu")</f>
        <v/>
      </c>
      <c r="J1191" s="1" t="n"/>
      <c r="K1191" s="1">
        <f>IFERROR(__xludf.DUMMYFUNCTION("""COMPUTED_VALUE"""),"Dublin")</f>
        <v/>
      </c>
      <c r="L1191" s="1">
        <f>IFERROR(__xludf.DUMMYFUNCTION("""COMPUTED_VALUE"""),"Ireland")</f>
        <v/>
      </c>
      <c r="M1191" s="1">
        <f>IFERROR(__xludf.DUMMYFUNCTION("""COMPUTED_VALUE"""),"Austria, Belgium, Estonia, France, Germany, Greece, Ireland, Italy, Moldova, Netherlands, Poland, Portugal, Romania, Spain, Sweden, Turkey, Ukraine, United Kingdom")</f>
        <v/>
      </c>
      <c r="N1191" s="1">
        <f>IFERROR(__xludf.DUMMYFUNCTION("""COMPUTED_VALUE"""),"11 to 50")</f>
        <v/>
      </c>
      <c r="O1191" s="1">
        <f>IFERROR(__xludf.DUMMYFUNCTION("""COMPUTED_VALUE"""),"Business to Business, Business to Consumer")</f>
        <v/>
      </c>
      <c r="P1191" s="1">
        <f>IFERROR(__xludf.DUMMYFUNCTION("""COMPUTED_VALUE"""),"Primary Education")</f>
        <v/>
      </c>
      <c r="Q1191" s="1">
        <f>IFERROR(__xludf.DUMMYFUNCTION("""COMPUTED_VALUE"""),"System/Administrative, Student interfacing, Teacher interfacing")</f>
        <v/>
      </c>
      <c r="R1191" s="1" t="n"/>
      <c r="S1191" s="1" t="n"/>
      <c r="T1191" s="1" t="n"/>
      <c r="U1191" s="1" t="n"/>
      <c r="V1191" s="1" t="n"/>
      <c r="W1191" s="1" t="n"/>
      <c r="X1191" s="1" t="n"/>
      <c r="Y1191" s="15">
        <f>IFERROR(__xludf.DUMMYFUNCTION("""COMPUTED_VALUE"""),"https://drive.google.com/uc?export=view&amp;id=1Iqh7csED_6gKOfTTjJqV4nq6QiJ4G7ib")</f>
        <v/>
      </c>
      <c r="Z1191" s="1">
        <f>IFERROR(__xludf.DUMMYFUNCTION("""COMPUTED_VALUE"""),"Unverified")</f>
        <v/>
      </c>
      <c r="AA1191" s="1" t="n"/>
      <c r="AB1191" s="1" t="n"/>
      <c r="AC1191" s="1" t="n"/>
      <c r="AD1191" s="1" t="n"/>
      <c r="AE1191" s="1" t="n"/>
    </row>
    <row r="1192" ht="42" customHeight="1">
      <c r="A1192" s="14">
        <f>IFERROR(__xludf.DUMMYFUNCTION("""COMPUTED_VALUE"""),45181)</f>
        <v/>
      </c>
      <c r="B1192" s="1">
        <f>IFERROR(__xludf.DUMMYFUNCTION("""COMPUTED_VALUE"""),"ORG_1523")</f>
        <v/>
      </c>
      <c r="C1192" s="1">
        <f>IFERROR(__xludf.DUMMYFUNCTION("""COMPUTED_VALUE"""),TRUE)</f>
        <v/>
      </c>
      <c r="D1192" s="1">
        <f>IFERROR(__xludf.DUMMYFUNCTION("""COMPUTED_VALUE"""),"Eureka Simulations")</f>
        <v/>
      </c>
      <c r="E1192" s="15">
        <f>IFERROR(__xludf.DUMMYFUNCTION("""COMPUTED_VALUE"""),"https://www.eurekasimulations.com/")</f>
        <v/>
      </c>
      <c r="F1192" s="1">
        <f>IFERROR(__xludf.DUMMYFUNCTION("""COMPUTED_VALUE"""),"According to several studies, over 80% of acquired knowledge fades away unless it is applied in practice. Implementing simulations ensures not only a significant improvement of the assimilation of knowledge, but is also an unforgettable experience that di"&amp;"ffers from the regular sessions or business cases.
More complex simulations, competitive multiplayer ones that can last several hours or days, can become a crucial component for interactive group dynamics and unlock important insights on players profile,"&amp;" abilities and team work.
Eureka Simulations business executive simulations have been played by over 10000 players worldwide in the most prestigious academic institutions, such as IESE or CEIBS, and by students working at top companies who have appreciat"&amp;"ed the realism and insights gained after playing our simulations.")</f>
        <v/>
      </c>
      <c r="G1192" s="1">
        <f>IFERROR(__xludf.DUMMYFUNCTION("""COMPUTED_VALUE"""),"I'm not part of any EdTech association")</f>
        <v/>
      </c>
      <c r="H1192" s="1" t="n"/>
      <c r="I1192" s="1">
        <f>IFERROR(__xludf.DUMMYFUNCTION("""COMPUTED_VALUE"""),"info@eurekasimulations.com")</f>
        <v/>
      </c>
      <c r="J1192" s="1">
        <f>IFERROR(__xludf.DUMMYFUNCTION("""COMPUTED_VALUE"""),"+34688953242")</f>
        <v/>
      </c>
      <c r="K1192" s="1">
        <f>IFERROR(__xludf.DUMMYFUNCTION("""COMPUTED_VALUE"""),"Bellaterra")</f>
        <v/>
      </c>
      <c r="L1192" s="1">
        <f>IFERROR(__xludf.DUMMYFUNCTION("""COMPUTED_VALUE"""),"Spain")</f>
        <v/>
      </c>
      <c r="M1192" s="1">
        <f>IFERROR(__xludf.DUMMYFUNCTION("""COMPUTED_VALUE"""),"Spain")</f>
        <v/>
      </c>
      <c r="N1192" s="1">
        <f>IFERROR(__xludf.DUMMYFUNCTION("""COMPUTED_VALUE"""),"0 to 10")</f>
        <v/>
      </c>
      <c r="O1192" s="1">
        <f>IFERROR(__xludf.DUMMYFUNCTION("""COMPUTED_VALUE"""),"Business to Business, Business to Consumer, Business to Government, Business to Schools")</f>
        <v/>
      </c>
      <c r="P1192" s="1">
        <f>IFERROR(__xludf.DUMMYFUNCTION("""COMPUTED_VALUE"""),"Higher Education, Corporate Training")</f>
        <v/>
      </c>
      <c r="Q1192" s="1">
        <f>IFERROR(__xludf.DUMMYFUNCTION("""COMPUTED_VALUE"""),"System/Administrative")</f>
        <v/>
      </c>
      <c r="R1192" s="1" t="n"/>
      <c r="S1192" s="1" t="n"/>
      <c r="T1192" s="1" t="n"/>
      <c r="U1192" s="1" t="n"/>
      <c r="V1192" s="1" t="n"/>
      <c r="W1192" s="1" t="n"/>
      <c r="X1192" s="1" t="n"/>
      <c r="Y1192" s="15">
        <f>IFERROR(__xludf.DUMMYFUNCTION("""COMPUTED_VALUE"""),"https://drive.google.com/uc?export=view&amp;id=15Ro0uAN97JFc7ZXn7bL6ozpgXvZHZF0o")</f>
        <v/>
      </c>
      <c r="Z1192" s="1">
        <f>IFERROR(__xludf.DUMMYFUNCTION("""COMPUTED_VALUE"""),"Unverified")</f>
        <v/>
      </c>
      <c r="AA1192" s="1" t="n"/>
      <c r="AB1192" s="1" t="n"/>
      <c r="AC1192" s="1" t="n"/>
      <c r="AD1192" s="1" t="n"/>
      <c r="AE1192" s="1" t="n"/>
    </row>
    <row r="1193" ht="42" customHeight="1">
      <c r="A1193" s="14">
        <f>IFERROR(__xludf.DUMMYFUNCTION("""COMPUTED_VALUE"""),45181)</f>
        <v/>
      </c>
      <c r="B1193" s="1">
        <f>IFERROR(__xludf.DUMMYFUNCTION("""COMPUTED_VALUE"""),"ORG_1566")</f>
        <v/>
      </c>
      <c r="C1193" s="1">
        <f>IFERROR(__xludf.DUMMYFUNCTION("""COMPUTED_VALUE"""),TRUE)</f>
        <v/>
      </c>
      <c r="D1193" s="1">
        <f>IFERROR(__xludf.DUMMYFUNCTION("""COMPUTED_VALUE"""),"Flexudy Education UG")</f>
        <v/>
      </c>
      <c r="E1193" s="15">
        <f>IFERROR(__xludf.DUMMYFUNCTION("""COMPUTED_VALUE"""),"www.flexudy.com")</f>
        <v/>
      </c>
      <c r="F1193" s="1">
        <f>IFERROR(__xludf.DUMMYFUNCTION("""COMPUTED_VALUE"""),"Flexudy uses Artificial Intelligence and Microlearning to improve learning and teaching processes. This is done through the automatic generation of summaries and quizzes, like multiple-choice-questions, fill-in-the-blanks, open questions etc. Flexudy also"&amp;" automatically analyses questions, exams and student responses in order to provide didactic relevant learning and teaching analytics. 
In summary, Flexudy gives teachers, trainers and coaches the time to focus more on what is important: the learners.")</f>
        <v/>
      </c>
      <c r="G1193" s="1">
        <f>IFERROR(__xludf.DUMMYFUNCTION("""COMPUTED_VALUE"""),"I'm not part of any EdTech association")</f>
        <v/>
      </c>
      <c r="H1193" s="1" t="n"/>
      <c r="I1193" s="1">
        <f>IFERROR(__xludf.DUMMYFUNCTION("""COMPUTED_VALUE"""),"info@flexudy.com")</f>
        <v/>
      </c>
      <c r="J1193" s="1">
        <f>IFERROR(__xludf.DUMMYFUNCTION("""COMPUTED_VALUE"""),"1715325767")</f>
        <v/>
      </c>
      <c r="K1193" s="1">
        <f>IFERROR(__xludf.DUMMYFUNCTION("""COMPUTED_VALUE"""),"Fürth")</f>
        <v/>
      </c>
      <c r="L1193" s="1">
        <f>IFERROR(__xludf.DUMMYFUNCTION("""COMPUTED_VALUE"""),"Germany")</f>
        <v/>
      </c>
      <c r="M1193" s="1">
        <f>IFERROR(__xludf.DUMMYFUNCTION("""COMPUTED_VALUE"""),"Austria, Belgium, France, Germany, Italy, Netherlands, Norway, Spain, Switzerland, United Kingdom")</f>
        <v/>
      </c>
      <c r="N1193" s="1">
        <f>IFERROR(__xludf.DUMMYFUNCTION("""COMPUTED_VALUE"""),"0 to 10")</f>
        <v/>
      </c>
      <c r="O1193" s="1">
        <f>IFERROR(__xludf.DUMMYFUNCTION("""COMPUTED_VALUE"""),"Business to Business, Business to Consumer, Business to Government, Business to Schools")</f>
        <v/>
      </c>
      <c r="P1193" s="1">
        <f>IFERROR(__xludf.DUMMYFUNCTION("""COMPUTED_VALUE"""),"Secondary Education, Higher Education, Corporate Training, Lifelong learning/Adult education")</f>
        <v/>
      </c>
      <c r="Q1193" s="1">
        <f>IFERROR(__xludf.DUMMYFUNCTION("""COMPUTED_VALUE"""),"Student interfacing, Teacher interfacing, System/Administrative")</f>
        <v/>
      </c>
      <c r="R1193" s="1" t="n"/>
      <c r="S1193" s="1" t="n"/>
      <c r="T1193" s="1" t="n"/>
      <c r="U1193" s="1" t="n"/>
      <c r="V1193" s="1" t="n"/>
      <c r="W1193" s="1" t="n"/>
      <c r="X1193" s="1" t="n"/>
      <c r="Y1193" s="15">
        <f>IFERROR(__xludf.DUMMYFUNCTION("""COMPUTED_VALUE"""),"https://drive.google.com/uc?export=view&amp;id=1nvH_MPgfOj__RaxgKqCDTVGk5CZcqRY_")</f>
        <v/>
      </c>
      <c r="Z1193" s="1">
        <f>IFERROR(__xludf.DUMMYFUNCTION("""COMPUTED_VALUE"""),"Unverified")</f>
        <v/>
      </c>
      <c r="AA1193" s="1" t="n"/>
      <c r="AB1193" s="1" t="n"/>
      <c r="AC1193" s="1" t="n"/>
      <c r="AD1193" s="1" t="n"/>
      <c r="AE1193" s="1" t="n"/>
    </row>
    <row r="1194" ht="42" customHeight="1">
      <c r="A1194" s="14">
        <f>IFERROR(__xludf.DUMMYFUNCTION("""COMPUTED_VALUE"""),45181)</f>
        <v/>
      </c>
      <c r="B1194" s="1">
        <f>IFERROR(__xludf.DUMMYFUNCTION("""COMPUTED_VALUE"""),"ORG_1822")</f>
        <v/>
      </c>
      <c r="C1194" s="1">
        <f>IFERROR(__xludf.DUMMYFUNCTION("""COMPUTED_VALUE"""),TRUE)</f>
        <v/>
      </c>
      <c r="D1194" s="1">
        <f>IFERROR(__xludf.DUMMYFUNCTION("""COMPUTED_VALUE"""),"Le Wagon")</f>
        <v/>
      </c>
      <c r="E1194" s="15">
        <f>IFERROR(__xludf.DUMMYFUNCTION("""COMPUTED_VALUE"""),"https://www.lewagon.com")</f>
        <v/>
      </c>
      <c r="F1194" s="1">
        <f>IFERROR(__xludf.DUMMYFUNCTION("""COMPUTED_VALUE"""),"Le Wagon is an international coding school specialised in immersive bootcamps. Le Wagon teaches people the skills they need to change their lives, kick-start their tech career or launch their own startup. 
The school offers web development and data scien"&amp;"ce bootcamps in 44 cities in all continents. Founded in Paris in 2013, Le Wagon now boasts a community of 15,000+ graduates from all walks of life, including a lot entrepreneurs who created 200+ tech startups and raised $500M+ globally. 
With a recognise"&amp;"d pedagogy and human-centric approach, Le Wagon is the world's most acclaimed coding bootcamp according to student reviews on Switchup and Coursereport, and has been partnering with leading higher education institutions such as HEC Paris, IAE Business Sch"&amp;"ool in Argentina, or Imperial College London. 
In 2018, the school adapted its proven teaching methods to help forward-thinking enterprises hire, train and retain diverse tech talents. Le Wagon united with 50+ of the most respected global companies, incl"&amp;"uding IKEA, Total, LVMH or Société Générale, transforming their workforce worldwide.")</f>
        <v/>
      </c>
      <c r="G1194" s="1">
        <f>IFERROR(__xludf.DUMMYFUNCTION("""COMPUTED_VALUE"""),"EdTech France")</f>
        <v/>
      </c>
      <c r="H1194" s="1">
        <f>IFERROR(__xludf.DUMMYFUNCTION("""COMPUTED_VALUE"""),"English, French, Spanish, Chinese, Japanese")</f>
        <v/>
      </c>
      <c r="I1194" s="1">
        <f>IFERROR(__xludf.DUMMYFUNCTION("""COMPUTED_VALUE"""),"contact@lewagon.org")</f>
        <v/>
      </c>
      <c r="J1194" s="1" t="n"/>
      <c r="K1194" s="1">
        <f>IFERROR(__xludf.DUMMYFUNCTION("""COMPUTED_VALUE"""),"PARIS")</f>
        <v/>
      </c>
      <c r="L1194" s="1">
        <f>IFERROR(__xludf.DUMMYFUNCTION("""COMPUTED_VALUE"""),"France")</f>
        <v/>
      </c>
      <c r="M1194" s="1">
        <f>IFERROR(__xludf.DUMMYFUNCTION("""COMPUTED_VALUE"""),"Belgium, Denmark, France, Germany, Italy, Netherlands, Portugal, Spain, Sweden, Switzerland, United Kingdom")</f>
        <v/>
      </c>
      <c r="N1194" s="1">
        <f>IFERROR(__xludf.DUMMYFUNCTION("""COMPUTED_VALUE"""),"101 to 500")</f>
        <v/>
      </c>
      <c r="O1194" s="1">
        <f>IFERROR(__xludf.DUMMYFUNCTION("""COMPUTED_VALUE"""),"Business to Business, Business to Consumer, Business to Schools")</f>
        <v/>
      </c>
      <c r="P1194" s="1">
        <f>IFERROR(__xludf.DUMMYFUNCTION("""COMPUTED_VALUE"""),"Corporate Training, Lifelong learning/Adult education, Vocational Education and Training (VET)")</f>
        <v/>
      </c>
      <c r="Q1194" s="1">
        <f>IFERROR(__xludf.DUMMYFUNCTION("""COMPUTED_VALUE"""),"Student interfacing, System/Administrative")</f>
        <v/>
      </c>
      <c r="R1194" s="15">
        <f>IFERROR(__xludf.DUMMYFUNCTION("""COMPUTED_VALUE"""),"https://www.instagram.com/lewagonparis")</f>
        <v/>
      </c>
      <c r="S1194" s="15">
        <f>IFERROR(__xludf.DUMMYFUNCTION("""COMPUTED_VALUE"""),"https://twitter.com/Lewagonparis/")</f>
        <v/>
      </c>
      <c r="T1194" s="15">
        <f>IFERROR(__xludf.DUMMYFUNCTION("""COMPUTED_VALUE"""),"https://www.linkedin.com/school/le-wagon/")</f>
        <v/>
      </c>
      <c r="U1194" s="1">
        <f>IFERROR(__xludf.DUMMYFUNCTION("""COMPUTED_VALUE"""),"Web Development Bootcamp")</f>
        <v/>
      </c>
      <c r="V1194" s="1">
        <f>IFERROR(__xludf.DUMMYFUNCTION("""COMPUTED_VALUE"""),"In 9 intensive weeks, learn all the skills of a Software Developer, code your own web applications from scratch and change your career.")</f>
        <v/>
      </c>
      <c r="W1194" s="1">
        <f>IFERROR(__xludf.DUMMYFUNCTION("""COMPUTED_VALUE"""),"Data Science Bootcamp")</f>
        <v/>
      </c>
      <c r="X1194" s="1">
        <f>IFERROR(__xludf.DUMMYFUNCTION("""COMPUTED_VALUE"""),"In 9 intensive weeks, learn all the skills of a Data Scientist. Analyse rich data sets, make complex decisions using data and discover the power of AI &amp; Machine learning to solve real world problems.")</f>
        <v/>
      </c>
      <c r="Y1194" s="15">
        <f>IFERROR(__xludf.DUMMYFUNCTION("""COMPUTED_VALUE"""),"https://drive.google.com/uc?export=view&amp;id=1FCUNWhvhtjLFtJG5N46qPsg0vZq_gRWo")</f>
        <v/>
      </c>
      <c r="Z1194" s="1">
        <f>IFERROR(__xludf.DUMMYFUNCTION("""COMPUTED_VALUE"""),"Unverified")</f>
        <v/>
      </c>
      <c r="AA1194" s="1" t="n"/>
      <c r="AB1194" s="1" t="n"/>
      <c r="AC1194" s="1" t="n"/>
      <c r="AD1194" s="1" t="n"/>
      <c r="AE1194" s="1" t="n"/>
    </row>
    <row r="1195" ht="42" customHeight="1">
      <c r="A1195" s="14">
        <f>IFERROR(__xludf.DUMMYFUNCTION("""COMPUTED_VALUE"""),45181)</f>
        <v/>
      </c>
      <c r="B1195" s="1">
        <f>IFERROR(__xludf.DUMMYFUNCTION("""COMPUTED_VALUE"""),"ORG_1857")</f>
        <v/>
      </c>
      <c r="C1195" s="1">
        <f>IFERROR(__xludf.DUMMYFUNCTION("""COMPUTED_VALUE"""),TRUE)</f>
        <v/>
      </c>
      <c r="D1195" s="1">
        <f>IFERROR(__xludf.DUMMYFUNCTION("""COMPUTED_VALUE"""),"Les Apprentis Dev")</f>
        <v/>
      </c>
      <c r="E1195" s="15">
        <f>IFERROR(__xludf.DUMMYFUNCTION("""COMPUTED_VALUE"""),"https://lesapprentisdev.fr/")</f>
        <v/>
      </c>
      <c r="F1195" s="1">
        <f>IFERROR(__xludf.DUMMYFUNCTION("""COMPUTED_VALUE"""),"Les Apprentis Dev aims to introduce students from 10 to 15 years old to computer programming through fun courses on exciting topics such as video games, the web, or robotics. The objective is to make them understand the logic of coding, and to make them a"&amp;"ware of new technologies, their potential and their limits.
Learning to program means learning to master all the new technologies that surround us every day. It is therefore our responsibility to prepare future generations for this evolving world by prov"&amp;"iding them the keys to computer science and programming.")</f>
        <v/>
      </c>
      <c r="G1195" s="1">
        <f>IFERROR(__xludf.DUMMYFUNCTION("""COMPUTED_VALUE"""),"I'm not part of any EdTech association")</f>
        <v/>
      </c>
      <c r="H1195" s="1" t="n"/>
      <c r="I1195" s="1">
        <f>IFERROR(__xludf.DUMMYFUNCTION("""COMPUTED_VALUE"""),"contact@lesapprentisdev.fr")</f>
        <v/>
      </c>
      <c r="J1195" s="1">
        <f>IFERROR(__xludf.DUMMYFUNCTION("""COMPUTED_VALUE"""),"+33768589968")</f>
        <v/>
      </c>
      <c r="K1195" s="1">
        <f>IFERROR(__xludf.DUMMYFUNCTION("""COMPUTED_VALUE"""),"Rueil-Malmaison")</f>
        <v/>
      </c>
      <c r="L1195" s="1">
        <f>IFERROR(__xludf.DUMMYFUNCTION("""COMPUTED_VALUE"""),"France")</f>
        <v/>
      </c>
      <c r="M1195" s="1">
        <f>IFERROR(__xludf.DUMMYFUNCTION("""COMPUTED_VALUE"""),"France")</f>
        <v/>
      </c>
      <c r="N1195" s="1">
        <f>IFERROR(__xludf.DUMMYFUNCTION("""COMPUTED_VALUE"""),"0 to 10")</f>
        <v/>
      </c>
      <c r="O1195" s="1">
        <f>IFERROR(__xludf.DUMMYFUNCTION("""COMPUTED_VALUE"""),"Business to Business, Business to Consumer, Business to Schools")</f>
        <v/>
      </c>
      <c r="P1195" s="1">
        <f>IFERROR(__xludf.DUMMYFUNCTION("""COMPUTED_VALUE"""),"Secondary Education")</f>
        <v/>
      </c>
      <c r="Q1195" s="1">
        <f>IFERROR(__xludf.DUMMYFUNCTION("""COMPUTED_VALUE"""),"System/Administrative, Student interfacing")</f>
        <v/>
      </c>
      <c r="R1195" s="1" t="n"/>
      <c r="S1195" s="1" t="n"/>
      <c r="T1195" s="1" t="n"/>
      <c r="U1195" s="1" t="n"/>
      <c r="V1195" s="1" t="n"/>
      <c r="W1195" s="1" t="n"/>
      <c r="X1195" s="1" t="n"/>
      <c r="Y1195" s="15">
        <f>IFERROR(__xludf.DUMMYFUNCTION("""COMPUTED_VALUE"""),"https://drive.google.com/uc?export=view&amp;id=1TqAQTQvH2Js4KTC0QHHkalZl88rqt0lx")</f>
        <v/>
      </c>
      <c r="Z1195" s="1">
        <f>IFERROR(__xludf.DUMMYFUNCTION("""COMPUTED_VALUE"""),"Unverified")</f>
        <v/>
      </c>
      <c r="AA1195" s="1" t="n"/>
      <c r="AB1195" s="1" t="n"/>
      <c r="AC1195" s="1" t="n"/>
      <c r="AD1195" s="1" t="n"/>
      <c r="AE1195" s="1" t="n"/>
    </row>
    <row r="1196" ht="42" customHeight="1">
      <c r="A1196" s="14">
        <f>IFERROR(__xludf.DUMMYFUNCTION("""COMPUTED_VALUE"""),45181)</f>
        <v/>
      </c>
      <c r="B1196" s="1">
        <f>IFERROR(__xludf.DUMMYFUNCTION("""COMPUTED_VALUE"""),"ORG_1970")</f>
        <v/>
      </c>
      <c r="C1196" s="1">
        <f>IFERROR(__xludf.DUMMYFUNCTION("""COMPUTED_VALUE"""),TRUE)</f>
        <v/>
      </c>
      <c r="D1196" s="1">
        <f>IFERROR(__xludf.DUMMYFUNCTION("""COMPUTED_VALUE"""),"Miralearn")</f>
        <v/>
      </c>
      <c r="E1196" s="15">
        <f>IFERROR(__xludf.DUMMYFUNCTION("""COMPUTED_VALUE"""),"www.miralearn.com")</f>
        <v/>
      </c>
      <c r="F1196" s="1">
        <f>IFERROR(__xludf.DUMMYFUNCTION("""COMPUTED_VALUE"""),"Miralearn is the easiest, fastest and most secure password manager for schools out there. We help teachers, schools, and entire school districts to say goodbye to login frustration and reclaim more valuable learning time with lightning-fast, no-typing log"&amp;"ins. 
We enable school leaders and IT managers to gain insight into learning services usage and help them make the right decision for future purchasing decisions, saving them from wasting money and time.")</f>
        <v/>
      </c>
      <c r="G1196" s="1">
        <f>IFERROR(__xludf.DUMMYFUNCTION("""COMPUTED_VALUE"""),"Swiss EdTech Collider")</f>
        <v/>
      </c>
      <c r="H1196" s="1" t="n"/>
      <c r="I1196" s="1">
        <f>IFERROR(__xludf.DUMMYFUNCTION("""COMPUTED_VALUE"""),"hello@miralearn.com")</f>
        <v/>
      </c>
      <c r="J1196" s="1">
        <f>IFERROR(__xludf.DUMMYFUNCTION("""COMPUTED_VALUE"""),"+41 71 539 17 39")</f>
        <v/>
      </c>
      <c r="K1196" s="1">
        <f>IFERROR(__xludf.DUMMYFUNCTION("""COMPUTED_VALUE"""),"MÄRSTETTEN")</f>
        <v/>
      </c>
      <c r="L1196" s="1">
        <f>IFERROR(__xludf.DUMMYFUNCTION("""COMPUTED_VALUE"""),"Switzerland")</f>
        <v/>
      </c>
      <c r="M1196" s="1">
        <f>IFERROR(__xludf.DUMMYFUNCTION("""COMPUTED_VALUE"""),"France, Germany, Italy, Liechtenstein, Spain, Switzerland")</f>
        <v/>
      </c>
      <c r="N1196" s="1">
        <f>IFERROR(__xludf.DUMMYFUNCTION("""COMPUTED_VALUE"""),"0 to 10")</f>
        <v/>
      </c>
      <c r="O1196" s="1">
        <f>IFERROR(__xludf.DUMMYFUNCTION("""COMPUTED_VALUE"""),"Business to Business, Business to Government")</f>
        <v/>
      </c>
      <c r="P1196" s="1">
        <f>IFERROR(__xludf.DUMMYFUNCTION("""COMPUTED_VALUE"""),"Early childhood development (0-5 years), Primary Education, Secondary Education")</f>
        <v/>
      </c>
      <c r="Q1196" s="1">
        <f>IFERROR(__xludf.DUMMYFUNCTION("""COMPUTED_VALUE"""),"Student interfacing, Teacher interfacing")</f>
        <v/>
      </c>
      <c r="R1196" s="15">
        <f>IFERROR(__xludf.DUMMYFUNCTION("""COMPUTED_VALUE"""),"https://www.instagram.com/miralearn_com/")</f>
        <v/>
      </c>
      <c r="S1196" s="1" t="n"/>
      <c r="T1196" s="15">
        <f>IFERROR(__xludf.DUMMYFUNCTION("""COMPUTED_VALUE"""),"https://www.linkedin.com/company/miralearn")</f>
        <v/>
      </c>
      <c r="U1196" s="1">
        <f>IFERROR(__xludf.DUMMYFUNCTION("""COMPUTED_VALUE"""),"MiraPass")</f>
        <v/>
      </c>
      <c r="V1196" s="1">
        <f>IFERROR(__xludf.DUMMYFUNCTION("""COMPUTED_VALUE"""),"MiraPass is the easiest, fastest and most secure password manager for schools. With MiraPass, a QR code login badge that eliminates typing, we help students easily log in and remember their passwords - with the help of elephants ;-)")</f>
        <v/>
      </c>
      <c r="W1196" s="1">
        <f>IFERROR(__xludf.DUMMYFUNCTION("""COMPUTED_VALUE"""),"Miralearn")</f>
        <v/>
      </c>
      <c r="X1196" s="1">
        <f>IFERROR(__xludf.DUMMYFUNCTION("""COMPUTED_VALUE"""),"Miralearn is an exraordinary K-12 LMS that makes learning visible in a ""Settlers of Catan"" boardgame-style learning map! Tasks and learning content are made available to students via Miralearn and are linked to learning objectives and standards. The mor"&amp;"e they learn, the larger their own kingdom becomes, with castles, villages, farmlands and far reaching countrysides. 
Thanks to the simplified methodology: Discover - Learn - Create - Grow, standards-based lesson planning, execution and evaluation becomes"&amp;" a literal child's game for both students and teachers!")</f>
        <v/>
      </c>
      <c r="Y1196" s="15">
        <f>IFERROR(__xludf.DUMMYFUNCTION("""COMPUTED_VALUE"""),"https://drive.google.com/uc?export=view&amp;id=1SHUzG4dkFvGpN2PyKVU1mFc6kJhwxiaG")</f>
        <v/>
      </c>
      <c r="Z1196" s="1">
        <f>IFERROR(__xludf.DUMMYFUNCTION("""COMPUTED_VALUE"""),"Unverified")</f>
        <v/>
      </c>
      <c r="AA1196" s="1" t="n"/>
      <c r="AB1196" s="1" t="n"/>
      <c r="AC1196" s="1" t="n"/>
      <c r="AD1196" s="1" t="n"/>
      <c r="AE1196" s="1" t="n"/>
    </row>
    <row r="1197" ht="42" customHeight="1">
      <c r="A1197" s="14">
        <f>IFERROR(__xludf.DUMMYFUNCTION("""COMPUTED_VALUE"""),45181)</f>
        <v/>
      </c>
      <c r="B1197" s="1">
        <f>IFERROR(__xludf.DUMMYFUNCTION("""COMPUTED_VALUE"""),"ORG_2123")</f>
        <v/>
      </c>
      <c r="C1197" s="1">
        <f>IFERROR(__xludf.DUMMYFUNCTION("""COMPUTED_VALUE"""),TRUE)</f>
        <v/>
      </c>
      <c r="D1197" s="15">
        <f>IFERROR(__xludf.DUMMYFUNCTION("""COMPUTED_VALUE"""),"Profe.com")</f>
        <v/>
      </c>
      <c r="E1197" s="15">
        <f>IFERROR(__xludf.DUMMYFUNCTION("""COMPUTED_VALUE"""),"https://www.profe.com/")</f>
        <v/>
      </c>
      <c r="F1197" s="1">
        <f>IFERROR(__xludf.DUMMYFUNCTION("""COMPUTED_VALUE"""),"Profe.com is an online tutoring service that helps students achieve their potential through video lessons and chat.")</f>
        <v/>
      </c>
      <c r="G1197" s="1">
        <f>IFERROR(__xludf.DUMMYFUNCTION("""COMPUTED_VALUE"""),"I'm not part of any EdTech association")</f>
        <v/>
      </c>
      <c r="H1197" s="1" t="n"/>
      <c r="I1197" s="1">
        <f>IFERROR(__xludf.DUMMYFUNCTION("""COMPUTED_VALUE"""),"info@profe.com")</f>
        <v/>
      </c>
      <c r="J1197" s="1" t="n"/>
      <c r="K1197" s="1">
        <f>IFERROR(__xludf.DUMMYFUNCTION("""COMPUTED_VALUE"""),"Barcelona")</f>
        <v/>
      </c>
      <c r="L1197" s="1">
        <f>IFERROR(__xludf.DUMMYFUNCTION("""COMPUTED_VALUE"""),"Spain")</f>
        <v/>
      </c>
      <c r="M1197" s="1">
        <f>IFERROR(__xludf.DUMMYFUNCTION("""COMPUTED_VALUE"""),"Spain")</f>
        <v/>
      </c>
      <c r="N1197" s="1">
        <f>IFERROR(__xludf.DUMMYFUNCTION("""COMPUTED_VALUE"""),"0 to 10")</f>
        <v/>
      </c>
      <c r="O1197" s="1">
        <f>IFERROR(__xludf.DUMMYFUNCTION("""COMPUTED_VALUE"""),"Business to Consumer")</f>
        <v/>
      </c>
      <c r="P1197" s="1">
        <f>IFERROR(__xludf.DUMMYFUNCTION("""COMPUTED_VALUE"""),"Primary Education, Secondary Education")</f>
        <v/>
      </c>
      <c r="Q1197" s="1">
        <f>IFERROR(__xludf.DUMMYFUNCTION("""COMPUTED_VALUE"""),"System/Administrative")</f>
        <v/>
      </c>
      <c r="R1197" s="1" t="n"/>
      <c r="S1197" s="1" t="n"/>
      <c r="T1197" s="1" t="n"/>
      <c r="U1197" s="1" t="n"/>
      <c r="V1197" s="1" t="n"/>
      <c r="W1197" s="1" t="n"/>
      <c r="X1197" s="1" t="n"/>
      <c r="Y1197" s="15">
        <f>IFERROR(__xludf.DUMMYFUNCTION("""COMPUTED_VALUE"""),"https://drive.google.com/uc?export=view&amp;id=1PlOcLgjfLgqiiVU5ipq-wKU60Eax-X_d")</f>
        <v/>
      </c>
      <c r="Z1197" s="1">
        <f>IFERROR(__xludf.DUMMYFUNCTION("""COMPUTED_VALUE"""),"Unverified")</f>
        <v/>
      </c>
      <c r="AA1197" s="1" t="n"/>
      <c r="AB1197" s="1" t="n"/>
      <c r="AC1197" s="1" t="n"/>
      <c r="AD1197" s="1" t="n"/>
      <c r="AE1197" s="1" t="n"/>
    </row>
    <row r="1198" ht="42" customHeight="1">
      <c r="A1198" s="14">
        <f>IFERROR(__xludf.DUMMYFUNCTION("""COMPUTED_VALUE"""),45181)</f>
        <v/>
      </c>
      <c r="B1198" s="1">
        <f>IFERROR(__xludf.DUMMYFUNCTION("""COMPUTED_VALUE"""),"ORG_1042")</f>
        <v/>
      </c>
      <c r="C1198" s="1">
        <f>IFERROR(__xludf.DUMMYFUNCTION("""COMPUTED_VALUE"""),TRUE)</f>
        <v/>
      </c>
      <c r="D1198" s="1">
        <f>IFERROR(__xludf.DUMMYFUNCTION("""COMPUTED_VALUE"""),"Aiedu Oy")</f>
        <v/>
      </c>
      <c r="E1198" s="15">
        <f>IFERROR(__xludf.DUMMYFUNCTION("""COMPUTED_VALUE"""),"https://www.aiedus.io/")</f>
        <v/>
      </c>
      <c r="F1198" s="1">
        <f>IFERROR(__xludf.DUMMYFUNCTION("""COMPUTED_VALUE"""),"Aiedu provides blended digital training to empower innovators to shape the future with digital skills. We aim to improve the accessibility of digital literacy by facilitating students and teachers.")</f>
        <v/>
      </c>
      <c r="G1198" s="1">
        <f>IFERROR(__xludf.DUMMYFUNCTION("""COMPUTED_VALUE"""),"I'm not part of any EdTech association")</f>
        <v/>
      </c>
      <c r="H1198" s="1" t="n"/>
      <c r="I1198" s="1">
        <f>IFERROR(__xludf.DUMMYFUNCTION("""COMPUTED_VALUE"""),"info@aiedus.io")</f>
        <v/>
      </c>
      <c r="J1198" s="1">
        <f>IFERROR(__xludf.DUMMYFUNCTION("""COMPUTED_VALUE"""),"+358 442 308 186")</f>
        <v/>
      </c>
      <c r="K1198" s="1">
        <f>IFERROR(__xludf.DUMMYFUNCTION("""COMPUTED_VALUE"""),"Helsinki")</f>
        <v/>
      </c>
      <c r="L1198" s="1">
        <f>IFERROR(__xludf.DUMMYFUNCTION("""COMPUTED_VALUE"""),"Finland")</f>
        <v/>
      </c>
      <c r="M1198" s="1">
        <f>IFERROR(__xludf.DUMMYFUNCTION("""COMPUTED_VALUE"""),"Finland, Norway, Sweden")</f>
        <v/>
      </c>
      <c r="N1198" s="1">
        <f>IFERROR(__xludf.DUMMYFUNCTION("""COMPUTED_VALUE"""),"0 to 10")</f>
        <v/>
      </c>
      <c r="O1198" s="1">
        <f>IFERROR(__xludf.DUMMYFUNCTION("""COMPUTED_VALUE"""),"Business to Business, Business to Consumer, Business to Government, Business to Schools")</f>
        <v/>
      </c>
      <c r="P1198" s="1">
        <f>IFERROR(__xludf.DUMMYFUNCTION("""COMPUTED_VALUE"""),"Primary Education, Secondary Education, Higher Education, Lifelong learning/Adult education")</f>
        <v/>
      </c>
      <c r="Q1198" s="1">
        <f>IFERROR(__xludf.DUMMYFUNCTION("""COMPUTED_VALUE"""),"System/Administrative, Student interfacing, Teacher interfacing")</f>
        <v/>
      </c>
      <c r="R1198" s="1" t="n"/>
      <c r="S1198" s="1" t="n"/>
      <c r="T1198" s="1" t="n"/>
      <c r="U1198" s="1" t="n"/>
      <c r="V1198" s="1" t="n"/>
      <c r="W1198" s="1" t="n"/>
      <c r="X1198" s="1" t="n"/>
      <c r="Y1198" s="15">
        <f>IFERROR(__xludf.DUMMYFUNCTION("""COMPUTED_VALUE"""),"https://drive.google.com/uc?export=view&amp;id=1BqR_ddLLbHHt7J5yZynQHOjo0OB5Yy3Z")</f>
        <v/>
      </c>
      <c r="Z1198" s="1">
        <f>IFERROR(__xludf.DUMMYFUNCTION("""COMPUTED_VALUE"""),"Unverified")</f>
        <v/>
      </c>
      <c r="AA1198" s="1" t="n"/>
      <c r="AB1198" s="1" t="n"/>
      <c r="AC1198" s="1" t="n"/>
      <c r="AD1198" s="1" t="n"/>
      <c r="AE1198" s="1" t="n"/>
    </row>
    <row r="1199" ht="42" customHeight="1">
      <c r="A1199" s="14">
        <f>IFERROR(__xludf.DUMMYFUNCTION("""COMPUTED_VALUE"""),45181)</f>
        <v/>
      </c>
      <c r="B1199" s="1">
        <f>IFERROR(__xludf.DUMMYFUNCTION("""COMPUTED_VALUE"""),"ORG_1886")</f>
        <v/>
      </c>
      <c r="C1199" s="1">
        <f>IFERROR(__xludf.DUMMYFUNCTION("""COMPUTED_VALUE"""),TRUE)</f>
        <v/>
      </c>
      <c r="D1199" s="1">
        <f>IFERROR(__xludf.DUMMYFUNCTION("""COMPUTED_VALUE"""),"Linguineo")</f>
        <v/>
      </c>
      <c r="E1199" s="15">
        <f>IFERROR(__xludf.DUMMYFUNCTION("""COMPUTED_VALUE"""),"https://www.linguineo.com")</f>
        <v/>
      </c>
      <c r="F1199" s="1">
        <f>IFERROR(__xludf.DUMMYFUNCTION("""COMPUTED_VALUE"""),"Linguineo wants to bring the most fun language learning games with virtual characters to the market with a strong focus on acquiring spoken &amp; written fluency")</f>
        <v/>
      </c>
      <c r="G1199" s="1">
        <f>IFERROR(__xludf.DUMMYFUNCTION("""COMPUTED_VALUE"""),"I'm not part of any EdTech association")</f>
        <v/>
      </c>
      <c r="H1199" s="1" t="n"/>
      <c r="I1199" s="1">
        <f>IFERROR(__xludf.DUMMYFUNCTION("""COMPUTED_VALUE"""),"hello@linguineo.com")</f>
        <v/>
      </c>
      <c r="J1199" s="1" t="n"/>
      <c r="K1199" s="1">
        <f>IFERROR(__xludf.DUMMYFUNCTION("""COMPUTED_VALUE"""),"Leuven")</f>
        <v/>
      </c>
      <c r="L1199" s="1">
        <f>IFERROR(__xludf.DUMMYFUNCTION("""COMPUTED_VALUE"""),"Belgium")</f>
        <v/>
      </c>
      <c r="M1199" s="1">
        <f>IFERROR(__xludf.DUMMYFUNCTION("""COMPUTED_VALUE"""),"Belgium")</f>
        <v/>
      </c>
      <c r="N1199" s="1">
        <f>IFERROR(__xludf.DUMMYFUNCTION("""COMPUTED_VALUE"""),"0 to 10")</f>
        <v/>
      </c>
      <c r="O1199" s="1">
        <f>IFERROR(__xludf.DUMMYFUNCTION("""COMPUTED_VALUE"""),"Business to Business, Business to Government, Business to Schools")</f>
        <v/>
      </c>
      <c r="P1199" s="1">
        <f>IFERROR(__xludf.DUMMYFUNCTION("""COMPUTED_VALUE"""),"Primary Education, Secondary Education, Higher Education, Corporate Training, Lifelong learning/Adult education")</f>
        <v/>
      </c>
      <c r="Q1199" s="1">
        <f>IFERROR(__xludf.DUMMYFUNCTION("""COMPUTED_VALUE"""),"System/Administrative, Student interfacing, Teacher interfacing")</f>
        <v/>
      </c>
      <c r="R1199" s="1" t="n"/>
      <c r="S1199" s="1" t="n"/>
      <c r="T1199" s="1" t="n"/>
      <c r="U1199" s="1" t="n"/>
      <c r="V1199" s="1" t="n"/>
      <c r="W1199" s="1" t="n"/>
      <c r="X1199" s="1" t="n"/>
      <c r="Y1199" s="15">
        <f>IFERROR(__xludf.DUMMYFUNCTION("""COMPUTED_VALUE"""),"https://drive.google.com/uc?export=view&amp;id=1i8f0e2ouKQNHCpIh8bVuuP6eByYFJ15g")</f>
        <v/>
      </c>
      <c r="Z1199" s="1">
        <f>IFERROR(__xludf.DUMMYFUNCTION("""COMPUTED_VALUE"""),"Unverified")</f>
        <v/>
      </c>
      <c r="AA1199" s="1" t="n"/>
      <c r="AB1199" s="1" t="n"/>
      <c r="AC1199" s="1" t="n"/>
      <c r="AD1199" s="1" t="n"/>
      <c r="AE1199" s="1" t="n"/>
    </row>
    <row r="1200" ht="42" customHeight="1">
      <c r="A1200" s="14">
        <f>IFERROR(__xludf.DUMMYFUNCTION("""COMPUTED_VALUE"""),45181)</f>
        <v/>
      </c>
      <c r="B1200" s="1">
        <f>IFERROR(__xludf.DUMMYFUNCTION("""COMPUTED_VALUE"""),"ORG_2138")</f>
        <v/>
      </c>
      <c r="C1200" s="1">
        <f>IFERROR(__xludf.DUMMYFUNCTION("""COMPUTED_VALUE"""),TRUE)</f>
        <v/>
      </c>
      <c r="D1200" s="1">
        <f>IFERROR(__xludf.DUMMYFUNCTION("""COMPUTED_VALUE"""),"PyctoEscritura")</f>
        <v/>
      </c>
      <c r="E1200" s="15">
        <f>IFERROR(__xludf.DUMMYFUNCTION("""COMPUTED_VALUE"""),"https://www.pictoescritura.com/")</f>
        <v/>
      </c>
      <c r="F1200" s="1">
        <f>IFERROR(__xludf.DUMMYFUNCTION("""COMPUTED_VALUE"""),"PYCTO has developed a multimodal online platform for Primary schools to foster creativity and literacy.
PYCTO is a methodology that makes instrumental use of the image, and especially drawing, as a tool to learn to read and write and develop creative thin"&amp;"king. The platform covers the entire curriculum and allows the Integrated treatment of languages ​​(Spanish, Basque or Catalan, English).
The methodology sequences didactic units that promote divergent thinking, with units that work on convergent thinking"&amp;", focusing on the process instead of the result.
It is an adaptive and inclusive platform that applies machine learning and artificial intelligence to respond to the diversity of learning styles that coexist in the classroom.")</f>
        <v/>
      </c>
      <c r="G1200" s="1">
        <f>IFERROR(__xludf.DUMMYFUNCTION("""COMPUTED_VALUE"""),"EduTech Cluster Spain")</f>
        <v/>
      </c>
      <c r="H1200" s="1" t="n"/>
      <c r="I1200" s="1">
        <f>IFERROR(__xludf.DUMMYFUNCTION("""COMPUTED_VALUE"""),"roser.ballesteros@pictoescritura.com")</f>
        <v/>
      </c>
      <c r="J1200" s="1">
        <f>IFERROR(__xludf.DUMMYFUNCTION("""COMPUTED_VALUE"""),"+34931576336")</f>
        <v/>
      </c>
      <c r="K1200" s="1">
        <f>IFERROR(__xludf.DUMMYFUNCTION("""COMPUTED_VALUE"""),"Barcelona")</f>
        <v/>
      </c>
      <c r="L1200" s="1">
        <f>IFERROR(__xludf.DUMMYFUNCTION("""COMPUTED_VALUE"""),"Spain")</f>
        <v/>
      </c>
      <c r="M1200" s="1">
        <f>IFERROR(__xludf.DUMMYFUNCTION("""COMPUTED_VALUE"""),"Spain")</f>
        <v/>
      </c>
      <c r="N1200" s="1">
        <f>IFERROR(__xludf.DUMMYFUNCTION("""COMPUTED_VALUE"""),"0 to 10")</f>
        <v/>
      </c>
      <c r="O1200" s="1">
        <f>IFERROR(__xludf.DUMMYFUNCTION("""COMPUTED_VALUE"""),"Business to Government, Business to Schools")</f>
        <v/>
      </c>
      <c r="P1200" s="1">
        <f>IFERROR(__xludf.DUMMYFUNCTION("""COMPUTED_VALUE"""),"Primary Education")</f>
        <v/>
      </c>
      <c r="Q1200" s="1">
        <f>IFERROR(__xludf.DUMMYFUNCTION("""COMPUTED_VALUE"""),"Student interfacing, Teacher interfacing")</f>
        <v/>
      </c>
      <c r="R1200" s="1">
        <f>IFERROR(__xludf.DUMMYFUNCTION("""COMPUTED_VALUE"""),"@PictoEscritura")</f>
        <v/>
      </c>
      <c r="S1200" s="1">
        <f>IFERROR(__xludf.DUMMYFUNCTION("""COMPUTED_VALUE"""),"@PictoEscritura")</f>
        <v/>
      </c>
      <c r="T1200" s="1">
        <f>IFERROR(__xludf.DUMMYFUNCTION("""COMPUTED_VALUE"""),"PictoEscritura")</f>
        <v/>
      </c>
      <c r="U1200" s="1">
        <f>IFERROR(__xludf.DUMMYFUNCTION("""COMPUTED_VALUE"""),"PYCTO: www,pictoescritura.com")</f>
        <v/>
      </c>
      <c r="V1200" s="1">
        <f>IFERROR(__xludf.DUMMYFUNCTION("""COMPUTED_VALUE"""),"Online multimodal adaptative language and literacy platform for Primary Schools, which applies AI and machine learning to include all learning styles and needs.")</f>
        <v/>
      </c>
      <c r="W1200" s="1" t="n"/>
      <c r="X1200" s="1" t="n"/>
      <c r="Y1200" s="1" t="n"/>
      <c r="Z1200" s="1">
        <f>IFERROR(__xludf.DUMMYFUNCTION("""COMPUTED_VALUE"""),"Unverified")</f>
        <v/>
      </c>
      <c r="AA1200" s="1" t="n"/>
      <c r="AB1200" s="1" t="n"/>
      <c r="AC1200" s="1" t="n"/>
      <c r="AD1200" s="1" t="n"/>
      <c r="AE1200" s="1" t="n"/>
    </row>
    <row r="1201" ht="42" customHeight="1">
      <c r="A1201" s="14">
        <f>IFERROR(__xludf.DUMMYFUNCTION("""COMPUTED_VALUE"""),45181)</f>
        <v/>
      </c>
      <c r="B1201" s="1">
        <f>IFERROR(__xludf.DUMMYFUNCTION("""COMPUTED_VALUE"""),"ORG_1051")</f>
        <v/>
      </c>
      <c r="C1201" s="1">
        <f>IFERROR(__xludf.DUMMYFUNCTION("""COMPUTED_VALUE"""),TRUE)</f>
        <v/>
      </c>
      <c r="D1201" s="1">
        <f>IFERROR(__xludf.DUMMYFUNCTION("""COMPUTED_VALUE"""),"Aline - Learn Better")</f>
        <v/>
      </c>
      <c r="E1201" s="15">
        <f>IFERROR(__xludf.DUMMYFUNCTION("""COMPUTED_VALUE"""),"www.alinebetter.com")</f>
        <v/>
      </c>
      <c r="F1201" s="1">
        <f>IFERROR(__xludf.DUMMYFUNCTION("""COMPUTED_VALUE"""),"A unique intelligent learning platform that allows individuals to re- &amp; upskill and accelerate learning.
Aline is a subscription-based Learning Experience Platform (LXP) with a social network and marketplace of integrations with online learning providers"&amp;" and vocational technology services. Aline drives careers and organizations with efficiency &amp; curiosity, whilst creating more equitable opportunities for learning, and making education more dynamic and accessible.
Lifelong Learning, quantified and valida"&amp;"ted for increased productivity in the Information Age. Founded in 2021 by three passionate and driven cofounders, based in Stockholm, Sweden with ambitious growth goals for 2022 to change the way we learn, grow and adapt as adults.")</f>
        <v/>
      </c>
      <c r="G1201" s="1">
        <f>IFERROR(__xludf.DUMMYFUNCTION("""COMPUTED_VALUE"""),"xEdu")</f>
        <v/>
      </c>
      <c r="H1201" s="1" t="n"/>
      <c r="I1201" s="1">
        <f>IFERROR(__xludf.DUMMYFUNCTION("""COMPUTED_VALUE"""),"hello@alinebetter.com")</f>
        <v/>
      </c>
      <c r="J1201" s="1" t="n"/>
      <c r="K1201" s="1">
        <f>IFERROR(__xludf.DUMMYFUNCTION("""COMPUTED_VALUE"""),"STOCKHOLM")</f>
        <v/>
      </c>
      <c r="L1201" s="1">
        <f>IFERROR(__xludf.DUMMYFUNCTION("""COMPUTED_VALUE"""),"Sweden")</f>
        <v/>
      </c>
      <c r="M1201" s="1">
        <f>IFERROR(__xludf.DUMMYFUNCTION("""COMPUTED_VALUE"""),"Denmark, Finland, Norway, Sweden, United Kingdom")</f>
        <v/>
      </c>
      <c r="N1201" s="1">
        <f>IFERROR(__xludf.DUMMYFUNCTION("""COMPUTED_VALUE"""),"0 to 10")</f>
        <v/>
      </c>
      <c r="O1201" s="1">
        <f>IFERROR(__xludf.DUMMYFUNCTION("""COMPUTED_VALUE"""),"Business to Business")</f>
        <v/>
      </c>
      <c r="P1201" s="1">
        <f>IFERROR(__xludf.DUMMYFUNCTION("""COMPUTED_VALUE"""),"Corporate Training, Lifelong learning/Adult education")</f>
        <v/>
      </c>
      <c r="Q1201" s="1">
        <f>IFERROR(__xludf.DUMMYFUNCTION("""COMPUTED_VALUE"""),"Student interfacing, System/Administrative")</f>
        <v/>
      </c>
      <c r="R1201" s="1" t="n"/>
      <c r="S1201" s="1" t="n"/>
      <c r="T1201" s="1" t="n"/>
      <c r="U1201" s="1" t="n"/>
      <c r="V1201" s="1" t="n"/>
      <c r="W1201" s="1" t="n"/>
      <c r="X1201" s="1" t="n"/>
      <c r="Y1201" s="15">
        <f>IFERROR(__xludf.DUMMYFUNCTION("""COMPUTED_VALUE"""),"https://drive.google.com/uc?export=view&amp;id=17JNUsn2pNnxIwBAEa9Gd3ya6XKjcb65c")</f>
        <v/>
      </c>
      <c r="Z1201" s="1">
        <f>IFERROR(__xludf.DUMMYFUNCTION("""COMPUTED_VALUE"""),"Unverified")</f>
        <v/>
      </c>
      <c r="AA1201" s="1" t="n"/>
      <c r="AB1201" s="1" t="n"/>
      <c r="AC1201" s="1" t="n"/>
      <c r="AD1201" s="1" t="n"/>
      <c r="AE1201" s="1" t="n"/>
    </row>
    <row r="1202" ht="42" customHeight="1">
      <c r="A1202" s="14">
        <f>IFERROR(__xludf.DUMMYFUNCTION("""COMPUTED_VALUE"""),45181)</f>
        <v/>
      </c>
      <c r="B1202" s="1">
        <f>IFERROR(__xludf.DUMMYFUNCTION("""COMPUTED_VALUE"""),"ORG_1142")</f>
        <v/>
      </c>
      <c r="C1202" s="1">
        <f>IFERROR(__xludf.DUMMYFUNCTION("""COMPUTED_VALUE"""),TRUE)</f>
        <v/>
      </c>
      <c r="D1202" s="1">
        <f>IFERROR(__xludf.DUMMYFUNCTION("""COMPUTED_VALUE"""),"Becquerel")</f>
        <v/>
      </c>
      <c r="E1202" s="15">
        <f>IFERROR(__xludf.DUMMYFUNCTION("""COMPUTED_VALUE"""),"https://www.becquerel.es/")</f>
        <v/>
      </c>
      <c r="F1202" s="1">
        <f>IFERROR(__xludf.DUMMYFUNCTION("""COMPUTED_VALUE"""),"Educational platform specialized in helping students with the preparatory exam for University.")</f>
        <v/>
      </c>
      <c r="G1202" s="1">
        <f>IFERROR(__xludf.DUMMYFUNCTION("""COMPUTED_VALUE"""),"I'm not part of any EdTech association")</f>
        <v/>
      </c>
      <c r="H1202" s="1" t="n"/>
      <c r="I1202" s="1">
        <f>IFERROR(__xludf.DUMMYFUNCTION("""COMPUTED_VALUE"""),"joanvalero@becquerel.es")</f>
        <v/>
      </c>
      <c r="J1202" s="1">
        <f>IFERROR(__xludf.DUMMYFUNCTION("""COMPUTED_VALUE"""),"+34 622375109")</f>
        <v/>
      </c>
      <c r="K1202" s="1">
        <f>IFERROR(__xludf.DUMMYFUNCTION("""COMPUTED_VALUE"""),"ALFAFAR")</f>
        <v/>
      </c>
      <c r="L1202" s="1">
        <f>IFERROR(__xludf.DUMMYFUNCTION("""COMPUTED_VALUE"""),"Spain")</f>
        <v/>
      </c>
      <c r="M1202" s="1">
        <f>IFERROR(__xludf.DUMMYFUNCTION("""COMPUTED_VALUE"""),"Spain")</f>
        <v/>
      </c>
      <c r="N1202" s="1">
        <f>IFERROR(__xludf.DUMMYFUNCTION("""COMPUTED_VALUE"""),"0 to 10")</f>
        <v/>
      </c>
      <c r="O1202" s="1">
        <f>IFERROR(__xludf.DUMMYFUNCTION("""COMPUTED_VALUE"""),"Business to Business")</f>
        <v/>
      </c>
      <c r="P1202" s="1">
        <f>IFERROR(__xludf.DUMMYFUNCTION("""COMPUTED_VALUE"""),"Secondary Education")</f>
        <v/>
      </c>
      <c r="Q1202" s="1">
        <f>IFERROR(__xludf.DUMMYFUNCTION("""COMPUTED_VALUE"""),"Student interfacing")</f>
        <v/>
      </c>
      <c r="R1202" s="1" t="n"/>
      <c r="S1202" s="1" t="n"/>
      <c r="T1202" s="1" t="n"/>
      <c r="U1202" s="1" t="n"/>
      <c r="V1202" s="1" t="n"/>
      <c r="W1202" s="1" t="n"/>
      <c r="X1202" s="1" t="n"/>
      <c r="Y1202" s="15">
        <f>IFERROR(__xludf.DUMMYFUNCTION("""COMPUTED_VALUE"""),"https://drive.google.com/uc?export=view&amp;id=1xpw2qFPjf_Onmwkpf7LPSKbZi-Lrz61r")</f>
        <v/>
      </c>
      <c r="Z1202" s="1">
        <f>IFERROR(__xludf.DUMMYFUNCTION("""COMPUTED_VALUE"""),"Unverified")</f>
        <v/>
      </c>
      <c r="AA1202" s="1" t="n"/>
      <c r="AB1202" s="1" t="n"/>
      <c r="AC1202" s="1" t="n"/>
      <c r="AD1202" s="1" t="n"/>
      <c r="AE1202" s="1" t="n"/>
    </row>
    <row r="1203" ht="42" customHeight="1">
      <c r="A1203" s="14">
        <f>IFERROR(__xludf.DUMMYFUNCTION("""COMPUTED_VALUE"""),45181)</f>
        <v/>
      </c>
      <c r="B1203" s="1">
        <f>IFERROR(__xludf.DUMMYFUNCTION("""COMPUTED_VALUE"""),"ORG_1175")</f>
        <v/>
      </c>
      <c r="C1203" s="1">
        <f>IFERROR(__xludf.DUMMYFUNCTION("""COMPUTED_VALUE"""),TRUE)</f>
        <v/>
      </c>
      <c r="D1203" s="1">
        <f>IFERROR(__xludf.DUMMYFUNCTION("""COMPUTED_VALUE"""),"Bloomsights")</f>
        <v/>
      </c>
      <c r="E1203" s="15">
        <f>IFERROR(__xludf.DUMMYFUNCTION("""COMPUTED_VALUE"""),"Bloomsights.com")</f>
        <v/>
      </c>
      <c r="F1203" s="1">
        <f>IFERROR(__xludf.DUMMYFUNCTION("""COMPUTED_VALUE"""),"A STUDENT-ORIENTED DIGITAL WELL-BEING TOOL
A REVOLUTIONARY NEW WAY BY BUILDING STRONG AND INCLUSIVE SCHOOL COMMUNITIES")</f>
        <v/>
      </c>
      <c r="G1203" s="1">
        <f>IFERROR(__xludf.DUMMYFUNCTION("""COMPUTED_VALUE"""),"I'm not part of any EdTech association")</f>
        <v/>
      </c>
      <c r="H1203" s="1" t="n"/>
      <c r="I1203" s="1">
        <f>IFERROR(__xludf.DUMMYFUNCTION("""COMPUTED_VALUE"""),"john@bloomsights.dk")</f>
        <v/>
      </c>
      <c r="J1203" s="1">
        <f>IFERROR(__xludf.DUMMYFUNCTION("""COMPUTED_VALUE"""),"4542944060")</f>
        <v/>
      </c>
      <c r="K1203" s="1">
        <f>IFERROR(__xludf.DUMMYFUNCTION("""COMPUTED_VALUE"""),"GENTOFTE")</f>
        <v/>
      </c>
      <c r="L1203" s="1">
        <f>IFERROR(__xludf.DUMMYFUNCTION("""COMPUTED_VALUE"""),"Denmark")</f>
        <v/>
      </c>
      <c r="M1203" s="1">
        <f>IFERROR(__xludf.DUMMYFUNCTION("""COMPUTED_VALUE"""),"Denmark")</f>
        <v/>
      </c>
      <c r="N1203" s="1">
        <f>IFERROR(__xludf.DUMMYFUNCTION("""COMPUTED_VALUE"""),"0 to 10")</f>
        <v/>
      </c>
      <c r="O1203" s="1">
        <f>IFERROR(__xludf.DUMMYFUNCTION("""COMPUTED_VALUE"""),"Business to Business")</f>
        <v/>
      </c>
      <c r="P1203" s="1">
        <f>IFERROR(__xludf.DUMMYFUNCTION("""COMPUTED_VALUE"""),"Early childhood development (0-5 years), Primary Education, Secondary Education")</f>
        <v/>
      </c>
      <c r="Q1203" s="1">
        <f>IFERROR(__xludf.DUMMYFUNCTION("""COMPUTED_VALUE"""),"Student interfacing, Teacher interfacing")</f>
        <v/>
      </c>
      <c r="R1203" s="1" t="n"/>
      <c r="S1203" s="1" t="n"/>
      <c r="T1203" s="1" t="n"/>
      <c r="U1203" s="1" t="n"/>
      <c r="V1203" s="1" t="n"/>
      <c r="W1203" s="1" t="n"/>
      <c r="X1203" s="1" t="n"/>
      <c r="Y1203" s="15">
        <f>IFERROR(__xludf.DUMMYFUNCTION("""COMPUTED_VALUE"""),"https://drive.google.com/uc?export=view&amp;id=1r8WZSHmZGHV4m-NRrfGiGMQlnjMALDpK")</f>
        <v/>
      </c>
      <c r="Z1203" s="1">
        <f>IFERROR(__xludf.DUMMYFUNCTION("""COMPUTED_VALUE"""),"Unverified")</f>
        <v/>
      </c>
      <c r="AA1203" s="1" t="n"/>
      <c r="AB1203" s="1" t="n"/>
      <c r="AC1203" s="1" t="n"/>
      <c r="AD1203" s="1" t="n"/>
      <c r="AE1203" s="1" t="n"/>
    </row>
    <row r="1204" ht="42" customHeight="1">
      <c r="A1204" s="14">
        <f>IFERROR(__xludf.DUMMYFUNCTION("""COMPUTED_VALUE"""),45181)</f>
        <v/>
      </c>
      <c r="B1204" s="1">
        <f>IFERROR(__xludf.DUMMYFUNCTION("""COMPUTED_VALUE"""),"ORG_1261")</f>
        <v/>
      </c>
      <c r="C1204" s="1">
        <f>IFERROR(__xludf.DUMMYFUNCTION("""COMPUTED_VALUE"""),TRUE)</f>
        <v/>
      </c>
      <c r="D1204" s="1">
        <f>IFERROR(__xludf.DUMMYFUNCTION("""COMPUTED_VALUE"""),"Clio")</f>
        <v/>
      </c>
      <c r="E1204" s="15">
        <f>IFERROR(__xludf.DUMMYFUNCTION("""COMPUTED_VALUE"""),"https://www.clio.me/dk/")</f>
        <v/>
      </c>
      <c r="F1204" s="1">
        <f>IFERROR(__xludf.DUMMYFUNCTION("""COMPUTED_VALUE"""),"Clio offers a flexible digital learning platform combining the best edtech features with engaging content focusing on activity based learning. In the Danish and Swedish market we offer content for all subjects in elementary school. 
Clio Partners offer o"&amp;"ur platform white-labeled to corporations and publishers.")</f>
        <v/>
      </c>
      <c r="G1204" s="1">
        <f>IFERROR(__xludf.DUMMYFUNCTION("""COMPUTED_VALUE"""),"EdTech Denmark, Swedish EdTech Industry")</f>
        <v/>
      </c>
      <c r="H1204" s="1" t="n"/>
      <c r="I1204" s="1">
        <f>IFERROR(__xludf.DUMMYFUNCTION("""COMPUTED_VALUE"""),"thotoe@clio.me")</f>
        <v/>
      </c>
      <c r="J1204" s="1">
        <f>IFERROR(__xludf.DUMMYFUNCTION("""COMPUTED_VALUE"""),"+4520636435")</f>
        <v/>
      </c>
      <c r="K1204" s="1">
        <f>IFERROR(__xludf.DUMMYFUNCTION("""COMPUTED_VALUE"""),"København K")</f>
        <v/>
      </c>
      <c r="L1204" s="1">
        <f>IFERROR(__xludf.DUMMYFUNCTION("""COMPUTED_VALUE"""),"Denmark")</f>
        <v/>
      </c>
      <c r="M1204" s="1">
        <f>IFERROR(__xludf.DUMMYFUNCTION("""COMPUTED_VALUE"""),"Denmark, Norway, Sweden")</f>
        <v/>
      </c>
      <c r="N1204" s="1">
        <f>IFERROR(__xludf.DUMMYFUNCTION("""COMPUTED_VALUE"""),"100+")</f>
        <v/>
      </c>
      <c r="O1204" s="1">
        <f>IFERROR(__xludf.DUMMYFUNCTION("""COMPUTED_VALUE"""),"Business to Business")</f>
        <v/>
      </c>
      <c r="P1204" s="1">
        <f>IFERROR(__xludf.DUMMYFUNCTION("""COMPUTED_VALUE"""),"Primary Education, Secondary Education")</f>
        <v/>
      </c>
      <c r="Q1204" s="1">
        <f>IFERROR(__xludf.DUMMYFUNCTION("""COMPUTED_VALUE"""),"Student interfacing, Teacher interfacing")</f>
        <v/>
      </c>
      <c r="R1204" s="1" t="n"/>
      <c r="S1204" s="1" t="n"/>
      <c r="T1204" s="15">
        <f>IFERROR(__xludf.DUMMYFUNCTION("""COMPUTED_VALUE"""),"https://www.linkedin.com/company/clio-me/mycompany/verification/")</f>
        <v/>
      </c>
      <c r="U1204" s="1">
        <f>IFERROR(__xludf.DUMMYFUNCTION("""COMPUTED_VALUE"""),"Clio")</f>
        <v/>
      </c>
      <c r="V1204" s="1">
        <f>IFERROR(__xludf.DUMMYFUNCTION("""COMPUTED_VALUE"""),"Clio offers a flexible digital learning platform combining the best edtech features with engaging content focusing on activity based learning. In the Danish and Swedish market we offer content for all subjects in elementary school. 
Clio Partners offer o"&amp;"ur platform white-labeled to corporations and publishers.")</f>
        <v/>
      </c>
      <c r="W1204" s="1" t="n"/>
      <c r="X1204" s="1" t="n"/>
      <c r="Y1204" s="15">
        <f>IFERROR(__xludf.DUMMYFUNCTION("""COMPUTED_VALUE"""),"https://drive.google.com/uc?export=view&amp;id=1Ln_pHCAuCUN3KMvvObRYs0eH2z3PyQee")</f>
        <v/>
      </c>
      <c r="Z1204" s="1">
        <f>IFERROR(__xludf.DUMMYFUNCTION("""COMPUTED_VALUE"""),"Unverified")</f>
        <v/>
      </c>
      <c r="AA1204" s="1" t="n"/>
      <c r="AB1204" s="1" t="n"/>
      <c r="AC1204" s="1" t="n"/>
      <c r="AD1204" s="1" t="n"/>
      <c r="AE1204" s="1" t="n"/>
    </row>
    <row r="1205" ht="42" customHeight="1">
      <c r="A1205" s="14">
        <f>IFERROR(__xludf.DUMMYFUNCTION("""COMPUTED_VALUE"""),45181)</f>
        <v/>
      </c>
      <c r="B1205" s="1">
        <f>IFERROR(__xludf.DUMMYFUNCTION("""COMPUTED_VALUE"""),"ORG_1377")</f>
        <v/>
      </c>
      <c r="C1205" s="1">
        <f>IFERROR(__xludf.DUMMYFUNCTION("""COMPUTED_VALUE"""),TRUE)</f>
        <v/>
      </c>
      <c r="D1205" s="1">
        <f>IFERROR(__xludf.DUMMYFUNCTION("""COMPUTED_VALUE"""),"Dotbite")</f>
        <v/>
      </c>
      <c r="E1205" s="15">
        <f>IFERROR(__xludf.DUMMYFUNCTION("""COMPUTED_VALUE"""),"www.dotbite.at")</f>
        <v/>
      </c>
      <c r="F1205" s="1">
        <f>IFERROR(__xludf.DUMMYFUNCTION("""COMPUTED_VALUE"""),"Dotbite is a collective of passionate software engineers, creative designers, digital natives, innovative thinkers, and inspiring product owners who thrive in the digital world. We specialize in scalable EdTech solutions for large amounts of data, fast in"&amp;"frastructure, and a user experience made for humans.")</f>
        <v/>
      </c>
      <c r="G1205" s="1">
        <f>IFERROR(__xludf.DUMMYFUNCTION("""COMPUTED_VALUE"""),"EdTech Austria")</f>
        <v/>
      </c>
      <c r="H1205" s="1" t="n"/>
      <c r="I1205" s="1">
        <f>IFERROR(__xludf.DUMMYFUNCTION("""COMPUTED_VALUE"""),"lukas.ott@timebite.at")</f>
        <v/>
      </c>
      <c r="J1205" s="1" t="n"/>
      <c r="K1205" s="1">
        <f>IFERROR(__xludf.DUMMYFUNCTION("""COMPUTED_VALUE"""),"Vienna")</f>
        <v/>
      </c>
      <c r="L1205" s="1">
        <f>IFERROR(__xludf.DUMMYFUNCTION("""COMPUTED_VALUE"""),"Austria")</f>
        <v/>
      </c>
      <c r="M1205" s="1">
        <f>IFERROR(__xludf.DUMMYFUNCTION("""COMPUTED_VALUE"""),"Austria, Germany, Switzerland")</f>
        <v/>
      </c>
      <c r="N1205" s="1">
        <f>IFERROR(__xludf.DUMMYFUNCTION("""COMPUTED_VALUE"""),"11 to 50")</f>
        <v/>
      </c>
      <c r="O1205" s="1">
        <f>IFERROR(__xludf.DUMMYFUNCTION("""COMPUTED_VALUE"""),"Business to Business")</f>
        <v/>
      </c>
      <c r="P1205" s="1">
        <f>IFERROR(__xludf.DUMMYFUNCTION("""COMPUTED_VALUE"""),"Higher Education")</f>
        <v/>
      </c>
      <c r="Q1205" s="1">
        <f>IFERROR(__xludf.DUMMYFUNCTION("""COMPUTED_VALUE"""),"Student interfacing, System/Administrative")</f>
        <v/>
      </c>
      <c r="R1205" s="1" t="n"/>
      <c r="S1205" s="1" t="n"/>
      <c r="T1205" s="1" t="n"/>
      <c r="U1205" s="1" t="n"/>
      <c r="V1205" s="1" t="n"/>
      <c r="W1205" s="1" t="n"/>
      <c r="X1205" s="1" t="n"/>
      <c r="Y1205" s="15">
        <f>IFERROR(__xludf.DUMMYFUNCTION("""COMPUTED_VALUE"""),"https://drive.google.com/uc?export=view&amp;id=14hbTScBNlVPFVPqIi1M61DMnbJdsZ4iN")</f>
        <v/>
      </c>
      <c r="Z1205" s="1">
        <f>IFERROR(__xludf.DUMMYFUNCTION("""COMPUTED_VALUE"""),"Unverified")</f>
        <v/>
      </c>
      <c r="AA1205" s="1" t="n"/>
      <c r="AB1205" s="1" t="n"/>
      <c r="AC1205" s="1" t="n"/>
      <c r="AD1205" s="1" t="n"/>
      <c r="AE1205" s="1" t="n"/>
    </row>
    <row r="1206" ht="42" customHeight="1">
      <c r="A1206" s="14">
        <f>IFERROR(__xludf.DUMMYFUNCTION("""COMPUTED_VALUE"""),45181)</f>
        <v/>
      </c>
      <c r="B1206" s="1">
        <f>IFERROR(__xludf.DUMMYFUNCTION("""COMPUTED_VALUE"""),"ORG_1427")</f>
        <v/>
      </c>
      <c r="C1206" s="1">
        <f>IFERROR(__xludf.DUMMYFUNCTION("""COMPUTED_VALUE"""),TRUE)</f>
        <v/>
      </c>
      <c r="D1206" s="1">
        <f>IFERROR(__xludf.DUMMYFUNCTION("""COMPUTED_VALUE"""),"Educaria")</f>
        <v/>
      </c>
      <c r="E1206" s="15">
        <f>IFERROR(__xludf.DUMMYFUNCTION("""COMPUTED_VALUE"""),"https://www.educaria.com/")</f>
        <v/>
      </c>
      <c r="F1206" s="1">
        <f>IFERROR(__xludf.DUMMYFUNCTION("""COMPUTED_VALUE"""),"Educaria has over 50 years of experience developing EdTech solutions. We are currently operating at 4 countries (Spain, Chile, Argentina and Peru) and collaborating in educational innovation projects with 4.000 educational organisations.")</f>
        <v/>
      </c>
      <c r="G1206" s="1">
        <f>IFERROR(__xludf.DUMMYFUNCTION("""COMPUTED_VALUE"""),"EduTech Cluster Spain")</f>
        <v/>
      </c>
      <c r="H1206" s="1" t="n"/>
      <c r="I1206" s="1">
        <f>IFERROR(__xludf.DUMMYFUNCTION("""COMPUTED_VALUE"""),"marketing@educaria.com")</f>
        <v/>
      </c>
      <c r="J1206" s="1">
        <f>IFERROR(__xludf.DUMMYFUNCTION("""COMPUTED_VALUE"""),"+34 91 733 20 89")</f>
        <v/>
      </c>
      <c r="K1206" s="1">
        <f>IFERROR(__xludf.DUMMYFUNCTION("""COMPUTED_VALUE"""),"MADRID")</f>
        <v/>
      </c>
      <c r="L1206" s="1">
        <f>IFERROR(__xludf.DUMMYFUNCTION("""COMPUTED_VALUE"""),"Spain")</f>
        <v/>
      </c>
      <c r="M1206" s="1">
        <f>IFERROR(__xludf.DUMMYFUNCTION("""COMPUTED_VALUE"""),"Spain")</f>
        <v/>
      </c>
      <c r="N1206" s="1">
        <f>IFERROR(__xludf.DUMMYFUNCTION("""COMPUTED_VALUE"""),"100+")</f>
        <v/>
      </c>
      <c r="O1206" s="1">
        <f>IFERROR(__xludf.DUMMYFUNCTION("""COMPUTED_VALUE"""),"Business to Business")</f>
        <v/>
      </c>
      <c r="P1206" s="1">
        <f>IFERROR(__xludf.DUMMYFUNCTION("""COMPUTED_VALUE"""),"Early childhood development (0-5 years), Primary Education, Secondary Education, Higher Education")</f>
        <v/>
      </c>
      <c r="Q1206" s="1">
        <f>IFERROR(__xludf.DUMMYFUNCTION("""COMPUTED_VALUE"""),"Teacher interfacing, Student interfacing, System/Administrative")</f>
        <v/>
      </c>
      <c r="R1206" s="1" t="n"/>
      <c r="S1206" s="1">
        <f>IFERROR(__xludf.DUMMYFUNCTION("""COMPUTED_VALUE"""),"@AlexiaEducacion")</f>
        <v/>
      </c>
      <c r="T1206" s="15">
        <f>IFERROR(__xludf.DUMMYFUNCTION("""COMPUTED_VALUE"""),"https://www.linkedin.com/company/educaria-euro/")</f>
        <v/>
      </c>
      <c r="U1206" s="1">
        <f>IFERROR(__xludf.DUMMYFUNCTION("""COMPUTED_VALUE"""),"Alexia")</f>
        <v/>
      </c>
      <c r="V1206" s="1">
        <f>IFERROR(__xludf.DUMMYFUNCTION("""COMPUTED_VALUE"""),"Alexia Suite Educativa is a full web MIS/SIS platform that meets every school needs: academic, administration, accounts&amp; finance, communication, teaching and learning. Our comprehensive API allows to connect other tools with Alexia, in a truly integrated "&amp;"system.")</f>
        <v/>
      </c>
      <c r="W1206" s="1" t="n"/>
      <c r="X1206" s="1" t="n"/>
      <c r="Y1206" s="15">
        <f>IFERROR(__xludf.DUMMYFUNCTION("""COMPUTED_VALUE"""),"https://drive.google.com/uc?export=view&amp;id=1RXUF60jwgI4jSpZ-ixCr6JN1Fz5fPwtU")</f>
        <v/>
      </c>
      <c r="Z1206" s="1">
        <f>IFERROR(__xludf.DUMMYFUNCTION("""COMPUTED_VALUE"""),"Unverified")</f>
        <v/>
      </c>
      <c r="AA1206" s="1" t="n"/>
      <c r="AB1206" s="1" t="n"/>
      <c r="AC1206" s="1" t="n"/>
      <c r="AD1206" s="1" t="n"/>
      <c r="AE1206" s="1" t="n"/>
    </row>
    <row r="1207" ht="42" customHeight="1">
      <c r="A1207" s="14">
        <f>IFERROR(__xludf.DUMMYFUNCTION("""COMPUTED_VALUE"""),45181)</f>
        <v/>
      </c>
      <c r="B1207" s="1">
        <f>IFERROR(__xludf.DUMMYFUNCTION("""COMPUTED_VALUE"""),"ORG_1435")</f>
        <v/>
      </c>
      <c r="C1207" s="1">
        <f>IFERROR(__xludf.DUMMYFUNCTION("""COMPUTED_VALUE"""),TRUE)</f>
        <v/>
      </c>
      <c r="D1207" s="1">
        <f>IFERROR(__xludf.DUMMYFUNCTION("""COMPUTED_VALUE"""),"Educlever")</f>
        <v/>
      </c>
      <c r="E1207" s="15">
        <f>IFERROR(__xludf.DUMMYFUNCTION("""COMPUTED_VALUE"""),"https://www.educlever.com")</f>
        <v/>
      </c>
      <c r="F1207" s="1">
        <f>IFERROR(__xludf.DUMMYFUNCTION("""COMPUTED_VALUE"""),"Educlever offers individualized learning paths in education and training through a comprehensive digital platform that could either be led with proprietary or third part content.
The platform is built on an in-house adaptive learning tool powered by the l"&amp;"atest research in learning science and neuroscience.")</f>
        <v/>
      </c>
      <c r="G1207" s="1">
        <f>IFERROR(__xludf.DUMMYFUNCTION("""COMPUTED_VALUE"""),"AFINEF, EdTech France")</f>
        <v/>
      </c>
      <c r="H1207" s="1" t="n"/>
      <c r="I1207" s="1">
        <f>IFERROR(__xludf.DUMMYFUNCTION("""COMPUTED_VALUE"""),"bienvenue@educlever.com")</f>
        <v/>
      </c>
      <c r="J1207" s="1">
        <f>IFERROR(__xludf.DUMMYFUNCTION("""COMPUTED_VALUE"""),"+33 969 395 797")</f>
        <v/>
      </c>
      <c r="K1207" s="1">
        <f>IFERROR(__xludf.DUMMYFUNCTION("""COMPUTED_VALUE"""),"GRENOBLE")</f>
        <v/>
      </c>
      <c r="L1207" s="1">
        <f>IFERROR(__xludf.DUMMYFUNCTION("""COMPUTED_VALUE"""),"France")</f>
        <v/>
      </c>
      <c r="M1207" s="1">
        <f>IFERROR(__xludf.DUMMYFUNCTION("""COMPUTED_VALUE"""),"France, Germany, Kazakhstan, Switzerland")</f>
        <v/>
      </c>
      <c r="N1207" s="1">
        <f>IFERROR(__xludf.DUMMYFUNCTION("""COMPUTED_VALUE"""),"11 to 50")</f>
        <v/>
      </c>
      <c r="O1207" s="1">
        <f>IFERROR(__xludf.DUMMYFUNCTION("""COMPUTED_VALUE"""),"Business to Business, Business to Consumer")</f>
        <v/>
      </c>
      <c r="P1207" s="1">
        <f>IFERROR(__xludf.DUMMYFUNCTION("""COMPUTED_VALUE"""),"Primary Education, Secondary Education, Higher Education, Corporate Training, Lifelong learning/Adult education")</f>
        <v/>
      </c>
      <c r="Q1207" s="1">
        <f>IFERROR(__xludf.DUMMYFUNCTION("""COMPUTED_VALUE"""),"System/Administrative, Student interfacing, Teacher interfacing")</f>
        <v/>
      </c>
      <c r="R1207" s="1" t="n"/>
      <c r="S1207" s="15">
        <f>IFERROR(__xludf.DUMMYFUNCTION("""COMPUTED_VALUE"""),"https://twitter.com/educlever")</f>
        <v/>
      </c>
      <c r="T1207" s="15">
        <f>IFERROR(__xludf.DUMMYFUNCTION("""COMPUTED_VALUE"""),"https://www.linkedin.com/company/educlever")</f>
        <v/>
      </c>
      <c r="U1207" s="1">
        <f>IFERROR(__xludf.DUMMYFUNCTION("""COMPUTED_VALUE"""),"Orthodidacte")</f>
        <v/>
      </c>
      <c r="V1207" s="1">
        <f>IFERROR(__xludf.DUMMYFUNCTION("""COMPUTED_VALUE"""),"With the elearning platform Orthodidacte, professionals and students improve their written skills in french. Our training paths are made for people who want to improve french as a mother tongue and those who want to learn french as a foreign language.")</f>
        <v/>
      </c>
      <c r="W1207" s="1">
        <f>IFERROR(__xludf.DUMMYFUNCTION("""COMPUTED_VALUE"""),"Enseigno")</f>
        <v/>
      </c>
      <c r="X1207" s="1">
        <f>IFERROR(__xludf.DUMMYFUNCTION("""COMPUTED_VALUE"""),"Enseigno is a unique platform dedidacted to teachers and their students, to be used within the classroom or at home. The pedagogic actions are more interactive, effective and indivualized.")</f>
        <v/>
      </c>
      <c r="Y1207" s="15">
        <f>IFERROR(__xludf.DUMMYFUNCTION("""COMPUTED_VALUE"""),"https://drive.google.com/uc?export=view&amp;id=16yB5zNqchKLEqwXPYbc0f2S2H4h0-ZeR")</f>
        <v/>
      </c>
      <c r="Z1207" s="1">
        <f>IFERROR(__xludf.DUMMYFUNCTION("""COMPUTED_VALUE"""),"Unverified")</f>
        <v/>
      </c>
      <c r="AA1207" s="1" t="n"/>
      <c r="AB1207" s="1" t="n"/>
      <c r="AC1207" s="1" t="n"/>
      <c r="AD1207" s="1" t="n"/>
      <c r="AE1207" s="1" t="n"/>
    </row>
    <row r="1208" ht="42" customHeight="1">
      <c r="A1208" s="14">
        <f>IFERROR(__xludf.DUMMYFUNCTION("""COMPUTED_VALUE"""),45181)</f>
        <v/>
      </c>
      <c r="B1208" s="1">
        <f>IFERROR(__xludf.DUMMYFUNCTION("""COMPUTED_VALUE"""),"ORG_1594")</f>
        <v/>
      </c>
      <c r="C1208" s="1">
        <f>IFERROR(__xludf.DUMMYFUNCTION("""COMPUTED_VALUE"""),TRUE)</f>
        <v/>
      </c>
      <c r="D1208" s="1">
        <f>IFERROR(__xludf.DUMMYFUNCTION("""COMPUTED_VALUE"""),"FunTech Rocket")</f>
        <v/>
      </c>
      <c r="E1208" s="15">
        <f>IFERROR(__xludf.DUMMYFUNCTION("""COMPUTED_VALUE"""),"https://www.funtechrocket.education/")</f>
        <v/>
      </c>
      <c r="F1208" s="1">
        <f>IFERROR(__xludf.DUMMYFUNCTION("""COMPUTED_VALUE"""),"FunTech Rocket is an online platform to introduce children from 6 to 14 years old to learn coding! Through gamification, children learn the skill of the future in a structured, gradual and autonomous way, while having fun!")</f>
        <v/>
      </c>
      <c r="G1208" s="1">
        <f>IFERROR(__xludf.DUMMYFUNCTION("""COMPUTED_VALUE"""),"I'm not part of any EdTech association")</f>
        <v/>
      </c>
      <c r="H1208" s="1" t="n"/>
      <c r="I1208" s="1">
        <f>IFERROR(__xludf.DUMMYFUNCTION("""COMPUTED_VALUE"""),"esther@funtechrocket.education")</f>
        <v/>
      </c>
      <c r="J1208" s="1">
        <f>IFERROR(__xludf.DUMMYFUNCTION("""COMPUTED_VALUE"""),"+34 636 633 251")</f>
        <v/>
      </c>
      <c r="K1208" s="1">
        <f>IFERROR(__xludf.DUMMYFUNCTION("""COMPUTED_VALUE"""),"MADRID")</f>
        <v/>
      </c>
      <c r="L1208" s="1">
        <f>IFERROR(__xludf.DUMMYFUNCTION("""COMPUTED_VALUE"""),"Spain")</f>
        <v/>
      </c>
      <c r="M1208" s="1">
        <f>IFERROR(__xludf.DUMMYFUNCTION("""COMPUTED_VALUE"""),"Spain")</f>
        <v/>
      </c>
      <c r="N1208" s="1">
        <f>IFERROR(__xludf.DUMMYFUNCTION("""COMPUTED_VALUE"""),"0 to 2")</f>
        <v/>
      </c>
      <c r="O1208" s="1">
        <f>IFERROR(__xludf.DUMMYFUNCTION("""COMPUTED_VALUE"""),"Business to Business, Business to Consumer, Business to Government, Business to Schools")</f>
        <v/>
      </c>
      <c r="P1208" s="1">
        <f>IFERROR(__xludf.DUMMYFUNCTION("""COMPUTED_VALUE"""),"Primary Education")</f>
        <v/>
      </c>
      <c r="Q1208" s="1">
        <f>IFERROR(__xludf.DUMMYFUNCTION("""COMPUTED_VALUE"""),"System/Administrative, Student interfacing, Teacher interfacing")</f>
        <v/>
      </c>
      <c r="R1208" s="1" t="n"/>
      <c r="S1208" s="1" t="n"/>
      <c r="T1208" s="1" t="n"/>
      <c r="U1208" s="1" t="n"/>
      <c r="V1208" s="1" t="n"/>
      <c r="W1208" s="1" t="n"/>
      <c r="X1208" s="1" t="n"/>
      <c r="Y1208" s="15">
        <f>IFERROR(__xludf.DUMMYFUNCTION("""COMPUTED_VALUE"""),"https://drive.google.com/uc?export=view&amp;id=1DsfRSls4Rt0Dt0T8YISohN3XRJS54XYC")</f>
        <v/>
      </c>
      <c r="Z1208" s="1">
        <f>IFERROR(__xludf.DUMMYFUNCTION("""COMPUTED_VALUE"""),"Unverified")</f>
        <v/>
      </c>
      <c r="AA1208" s="1" t="n"/>
      <c r="AB1208" s="1" t="n"/>
      <c r="AC1208" s="1" t="n"/>
      <c r="AD1208" s="1" t="n"/>
      <c r="AE1208" s="1" t="n"/>
    </row>
    <row r="1209" ht="42" customHeight="1">
      <c r="A1209" s="14">
        <f>IFERROR(__xludf.DUMMYFUNCTION("""COMPUTED_VALUE"""),45181)</f>
        <v/>
      </c>
      <c r="B1209" s="1">
        <f>IFERROR(__xludf.DUMMYFUNCTION("""COMPUTED_VALUE"""),"ORG_1611")</f>
        <v/>
      </c>
      <c r="C1209" s="1">
        <f>IFERROR(__xludf.DUMMYFUNCTION("""COMPUTED_VALUE"""),TRUE)</f>
        <v/>
      </c>
      <c r="D1209" s="1">
        <f>IFERROR(__xludf.DUMMYFUNCTION("""COMPUTED_VALUE"""),"GEDS")</f>
        <v/>
      </c>
      <c r="E1209" s="15">
        <f>IFERROR(__xludf.DUMMYFUNCTION("""COMPUTED_VALUE"""),"www.geds.eu")</f>
        <v/>
      </c>
      <c r="F1209" s="1">
        <f>IFERROR(__xludf.DUMMYFUNCTION("""COMPUTED_VALUE"""),"Geds is an Edtech specialized in international application management for European medical schools and universities.
Our platform www.hippocrate.io allows us to receive tens of thousands of applications each year and to attract the best European candidat"&amp;"es to higher education institutions that are committed to developing their international applications.")</f>
        <v/>
      </c>
      <c r="G1209" s="1">
        <f>IFERROR(__xludf.DUMMYFUNCTION("""COMPUTED_VALUE"""),"I'm not part of any EdTech association")</f>
        <v/>
      </c>
      <c r="H1209" s="1" t="n"/>
      <c r="I1209" s="1">
        <f>IFERROR(__xludf.DUMMYFUNCTION("""COMPUTED_VALUE"""),"a.pierre@geds.fr")</f>
        <v/>
      </c>
      <c r="J1209" s="1">
        <f>IFERROR(__xludf.DUMMYFUNCTION("""COMPUTED_VALUE"""),"+33180062148")</f>
        <v/>
      </c>
      <c r="K1209" s="1">
        <f>IFERROR(__xludf.DUMMYFUNCTION("""COMPUTED_VALUE"""),"Porto")</f>
        <v/>
      </c>
      <c r="L1209" s="1">
        <f>IFERROR(__xludf.DUMMYFUNCTION("""COMPUTED_VALUE"""),"Portugal")</f>
        <v/>
      </c>
      <c r="M1209" s="1">
        <f>IFERROR(__xludf.DUMMYFUNCTION("""COMPUTED_VALUE"""),"Cyprus, France, Portugal")</f>
        <v/>
      </c>
      <c r="N1209" s="1">
        <f>IFERROR(__xludf.DUMMYFUNCTION("""COMPUTED_VALUE"""),"11 to 50")</f>
        <v/>
      </c>
      <c r="O1209" s="1">
        <f>IFERROR(__xludf.DUMMYFUNCTION("""COMPUTED_VALUE"""),"Business to Business, Business to Consumer, Business to Government, Business to Schools")</f>
        <v/>
      </c>
      <c r="P1209" s="1">
        <f>IFERROR(__xludf.DUMMYFUNCTION("""COMPUTED_VALUE"""),"Higher Education")</f>
        <v/>
      </c>
      <c r="Q1209" s="1">
        <f>IFERROR(__xludf.DUMMYFUNCTION("""COMPUTED_VALUE"""),"Teacher interfacing, System/Administrative")</f>
        <v/>
      </c>
      <c r="R1209" s="1" t="n"/>
      <c r="S1209" s="1" t="n"/>
      <c r="T1209" s="1" t="n"/>
      <c r="U1209" s="1" t="n"/>
      <c r="V1209" s="1" t="n"/>
      <c r="W1209" s="1" t="n"/>
      <c r="X1209" s="1" t="n"/>
      <c r="Y1209" s="15">
        <f>IFERROR(__xludf.DUMMYFUNCTION("""COMPUTED_VALUE"""),"https://drive.google.com/uc?export=view&amp;id=18ei3Uow6vWmoq8TIdUP7L33Y2hA6SXWB")</f>
        <v/>
      </c>
      <c r="Z1209" s="1">
        <f>IFERROR(__xludf.DUMMYFUNCTION("""COMPUTED_VALUE"""),"Unverified")</f>
        <v/>
      </c>
      <c r="AA1209" s="1" t="n"/>
      <c r="AB1209" s="1" t="n"/>
      <c r="AC1209" s="1" t="n"/>
      <c r="AD1209" s="1" t="n"/>
      <c r="AE1209" s="1" t="n"/>
    </row>
    <row r="1210" ht="42" customHeight="1">
      <c r="A1210" s="14">
        <f>IFERROR(__xludf.DUMMYFUNCTION("""COMPUTED_VALUE"""),45181)</f>
        <v/>
      </c>
      <c r="B1210" s="1">
        <f>IFERROR(__xludf.DUMMYFUNCTION("""COMPUTED_VALUE"""),"ORG_1625")</f>
        <v/>
      </c>
      <c r="C1210" s="1">
        <f>IFERROR(__xludf.DUMMYFUNCTION("""COMPUTED_VALUE"""),TRUE)</f>
        <v/>
      </c>
      <c r="D1210" s="1">
        <f>IFERROR(__xludf.DUMMYFUNCTION("""COMPUTED_VALUE"""),"Gleechi")</f>
        <v/>
      </c>
      <c r="E1210" s="15">
        <f>IFERROR(__xludf.DUMMYFUNCTION("""COMPUTED_VALUE"""),"https://www.gleechi.com/")</f>
        <v/>
      </c>
      <c r="F1210" s="1">
        <f>IFERROR(__xludf.DUMMYFUNCTION("""COMPUTED_VALUE"""),"Gleechi is a Stockholm-based startup that enables interactive Virtual Reality-based training and certification of practical work tasks. Gleechi's solution is based on extensive interaction research at the Royal Institute of Technology and is the first no-"&amp;"code approach to make it easy to create and maintain VR training.")</f>
        <v/>
      </c>
      <c r="G1210" s="1">
        <f>IFERROR(__xludf.DUMMYFUNCTION("""COMPUTED_VALUE"""),"Swedish EdTech Industry")</f>
        <v/>
      </c>
      <c r="H1210" s="1" t="n"/>
      <c r="I1210" s="1">
        <f>IFERROR(__xludf.DUMMYFUNCTION("""COMPUTED_VALUE"""),"jakob.way@gleechi.com")</f>
        <v/>
      </c>
      <c r="J1210" s="1" t="n"/>
      <c r="K1210" s="1">
        <f>IFERROR(__xludf.DUMMYFUNCTION("""COMPUTED_VALUE"""),"STOCKHOLM")</f>
        <v/>
      </c>
      <c r="L1210" s="1">
        <f>IFERROR(__xludf.DUMMYFUNCTION("""COMPUTED_VALUE"""),"Sweden")</f>
        <v/>
      </c>
      <c r="M1210" s="1">
        <f>IFERROR(__xludf.DUMMYFUNCTION("""COMPUTED_VALUE"""),"Finland, France, Germany, Norway, Sweden")</f>
        <v/>
      </c>
      <c r="N1210" s="1">
        <f>IFERROR(__xludf.DUMMYFUNCTION("""COMPUTED_VALUE"""),"11 to 50")</f>
        <v/>
      </c>
      <c r="O1210" s="1">
        <f>IFERROR(__xludf.DUMMYFUNCTION("""COMPUTED_VALUE"""),"Business to Business, Business to Consumer, Business to Government, Business to Schools")</f>
        <v/>
      </c>
      <c r="P1210" s="1">
        <f>IFERROR(__xludf.DUMMYFUNCTION("""COMPUTED_VALUE"""),"Higher Education, Corporate Training, Lifelong learning/Adult education")</f>
        <v/>
      </c>
      <c r="Q1210" s="1">
        <f>IFERROR(__xludf.DUMMYFUNCTION("""COMPUTED_VALUE"""),"Teacher interfacing, Student interfacing, System/Administrative")</f>
        <v/>
      </c>
      <c r="R1210" s="1" t="n"/>
      <c r="S1210" s="1" t="n"/>
      <c r="T1210" s="15">
        <f>IFERROR(__xludf.DUMMYFUNCTION("""COMPUTED_VALUE"""),"https://www.linkedin.com/company/gleechi")</f>
        <v/>
      </c>
      <c r="U1210" s="1">
        <f>IFERROR(__xludf.DUMMYFUNCTION("""COMPUTED_VALUE"""),"Gleechi VR Training Platform")</f>
        <v/>
      </c>
      <c r="V1210" s="1">
        <f>IFERROR(__xludf.DUMMYFUNCTION("""COMPUTED_VALUE"""),"Gleechi's VR training platform enables an easy no-code approach to creating interactive metaverse-based training and education for vocational education and blue-collar workers. The software includes tools to create and customize your own hands-on learning"&amp;" courses, a assessment center to track the progress of the students as well as device management systems to distribute the applications.
The Gleechi VR training platform is accessed through a subscription starting at €200 per month and has been proven to"&amp;" significantly enhance the memory retention among students.")</f>
        <v/>
      </c>
      <c r="W1210" s="1" t="n"/>
      <c r="X1210" s="1" t="n"/>
      <c r="Y1210" s="15">
        <f>IFERROR(__xludf.DUMMYFUNCTION("""COMPUTED_VALUE"""),"https://drive.google.com/uc?export=view&amp;id=1efK9du1CESB3KJK_qp7Dm3BAKQy7D9iY")</f>
        <v/>
      </c>
      <c r="Z1210" s="1">
        <f>IFERROR(__xludf.DUMMYFUNCTION("""COMPUTED_VALUE"""),"Unverified")</f>
        <v/>
      </c>
      <c r="AA1210" s="1" t="n"/>
      <c r="AB1210" s="1" t="n"/>
      <c r="AC1210" s="1" t="n"/>
      <c r="AD1210" s="1" t="n"/>
      <c r="AE1210" s="1" t="n"/>
    </row>
    <row r="1211" ht="42" customHeight="1">
      <c r="A1211" s="14">
        <f>IFERROR(__xludf.DUMMYFUNCTION("""COMPUTED_VALUE"""),45181)</f>
        <v/>
      </c>
      <c r="B1211" s="1">
        <f>IFERROR(__xludf.DUMMYFUNCTION("""COMPUTED_VALUE"""),"ORG_1729")</f>
        <v/>
      </c>
      <c r="C1211" s="1">
        <f>IFERROR(__xludf.DUMMYFUNCTION("""COMPUTED_VALUE"""),TRUE)</f>
        <v/>
      </c>
      <c r="D1211" s="1">
        <f>IFERROR(__xludf.DUMMYFUNCTION("""COMPUTED_VALUE"""),"Instructure")</f>
        <v/>
      </c>
      <c r="E1211" s="15">
        <f>IFERROR(__xludf.DUMMYFUNCTION("""COMPUTED_VALUE"""),"https://www.instructure.com/en-gb")</f>
        <v/>
      </c>
      <c r="F1211" s="1">
        <f>IFERROR(__xludf.DUMMYFUNCTION("""COMPUTED_VALUE"""),"Sparked in 2008 by two enterprising grad students, Instructure is the home of Canvas LMS and the Instructure Learning Platform that benefits millions of students and teachers worldwide, every single day.
Canvas sets a new, open standard for education tec"&amp;"hnology as the only true, native cloud LMS. Since January 2010, Instructure has:
* Created a Canvas App Center, a rapidly-growing app library with over 450 education apps;
* Created Canvas Catalog, a branded marketplace for school's online course offering"&amp;"s;
* Released Canvas Studio, an interactive video platform;
* Acquired Eesysoft (now Impact), the technology adoption platform.
About us:
* Over 6,000 customers globally
* 99.9% system uptime
* 6 million+ concurrent users - without a hiccup
* Over 90%+ b"&amp;"est in class customer satisfaction score")</f>
        <v/>
      </c>
      <c r="G1211" s="1">
        <f>IFERROR(__xludf.DUMMYFUNCTION("""COMPUTED_VALUE"""),"EduTech Cluster Spain")</f>
        <v/>
      </c>
      <c r="H1211" s="1" t="n"/>
      <c r="I1211" s="1">
        <f>IFERROR(__xludf.DUMMYFUNCTION("""COMPUTED_VALUE"""),"marina.vicente@instructure.com")</f>
        <v/>
      </c>
      <c r="J1211" s="1">
        <f>IFERROR(__xludf.DUMMYFUNCTION("""COMPUTED_VALUE"""),"+34 697 488 102")</f>
        <v/>
      </c>
      <c r="K1211" s="1">
        <f>IFERROR(__xludf.DUMMYFUNCTION("""COMPUTED_VALUE"""),"LONDON")</f>
        <v/>
      </c>
      <c r="L1211" s="1">
        <f>IFERROR(__xludf.DUMMYFUNCTION("""COMPUTED_VALUE"""),"United Kingdom")</f>
        <v/>
      </c>
      <c r="M1211"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1211" s="1">
        <f>IFERROR(__xludf.DUMMYFUNCTION("""COMPUTED_VALUE"""),"500+")</f>
        <v/>
      </c>
      <c r="O1211" s="1">
        <f>IFERROR(__xludf.DUMMYFUNCTION("""COMPUTED_VALUE"""),"Business to Business, Business to Consumer, Business to Government, Business to Schools")</f>
        <v/>
      </c>
      <c r="P1211" s="1">
        <f>IFERROR(__xludf.DUMMYFUNCTION("""COMPUTED_VALUE"""),"Secondary Education, Higher Education")</f>
        <v/>
      </c>
      <c r="Q1211" s="1">
        <f>IFERROR(__xludf.DUMMYFUNCTION("""COMPUTED_VALUE"""),"Student interfacing, Teacher interfacing, System/Administrative")</f>
        <v/>
      </c>
      <c r="R1211" s="1" t="n"/>
      <c r="S1211" s="1">
        <f>IFERROR(__xludf.DUMMYFUNCTION("""COMPUTED_VALUE"""),"@Canvas_by_Inst @Instructure")</f>
        <v/>
      </c>
      <c r="T1211" s="1">
        <f>IFERROR(__xludf.DUMMYFUNCTION("""COMPUTED_VALUE"""),"Canvas LMS, Instructure")</f>
        <v/>
      </c>
      <c r="U1211" s="1">
        <f>IFERROR(__xludf.DUMMYFUNCTION("""COMPUTED_VALUE"""),"Canvass")</f>
        <v/>
      </c>
      <c r="V1211" s="1">
        <f>IFERROR(__xludf.DUMMYFUNCTION("""COMPUTED_VALUE"""),"Canvas LMS is part of the Instructure Learning Platform and is a fully cloud-based learning environment that streamlines interactions and builds strong relationships between teachers and students. 
Canvas is the hub of a digital classroom—whether that's i"&amp;"n-person, online, or in a blended environment. It’s where teaching and learning happens, in one convenient interface on your desktop or in our much-loved mobile apps for students, parents, and teachers.")</f>
        <v/>
      </c>
      <c r="W1211" s="1">
        <f>IFERROR(__xludf.DUMMYFUNCTION("""COMPUTED_VALUE"""),"Catalog")</f>
        <v/>
      </c>
      <c r="X1211" s="1">
        <f>IFERROR(__xludf.DUMMYFUNCTION("""COMPUTED_VALUE"""),"Canvas Catalog is our course catalogue, registration, enrollment, and payment gateway, providing customers with the ability to build a beautiful and customisable marketplace for their courses.
Catalog makes it easy for customers to offer self-registration"&amp;", self-enrollment, and self-payment options while automatically placing students in their Canvas LMS courses, tracking their progress, and rewarding their completion with the appropriate certificates — all without the need for any administration along the"&amp;" way.﻿")</f>
        <v/>
      </c>
      <c r="Y1211" s="15">
        <f>IFERROR(__xludf.DUMMYFUNCTION("""COMPUTED_VALUE"""),"https://drive.google.com/uc?export=view&amp;id=1A6rcLa-VqlOz2nEshbdpXB4xM64g7zU8")</f>
        <v/>
      </c>
      <c r="Z1211" s="1">
        <f>IFERROR(__xludf.DUMMYFUNCTION("""COMPUTED_VALUE"""),"Unverified")</f>
        <v/>
      </c>
      <c r="AA1211" s="1" t="n"/>
      <c r="AB1211" s="1" t="n"/>
      <c r="AC1211" s="1" t="n"/>
      <c r="AD1211" s="1" t="n"/>
      <c r="AE1211" s="1" t="n"/>
    </row>
    <row r="1212" ht="42" customHeight="1">
      <c r="A1212" s="14">
        <f>IFERROR(__xludf.DUMMYFUNCTION("""COMPUTED_VALUE"""),45181)</f>
        <v/>
      </c>
      <c r="B1212" s="1">
        <f>IFERROR(__xludf.DUMMYFUNCTION("""COMPUTED_VALUE"""),"ORG_1803")</f>
        <v/>
      </c>
      <c r="C1212" s="1">
        <f>IFERROR(__xludf.DUMMYFUNCTION("""COMPUTED_VALUE"""),TRUE)</f>
        <v/>
      </c>
      <c r="D1212" s="1">
        <f>IFERROR(__xludf.DUMMYFUNCTION("""COMPUTED_VALUE"""),"La Manufacture des Talents")</f>
        <v/>
      </c>
      <c r="E1212" s="1">
        <f>IFERROR(__xludf.DUMMYFUNCTION("""COMPUTED_VALUE"""),"In Progress")</f>
        <v/>
      </c>
      <c r="F1212" s="1">
        <f>IFERROR(__xludf.DUMMYFUNCTION("""COMPUTED_VALUE"""),"As the embodiment of Michelin's sustainable strategy, ​LA Manufacture des Talents aims to give people ​from all backgrounds the means:​ to develop their talents to build their future​ &amp; to support the major transformations​ by creating the conditions for "&amp;"a successful ‘lifelong learnability’.")</f>
        <v/>
      </c>
      <c r="G1212" s="1">
        <f>IFERROR(__xludf.DUMMYFUNCTION("""COMPUTED_VALUE"""),"EdTech France")</f>
        <v/>
      </c>
      <c r="H1212" s="1" t="n"/>
      <c r="I1212" s="1">
        <f>IFERROR(__xludf.DUMMYFUNCTION("""COMPUTED_VALUE"""),"antoine.girre@michelin.com")</f>
        <v/>
      </c>
      <c r="J1212" s="1">
        <f>IFERROR(__xludf.DUMMYFUNCTION("""COMPUTED_VALUE"""),"+33630221590")</f>
        <v/>
      </c>
      <c r="K1212" s="1">
        <f>IFERROR(__xludf.DUMMYFUNCTION("""COMPUTED_VALUE"""),"CLERMONT FERRAND")</f>
        <v/>
      </c>
      <c r="L1212" s="1">
        <f>IFERROR(__xludf.DUMMYFUNCTION("""COMPUTED_VALUE"""),"France")</f>
        <v/>
      </c>
      <c r="M1212" s="1">
        <f>IFERROR(__xludf.DUMMYFUNCTION("""COMPUTED_VALUE"""),"France, Germany, Hungary, Italy, Poland, Spain, United Kingdom")</f>
        <v/>
      </c>
      <c r="N1212" s="1">
        <f>IFERROR(__xludf.DUMMYFUNCTION("""COMPUTED_VALUE"""),"51 to 100")</f>
        <v/>
      </c>
      <c r="O1212" s="1">
        <f>IFERROR(__xludf.DUMMYFUNCTION("""COMPUTED_VALUE"""),"Business to Business, Business to Consumer, Business to Schools")</f>
        <v/>
      </c>
      <c r="P1212" s="1">
        <f>IFERROR(__xludf.DUMMYFUNCTION("""COMPUTED_VALUE"""),"Corporate Training, Lifelong learning/Adult education")</f>
        <v/>
      </c>
      <c r="Q1212" s="1">
        <f>IFERROR(__xludf.DUMMYFUNCTION("""COMPUTED_VALUE"""),"Student interfacing, Teacher interfacing, System/Administrative")</f>
        <v/>
      </c>
      <c r="R1212" s="1" t="n"/>
      <c r="S1212" s="1" t="n"/>
      <c r="T1212" s="1" t="n"/>
      <c r="U1212" s="1" t="n"/>
      <c r="V1212" s="1" t="n"/>
      <c r="W1212" s="1" t="n"/>
      <c r="X1212" s="1" t="n"/>
      <c r="Y1212" s="15">
        <f>IFERROR(__xludf.DUMMYFUNCTION("""COMPUTED_VALUE"""),"https://drive.google.com/uc?export=view&amp;id=1H1umrveXjDwdmFwqudd8y248oRSi-3hm")</f>
        <v/>
      </c>
      <c r="Z1212" s="1">
        <f>IFERROR(__xludf.DUMMYFUNCTION("""COMPUTED_VALUE"""),"Unverified")</f>
        <v/>
      </c>
      <c r="AA1212" s="1" t="n"/>
      <c r="AB1212" s="1" t="n"/>
      <c r="AC1212" s="1" t="n"/>
      <c r="AD1212" s="1" t="n"/>
      <c r="AE1212" s="1" t="n"/>
    </row>
    <row r="1213" ht="42" customHeight="1">
      <c r="A1213" s="14">
        <f>IFERROR(__xludf.DUMMYFUNCTION("""COMPUTED_VALUE"""),45181)</f>
        <v/>
      </c>
      <c r="B1213" s="1">
        <f>IFERROR(__xludf.DUMMYFUNCTION("""COMPUTED_VALUE"""),"ORG_1967")</f>
        <v/>
      </c>
      <c r="C1213" s="1">
        <f>IFERROR(__xludf.DUMMYFUNCTION("""COMPUTED_VALUE"""),TRUE)</f>
        <v/>
      </c>
      <c r="D1213" s="1">
        <f>IFERROR(__xludf.DUMMYFUNCTION("""COMPUTED_VALUE"""),"MIMA CAMPUS")</f>
        <v/>
      </c>
      <c r="E1213" s="15">
        <f>IFERROR(__xludf.DUMMYFUNCTION("""COMPUTED_VALUE"""),"https://mima-campus.com/")</f>
        <v/>
      </c>
      <c r="F1213" s="1">
        <f>IFERROR(__xludf.DUMMYFUNCTION("""COMPUTED_VALUE"""),"Mima Campus, a consulting agency in digital education, was born above all of a common vocation, that of fully integrating into the training of new innovative pedagogical uses, promoting professional development. Mima Campus thus brings together 5 associat"&amp;"es with complementary expertise in pedagogy and technology. Our skills and knowledge of the techno-educational ecosystem allow us to work on all the market solutions, both proprietary and open source, and thus to provide neutral and objective advice to ou"&amp;"r customers, mainly: OF, training companies and companies with a Apprentice Training Center or an enterprise academy.")</f>
        <v/>
      </c>
      <c r="G1213" s="1">
        <f>IFERROR(__xludf.DUMMYFUNCTION("""COMPUTED_VALUE"""),"EdTech France")</f>
        <v/>
      </c>
      <c r="H1213" s="1" t="n"/>
      <c r="I1213" s="1">
        <f>IFERROR(__xludf.DUMMYFUNCTION("""COMPUTED_VALUE"""),"sophie.hirat@mima-campus.com")</f>
        <v/>
      </c>
      <c r="J1213" s="1">
        <f>IFERROR(__xludf.DUMMYFUNCTION("""COMPUTED_VALUE"""),"+33661823892")</f>
        <v/>
      </c>
      <c r="K1213" s="1">
        <f>IFERROR(__xludf.DUMMYFUNCTION("""COMPUTED_VALUE"""),"MONTPELLIER")</f>
        <v/>
      </c>
      <c r="L1213" s="1">
        <f>IFERROR(__xludf.DUMMYFUNCTION("""COMPUTED_VALUE"""),"France")</f>
        <v/>
      </c>
      <c r="M1213" s="1">
        <f>IFERROR(__xludf.DUMMYFUNCTION("""COMPUTED_VALUE"""),"France")</f>
        <v/>
      </c>
      <c r="N1213" s="1">
        <f>IFERROR(__xludf.DUMMYFUNCTION("""COMPUTED_VALUE"""),"11 to 50")</f>
        <v/>
      </c>
      <c r="O1213" s="1">
        <f>IFERROR(__xludf.DUMMYFUNCTION("""COMPUTED_VALUE"""),"Business to Business, Business to Consumer, Business to Schools")</f>
        <v/>
      </c>
      <c r="P1213" s="1">
        <f>IFERROR(__xludf.DUMMYFUNCTION("""COMPUTED_VALUE"""),"Primary Education, Secondary Education, Higher Education, Corporate Training, Lifelong learning/Adult education")</f>
        <v/>
      </c>
      <c r="Q1213" s="1">
        <f>IFERROR(__xludf.DUMMYFUNCTION("""COMPUTED_VALUE"""),"Student interfacing, Teacher interfacing, System/Administrative")</f>
        <v/>
      </c>
      <c r="R1213" s="1" t="n"/>
      <c r="S1213" s="1" t="n"/>
      <c r="T1213" s="15">
        <f>IFERROR(__xludf.DUMMYFUNCTION("""COMPUTED_VALUE"""),"https://www.linkedin.com/company/mima-campus")</f>
        <v/>
      </c>
      <c r="U1213" s="1">
        <f>IFERROR(__xludf.DUMMYFUNCTION("""COMPUTED_VALUE"""),"Consulting in digital training")</f>
        <v/>
      </c>
      <c r="V1213" s="1">
        <f>IFERROR(__xludf.DUMMYFUNCTION("""COMPUTED_VALUE"""),"Management support. 
Strategic Master plan. 
Technical governance and digital uses. 
Help in choosing digital platforms and tools.")</f>
        <v/>
      </c>
      <c r="W1213" s="1">
        <f>IFERROR(__xludf.DUMMYFUNCTION("""COMPUTED_VALUE"""),"Techno-educational engineering and content production")</f>
        <v/>
      </c>
      <c r="X1213" s="1">
        <f>IFERROR(__xludf.DUMMYFUNCTION("""COMPUTED_VALUE"""),"Creation and update of hybrid and remote training courses.
Integration in UX/UI LMS Inclusion Video capsules, VR, AR, mixed reality, escape games, serious games, mobile learning, adaptive learning, podcasts, gamification.
Content creation for e-learning p"&amp;"urposes.")</f>
        <v/>
      </c>
      <c r="Y1213" s="15">
        <f>IFERROR(__xludf.DUMMYFUNCTION("""COMPUTED_VALUE"""),"https://drive.google.com/uc?export=view&amp;id=1ovsluXIcFcfBK8NChkreSxAX9Kn5FUku")</f>
        <v/>
      </c>
      <c r="Z1213" s="1">
        <f>IFERROR(__xludf.DUMMYFUNCTION("""COMPUTED_VALUE"""),"Unverified")</f>
        <v/>
      </c>
      <c r="AA1213" s="1" t="n"/>
      <c r="AB1213" s="1" t="n"/>
      <c r="AC1213" s="1" t="n"/>
      <c r="AD1213" s="1" t="n"/>
      <c r="AE1213" s="1" t="n"/>
    </row>
    <row r="1214" ht="42" customHeight="1">
      <c r="A1214" s="14">
        <f>IFERROR(__xludf.DUMMYFUNCTION("""COMPUTED_VALUE"""),45181)</f>
        <v/>
      </c>
      <c r="B1214" s="1">
        <f>IFERROR(__xludf.DUMMYFUNCTION("""COMPUTED_VALUE"""),"ORG_1986")</f>
        <v/>
      </c>
      <c r="C1214" s="1">
        <f>IFERROR(__xludf.DUMMYFUNCTION("""COMPUTED_VALUE"""),TRUE)</f>
        <v/>
      </c>
      <c r="D1214" s="1">
        <f>IFERROR(__xludf.DUMMYFUNCTION("""COMPUTED_VALUE"""),"mootion")</f>
        <v/>
      </c>
      <c r="E1214" s="15">
        <f>IFERROR(__xludf.DUMMYFUNCTION("""COMPUTED_VALUE"""),"www.mootion.fr")</f>
        <v/>
      </c>
      <c r="F1214" s="1">
        <f>IFERROR(__xludf.DUMMYFUNCTION("""COMPUTED_VALUE"""),"mootion creates immersive and contactless interactive training screens
compatible with on-the-job training (AFEST)")</f>
        <v/>
      </c>
      <c r="G1214" s="1">
        <f>IFERROR(__xludf.DUMMYFUNCTION("""COMPUTED_VALUE"""),"I'm not part of any EdTech association")</f>
        <v/>
      </c>
      <c r="H1214" s="1" t="n"/>
      <c r="I1214" s="1">
        <f>IFERROR(__xludf.DUMMYFUNCTION("""COMPUTED_VALUE"""),"hello@mootion.fr")</f>
        <v/>
      </c>
      <c r="J1214" s="1" t="n"/>
      <c r="K1214" s="1">
        <f>IFERROR(__xludf.DUMMYFUNCTION("""COMPUTED_VALUE"""),"TOULON")</f>
        <v/>
      </c>
      <c r="L1214" s="1">
        <f>IFERROR(__xludf.DUMMYFUNCTION("""COMPUTED_VALUE"""),"France")</f>
        <v/>
      </c>
      <c r="M1214" s="1">
        <f>IFERROR(__xludf.DUMMYFUNCTION("""COMPUTED_VALUE"""),"France")</f>
        <v/>
      </c>
      <c r="N1214" s="1">
        <f>IFERROR(__xludf.DUMMYFUNCTION("""COMPUTED_VALUE"""),"0 to 10")</f>
        <v/>
      </c>
      <c r="O1214" s="1">
        <f>IFERROR(__xludf.DUMMYFUNCTION("""COMPUTED_VALUE"""),"Business to Business, Business to Government")</f>
        <v/>
      </c>
      <c r="P1214" s="1">
        <f>IFERROR(__xludf.DUMMYFUNCTION("""COMPUTED_VALUE"""),"Higher Education, Corporate Training, Lifelong learning/Adult education")</f>
        <v/>
      </c>
      <c r="Q1214" s="1">
        <f>IFERROR(__xludf.DUMMYFUNCTION("""COMPUTED_VALUE"""),"Student interfacing, Teacher interfacing, System/Administrative")</f>
        <v/>
      </c>
      <c r="R1214" s="1" t="n"/>
      <c r="S1214" s="1" t="n"/>
      <c r="T1214" s="1" t="n"/>
      <c r="U1214" s="1" t="n"/>
      <c r="V1214" s="1" t="n"/>
      <c r="W1214" s="1" t="n"/>
      <c r="X1214" s="1" t="n"/>
      <c r="Y1214" s="15">
        <f>IFERROR(__xludf.DUMMYFUNCTION("""COMPUTED_VALUE"""),"https://drive.google.com/uc?export=view&amp;id=1XzzKcjRiNkr8eThaUjE3EVkcBpXGLtjY")</f>
        <v/>
      </c>
      <c r="Z1214" s="1">
        <f>IFERROR(__xludf.DUMMYFUNCTION("""COMPUTED_VALUE"""),"Unverified")</f>
        <v/>
      </c>
      <c r="AA1214" s="1" t="n"/>
      <c r="AB1214" s="1" t="n"/>
      <c r="AC1214" s="1" t="n"/>
      <c r="AD1214" s="1" t="n"/>
      <c r="AE1214" s="1" t="n"/>
    </row>
    <row r="1215" ht="42" customHeight="1">
      <c r="A1215" s="14">
        <f>IFERROR(__xludf.DUMMYFUNCTION("""COMPUTED_VALUE"""),45181)</f>
        <v/>
      </c>
      <c r="B1215" s="1">
        <f>IFERROR(__xludf.DUMMYFUNCTION("""COMPUTED_VALUE"""),"ORG_2205")</f>
        <v/>
      </c>
      <c r="C1215" s="1">
        <f>IFERROR(__xludf.DUMMYFUNCTION("""COMPUTED_VALUE"""),TRUE)</f>
        <v/>
      </c>
      <c r="D1215" s="1">
        <f>IFERROR(__xludf.DUMMYFUNCTION("""COMPUTED_VALUE"""),"Sanoma Utbildning")</f>
        <v/>
      </c>
      <c r="E1215" s="15">
        <f>IFERROR(__xludf.DUMMYFUNCTION("""COMPUTED_VALUE"""),"https://www.sanomautbildning.se")</f>
        <v/>
      </c>
      <c r="F1215" s="1">
        <f>IFERROR(__xludf.DUMMYFUNCTION("""COMPUTED_VALUE"""),"Sanoma Utbildning wants to make it possible for teachers to help each student reach their full potential. We do this by offering well-proven and high qualitative printed and digital learning material, as well as digital learning and teaching platforms for"&amp;" primary, secondary, and vocational education in Sweden.
Every teacher has their own way of teaching and regardless of whether you choose printed, digital or blended, we make sure that all of our teaching materials give you inspiration, guidance and save"&amp;" you valuable time.
Sanoma Utbildning, together with Finnish Sanoma Pro, is part of the Sanoma Learning Group. The group comprises eight different companies around Europe and is one of Europe's market-leading edtech companies. Together, we educate over 2"&amp;"0 million students in eleven countries.")</f>
        <v/>
      </c>
      <c r="G1215" s="1">
        <f>IFERROR(__xludf.DUMMYFUNCTION("""COMPUTED_VALUE"""),"Swedish EdTech Industry")</f>
        <v/>
      </c>
      <c r="H1215" s="1" t="n"/>
      <c r="I1215" s="1">
        <f>IFERROR(__xludf.DUMMYFUNCTION("""COMPUTED_VALUE"""),"info@sanomautbildning.se")</f>
        <v/>
      </c>
      <c r="J1215" s="1" t="n"/>
      <c r="K1215" s="1">
        <f>IFERROR(__xludf.DUMMYFUNCTION("""COMPUTED_VALUE"""),"STOCKHOLM")</f>
        <v/>
      </c>
      <c r="L1215" s="1">
        <f>IFERROR(__xludf.DUMMYFUNCTION("""COMPUTED_VALUE"""),"Sweden")</f>
        <v/>
      </c>
      <c r="M1215" s="1">
        <f>IFERROR(__xludf.DUMMYFUNCTION("""COMPUTED_VALUE"""),"Sweden")</f>
        <v/>
      </c>
      <c r="N1215" s="1">
        <f>IFERROR(__xludf.DUMMYFUNCTION("""COMPUTED_VALUE"""),"51 to 100")</f>
        <v/>
      </c>
      <c r="O1215" s="1">
        <f>IFERROR(__xludf.DUMMYFUNCTION("""COMPUTED_VALUE"""),"Business to Business, Business to Schools")</f>
        <v/>
      </c>
      <c r="P1215" s="1">
        <f>IFERROR(__xludf.DUMMYFUNCTION("""COMPUTED_VALUE"""),"Primary Education, Secondary Education, Higher Education, Corporate Training")</f>
        <v/>
      </c>
      <c r="Q1215" s="1">
        <f>IFERROR(__xludf.DUMMYFUNCTION("""COMPUTED_VALUE"""),"Teacher interfacing")</f>
        <v/>
      </c>
      <c r="R1215" s="15">
        <f>IFERROR(__xludf.DUMMYFUNCTION("""COMPUTED_VALUE"""),"https://www.instagram.com/sanoma_utbildning/")</f>
        <v/>
      </c>
      <c r="S1215" s="1" t="n"/>
      <c r="T1215" s="15">
        <f>IFERROR(__xludf.DUMMYFUNCTION("""COMPUTED_VALUE"""),"https://www.linkedin.com/company/sanoma-utbildning/")</f>
        <v/>
      </c>
      <c r="U1215" s="1">
        <f>IFERROR(__xludf.DUMMYFUNCTION("""COMPUTED_VALUE"""),"Bingel")</f>
        <v/>
      </c>
      <c r="V1215" s="1">
        <f>IFERROR(__xludf.DUMMYFUNCTION("""COMPUTED_VALUE"""),"Bingel supports school teams (management, teachers, ICT &amp; care coordinators and whoever combines these roles) with their extensive range of tasks and pupils with their learning. We support teachers during and after class so they can save time for the most"&amp;" important thing: class fun and time for individual coaching. By digitizing and personalizing instruction with Bingel Board Books and Board Lessons, letting the students practice on the Bingel Islands and differentiate via the Bingel differentiation modul"&amp;"e, planning and monitoring via Bingel Planner, Bingel Care and Bingel Evaluation, Bingel supports the school team in every aspect of the teacher flow.")</f>
        <v/>
      </c>
      <c r="W1215" s="1">
        <f>IFERROR(__xludf.DUMMYFUNCTION("""COMPUTED_VALUE"""),"Kampus")</f>
        <v/>
      </c>
      <c r="X1215" s="1">
        <f>IFERROR(__xludf.DUMMYFUNCTION("""COMPUTED_VALUE"""),"For the teachers in middle school, high school, secondary and post secondary who wishes digital alternatives, we have our digital platform Kampus. The platform focuses on how teachers want to work with digital teaching materials. In addition to our teachi"&amp;"ng materials in digital form, there are interactive exercises for the student, teacher support and lesson planning as well as a teacher view where the teacher can follow each student's development. The teacher can also add his/hers own material, in order "&amp;"to adapt the content to each teachers specific teaching.")</f>
        <v/>
      </c>
      <c r="Y1215" s="15">
        <f>IFERROR(__xludf.DUMMYFUNCTION("""COMPUTED_VALUE"""),"https://drive.google.com/uc?export=view&amp;id=1890FeLf1stHnwdtQv2JrgtOz4gJd4SqV")</f>
        <v/>
      </c>
      <c r="Z1215" s="1">
        <f>IFERROR(__xludf.DUMMYFUNCTION("""COMPUTED_VALUE"""),"Unverified")</f>
        <v/>
      </c>
      <c r="AA1215" s="1" t="n"/>
      <c r="AB1215" s="1" t="n"/>
      <c r="AC1215" s="1" t="n"/>
      <c r="AD1215" s="1" t="n"/>
      <c r="AE1215" s="1" t="n"/>
    </row>
    <row r="1216" ht="42" customHeight="1">
      <c r="A1216" s="14">
        <f>IFERROR(__xludf.DUMMYFUNCTION("""COMPUTED_VALUE"""),45181)</f>
        <v/>
      </c>
      <c r="B1216" s="1">
        <f>IFERROR(__xludf.DUMMYFUNCTION("""COMPUTED_VALUE"""),"ORG_2225")</f>
        <v/>
      </c>
      <c r="C1216" s="1">
        <f>IFERROR(__xludf.DUMMYFUNCTION("""COMPUTED_VALUE"""),TRUE)</f>
        <v/>
      </c>
      <c r="D1216" s="1">
        <f>IFERROR(__xludf.DUMMYFUNCTION("""COMPUTED_VALUE"""),"Seedling")</f>
        <v/>
      </c>
      <c r="E1216" s="15">
        <f>IFERROR(__xludf.DUMMYFUNCTION("""COMPUTED_VALUE"""),"https://teachwithseedling.com/")</f>
        <v/>
      </c>
      <c r="F1216" s="1">
        <f>IFERROR(__xludf.DUMMYFUNCTION("""COMPUTED_VALUE"""),"Seedling is a digital platform for teachers to create personalised educational games and activities. Teachers simply choose from a variety of templates, then add their learning content and a game or activity is produced for their students. Games can be cr"&amp;"eated in minutes and teachers can produce multiple versions of each game template to suit different groups of learners.
The seedling platform can create learning materials in any language so it is particularly useful for teachers of indigenous and minori"&amp;"ty languages. Schools and districts across the U.S. and Canada are using Seedling to provide Native American and First Nations students with engaging, digital, learning experiences in their own language.
See what teachers are creating with Seedling, plea"&amp;"se visit https://teachwithseedling.com")</f>
        <v/>
      </c>
      <c r="G1216" s="1">
        <f>IFERROR(__xludf.DUMMYFUNCTION("""COMPUTED_VALUE"""),"I'm not part of any EdTech association")</f>
        <v/>
      </c>
      <c r="H1216" s="1" t="n"/>
      <c r="I1216" s="1">
        <f>IFERROR(__xludf.DUMMYFUNCTION("""COMPUTED_VALUE"""),"roisin@seedling.education")</f>
        <v/>
      </c>
      <c r="J1216" s="1">
        <f>IFERROR(__xludf.DUMMYFUNCTION("""COMPUTED_VALUE"""),"+44 7736686324")</f>
        <v/>
      </c>
      <c r="K1216" s="1">
        <f>IFERROR(__xludf.DUMMYFUNCTION("""COMPUTED_VALUE"""),"Belfast")</f>
        <v/>
      </c>
      <c r="L1216" s="1">
        <f>IFERROR(__xludf.DUMMYFUNCTION("""COMPUTED_VALUE"""),"United Kingdom")</f>
        <v/>
      </c>
      <c r="M1216" s="1">
        <f>IFERROR(__xludf.DUMMYFUNCTION("""COMPUTED_VALUE"""),"Germany, Ireland, United Kingdom")</f>
        <v/>
      </c>
      <c r="N1216" s="1">
        <f>IFERROR(__xludf.DUMMYFUNCTION("""COMPUTED_VALUE"""),"0 to 10")</f>
        <v/>
      </c>
      <c r="O1216" s="1">
        <f>IFERROR(__xludf.DUMMYFUNCTION("""COMPUTED_VALUE"""),"Business to Consumer")</f>
        <v/>
      </c>
      <c r="P1216" s="1">
        <f>IFERROR(__xludf.DUMMYFUNCTION("""COMPUTED_VALUE"""),"Primary Education")</f>
        <v/>
      </c>
      <c r="Q1216" s="1">
        <f>IFERROR(__xludf.DUMMYFUNCTION("""COMPUTED_VALUE"""),"Teacher interfacing")</f>
        <v/>
      </c>
      <c r="R1216" s="1" t="n"/>
      <c r="S1216" s="1" t="n"/>
      <c r="T1216" s="1" t="n"/>
      <c r="U1216" s="1" t="n"/>
      <c r="V1216" s="1" t="n"/>
      <c r="W1216" s="1" t="n"/>
      <c r="X1216" s="1" t="n"/>
      <c r="Y1216" s="15">
        <f>IFERROR(__xludf.DUMMYFUNCTION("""COMPUTED_VALUE"""),"https://drive.google.com/uc?export=view&amp;id=1xyOn6ajqpvQVC82irrLTbdhEwIACfv1o")</f>
        <v/>
      </c>
      <c r="Z1216" s="1">
        <f>IFERROR(__xludf.DUMMYFUNCTION("""COMPUTED_VALUE"""),"Unverified")</f>
        <v/>
      </c>
      <c r="AA1216" s="1" t="n"/>
      <c r="AB1216" s="1" t="n"/>
      <c r="AC1216" s="1" t="n"/>
      <c r="AD1216" s="1" t="n"/>
      <c r="AE1216" s="1" t="n"/>
    </row>
    <row r="1217" ht="42" customHeight="1">
      <c r="A1217" s="14">
        <f>IFERROR(__xludf.DUMMYFUNCTION("""COMPUTED_VALUE"""),45181)</f>
        <v/>
      </c>
      <c r="B1217" s="1">
        <f>IFERROR(__xludf.DUMMYFUNCTION("""COMPUTED_VALUE"""),"ORG_2242")</f>
        <v/>
      </c>
      <c r="C1217" s="1">
        <f>IFERROR(__xludf.DUMMYFUNCTION("""COMPUTED_VALUE"""),TRUE)</f>
        <v/>
      </c>
      <c r="D1217" s="1">
        <f>IFERROR(__xludf.DUMMYFUNCTION("""COMPUTED_VALUE"""),"SIMBEL")</f>
        <v/>
      </c>
      <c r="E1217" s="15">
        <f>IFERROR(__xludf.DUMMYFUNCTION("""COMPUTED_VALUE"""),"simbel.fr")</f>
        <v/>
      </c>
      <c r="F1217" s="1">
        <f>IFERROR(__xludf.DUMMYFUNCTION("""COMPUTED_VALUE"""),"We transform companies into great places to learn. SMBs still fail at helping their teams grow. Simbel is the all-in-one platform for teams to learn and develop: 
- create an impactful academy
- empower your teams
- run your L&amp;D “on autopilot”")</f>
        <v/>
      </c>
      <c r="G1217" s="1">
        <f>IFERROR(__xludf.DUMMYFUNCTION("""COMPUTED_VALUE"""),"I'm not part of any EdTech association")</f>
        <v/>
      </c>
      <c r="H1217" s="1">
        <f>IFERROR(__xludf.DUMMYFUNCTION("""COMPUTED_VALUE"""),"French, English, German, Italian")</f>
        <v/>
      </c>
      <c r="I1217" s="1">
        <f>IFERROR(__xludf.DUMMYFUNCTION("""COMPUTED_VALUE"""),"claire@simbel.fr")</f>
        <v/>
      </c>
      <c r="J1217" s="1" t="n"/>
      <c r="K1217" s="1">
        <f>IFERROR(__xludf.DUMMYFUNCTION("""COMPUTED_VALUE"""),"PARIS")</f>
        <v/>
      </c>
      <c r="L1217" s="1">
        <f>IFERROR(__xludf.DUMMYFUNCTION("""COMPUTED_VALUE"""),"France")</f>
        <v/>
      </c>
      <c r="M1217" s="1">
        <f>IFERROR(__xludf.DUMMYFUNCTION("""COMPUTED_VALUE"""),"Belgium, France")</f>
        <v/>
      </c>
      <c r="N1217" s="1">
        <f>IFERROR(__xludf.DUMMYFUNCTION("""COMPUTED_VALUE"""),"11 to 50")</f>
        <v/>
      </c>
      <c r="O1217" s="1">
        <f>IFERROR(__xludf.DUMMYFUNCTION("""COMPUTED_VALUE"""),"Business to Consumer")</f>
        <v/>
      </c>
      <c r="P1217" s="1">
        <f>IFERROR(__xludf.DUMMYFUNCTION("""COMPUTED_VALUE"""),"Corporate Training, Lifelong learning/Adult education")</f>
        <v/>
      </c>
      <c r="Q1217" s="1">
        <f>IFERROR(__xludf.DUMMYFUNCTION("""COMPUTED_VALUE"""),"System/Administrative")</f>
        <v/>
      </c>
      <c r="R1217" s="1" t="n"/>
      <c r="S1217" s="1" t="n"/>
      <c r="T1217" s="15">
        <f>IFERROR(__xludf.DUMMYFUNCTION("""COMPUTED_VALUE"""),"https://www.linkedin.com/company/71783451/admin/feed/posts/")</f>
        <v/>
      </c>
      <c r="U1217" s="1">
        <f>IFERROR(__xludf.DUMMYFUNCTION("""COMPUTED_VALUE"""),"Training Management System")</f>
        <v/>
      </c>
      <c r="V1217" s="1">
        <f>IFERROR(__xludf.DUMMYFUNCTION("""COMPUTED_VALUE"""),"Streamline your learning and development operations and easily drive your key performance indicators")</f>
        <v/>
      </c>
      <c r="W1217" s="1">
        <f>IFERROR(__xludf.DUMMYFUNCTION("""COMPUTED_VALUE"""),"Learning Management System")</f>
        <v/>
      </c>
      <c r="X1217" s="1">
        <f>IFERROR(__xludf.DUMMYFUNCTION("""COMPUTED_VALUE"""),"Create and publish your internal trainings in just a few clics")</f>
        <v/>
      </c>
      <c r="Y1217" s="15">
        <f>IFERROR(__xludf.DUMMYFUNCTION("""COMPUTED_VALUE"""),"https://drive.google.com/uc?export=view&amp;id=14xNPUjN_F1jF6zo9kxdfB9vVwoHbLQ3q")</f>
        <v/>
      </c>
      <c r="Z1217" s="1">
        <f>IFERROR(__xludf.DUMMYFUNCTION("""COMPUTED_VALUE"""),"Unverified")</f>
        <v/>
      </c>
      <c r="AA1217" s="1" t="n"/>
      <c r="AB1217" s="1" t="n"/>
      <c r="AC1217" s="1" t="n"/>
      <c r="AD1217" s="1" t="n"/>
      <c r="AE1217" s="1" t="n"/>
    </row>
    <row r="1218" ht="42" customHeight="1">
      <c r="A1218" s="14">
        <f>IFERROR(__xludf.DUMMYFUNCTION("""COMPUTED_VALUE"""),45181)</f>
        <v/>
      </c>
      <c r="B1218" s="1">
        <f>IFERROR(__xludf.DUMMYFUNCTION("""COMPUTED_VALUE"""),"ORG_2268")</f>
        <v/>
      </c>
      <c r="C1218" s="1">
        <f>IFERROR(__xludf.DUMMYFUNCTION("""COMPUTED_VALUE"""),TRUE)</f>
        <v/>
      </c>
      <c r="D1218" s="1">
        <f>IFERROR(__xludf.DUMMYFUNCTION("""COMPUTED_VALUE"""),"Skolen Online")</f>
        <v/>
      </c>
      <c r="E1218" s="15">
        <f>IFERROR(__xludf.DUMMYFUNCTION("""COMPUTED_VALUE"""),"https://www.skolenonline.dk")</f>
        <v/>
      </c>
      <c r="F1218" s="1">
        <f>IFERROR(__xludf.DUMMYFUNCTION("""COMPUTED_VALUE"""),"Skolen Online provides a learning environment for students of the age +7. Be it students not thriving in traditional school boundaries and not belonging in school for kids with special needs, homeschooling, digital nomads or students on elite-sport contra"&amp;"cts traveling and not being able to attend traditional schedules. Online classes, live lessons, learn-boxes and the possibility to self-study.")</f>
        <v/>
      </c>
      <c r="G1218" s="1">
        <f>IFERROR(__xludf.DUMMYFUNCTION("""COMPUTED_VALUE"""),"EdTech Denmark")</f>
        <v/>
      </c>
      <c r="H1218" s="1" t="n"/>
      <c r="I1218" s="1">
        <f>IFERROR(__xludf.DUMMYFUNCTION("""COMPUTED_VALUE"""),"info@skolenonline.dk")</f>
        <v/>
      </c>
      <c r="J1218" s="1">
        <f>IFERROR(__xludf.DUMMYFUNCTION("""COMPUTED_VALUE"""),"+45 81117172")</f>
        <v/>
      </c>
      <c r="K1218" s="1">
        <f>IFERROR(__xludf.DUMMYFUNCTION("""COMPUTED_VALUE"""),"Haslev")</f>
        <v/>
      </c>
      <c r="L1218" s="1">
        <f>IFERROR(__xludf.DUMMYFUNCTION("""COMPUTED_VALUE"""),"Denmark")</f>
        <v/>
      </c>
      <c r="M1218" s="1">
        <f>IFERROR(__xludf.DUMMYFUNCTION("""COMPUTED_VALUE"""),"Bulgaria, Denmark, Poland, Spain, Turkey")</f>
        <v/>
      </c>
      <c r="N1218" s="1">
        <f>IFERROR(__xludf.DUMMYFUNCTION("""COMPUTED_VALUE"""),"6 to 10")</f>
        <v/>
      </c>
      <c r="O1218" s="1">
        <f>IFERROR(__xludf.DUMMYFUNCTION("""COMPUTED_VALUE"""),"Business to Consumer")</f>
        <v/>
      </c>
      <c r="P1218" s="1">
        <f>IFERROR(__xludf.DUMMYFUNCTION("""COMPUTED_VALUE"""),"Primary Education, Secondary Education, Lifelong learning/Adult education, Higher Education")</f>
        <v/>
      </c>
      <c r="Q1218" s="1">
        <f>IFERROR(__xludf.DUMMYFUNCTION("""COMPUTED_VALUE"""),"System/Administrative")</f>
        <v/>
      </c>
      <c r="R1218" s="15">
        <f>IFERROR(__xludf.DUMMYFUNCTION("""COMPUTED_VALUE"""),"https://www.instagram.com/skolenonline/")</f>
        <v/>
      </c>
      <c r="S1218" s="1" t="n"/>
      <c r="T1218" s="15">
        <f>IFERROR(__xludf.DUMMYFUNCTION("""COMPUTED_VALUE"""),"https://www.linkedin.com/company/skolen-online")</f>
        <v/>
      </c>
      <c r="U1218" s="1">
        <f>IFERROR(__xludf.DUMMYFUNCTION("""COMPUTED_VALUE"""),"Online Classes")</f>
        <v/>
      </c>
      <c r="V1218" s="1">
        <f>IFERROR(__xludf.DUMMYFUNCTION("""COMPUTED_VALUE"""),"Live online classes from 0'grade to 10'th grade. Lessons, assignments, guidance and feedback. We ensure that students get ready to finish grade school.")</f>
        <v/>
      </c>
      <c r="W1218" s="1">
        <f>IFERROR(__xludf.DUMMYFUNCTION("""COMPUTED_VALUE"""),"EduLearn Club")</f>
        <v/>
      </c>
      <c r="X1218" s="1">
        <f>IFERROR(__xludf.DUMMYFUNCTION("""COMPUTED_VALUE"""),"An online global learning network.")</f>
        <v/>
      </c>
      <c r="Y1218" s="15">
        <f>IFERROR(__xludf.DUMMYFUNCTION("""COMPUTED_VALUE"""),"https://drive.google.com/uc?export=view&amp;id=1OQppT-C4ZfD0gsbXuUEBkXLiELaoFvSB")</f>
        <v/>
      </c>
      <c r="Z1218" s="1">
        <f>IFERROR(__xludf.DUMMYFUNCTION("""COMPUTED_VALUE"""),"Unverified")</f>
        <v/>
      </c>
      <c r="AA1218" s="1" t="n"/>
      <c r="AB1218" s="1" t="n"/>
      <c r="AC1218" s="1" t="n"/>
      <c r="AD1218" s="1" t="n"/>
      <c r="AE1218" s="1" t="n"/>
    </row>
    <row r="1219" ht="42" customHeight="1">
      <c r="A1219" s="14">
        <f>IFERROR(__xludf.DUMMYFUNCTION("""COMPUTED_VALUE"""),45181)</f>
        <v/>
      </c>
      <c r="B1219" s="1">
        <f>IFERROR(__xludf.DUMMYFUNCTION("""COMPUTED_VALUE"""),"ORG_2350")</f>
        <v/>
      </c>
      <c r="C1219" s="1">
        <f>IFERROR(__xludf.DUMMYFUNCTION("""COMPUTED_VALUE"""),TRUE)</f>
        <v/>
      </c>
      <c r="D1219" s="1">
        <f>IFERROR(__xludf.DUMMYFUNCTION("""COMPUTED_VALUE"""),"Supermood")</f>
        <v/>
      </c>
      <c r="E1219" s="15">
        <f>IFERROR(__xludf.DUMMYFUNCTION("""COMPUTED_VALUE"""),"www.supermood.com")</f>
        <v/>
      </c>
      <c r="F1219" s="1">
        <f>IFERROR(__xludf.DUMMYFUNCTION("""COMPUTED_VALUE"""),"Supermood is a feedback data-platform for employees that make you understand what's happening in your company.")</f>
        <v/>
      </c>
      <c r="G1219" s="1">
        <f>IFERROR(__xludf.DUMMYFUNCTION("""COMPUTED_VALUE"""),"I'm not part of any EdTech association")</f>
        <v/>
      </c>
      <c r="H1219" s="1" t="n"/>
      <c r="I1219" s="1">
        <f>IFERROR(__xludf.DUMMYFUNCTION("""COMPUTED_VALUE"""),"kevin@supermood.fr")</f>
        <v/>
      </c>
      <c r="J1219" s="1" t="n"/>
      <c r="K1219" s="1">
        <f>IFERROR(__xludf.DUMMYFUNCTION("""COMPUTED_VALUE"""),"Paris")</f>
        <v/>
      </c>
      <c r="L1219" s="1">
        <f>IFERROR(__xludf.DUMMYFUNCTION("""COMPUTED_VALUE"""),"France")</f>
        <v/>
      </c>
      <c r="M1219" s="1">
        <f>IFERROR(__xludf.DUMMYFUNCTION("""COMPUTED_VALUE"""),"France, Switzerland")</f>
        <v/>
      </c>
      <c r="N1219" s="1">
        <f>IFERROR(__xludf.DUMMYFUNCTION("""COMPUTED_VALUE"""),"11 to 50")</f>
        <v/>
      </c>
      <c r="O1219" s="1">
        <f>IFERROR(__xludf.DUMMYFUNCTION("""COMPUTED_VALUE"""),"Business to Consumer, Business to Schools")</f>
        <v/>
      </c>
      <c r="P1219" s="1">
        <f>IFERROR(__xludf.DUMMYFUNCTION("""COMPUTED_VALUE"""),"Corporate Training")</f>
        <v/>
      </c>
      <c r="Q1219" s="1">
        <f>IFERROR(__xludf.DUMMYFUNCTION("""COMPUTED_VALUE"""),"System/Administrative")</f>
        <v/>
      </c>
      <c r="R1219" s="1" t="n"/>
      <c r="S1219" s="1" t="n"/>
      <c r="T1219" s="1" t="n"/>
      <c r="U1219" s="1" t="n"/>
      <c r="V1219" s="1" t="n"/>
      <c r="W1219" s="1" t="n"/>
      <c r="X1219" s="1" t="n"/>
      <c r="Y1219" s="15">
        <f>IFERROR(__xludf.DUMMYFUNCTION("""COMPUTED_VALUE"""),"https://drive.google.com/uc?export=view&amp;id=1nOoKGPesbFM76tucOE-aWKXpQ-Z2LyJh")</f>
        <v/>
      </c>
      <c r="Z1219" s="1">
        <f>IFERROR(__xludf.DUMMYFUNCTION("""COMPUTED_VALUE"""),"Unverified")</f>
        <v/>
      </c>
      <c r="AA1219" s="1" t="n"/>
      <c r="AB1219" s="1" t="n"/>
      <c r="AC1219" s="1" t="n"/>
      <c r="AD1219" s="1" t="n"/>
      <c r="AE1219" s="1" t="n"/>
    </row>
    <row r="1220" ht="42" customHeight="1">
      <c r="A1220" s="14">
        <f>IFERROR(__xludf.DUMMYFUNCTION("""COMPUTED_VALUE"""),45181)</f>
        <v/>
      </c>
      <c r="B1220" s="1">
        <f>IFERROR(__xludf.DUMMYFUNCTION("""COMPUTED_VALUE"""),"ORG_2358")</f>
        <v/>
      </c>
      <c r="C1220" s="1">
        <f>IFERROR(__xludf.DUMMYFUNCTION("""COMPUTED_VALUE"""),TRUE)</f>
        <v/>
      </c>
      <c r="D1220" s="1">
        <f>IFERROR(__xludf.DUMMYFUNCTION("""COMPUTED_VALUE"""),"Symbaloo")</f>
        <v/>
      </c>
      <c r="E1220" s="15">
        <f>IFERROR(__xludf.DUMMYFUNCTION("""COMPUTED_VALUE"""),"https://www.symbaloo.com")</f>
        <v/>
      </c>
      <c r="F1220" s="1">
        <f>IFERROR(__xludf.DUMMYFUNCTION("""COMPUTED_VALUE"""),"Symbaloo for Education is the ultimate platform for managing and distributing personalized content. It helps teachers within the School and make it easy to save and share educational resources online. Set up your school homepage, or use Symbaloo as your b"&amp;"ookmark manager.")</f>
        <v/>
      </c>
      <c r="G1220" s="1">
        <f>IFERROR(__xludf.DUMMYFUNCTION("""COMPUTED_VALUE"""),"I'm not part of any EdTech association")</f>
        <v/>
      </c>
      <c r="H1220" s="1" t="n"/>
      <c r="I1220" s="1">
        <f>IFERROR(__xludf.DUMMYFUNCTION("""COMPUTED_VALUE"""),"feedbacken@symbaloo.com")</f>
        <v/>
      </c>
      <c r="J1220" s="1" t="n"/>
      <c r="K1220" s="1">
        <f>IFERROR(__xludf.DUMMYFUNCTION("""COMPUTED_VALUE"""),"DELFT")</f>
        <v/>
      </c>
      <c r="L1220" s="1">
        <f>IFERROR(__xludf.DUMMYFUNCTION("""COMPUTED_VALUE"""),"The Netherlands")</f>
        <v/>
      </c>
      <c r="M1220"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San Marino, Serbia, Slovakia, Slovenia, Spain, Sweden, Switzerland, Turkey, Ukraine, United Kingdom")</f>
        <v/>
      </c>
      <c r="N1220" s="1">
        <f>IFERROR(__xludf.DUMMYFUNCTION("""COMPUTED_VALUE"""),"11 to 50")</f>
        <v/>
      </c>
      <c r="O1220" s="1">
        <f>IFERROR(__xludf.DUMMYFUNCTION("""COMPUTED_VALUE"""),"Business to Government, Business to Schools")</f>
        <v/>
      </c>
      <c r="P1220" s="1">
        <f>IFERROR(__xludf.DUMMYFUNCTION("""COMPUTED_VALUE"""),"Early childhood development (0-5 years), Primary Education, Secondary Education")</f>
        <v/>
      </c>
      <c r="Q1220" s="1">
        <f>IFERROR(__xludf.DUMMYFUNCTION("""COMPUTED_VALUE"""),"Teacher interfacing")</f>
        <v/>
      </c>
      <c r="R1220" s="1" t="n"/>
      <c r="S1220" s="1" t="n"/>
      <c r="T1220" s="1" t="n"/>
      <c r="U1220" s="1" t="n"/>
      <c r="V1220" s="1" t="n"/>
      <c r="W1220" s="1" t="n"/>
      <c r="X1220" s="1" t="n"/>
      <c r="Y1220" s="15">
        <f>IFERROR(__xludf.DUMMYFUNCTION("""COMPUTED_VALUE"""),"https://drive.google.com/uc?export=view&amp;id=1eE--0NXX_cPLmxzHsOLWML-hxE2qYwjt")</f>
        <v/>
      </c>
      <c r="Z1220" s="1">
        <f>IFERROR(__xludf.DUMMYFUNCTION("""COMPUTED_VALUE"""),"Unverified")</f>
        <v/>
      </c>
      <c r="AA1220" s="1" t="n"/>
      <c r="AB1220" s="1" t="n"/>
      <c r="AC1220" s="1" t="n"/>
      <c r="AD1220" s="1" t="n"/>
      <c r="AE1220" s="1" t="n"/>
    </row>
    <row r="1221" ht="42" customHeight="1">
      <c r="A1221" s="14">
        <f>IFERROR(__xludf.DUMMYFUNCTION("""COMPUTED_VALUE"""),45181)</f>
        <v/>
      </c>
      <c r="B1221" s="1">
        <f>IFERROR(__xludf.DUMMYFUNCTION("""COMPUTED_VALUE"""),"ORG_2537")</f>
        <v/>
      </c>
      <c r="C1221" s="1">
        <f>IFERROR(__xludf.DUMMYFUNCTION("""COMPUTED_VALUE"""),TRUE)</f>
        <v/>
      </c>
      <c r="D1221" s="1">
        <f>IFERROR(__xludf.DUMMYFUNCTION("""COMPUTED_VALUE"""),"WIPER GAMING")</f>
        <v/>
      </c>
      <c r="E1221" s="15">
        <f>IFERROR(__xludf.DUMMYFUNCTION("""COMPUTED_VALUE"""),"www.wipergaming.com")</f>
        <v/>
      </c>
      <c r="F1221" s="1">
        <f>IFERROR(__xludf.DUMMYFUNCTION("""COMPUTED_VALUE"""),"Our goal as a startup is to professionalize the world of esports through training and education. 
we are developing the best training for gamers to play better, on the one hand. and on the other hand we are also creating the training of the professions o"&amp;"f the sector")</f>
        <v/>
      </c>
      <c r="G1221" s="1">
        <f>IFERROR(__xludf.DUMMYFUNCTION("""COMPUTED_VALUE"""),"I'm not part of any EdTech association")</f>
        <v/>
      </c>
      <c r="H1221" s="1" t="n"/>
      <c r="I1221" s="1">
        <f>IFERROR(__xludf.DUMMYFUNCTION("""COMPUTED_VALUE"""),"nacho@wipergaming.com")</f>
        <v/>
      </c>
      <c r="J1221" s="1">
        <f>IFERROR(__xludf.DUMMYFUNCTION("""COMPUTED_VALUE"""),"620226892")</f>
        <v/>
      </c>
      <c r="K1221" s="1">
        <f>IFERROR(__xludf.DUMMYFUNCTION("""COMPUTED_VALUE"""),"MADRID")</f>
        <v/>
      </c>
      <c r="L1221" s="1">
        <f>IFERROR(__xludf.DUMMYFUNCTION("""COMPUTED_VALUE"""),"Spain")</f>
        <v/>
      </c>
      <c r="M1221" s="1">
        <f>IFERROR(__xludf.DUMMYFUNCTION("""COMPUTED_VALUE"""),"Andorra, Spain")</f>
        <v/>
      </c>
      <c r="N1221" s="1">
        <f>IFERROR(__xludf.DUMMYFUNCTION("""COMPUTED_VALUE"""),"11 to 50")</f>
        <v/>
      </c>
      <c r="O1221" s="1">
        <f>IFERROR(__xludf.DUMMYFUNCTION("""COMPUTED_VALUE"""),"Business to Schools")</f>
        <v/>
      </c>
      <c r="P1221" s="1">
        <f>IFERROR(__xludf.DUMMYFUNCTION("""COMPUTED_VALUE"""),"Early childhood development (0-5 years), Primary Education, Secondary Education, Higher Education")</f>
        <v/>
      </c>
      <c r="Q1221" s="1">
        <f>IFERROR(__xludf.DUMMYFUNCTION("""COMPUTED_VALUE"""),"Student interfacing")</f>
        <v/>
      </c>
      <c r="R1221" s="1" t="n"/>
      <c r="S1221" s="1" t="n"/>
      <c r="T1221" s="1" t="n"/>
      <c r="U1221" s="1" t="n"/>
      <c r="V1221" s="1" t="n"/>
      <c r="W1221" s="1" t="n"/>
      <c r="X1221" s="1" t="n"/>
      <c r="Y1221" s="15">
        <f>IFERROR(__xludf.DUMMYFUNCTION("""COMPUTED_VALUE"""),"https://drive.google.com/uc?export=view&amp;id=1XgWsF2POgCIcBQLvHykU1qKU3jydWOiS")</f>
        <v/>
      </c>
      <c r="Z1221" s="1">
        <f>IFERROR(__xludf.DUMMYFUNCTION("""COMPUTED_VALUE"""),"Unverified")</f>
        <v/>
      </c>
      <c r="AA1221" s="1" t="n"/>
      <c r="AB1221" s="1" t="n"/>
      <c r="AC1221" s="1" t="n"/>
      <c r="AD1221" s="1" t="n"/>
      <c r="AE1221" s="1" t="n"/>
    </row>
    <row r="1222" ht="42" customHeight="1">
      <c r="A1222" s="14">
        <f>IFERROR(__xludf.DUMMYFUNCTION("""COMPUTED_VALUE"""),45181)</f>
        <v/>
      </c>
      <c r="B1222" s="1">
        <f>IFERROR(__xludf.DUMMYFUNCTION("""COMPUTED_VALUE"""),"ORG_1008")</f>
        <v/>
      </c>
      <c r="C1222" s="1">
        <f>IFERROR(__xludf.DUMMYFUNCTION("""COMPUTED_VALUE"""),TRUE)</f>
        <v/>
      </c>
      <c r="D1222" s="1">
        <f>IFERROR(__xludf.DUMMYFUNCTION("""COMPUTED_VALUE"""),"33 TRUCS")</f>
        <v/>
      </c>
      <c r="E1222" s="15">
        <f>IFERROR(__xludf.DUMMYFUNCTION("""COMPUTED_VALUE"""),"www.33trucs.com")</f>
        <v/>
      </c>
      <c r="F1222" s="1">
        <f>IFERROR(__xludf.DUMMYFUNCTION("""COMPUTED_VALUE"""),"33 TRUCS is a collaborative learning app that aims to build and engage large professional communities through knowledge sharing. Its unique learning experience is inspired by B2C media engaging features (including snack content and peer learning) and make"&amp;"s every day learnings special. We believe in nugget learning, particularly when sharing the bucket with fellows.
It allows companies to broaden their employee experience and to mobilize their human capital to achieve its daily challenges : keeping its ski"&amp;"lls up to date, onboarding new recruits, spreading methodologies or culture, feeding employer brand, gaining greater market recognition, etc.")</f>
        <v/>
      </c>
      <c r="G1222" s="1">
        <f>IFERROR(__xludf.DUMMYFUNCTION("""COMPUTED_VALUE"""),"I'm not part of any EdTech association")</f>
        <v/>
      </c>
      <c r="H1222" s="1" t="n"/>
      <c r="I1222" s="1">
        <f>IFERROR(__xludf.DUMMYFUNCTION("""COMPUTED_VALUE"""),"contact@33trucs.com")</f>
        <v/>
      </c>
      <c r="J1222" s="1" t="n"/>
      <c r="K1222" s="1">
        <f>IFERROR(__xludf.DUMMYFUNCTION("""COMPUTED_VALUE"""),"MARSEILLE")</f>
        <v/>
      </c>
      <c r="L1222" s="1">
        <f>IFERROR(__xludf.DUMMYFUNCTION("""COMPUTED_VALUE"""),"France")</f>
        <v/>
      </c>
      <c r="M1222" s="1">
        <f>IFERROR(__xludf.DUMMYFUNCTION("""COMPUTED_VALUE"""),"France, Netherlands")</f>
        <v/>
      </c>
      <c r="N1222" s="1">
        <f>IFERROR(__xludf.DUMMYFUNCTION("""COMPUTED_VALUE"""),"0 to 10")</f>
        <v/>
      </c>
      <c r="O1222" s="1">
        <f>IFERROR(__xludf.DUMMYFUNCTION("""COMPUTED_VALUE"""),"Business to Business")</f>
        <v/>
      </c>
      <c r="P1222" s="1">
        <f>IFERROR(__xludf.DUMMYFUNCTION("""COMPUTED_VALUE"""),"Corporate Training, Lifelong learning/Adult education")</f>
        <v/>
      </c>
      <c r="Q1222" s="1">
        <f>IFERROR(__xludf.DUMMYFUNCTION("""COMPUTED_VALUE"""),"Teacher interfacing, Student interfacing, System/Administrative")</f>
        <v/>
      </c>
      <c r="R1222" s="1" t="n"/>
      <c r="S1222" s="1" t="n"/>
      <c r="T1222" s="1" t="n"/>
      <c r="U1222" s="1" t="n"/>
      <c r="V1222" s="1" t="n"/>
      <c r="W1222" s="1" t="n"/>
      <c r="X1222" s="1" t="n"/>
      <c r="Y1222" s="15">
        <f>IFERROR(__xludf.DUMMYFUNCTION("""COMPUTED_VALUE"""),"https://drive.google.com/uc?export=view&amp;id=1egkE2tJl_FZPJDXSWvnYCBZYfyjGhD6C")</f>
        <v/>
      </c>
      <c r="Z1222" s="1">
        <f>IFERROR(__xludf.DUMMYFUNCTION("""COMPUTED_VALUE"""),"Unverified")</f>
        <v/>
      </c>
      <c r="AA1222" s="1" t="n"/>
      <c r="AB1222" s="1" t="n"/>
      <c r="AC1222" s="1" t="n"/>
      <c r="AD1222" s="1" t="n"/>
      <c r="AE1222" s="1" t="n"/>
    </row>
    <row r="1223" ht="42" customHeight="1">
      <c r="A1223" s="14">
        <f>IFERROR(__xludf.DUMMYFUNCTION("""COMPUTED_VALUE"""),45181)</f>
        <v/>
      </c>
      <c r="B1223" s="1">
        <f>IFERROR(__xludf.DUMMYFUNCTION("""COMPUTED_VALUE"""),"ORG_1087")</f>
        <v/>
      </c>
      <c r="C1223" s="1">
        <f>IFERROR(__xludf.DUMMYFUNCTION("""COMPUTED_VALUE"""),TRUE)</f>
        <v/>
      </c>
      <c r="D1223" s="1">
        <f>IFERROR(__xludf.DUMMYFUNCTION("""COMPUTED_VALUE"""),"Aprendices Visuales")</f>
        <v/>
      </c>
      <c r="E1223" s="15">
        <f>IFERROR(__xludf.DUMMYFUNCTION("""COMPUTED_VALUE"""),"www.aprendicesvisuales.com")</f>
        <v/>
      </c>
      <c r="F1223" s="1">
        <f>IFERROR(__xludf.DUMMYFUNCTION("""COMPUTED_VALUE"""),"Aprendices Visuales is an organization creating visual tools and methodologies to empower K12 children´s learning.")</f>
        <v/>
      </c>
      <c r="G1223" s="1">
        <f>IFERROR(__xludf.DUMMYFUNCTION("""COMPUTED_VALUE"""),"I'm not part of any EdTech association")</f>
        <v/>
      </c>
      <c r="H1223" s="1" t="n"/>
      <c r="I1223" s="1">
        <f>IFERROR(__xludf.DUMMYFUNCTION("""COMPUTED_VALUE"""),"aprendicesvisuales@gmail.com")</f>
        <v/>
      </c>
      <c r="J1223" s="1">
        <f>IFERROR(__xludf.DUMMYFUNCTION("""COMPUTED_VALUE"""),"+34 607973491")</f>
        <v/>
      </c>
      <c r="K1223" s="1">
        <f>IFERROR(__xludf.DUMMYFUNCTION("""COMPUTED_VALUE"""),"EL PUERTO DE SANTA MARIA")</f>
        <v/>
      </c>
      <c r="L1223" s="1">
        <f>IFERROR(__xludf.DUMMYFUNCTION("""COMPUTED_VALUE"""),"Spain")</f>
        <v/>
      </c>
      <c r="M1223" s="1">
        <f>IFERROR(__xludf.DUMMYFUNCTION("""COMPUTED_VALUE"""),"Spain")</f>
        <v/>
      </c>
      <c r="N1223" s="1">
        <f>IFERROR(__xludf.DUMMYFUNCTION("""COMPUTED_VALUE"""),"0 to 10")</f>
        <v/>
      </c>
      <c r="O1223" s="1">
        <f>IFERROR(__xludf.DUMMYFUNCTION("""COMPUTED_VALUE"""),"Business to Business")</f>
        <v/>
      </c>
      <c r="P1223" s="1">
        <f>IFERROR(__xludf.DUMMYFUNCTION("""COMPUTED_VALUE"""),"Early childhood development (0-5 years), Primary Education")</f>
        <v/>
      </c>
      <c r="Q1223" s="1">
        <f>IFERROR(__xludf.DUMMYFUNCTION("""COMPUTED_VALUE"""),"System/Administrative, Student interfacing, Teacher interfacing")</f>
        <v/>
      </c>
      <c r="R1223" s="1" t="n"/>
      <c r="S1223" s="1" t="n"/>
      <c r="T1223" s="1" t="n"/>
      <c r="U1223" s="1" t="n"/>
      <c r="V1223" s="1" t="n"/>
      <c r="W1223" s="1" t="n"/>
      <c r="X1223" s="1" t="n"/>
      <c r="Y1223" s="15">
        <f>IFERROR(__xludf.DUMMYFUNCTION("""COMPUTED_VALUE"""),"https://drive.google.com/uc?export=view&amp;id=17s7pCJkdQN8ia8fN46zfgiiSqE0a-iLy")</f>
        <v/>
      </c>
      <c r="Z1223" s="1">
        <f>IFERROR(__xludf.DUMMYFUNCTION("""COMPUTED_VALUE"""),"Unverified")</f>
        <v/>
      </c>
      <c r="AA1223" s="1" t="n"/>
      <c r="AB1223" s="1" t="n"/>
      <c r="AC1223" s="1" t="n"/>
      <c r="AD1223" s="1" t="n"/>
      <c r="AE1223" s="1" t="n"/>
    </row>
    <row r="1224" ht="42" customHeight="1">
      <c r="A1224" s="14">
        <f>IFERROR(__xludf.DUMMYFUNCTION("""COMPUTED_VALUE"""),45181)</f>
        <v/>
      </c>
      <c r="B1224" s="1">
        <f>IFERROR(__xludf.DUMMYFUNCTION("""COMPUTED_VALUE"""),"ORG_1118")</f>
        <v/>
      </c>
      <c r="C1224" s="1">
        <f>IFERROR(__xludf.DUMMYFUNCTION("""COMPUTED_VALUE"""),TRUE)</f>
        <v/>
      </c>
      <c r="D1224" s="1">
        <f>IFERROR(__xludf.DUMMYFUNCTION("""COMPUTED_VALUE"""),"Atlas Primer")</f>
        <v/>
      </c>
      <c r="E1224" s="15">
        <f>IFERROR(__xludf.DUMMYFUNCTION("""COMPUTED_VALUE"""),"https://atlasprimer.com")</f>
        <v/>
      </c>
      <c r="F1224" s="1">
        <f>IFERROR(__xludf.DUMMYFUNCTION("""COMPUTED_VALUE"""),"Atlas Primer is pioneering a new way of learning for the 1 in 5 students with a learning difficulty like dyslexia and ADHD. Atlas Primer allows anyone to create audio from notes, documents, websites, quizzes, and flashcards, and share it as easily as a Yo"&amp;"uTube link. Atlas Primer is a voice assistant that can converse with students about any subject and answers and asks questions in natural spoken language. Atlas Primer is available anytime and anywhere and our users report gaining 90 minutes per day becau"&amp;"se they can consume the audio while doing other things, while some report a 300% increase in learning efficiency compared to reading.")</f>
        <v/>
      </c>
      <c r="G1224" s="1">
        <f>IFERROR(__xludf.DUMMYFUNCTION("""COMPUTED_VALUE"""),"I'm not part of any EdTech association")</f>
        <v/>
      </c>
      <c r="H1224" s="1" t="n"/>
      <c r="I1224" s="1">
        <f>IFERROR(__xludf.DUMMYFUNCTION("""COMPUTED_VALUE"""),"info@atlasprimer.com")</f>
        <v/>
      </c>
      <c r="J1224" s="1" t="n"/>
      <c r="K1224" s="1">
        <f>IFERROR(__xludf.DUMMYFUNCTION("""COMPUTED_VALUE"""),"REYKJAVIK")</f>
        <v/>
      </c>
      <c r="L1224" s="1">
        <f>IFERROR(__xludf.DUMMYFUNCTION("""COMPUTED_VALUE"""),"Iceland")</f>
        <v/>
      </c>
      <c r="M1224" s="1">
        <f>IFERROR(__xludf.DUMMYFUNCTION("""COMPUTED_VALUE"""),"Iceland, Ireland, United Kingdom")</f>
        <v/>
      </c>
      <c r="N1224" s="1">
        <f>IFERROR(__xludf.DUMMYFUNCTION("""COMPUTED_VALUE"""),"0 to 10")</f>
        <v/>
      </c>
      <c r="O1224" s="1">
        <f>IFERROR(__xludf.DUMMYFUNCTION("""COMPUTED_VALUE"""),"Business to Business")</f>
        <v/>
      </c>
      <c r="P1224" s="1">
        <f>IFERROR(__xludf.DUMMYFUNCTION("""COMPUTED_VALUE"""),"Secondary Education, Higher Education, Corporate Training, Lifelong learning/Adult education")</f>
        <v/>
      </c>
      <c r="Q1224" s="1">
        <f>IFERROR(__xludf.DUMMYFUNCTION("""COMPUTED_VALUE"""),"System/Administrative, Student interfacing")</f>
        <v/>
      </c>
      <c r="R1224" s="1" t="n"/>
      <c r="S1224" s="1" t="n"/>
      <c r="T1224" s="1" t="n"/>
      <c r="U1224" s="1" t="n"/>
      <c r="V1224" s="1" t="n"/>
      <c r="W1224" s="1" t="n"/>
      <c r="X1224" s="1" t="n"/>
      <c r="Y1224" s="15">
        <f>IFERROR(__xludf.DUMMYFUNCTION("""COMPUTED_VALUE"""),"https://drive.google.com/uc?export=view&amp;id=1UowCD2-3pfVbNsDLoSA1WJGYLH00jHJj")</f>
        <v/>
      </c>
      <c r="Z1224" s="1">
        <f>IFERROR(__xludf.DUMMYFUNCTION("""COMPUTED_VALUE"""),"Unverified")</f>
        <v/>
      </c>
      <c r="AA1224" s="1" t="n"/>
      <c r="AB1224" s="1" t="n"/>
      <c r="AC1224" s="1" t="n"/>
      <c r="AD1224" s="1" t="n"/>
      <c r="AE1224" s="1" t="n"/>
    </row>
    <row r="1225" ht="42" customHeight="1">
      <c r="A1225" s="14">
        <f>IFERROR(__xludf.DUMMYFUNCTION("""COMPUTED_VALUE"""),45181)</f>
        <v/>
      </c>
      <c r="B1225" s="1">
        <f>IFERROR(__xludf.DUMMYFUNCTION("""COMPUTED_VALUE"""),"ORG_1143")</f>
        <v/>
      </c>
      <c r="C1225" s="1">
        <f>IFERROR(__xludf.DUMMYFUNCTION("""COMPUTED_VALUE"""),TRUE)</f>
        <v/>
      </c>
      <c r="D1225" s="1">
        <f>IFERROR(__xludf.DUMMYFUNCTION("""COMPUTED_VALUE"""),"BeCREO Technologies")</f>
        <v/>
      </c>
      <c r="E1225" s="15">
        <f>IFERROR(__xludf.DUMMYFUNCTION("""COMPUTED_VALUE"""),"https://scottiego.com/en/")</f>
        <v/>
      </c>
      <c r="F1225" s="1">
        <f>IFERROR(__xludf.DUMMYFUNCTION("""COMPUTED_VALUE"""),"BeCREO Technologies is a Polish IT company that develops innovative educational tools for the education and consumer markets.The company’s leading product Scottie Go! is an innovative educational game series that teaches programming. It promotes the devel"&amp;"opment of algorithmic intuition and competencies, according to the latest developments in methodology and technology.
The game is available in 23 languages in over 85 countries around the world, clearly increasing the prestige and achievements of Polish s"&amp;"cience and education.
The company cooperates with teachers, experts, educational institutions, and research and development entities. Products created by BeCREO Technologies are tested and supported by the School of the Future Laboratory, Poznań Supercomp"&amp;"uting and Networking Center, and are enriched with didactic materials. The products are designed to teach programming in school and are suitable for distance learning.")</f>
        <v/>
      </c>
      <c r="G1225" s="1">
        <f>IFERROR(__xludf.DUMMYFUNCTION("""COMPUTED_VALUE"""),"EdTech Poland")</f>
        <v/>
      </c>
      <c r="H1225" s="1" t="n"/>
      <c r="I1225" s="1">
        <f>IFERROR(__xludf.DUMMYFUNCTION("""COMPUTED_VALUE"""),"contact@becreo.com")</f>
        <v/>
      </c>
      <c r="J1225" s="1" t="n"/>
      <c r="K1225" s="1">
        <f>IFERROR(__xludf.DUMMYFUNCTION("""COMPUTED_VALUE"""),"Poznan")</f>
        <v/>
      </c>
      <c r="L1225" s="1">
        <f>IFERROR(__xludf.DUMMYFUNCTION("""COMPUTED_VALUE"""),"Poland")</f>
        <v/>
      </c>
      <c r="M1225" s="1">
        <f>IFERROR(__xludf.DUMMYFUNCTION("""COMPUTED_VALUE"""),"Poland")</f>
        <v/>
      </c>
      <c r="N1225" s="1">
        <f>IFERROR(__xludf.DUMMYFUNCTION("""COMPUTED_VALUE"""),"0 to 10")</f>
        <v/>
      </c>
      <c r="O1225" s="1">
        <f>IFERROR(__xludf.DUMMYFUNCTION("""COMPUTED_VALUE"""),"Business to Business")</f>
        <v/>
      </c>
      <c r="P1225" s="1">
        <f>IFERROR(__xludf.DUMMYFUNCTION("""COMPUTED_VALUE"""),"Early childhood development (0-5 years), Primary Education, Secondary Education")</f>
        <v/>
      </c>
      <c r="Q1225" s="1">
        <f>IFERROR(__xludf.DUMMYFUNCTION("""COMPUTED_VALUE"""),"System/Administrative, Student interfacing, Teacher interfacing")</f>
        <v/>
      </c>
      <c r="R1225" s="1" t="n"/>
      <c r="S1225" s="1" t="n"/>
      <c r="T1225" s="15">
        <f>IFERROR(__xludf.DUMMYFUNCTION("""COMPUTED_VALUE"""),"https://www.linkedin.com/company/becreo-technologies/mycompany/")</f>
        <v/>
      </c>
      <c r="U1225" s="1">
        <f>IFERROR(__xludf.DUMMYFUNCTION("""COMPUTED_VALUE"""),"Scottie Go! EDU")</f>
        <v/>
      </c>
      <c r="V1225" s="1">
        <f>IFERROR(__xludf.DUMMYFUNCTION("""COMPUTED_VALUE"""),"Scottie Go! For education is an innovative game which introduces children to the world of programming. Specially designed cardboard blocks makes learning how to code, developing algorithmic intuition and improving logical thinking skills fun. It involves "&amp;"all basic concepts of programming –parameters, loops, conditional expressions, variable and functions. It includes a board and 179 cardboard tiles and an application, featuring 91 quests of increasing difficulty. A detailed Teacher’s Guide, lessons’ scena"&amp;"rios and worksheets are prepared for teachers to be downloaded from the website.")</f>
        <v/>
      </c>
      <c r="W1225" s="1">
        <f>IFERROR(__xludf.DUMMYFUNCTION("""COMPUTED_VALUE"""),"Scottie Go! Basic")</f>
        <v/>
      </c>
      <c r="X1225" s="1">
        <f>IFERROR(__xludf.DUMMYFUNCTION("""COMPUTED_VALUE"""),"Scootie Go! Basic is an innovative game designed to teach programming to younger children. It develops using of pictograms to create algorithms, mathematical reasoning, teamwork. The game allows children to code without a computing device. It includes 2 c"&amp;"ardboard overlays, 47 tokens to create quests, 3 wooden tokens to represent Scottie on the game board and a deck of action cards to modify quests on the game board. The tiles are compatible with the Sccotie Go! EDU app")</f>
        <v/>
      </c>
      <c r="Y1225" s="15">
        <f>IFERROR(__xludf.DUMMYFUNCTION("""COMPUTED_VALUE"""),"https://drive.google.com/uc?export=view&amp;id=1NKCYYOFUTViJyTZPcB0rre6WXOm6THFd")</f>
        <v/>
      </c>
      <c r="Z1225" s="1">
        <f>IFERROR(__xludf.DUMMYFUNCTION("""COMPUTED_VALUE"""),"Unverified")</f>
        <v/>
      </c>
      <c r="AA1225" s="1" t="n"/>
      <c r="AB1225" s="1" t="n"/>
      <c r="AC1225" s="1" t="n"/>
      <c r="AD1225" s="1" t="n"/>
      <c r="AE1225" s="1" t="n"/>
    </row>
    <row r="1226" ht="42" customHeight="1">
      <c r="A1226" s="14">
        <f>IFERROR(__xludf.DUMMYFUNCTION("""COMPUTED_VALUE"""),45181)</f>
        <v/>
      </c>
      <c r="B1226" s="1">
        <f>IFERROR(__xludf.DUMMYFUNCTION("""COMPUTED_VALUE"""),"ORG_1210")</f>
        <v/>
      </c>
      <c r="C1226" s="1">
        <f>IFERROR(__xludf.DUMMYFUNCTION("""COMPUTED_VALUE"""),TRUE)</f>
        <v/>
      </c>
      <c r="D1226" s="1">
        <f>IFERROR(__xludf.DUMMYFUNCTION("""COMPUTED_VALUE"""),"Caira")</f>
        <v/>
      </c>
      <c r="E1226" s="15">
        <f>IFERROR(__xludf.DUMMYFUNCTION("""COMPUTED_VALUE"""),"https://caira.io/")</f>
        <v/>
      </c>
      <c r="F1226" s="1">
        <f>IFERROR(__xludf.DUMMYFUNCTION("""COMPUTED_VALUE"""),"Caira is a marketplace of academic opportunities for students all around the world. We provide a platform for universities to expose and promote their courses and for students to know which of them fits their best. Right now exploring interaction areas in"&amp;" the metaverse and other new 3.0 student recruitment opportunities.")</f>
        <v/>
      </c>
      <c r="G1226" s="1">
        <f>IFERROR(__xludf.DUMMYFUNCTION("""COMPUTED_VALUE"""),"I'm not part of any EdTech association")</f>
        <v/>
      </c>
      <c r="H1226" s="1" t="n"/>
      <c r="I1226" s="1">
        <f>IFERROR(__xludf.DUMMYFUNCTION("""COMPUTED_VALUE"""),"caira@caira.io")</f>
        <v/>
      </c>
      <c r="J1226" s="1">
        <f>IFERROR(__xludf.DUMMYFUNCTION("""COMPUTED_VALUE"""),"+34 669718204")</f>
        <v/>
      </c>
      <c r="K1226" s="1">
        <f>IFERROR(__xludf.DUMMYFUNCTION("""COMPUTED_VALUE"""),"VALENCIA")</f>
        <v/>
      </c>
      <c r="L1226" s="1">
        <f>IFERROR(__xludf.DUMMYFUNCTION("""COMPUTED_VALUE"""),"Spain")</f>
        <v/>
      </c>
      <c r="M1226" s="1">
        <f>IFERROR(__xludf.DUMMYFUNCTION("""COMPUTED_VALUE"""),"Spain")</f>
        <v/>
      </c>
      <c r="N1226" s="1">
        <f>IFERROR(__xludf.DUMMYFUNCTION("""COMPUTED_VALUE"""),"0 to 10")</f>
        <v/>
      </c>
      <c r="O1226" s="1">
        <f>IFERROR(__xludf.DUMMYFUNCTION("""COMPUTED_VALUE"""),"Business to Business")</f>
        <v/>
      </c>
      <c r="P1226" s="1">
        <f>IFERROR(__xludf.DUMMYFUNCTION("""COMPUTED_VALUE"""),"Higher Education, Corporate Training, Lifelong learning/Adult education")</f>
        <v/>
      </c>
      <c r="Q1226" s="1">
        <f>IFERROR(__xludf.DUMMYFUNCTION("""COMPUTED_VALUE"""),"Student interfacing")</f>
        <v/>
      </c>
      <c r="R1226" s="1" t="n"/>
      <c r="S1226" s="1" t="n"/>
      <c r="T1226" s="1" t="n"/>
      <c r="U1226" s="1" t="n"/>
      <c r="V1226" s="1" t="n"/>
      <c r="W1226" s="1" t="n"/>
      <c r="X1226" s="1" t="n"/>
      <c r="Y1226" s="15">
        <f>IFERROR(__xludf.DUMMYFUNCTION("""COMPUTED_VALUE"""),"https://drive.google.com/uc?export=view&amp;id=1sfr5Y0nH1hvxkczEjzC9mfGbtU-m5swr")</f>
        <v/>
      </c>
      <c r="Z1226" s="1">
        <f>IFERROR(__xludf.DUMMYFUNCTION("""COMPUTED_VALUE"""),"Unverified")</f>
        <v/>
      </c>
      <c r="AA1226" s="1" t="n"/>
      <c r="AB1226" s="1" t="n"/>
      <c r="AC1226" s="1" t="n"/>
      <c r="AD1226" s="1" t="n"/>
      <c r="AE1226" s="1" t="n"/>
    </row>
    <row r="1227" ht="42" customHeight="1">
      <c r="A1227" s="14">
        <f>IFERROR(__xludf.DUMMYFUNCTION("""COMPUTED_VALUE"""),45181)</f>
        <v/>
      </c>
      <c r="B1227" s="1">
        <f>IFERROR(__xludf.DUMMYFUNCTION("""COMPUTED_VALUE"""),"ORG_1296")</f>
        <v/>
      </c>
      <c r="C1227" s="1">
        <f>IFERROR(__xludf.DUMMYFUNCTION("""COMPUTED_VALUE"""),TRUE)</f>
        <v/>
      </c>
      <c r="D1227" s="1">
        <f>IFERROR(__xludf.DUMMYFUNCTION("""COMPUTED_VALUE"""),"Coorpacademy by Go1")</f>
        <v/>
      </c>
      <c r="E1227" s="15">
        <f>IFERROR(__xludf.DUMMYFUNCTION("""COMPUTED_VALUE"""),"https://www.coorpacademy.com/")</f>
        <v/>
      </c>
      <c r="F1227" s="1">
        <f>IFERROR(__xludf.DUMMYFUNCTION("""COMPUTED_VALUE"""),"Coorpacademy is a European leading Edtech startup in Digital Learning. Our mission is revolutionising online corporate training with a platform and a Smart Content Library that integrates the latest innovations in instructional design, including gamificat"&amp;"ion, microlearning, adaptive and social learning. We promise a more fun, flexible and collaborative learning experience, focused on the learner. Based in Paris and in Lausanne at the Swiss EdTech Collider of the Swiss Federal Institute of Technology (EPFL"&amp;"), we are at the heart of research on new learning methods.
Coorpacademy offers tailor-made content for its Enterprise customers and their 1,000,000 employees, but also a catalogue of over 1,800 courses produced with top industry content partners like For"&amp;"bes, IBM, Wolters Kluwer and Video Arts to upskill employees on Future of Work topics and develop their employability.
#Enjoy Learning.")</f>
        <v/>
      </c>
      <c r="G1227" s="1">
        <f>IFERROR(__xludf.DUMMYFUNCTION("""COMPUTED_VALUE"""),"EdTech France, Swiss EdTech Collider")</f>
        <v/>
      </c>
      <c r="H1227" s="1" t="n"/>
      <c r="I1227" s="1">
        <f>IFERROR(__xludf.DUMMYFUNCTION("""COMPUTED_VALUE"""),"contact@coorpacademy.com")</f>
        <v/>
      </c>
      <c r="J1227" s="1">
        <f>IFERROR(__xludf.DUMMYFUNCTION("""COMPUTED_VALUE"""),"+33 1 83 81 34 84")</f>
        <v/>
      </c>
      <c r="K1227" s="1">
        <f>IFERROR(__xludf.DUMMYFUNCTION("""COMPUTED_VALUE"""),"Paris")</f>
        <v/>
      </c>
      <c r="L1227" s="1">
        <f>IFERROR(__xludf.DUMMYFUNCTION("""COMPUTED_VALUE"""),"France")</f>
        <v/>
      </c>
      <c r="M1227" s="1">
        <f>IFERROR(__xludf.DUMMYFUNCTION("""COMPUTED_VALUE"""),"Austria, Finland, France, Germany, Italy, Netherlands, Poland, Spain, Switzerland, United Kingdom")</f>
        <v/>
      </c>
      <c r="N1227" s="1">
        <f>IFERROR(__xludf.DUMMYFUNCTION("""COMPUTED_VALUE"""),"51 to 100")</f>
        <v/>
      </c>
      <c r="O1227" s="1">
        <f>IFERROR(__xludf.DUMMYFUNCTION("""COMPUTED_VALUE"""),"Business to Business")</f>
        <v/>
      </c>
      <c r="P1227" s="1">
        <f>IFERROR(__xludf.DUMMYFUNCTION("""COMPUTED_VALUE"""),"Corporate Training, Lifelong learning/Adult education")</f>
        <v/>
      </c>
      <c r="Q1227" s="1">
        <f>IFERROR(__xludf.DUMMYFUNCTION("""COMPUTED_VALUE"""),"System/Administrative")</f>
        <v/>
      </c>
      <c r="R1227" s="1">
        <f>IFERROR(__xludf.DUMMYFUNCTION("""COMPUTED_VALUE"""),"Coorpacademy")</f>
        <v/>
      </c>
      <c r="S1227" s="1">
        <f>IFERROR(__xludf.DUMMYFUNCTION("""COMPUTED_VALUE"""),"Coorpacademy")</f>
        <v/>
      </c>
      <c r="T1227" s="1">
        <f>IFERROR(__xludf.DUMMYFUNCTION("""COMPUTED_VALUE"""),"Coorpacademy by Go1")</f>
        <v/>
      </c>
      <c r="U1227" s="1">
        <f>IFERROR(__xludf.DUMMYFUNCTION("""COMPUTED_VALUE"""),"Coorpacademy by Go1")</f>
        <v/>
      </c>
      <c r="V1227" s="1">
        <f>IFERROR(__xludf.DUMMYFUNCTION("""COMPUTED_VALUE"""),"Coorpacademy by Go1 offers an innovating Digital Learning solution to companies, focused on learner’s engagement. Coorpacademy is a user-centric digital learning solution which integrates the latest innovations in online education. You can access all our "&amp;"courses on any device, wherever and whenever you want.
Our online training platform provides personalized recommendations and a Smart Content Library that integrates the latest innovations in instructional design, including gamification, microlearning, a"&amp;"daptive and social learning. 
Our catalog features over 1800 premium courses created by a team of instructional engineers or training partners and MOOC designers. In order to engage learners, our courses are designed through reversed pedagogy: we start b"&amp;"y asking the learner questions, in the form of a quiz. Then they can access the correction, which includes a short course video so that learners can learn what they don’t already know !")</f>
        <v/>
      </c>
      <c r="W1227" s="1" t="n"/>
      <c r="X1227" s="1" t="n"/>
      <c r="Y1227" s="15">
        <f>IFERROR(__xludf.DUMMYFUNCTION("""COMPUTED_VALUE"""),"https://drive.google.com/uc?export=view&amp;id=1U7quaYZAC0Qu15iU_FwQd7QtjocSjYli")</f>
        <v/>
      </c>
      <c r="Z1227" s="1">
        <f>IFERROR(__xludf.DUMMYFUNCTION("""COMPUTED_VALUE"""),"Unverified")</f>
        <v/>
      </c>
      <c r="AA1227" s="1" t="n"/>
      <c r="AB1227" s="1" t="n"/>
      <c r="AC1227" s="1" t="n"/>
      <c r="AD1227" s="1" t="n"/>
      <c r="AE1227" s="1" t="n"/>
    </row>
    <row r="1228" ht="42" customHeight="1">
      <c r="A1228" s="14">
        <f>IFERROR(__xludf.DUMMYFUNCTION("""COMPUTED_VALUE"""),45181)</f>
        <v/>
      </c>
      <c r="B1228" s="1">
        <f>IFERROR(__xludf.DUMMYFUNCTION("""COMPUTED_VALUE"""),"ORG_1332")</f>
        <v/>
      </c>
      <c r="C1228" s="1">
        <f>IFERROR(__xludf.DUMMYFUNCTION("""COMPUTED_VALUE"""),TRUE)</f>
        <v/>
      </c>
      <c r="D1228" s="1">
        <f>IFERROR(__xludf.DUMMYFUNCTION("""COMPUTED_VALUE"""),"DCCS")</f>
        <v/>
      </c>
      <c r="E1228" s="15">
        <f>IFERROR(__xludf.DUMMYFUNCTION("""COMPUTED_VALUE"""),"https://dccs-edu.at/")</f>
        <v/>
      </c>
      <c r="F1228" s="1">
        <f>IFERROR(__xludf.DUMMYFUNCTION("""COMPUTED_VALUE"""),"DCCS IT solutions are tailored to the specific needs of educational institutions and take into account the pedagogical and organizational requirements of the everyday school life.
We accompany schools in every step of the way - from the concept to the imp"&amp;"lementation and to the every day support.")</f>
        <v/>
      </c>
      <c r="G1228" s="1">
        <f>IFERROR(__xludf.DUMMYFUNCTION("""COMPUTED_VALUE"""),"EdTech Austria")</f>
        <v/>
      </c>
      <c r="H1228" s="1" t="n"/>
      <c r="I1228" s="1">
        <f>IFERROR(__xludf.DUMMYFUNCTION("""COMPUTED_VALUE"""),"office@dccs.at")</f>
        <v/>
      </c>
      <c r="J1228" s="1">
        <f>IFERROR(__xludf.DUMMYFUNCTION("""COMPUTED_VALUE"""),"+43 5 1767-0")</f>
        <v/>
      </c>
      <c r="K1228" s="1">
        <f>IFERROR(__xludf.DUMMYFUNCTION("""COMPUTED_VALUE"""),"GRAZ")</f>
        <v/>
      </c>
      <c r="L1228" s="1">
        <f>IFERROR(__xludf.DUMMYFUNCTION("""COMPUTED_VALUE"""),"Austria")</f>
        <v/>
      </c>
      <c r="M1228" s="1">
        <f>IFERROR(__xludf.DUMMYFUNCTION("""COMPUTED_VALUE"""),"Austria")</f>
        <v/>
      </c>
      <c r="N1228" s="1">
        <f>IFERROR(__xludf.DUMMYFUNCTION("""COMPUTED_VALUE"""),"100+")</f>
        <v/>
      </c>
      <c r="O1228" s="1">
        <f>IFERROR(__xludf.DUMMYFUNCTION("""COMPUTED_VALUE"""),"Business to Business")</f>
        <v/>
      </c>
      <c r="P1228" s="1">
        <f>IFERROR(__xludf.DUMMYFUNCTION("""COMPUTED_VALUE"""),"Early childhood development (0-5 years), Primary Education, Secondary Education, Higher Education, Corporate Training")</f>
        <v/>
      </c>
      <c r="Q1228" s="1">
        <f>IFERROR(__xludf.DUMMYFUNCTION("""COMPUTED_VALUE"""),"Student interfacing, Teacher interfacing, System/Administrative")</f>
        <v/>
      </c>
      <c r="R1228" s="1" t="n"/>
      <c r="S1228" s="1" t="n"/>
      <c r="T1228" s="1" t="n"/>
      <c r="U1228" s="1" t="n"/>
      <c r="V1228" s="1" t="n"/>
      <c r="W1228" s="1" t="n"/>
      <c r="X1228" s="1" t="n"/>
      <c r="Y1228" s="15">
        <f>IFERROR(__xludf.DUMMYFUNCTION("""COMPUTED_VALUE"""),"https://drive.google.com/uc?export=view&amp;id=1BPQztl38z9iZDNXwiQiL_pFQhtSWKzX2")</f>
        <v/>
      </c>
      <c r="Z1228" s="1">
        <f>IFERROR(__xludf.DUMMYFUNCTION("""COMPUTED_VALUE"""),"Unverified")</f>
        <v/>
      </c>
      <c r="AA1228" s="1" t="n"/>
      <c r="AB1228" s="1" t="n"/>
      <c r="AC1228" s="1" t="n"/>
      <c r="AD1228" s="1" t="n"/>
      <c r="AE1228" s="1" t="n"/>
    </row>
    <row r="1229" ht="42" customHeight="1">
      <c r="A1229" s="14">
        <f>IFERROR(__xludf.DUMMYFUNCTION("""COMPUTED_VALUE"""),45181)</f>
        <v/>
      </c>
      <c r="B1229" s="1">
        <f>IFERROR(__xludf.DUMMYFUNCTION("""COMPUTED_VALUE"""),"ORG_1385")</f>
        <v/>
      </c>
      <c r="C1229" s="1">
        <f>IFERROR(__xludf.DUMMYFUNCTION("""COMPUTED_VALUE"""),TRUE)</f>
        <v/>
      </c>
      <c r="D1229" s="1">
        <f>IFERROR(__xludf.DUMMYFUNCTION("""COMPUTED_VALUE"""),"Dugga Assessment")</f>
        <v/>
      </c>
      <c r="E1229" s="15">
        <f>IFERROR(__xludf.DUMMYFUNCTION("""COMPUTED_VALUE"""),"www.dugga.com")</f>
        <v/>
      </c>
      <c r="F1229" s="1">
        <f>IFERROR(__xludf.DUMMYFUNCTION("""COMPUTED_VALUE"""),"The all-in-one assessment platform for teacher heroes
Exams Tests Quizzes Assignments
Save time and avoid stress with all types of assessment! Create, schedule and grade exams seamlessly in one place. With Dugga schools can provide equal opportunities wit"&amp;"h assessment which is crucial for each student’s learning process.
“We believe that we can dramatically improve quality in learning with digital assessment“
No one’s grade should be based on one’s gender, last name, skin colour or in-class behaviour.")</f>
        <v/>
      </c>
      <c r="G1229" s="1">
        <f>IFERROR(__xludf.DUMMYFUNCTION("""COMPUTED_VALUE"""),"Swedish EdTech Industry, SuperCharger Ventures")</f>
        <v/>
      </c>
      <c r="H1229" s="1" t="n"/>
      <c r="I1229" s="1">
        <f>IFERROR(__xludf.DUMMYFUNCTION("""COMPUTED_VALUE"""),"claudia.rademaker@dugga.com")</f>
        <v/>
      </c>
      <c r="J1229" s="1">
        <f>IFERROR(__xludf.DUMMYFUNCTION("""COMPUTED_VALUE"""),"+468307080")</f>
        <v/>
      </c>
      <c r="K1229" s="1">
        <f>IFERROR(__xludf.DUMMYFUNCTION("""COMPUTED_VALUE"""),"STOCKHOLM")</f>
        <v/>
      </c>
      <c r="L1229" s="1">
        <f>IFERROR(__xludf.DUMMYFUNCTION("""COMPUTED_VALUE"""),"Sweden")</f>
        <v/>
      </c>
      <c r="M1229" s="1">
        <f>IFERROR(__xludf.DUMMYFUNCTION("""COMPUTED_VALUE"""),"Austria, Belgium, Cyprus, Denmark, France, Germany, Greece, Iceland, Ireland, Italy, Luxembourg, Malta, Netherlands, Norway, Portugal, Spain, Sweden, Switzerland, Turkey, Ukraine, United Kingdom")</f>
        <v/>
      </c>
      <c r="N1229" s="1">
        <f>IFERROR(__xludf.DUMMYFUNCTION("""COMPUTED_VALUE"""),"11 to 50")</f>
        <v/>
      </c>
      <c r="O1229" s="1">
        <f>IFERROR(__xludf.DUMMYFUNCTION("""COMPUTED_VALUE"""),"Business to Business")</f>
        <v/>
      </c>
      <c r="P1229" s="1">
        <f>IFERROR(__xludf.DUMMYFUNCTION("""COMPUTED_VALUE"""),"Early childhood development (0-5 years), Primary Education, Secondary Education, Higher Education, Corporate Training, Lifelong learning/Adult education")</f>
        <v/>
      </c>
      <c r="Q1229" s="1">
        <f>IFERROR(__xludf.DUMMYFUNCTION("""COMPUTED_VALUE"""),"Student interfacing, Teacher interfacing, System/Administrative")</f>
        <v/>
      </c>
      <c r="R1229" s="15">
        <f>IFERROR(__xludf.DUMMYFUNCTION("""COMPUTED_VALUE"""),"https://www.instagram.com/dugga.assessment/")</f>
        <v/>
      </c>
      <c r="S1229" s="15">
        <f>IFERROR(__xludf.DUMMYFUNCTION("""COMPUTED_VALUE"""),"https://twitter.com/DuggaAssessment")</f>
        <v/>
      </c>
      <c r="T1229" s="15">
        <f>IFERROR(__xludf.DUMMYFUNCTION("""COMPUTED_VALUE"""),"https://www.linkedin.com/company/dugga-assessment/")</f>
        <v/>
      </c>
      <c r="U1229" s="1">
        <f>IFERROR(__xludf.DUMMYFUNCTION("""COMPUTED_VALUE"""),"Dugga Teacher Hero")</f>
        <v/>
      </c>
      <c r="V1229" s="1">
        <f>IFERROR(__xludf.DUMMYFUNCTION("""COMPUTED_VALUE"""),"Teacher license for all types of digital tests, exams, quizzes and assignments.")</f>
        <v/>
      </c>
      <c r="W1229" s="1">
        <f>IFERROR(__xludf.DUMMYFUNCTION("""COMPUTED_VALUE"""),"Dugga School Pro")</f>
        <v/>
      </c>
      <c r="X1229" s="1">
        <f>IFERROR(__xludf.DUMMYFUNCTION("""COMPUTED_VALUE"""),"School license for teachers, students and admins.")</f>
        <v/>
      </c>
      <c r="Y1229" s="15">
        <f>IFERROR(__xludf.DUMMYFUNCTION("""COMPUTED_VALUE"""),"https://drive.google.com/uc?export=view&amp;id=1iiJjMEiwVXUY8LML9w64_PunY1O48wnu")</f>
        <v/>
      </c>
      <c r="Z1229" s="1">
        <f>IFERROR(__xludf.DUMMYFUNCTION("""COMPUTED_VALUE"""),"Unverified")</f>
        <v/>
      </c>
      <c r="AA1229" s="1" t="n"/>
      <c r="AB1229" s="1" t="n"/>
      <c r="AC1229" s="1" t="n"/>
      <c r="AD1229" s="1" t="n"/>
      <c r="AE1229" s="1" t="n"/>
    </row>
    <row r="1230" ht="42" customHeight="1">
      <c r="A1230" s="14">
        <f>IFERROR(__xludf.DUMMYFUNCTION("""COMPUTED_VALUE"""),45181)</f>
        <v/>
      </c>
      <c r="B1230" s="1">
        <f>IFERROR(__xludf.DUMMYFUNCTION("""COMPUTED_VALUE"""),"ORG_1453")</f>
        <v/>
      </c>
      <c r="C1230" s="1">
        <f>IFERROR(__xludf.DUMMYFUNCTION("""COMPUTED_VALUE"""),TRUE)</f>
        <v/>
      </c>
      <c r="D1230" s="1">
        <f>IFERROR(__xludf.DUMMYFUNCTION("""COMPUTED_VALUE"""),"EDUNAO")</f>
        <v/>
      </c>
      <c r="E1230" s="15">
        <f>IFERROR(__xludf.DUMMYFUNCTION("""COMPUTED_VALUE"""),"www.edunao.com")</f>
        <v/>
      </c>
      <c r="F1230" s="1">
        <f>IFERROR(__xludf.DUMMYFUNCTION("""COMPUTED_VALUE"""),"Edunao offers simple &amp; comprehensive Internet learning platforms to build an online training offer. Edunao’s solutions are developed in open source, in order to offer technologies at the best price. Edunao has set up several hundred e-learning platforms f"&amp;"or academic institutions, hundreds of LMS platforms for training centers. Platforms are fully open-source (Moodle-based) and offer hands-free administration")</f>
        <v/>
      </c>
      <c r="G1230" s="1">
        <f>IFERROR(__xludf.DUMMYFUNCTION("""COMPUTED_VALUE"""),"AFINEF, EdTech France")</f>
        <v/>
      </c>
      <c r="H1230" s="1" t="n"/>
      <c r="I1230" s="1">
        <f>IFERROR(__xludf.DUMMYFUNCTION("""COMPUTED_VALUE"""),"cyril.bedel@edunao.com")</f>
        <v/>
      </c>
      <c r="J1230" s="1">
        <f>IFERROR(__xludf.DUMMYFUNCTION("""COMPUTED_VALUE"""),"+33 9 52 72 92 50")</f>
        <v/>
      </c>
      <c r="K1230" s="1">
        <f>IFERROR(__xludf.DUMMYFUNCTION("""COMPUTED_VALUE"""),"PARIS")</f>
        <v/>
      </c>
      <c r="L1230" s="1">
        <f>IFERROR(__xludf.DUMMYFUNCTION("""COMPUTED_VALUE"""),"France")</f>
        <v/>
      </c>
      <c r="M1230" s="1">
        <f>IFERROR(__xludf.DUMMYFUNCTION("""COMPUTED_VALUE"""),"Austria, Belgium, Bulgaria, Croatia, Czechia, Denmark, Finland, France, Germany, Greece, Hungary, Iceland, Ireland, Italy, Liechtenstein, Luxembourg, Moldova, Monaco, Netherlands, Norway, Poland, Portugal, Romania, Slovenia, Spain, Sweden, Switzerland, Tu"&amp;"rkey, United Kingdom")</f>
        <v/>
      </c>
      <c r="N1230" s="1">
        <f>IFERROR(__xludf.DUMMYFUNCTION("""COMPUTED_VALUE"""),"11 to 50")</f>
        <v/>
      </c>
      <c r="O1230" s="1">
        <f>IFERROR(__xludf.DUMMYFUNCTION("""COMPUTED_VALUE"""),"Business to Business")</f>
        <v/>
      </c>
      <c r="P1230" s="1">
        <f>IFERROR(__xludf.DUMMYFUNCTION("""COMPUTED_VALUE"""),"Early childhood development (0-5 years), Primary Education, Secondary Education, Higher Education, Corporate Training, Lifelong learning/Adult education")</f>
        <v/>
      </c>
      <c r="Q1230" s="1">
        <f>IFERROR(__xludf.DUMMYFUNCTION("""COMPUTED_VALUE"""),"Student interfacing, Teacher interfacing, System/Administrative")</f>
        <v/>
      </c>
      <c r="R1230" s="1" t="n"/>
      <c r="S1230" s="15">
        <f>IFERROR(__xludf.DUMMYFUNCTION("""COMPUTED_VALUE"""),"https://twitter.com/edunao?lang=fr")</f>
        <v/>
      </c>
      <c r="T1230" s="15">
        <f>IFERROR(__xludf.DUMMYFUNCTION("""COMPUTED_VALUE"""),"https://fr.linkedin.com/company/edunao")</f>
        <v/>
      </c>
      <c r="U1230" s="1">
        <f>IFERROR(__xludf.DUMMYFUNCTION("""COMPUTED_VALUE"""),"Lilicampus")</f>
        <v/>
      </c>
      <c r="V1230" s="1">
        <f>IFERROR(__xludf.DUMMYFUNCTION("""COMPUTED_VALUE"""),"Lilicampus is a packaged, simple to use, off-the-shelf Moodle-based Learning Management System.
Lilicampus is the easiest Moodle-based online Teaching &amp; Learning Solution!
Edunao offers ready-to-use Learning Management Systems, based on Moodle, the world "&amp;"leading open source solution!
With Edunao, you get a packaged, secured, hosted and supported version of Moodle. Designed by to the best Moodle team, you are also provided exceptional Moodle Support &amp; Assistance Services.")</f>
        <v/>
      </c>
      <c r="W1230" s="1">
        <f>IFERROR(__xludf.DUMMYFUNCTION("""COMPUTED_VALUE"""),"Neocampus")</f>
        <v/>
      </c>
      <c r="X1230" s="1">
        <f>IFERROR(__xludf.DUMMYFUNCTION("""COMPUTED_VALUE"""),"Moodle lms teaching learning training, easily manage your teaching and learning in your organization, end-to-end.
Edunao offers ready-to-use Learning Management Systems, based on Moodle, the world leading open source solution!
With Edunao, you get a packa"&amp;"ged, secured, hosted and supported version of Moodle. Designed by to the best Moodle team, you are also provided exceptional Moodle Support &amp; Assistance Services.")</f>
        <v/>
      </c>
      <c r="Y1230" s="15">
        <f>IFERROR(__xludf.DUMMYFUNCTION("""COMPUTED_VALUE"""),"https://drive.google.com/uc?export=view&amp;id=1Go2AHjjJOHYhHuD2bi6SEWNk95FRiJ0X")</f>
        <v/>
      </c>
      <c r="Z1230" s="1">
        <f>IFERROR(__xludf.DUMMYFUNCTION("""COMPUTED_VALUE"""),"Unverified")</f>
        <v/>
      </c>
      <c r="AA1230" s="1" t="n"/>
      <c r="AB1230" s="1" t="n"/>
      <c r="AC1230" s="1" t="n"/>
      <c r="AD1230" s="1" t="n"/>
      <c r="AE1230" s="1" t="n"/>
    </row>
    <row r="1231" ht="42" customHeight="1">
      <c r="A1231" s="14">
        <f>IFERROR(__xludf.DUMMYFUNCTION("""COMPUTED_VALUE"""),45181)</f>
        <v/>
      </c>
      <c r="B1231" s="1">
        <f>IFERROR(__xludf.DUMMYFUNCTION("""COMPUTED_VALUE"""),"ORG_1491")</f>
        <v/>
      </c>
      <c r="C1231" s="1">
        <f>IFERROR(__xludf.DUMMYFUNCTION("""COMPUTED_VALUE"""),TRUE)</f>
        <v/>
      </c>
      <c r="D1231" s="1">
        <f>IFERROR(__xludf.DUMMYFUNCTION("""COMPUTED_VALUE"""),"Empowerment Lab")</f>
        <v/>
      </c>
      <c r="E1231" s="15">
        <f>IFERROR(__xludf.DUMMYFUNCTION("""COMPUTED_VALUE"""),"https://emplab.org/")</f>
        <v/>
      </c>
      <c r="F1231" s="1">
        <f>IFERROR(__xludf.DUMMYFUNCTION("""COMPUTED_VALUE"""),"Empowerment Lab - a proven platform that uses the combination of proprietary personality profiling and data science to transform the lives of girls aged 11-18 — through digital education and empowerment (DEE).")</f>
        <v/>
      </c>
      <c r="G1231" s="1">
        <f>IFERROR(__xludf.DUMMYFUNCTION("""COMPUTED_VALUE"""),"EdTech Estonia, SuperCharger Ventures, Swiss EdTech Collider")</f>
        <v/>
      </c>
      <c r="H1231" s="1" t="n"/>
      <c r="I1231" s="1">
        <f>IFERROR(__xludf.DUMMYFUNCTION("""COMPUTED_VALUE"""),"info@emplab.org")</f>
        <v/>
      </c>
      <c r="J1231" s="1">
        <f>IFERROR(__xludf.DUMMYFUNCTION("""COMPUTED_VALUE"""),"+41 762673378")</f>
        <v/>
      </c>
      <c r="K1231" s="1">
        <f>IFERROR(__xludf.DUMMYFUNCTION("""COMPUTED_VALUE"""),"GENEVA")</f>
        <v/>
      </c>
      <c r="L1231" s="1">
        <f>IFERROR(__xludf.DUMMYFUNCTION("""COMPUTED_VALUE"""),"Switzerland")</f>
        <v/>
      </c>
      <c r="M1231" s="1">
        <f>IFERROR(__xludf.DUMMYFUNCTION("""COMPUTED_VALUE"""),"Estonia, France, Switzerland, Ukraine, United Kingdom")</f>
        <v/>
      </c>
      <c r="N1231" s="1">
        <f>IFERROR(__xludf.DUMMYFUNCTION("""COMPUTED_VALUE"""),"0 to 10")</f>
        <v/>
      </c>
      <c r="O1231" s="1">
        <f>IFERROR(__xludf.DUMMYFUNCTION("""COMPUTED_VALUE"""),"Business to Business")</f>
        <v/>
      </c>
      <c r="P1231" s="1">
        <f>IFERROR(__xludf.DUMMYFUNCTION("""COMPUTED_VALUE"""),"Primary Education, Secondary Education")</f>
        <v/>
      </c>
      <c r="Q1231" s="1">
        <f>IFERROR(__xludf.DUMMYFUNCTION("""COMPUTED_VALUE"""),"Student interfacing")</f>
        <v/>
      </c>
      <c r="R1231" s="15">
        <f>IFERROR(__xludf.DUMMYFUNCTION("""COMPUTED_VALUE"""),"https://www.instagram.com/accounts/login/?next=/empowermentlab/")</f>
        <v/>
      </c>
      <c r="S1231" s="1" t="n"/>
      <c r="T1231" s="15">
        <f>IFERROR(__xludf.DUMMYFUNCTION("""COMPUTED_VALUE"""),"https://www.linkedin.com/company/28668673/admin/")</f>
        <v/>
      </c>
      <c r="U1231" s="1">
        <f>IFERROR(__xludf.DUMMYFUNCTION("""COMPUTED_VALUE"""),"Educational Content")</f>
        <v/>
      </c>
      <c r="V1231" s="1">
        <f>IFERROR(__xludf.DUMMYFUNCTION("""COMPUTED_VALUE"""),"Our platform offers virtual online courses in computer science and creative technology.")</f>
        <v/>
      </c>
      <c r="W1231" s="1">
        <f>IFERROR(__xludf.DUMMYFUNCTION("""COMPUTED_VALUE"""),"Career Test")</f>
        <v/>
      </c>
      <c r="X1231" s="1">
        <f>IFERROR(__xludf.DUMMYFUNCTION("""COMPUTED_VALUE"""),"We use personality profiling and data science to match students with the best digital education courses.")</f>
        <v/>
      </c>
      <c r="Y1231" s="15">
        <f>IFERROR(__xludf.DUMMYFUNCTION("""COMPUTED_VALUE"""),"https://drive.google.com/uc?export=view&amp;id=1MjHUoQVGgMvy84uk35oI_tHrWkiRZFnG")</f>
        <v/>
      </c>
      <c r="Z1231" s="1">
        <f>IFERROR(__xludf.DUMMYFUNCTION("""COMPUTED_VALUE"""),"Unverified")</f>
        <v/>
      </c>
      <c r="AA1231" s="1" t="n"/>
      <c r="AB1231" s="1" t="n"/>
      <c r="AC1231" s="1" t="n"/>
      <c r="AD1231" s="1" t="n"/>
      <c r="AE1231" s="1" t="n"/>
    </row>
    <row r="1232" ht="42" customHeight="1">
      <c r="A1232" s="14">
        <f>IFERROR(__xludf.DUMMYFUNCTION("""COMPUTED_VALUE"""),45181)</f>
        <v/>
      </c>
      <c r="B1232" s="1">
        <f>IFERROR(__xludf.DUMMYFUNCTION("""COMPUTED_VALUE"""),"ORG_1558")</f>
        <v/>
      </c>
      <c r="C1232" s="1">
        <f>IFERROR(__xludf.DUMMYFUNCTION("""COMPUTED_VALUE"""),TRUE)</f>
        <v/>
      </c>
      <c r="D1232" s="1">
        <f>IFERROR(__xludf.DUMMYFUNCTION("""COMPUTED_VALUE"""),"Feed Their Minds")</f>
        <v/>
      </c>
      <c r="E1232" s="15">
        <f>IFERROR(__xludf.DUMMYFUNCTION("""COMPUTED_VALUE"""),"www.feedtheirminds.com")</f>
        <v/>
      </c>
      <c r="F1232" s="1">
        <f>IFERROR(__xludf.DUMMYFUNCTION("""COMPUTED_VALUE"""),"Feed Their Minds is the ICT company that aims to develop everyone's potential. The experience gained with gifted children has led us to value divergent thinking, through the training of teachers and parents and the creation of ICT games and solutions for "&amp;"children that involve them both in the family and at school.")</f>
        <v/>
      </c>
      <c r="G1232" s="1">
        <f>IFERROR(__xludf.DUMMYFUNCTION("""COMPUTED_VALUE"""),"EdTech Italia")</f>
        <v/>
      </c>
      <c r="H1232" s="1" t="n"/>
      <c r="I1232" s="1">
        <f>IFERROR(__xludf.DUMMYFUNCTION("""COMPUTED_VALUE"""),"plusdotup@gmail.com")</f>
        <v/>
      </c>
      <c r="J1232" s="1">
        <f>IFERROR(__xludf.DUMMYFUNCTION("""COMPUTED_VALUE"""),"+393482202587")</f>
        <v/>
      </c>
      <c r="K1232" s="1">
        <f>IFERROR(__xludf.DUMMYFUNCTION("""COMPUTED_VALUE"""),"DAVERIO")</f>
        <v/>
      </c>
      <c r="L1232" s="1">
        <f>IFERROR(__xludf.DUMMYFUNCTION("""COMPUTED_VALUE"""),"Italy")</f>
        <v/>
      </c>
      <c r="M1232" s="1">
        <f>IFERROR(__xludf.DUMMYFUNCTION("""COMPUTED_VALUE"""),"Italy")</f>
        <v/>
      </c>
      <c r="N1232" s="1">
        <f>IFERROR(__xludf.DUMMYFUNCTION("""COMPUTED_VALUE"""),"0 to 10")</f>
        <v/>
      </c>
      <c r="O1232" s="1">
        <f>IFERROR(__xludf.DUMMYFUNCTION("""COMPUTED_VALUE"""),"Business to Business")</f>
        <v/>
      </c>
      <c r="P1232" s="1">
        <f>IFERROR(__xludf.DUMMYFUNCTION("""COMPUTED_VALUE"""),"Early childhood development (0-5 years), Primary Education, Lifelong learning/Adult education")</f>
        <v/>
      </c>
      <c r="Q1232" s="1">
        <f>IFERROR(__xludf.DUMMYFUNCTION("""COMPUTED_VALUE"""),"System/Administrative, Student interfacing, Teacher interfacing")</f>
        <v/>
      </c>
      <c r="R1232" s="15">
        <f>IFERROR(__xludf.DUMMYFUNCTION("""COMPUTED_VALUE"""),"https://www.instagram.com/feed_their_minds/")</f>
        <v/>
      </c>
      <c r="S1232" s="1">
        <f>IFERROR(__xludf.DUMMYFUNCTION("""COMPUTED_VALUE"""),"Lombardia")</f>
        <v/>
      </c>
      <c r="T1232" s="15">
        <f>IFERROR(__xludf.DUMMYFUNCTION("""COMPUTED_VALUE"""),"https://www.linkedin.com/company/72175751/admin/")</f>
        <v/>
      </c>
      <c r="U1232" s="1">
        <f>IFERROR(__xludf.DUMMYFUNCTION("""COMPUTED_VALUE"""),"Feed Their Minds Screening")</f>
        <v/>
      </c>
      <c r="V1232" s="1">
        <f>IFERROR(__xludf.DUMMYFUNCTION("""COMPUTED_VALUE"""),"Screening for gifted children at school and at home. It is based on 36 question destinated to parents and teachers. It is based on studies made by Labtalento Pavia University")</f>
        <v/>
      </c>
      <c r="W1232" s="1">
        <f>IFERROR(__xludf.DUMMYFUNCTION("""COMPUTED_VALUE"""),"Feed Their Minds training")</f>
        <v/>
      </c>
      <c r="X1232" s="1">
        <f>IFERROR(__xludf.DUMMYFUNCTION("""COMPUTED_VALUE"""),"We also offer training for parents and teachers about giftedness and about divergent thinking development. This training is distributed by our partners Rizzoli and Mondadori education and it has the certification of Italian Ministery of Instruction")</f>
        <v/>
      </c>
      <c r="Y1232" s="15">
        <f>IFERROR(__xludf.DUMMYFUNCTION("""COMPUTED_VALUE"""),"https://drive.google.com/uc?export=view&amp;id=19nE234U2T_wjywyQ42JQkTheNgpTpvsX")</f>
        <v/>
      </c>
      <c r="Z1232" s="1">
        <f>IFERROR(__xludf.DUMMYFUNCTION("""COMPUTED_VALUE"""),"Unverified")</f>
        <v/>
      </c>
      <c r="AA1232" s="1" t="n"/>
      <c r="AB1232" s="1" t="n"/>
      <c r="AC1232" s="1" t="n"/>
      <c r="AD1232" s="1" t="n"/>
      <c r="AE1232" s="1" t="n"/>
    </row>
    <row r="1233" ht="42" customHeight="1">
      <c r="A1233" s="14">
        <f>IFERROR(__xludf.DUMMYFUNCTION("""COMPUTED_VALUE"""),45181)</f>
        <v/>
      </c>
      <c r="B1233" s="1">
        <f>IFERROR(__xludf.DUMMYFUNCTION("""COMPUTED_VALUE"""),"ORG_1608")</f>
        <v/>
      </c>
      <c r="C1233" s="1">
        <f>IFERROR(__xludf.DUMMYFUNCTION("""COMPUTED_VALUE"""),TRUE)</f>
        <v/>
      </c>
      <c r="D1233" s="1">
        <f>IFERROR(__xludf.DUMMYFUNCTION("""COMPUTED_VALUE"""),"GAPSMOOV")</f>
        <v/>
      </c>
      <c r="E1233" s="15">
        <f>IFERROR(__xludf.DUMMYFUNCTION("""COMPUTED_VALUE"""),"https://www.gapsmoov.com/en/")</f>
        <v/>
      </c>
      <c r="F1233" s="1">
        <f>IFERROR(__xludf.DUMMYFUNCTION("""COMPUTED_VALUE"""),"Gapsmoov is the inventor of the ""culture decoder"": a digital learning platform in cross-cultural communication and management.
By using micro-learning modules, impactful videos and virtual classes, Gapsmoov helps its users to decode the cultural behavi"&amp;"or of their foreign partners, for improved efficiency in their projects:
“Socialize with French people”, « Negotiate with the Chinese »,
“Have a successful meeting with Americans”, “Give a presentation to Indians”, etc... 
...in total, over 90 situation"&amp;"s enabling you to learn and understand, in a fun and interactive way, to gain in effectiveness in an international environment. 
Watch demo video: https://www.gapsmoov.com/en/our-solutions/")</f>
        <v/>
      </c>
      <c r="G1233" s="1">
        <f>IFERROR(__xludf.DUMMYFUNCTION("""COMPUTED_VALUE"""),"I'm not part of any EdTech association")</f>
        <v/>
      </c>
      <c r="H1233" s="1" t="n"/>
      <c r="I1233" s="1">
        <f>IFERROR(__xludf.DUMMYFUNCTION("""COMPUTED_VALUE"""),"thibaut@gapsmoov.com")</f>
        <v/>
      </c>
      <c r="J1233" s="1">
        <f>IFERROR(__xludf.DUMMYFUNCTION("""COMPUTED_VALUE"""),"+33620761007")</f>
        <v/>
      </c>
      <c r="K1233" s="1">
        <f>IFERROR(__xludf.DUMMYFUNCTION("""COMPUTED_VALUE"""),"LYON")</f>
        <v/>
      </c>
      <c r="L1233" s="1">
        <f>IFERROR(__xludf.DUMMYFUNCTION("""COMPUTED_VALUE"""),"France")</f>
        <v/>
      </c>
      <c r="M1233" s="1">
        <f>IFERROR(__xludf.DUMMYFUNCTION("""COMPUTED_VALUE"""),"France, Germany, Luxembourg")</f>
        <v/>
      </c>
      <c r="N1233" s="1">
        <f>IFERROR(__xludf.DUMMYFUNCTION("""COMPUTED_VALUE"""),"0 to 10")</f>
        <v/>
      </c>
      <c r="O1233" s="1">
        <f>IFERROR(__xludf.DUMMYFUNCTION("""COMPUTED_VALUE"""),"Business to Business, Business to Consumer")</f>
        <v/>
      </c>
      <c r="P1233" s="1">
        <f>IFERROR(__xludf.DUMMYFUNCTION("""COMPUTED_VALUE"""),"Higher Education, Corporate Training")</f>
        <v/>
      </c>
      <c r="Q1233" s="1">
        <f>IFERROR(__xludf.DUMMYFUNCTION("""COMPUTED_VALUE"""),"Student interfacing, Teacher interfacing, System/Administrative")</f>
        <v/>
      </c>
      <c r="R1233" s="1" t="n"/>
      <c r="S1233" s="1" t="n"/>
      <c r="T1233" s="1" t="n"/>
      <c r="U1233" s="1" t="n"/>
      <c r="V1233" s="1" t="n"/>
      <c r="W1233" s="1" t="n"/>
      <c r="X1233" s="1" t="n"/>
      <c r="Y1233" s="15">
        <f>IFERROR(__xludf.DUMMYFUNCTION("""COMPUTED_VALUE"""),"https://drive.google.com/uc?export=view&amp;id=1kIND2YSP2zKwNi_tdbuFkZV3fzbxXXa0")</f>
        <v/>
      </c>
      <c r="Z1233" s="1">
        <f>IFERROR(__xludf.DUMMYFUNCTION("""COMPUTED_VALUE"""),"Unverified")</f>
        <v/>
      </c>
      <c r="AA1233" s="1" t="n"/>
      <c r="AB1233" s="1" t="n"/>
      <c r="AC1233" s="1" t="n"/>
      <c r="AD1233" s="1" t="n"/>
      <c r="AE1233" s="1" t="n"/>
    </row>
    <row r="1234" ht="42" customHeight="1">
      <c r="A1234" s="14">
        <f>IFERROR(__xludf.DUMMYFUNCTION("""COMPUTED_VALUE"""),45181)</f>
        <v/>
      </c>
      <c r="B1234" s="1">
        <f>IFERROR(__xludf.DUMMYFUNCTION("""COMPUTED_VALUE"""),"ORG_1684")</f>
        <v/>
      </c>
      <c r="C1234" s="1">
        <f>IFERROR(__xludf.DUMMYFUNCTION("""COMPUTED_VALUE"""),TRUE)</f>
        <v/>
      </c>
      <c r="D1234" s="1">
        <f>IFERROR(__xludf.DUMMYFUNCTION("""COMPUTED_VALUE"""),"House of Education")</f>
        <v/>
      </c>
      <c r="E1234" s="15">
        <f>IFERROR(__xludf.DUMMYFUNCTION("""COMPUTED_VALUE"""),"https://www.houseofeducation.com/")</f>
        <v/>
      </c>
      <c r="F1234" s="1">
        <f>IFERROR(__xludf.DUMMYFUNCTION("""COMPUTED_VALUE"""),"Data-driven marketing is the foundation of today’s advertising strategies. It’s a requirement to deliver the personalized experience prospective students are demanding. Our marketing and data-capture tool, the Digital Advisor, gives prospective students a"&amp;"n accurate, unbiased assessment on their match with a school or programme whilst collecting rich data. This data helps universities identify and tailor their communication to those students who will not only convert and apply, but ultimately enroll. We al"&amp;"so offer lead nurturing and outreach strategy assistance. House of Education is a Swedish company with 15 employees from 10+ nationalities.")</f>
        <v/>
      </c>
      <c r="G1234" s="1">
        <f>IFERROR(__xludf.DUMMYFUNCTION("""COMPUTED_VALUE"""),"I'm not part of any EdTech association")</f>
        <v/>
      </c>
      <c r="H1234" s="1" t="n"/>
      <c r="I1234" s="1">
        <f>IFERROR(__xludf.DUMMYFUNCTION("""COMPUTED_VALUE"""),"hello@houseofeducation.com")</f>
        <v/>
      </c>
      <c r="J1234" s="1">
        <f>IFERROR(__xludf.DUMMYFUNCTION("""COMPUTED_VALUE"""),"46702718950")</f>
        <v/>
      </c>
      <c r="K1234" s="1">
        <f>IFERROR(__xludf.DUMMYFUNCTION("""COMPUTED_VALUE"""),"STOCKHOLM")</f>
        <v/>
      </c>
      <c r="L1234" s="1">
        <f>IFERROR(__xludf.DUMMYFUNCTION("""COMPUTED_VALUE"""),"Sweden")</f>
        <v/>
      </c>
      <c r="M1234" s="1">
        <f>IFERROR(__xludf.DUMMYFUNCTION("""COMPUTED_VALUE"""),"Cyprus, France, Germany, Italy, Netherlands, Spain, Sweden, Switzerland, United Kingdom")</f>
        <v/>
      </c>
      <c r="N1234" s="1">
        <f>IFERROR(__xludf.DUMMYFUNCTION("""COMPUTED_VALUE"""),"11 to 50")</f>
        <v/>
      </c>
      <c r="O1234" s="1">
        <f>IFERROR(__xludf.DUMMYFUNCTION("""COMPUTED_VALUE"""),"Business to Business, Business to Consumer, Business to Government, Business to Schools")</f>
        <v/>
      </c>
      <c r="P1234" s="1">
        <f>IFERROR(__xludf.DUMMYFUNCTION("""COMPUTED_VALUE"""),"Higher Education, Corporate Training")</f>
        <v/>
      </c>
      <c r="Q1234" s="1">
        <f>IFERROR(__xludf.DUMMYFUNCTION("""COMPUTED_VALUE"""),"Student interfacing")</f>
        <v/>
      </c>
      <c r="R1234" s="1" t="n"/>
      <c r="S1234" s="1" t="n"/>
      <c r="T1234" s="1" t="n"/>
      <c r="U1234" s="1" t="n"/>
      <c r="V1234" s="1" t="n"/>
      <c r="W1234" s="1" t="n"/>
      <c r="X1234" s="1" t="n"/>
      <c r="Y1234" s="15">
        <f>IFERROR(__xludf.DUMMYFUNCTION("""COMPUTED_VALUE"""),"https://drive.google.com/uc?export=view&amp;id=1yBF636V4XR0ryJTh_wCVUWRVPOiwBBJR")</f>
        <v/>
      </c>
      <c r="Z1234" s="1">
        <f>IFERROR(__xludf.DUMMYFUNCTION("""COMPUTED_VALUE"""),"Unverified")</f>
        <v/>
      </c>
      <c r="AA1234" s="1" t="n"/>
      <c r="AB1234" s="1" t="n"/>
      <c r="AC1234" s="1" t="n"/>
      <c r="AD1234" s="1" t="n"/>
      <c r="AE1234" s="1" t="n"/>
    </row>
    <row r="1235" ht="42" customHeight="1">
      <c r="A1235" s="14">
        <f>IFERROR(__xludf.DUMMYFUNCTION("""COMPUTED_VALUE"""),45181)</f>
        <v/>
      </c>
      <c r="B1235" s="1">
        <f>IFERROR(__xludf.DUMMYFUNCTION("""COMPUTED_VALUE"""),"ORG_1852")</f>
        <v/>
      </c>
      <c r="C1235" s="1">
        <f>IFERROR(__xludf.DUMMYFUNCTION("""COMPUTED_VALUE"""),TRUE)</f>
        <v/>
      </c>
      <c r="D1235" s="1">
        <f>IFERROR(__xludf.DUMMYFUNCTION("""COMPUTED_VALUE"""),"Lemon Learning")</f>
        <v/>
      </c>
      <c r="E1235" s="15">
        <f>IFERROR(__xludf.DUMMYFUNCTION("""COMPUTED_VALUE"""),"lemonlearning.com")</f>
        <v/>
      </c>
      <c r="F1235" s="1">
        <f>IFERROR(__xludf.DUMMYFUNCTION("""COMPUTED_VALUE"""),"What if the problem with digital tools is not the software, but the uses? A Digital Adoption Platform, Lemon Learning accelerates use of key business tools and empowers your team where they work. Lemon Learning is like GPS navigation for any web-based sof"&amp;"tware - procurement tool, CRM, ERP, HR system: users learn on the go thanks to interactive, in-application tips. Save on support and training costs, and boost efficiency across your teams. No more excuses for poorly- or under-utilized software!")</f>
        <v/>
      </c>
      <c r="G1235" s="1">
        <f>IFERROR(__xludf.DUMMYFUNCTION("""COMPUTED_VALUE"""),"EdTech France")</f>
        <v/>
      </c>
      <c r="H1235" s="1" t="n"/>
      <c r="I1235" s="1">
        <f>IFERROR(__xludf.DUMMYFUNCTION("""COMPUTED_VALUE"""),"contact@lemonlearning.fr")</f>
        <v/>
      </c>
      <c r="J1235" s="1" t="n"/>
      <c r="K1235" s="1">
        <f>IFERROR(__xludf.DUMMYFUNCTION("""COMPUTED_VALUE"""),"PARIS")</f>
        <v/>
      </c>
      <c r="L1235" s="1">
        <f>IFERROR(__xludf.DUMMYFUNCTION("""COMPUTED_VALUE"""),"France")</f>
        <v/>
      </c>
      <c r="M1235" s="1">
        <f>IFERROR(__xludf.DUMMYFUNCTION("""COMPUTED_VALUE"""),"Albania, Andorra, Austria, Belgium, Croatia, Czechia, Denmark, Estonia, Finland, France, Georgia, Germany, Greece, Hungary, Ireland, Italy, Kazakhstan, Latvia, Luxembourg, Moldova, Netherlands, Norway, Portugal, Romania, Russia, Slovakia, Slovenia, Spain,"&amp;" Sweden, Switzerland, United Kingdom")</f>
        <v/>
      </c>
      <c r="N1235" s="1">
        <f>IFERROR(__xludf.DUMMYFUNCTION("""COMPUTED_VALUE"""),"51 to 100")</f>
        <v/>
      </c>
      <c r="O1235" s="1">
        <f>IFERROR(__xludf.DUMMYFUNCTION("""COMPUTED_VALUE"""),"Business to Business, Business to Consumer, Business to Government, Business to Schools")</f>
        <v/>
      </c>
      <c r="P1235" s="1">
        <f>IFERROR(__xludf.DUMMYFUNCTION("""COMPUTED_VALUE"""),"Corporate Training")</f>
        <v/>
      </c>
      <c r="Q1235" s="1">
        <f>IFERROR(__xludf.DUMMYFUNCTION("""COMPUTED_VALUE"""),"System/Administrative")</f>
        <v/>
      </c>
      <c r="R1235" s="1" t="n"/>
      <c r="S1235" s="15">
        <f>IFERROR(__xludf.DUMMYFUNCTION("""COMPUTED_VALUE"""),"https://twitter.com/Lemon_Learning")</f>
        <v/>
      </c>
      <c r="T1235" s="15">
        <f>IFERROR(__xludf.DUMMYFUNCTION("""COMPUTED_VALUE"""),"https://www.linkedin.com/company/lemon-learning/")</f>
        <v/>
      </c>
      <c r="U1235" s="1">
        <f>IFERROR(__xludf.DUMMYFUNCTION("""COMPUTED_VALUE"""),"Lemon Learning")</f>
        <v/>
      </c>
      <c r="V1235" s="1">
        <f>IFERROR(__xludf.DUMMYFUNCTION("""COMPUTED_VALUE"""),"Lemon Learning provides in-application guidance to end-users directly on their tools: thanks to interactive guides, they get the right tips at the right time, step by step throughout their software. With Lemon Learning integrated directly in the software,"&amp;" users can launch a guide in a single click! No more searching for guidebooks or struggling through features. Lemon Learning is best for any enterprises willing to support end-users on their daily business tools.")</f>
        <v/>
      </c>
      <c r="W1235" s="1" t="n"/>
      <c r="X1235" s="1" t="n"/>
      <c r="Y1235" s="15">
        <f>IFERROR(__xludf.DUMMYFUNCTION("""COMPUTED_VALUE"""),"https://drive.google.com/uc?export=view&amp;id=10HWr1Jn58jCiai9JJaqORe5yTZBW27O-")</f>
        <v/>
      </c>
      <c r="Z1235" s="1">
        <f>IFERROR(__xludf.DUMMYFUNCTION("""COMPUTED_VALUE"""),"Unverified")</f>
        <v/>
      </c>
      <c r="AA1235" s="1" t="n"/>
      <c r="AB1235" s="1" t="n"/>
      <c r="AC1235" s="1" t="n"/>
      <c r="AD1235" s="1" t="n"/>
      <c r="AE1235" s="1" t="n"/>
    </row>
    <row r="1236" ht="42" customHeight="1">
      <c r="A1236" s="14">
        <f>IFERROR(__xludf.DUMMYFUNCTION("""COMPUTED_VALUE"""),45181)</f>
        <v/>
      </c>
      <c r="B1236" s="1">
        <f>IFERROR(__xludf.DUMMYFUNCTION("""COMPUTED_VALUE"""),"ORG_1894")</f>
        <v/>
      </c>
      <c r="C1236" s="1">
        <f>IFERROR(__xludf.DUMMYFUNCTION("""COMPUTED_VALUE"""),TRUE)</f>
        <v/>
      </c>
      <c r="D1236" s="1">
        <f>IFERROR(__xludf.DUMMYFUNCTION("""COMPUTED_VALUE"""),"LUDO-VIC")</f>
        <v/>
      </c>
      <c r="E1236" s="15">
        <f>IFERROR(__xludf.DUMMYFUNCTION("""COMPUTED_VALUE"""),"https://www.ludo-vic.com")</f>
        <v/>
      </c>
      <c r="F1236" s="1">
        <f>IFERROR(__xludf.DUMMYFUNCTION("""COMPUTED_VALUE"""),"LUDO-VIC creates multilingual educational Apps which ""break the walls of words"" and that of the vernacular language, for instance by teaching the basics of any language (be it scripted or not) by the App providing instructions orally, in the learner's m"&amp;"other tongue (be it scripted or not). Our first App, BasicFrançais, is avalable in Bengladeshi, Dari, English, Dutch, German, Kabyle, Pashto, Portugueses, Brazilian Portuguese, Spanish, Ukrainian and Vietnamese. Other sources langaues are being prepared.
"&amp;"
We invented an ""universal engine"" to teach languages. To create a BasicLanguageX will only require 6 man-monts for a teacher of that language, and less than 4 man-days to add instructions for each source language !
Given the 7000 languages spoken in t"&amp;"he World, we are ready to give away his ""universal engine"" to Universities so that they could contribute to the perpuation of these languages.")</f>
        <v/>
      </c>
      <c r="G1236" s="1">
        <f>IFERROR(__xludf.DUMMYFUNCTION("""COMPUTED_VALUE"""),"AFINEF")</f>
        <v/>
      </c>
      <c r="H1236" s="1">
        <f>IFERROR(__xludf.DUMMYFUNCTION("""COMPUTED_VALUE"""),"Arabic, Bangladeshi, Dutch, English, Indian, Flemish, German, Hindi, Kabyle, Mandarin, Pashto, Portuguese, Portuguese (Brazil), Spanish, Ukrainian, Vietnamese")</f>
        <v/>
      </c>
      <c r="I1236" s="1">
        <f>IFERROR(__xludf.DUMMYFUNCTION("""COMPUTED_VALUE"""),"jack@ludo-vic.com")</f>
        <v/>
      </c>
      <c r="J1236" s="1">
        <f>IFERROR(__xludf.DUMMYFUNCTION("""COMPUTED_VALUE"""),"+33609662074")</f>
        <v/>
      </c>
      <c r="K1236" s="1">
        <f>IFERROR(__xludf.DUMMYFUNCTION("""COMPUTED_VALUE"""),"PARIS")</f>
        <v/>
      </c>
      <c r="L1236" s="1">
        <f>IFERROR(__xludf.DUMMYFUNCTION("""COMPUTED_VALUE"""),"France")</f>
        <v/>
      </c>
      <c r="M1236" s="1">
        <f>IFERROR(__xludf.DUMMYFUNCTION("""COMPUTED_VALUE"""),"France")</f>
        <v/>
      </c>
      <c r="N1236" s="1">
        <f>IFERROR(__xludf.DUMMYFUNCTION("""COMPUTED_VALUE"""),"0 to 2")</f>
        <v/>
      </c>
      <c r="O1236" s="1">
        <f>IFERROR(__xludf.DUMMYFUNCTION("""COMPUTED_VALUE"""),"Business to Business, Business to Consumer, Business to Government, Business to Schools")</f>
        <v/>
      </c>
      <c r="P1236" s="1">
        <f>IFERROR(__xludf.DUMMYFUNCTION("""COMPUTED_VALUE"""),"Primary Education, Secondary Education, Corporate Training, Lifelong learning/Adult education")</f>
        <v/>
      </c>
      <c r="Q1236" s="1">
        <f>IFERROR(__xludf.DUMMYFUNCTION("""COMPUTED_VALUE"""),"System/Administrative, Student interfacing, Teacher interfacing")</f>
        <v/>
      </c>
      <c r="R1236" s="1">
        <f>IFERROR(__xludf.DUMMYFUNCTION("""COMPUTED_VALUE"""),"LUDO-VIC SAS")</f>
        <v/>
      </c>
      <c r="S1236" s="1">
        <f>IFERROR(__xludf.DUMMYFUNCTION("""COMPUTED_VALUE"""),"LUDO-VIC SAS")</f>
        <v/>
      </c>
      <c r="T1236" s="15">
        <f>IFERROR(__xludf.DUMMYFUNCTION("""COMPUTED_VALUE"""),"https://www.linkedin.com/in/jack-amberg-23b18512/?originalSubdomain=fr")</f>
        <v/>
      </c>
      <c r="U1236" s="1">
        <f>IFERROR(__xludf.DUMMYFUNCTION("""COMPUTED_VALUE"""),"BasicFrançais")</f>
        <v/>
      </c>
      <c r="V1236" s="1">
        <f>IFERROR(__xludf.DUMMYFUNCTION("""COMPUTED_VALUE"""),"An App to learn Basic French ( level A1 of the CEFRL ) in an autonomous mode, requiring no internet connexion except to download the App.
Just another tool for French teachers so that their learners can improve on their skills in between classes.
70 lesso"&amp;"ns grouped in 23 modules, each lesson being built around a contextualised dialogue in French. each lesson ending with a quiz, the results of which can be tracked by the teacher in our Back-Office.")</f>
        <v/>
      </c>
      <c r="W1236" s="1">
        <f>IFERROR(__xludf.DUMMYFUNCTION("""COMPUTED_VALUE"""),"BasicElsässisch")</f>
        <v/>
      </c>
      <c r="X1236" s="1">
        <f>IFERROR(__xludf.DUMMYFUNCTION("""COMPUTED_VALUE"""),"Same principle, being developed, targeted source languages will be French, English, Mandarin and Japanese given the many Asian companies having set up entities in Alsace at the heart of Europe...")</f>
        <v/>
      </c>
      <c r="Y1236" s="15">
        <f>IFERROR(__xludf.DUMMYFUNCTION("""COMPUTED_VALUE"""),"https://drive.google.com/uc?export=view&amp;id=1CHGvbFVENSsXDWEsobdzldfsSYQiY-A7")</f>
        <v/>
      </c>
      <c r="Z1236" s="1">
        <f>IFERROR(__xludf.DUMMYFUNCTION("""COMPUTED_VALUE"""),"Unverified")</f>
        <v/>
      </c>
      <c r="AA1236" s="1" t="n"/>
      <c r="AB1236" s="1" t="n"/>
      <c r="AC1236" s="1" t="n"/>
      <c r="AD1236" s="1" t="n"/>
      <c r="AE1236" s="1" t="n"/>
    </row>
    <row r="1237" ht="42" customHeight="1">
      <c r="A1237" s="14">
        <f>IFERROR(__xludf.DUMMYFUNCTION("""COMPUTED_VALUE"""),45181)</f>
        <v/>
      </c>
      <c r="B1237" s="1">
        <f>IFERROR(__xludf.DUMMYFUNCTION("""COMPUTED_VALUE"""),"ORG_1948")</f>
        <v/>
      </c>
      <c r="C1237" s="1">
        <f>IFERROR(__xludf.DUMMYFUNCTION("""COMPUTED_VALUE"""),TRUE)</f>
        <v/>
      </c>
      <c r="D1237" s="1">
        <f>IFERROR(__xludf.DUMMYFUNCTION("""COMPUTED_VALUE"""),"Memory-Path")</f>
        <v/>
      </c>
      <c r="E1237" s="15">
        <f>IFERROR(__xludf.DUMMYFUNCTION("""COMPUTED_VALUE"""),"Memory-Path.com")</f>
        <v/>
      </c>
      <c r="F1237" s="1">
        <f>IFERROR(__xludf.DUMMYFUNCTION("""COMPUTED_VALUE"""),"Memory-Path - Learn like the world champions - creates mobile software solutions to help students learn faster, healthier and easier. Our apps and learning techniques support natural learning. Through this brain-friendly approach and our technically good "&amp;"implementation, we additionally increase motivation. For example, our flagship product ""Memory-Path"" gets learners out into the fresh air and learning with movement. Through the neuro-scientifically proven memory enhancement, learning thus becomes child"&amp;"'s play again.")</f>
        <v/>
      </c>
      <c r="G1237" s="1">
        <f>IFERROR(__xludf.DUMMYFUNCTION("""COMPUTED_VALUE"""),"EDUvation")</f>
        <v/>
      </c>
      <c r="H1237" s="1" t="n"/>
      <c r="I1237" s="1">
        <f>IFERROR(__xludf.DUMMYFUNCTION("""COMPUTED_VALUE"""),"Contact@Memory-Path.com")</f>
        <v/>
      </c>
      <c r="J1237" s="1" t="n"/>
      <c r="K1237" s="1">
        <f>IFERROR(__xludf.DUMMYFUNCTION("""COMPUTED_VALUE"""),"Lüneburg")</f>
        <v/>
      </c>
      <c r="L1237" s="1">
        <f>IFERROR(__xludf.DUMMYFUNCTION("""COMPUTED_VALUE"""),"Germany")</f>
        <v/>
      </c>
      <c r="M1237" s="1">
        <f>IFERROR(__xludf.DUMMYFUNCTION("""COMPUTED_VALUE"""),"Germany")</f>
        <v/>
      </c>
      <c r="N1237" s="1">
        <f>IFERROR(__xludf.DUMMYFUNCTION("""COMPUTED_VALUE"""),"0 to 10")</f>
        <v/>
      </c>
      <c r="O1237" s="1">
        <f>IFERROR(__xludf.DUMMYFUNCTION("""COMPUTED_VALUE"""),"Business to Business, Business to Consumer, Business to Schools")</f>
        <v/>
      </c>
      <c r="P1237" s="1">
        <f>IFERROR(__xludf.DUMMYFUNCTION("""COMPUTED_VALUE"""),"Primary Education, Secondary Education")</f>
        <v/>
      </c>
      <c r="Q1237" s="1">
        <f>IFERROR(__xludf.DUMMYFUNCTION("""COMPUTED_VALUE"""),"System/Administrative, Student interfacing")</f>
        <v/>
      </c>
      <c r="R1237" s="15">
        <f>IFERROR(__xludf.DUMMYFUNCTION("""COMPUTED_VALUE"""),"https://instagram.com/memory__path")</f>
        <v/>
      </c>
      <c r="S1237" s="15">
        <f>IFERROR(__xludf.DUMMYFUNCTION("""COMPUTED_VALUE"""),"https://twitter.com/PathMemory")</f>
        <v/>
      </c>
      <c r="T1237" s="15">
        <f>IFERROR(__xludf.DUMMYFUNCTION("""COMPUTED_VALUE"""),"https://de.linkedin.com/company/memory-path")</f>
        <v/>
      </c>
      <c r="U1237" s="1">
        <f>IFERROR(__xludf.DUMMYFUNCTION("""COMPUTED_VALUE"""),"Memory-Path Learning App")</f>
        <v/>
      </c>
      <c r="V1237" s="1">
        <f>IFERROR(__xludf.DUMMYFUNCTION("""COMPUTED_VALUE"""),"Memory-Path creates a mobile learning app that encourages users to learn in the fresh air with movement. The user learns by using his everyday routes like the way to school or to the supermarket. Our project optimizes the process of learning in a simple a"&amp;"nd enjoyable way, saving learners time, stress and effort. Users can create ""learning paths"". These contain easy-to-remember locations and are linked to learning content in the form of flashcards (question and answer). By using geographic memory with th"&amp;"e proven loci technique, the learner can retain the material longer. Since the idea only requires just a mobile phone, most learners have access to this new learning method. The idea offers a change from digital teaching. The synergies of learning with mo"&amp;"vement in fresh air, the increase in efficiency as well as the clever integration of technology are incredible.")</f>
        <v/>
      </c>
      <c r="W1237" s="1">
        <f>IFERROR(__xludf.DUMMYFUNCTION("""COMPUTED_VALUE"""),"Memory-Path - Learning Paths")</f>
        <v/>
      </c>
      <c r="X1237" s="1">
        <f>IFERROR(__xludf.DUMMYFUNCTION("""COMPUTED_VALUE"""),"Each Memory-Path contains any number of user-defined ""Memory Points"". These correspond to a specific location (e.g. a house or tree) in reality. At these ""Memory Points"" the user can store a learning content such as flashcards (question and answer) wi"&amp;"th picture and GPS position. The user can then walk the paths in reality and virtually. By using visual memory as well as exercise in the fresh air, learning can be made much more efficient, healthier and saving the learner time and effort. In the future,"&amp;" it should be possible to automatically transfer the learning material to the app on demand in school.Each learning path can be shared and becomes an important part of the Memory-Path - Learn platform. Each learning path contains knowledge on selected top"&amp;"ics. These learning paths are available through our Marketplace.")</f>
        <v/>
      </c>
      <c r="Y1237" s="15">
        <f>IFERROR(__xludf.DUMMYFUNCTION("""COMPUTED_VALUE"""),"https://drive.google.com/uc?export=view&amp;id=1bcSYu_DBFkKTmbgceevdN80txjL3f8rh")</f>
        <v/>
      </c>
      <c r="Z1237" s="1">
        <f>IFERROR(__xludf.DUMMYFUNCTION("""COMPUTED_VALUE"""),"Unverified")</f>
        <v/>
      </c>
      <c r="AA1237" s="1" t="n"/>
      <c r="AB1237" s="1" t="n"/>
      <c r="AC1237" s="1" t="n"/>
      <c r="AD1237" s="1" t="n"/>
      <c r="AE1237" s="1" t="n"/>
    </row>
    <row r="1238" ht="42" customHeight="1">
      <c r="A1238" s="14">
        <f>IFERROR(__xludf.DUMMYFUNCTION("""COMPUTED_VALUE"""),45181)</f>
        <v/>
      </c>
      <c r="B1238" s="1">
        <f>IFERROR(__xludf.DUMMYFUNCTION("""COMPUTED_VALUE"""),"ORG_1983")</f>
        <v/>
      </c>
      <c r="C1238" s="1">
        <f>IFERROR(__xludf.DUMMYFUNCTION("""COMPUTED_VALUE"""),TRUE)</f>
        <v/>
      </c>
      <c r="D1238" s="1">
        <f>IFERROR(__xludf.DUMMYFUNCTION("""COMPUTED_VALUE"""),"Money Masters")</f>
        <v/>
      </c>
      <c r="E1238" s="15">
        <f>IFERROR(__xludf.DUMMYFUNCTION("""COMPUTED_VALUE"""),"www.moneymasters.app")</f>
        <v/>
      </c>
      <c r="F1238" s="1">
        <f>IFERROR(__xludf.DUMMYFUNCTION("""COMPUTED_VALUE"""),"We spend our lives working for money but somehow financial education has always been ignored. This is why we created Money Masters, a fun and easy way to learn about money. We leverage technology to make education accessible, bite-sized, interactive, and "&amp;"fun.")</f>
        <v/>
      </c>
      <c r="G1238" s="1">
        <f>IFERROR(__xludf.DUMMYFUNCTION("""COMPUTED_VALUE"""),"I'm not part of any EdTech association")</f>
        <v/>
      </c>
      <c r="H1238" s="1" t="n"/>
      <c r="I1238" s="1">
        <f>IFERROR(__xludf.DUMMYFUNCTION("""COMPUTED_VALUE"""),"david@mnymstrs.com")</f>
        <v/>
      </c>
      <c r="J1238" s="1">
        <f>IFERROR(__xludf.DUMMYFUNCTION("""COMPUTED_VALUE"""),"+41766757829")</f>
        <v/>
      </c>
      <c r="K1238" s="1">
        <f>IFERROR(__xludf.DUMMYFUNCTION("""COMPUTED_VALUE"""),"Geneva")</f>
        <v/>
      </c>
      <c r="L1238" s="1">
        <f>IFERROR(__xludf.DUMMYFUNCTION("""COMPUTED_VALUE"""),"Switzerland")</f>
        <v/>
      </c>
      <c r="M1238" s="1">
        <f>IFERROR(__xludf.DUMMYFUNCTION("""COMPUTED_VALUE"""),"Spain, Switzerland")</f>
        <v/>
      </c>
      <c r="N1238" s="1">
        <f>IFERROR(__xludf.DUMMYFUNCTION("""COMPUTED_VALUE"""),"0 to 10")</f>
        <v/>
      </c>
      <c r="O1238" s="1">
        <f>IFERROR(__xludf.DUMMYFUNCTION("""COMPUTED_VALUE"""),"Business to Business, Business to Government")</f>
        <v/>
      </c>
      <c r="P1238" s="1">
        <f>IFERROR(__xludf.DUMMYFUNCTION("""COMPUTED_VALUE"""),"Secondary Education, Higher Education, Corporate Training, Lifelong learning/Adult education")</f>
        <v/>
      </c>
      <c r="Q1238" s="1">
        <f>IFERROR(__xludf.DUMMYFUNCTION("""COMPUTED_VALUE"""),"System/Administrative, Student interfacing")</f>
        <v/>
      </c>
      <c r="R1238" s="1" t="n"/>
      <c r="S1238" s="1" t="n"/>
      <c r="T1238" s="1" t="n"/>
      <c r="U1238" s="1" t="n"/>
      <c r="V1238" s="1" t="n"/>
      <c r="W1238" s="1" t="n"/>
      <c r="X1238" s="1" t="n"/>
      <c r="Y1238" s="15">
        <f>IFERROR(__xludf.DUMMYFUNCTION("""COMPUTED_VALUE"""),"https://drive.google.com/uc?export=view&amp;id=1UNoWMPXsk3vE9Pt9sOR1lUWD5jCiKpPK")</f>
        <v/>
      </c>
      <c r="Z1238" s="1">
        <f>IFERROR(__xludf.DUMMYFUNCTION("""COMPUTED_VALUE"""),"Unverified")</f>
        <v/>
      </c>
      <c r="AA1238" s="1" t="n"/>
      <c r="AB1238" s="1" t="n"/>
      <c r="AC1238" s="1" t="n"/>
      <c r="AD1238" s="1" t="n"/>
      <c r="AE1238" s="1" t="n"/>
    </row>
    <row r="1239" ht="42" customHeight="1">
      <c r="A1239" s="14">
        <f>IFERROR(__xludf.DUMMYFUNCTION("""COMPUTED_VALUE"""),45181)</f>
        <v/>
      </c>
      <c r="B1239" s="1">
        <f>IFERROR(__xludf.DUMMYFUNCTION("""COMPUTED_VALUE"""),"ORG_1985")</f>
        <v/>
      </c>
      <c r="C1239" s="1">
        <f>IFERROR(__xludf.DUMMYFUNCTION("""COMPUTED_VALUE"""),TRUE)</f>
        <v/>
      </c>
      <c r="D1239" s="1">
        <f>IFERROR(__xludf.DUMMYFUNCTION("""COMPUTED_VALUE"""),"Moomin Language School")</f>
        <v/>
      </c>
      <c r="E1239" s="15">
        <f>IFERROR(__xludf.DUMMYFUNCTION("""COMPUTED_VALUE"""),"https://www.moominls.com/")</f>
        <v/>
      </c>
      <c r="F1239" s="1">
        <f>IFERROR(__xludf.DUMMYFUNCTION("""COMPUTED_VALUE"""),"Playvation Ltd is a Finnish EdTech company designing high-quality language learning solutions for early education institutions. Their flagship product is Moomin Language School, a playful, research-based digital language learning service. It has already c"&amp;"aptured the hearts and minds of tens of thousands of children, parents, and teachers around the globe.")</f>
        <v/>
      </c>
      <c r="G1239" s="1">
        <f>IFERROR(__xludf.DUMMYFUNCTION("""COMPUTED_VALUE"""),"EdTech Finland")</f>
        <v/>
      </c>
      <c r="H1239" s="1" t="n"/>
      <c r="I1239" s="1" t="n"/>
      <c r="J1239" s="1" t="n"/>
      <c r="K1239" s="1">
        <f>IFERROR(__xludf.DUMMYFUNCTION("""COMPUTED_VALUE"""),"HELSINKI")</f>
        <v/>
      </c>
      <c r="L1239" s="1">
        <f>IFERROR(__xludf.DUMMYFUNCTION("""COMPUTED_VALUE"""),"Finland")</f>
        <v/>
      </c>
      <c r="M1239" s="1">
        <f>IFERROR(__xludf.DUMMYFUNCTION("""COMPUTED_VALUE"""),"Azerbaijan, Finland, Greece, Netherlands, Poland, Romania, Sweden, Turkey")</f>
        <v/>
      </c>
      <c r="N1239" s="1">
        <f>IFERROR(__xludf.DUMMYFUNCTION("""COMPUTED_VALUE"""),"0 to 10")</f>
        <v/>
      </c>
      <c r="O1239" s="1">
        <f>IFERROR(__xludf.DUMMYFUNCTION("""COMPUTED_VALUE"""),"Business to Business, Business to Government, Business to Schools")</f>
        <v/>
      </c>
      <c r="P1239" s="1">
        <f>IFERROR(__xludf.DUMMYFUNCTION("""COMPUTED_VALUE"""),"Early childhood development (0-5 years), Primary Education")</f>
        <v/>
      </c>
      <c r="Q1239" s="1">
        <f>IFERROR(__xludf.DUMMYFUNCTION("""COMPUTED_VALUE"""),"Teacher interfacing, System/Administrative")</f>
        <v/>
      </c>
      <c r="R1239" s="15">
        <f>IFERROR(__xludf.DUMMYFUNCTION("""COMPUTED_VALUE"""),"https://www.instagram.com/moominls/")</f>
        <v/>
      </c>
      <c r="S1239" s="15">
        <f>IFERROR(__xludf.DUMMYFUNCTION("""COMPUTED_VALUE"""),"https://twitter.com/moominls")</f>
        <v/>
      </c>
      <c r="T1239" s="15">
        <f>IFERROR(__xludf.DUMMYFUNCTION("""COMPUTED_VALUE"""),"https://www.linkedin.com/company/playvation")</f>
        <v/>
      </c>
      <c r="U1239" s="1">
        <f>IFERROR(__xludf.DUMMYFUNCTION("""COMPUTED_VALUE"""),"Moomin Language School")</f>
        <v/>
      </c>
      <c r="V1239" s="1">
        <f>IFERROR(__xludf.DUMMYFUNCTION("""COMPUTED_VALUE"""),"Moomin Language School was created for early learning organizations that yearn to give their students inspiring experiences with the English language while being at the forefront of innovation. ​​
With us, children learn more than language: they learn to"&amp;" express themselves creatively, to understand and value differences and to communicate empathetically with others. ​")</f>
        <v/>
      </c>
      <c r="W1239" s="1" t="n"/>
      <c r="X1239" s="1" t="n"/>
      <c r="Y1239" s="15">
        <f>IFERROR(__xludf.DUMMYFUNCTION("""COMPUTED_VALUE"""),"https://drive.google.com/uc?export=view&amp;id=174Et9G6TtkXVIbzq8dqxbmrIBvoWGxE-")</f>
        <v/>
      </c>
      <c r="Z1239" s="1">
        <f>IFERROR(__xludf.DUMMYFUNCTION("""COMPUTED_VALUE"""),"Unverified")</f>
        <v/>
      </c>
      <c r="AA1239" s="1" t="n"/>
      <c r="AB1239" s="1" t="n"/>
      <c r="AC1239" s="1" t="n"/>
      <c r="AD1239" s="1" t="n"/>
      <c r="AE1239" s="1" t="n"/>
    </row>
    <row r="1240" ht="42" customHeight="1">
      <c r="A1240" s="14">
        <f>IFERROR(__xludf.DUMMYFUNCTION("""COMPUTED_VALUE"""),45181)</f>
        <v/>
      </c>
      <c r="B1240" s="1">
        <f>IFERROR(__xludf.DUMMYFUNCTION("""COMPUTED_VALUE"""),"ORG_2019")</f>
        <v/>
      </c>
      <c r="C1240" s="1">
        <f>IFERROR(__xludf.DUMMYFUNCTION("""COMPUTED_VALUE"""),TRUE)</f>
        <v/>
      </c>
      <c r="D1240" s="1">
        <f>IFERROR(__xludf.DUMMYFUNCTION("""COMPUTED_VALUE"""),"NAOTIC")</f>
        <v/>
      </c>
      <c r="E1240" s="15">
        <f>IFERROR(__xludf.DUMMYFUNCTION("""COMPUTED_VALUE"""),"www.naotic.fr")</f>
        <v/>
      </c>
      <c r="F1240" s="1">
        <f>IFERROR(__xludf.DUMMYFUNCTION("""COMPUTED_VALUE"""),"Founded in 2012, Naotic is a Frenchtech company with recognized expertise in integrating new technologies into learning spaces and meeting places.
Naotic provides innovative and professional solutions that make digital devices easy to use in education, c"&amp;"ommunities and business: connected luggages, charging carts and USB solutions for storage, charging and synchronization for mobile devices.
The Naotic offer is distributed by an international network of partners. A complete range of products designed and"&amp;" manufactured in France with one goal : to make technologies useful and usable by everyone!")</f>
        <v/>
      </c>
      <c r="G1240" s="1">
        <f>IFERROR(__xludf.DUMMYFUNCTION("""COMPUTED_VALUE"""),"AFINEF")</f>
        <v/>
      </c>
      <c r="H1240" s="1" t="n"/>
      <c r="I1240" s="1">
        <f>IFERROR(__xludf.DUMMYFUNCTION("""COMPUTED_VALUE"""),"christophe.grasser@naotic.fr")</f>
        <v/>
      </c>
      <c r="J1240" s="1">
        <f>IFERROR(__xludf.DUMMYFUNCTION("""COMPUTED_VALUE"""),"+33 2 28 07 60 00")</f>
        <v/>
      </c>
      <c r="K1240" s="1">
        <f>IFERROR(__xludf.DUMMYFUNCTION("""COMPUTED_VALUE"""),"ORVAULT")</f>
        <v/>
      </c>
      <c r="L1240" s="1">
        <f>IFERROR(__xludf.DUMMYFUNCTION("""COMPUTED_VALUE"""),"France")</f>
        <v/>
      </c>
      <c r="M1240" s="1">
        <f>IFERROR(__xludf.DUMMYFUNCTION("""COMPUTED_VALUE"""),"Belgium, France, Switzerland")</f>
        <v/>
      </c>
      <c r="N1240" s="1">
        <f>IFERROR(__xludf.DUMMYFUNCTION("""COMPUTED_VALUE"""),"11 to 50")</f>
        <v/>
      </c>
      <c r="O1240" s="1">
        <f>IFERROR(__xludf.DUMMYFUNCTION("""COMPUTED_VALUE"""),"Business to Business, Business to Government, Business to Schools")</f>
        <v/>
      </c>
      <c r="P1240" s="1">
        <f>IFERROR(__xludf.DUMMYFUNCTION("""COMPUTED_VALUE"""),"Primary Education, Secondary Education, Higher Education, Corporate Training, Lifelong learning/Adult education")</f>
        <v/>
      </c>
      <c r="Q1240" s="1">
        <f>IFERROR(__xludf.DUMMYFUNCTION("""COMPUTED_VALUE"""),"Teacher interfacing, Student interfacing, System/Administrative")</f>
        <v/>
      </c>
      <c r="R1240" s="1" t="n"/>
      <c r="S1240" s="15">
        <f>IFERROR(__xludf.DUMMYFUNCTION("""COMPUTED_VALUE"""),"https://twitter.com/NaoticFR")</f>
        <v/>
      </c>
      <c r="T1240" s="15">
        <f>IFERROR(__xludf.DUMMYFUNCTION("""COMPUTED_VALUE"""),"https://www.linkedin.com/company/naotic")</f>
        <v/>
      </c>
      <c r="U1240" s="1">
        <f>IFERROR(__xludf.DUMMYFUNCTION("""COMPUTED_VALUE"""),"Naocase - Tabibox")</f>
        <v/>
      </c>
      <c r="V1240" s="1">
        <f>IFERROR(__xludf.DUMMYFUNCTION("""COMPUTED_VALUE"""),"A large product range of charging cases and cabinets for all your mobile devices like iPads, tablets, laptops and VR sytems. Naotic solutions include Smartypower connected charging technology or Tabipower USB-C smart charging hubs, depending on your choic"&amp;"e.")</f>
        <v/>
      </c>
      <c r="W1240" s="1">
        <f>IFERROR(__xludf.DUMMYFUNCTION("""COMPUTED_VALUE"""),"Naocart - Tabicart")</f>
        <v/>
      </c>
      <c r="X1240" s="1">
        <f>IFERROR(__xludf.DUMMYFUNCTION("""COMPUTED_VALUE"""),"The Naocart and Tabicart trolleys bring great mobility and security to mobile devices in your establishment. Naotic solutions include Smartypower connected charging technology or Tabipower USB-C smart charging hubs, depending on your choice.")</f>
        <v/>
      </c>
      <c r="Y1240" s="15">
        <f>IFERROR(__xludf.DUMMYFUNCTION("""COMPUTED_VALUE"""),"https://drive.google.com/uc?export=view&amp;id=19fUOeZqHmdJThOw2ef1SXSoSrqDzTteE")</f>
        <v/>
      </c>
      <c r="Z1240" s="1">
        <f>IFERROR(__xludf.DUMMYFUNCTION("""COMPUTED_VALUE"""),"Unverified")</f>
        <v/>
      </c>
      <c r="AA1240" s="1" t="n"/>
      <c r="AB1240" s="1" t="n"/>
      <c r="AC1240" s="1" t="n"/>
      <c r="AD1240" s="1" t="n"/>
      <c r="AE1240" s="1" t="n"/>
    </row>
    <row r="1241" ht="42" customHeight="1">
      <c r="A1241" s="14">
        <f>IFERROR(__xludf.DUMMYFUNCTION("""COMPUTED_VALUE"""),45181)</f>
        <v/>
      </c>
      <c r="B1241" s="1">
        <f>IFERROR(__xludf.DUMMYFUNCTION("""COMPUTED_VALUE"""),"ORG_2020")</f>
        <v/>
      </c>
      <c r="C1241" s="1">
        <f>IFERROR(__xludf.DUMMYFUNCTION("""COMPUTED_VALUE"""),TRUE)</f>
        <v/>
      </c>
      <c r="D1241" s="1">
        <f>IFERROR(__xludf.DUMMYFUNCTION("""COMPUTED_VALUE"""),"NATE")</f>
        <v/>
      </c>
      <c r="E1241" s="15">
        <f>IFERROR(__xludf.DUMMYFUNCTION("""COMPUTED_VALUE"""),"https://getnate.io")</f>
        <v/>
      </c>
      <c r="F1241" s="1">
        <f>IFERROR(__xludf.DUMMYFUNCTION("""COMPUTED_VALUE"""),"Tech education for business professionals working at the intersection to product and tech")</f>
        <v/>
      </c>
      <c r="G1241" s="1">
        <f>IFERROR(__xludf.DUMMYFUNCTION("""COMPUTED_VALUE"""),"I'm not part of any EdTech association")</f>
        <v/>
      </c>
      <c r="H1241" s="1" t="n"/>
      <c r="I1241" s="1" t="n"/>
      <c r="J1241" s="1" t="n"/>
      <c r="K1241" s="1">
        <f>IFERROR(__xludf.DUMMYFUNCTION("""COMPUTED_VALUE"""),"Berlin")</f>
        <v/>
      </c>
      <c r="L1241" s="1">
        <f>IFERROR(__xludf.DUMMYFUNCTION("""COMPUTED_VALUE"""),"Germany")</f>
        <v/>
      </c>
      <c r="M1241" s="1">
        <f>IFERROR(__xludf.DUMMYFUNCTION("""COMPUTED_VALUE"""),"Austria, France, Germany, Italy, Netherlands, Portugal")</f>
        <v/>
      </c>
      <c r="N1241" s="1">
        <f>IFERROR(__xludf.DUMMYFUNCTION("""COMPUTED_VALUE"""),"0 to 10")</f>
        <v/>
      </c>
      <c r="O1241" s="1">
        <f>IFERROR(__xludf.DUMMYFUNCTION("""COMPUTED_VALUE"""),"Business to Business, Business to Schools")</f>
        <v/>
      </c>
      <c r="P1241" s="1">
        <f>IFERROR(__xludf.DUMMYFUNCTION("""COMPUTED_VALUE"""),"Higher Education, Corporate Training, Lifelong learning/Adult education")</f>
        <v/>
      </c>
      <c r="Q1241" s="1">
        <f>IFERROR(__xludf.DUMMYFUNCTION("""COMPUTED_VALUE"""),"Student interfacing, System/Administrative")</f>
        <v/>
      </c>
      <c r="R1241" s="1" t="n"/>
      <c r="S1241" s="1" t="n"/>
      <c r="T1241" s="1" t="n"/>
      <c r="U1241" s="1" t="n"/>
      <c r="V1241" s="1" t="n"/>
      <c r="W1241" s="1" t="n"/>
      <c r="X1241" s="1" t="n"/>
      <c r="Y1241" s="15">
        <f>IFERROR(__xludf.DUMMYFUNCTION("""COMPUTED_VALUE"""),"https://drive.google.com/uc?export=view&amp;id=1HjpA7O-tYOaVsQBBljBl5fycNEHYuY48")</f>
        <v/>
      </c>
      <c r="Z1241" s="1">
        <f>IFERROR(__xludf.DUMMYFUNCTION("""COMPUTED_VALUE"""),"Unverified")</f>
        <v/>
      </c>
      <c r="AA1241" s="1" t="n"/>
      <c r="AB1241" s="1" t="n"/>
      <c r="AC1241" s="1" t="n"/>
      <c r="AD1241" s="1" t="n"/>
      <c r="AE1241" s="1" t="n"/>
    </row>
    <row r="1242" ht="42" customHeight="1">
      <c r="A1242" s="14">
        <f>IFERROR(__xludf.DUMMYFUNCTION("""COMPUTED_VALUE"""),45181)</f>
        <v/>
      </c>
      <c r="B1242" s="1">
        <f>IFERROR(__xludf.DUMMYFUNCTION("""COMPUTED_VALUE"""),"ORG_2056")</f>
        <v/>
      </c>
      <c r="C1242" s="1">
        <f>IFERROR(__xludf.DUMMYFUNCTION("""COMPUTED_VALUE"""),TRUE)</f>
        <v/>
      </c>
      <c r="D1242" s="1">
        <f>IFERROR(__xludf.DUMMYFUNCTION("""COMPUTED_VALUE"""),"Odilo")</f>
        <v/>
      </c>
      <c r="E1242" s="15">
        <f>IFERROR(__xludf.DUMMYFUNCTION("""COMPUTED_VALUE"""),"https://www.odilo.es/workplace/?gclid=CjwKCAjw9qiTBhBbEiwAp-GE0cPP8txaza_iW_A08wBTK0NGQKLnzpuOAxmgzTsafh0wPixrNAOfDRoCh80QAvD_BwE")</f>
        <v/>
      </c>
      <c r="F1242" s="1">
        <f>IFERROR(__xludf.DUMMYFUNCTION("""COMPUTED_VALUE"""),"Odilo creates unlimited learning ecosystems for organizations to help them reach their full potential. We provide access to the best educational content in the world, thanks to more than 7,000 top providers worldwide, are present in more than 50 countries"&amp;" and have more than 170 million users around the world")</f>
        <v/>
      </c>
      <c r="G1242" s="1">
        <f>IFERROR(__xludf.DUMMYFUNCTION("""COMPUTED_VALUE"""),"EduTech Cluster Spain")</f>
        <v/>
      </c>
      <c r="H1242" s="1" t="n"/>
      <c r="I1242" s="1">
        <f>IFERROR(__xludf.DUMMYFUNCTION("""COMPUTED_VALUE"""),"marketing@odilo.us")</f>
        <v/>
      </c>
      <c r="J1242" s="1">
        <f>IFERROR(__xludf.DUMMYFUNCTION("""COMPUTED_VALUE"""),"915 13 87 16")</f>
        <v/>
      </c>
      <c r="K1242" s="1">
        <f>IFERROR(__xludf.DUMMYFUNCTION("""COMPUTED_VALUE"""),"madrid")</f>
        <v/>
      </c>
      <c r="L1242" s="1">
        <f>IFERROR(__xludf.DUMMYFUNCTION("""COMPUTED_VALUE"""),"Spain")</f>
        <v/>
      </c>
      <c r="M1242" s="1">
        <f>IFERROR(__xludf.DUMMYFUNCTION("""COMPUTED_VALUE"""),"Germany, Ireland, Netherlands, Portugal, Spain, Switzerland, Turkey, Ukraine, United Kingdom")</f>
        <v/>
      </c>
      <c r="N1242" s="1">
        <f>IFERROR(__xludf.DUMMYFUNCTION("""COMPUTED_VALUE"""),"100+")</f>
        <v/>
      </c>
      <c r="O1242" s="1">
        <f>IFERROR(__xludf.DUMMYFUNCTION("""COMPUTED_VALUE"""),"Business to Business, Business to Schools")</f>
        <v/>
      </c>
      <c r="P1242" s="1">
        <f>IFERROR(__xludf.DUMMYFUNCTION("""COMPUTED_VALUE"""),"Early childhood development (0-5 years), Primary Education, Secondary Education, Higher Education, Corporate Training, Lifelong learning/Adult education")</f>
        <v/>
      </c>
      <c r="Q1242" s="1">
        <f>IFERROR(__xludf.DUMMYFUNCTION("""COMPUTED_VALUE"""),"System/Administrative, Student interfacing, Teacher interfacing")</f>
        <v/>
      </c>
      <c r="R1242" s="1">
        <f>IFERROR(__xludf.DUMMYFUNCTION("""COMPUTED_VALUE"""),"@Odilotid")</f>
        <v/>
      </c>
      <c r="S1242" s="1">
        <f>IFERROR(__xludf.DUMMYFUNCTION("""COMPUTED_VALUE"""),"@Odilo_eng")</f>
        <v/>
      </c>
      <c r="T1242" s="1">
        <f>IFERROR(__xludf.DUMMYFUNCTION("""COMPUTED_VALUE"""),"@Odilo")</f>
        <v/>
      </c>
      <c r="U1242" s="1">
        <f>IFERROR(__xludf.DUMMYFUNCTION("""COMPUTED_VALUE"""),"Unlimited Learning Ecosystem")</f>
        <v/>
      </c>
      <c r="V1242" s="1">
        <f>IFERROR(__xludf.DUMMYFUNCTION("""COMPUTED_VALUE"""),"Through 5 essential pillars, ODILO helps any organization expand its learning services and become a Unlimited Learning Organization. UNIFIED ACCESS TO THE BEST CONTENT, CUSTOMIZATION AND NETFLIX STYLE UX, DATA ACCESS END-TO-END, UNIQUE LEARNING EXPERIENCE"&amp;"S
The combination of the best content available in the market, with fully personalized learning experiences.
All of this integrated in a single customized frictionless platform and with the possibility of incorporating social tools for collaborative learn"&amp;"ing and video calls in real time.")</f>
        <v/>
      </c>
      <c r="W1242" s="1">
        <f>IFERROR(__xludf.DUMMYFUNCTION("""COMPUTED_VALUE"""),"Odilo BI")</f>
        <v/>
      </c>
      <c r="X1242" s="1">
        <f>IFERROR(__xludf.DUMMYFUNCTION("""COMPUTED_VALUE"""),"Odilo BI is a Learning Data collection service. 
We offer the most appropriate metrics to easily quantify and analyze different parameters related to learning in the organization. Supported by data we allow any organization (Schools, Universities, Governm"&amp;"ents and Companies) adapt to the learning trends.")</f>
        <v/>
      </c>
      <c r="Y1242" s="15">
        <f>IFERROR(__xludf.DUMMYFUNCTION("""COMPUTED_VALUE"""),"https://drive.google.com/uc?export=view&amp;id=1iFVB7MZA3EDO5gJQQP8GLaxNYeLdOLX6")</f>
        <v/>
      </c>
      <c r="Z1242" s="1">
        <f>IFERROR(__xludf.DUMMYFUNCTION("""COMPUTED_VALUE"""),"Unverified")</f>
        <v/>
      </c>
      <c r="AA1242" s="1" t="n"/>
      <c r="AB1242" s="1" t="n"/>
      <c r="AC1242" s="1" t="n"/>
      <c r="AD1242" s="1" t="n"/>
      <c r="AE1242" s="1" t="n"/>
    </row>
    <row r="1243" ht="42" customHeight="1">
      <c r="A1243" s="14">
        <f>IFERROR(__xludf.DUMMYFUNCTION("""COMPUTED_VALUE"""),45181)</f>
        <v/>
      </c>
      <c r="B1243" s="1">
        <f>IFERROR(__xludf.DUMMYFUNCTION("""COMPUTED_VALUE"""),"ORG_2084")</f>
        <v/>
      </c>
      <c r="C1243" s="1">
        <f>IFERROR(__xludf.DUMMYFUNCTION("""COMPUTED_VALUE"""),TRUE)</f>
        <v/>
      </c>
      <c r="D1243" s="1">
        <f>IFERROR(__xludf.DUMMYFUNCTION("""COMPUTED_VALUE"""),"OXSICO")</f>
        <v/>
      </c>
      <c r="E1243" s="15">
        <f>IFERROR(__xludf.DUMMYFUNCTION("""COMPUTED_VALUE"""),"www.oxsico.com")</f>
        <v/>
      </c>
      <c r="F1243" s="1">
        <f>IFERROR(__xludf.DUMMYFUNCTION("""COMPUTED_VALUE"""),"Plagiarism detection for Universities, Schools, and Business. Text Similarity Checker powers the study and the research processes. We help Content creators, SEO agencies, bloggers, or other businesses by publishing content with the full confidence that th"&amp;"ere is no plagiarism left. Or the fact that you can they will find out who your thoughts are using illegally.")</f>
        <v/>
      </c>
      <c r="G1243" s="1">
        <f>IFERROR(__xludf.DUMMYFUNCTION("""COMPUTED_VALUE"""),"EdTech Lithuania")</f>
        <v/>
      </c>
      <c r="H1243" s="1" t="n"/>
      <c r="I1243" s="1">
        <f>IFERROR(__xludf.DUMMYFUNCTION("""COMPUTED_VALUE"""),"info@oxsico.com")</f>
        <v/>
      </c>
      <c r="J1243" s="1">
        <f>IFERROR(__xludf.DUMMYFUNCTION("""COMPUTED_VALUE"""),"+37065800693")</f>
        <v/>
      </c>
      <c r="K1243" s="1">
        <f>IFERROR(__xludf.DUMMYFUNCTION("""COMPUTED_VALUE"""),"Vilnius")</f>
        <v/>
      </c>
      <c r="L1243" s="1">
        <f>IFERROR(__xludf.DUMMYFUNCTION("""COMPUTED_VALUE"""),"Lithuania")</f>
        <v/>
      </c>
      <c r="M1243"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Montenegro, Netherlands, North Macedonia, Norway, Poland, Portugal, Romania, Russia, San Marino, Serbia, Slovakia, Slovenia, Spain, Sweden, Switzerland, Turkey, Ukraine, United Kingdom")</f>
        <v/>
      </c>
      <c r="N1243" s="1">
        <f>IFERROR(__xludf.DUMMYFUNCTION("""COMPUTED_VALUE"""),"0 to 10")</f>
        <v/>
      </c>
      <c r="O1243" s="1">
        <f>IFERROR(__xludf.DUMMYFUNCTION("""COMPUTED_VALUE"""),"Business to Consumer")</f>
        <v/>
      </c>
      <c r="P1243" s="1">
        <f>IFERROR(__xludf.DUMMYFUNCTION("""COMPUTED_VALUE"""),"Secondary Education, Higher Education, Corporate Training, Lifelong learning/Adult education")</f>
        <v/>
      </c>
      <c r="Q1243" s="1">
        <f>IFERROR(__xludf.DUMMYFUNCTION("""COMPUTED_VALUE"""),"Student interfacing, Teacher interfacing, System/Administrative")</f>
        <v/>
      </c>
      <c r="R1243" s="1" t="n"/>
      <c r="S1243" s="1" t="n"/>
      <c r="T1243" s="1" t="n"/>
      <c r="U1243" s="1" t="n"/>
      <c r="V1243" s="1" t="n"/>
      <c r="W1243" s="1" t="n"/>
      <c r="X1243" s="1" t="n"/>
      <c r="Y1243" s="15">
        <f>IFERROR(__xludf.DUMMYFUNCTION("""COMPUTED_VALUE"""),"https://drive.google.com/uc?export=view&amp;id=1E3Fyn3-LCXW3Y77Hc-ocH9JXvYNVa276")</f>
        <v/>
      </c>
      <c r="Z1243" s="1">
        <f>IFERROR(__xludf.DUMMYFUNCTION("""COMPUTED_VALUE"""),"Unverified")</f>
        <v/>
      </c>
      <c r="AA1243" s="1" t="n"/>
      <c r="AB1243" s="1" t="n"/>
      <c r="AC1243" s="1" t="n"/>
      <c r="AD1243" s="1" t="n"/>
      <c r="AE1243" s="1" t="n"/>
    </row>
    <row r="1244" ht="42" customHeight="1">
      <c r="A1244" s="14">
        <f>IFERROR(__xludf.DUMMYFUNCTION("""COMPUTED_VALUE"""),45181)</f>
        <v/>
      </c>
      <c r="B1244" s="1">
        <f>IFERROR(__xludf.DUMMYFUNCTION("""COMPUTED_VALUE"""),"ORG_2099")</f>
        <v/>
      </c>
      <c r="C1244" s="1">
        <f>IFERROR(__xludf.DUMMYFUNCTION("""COMPUTED_VALUE"""),TRUE)</f>
        <v/>
      </c>
      <c r="D1244" s="1">
        <f>IFERROR(__xludf.DUMMYFUNCTION("""COMPUTED_VALUE"""),"Photon Entertainment")</f>
        <v/>
      </c>
      <c r="E1244" s="15">
        <f>IFERROR(__xludf.DUMMYFUNCTION("""COMPUTED_VALUE"""),"https://photon.education/")</f>
        <v/>
      </c>
      <c r="F1244" s="1">
        <f>IFERROR(__xludf.DUMMYFUNCTION("""COMPUTED_VALUE"""),"Photon Entertainment is a Polish producer of educational robots and accessories that help educators in everyday teaching not only of technical and STEAM competences, but also social and emotional ones. Together with educators, we strive to shape the futur"&amp;"e of humankind. The direct recipients are children and teenagers aged 4 to 19. Apart from Photon educational robots, we have 7 Photon thematic kits: Early Education, Sustainable Energy, Social-Emotional Learning, Special Education, AI Discovery, Robotics "&amp;"&amp; Coding, and Physics. To work with our robot, you just need to download a free of charge Photon EDU, Photon AI or Photon Magic Bridge app.")</f>
        <v/>
      </c>
      <c r="G1244" s="1">
        <f>IFERROR(__xludf.DUMMYFUNCTION("""COMPUTED_VALUE"""),"EdTech Poland")</f>
        <v/>
      </c>
      <c r="H1244" s="1" t="n"/>
      <c r="I1244" s="1">
        <f>IFERROR(__xludf.DUMMYFUNCTION("""COMPUTED_VALUE"""),"support@photon.education")</f>
        <v/>
      </c>
      <c r="J1244" s="1">
        <f>IFERROR(__xludf.DUMMYFUNCTION("""COMPUTED_VALUE"""),"+48 667 254 321")</f>
        <v/>
      </c>
      <c r="K1244" s="1">
        <f>IFERROR(__xludf.DUMMYFUNCTION("""COMPUTED_VALUE"""),"Bialystok")</f>
        <v/>
      </c>
      <c r="L1244" s="1">
        <f>IFERROR(__xludf.DUMMYFUNCTION("""COMPUTED_VALUE"""),"Poland")</f>
        <v/>
      </c>
      <c r="M1244" s="1">
        <f>IFERROR(__xludf.DUMMYFUNCTION("""COMPUTED_VALUE"""),"Bulgaria, Czechia, France, Germany, Italy, Latvia, Lithuania, Netherlands, Poland, Slovakia, Slovenia, Sweden")</f>
        <v/>
      </c>
      <c r="N1244" s="1">
        <f>IFERROR(__xludf.DUMMYFUNCTION("""COMPUTED_VALUE"""),"11 to 50")</f>
        <v/>
      </c>
      <c r="O1244" s="1">
        <f>IFERROR(__xludf.DUMMYFUNCTION("""COMPUTED_VALUE"""),"Business to Consumer, Business to Schools")</f>
        <v/>
      </c>
      <c r="P1244" s="1">
        <f>IFERROR(__xludf.DUMMYFUNCTION("""COMPUTED_VALUE"""),"Early childhood development (0-5 years), Primary Education, Secondary Education")</f>
        <v/>
      </c>
      <c r="Q1244" s="1">
        <f>IFERROR(__xludf.DUMMYFUNCTION("""COMPUTED_VALUE"""),"Teacher interfacing")</f>
        <v/>
      </c>
      <c r="R1244" s="15">
        <f>IFERROR(__xludf.DUMMYFUNCTION("""COMPUTED_VALUE"""),"https://www.instagram.com/photoneducation/")</f>
        <v/>
      </c>
      <c r="S1244" s="15">
        <f>IFERROR(__xludf.DUMMYFUNCTION("""COMPUTED_VALUE"""),"https://twitter.com/Photon_Official")</f>
        <v/>
      </c>
      <c r="T1244" s="15">
        <f>IFERROR(__xludf.DUMMYFUNCTION("""COMPUTED_VALUE"""),"https://www.linkedin.com/company/photon-entertainment-sp--z-o-o-/mycompany/")</f>
        <v/>
      </c>
      <c r="U1244" s="1">
        <f>IFERROR(__xludf.DUMMYFUNCTION("""COMPUTED_VALUE"""),"Photon Robot")</f>
        <v/>
      </c>
      <c r="V1244" s="1">
        <f>IFERROR(__xludf.DUMMYFUNCTION("""COMPUTED_VALUE"""),"Interdisciplinary Photon Robot was designed to work with both younger and older students. You can teach core competencies or expand your lessons about planets and the solar system by taking the robot for a walk in space. Photon can be used to introduce co"&amp;"lors, animals, or geometrical figures, or even to explain the concept of sustainable energy. Photon is also great for teaching Maths.")</f>
        <v/>
      </c>
      <c r="W1244" s="1">
        <f>IFERROR(__xludf.DUMMYFUNCTION("""COMPUTED_VALUE"""),"Photon AI Discovery Kit")</f>
        <v/>
      </c>
      <c r="X1244" s="1">
        <f>IFERROR(__xludf.DUMMYFUNCTION("""COMPUTED_VALUE"""),"AI is one of the most important and fastest-developing contemporary technologies in the world. By introducing the concept of AI at an early age, we are arming children with the knowledge that will give them a significant advantage in both their personal a"&amp;"nd professional lives. With the Photon AI Discovery Kit, this concept can be introduced in an accessible way in any educational institution.")</f>
        <v/>
      </c>
      <c r="Y1244" s="15">
        <f>IFERROR(__xludf.DUMMYFUNCTION("""COMPUTED_VALUE"""),"https://drive.google.com/uc?export=view&amp;id=1JaEsNjXJYoeue8G5kTxt_1mD9UhsLrUX")</f>
        <v/>
      </c>
      <c r="Z1244" s="1">
        <f>IFERROR(__xludf.DUMMYFUNCTION("""COMPUTED_VALUE"""),"Unverified")</f>
        <v/>
      </c>
      <c r="AA1244" s="1" t="n"/>
      <c r="AB1244" s="1" t="n"/>
      <c r="AC1244" s="1" t="n"/>
      <c r="AD1244" s="1" t="n"/>
      <c r="AE1244" s="1" t="n"/>
    </row>
    <row r="1245" ht="42" customHeight="1">
      <c r="A1245" s="14">
        <f>IFERROR(__xludf.DUMMYFUNCTION("""COMPUTED_VALUE"""),45181)</f>
        <v/>
      </c>
      <c r="B1245" s="1">
        <f>IFERROR(__xludf.DUMMYFUNCTION("""COMPUTED_VALUE"""),"ORG_2177")</f>
        <v/>
      </c>
      <c r="C1245" s="1">
        <f>IFERROR(__xludf.DUMMYFUNCTION("""COMPUTED_VALUE"""),TRUE)</f>
        <v/>
      </c>
      <c r="D1245" s="1">
        <f>IFERROR(__xludf.DUMMYFUNCTION("""COMPUTED_VALUE"""),"Remotion")</f>
        <v/>
      </c>
      <c r="E1245" s="15">
        <f>IFERROR(__xludf.DUMMYFUNCTION("""COMPUTED_VALUE"""),"www.remotion.live")</f>
        <v/>
      </c>
      <c r="F1245" s="1">
        <f>IFERROR(__xludf.DUMMYFUNCTION("""COMPUTED_VALUE"""),"Integrated Assessments system to manage online exams in one place")</f>
        <v/>
      </c>
      <c r="G1245" s="1">
        <f>IFERROR(__xludf.DUMMYFUNCTION("""COMPUTED_VALUE"""),"I'm not part of any EdTech association")</f>
        <v/>
      </c>
      <c r="H1245" s="1" t="n"/>
      <c r="I1245" s="1">
        <f>IFERROR(__xludf.DUMMYFUNCTION("""COMPUTED_VALUE"""),"hg@remotion.live")</f>
        <v/>
      </c>
      <c r="J1245" s="1">
        <f>IFERROR(__xludf.DUMMYFUNCTION("""COMPUTED_VALUE"""),"+33750602541")</f>
        <v/>
      </c>
      <c r="K1245" s="1">
        <f>IFERROR(__xludf.DUMMYFUNCTION("""COMPUTED_VALUE"""),"Paris")</f>
        <v/>
      </c>
      <c r="L1245" s="1">
        <f>IFERROR(__xludf.DUMMYFUNCTION("""COMPUTED_VALUE"""),"France")</f>
        <v/>
      </c>
      <c r="M1245" s="1">
        <f>IFERROR(__xludf.DUMMYFUNCTION("""COMPUTED_VALUE"""),"France")</f>
        <v/>
      </c>
      <c r="N1245" s="1">
        <f>IFERROR(__xludf.DUMMYFUNCTION("""COMPUTED_VALUE"""),"0 to 10")</f>
        <v/>
      </c>
      <c r="O1245" s="1">
        <f>IFERROR(__xludf.DUMMYFUNCTION("""COMPUTED_VALUE"""),"Business to Consumer, Business to Schools")</f>
        <v/>
      </c>
      <c r="P1245" s="1">
        <f>IFERROR(__xludf.DUMMYFUNCTION("""COMPUTED_VALUE"""),"Higher Education, Corporate Training")</f>
        <v/>
      </c>
      <c r="Q1245" s="1">
        <f>IFERROR(__xludf.DUMMYFUNCTION("""COMPUTED_VALUE"""),"Student interfacing, Teacher interfacing, System/Administrative")</f>
        <v/>
      </c>
      <c r="R1245" s="1" t="n"/>
      <c r="S1245" s="1" t="n"/>
      <c r="T1245" s="1" t="n"/>
      <c r="U1245" s="1" t="n"/>
      <c r="V1245" s="1" t="n"/>
      <c r="W1245" s="1" t="n"/>
      <c r="X1245" s="1" t="n"/>
      <c r="Y1245" s="15">
        <f>IFERROR(__xludf.DUMMYFUNCTION("""COMPUTED_VALUE"""),"https://drive.google.com/uc?export=view&amp;id=1pKVC9DdZ2fJRiGp5HXn8UukB3AByde2V")</f>
        <v/>
      </c>
      <c r="Z1245" s="1">
        <f>IFERROR(__xludf.DUMMYFUNCTION("""COMPUTED_VALUE"""),"Unverified")</f>
        <v/>
      </c>
      <c r="AA1245" s="1" t="n"/>
      <c r="AB1245" s="1" t="n"/>
      <c r="AC1245" s="1" t="n"/>
      <c r="AD1245" s="1" t="n"/>
      <c r="AE1245" s="1" t="n"/>
    </row>
    <row r="1246" ht="42" customHeight="1">
      <c r="A1246" s="14">
        <f>IFERROR(__xludf.DUMMYFUNCTION("""COMPUTED_VALUE"""),45181)</f>
        <v/>
      </c>
      <c r="B1246" s="1">
        <f>IFERROR(__xludf.DUMMYFUNCTION("""COMPUTED_VALUE"""),"ORG_2330")</f>
        <v/>
      </c>
      <c r="C1246" s="1">
        <f>IFERROR(__xludf.DUMMYFUNCTION("""COMPUTED_VALUE"""),TRUE)</f>
        <v/>
      </c>
      <c r="D1246" s="15">
        <f>IFERROR(__xludf.DUMMYFUNCTION("""COMPUTED_VALUE"""),"Strikeplagiarism.com")</f>
        <v/>
      </c>
      <c r="E1246" s="15">
        <f>IFERROR(__xludf.DUMMYFUNCTION("""COMPUTED_VALUE"""),"https://strikeplagiarism.com")</f>
        <v/>
      </c>
      <c r="F1246" s="1">
        <f>IFERROR(__xludf.DUMMYFUNCTION("""COMPUTED_VALUE"""),"StrikePlagiarism.com is designed not only for detecting improper design and mistakes in academic paper, but also to improve quality of the written text.
The company has signed agreements with the leading European databases and aggregators that allows Str"&amp;"ikePlagiarism.com clients to access the international scientific journals.
Plagiat.pl is the owner of the StrikePlagiarism.com system and was founded in 2002. Due to wide Internet access, the copy-paste method, as well as various companies writing disser"&amp;"tations in the form of a ""ghost-writer"" or contract cheating (dissertation mills) have become a global phenomenon and a serious threat to the quality of modern education and science.
Since 2002, our team has been actively engaged in changing attitudes "&amp;"towards academic plagiarism and developing technological, legal and procedural solutions. Plagiat.pl operates in 20 countries (Poland, Germany, Spain, Ukraine, Romania, Columbia, Georgia, Bulgaria etc.) and covers more than 700 universities, including Hum"&amp;"boldt University in Berlin, Sofia University, Warsaw University, Jagiellonian University, etc.")</f>
        <v/>
      </c>
      <c r="G1246" s="1">
        <f>IFERROR(__xludf.DUMMYFUNCTION("""COMPUTED_VALUE"""),"I'm not part of any EdTech association")</f>
        <v/>
      </c>
      <c r="H1246" s="1" t="n"/>
      <c r="I1246" s="1">
        <f>IFERROR(__xludf.DUMMYFUNCTION("""COMPUTED_VALUE"""),"contact@strikeplagiarism.com")</f>
        <v/>
      </c>
      <c r="J1246" s="1">
        <f>IFERROR(__xludf.DUMMYFUNCTION("""COMPUTED_VALUE"""),"+48 22 100 11 11")</f>
        <v/>
      </c>
      <c r="K1246" s="1">
        <f>IFERROR(__xludf.DUMMYFUNCTION("""COMPUTED_VALUE"""),"Warszawa")</f>
        <v/>
      </c>
      <c r="L1246" s="1">
        <f>IFERROR(__xludf.DUMMYFUNCTION("""COMPUTED_VALUE"""),"Poland")</f>
        <v/>
      </c>
      <c r="M1246" s="1">
        <f>IFERROR(__xludf.DUMMYFUNCTION("""COMPUTED_VALUE"""),"Azerbaijan, Bulgaria, Czechia, Georgia, Germany, Kazakhstan, Moldova, Poland, Romania, Slovakia, Slovenia, Spain, Turkey, Ukraine")</f>
        <v/>
      </c>
      <c r="N1246" s="1">
        <f>IFERROR(__xludf.DUMMYFUNCTION("""COMPUTED_VALUE"""),"100+")</f>
        <v/>
      </c>
      <c r="O1246" s="1">
        <f>IFERROR(__xludf.DUMMYFUNCTION("""COMPUTED_VALUE"""),"Business to Government, Business to Schools")</f>
        <v/>
      </c>
      <c r="P1246" s="1">
        <f>IFERROR(__xludf.DUMMYFUNCTION("""COMPUTED_VALUE"""),"Higher Education")</f>
        <v/>
      </c>
      <c r="Q1246" s="1">
        <f>IFERROR(__xludf.DUMMYFUNCTION("""COMPUTED_VALUE"""),"Student interfacing, Teacher interfacing")</f>
        <v/>
      </c>
      <c r="R1246" s="1" t="n"/>
      <c r="S1246" s="1" t="n"/>
      <c r="T1246" s="1" t="n"/>
      <c r="U1246" s="1" t="n"/>
      <c r="V1246" s="1" t="n"/>
      <c r="W1246" s="1" t="n"/>
      <c r="X1246" s="1" t="n"/>
      <c r="Y1246" s="15">
        <f>IFERROR(__xludf.DUMMYFUNCTION("""COMPUTED_VALUE"""),"https://drive.google.com/uc?export=view&amp;id=1mDhSSPOzJp9PEJ6-5YDYHwx7KypM-Lyb")</f>
        <v/>
      </c>
      <c r="Z1246" s="1">
        <f>IFERROR(__xludf.DUMMYFUNCTION("""COMPUTED_VALUE"""),"Unverified")</f>
        <v/>
      </c>
      <c r="AA1246" s="1" t="n"/>
      <c r="AB1246" s="1" t="n"/>
      <c r="AC1246" s="1" t="n"/>
      <c r="AD1246" s="1" t="n"/>
      <c r="AE1246" s="1" t="n"/>
    </row>
    <row r="1247" ht="42" customHeight="1">
      <c r="A1247" s="14">
        <f>IFERROR(__xludf.DUMMYFUNCTION("""COMPUTED_VALUE"""),45181)</f>
        <v/>
      </c>
      <c r="B1247" s="1">
        <f>IFERROR(__xludf.DUMMYFUNCTION("""COMPUTED_VALUE"""),"ORG_2379")</f>
        <v/>
      </c>
      <c r="C1247" s="1">
        <f>IFERROR(__xludf.DUMMYFUNCTION("""COMPUTED_VALUE"""),TRUE)</f>
        <v/>
      </c>
      <c r="D1247" s="1">
        <f>IFERROR(__xludf.DUMMYFUNCTION("""COMPUTED_VALUE"""),"TECHNEXT®")</f>
        <v/>
      </c>
      <c r="E1247" s="15">
        <f>IFERROR(__xludf.DUMMYFUNCTION("""COMPUTED_VALUE"""),"https://www.technext.fr/")</f>
        <v/>
      </c>
      <c r="F1247" s="1">
        <f>IFERROR(__xludf.DUMMYFUNCTION("""COMPUTED_VALUE"""),"The mission of TechNext is to seize and combine two big opportunities:
1. Enhance the valuation of safe environment
2. Educate our youth on how to do it through E-STEAM solutions:
- Environment
- Science
- Technology
- Engineering
- Art
- Mathematics
- "&amp;"AI")</f>
        <v/>
      </c>
      <c r="G1247" s="1">
        <f>IFERROR(__xludf.DUMMYFUNCTION("""COMPUTED_VALUE"""),"EdTech France")</f>
        <v/>
      </c>
      <c r="H1247" s="1" t="n"/>
      <c r="I1247" s="1">
        <f>IFERROR(__xludf.DUMMYFUNCTION("""COMPUTED_VALUE"""),"salomeroux@technext.fr")</f>
        <v/>
      </c>
      <c r="J1247" s="1">
        <f>IFERROR(__xludf.DUMMYFUNCTION("""COMPUTED_VALUE"""),"+33781321535")</f>
        <v/>
      </c>
      <c r="K1247" s="1">
        <f>IFERROR(__xludf.DUMMYFUNCTION("""COMPUTED_VALUE"""),"CANNES")</f>
        <v/>
      </c>
      <c r="L1247" s="1">
        <f>IFERROR(__xludf.DUMMYFUNCTION("""COMPUTED_VALUE"""),"France")</f>
        <v/>
      </c>
      <c r="M1247" s="1">
        <f>IFERROR(__xludf.DUMMYFUNCTION("""COMPUTED_VALUE"""),"Austria, Belgium, Bulgaria, Croatia, Czechia, Denmark, Estonia, France, Germany, Greece, Hungary, Italy, Lithuania, Luxembourg, Monaco, Netherlands, Poland, Portugal, Romania, Serbia, Slovakia, Slovenia, Spain, Switzerland, Ukraine, United Kingdom")</f>
        <v/>
      </c>
      <c r="N1247" s="1">
        <f>IFERROR(__xludf.DUMMYFUNCTION("""COMPUTED_VALUE"""),"0 to 10")</f>
        <v/>
      </c>
      <c r="O1247" s="1">
        <f>IFERROR(__xludf.DUMMYFUNCTION("""COMPUTED_VALUE"""),"Business to Schools")</f>
        <v/>
      </c>
      <c r="P1247" s="1">
        <f>IFERROR(__xludf.DUMMYFUNCTION("""COMPUTED_VALUE"""),"Primary Education, Secondary Education, Higher Education")</f>
        <v/>
      </c>
      <c r="Q1247" s="1">
        <f>IFERROR(__xludf.DUMMYFUNCTION("""COMPUTED_VALUE"""),"System/Administrative, Teacher interfacing")</f>
        <v/>
      </c>
      <c r="R1247" s="1" t="n"/>
      <c r="S1247" s="1" t="n"/>
      <c r="T1247" s="1" t="n"/>
      <c r="U1247" s="1" t="n"/>
      <c r="V1247" s="1" t="n"/>
      <c r="W1247" s="1" t="n"/>
      <c r="X1247" s="1" t="n"/>
      <c r="Y1247" s="15">
        <f>IFERROR(__xludf.DUMMYFUNCTION("""COMPUTED_VALUE"""),"https://drive.google.com/uc?export=view&amp;id=1oMfLUe1X7HpAghr8-H3mZM-KvR5_g1Vv")</f>
        <v/>
      </c>
      <c r="Z1247" s="1">
        <f>IFERROR(__xludf.DUMMYFUNCTION("""COMPUTED_VALUE"""),"Unverified")</f>
        <v/>
      </c>
      <c r="AA1247" s="1" t="n"/>
      <c r="AB1247" s="1" t="n"/>
      <c r="AC1247" s="1" t="n"/>
      <c r="AD1247" s="1" t="n"/>
      <c r="AE1247" s="1" t="n"/>
    </row>
    <row r="1248" ht="42" customHeight="1">
      <c r="A1248" s="14">
        <f>IFERROR(__xludf.DUMMYFUNCTION("""COMPUTED_VALUE"""),45181)</f>
        <v/>
      </c>
      <c r="B1248" s="1">
        <f>IFERROR(__xludf.DUMMYFUNCTION("""COMPUTED_VALUE"""),"ORG_2386")</f>
        <v/>
      </c>
      <c r="C1248" s="1">
        <f>IFERROR(__xludf.DUMMYFUNCTION("""COMPUTED_VALUE"""),TRUE)</f>
        <v/>
      </c>
      <c r="D1248" s="1">
        <f>IFERROR(__xludf.DUMMYFUNCTION("""COMPUTED_VALUE"""),"Tenors")</f>
        <v/>
      </c>
      <c r="E1248" s="15">
        <f>IFERROR(__xludf.DUMMYFUNCTION("""COMPUTED_VALUE"""),"https://www.tenors.fr")</f>
        <v/>
      </c>
      <c r="F1248" s="1">
        <f>IFERROR(__xludf.DUMMYFUNCTION("""COMPUTED_VALUE"""),"Speakers recruitment tool for Higher Education.
Tenors makes Speakers' recruitment in higher education simple and expanded.")</f>
        <v/>
      </c>
      <c r="G1248" s="1">
        <f>IFERROR(__xludf.DUMMYFUNCTION("""COMPUTED_VALUE"""),"EdTech France")</f>
        <v/>
      </c>
      <c r="H1248" s="1" t="n"/>
      <c r="I1248" s="1">
        <f>IFERROR(__xludf.DUMMYFUNCTION("""COMPUTED_VALUE"""),"lambert@tenors.fr")</f>
        <v/>
      </c>
      <c r="J1248" s="1" t="n"/>
      <c r="K1248" s="1">
        <f>IFERROR(__xludf.DUMMYFUNCTION("""COMPUTED_VALUE"""),"Bordeaux")</f>
        <v/>
      </c>
      <c r="L1248" s="1">
        <f>IFERROR(__xludf.DUMMYFUNCTION("""COMPUTED_VALUE"""),"France")</f>
        <v/>
      </c>
      <c r="M1248" s="1">
        <f>IFERROR(__xludf.DUMMYFUNCTION("""COMPUTED_VALUE"""),"France")</f>
        <v/>
      </c>
      <c r="N1248" s="1">
        <f>IFERROR(__xludf.DUMMYFUNCTION("""COMPUTED_VALUE"""),"0 to 10")</f>
        <v/>
      </c>
      <c r="O1248" s="1">
        <f>IFERROR(__xludf.DUMMYFUNCTION("""COMPUTED_VALUE"""),"Business to Schools")</f>
        <v/>
      </c>
      <c r="P1248" s="1">
        <f>IFERROR(__xludf.DUMMYFUNCTION("""COMPUTED_VALUE"""),"Higher Education, Corporate Training")</f>
        <v/>
      </c>
      <c r="Q1248" s="1">
        <f>IFERROR(__xludf.DUMMYFUNCTION("""COMPUTED_VALUE"""),"Teacher interfacing, System/Administrative, Student interfacing")</f>
        <v/>
      </c>
      <c r="R1248" s="1" t="n"/>
      <c r="S1248" s="15">
        <f>IFERROR(__xludf.DUMMYFUNCTION("""COMPUTED_VALUE"""),"https://twitter.com/TenorsFrance")</f>
        <v/>
      </c>
      <c r="T1248" s="15">
        <f>IFERROR(__xludf.DUMMYFUNCTION("""COMPUTED_VALUE"""),"https://www.linkedin.com/company/68142561/")</f>
        <v/>
      </c>
      <c r="U1248" s="1">
        <f>IFERROR(__xludf.DUMMYFUNCTION("""COMPUTED_VALUE"""),"Speakers recruitement Tool")</f>
        <v/>
      </c>
      <c r="V1248" s="1">
        <f>IFERROR(__xludf.DUMMYFUNCTION("""COMPUTED_VALUE"""),"Speakers' recruitment in higher education made simple and expanded")</f>
        <v/>
      </c>
      <c r="W1248" s="1" t="n"/>
      <c r="X1248" s="1" t="n"/>
      <c r="Y1248" s="1" t="n"/>
      <c r="Z1248" s="1">
        <f>IFERROR(__xludf.DUMMYFUNCTION("""COMPUTED_VALUE"""),"Unverified")</f>
        <v/>
      </c>
      <c r="AA1248" s="1" t="n"/>
      <c r="AB1248" s="1" t="n"/>
      <c r="AC1248" s="1" t="n"/>
      <c r="AD1248" s="1" t="n"/>
      <c r="AE1248" s="1" t="n"/>
    </row>
    <row r="1249" ht="42" customHeight="1">
      <c r="A1249" s="14">
        <f>IFERROR(__xludf.DUMMYFUNCTION("""COMPUTED_VALUE"""),45181)</f>
        <v/>
      </c>
      <c r="B1249" s="1">
        <f>IFERROR(__xludf.DUMMYFUNCTION("""COMPUTED_VALUE"""),"ORG_2494")</f>
        <v/>
      </c>
      <c r="C1249" s="1">
        <f>IFERROR(__xludf.DUMMYFUNCTION("""COMPUTED_VALUE"""),TRUE)</f>
        <v/>
      </c>
      <c r="D1249" s="1">
        <f>IFERROR(__xludf.DUMMYFUNCTION("""COMPUTED_VALUE"""),"Vigilo")</f>
        <v/>
      </c>
      <c r="E1249" s="15">
        <f>IFERROR(__xludf.DUMMYFUNCTION("""COMPUTED_VALUE"""),"www.vigilo.no")</f>
        <v/>
      </c>
      <c r="F1249" s="1">
        <f>IFERROR(__xludf.DUMMYFUNCTION("""COMPUTED_VALUE"""),"Vigilo AS is an EdTech software company, providing a complete Student Information System with integrated modules for scheduling, communication, assessments and more. It currently holds 25 % of the Norwegian K-12 market three years post launch, with forthc"&amp;"oming international expansion. Vigilo AS was founded in 2010, with the aim of providing time saving web based software for schools and kindergartens. A close collaboration with our customers have been the key to our success. Most of Vigilo employees are f"&amp;"ormer educators with solid experience. The combined expertise of the customers’ and our own experienced staff has led to highly innovative solutions that actually work in a real world environment. User friendliness, scalability and universal standards are"&amp;" three pillars of our platform.")</f>
        <v/>
      </c>
      <c r="G1249" s="1">
        <f>IFERROR(__xludf.DUMMYFUNCTION("""COMPUTED_VALUE"""),"Swedish EdTech Industry")</f>
        <v/>
      </c>
      <c r="H1249" s="1" t="n"/>
      <c r="I1249" s="1">
        <f>IFERROR(__xludf.DUMMYFUNCTION("""COMPUTED_VALUE"""),"post@vigilo.no")</f>
        <v/>
      </c>
      <c r="J1249" s="1">
        <f>IFERROR(__xludf.DUMMYFUNCTION("""COMPUTED_VALUE"""),"+4747771919")</f>
        <v/>
      </c>
      <c r="K1249" s="1">
        <f>IFERROR(__xludf.DUMMYFUNCTION("""COMPUTED_VALUE"""),"KARMSUND")</f>
        <v/>
      </c>
      <c r="L1249" s="1">
        <f>IFERROR(__xludf.DUMMYFUNCTION("""COMPUTED_VALUE"""),"Norway")</f>
        <v/>
      </c>
      <c r="M1249" s="1">
        <f>IFERROR(__xludf.DUMMYFUNCTION("""COMPUTED_VALUE"""),"Norway, Sweden")</f>
        <v/>
      </c>
      <c r="N1249" s="1">
        <f>IFERROR(__xludf.DUMMYFUNCTION("""COMPUTED_VALUE"""),"11 to 50")</f>
        <v/>
      </c>
      <c r="O1249" s="1">
        <f>IFERROR(__xludf.DUMMYFUNCTION("""COMPUTED_VALUE"""),"Business to Schools")</f>
        <v/>
      </c>
      <c r="P1249" s="1">
        <f>IFERROR(__xludf.DUMMYFUNCTION("""COMPUTED_VALUE"""),"Early childhood development (0-5 years), Primary Education, Secondary Education")</f>
        <v/>
      </c>
      <c r="Q1249" s="1">
        <f>IFERROR(__xludf.DUMMYFUNCTION("""COMPUTED_VALUE"""),"System/Administrative, Teacher interfacing, Student interfacing")</f>
        <v/>
      </c>
      <c r="R1249" s="15">
        <f>IFERROR(__xludf.DUMMYFUNCTION("""COMPUTED_VALUE"""),"https://www.instagram.com/vigilooas/")</f>
        <v/>
      </c>
      <c r="S1249" s="1" t="n"/>
      <c r="T1249" s="15">
        <f>IFERROR(__xludf.DUMMYFUNCTION("""COMPUTED_VALUE"""),"www.linkedin.com/company/vigilo-as/")</f>
        <v/>
      </c>
      <c r="U1249" s="1">
        <f>IFERROR(__xludf.DUMMYFUNCTION("""COMPUTED_VALUE"""),"Vigilo SIS")</f>
        <v/>
      </c>
      <c r="V1249" s="1">
        <f>IFERROR(__xludf.DUMMYFUNCTION("""COMPUTED_VALUE"""),"Vigilo is a complete Student Information System for the K-12 sector, covering everything from child care admission to issuing secondary school diplomas.
Vigilo uses IMS OneRoster certified APIs for integrations, giving the customer control and ownership "&amp;"of their own data. Together with a modern and user friendly interface, this makes Vigilo a time saver in a world where time is scarce.")</f>
        <v/>
      </c>
      <c r="W1249" s="1">
        <f>IFERROR(__xludf.DUMMYFUNCTION("""COMPUTED_VALUE"""),"Vigilo Child Care")</f>
        <v/>
      </c>
      <c r="X1249" s="1">
        <f>IFERROR(__xludf.DUMMYFUNCTION("""COMPUTED_VALUE"""),"Modules from Vigilo SIS can be combined to form a complete system for administration of one or more child care institutions. Vigilo can provide a suite with both admission/applications, parent communication/information, attendance, invoicing, curriculum p"&amp;"lanning and Individual Education Plans.")</f>
        <v/>
      </c>
      <c r="Y1249" s="15">
        <f>IFERROR(__xludf.DUMMYFUNCTION("""COMPUTED_VALUE"""),"https://drive.google.com/uc?export=view&amp;id=1ftgcCVzwNHGBsELjyU1tPyCfQ4rR_F7Z")</f>
        <v/>
      </c>
      <c r="Z1249" s="1">
        <f>IFERROR(__xludf.DUMMYFUNCTION("""COMPUTED_VALUE"""),"Unverified")</f>
        <v/>
      </c>
      <c r="AA1249" s="1" t="n"/>
      <c r="AB1249" s="1" t="n"/>
      <c r="AC1249" s="1" t="n"/>
      <c r="AD1249" s="1" t="n"/>
      <c r="AE1249" s="1" t="n"/>
    </row>
    <row r="1250" ht="42" customHeight="1">
      <c r="A1250" s="14">
        <f>IFERROR(__xludf.DUMMYFUNCTION("""COMPUTED_VALUE"""),45181)</f>
        <v/>
      </c>
      <c r="B1250" s="1">
        <f>IFERROR(__xludf.DUMMYFUNCTION("""COMPUTED_VALUE"""),"ORG_1068")</f>
        <v/>
      </c>
      <c r="C1250" s="1">
        <f>IFERROR(__xludf.DUMMYFUNCTION("""COMPUTED_VALUE"""),TRUE)</f>
        <v/>
      </c>
      <c r="D1250" s="1">
        <f>IFERROR(__xludf.DUMMYFUNCTION("""COMPUTED_VALUE"""),"Amazyf")</f>
        <v/>
      </c>
      <c r="E1250" s="15">
        <f>IFERROR(__xludf.DUMMYFUNCTION("""COMPUTED_VALUE"""),"www.amazyf.com")</f>
        <v/>
      </c>
      <c r="F1250" s="1">
        <f>IFERROR(__xludf.DUMMYFUNCTION("""COMPUTED_VALUE"""),"Amazyf is a company specialised into digital training for the agricultural, forestry and road works equipment. 
We are proposing services of e-learning and 3D creation along with translation services.")</f>
        <v/>
      </c>
      <c r="G1250" s="1">
        <f>IFERROR(__xludf.DUMMYFUNCTION("""COMPUTED_VALUE"""),"I'm not part of any EdTech association")</f>
        <v/>
      </c>
      <c r="H1250" s="1" t="n"/>
      <c r="I1250" s="1">
        <f>IFERROR(__xludf.DUMMYFUNCTION("""COMPUTED_VALUE"""),"yoann.fond@amazyf.com")</f>
        <v/>
      </c>
      <c r="J1250" s="1">
        <f>IFERROR(__xludf.DUMMYFUNCTION("""COMPUTED_VALUE"""),"+33618477750")</f>
        <v/>
      </c>
      <c r="K1250" s="1">
        <f>IFERROR(__xludf.DUMMYFUNCTION("""COMPUTED_VALUE"""),"NOYERS SAINT MARTIN")</f>
        <v/>
      </c>
      <c r="L1250" s="1">
        <f>IFERROR(__xludf.DUMMYFUNCTION("""COMPUTED_VALUE"""),"France")</f>
        <v/>
      </c>
      <c r="M1250" s="1">
        <f>IFERROR(__xludf.DUMMYFUNCTION("""COMPUTED_VALUE"""),"France, Germany, Ireland, Italy, United Kingdom")</f>
        <v/>
      </c>
      <c r="N1250" s="1">
        <f>IFERROR(__xludf.DUMMYFUNCTION("""COMPUTED_VALUE"""),"0 to 10")</f>
        <v/>
      </c>
      <c r="O1250" s="1">
        <f>IFERROR(__xludf.DUMMYFUNCTION("""COMPUTED_VALUE"""),"Business to Business")</f>
        <v/>
      </c>
      <c r="P1250" s="1">
        <f>IFERROR(__xludf.DUMMYFUNCTION("""COMPUTED_VALUE"""),"Primary Education, Secondary Education, Higher Education, Corporate Training")</f>
        <v/>
      </c>
      <c r="Q1250" s="1">
        <f>IFERROR(__xludf.DUMMYFUNCTION("""COMPUTED_VALUE"""),"Teacher interfacing, Student interfacing, System/Administrative")</f>
        <v/>
      </c>
      <c r="R1250" s="1" t="n"/>
      <c r="S1250" s="1" t="n"/>
      <c r="T1250" s="1" t="n"/>
      <c r="U1250" s="1" t="n"/>
      <c r="V1250" s="1" t="n"/>
      <c r="W1250" s="1" t="n"/>
      <c r="X1250" s="1" t="n"/>
      <c r="Y1250" s="15">
        <f>IFERROR(__xludf.DUMMYFUNCTION("""COMPUTED_VALUE"""),"https://drive.google.com/uc?export=view&amp;id=19z95nPJbzIE1wzeq2rLUCqrNAkUtdA7I")</f>
        <v/>
      </c>
      <c r="Z1250" s="1">
        <f>IFERROR(__xludf.DUMMYFUNCTION("""COMPUTED_VALUE"""),"Unverified")</f>
        <v/>
      </c>
      <c r="AA1250" s="1" t="n"/>
      <c r="AB1250" s="1" t="n"/>
      <c r="AC1250" s="1" t="n"/>
      <c r="AD1250" s="1" t="n"/>
      <c r="AE1250" s="1" t="n"/>
    </row>
    <row r="1251" ht="42" customHeight="1">
      <c r="A1251" s="14">
        <f>IFERROR(__xludf.DUMMYFUNCTION("""COMPUTED_VALUE"""),45181)</f>
        <v/>
      </c>
      <c r="B1251" s="1">
        <f>IFERROR(__xludf.DUMMYFUNCTION("""COMPUTED_VALUE"""),"ORG_1191")</f>
        <v/>
      </c>
      <c r="C1251" s="1">
        <f>IFERROR(__xludf.DUMMYFUNCTION("""COMPUTED_VALUE"""),TRUE)</f>
        <v/>
      </c>
      <c r="D1251" s="1">
        <f>IFERROR(__xludf.DUMMYFUNCTION("""COMPUTED_VALUE"""),"Brain Shakers")</f>
        <v/>
      </c>
      <c r="E1251" s="15">
        <f>IFERROR(__xludf.DUMMYFUNCTION("""COMPUTED_VALUE"""),"https://www.brainshakers.es/")</f>
        <v/>
      </c>
      <c r="F1251" s="1">
        <f>IFERROR(__xludf.DUMMYFUNCTION("""COMPUTED_VALUE"""),"Our mission is to ignite the creative imagination of kids through technological projects. We want to inspire future designers, makers, innovators.
We do it both through specialized toys (many of our own design) and through workshops in which children and"&amp;" young people experiment with technology to solve real life problems.")</f>
        <v/>
      </c>
      <c r="G1251" s="1">
        <f>IFERROR(__xludf.DUMMYFUNCTION("""COMPUTED_VALUE"""),"I'm not part of any EdTech association")</f>
        <v/>
      </c>
      <c r="H1251" s="1" t="n"/>
      <c r="I1251" s="1">
        <f>IFERROR(__xludf.DUMMYFUNCTION("""COMPUTED_VALUE"""),"hola@brainshakers.es")</f>
        <v/>
      </c>
      <c r="J1251" s="1">
        <f>IFERROR(__xludf.DUMMYFUNCTION("""COMPUTED_VALUE"""),"666601301")</f>
        <v/>
      </c>
      <c r="K1251" s="1">
        <f>IFERROR(__xludf.DUMMYFUNCTION("""COMPUTED_VALUE"""),"Barcelona")</f>
        <v/>
      </c>
      <c r="L1251" s="1">
        <f>IFERROR(__xludf.DUMMYFUNCTION("""COMPUTED_VALUE"""),"Spain")</f>
        <v/>
      </c>
      <c r="M1251" s="1">
        <f>IFERROR(__xludf.DUMMYFUNCTION("""COMPUTED_VALUE"""),"Spain")</f>
        <v/>
      </c>
      <c r="N1251" s="1">
        <f>IFERROR(__xludf.DUMMYFUNCTION("""COMPUTED_VALUE"""),"11 to 50")</f>
        <v/>
      </c>
      <c r="O1251" s="1">
        <f>IFERROR(__xludf.DUMMYFUNCTION("""COMPUTED_VALUE"""),"Business to Business")</f>
        <v/>
      </c>
      <c r="P1251" s="1">
        <f>IFERROR(__xludf.DUMMYFUNCTION("""COMPUTED_VALUE"""),"Primary Education, Secondary Education, Lifelong learning/Adult education")</f>
        <v/>
      </c>
      <c r="Q1251" s="1">
        <f>IFERROR(__xludf.DUMMYFUNCTION("""COMPUTED_VALUE"""),"System/Administrative, Student interfacing, Teacher interfacing")</f>
        <v/>
      </c>
      <c r="R1251" s="1" t="n"/>
      <c r="S1251" s="1" t="n"/>
      <c r="T1251" s="1" t="n"/>
      <c r="U1251" s="1" t="n"/>
      <c r="V1251" s="1" t="n"/>
      <c r="W1251" s="1" t="n"/>
      <c r="X1251" s="1" t="n"/>
      <c r="Y1251" s="15">
        <f>IFERROR(__xludf.DUMMYFUNCTION("""COMPUTED_VALUE"""),"https://drive.google.com/uc?export=view&amp;id=1zrB_KifjeHG9JtYZa5mm01Yvdm5h4Tts")</f>
        <v/>
      </c>
      <c r="Z1251" s="1">
        <f>IFERROR(__xludf.DUMMYFUNCTION("""COMPUTED_VALUE"""),"Unverified")</f>
        <v/>
      </c>
      <c r="AA1251" s="1" t="n"/>
      <c r="AB1251" s="1" t="n"/>
      <c r="AC1251" s="1" t="n"/>
      <c r="AD1251" s="1" t="n"/>
      <c r="AE1251" s="1" t="n"/>
    </row>
    <row r="1252" ht="42" customHeight="1">
      <c r="A1252" s="14">
        <f>IFERROR(__xludf.DUMMYFUNCTION("""COMPUTED_VALUE"""),45181)</f>
        <v/>
      </c>
      <c r="B1252" s="1">
        <f>IFERROR(__xludf.DUMMYFUNCTION("""COMPUTED_VALUE"""),"ORG_1333")</f>
        <v/>
      </c>
      <c r="C1252" s="1">
        <f>IFERROR(__xludf.DUMMYFUNCTION("""COMPUTED_VALUE"""),TRUE)</f>
        <v/>
      </c>
      <c r="D1252" s="1">
        <f>IFERROR(__xludf.DUMMYFUNCTION("""COMPUTED_VALUE"""),"Deeplo AI")</f>
        <v/>
      </c>
      <c r="E1252" s="15">
        <f>IFERROR(__xludf.DUMMYFUNCTION("""COMPUTED_VALUE"""),"www.deeploai.com")</f>
        <v/>
      </c>
      <c r="F1252" s="1">
        <f>IFERROR(__xludf.DUMMYFUNCTION("""COMPUTED_VALUE"""),"Deeplo AI is an online platform that provides free access to virtual internship programs co-designed by top companies. These programs are role-based, replicating real-world work experiences in companies through simulated tasks and assignments. By completi"&amp;"ng the programs, students learn more about the organisation and the role, gaining the essential skills required by the company, and demonstrating their commitment and capabilities. At the end, students have the opportunity to be hired by the companies.")</f>
        <v/>
      </c>
      <c r="G1252" s="1">
        <f>IFERROR(__xludf.DUMMYFUNCTION("""COMPUTED_VALUE"""),"Dutch EdTech")</f>
        <v/>
      </c>
      <c r="H1252" s="1" t="n"/>
      <c r="I1252" s="1">
        <f>IFERROR(__xludf.DUMMYFUNCTION("""COMPUTED_VALUE"""),"karatas@deeploai.com")</f>
        <v/>
      </c>
      <c r="J1252" s="1">
        <f>IFERROR(__xludf.DUMMYFUNCTION("""COMPUTED_VALUE"""),"+31 617234815")</f>
        <v/>
      </c>
      <c r="K1252" s="1">
        <f>IFERROR(__xludf.DUMMYFUNCTION("""COMPUTED_VALUE"""),"AMSTERDAM")</f>
        <v/>
      </c>
      <c r="L1252" s="1">
        <f>IFERROR(__xludf.DUMMYFUNCTION("""COMPUTED_VALUE"""),"The Netherlands")</f>
        <v/>
      </c>
      <c r="M1252" s="1">
        <f>IFERROR(__xludf.DUMMYFUNCTION("""COMPUTED_VALUE"""),"Belgium, Denmark, Finland, France, Germany, Greece, Netherlands, Poland, Spain, Sweden, Turkey, Ukraine, United Kingdom")</f>
        <v/>
      </c>
      <c r="N1252" s="1">
        <f>IFERROR(__xludf.DUMMYFUNCTION("""COMPUTED_VALUE"""),"0 to 10")</f>
        <v/>
      </c>
      <c r="O1252" s="1">
        <f>IFERROR(__xludf.DUMMYFUNCTION("""COMPUTED_VALUE"""),"Business to Business")</f>
        <v/>
      </c>
      <c r="P1252" s="1">
        <f>IFERROR(__xludf.DUMMYFUNCTION("""COMPUTED_VALUE"""),"Higher Education, Corporate Training, Lifelong learning/Adult education")</f>
        <v/>
      </c>
      <c r="Q1252" s="1">
        <f>IFERROR(__xludf.DUMMYFUNCTION("""COMPUTED_VALUE"""),"Student interfacing, Teacher interfacing, System/Administrative")</f>
        <v/>
      </c>
      <c r="R1252" s="1" t="n"/>
      <c r="S1252" s="1" t="n"/>
      <c r="T1252" s="15">
        <f>IFERROR(__xludf.DUMMYFUNCTION("""COMPUTED_VALUE"""),"https://www.linkedin.com/company/deeplo-ai/")</f>
        <v/>
      </c>
      <c r="U1252" s="1">
        <f>IFERROR(__xludf.DUMMYFUNCTION("""COMPUTED_VALUE"""),"Virtual Experience Programs")</f>
        <v/>
      </c>
      <c r="V1252" s="1">
        <f>IFERROR(__xludf.DUMMYFUNCTION("""COMPUTED_VALUE"""),"Virtual Experience Programs are similar to the internship programs, but are held online and open-access to all university students. These programs are bite-sized and consist of video instructions by real company employees, offering some tasks and assignme"&amp;"nts to students to mimic the real work experience of working in those companies. The programs are offered by leading companies, helping students pre skill and become job ready. At the end of the programs, students have the opportunity to be hired by the c"&amp;"ompanies.")</f>
        <v/>
      </c>
      <c r="W1252" s="1" t="n"/>
      <c r="X1252" s="1" t="n"/>
      <c r="Y1252" s="15">
        <f>IFERROR(__xludf.DUMMYFUNCTION("""COMPUTED_VALUE"""),"https://drive.google.com/uc?export=view&amp;id=1n2i0BCc2eWCS95Z2tQAImk0zbX49YPD9")</f>
        <v/>
      </c>
      <c r="Z1252" s="1">
        <f>IFERROR(__xludf.DUMMYFUNCTION("""COMPUTED_VALUE"""),"Unverified")</f>
        <v/>
      </c>
      <c r="AA1252" s="1" t="n"/>
      <c r="AB1252" s="1" t="n"/>
      <c r="AC1252" s="1" t="n"/>
      <c r="AD1252" s="1" t="n"/>
      <c r="AE1252" s="1" t="n"/>
    </row>
    <row r="1253" ht="42" customHeight="1">
      <c r="A1253" s="14">
        <f>IFERROR(__xludf.DUMMYFUNCTION("""COMPUTED_VALUE"""),45181)</f>
        <v/>
      </c>
      <c r="B1253" s="1">
        <f>IFERROR(__xludf.DUMMYFUNCTION("""COMPUTED_VALUE"""),"ORG_1354")</f>
        <v/>
      </c>
      <c r="C1253" s="1">
        <f>IFERROR(__xludf.DUMMYFUNCTION("""COMPUTED_VALUE"""),TRUE)</f>
        <v/>
      </c>
      <c r="D1253" s="1">
        <f>IFERROR(__xludf.DUMMYFUNCTION("""COMPUTED_VALUE"""),"Diginnovative Digital Learning")</f>
        <v/>
      </c>
      <c r="E1253" s="15">
        <f>IFERROR(__xludf.DUMMYFUNCTION("""COMPUTED_VALUE"""),"https://emaze.me/diginnovative#Accueil")</f>
        <v/>
      </c>
      <c r="F1253" s="1">
        <f>IFERROR(__xludf.DUMMYFUNCTION("""COMPUTED_VALUE"""),"We design and develop engaging learning programmes to help learners improve their skills.
How ? We take into account every bit of your context, expectations and needs to design the right activity at the right time of the learning journey with the right le"&amp;"arning outcome.
Why ? Because we are convinced that motivation, engagement are the key to better learning and upskilling and reskilling.
To achieve this, we mix learning modalities and we keep learners at the heart of everything we create.")</f>
        <v/>
      </c>
      <c r="G1253" s="1">
        <f>IFERROR(__xludf.DUMMYFUNCTION("""COMPUTED_VALUE"""),"I'm not part of any EdTech association")</f>
        <v/>
      </c>
      <c r="H1253" s="1">
        <f>IFERROR(__xludf.DUMMYFUNCTION("""COMPUTED_VALUE"""),"French, English")</f>
        <v/>
      </c>
      <c r="I1253" s="1">
        <f>IFERROR(__xludf.DUMMYFUNCTION("""COMPUTED_VALUE"""),"contact@diginnovative.com")</f>
        <v/>
      </c>
      <c r="J1253" s="1">
        <f>IFERROR(__xludf.DUMMYFUNCTION("""COMPUTED_VALUE"""),"+33 7 64 08 12 0")</f>
        <v/>
      </c>
      <c r="K1253" s="1">
        <f>IFERROR(__xludf.DUMMYFUNCTION("""COMPUTED_VALUE"""),"Orange")</f>
        <v/>
      </c>
      <c r="L1253" s="1">
        <f>IFERROR(__xludf.DUMMYFUNCTION("""COMPUTED_VALUE"""),"France")</f>
        <v/>
      </c>
      <c r="M1253" s="1">
        <f>IFERROR(__xludf.DUMMYFUNCTION("""COMPUTED_VALUE"""),"Austria, Belgium, Croatia, Cyprus, Czechia, Denmark, Estonia, Finland, France, Germany, Greece, Iceland, Ireland, Italy, Latvia, Liechtenstein, Lithuania, Luxembourg, Malta, Netherlands, Norway, Poland, Portugal, Romania, Spain, Sweden, Switzerland, Turke"&amp;"y, Ukraine, United Kingdom")</f>
        <v/>
      </c>
      <c r="N1253" s="1">
        <f>IFERROR(__xludf.DUMMYFUNCTION("""COMPUTED_VALUE"""),"0 to 2")</f>
        <v/>
      </c>
      <c r="O1253" s="1">
        <f>IFERROR(__xludf.DUMMYFUNCTION("""COMPUTED_VALUE"""),"Business to Business")</f>
        <v/>
      </c>
      <c r="P1253" s="1">
        <f>IFERROR(__xludf.DUMMYFUNCTION("""COMPUTED_VALUE"""),"Corporate Training, Lifelong learning/Adult education, Vocational Education and Training (VET), Higher Education")</f>
        <v/>
      </c>
      <c r="Q1253" s="1">
        <f>IFERROR(__xludf.DUMMYFUNCTION("""COMPUTED_VALUE"""),"Teacher interfacing, System/Administrative, Student interfacing")</f>
        <v/>
      </c>
      <c r="R1253" s="1" t="n"/>
      <c r="S1253" s="1" t="n"/>
      <c r="T1253" s="15">
        <f>IFERROR(__xludf.DUMMYFUNCTION("""COMPUTED_VALUE"""),"https://www.linkedin.com/company/diginnovative/")</f>
        <v/>
      </c>
      <c r="U1253" s="1">
        <f>IFERROR(__xludf.DUMMYFUNCTION("""COMPUTED_VALUE"""),"Digital learning programmes design and implementation")</f>
        <v/>
      </c>
      <c r="V1253" s="1">
        <f>IFERROR(__xludf.DUMMYFUNCTION("""COMPUTED_VALUE"""),"We design and implement enriched classroom, blended learning and e-learning training courses. We design the pedagogical engineering. We create interactive modules with quizzes, video (face-to-face, animated and interactive), podcasts and dialogue simulati"&amp;"ons.
We design and run virtual classes. We mobilize our pedagogical expertise to create and deliver virtual classes that encourage interaction and exchange.
We support in-house teams' skills development with practical workshops. These workshops are dedic"&amp;"ated to the discovery of animation techniques, the use of digital tools and the practical application of activities that encourage learner involvement.")</f>
        <v/>
      </c>
      <c r="W1253" s="1">
        <f>IFERROR(__xludf.DUMMYFUNCTION("""COMPUTED_VALUE"""),"Digitalization strategy")</f>
        <v/>
      </c>
      <c r="X1253" s="1">
        <f>IFERROR(__xludf.DUMMYFUNCTION("""COMPUTED_VALUE"""),"We help organizations define and deploy the digitalization strategy best suited to their context.
To achieve this, we adopt a methodical approach:
- internal audit
- identification of objectives (SMART)
- co-construction of an action plan
- identification"&amp;" of key players and project leaders
- planning priority actions to be deployed
- Benchmarking and selection of solutions adapted to the organization's context
- support for management teams in implementing strategy
During the workshops we facilitate, we p"&amp;"oint out that one of the keys towards success is to act as a team.
What makes us appreciated by our clients is that We never come up with a preconceived solution, but with a fresh perspective for each new assignment. Every context is unique, and demands a"&amp;" customized solution. The phrase ""one size fits all"" is banned in our team!
We adjust to our clients and to their context to help them find the best way to make their digital learning project successful.")</f>
        <v/>
      </c>
      <c r="Y1253" s="15">
        <f>IFERROR(__xludf.DUMMYFUNCTION("""COMPUTED_VALUE"""),"https://drive.google.com/uc?export=view&amp;id=1sVCt5FzqQy0xVl_xu0vRuh3DVa5TlMTE")</f>
        <v/>
      </c>
      <c r="Z1253" s="1">
        <f>IFERROR(__xludf.DUMMYFUNCTION("""COMPUTED_VALUE"""),"Unverified")</f>
        <v/>
      </c>
      <c r="AA1253" s="1" t="n"/>
      <c r="AB1253" s="1" t="n"/>
      <c r="AC1253" s="1" t="n"/>
      <c r="AD1253" s="1" t="n"/>
      <c r="AE1253" s="1" t="n"/>
    </row>
    <row r="1254" ht="42" customHeight="1">
      <c r="A1254" s="14">
        <f>IFERROR(__xludf.DUMMYFUNCTION("""COMPUTED_VALUE"""),45181)</f>
        <v/>
      </c>
      <c r="B1254" s="1">
        <f>IFERROR(__xludf.DUMMYFUNCTION("""COMPUTED_VALUE"""),"ORG_1406")</f>
        <v/>
      </c>
      <c r="C1254" s="1">
        <f>IFERROR(__xludf.DUMMYFUNCTION("""COMPUTED_VALUE"""),TRUE)</f>
        <v/>
      </c>
      <c r="D1254" s="1">
        <f>IFERROR(__xludf.DUMMYFUNCTION("""COMPUTED_VALUE"""),"Edflex")</f>
        <v/>
      </c>
      <c r="E1254" s="15">
        <f>IFERROR(__xludf.DUMMYFUNCTION("""COMPUTED_VALUE"""),"edflex.com/en")</f>
        <v/>
      </c>
      <c r="F1254" s="1">
        <f>IFERROR(__xludf.DUMMYFUNCTION("""COMPUTED_VALUE"""),"We live in a world where information is everywhere. Knowledge is all around us, but finding the right information to learn and develop new skills is not that easy. 
Fake news, millions of sources on the web, quality of available and free content. Learning"&amp;" curation is crucial.
Edflex responds to this challenge with: 
1. Simplified access to all quality resources, classified by category.
2. A fresh content catalog with new habits modalities ( podcast, video, article...) updated everyday.
3. An instant resp"&amp;"onse to train when and where you want (atawad).
Simpler, more engaging and instantaneous, directly linked with the needs of learners: this is our vision of learning.")</f>
        <v/>
      </c>
      <c r="G1254" s="1">
        <f>IFERROR(__xludf.DUMMYFUNCTION("""COMPUTED_VALUE"""),"EdTech France")</f>
        <v/>
      </c>
      <c r="H1254" s="1" t="n"/>
      <c r="I1254" s="1" t="n"/>
      <c r="J1254" s="1" t="n"/>
      <c r="K1254" s="1">
        <f>IFERROR(__xludf.DUMMYFUNCTION("""COMPUTED_VALUE"""),"PARIS")</f>
        <v/>
      </c>
      <c r="L1254" s="1">
        <f>IFERROR(__xludf.DUMMYFUNCTION("""COMPUTED_VALUE"""),"France")</f>
        <v/>
      </c>
      <c r="M1254" s="1">
        <f>IFERROR(__xludf.DUMMYFUNCTION("""COMPUTED_VALUE"""),"Belgium, France, Germany, Luxembourg, Netherlands, Spain, Switzerland")</f>
        <v/>
      </c>
      <c r="N1254" s="1">
        <f>IFERROR(__xludf.DUMMYFUNCTION("""COMPUTED_VALUE"""),"51 to 100")</f>
        <v/>
      </c>
      <c r="O1254" s="1">
        <f>IFERROR(__xludf.DUMMYFUNCTION("""COMPUTED_VALUE"""),"Business to Business")</f>
        <v/>
      </c>
      <c r="P1254" s="1">
        <f>IFERROR(__xludf.DUMMYFUNCTION("""COMPUTED_VALUE"""),"Corporate Training, Lifelong learning/Adult education")</f>
        <v/>
      </c>
      <c r="Q1254" s="1">
        <f>IFERROR(__xludf.DUMMYFUNCTION("""COMPUTED_VALUE"""),"Teacher interfacing, Student interfacing, System/Administrative")</f>
        <v/>
      </c>
      <c r="R1254" s="15">
        <f>IFERROR(__xludf.DUMMYFUNCTION("""COMPUTED_VALUE"""),"https://www.instagram.com/edflex_fr")</f>
        <v/>
      </c>
      <c r="S1254" s="15">
        <f>IFERROR(__xludf.DUMMYFUNCTION("""COMPUTED_VALUE"""),"https://twitter.com/edflex_fr")</f>
        <v/>
      </c>
      <c r="T1254" s="15">
        <f>IFERROR(__xludf.DUMMYFUNCTION("""COMPUTED_VALUE"""),"https://www.linkedin.com/company/edflex-hq")</f>
        <v/>
      </c>
      <c r="U1254" s="1">
        <f>IFERROR(__xludf.DUMMYFUNCTION("""COMPUTED_VALUE"""),"Edflex")</f>
        <v/>
      </c>
      <c r="V1254" s="1">
        <f>IFERROR(__xludf.DUMMYFUNCTION("""COMPUTED_VALUE"""),"Edflex inspires and engages employees in their professional and personal development. More than just a simplified access to thousands of online training contents, Edflex is a SaaS solution that changes the way employees learn every day. We offer more than"&amp;" 40,000 expert-qualified contents (online courses, videos, podcasts, articles...) in native languages, and transform them into an intuitive catalog accessible at any time from our solution, or integrated into your LMS or HRIS. Since 2016, we have been sup"&amp;"porting 600,000 users from large groups (including Club Med, Air France, Orange and Total Energies).")</f>
        <v/>
      </c>
      <c r="W1254" s="1" t="n"/>
      <c r="X1254" s="1" t="n"/>
      <c r="Y1254" s="15">
        <f>IFERROR(__xludf.DUMMYFUNCTION("""COMPUTED_VALUE"""),"https://drive.google.com/uc?export=view&amp;id=1oqMbYQMdeDegGd1CtvU_nhKKmPiWwj9k")</f>
        <v/>
      </c>
      <c r="Z1254" s="1">
        <f>IFERROR(__xludf.DUMMYFUNCTION("""COMPUTED_VALUE"""),"Unverified")</f>
        <v/>
      </c>
      <c r="AA1254" s="1" t="n"/>
      <c r="AB1254" s="1" t="n"/>
      <c r="AC1254" s="1" t="n"/>
      <c r="AD1254" s="1" t="n"/>
      <c r="AE1254" s="1" t="n"/>
    </row>
    <row r="1255" ht="42" customHeight="1">
      <c r="A1255" s="14">
        <f>IFERROR(__xludf.DUMMYFUNCTION("""COMPUTED_VALUE"""),45181)</f>
        <v/>
      </c>
      <c r="B1255" s="1">
        <f>IFERROR(__xludf.DUMMYFUNCTION("""COMPUTED_VALUE"""),"ORG_1410")</f>
        <v/>
      </c>
      <c r="C1255" s="1">
        <f>IFERROR(__xludf.DUMMYFUNCTION("""COMPUTED_VALUE"""),TRUE)</f>
        <v/>
      </c>
      <c r="D1255" s="1">
        <f>IFERROR(__xludf.DUMMYFUNCTION("""COMPUTED_VALUE"""),"Edita")</f>
        <v/>
      </c>
      <c r="E1255" s="15">
        <f>IFERROR(__xludf.DUMMYFUNCTION("""COMPUTED_VALUE"""),"https://edita.fi")</f>
        <v/>
      </c>
      <c r="F1255" s="1">
        <f>IFERROR(__xludf.DUMMYFUNCTION("""COMPUTED_VALUE"""),"Edita is a Finnish publisher of educational materials. We provide high quality printed and digital learning materials for lower and upper secondary school and vocational studies to support learning and teaching. Our study materials combine up-to-date peda"&amp;"gogy and fresh research data.")</f>
        <v/>
      </c>
      <c r="G1255" s="1">
        <f>IFERROR(__xludf.DUMMYFUNCTION("""COMPUTED_VALUE"""),"I'm not part of any EdTech association")</f>
        <v/>
      </c>
      <c r="H1255" s="1" t="n"/>
      <c r="I1255" s="1">
        <f>IFERROR(__xludf.DUMMYFUNCTION("""COMPUTED_VALUE"""),"digilearning@edita.fi")</f>
        <v/>
      </c>
      <c r="J1255" s="1" t="n"/>
      <c r="K1255" s="1">
        <f>IFERROR(__xludf.DUMMYFUNCTION("""COMPUTED_VALUE"""),"HELSINKI")</f>
        <v/>
      </c>
      <c r="L1255" s="1">
        <f>IFERROR(__xludf.DUMMYFUNCTION("""COMPUTED_VALUE"""),"Finland")</f>
        <v/>
      </c>
      <c r="M1255" s="1">
        <f>IFERROR(__xludf.DUMMYFUNCTION("""COMPUTED_VALUE"""),"Finland")</f>
        <v/>
      </c>
      <c r="N1255" s="1">
        <f>IFERROR(__xludf.DUMMYFUNCTION("""COMPUTED_VALUE"""),"100+")</f>
        <v/>
      </c>
      <c r="O1255" s="1">
        <f>IFERROR(__xludf.DUMMYFUNCTION("""COMPUTED_VALUE"""),"Business to Business")</f>
        <v/>
      </c>
      <c r="P1255" s="1">
        <f>IFERROR(__xludf.DUMMYFUNCTION("""COMPUTED_VALUE"""),"Primary Education, Secondary Education, Higher Education, Lifelong learning/Adult education")</f>
        <v/>
      </c>
      <c r="Q1255" s="1">
        <f>IFERROR(__xludf.DUMMYFUNCTION("""COMPUTED_VALUE"""),"Student interfacing, Teacher interfacing")</f>
        <v/>
      </c>
      <c r="R1255" s="15">
        <f>IFERROR(__xludf.DUMMYFUNCTION("""COMPUTED_VALUE"""),"https://www.instagram.com/edita_oppiminen/?hl=fi")</f>
        <v/>
      </c>
      <c r="S1255" s="15">
        <f>IFERROR(__xludf.DUMMYFUNCTION("""COMPUTED_VALUE"""),"https://twitter.com/editaoppiminen")</f>
        <v/>
      </c>
      <c r="T1255" s="15">
        <f>IFERROR(__xludf.DUMMYFUNCTION("""COMPUTED_VALUE"""),"https://www.linkedin.com/company/edita-oppiminen?originalSubdomain=fi")</f>
        <v/>
      </c>
      <c r="U1255" s="1">
        <f>IFERROR(__xludf.DUMMYFUNCTION("""COMPUTED_VALUE"""),"Ioni")</f>
        <v/>
      </c>
      <c r="V1255" s="1">
        <f>IFERROR(__xludf.DUMMYFUNCTION("""COMPUTED_VALUE"""),"Edita's new high school chemistry material is a functional entity based on a printed textbook, digital book and digital teacher material. The versatile tasks of the material strengthen your chemistry skills and prepare you to have the skills needed for hi"&amp;"gher education. The study material supports the study of phenomena experimentally and guides the student to the different stages of scientific research. In-depth texts shed light on the importance of chemistry in society and guide you to research and proc"&amp;"ess a variety of materials.")</f>
        <v/>
      </c>
      <c r="W1255" s="1">
        <f>IFERROR(__xludf.DUMMYFUNCTION("""COMPUTED_VALUE"""),"Quest")</f>
        <v/>
      </c>
      <c r="X1255" s="1">
        <f>IFERROR(__xludf.DUMMYFUNCTION("""COMPUTED_VALUE"""),"Quest is a new and inspiring English learning material for high school’s new 2021 curriculum. The Quest series invites its user to an adventure where the student gets to know himself as a learner as well as the global world from different perspectives. Qu"&amp;"est's learning materials respond to the goals of the new curriculum with pedagogically thought-out, authentic and diverse texts, differentiated task paths, and comprehensive grammar.")</f>
        <v/>
      </c>
      <c r="Y1255" s="15">
        <f>IFERROR(__xludf.DUMMYFUNCTION("""COMPUTED_VALUE"""),"https://drive.google.com/uc?export=view&amp;id=1bdGHUz7GG9taDwratfC6lAFQxObaIVq2")</f>
        <v/>
      </c>
      <c r="Z1255" s="1">
        <f>IFERROR(__xludf.DUMMYFUNCTION("""COMPUTED_VALUE"""),"Unverified")</f>
        <v/>
      </c>
      <c r="AA1255" s="1" t="n"/>
      <c r="AB1255" s="1" t="n"/>
      <c r="AC1255" s="1" t="n"/>
      <c r="AD1255" s="1" t="n"/>
      <c r="AE1255" s="1" t="n"/>
    </row>
    <row r="1256" ht="42" customHeight="1">
      <c r="A1256" s="14">
        <f>IFERROR(__xludf.DUMMYFUNCTION("""COMPUTED_VALUE"""),45181)</f>
        <v/>
      </c>
      <c r="B1256" s="1">
        <f>IFERROR(__xludf.DUMMYFUNCTION("""COMPUTED_VALUE"""),"ORG_1436")</f>
        <v/>
      </c>
      <c r="C1256" s="1">
        <f>IFERROR(__xludf.DUMMYFUNCTION("""COMPUTED_VALUE"""),TRUE)</f>
        <v/>
      </c>
      <c r="D1256" s="1">
        <f>IFERROR(__xludf.DUMMYFUNCTION("""COMPUTED_VALUE"""),"educom")</f>
        <v/>
      </c>
      <c r="E1256" s="15">
        <f>IFERROR(__xludf.DUMMYFUNCTION("""COMPUTED_VALUE"""),"https://www.educom.at/")</f>
        <v/>
      </c>
      <c r="F1256" s="1">
        <f>IFERROR(__xludf.DUMMYFUNCTION("""COMPUTED_VALUE"""),"educom - Austria's first educational mobile operator for pupils, students and teachers!
educom builds with its unbeatable cell phone and internet plans as well as the free e-learning initiative, the basis of our mission: We are committed at all levels to"&amp;" affordable, and in the best case free, access to education. With our loyalty program - our educoins - you can pay your cell phone bill and much more, you get the latest hardware with the best price-performance ratio at our edustore, find free goodies in "&amp;"our edubags and get the cheapest access to our partners' products with our edudeals. Around all this we build our educlub community - Viva la educación!")</f>
        <v/>
      </c>
      <c r="G1256" s="1">
        <f>IFERROR(__xludf.DUMMYFUNCTION("""COMPUTED_VALUE"""),"EdTech Austria")</f>
        <v/>
      </c>
      <c r="H1256" s="1" t="n"/>
      <c r="I1256" s="1">
        <f>IFERROR(__xludf.DUMMYFUNCTION("""COMPUTED_VALUE"""),"service@educom.at")</f>
        <v/>
      </c>
      <c r="J1256" s="1">
        <f>IFERROR(__xludf.DUMMYFUNCTION("""COMPUTED_VALUE"""),"+43678 7800")</f>
        <v/>
      </c>
      <c r="K1256" s="1">
        <f>IFERROR(__xludf.DUMMYFUNCTION("""COMPUTED_VALUE"""),"Vienna")</f>
        <v/>
      </c>
      <c r="L1256" s="1">
        <f>IFERROR(__xludf.DUMMYFUNCTION("""COMPUTED_VALUE"""),"Austria")</f>
        <v/>
      </c>
      <c r="M1256" s="1">
        <f>IFERROR(__xludf.DUMMYFUNCTION("""COMPUTED_VALUE"""),"Austria")</f>
        <v/>
      </c>
      <c r="N1256" s="1">
        <f>IFERROR(__xludf.DUMMYFUNCTION("""COMPUTED_VALUE"""),"11 to 50")</f>
        <v/>
      </c>
      <c r="O1256" s="1">
        <f>IFERROR(__xludf.DUMMYFUNCTION("""COMPUTED_VALUE"""),"Business to Business, Business to Consumer")</f>
        <v/>
      </c>
      <c r="P1256" s="1">
        <f>IFERROR(__xludf.DUMMYFUNCTION("""COMPUTED_VALUE"""),"Secondary Education, Higher Education")</f>
        <v/>
      </c>
      <c r="Q1256" s="1">
        <f>IFERROR(__xludf.DUMMYFUNCTION("""COMPUTED_VALUE"""),"System/Administrative, Student interfacing, Teacher interfacing")</f>
        <v/>
      </c>
      <c r="R1256" s="15">
        <f>IFERROR(__xludf.DUMMYFUNCTION("""COMPUTED_VALUE"""),"https://www.instagram.com/educom.at/")</f>
        <v/>
      </c>
      <c r="S1256" s="1" t="n"/>
      <c r="T1256" s="15">
        <f>IFERROR(__xludf.DUMMYFUNCTION("""COMPUTED_VALUE"""),"https://at.linkedin.com/company/educom-at")</f>
        <v/>
      </c>
      <c r="U1256" s="1">
        <f>IFERROR(__xludf.DUMMYFUNCTION("""COMPUTED_VALUE"""),"mobile phone contract with free e-learning")</f>
        <v/>
      </c>
      <c r="V1256" s="1">
        <f>IFERROR(__xludf.DUMMYFUNCTION("""COMPUTED_VALUE"""),"educom offers mobile and internet plans for the educational sector. Additionally, for every plan our customers benefit from our free e-learning initiative, where no data is being deducted from their datavolume. All e-learning websites/services/apps, which"&amp;" are listed on free-e-learning.at, can be therefore used for free in Austria!")</f>
        <v/>
      </c>
      <c r="W1256" s="1" t="n"/>
      <c r="X1256" s="1" t="n"/>
      <c r="Y1256" s="1" t="n"/>
      <c r="Z1256" s="1">
        <f>IFERROR(__xludf.DUMMYFUNCTION("""COMPUTED_VALUE"""),"Unverified")</f>
        <v/>
      </c>
      <c r="AA1256" s="1" t="n"/>
      <c r="AB1256" s="1" t="n"/>
      <c r="AC1256" s="1" t="n"/>
      <c r="AD1256" s="1" t="n"/>
      <c r="AE1256" s="1" t="n"/>
    </row>
    <row r="1257" ht="42" customHeight="1">
      <c r="A1257" s="14">
        <f>IFERROR(__xludf.DUMMYFUNCTION("""COMPUTED_VALUE"""),45181)</f>
        <v/>
      </c>
      <c r="B1257" s="1">
        <f>IFERROR(__xludf.DUMMYFUNCTION("""COMPUTED_VALUE"""),"ORG_1482")</f>
        <v/>
      </c>
      <c r="C1257" s="1">
        <f>IFERROR(__xludf.DUMMYFUNCTION("""COMPUTED_VALUE"""),TRUE)</f>
        <v/>
      </c>
      <c r="D1257" s="1">
        <f>IFERROR(__xludf.DUMMYFUNCTION("""COMPUTED_VALUE"""),"elendi")</f>
        <v/>
      </c>
      <c r="E1257" s="15">
        <f>IFERROR(__xludf.DUMMYFUNCTION("""COMPUTED_VALUE"""),"https://www.elendi.ai/")</f>
        <v/>
      </c>
      <c r="F1257" s="1">
        <f>IFERROR(__xludf.DUMMYFUNCTION("""COMPUTED_VALUE"""),"elendi is a SaaS platform building employee engagement and capabilities.")</f>
        <v/>
      </c>
      <c r="G1257" s="1">
        <f>IFERROR(__xludf.DUMMYFUNCTION("""COMPUTED_VALUE"""),"EdTech France")</f>
        <v/>
      </c>
      <c r="H1257" s="1" t="n"/>
      <c r="I1257" s="1">
        <f>IFERROR(__xludf.DUMMYFUNCTION("""COMPUTED_VALUE"""),"hello@elendi.ai")</f>
        <v/>
      </c>
      <c r="J1257" s="1" t="n"/>
      <c r="K1257" s="1">
        <f>IFERROR(__xludf.DUMMYFUNCTION("""COMPUTED_VALUE"""),"Paris")</f>
        <v/>
      </c>
      <c r="L1257" s="1">
        <f>IFERROR(__xludf.DUMMYFUNCTION("""COMPUTED_VALUE"""),"France")</f>
        <v/>
      </c>
      <c r="M1257" s="1">
        <f>IFERROR(__xludf.DUMMYFUNCTION("""COMPUTED_VALUE"""),"France")</f>
        <v/>
      </c>
      <c r="N1257" s="1">
        <f>IFERROR(__xludf.DUMMYFUNCTION("""COMPUTED_VALUE"""),"11 to 50")</f>
        <v/>
      </c>
      <c r="O1257" s="1">
        <f>IFERROR(__xludf.DUMMYFUNCTION("""COMPUTED_VALUE"""),"Business to Business, Business to Consumer")</f>
        <v/>
      </c>
      <c r="P1257" s="1">
        <f>IFERROR(__xludf.DUMMYFUNCTION("""COMPUTED_VALUE"""),"Corporate Training, Lifelong learning/Adult education")</f>
        <v/>
      </c>
      <c r="Q1257" s="1">
        <f>IFERROR(__xludf.DUMMYFUNCTION("""COMPUTED_VALUE"""),"Student interfacing, System/Administrative")</f>
        <v/>
      </c>
      <c r="R1257" s="1" t="n"/>
      <c r="S1257" s="1" t="n"/>
      <c r="T1257" s="1" t="n"/>
      <c r="U1257" s="1">
        <f>IFERROR(__xludf.DUMMYFUNCTION("""COMPUTED_VALUE"""),"Learning Companion")</f>
        <v/>
      </c>
      <c r="V1257" s="1">
        <f>IFERROR(__xludf.DUMMYFUNCTION("""COMPUTED_VALUE"""),"Elendi's Learning Companion builds capabilities for your employees. 
With utmost employee-centricity, it helps your people identify critical areas of growth, benefit from best-suited learning recommendations, and reinforce their learning. 
The learning "&amp;"companion creates a continuous learning habit and ensures that your employees do not become obsolete.
It also supports managers to become better managers and equips HR to steer the organization's short-term and long-term capabilities to achieve strategic"&amp;" objectives.")</f>
        <v/>
      </c>
      <c r="W1257" s="1">
        <f>IFERROR(__xludf.DUMMYFUNCTION("""COMPUTED_VALUE"""),"Engagement Companion")</f>
        <v/>
      </c>
      <c r="X1257" s="1">
        <f>IFERROR(__xludf.DUMMYFUNCTION("""COMPUTED_VALUE"""),"Elendi's Engagement Companion builds engagement for your employees
It heightens engagement by making your employees' voices count and providing them with immediate support, helps managers adjust their management to increase engagement, and supports HR in"&amp;" steering engagement through active, real-time listening.
The Engagement Companion provides actionable insights on structural engagement levers. It also actively monitors employees' pulse in every day worklife and moments that matter.")</f>
        <v/>
      </c>
      <c r="Y1257" s="15">
        <f>IFERROR(__xludf.DUMMYFUNCTION("""COMPUTED_VALUE"""),"https://drive.google.com/uc?export=view&amp;id=16QcgDUU64kqpCbdBvmWkSB-ju3w_zp2n")</f>
        <v/>
      </c>
      <c r="Z1257" s="1">
        <f>IFERROR(__xludf.DUMMYFUNCTION("""COMPUTED_VALUE"""),"Unverified")</f>
        <v/>
      </c>
      <c r="AA1257" s="1" t="n"/>
      <c r="AB1257" s="1" t="n"/>
      <c r="AC1257" s="1" t="n"/>
      <c r="AD1257" s="1" t="n"/>
      <c r="AE1257" s="1" t="n"/>
    </row>
    <row r="1258" ht="42" customHeight="1">
      <c r="A1258" s="14">
        <f>IFERROR(__xludf.DUMMYFUNCTION("""COMPUTED_VALUE"""),45181)</f>
        <v/>
      </c>
      <c r="B1258" s="1">
        <f>IFERROR(__xludf.DUMMYFUNCTION("""COMPUTED_VALUE"""),"ORG_1537")</f>
        <v/>
      </c>
      <c r="C1258" s="1">
        <f>IFERROR(__xludf.DUMMYFUNCTION("""COMPUTED_VALUE"""),TRUE)</f>
        <v/>
      </c>
      <c r="D1258" s="1">
        <f>IFERROR(__xludf.DUMMYFUNCTION("""COMPUTED_VALUE"""),"eXaminer")</f>
        <v/>
      </c>
      <c r="E1258" s="15">
        <f>IFERROR(__xludf.DUMMYFUNCTION("""COMPUTED_VALUE"""),"www.examiner.ch")</f>
        <v/>
      </c>
      <c r="F1258" s="1">
        <f>IFERROR(__xludf.DUMMYFUNCTION("""COMPUTED_VALUE"""),"eXaminer is the modern, cloud-based platform for online and paper exams. It has never been easier to test the knowledge of learners, employees or trainees. School exam or final exam, internal training or company training? Check whether the knowledge is av"&amp;"ailable or has been learned. Simple, uncomplicated and digital.")</f>
        <v/>
      </c>
      <c r="G1258" s="1">
        <f>IFERROR(__xludf.DUMMYFUNCTION("""COMPUTED_VALUE"""),"Swiss EdTech Collider")</f>
        <v/>
      </c>
      <c r="H1258" s="1">
        <f>IFERROR(__xludf.DUMMYFUNCTION("""COMPUTED_VALUE"""),"German, English, French, Italian")</f>
        <v/>
      </c>
      <c r="I1258" s="1">
        <f>IFERROR(__xludf.DUMMYFUNCTION("""COMPUTED_VALUE"""),"info@examiner.ch")</f>
        <v/>
      </c>
      <c r="J1258" s="1">
        <f>IFERROR(__xludf.DUMMYFUNCTION("""COMPUTED_VALUE"""),"-")</f>
        <v/>
      </c>
      <c r="K1258" s="1">
        <f>IFERROR(__xludf.DUMMYFUNCTION("""COMPUTED_VALUE"""),"ST. GALLEN")</f>
        <v/>
      </c>
      <c r="L1258" s="1">
        <f>IFERROR(__xludf.DUMMYFUNCTION("""COMPUTED_VALUE"""),"Switzerland")</f>
        <v/>
      </c>
      <c r="M1258" s="1">
        <f>IFERROR(__xludf.DUMMYFUNCTION("""COMPUTED_VALUE"""),"Austria, Germany, Liechtenstein, Luxembourg, Switzerland")</f>
        <v/>
      </c>
      <c r="N1258" s="1">
        <f>IFERROR(__xludf.DUMMYFUNCTION("""COMPUTED_VALUE"""),"3 to 5")</f>
        <v/>
      </c>
      <c r="O1258" s="1">
        <f>IFERROR(__xludf.DUMMYFUNCTION("""COMPUTED_VALUE"""),"Business to Business, Business to Consumer")</f>
        <v/>
      </c>
      <c r="P1258" s="1">
        <f>IFERROR(__xludf.DUMMYFUNCTION("""COMPUTED_VALUE"""),"Secondary Education, Corporate Training, Vocational Education and Training (VET), Higher Education")</f>
        <v/>
      </c>
      <c r="Q1258" s="1">
        <f>IFERROR(__xludf.DUMMYFUNCTION("""COMPUTED_VALUE"""),"Student interfacing, Teacher interfacing, System/Administrative")</f>
        <v/>
      </c>
      <c r="R1258" s="1" t="n"/>
      <c r="S1258" s="1" t="n"/>
      <c r="T1258" s="15">
        <f>IFERROR(__xludf.DUMMYFUNCTION("""COMPUTED_VALUE"""),"https://www.linkedin.com/company/examiner")</f>
        <v/>
      </c>
      <c r="U1258" s="1">
        <f>IFERROR(__xludf.DUMMYFUNCTION("""COMPUTED_VALUE"""),"eXaminer")</f>
        <v/>
      </c>
      <c r="V1258" s="1">
        <f>IFERROR(__xludf.DUMMYFUNCTION("""COMPUTED_VALUE"""),"eXaminer is the modern, cloud-based platform for online and paper exams. It has never been easier to test the knowledge of learners, employees, or trainees online. School or final exams, internal training, or continuing education? No problem with eXaminer"&amp;", the modern and professional online testing tool. The eXaminer simplifies the composition and delivery of exams, certification, and learning assessments - whether online or offline; from home, in the office, or in the classroom. Simple, uncomplicated and"&amp;" digital. The eXaminer is 100% swiss made and data protection is one of our most important values.")</f>
        <v/>
      </c>
      <c r="W1258" s="1" t="n"/>
      <c r="X1258" s="1" t="n"/>
      <c r="Y1258" s="15">
        <f>IFERROR(__xludf.DUMMYFUNCTION("""COMPUTED_VALUE"""),"https://drive.google.com/uc?export=view&amp;id=1WoMAkPAMR9AJFz6YGzNohmcGZatRC_4C")</f>
        <v/>
      </c>
      <c r="Z1258" s="1">
        <f>IFERROR(__xludf.DUMMYFUNCTION("""COMPUTED_VALUE"""),"Unverified")</f>
        <v/>
      </c>
      <c r="AA1258" s="1" t="n"/>
      <c r="AB1258" s="1" t="n"/>
      <c r="AC1258" s="1" t="n"/>
      <c r="AD1258" s="1" t="n"/>
      <c r="AE1258" s="1" t="n"/>
    </row>
    <row r="1259" ht="42" customHeight="1">
      <c r="A1259" s="14">
        <f>IFERROR(__xludf.DUMMYFUNCTION("""COMPUTED_VALUE"""),45181)</f>
        <v/>
      </c>
      <c r="B1259" s="1">
        <f>IFERROR(__xludf.DUMMYFUNCTION("""COMPUTED_VALUE"""),"ORG_1595")</f>
        <v/>
      </c>
      <c r="C1259" s="1">
        <f>IFERROR(__xludf.DUMMYFUNCTION("""COMPUTED_VALUE"""),TRUE)</f>
        <v/>
      </c>
      <c r="D1259" s="1">
        <f>IFERROR(__xludf.DUMMYFUNCTION("""COMPUTED_VALUE"""),"Funzi")</f>
        <v/>
      </c>
      <c r="E1259" s="15">
        <f>IFERROR(__xludf.DUMMYFUNCTION("""COMPUTED_VALUE"""),"https://www.funzi.fi/")</f>
        <v/>
      </c>
      <c r="F1259" s="1">
        <f>IFERROR(__xludf.DUMMYFUNCTION("""COMPUTED_VALUE"""),"Funzi is the world's most accessible learning ecosystem and digital consumer product. Our short self-study courses make learning 21st century skills available to anyone with a mobile device. Funzi courses are broken down into short topics that learners ca"&amp;"n take just 15 minutes a day to learn. Our unique learning pedagogy is optimized to make digesting information easy.")</f>
        <v/>
      </c>
      <c r="G1259" s="1">
        <f>IFERROR(__xludf.DUMMYFUNCTION("""COMPUTED_VALUE"""),"EdTech Finland")</f>
        <v/>
      </c>
      <c r="H1259" s="1" t="n"/>
      <c r="I1259" s="1">
        <f>IFERROR(__xludf.DUMMYFUNCTION("""COMPUTED_VALUE"""),"info@funzi.fi")</f>
        <v/>
      </c>
      <c r="J1259" s="1" t="n"/>
      <c r="K1259" s="1">
        <f>IFERROR(__xludf.DUMMYFUNCTION("""COMPUTED_VALUE"""),"ESPOO")</f>
        <v/>
      </c>
      <c r="L1259" s="1">
        <f>IFERROR(__xludf.DUMMYFUNCTION("""COMPUTED_VALUE"""),"Finland")</f>
        <v/>
      </c>
      <c r="M1259" s="1">
        <f>IFERROR(__xludf.DUMMYFUNCTION("""COMPUTED_VALUE"""),"Finland")</f>
        <v/>
      </c>
      <c r="N1259" s="1">
        <f>IFERROR(__xludf.DUMMYFUNCTION("""COMPUTED_VALUE"""),"11 to 50")</f>
        <v/>
      </c>
      <c r="O1259" s="1">
        <f>IFERROR(__xludf.DUMMYFUNCTION("""COMPUTED_VALUE"""),"Business to Business, Business to Consumer, Business to Government, Business to Schools")</f>
        <v/>
      </c>
      <c r="P1259" s="1">
        <f>IFERROR(__xludf.DUMMYFUNCTION("""COMPUTED_VALUE"""),"Secondary Education, Corporate Training, Lifelong learning/Adult education, Vocational Education and Training (VET)")</f>
        <v/>
      </c>
      <c r="Q1259" s="1">
        <f>IFERROR(__xludf.DUMMYFUNCTION("""COMPUTED_VALUE"""),"System/Administrative, Student interfacing, Teacher interfacing")</f>
        <v/>
      </c>
      <c r="R1259" s="15">
        <f>IFERROR(__xludf.DUMMYFUNCTION("""COMPUTED_VALUE"""),"https://www.instagram.com/funzimobi/")</f>
        <v/>
      </c>
      <c r="S1259" s="15">
        <f>IFERROR(__xludf.DUMMYFUNCTION("""COMPUTED_VALUE"""),"https://twitter.com/funzi")</f>
        <v/>
      </c>
      <c r="T1259" s="15">
        <f>IFERROR(__xludf.DUMMYFUNCTION("""COMPUTED_VALUE"""),"https://www.linkedin.com/company/funzi/")</f>
        <v/>
      </c>
      <c r="U1259" s="15">
        <f>IFERROR(__xludf.DUMMYFUNCTION("""COMPUTED_VALUE"""),"Funzi.mobi")</f>
        <v/>
      </c>
      <c r="V1259" s="1">
        <f>IFERROR(__xludf.DUMMYFUNCTION("""COMPUTED_VALUE"""),"Funzi.mobi is the world's most accessible learning platform that requires no app downloads. It works on any mobile browser - even feature phones - and consumes very little mobile data.")</f>
        <v/>
      </c>
      <c r="W1259" s="1" t="n"/>
      <c r="X1259" s="1" t="n"/>
      <c r="Y1259" s="15">
        <f>IFERROR(__xludf.DUMMYFUNCTION("""COMPUTED_VALUE"""),"https://drive.google.com/uc?export=view&amp;id=1FMsZNqP0LSnIOfNdjIV8P-sHJV8XE4i6")</f>
        <v/>
      </c>
      <c r="Z1259" s="1">
        <f>IFERROR(__xludf.DUMMYFUNCTION("""COMPUTED_VALUE"""),"Unverified")</f>
        <v/>
      </c>
      <c r="AA1259" s="1" t="n"/>
      <c r="AB1259" s="1" t="n"/>
      <c r="AC1259" s="1" t="n"/>
      <c r="AD1259" s="1" t="n"/>
      <c r="AE1259" s="1" t="n"/>
    </row>
    <row r="1260" ht="42" customHeight="1">
      <c r="A1260" s="14">
        <f>IFERROR(__xludf.DUMMYFUNCTION("""COMPUTED_VALUE"""),45181)</f>
        <v/>
      </c>
      <c r="B1260" s="1">
        <f>IFERROR(__xludf.DUMMYFUNCTION("""COMPUTED_VALUE"""),"ORG_1907")</f>
        <v/>
      </c>
      <c r="C1260" s="1">
        <f>IFERROR(__xludf.DUMMYFUNCTION("""COMPUTED_VALUE"""),TRUE)</f>
        <v/>
      </c>
      <c r="D1260" s="1">
        <f>IFERROR(__xludf.DUMMYFUNCTION("""COMPUTED_VALUE"""),"Make My Musik")</f>
        <v/>
      </c>
      <c r="E1260" s="15">
        <f>IFERROR(__xludf.DUMMYFUNCTION("""COMPUTED_VALUE"""),"https://makemymusik.fr")</f>
        <v/>
      </c>
      <c r="F1260" s="1">
        <f>IFERROR(__xludf.DUMMYFUNCTION("""COMPUTED_VALUE"""),"Make My Musik aims to make music accessible to all children and to develop their creativity.
To do so, Make My Musik has reimagined how children discover music, with an innovative toy called izikub. Unlike toy instruments, izikub has been designed with ch"&amp;"ildren in mind, to make it really easy for them to make and compose music.
izikub is an intuitive, playful and evolutive musical toy, designed for children from 3 to 8 years old.
No dexterity and no music theory are needed: children discover and create mu"&amp;"sic with cubes only!")</f>
        <v/>
      </c>
      <c r="G1260" s="1">
        <f>IFERROR(__xludf.DUMMYFUNCTION("""COMPUTED_VALUE"""),"I'm not part of any EdTech association")</f>
        <v/>
      </c>
      <c r="H1260" s="1" t="n"/>
      <c r="I1260" s="1">
        <f>IFERROR(__xludf.DUMMYFUNCTION("""COMPUTED_VALUE"""),"hello@makemymusik.fr")</f>
        <v/>
      </c>
      <c r="J1260" s="1" t="n"/>
      <c r="K1260" s="1">
        <f>IFERROR(__xludf.DUMMYFUNCTION("""COMPUTED_VALUE"""),"LYON")</f>
        <v/>
      </c>
      <c r="L1260" s="1">
        <f>IFERROR(__xludf.DUMMYFUNCTION("""COMPUTED_VALUE"""),"France")</f>
        <v/>
      </c>
      <c r="M1260" s="1">
        <f>IFERROR(__xludf.DUMMYFUNCTION("""COMPUTED_VALUE"""),"Belgium, France, Switzerland")</f>
        <v/>
      </c>
      <c r="N1260" s="1">
        <f>IFERROR(__xludf.DUMMYFUNCTION("""COMPUTED_VALUE"""),"0 to 10")</f>
        <v/>
      </c>
      <c r="O1260" s="1">
        <f>IFERROR(__xludf.DUMMYFUNCTION("""COMPUTED_VALUE"""),"Business to Business, Business to Consumer, Business to Government, Business to Schools")</f>
        <v/>
      </c>
      <c r="P1260" s="1">
        <f>IFERROR(__xludf.DUMMYFUNCTION("""COMPUTED_VALUE"""),"Early childhood development (0-5 years), Primary Education")</f>
        <v/>
      </c>
      <c r="Q1260" s="1">
        <f>IFERROR(__xludf.DUMMYFUNCTION("""COMPUTED_VALUE"""),"System/Administrative, Student interfacing, Teacher interfacing")</f>
        <v/>
      </c>
      <c r="R1260" s="1" t="n"/>
      <c r="S1260" s="1" t="n"/>
      <c r="T1260" s="1" t="n"/>
      <c r="U1260" s="1" t="n"/>
      <c r="V1260" s="1" t="n"/>
      <c r="W1260" s="1" t="n"/>
      <c r="X1260" s="1" t="n"/>
      <c r="Y1260" s="15">
        <f>IFERROR(__xludf.DUMMYFUNCTION("""COMPUTED_VALUE"""),"https://drive.google.com/uc?export=view&amp;id=1b4713yqA-ZbenOGmkNSR261gRoA1OYwC")</f>
        <v/>
      </c>
      <c r="Z1260" s="1">
        <f>IFERROR(__xludf.DUMMYFUNCTION("""COMPUTED_VALUE"""),"Unverified")</f>
        <v/>
      </c>
      <c r="AA1260" s="1" t="n"/>
      <c r="AB1260" s="1" t="n"/>
      <c r="AC1260" s="1" t="n"/>
      <c r="AD1260" s="1" t="n"/>
      <c r="AE1260" s="1" t="n"/>
    </row>
    <row r="1261" ht="42" customHeight="1">
      <c r="A1261" s="14">
        <f>IFERROR(__xludf.DUMMYFUNCTION("""COMPUTED_VALUE"""),45181)</f>
        <v/>
      </c>
      <c r="B1261" s="1">
        <f>IFERROR(__xludf.DUMMYFUNCTION("""COMPUTED_VALUE"""),"ORG_1920")</f>
        <v/>
      </c>
      <c r="C1261" s="1">
        <f>IFERROR(__xludf.DUMMYFUNCTION("""COMPUTED_VALUE"""),TRUE)</f>
        <v/>
      </c>
      <c r="D1261" s="1">
        <f>IFERROR(__xludf.DUMMYFUNCTION("""COMPUTED_VALUE"""),"Marshmallow Games")</f>
        <v/>
      </c>
      <c r="E1261" s="15">
        <f>IFERROR(__xludf.DUMMYFUNCTION("""COMPUTED_VALUE"""),"www.marshmallow-games.com")</f>
        <v/>
      </c>
      <c r="F1261" s="1">
        <f>IFERROR(__xludf.DUMMYFUNCTION("""COMPUTED_VALUE"""),"Marshmallow Games is an Italian edtech company that designs and develops educational apps for kids that help them learn in a fun way mixing storytelling with game. Most of our apps were featured on the Apple App Store worldwide passing 2M downloads.
Our f"&amp;"lagship app, Smart Tales, is a collection of interactive tales and games to let preschoolers approach STEM (Science, Technology, Engineering and Math) while having fun. Smart tales is the only app that uses storytelling to let kids approach STEM. Each epi"&amp;"sode takes time to explain a scientific topic in the context of social issues that children will encounter in real life.")</f>
        <v/>
      </c>
      <c r="G1261" s="1">
        <f>IFERROR(__xludf.DUMMYFUNCTION("""COMPUTED_VALUE"""),"I'm not part of any EdTech association")</f>
        <v/>
      </c>
      <c r="H1261" s="1" t="n"/>
      <c r="I1261" s="1">
        <f>IFERROR(__xludf.DUMMYFUNCTION("""COMPUTED_VALUE"""),"info@marshmallow-games.com")</f>
        <v/>
      </c>
      <c r="J1261" s="1" t="n"/>
      <c r="K1261" s="1">
        <f>IFERROR(__xludf.DUMMYFUNCTION("""COMPUTED_VALUE"""),"Bari")</f>
        <v/>
      </c>
      <c r="L1261" s="1">
        <f>IFERROR(__xludf.DUMMYFUNCTION("""COMPUTED_VALUE"""),"Italy")</f>
        <v/>
      </c>
      <c r="M1261"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261" s="1">
        <f>IFERROR(__xludf.DUMMYFUNCTION("""COMPUTED_VALUE"""),"11 to 50")</f>
        <v/>
      </c>
      <c r="O1261" s="1">
        <f>IFERROR(__xludf.DUMMYFUNCTION("""COMPUTED_VALUE"""),"Business to Business, Business to Consumer, Business to Schools")</f>
        <v/>
      </c>
      <c r="P1261" s="1">
        <f>IFERROR(__xludf.DUMMYFUNCTION("""COMPUTED_VALUE"""),"Early childhood development (0-5 years), Primary Education")</f>
        <v/>
      </c>
      <c r="Q1261" s="1">
        <f>IFERROR(__xludf.DUMMYFUNCTION("""COMPUTED_VALUE"""),"System/Administrative, Student interfacing")</f>
        <v/>
      </c>
      <c r="R1261" s="1" t="n"/>
      <c r="S1261" s="1" t="n"/>
      <c r="T1261" s="1" t="n"/>
      <c r="U1261" s="1" t="n"/>
      <c r="V1261" s="1" t="n"/>
      <c r="W1261" s="1" t="n"/>
      <c r="X1261" s="1" t="n"/>
      <c r="Y1261" s="15">
        <f>IFERROR(__xludf.DUMMYFUNCTION("""COMPUTED_VALUE"""),"https://drive.google.com/uc?export=view&amp;id=1ysUqfmQggAvfVH48LH5yVy2pexegM-cQ")</f>
        <v/>
      </c>
      <c r="Z1261" s="1">
        <f>IFERROR(__xludf.DUMMYFUNCTION("""COMPUTED_VALUE"""),"Unverified")</f>
        <v/>
      </c>
      <c r="AA1261" s="1" t="n"/>
      <c r="AB1261" s="1" t="n"/>
      <c r="AC1261" s="1" t="n"/>
      <c r="AD1261" s="1" t="n"/>
      <c r="AE1261" s="1" t="n"/>
    </row>
    <row r="1262" ht="42" customHeight="1">
      <c r="A1262" s="14">
        <f>IFERROR(__xludf.DUMMYFUNCTION("""COMPUTED_VALUE"""),45181)</f>
        <v/>
      </c>
      <c r="B1262" s="1">
        <f>IFERROR(__xludf.DUMMYFUNCTION("""COMPUTED_VALUE"""),"ORG_2041")</f>
        <v/>
      </c>
      <c r="C1262" s="1">
        <f>IFERROR(__xludf.DUMMYFUNCTION("""COMPUTED_VALUE"""),TRUE)</f>
        <v/>
      </c>
      <c r="D1262" s="1">
        <f>IFERROR(__xludf.DUMMYFUNCTION("""COMPUTED_VALUE"""),"Nocodehackers")</f>
        <v/>
      </c>
      <c r="E1262" s="15">
        <f>IFERROR(__xludf.DUMMYFUNCTION("""COMPUTED_VALUE"""),"https://nocodehackers.es")</f>
        <v/>
      </c>
      <c r="F1262" s="1">
        <f>IFERROR(__xludf.DUMMYFUNCTION("""COMPUTED_VALUE"""),"We empower non technical people to create digital products without code, by creating educational content about tools like Webflow, Flutterflow, Airtable, Zapier or Make creating real life projects explained step by step.")</f>
        <v/>
      </c>
      <c r="G1262" s="1">
        <f>IFERROR(__xludf.DUMMYFUNCTION("""COMPUTED_VALUE"""),"I'm not part of any EdTech association")</f>
        <v/>
      </c>
      <c r="H1262" s="1" t="n"/>
      <c r="I1262" s="1">
        <f>IFERROR(__xludf.DUMMYFUNCTION("""COMPUTED_VALUE"""),"hola@nocodehackers.es")</f>
        <v/>
      </c>
      <c r="J1262" s="1" t="n"/>
      <c r="K1262" s="1">
        <f>IFERROR(__xludf.DUMMYFUNCTION("""COMPUTED_VALUE"""),"MADRID")</f>
        <v/>
      </c>
      <c r="L1262" s="1">
        <f>IFERROR(__xludf.DUMMYFUNCTION("""COMPUTED_VALUE"""),"Spain")</f>
        <v/>
      </c>
      <c r="M1262" s="1">
        <f>IFERROR(__xludf.DUMMYFUNCTION("""COMPUTED_VALUE"""),"Spain")</f>
        <v/>
      </c>
      <c r="N1262" s="1">
        <f>IFERROR(__xludf.DUMMYFUNCTION("""COMPUTED_VALUE"""),"0 to 10")</f>
        <v/>
      </c>
      <c r="O1262" s="1">
        <f>IFERROR(__xludf.DUMMYFUNCTION("""COMPUTED_VALUE"""),"Business to Business, Business to Consumer, Business to Schools")</f>
        <v/>
      </c>
      <c r="P1262" s="1">
        <f>IFERROR(__xludf.DUMMYFUNCTION("""COMPUTED_VALUE"""),"Higher Education, Corporate Training, Lifelong learning/Adult education")</f>
        <v/>
      </c>
      <c r="Q1262" s="1">
        <f>IFERROR(__xludf.DUMMYFUNCTION("""COMPUTED_VALUE"""),"Student interfacing, System/Administrative")</f>
        <v/>
      </c>
      <c r="R1262" s="1" t="n"/>
      <c r="S1262" s="1" t="n"/>
      <c r="T1262" s="1" t="n"/>
      <c r="U1262" s="1" t="n"/>
      <c r="V1262" s="1" t="n"/>
      <c r="W1262" s="1" t="n"/>
      <c r="X1262" s="1" t="n"/>
      <c r="Y1262" s="15">
        <f>IFERROR(__xludf.DUMMYFUNCTION("""COMPUTED_VALUE"""),"https://drive.google.com/uc?export=view&amp;id=1dRnaAgzUVM7yOcWex99wbNVWUdBA5IdC")</f>
        <v/>
      </c>
      <c r="Z1262" s="1">
        <f>IFERROR(__xludf.DUMMYFUNCTION("""COMPUTED_VALUE"""),"Unverified")</f>
        <v/>
      </c>
      <c r="AA1262" s="1" t="n"/>
      <c r="AB1262" s="1" t="n"/>
      <c r="AC1262" s="1" t="n"/>
      <c r="AD1262" s="1" t="n"/>
      <c r="AE1262" s="1" t="n"/>
    </row>
    <row r="1263" ht="42" customHeight="1">
      <c r="A1263" s="14">
        <f>IFERROR(__xludf.DUMMYFUNCTION("""COMPUTED_VALUE"""),45181)</f>
        <v/>
      </c>
      <c r="B1263" s="1">
        <f>IFERROR(__xludf.DUMMYFUNCTION("""COMPUTED_VALUE"""),"ORG_2047")</f>
        <v/>
      </c>
      <c r="C1263" s="1">
        <f>IFERROR(__xludf.DUMMYFUNCTION("""COMPUTED_VALUE"""),TRUE)</f>
        <v/>
      </c>
      <c r="D1263" s="1">
        <f>IFERROR(__xludf.DUMMYFUNCTION("""COMPUTED_VALUE"""),"Novo3d")</f>
        <v/>
      </c>
      <c r="E1263" s="15">
        <f>IFERROR(__xludf.DUMMYFUNCTION("""COMPUTED_VALUE"""),"www.novo3d.fr")</f>
        <v/>
      </c>
      <c r="F1263" s="1">
        <f>IFERROR(__xludf.DUMMYFUNCTION("""COMPUTED_VALUE"""),"Novo3d is an innovative company created in 2013 and who aim at reconnecting the world heritage and the grand audience. We have created the ""Timepods"", an exclusive and completely autonomous VR system that allows teachers and tour guides to control a gro"&amp;"up of VR users from outside, in any kind of places or setups, thus creating memorable experiences where history is valuated and learning is a core part of it.")</f>
        <v/>
      </c>
      <c r="G1263" s="1">
        <f>IFERROR(__xludf.DUMMYFUNCTION("""COMPUTED_VALUE"""),"EdTech France")</f>
        <v/>
      </c>
      <c r="H1263" s="1" t="n"/>
      <c r="I1263" s="1">
        <f>IFERROR(__xludf.DUMMYFUNCTION("""COMPUTED_VALUE"""),"contact@novo3d.fr")</f>
        <v/>
      </c>
      <c r="J1263" s="1">
        <f>IFERROR(__xludf.DUMMYFUNCTION("""COMPUTED_VALUE"""),"+33 7 77 72 77 16")</f>
        <v/>
      </c>
      <c r="K1263" s="1">
        <f>IFERROR(__xludf.DUMMYFUNCTION("""COMPUTED_VALUE"""),"ANGOULEME")</f>
        <v/>
      </c>
      <c r="L1263" s="1">
        <f>IFERROR(__xludf.DUMMYFUNCTION("""COMPUTED_VALUE"""),"France")</f>
        <v/>
      </c>
      <c r="M1263" s="1">
        <f>IFERROR(__xludf.DUMMYFUNCTION("""COMPUTED_VALUE"""),"France")</f>
        <v/>
      </c>
      <c r="N1263" s="1">
        <f>IFERROR(__xludf.DUMMYFUNCTION("""COMPUTED_VALUE"""),"0 to 10")</f>
        <v/>
      </c>
      <c r="O1263" s="1">
        <f>IFERROR(__xludf.DUMMYFUNCTION("""COMPUTED_VALUE"""),"Business to Business, Business to Consumer, Business to Schools")</f>
        <v/>
      </c>
      <c r="P1263" s="1">
        <f>IFERROR(__xludf.DUMMYFUNCTION("""COMPUTED_VALUE"""),"Secondary Education, Higher Education")</f>
        <v/>
      </c>
      <c r="Q1263" s="1">
        <f>IFERROR(__xludf.DUMMYFUNCTION("""COMPUTED_VALUE"""),"System/Administrative, Student interfacing, Teacher interfacing")</f>
        <v/>
      </c>
      <c r="R1263" s="1" t="n"/>
      <c r="S1263" s="1" t="n"/>
      <c r="T1263" s="1" t="n"/>
      <c r="U1263" s="1" t="n"/>
      <c r="V1263" s="1" t="n"/>
      <c r="W1263" s="1" t="n"/>
      <c r="X1263" s="1" t="n"/>
      <c r="Y1263" s="15">
        <f>IFERROR(__xludf.DUMMYFUNCTION("""COMPUTED_VALUE"""),"https://drive.google.com/uc?export=view&amp;id=1DC6kA7WaS4aFcSYz8nYrVGHtdfIdCY50")</f>
        <v/>
      </c>
      <c r="Z1263" s="1">
        <f>IFERROR(__xludf.DUMMYFUNCTION("""COMPUTED_VALUE"""),"Unverified")</f>
        <v/>
      </c>
      <c r="AA1263" s="1" t="n"/>
      <c r="AB1263" s="1" t="n"/>
      <c r="AC1263" s="1" t="n"/>
      <c r="AD1263" s="1" t="n"/>
      <c r="AE1263" s="1" t="n"/>
    </row>
    <row r="1264" ht="42" customHeight="1">
      <c r="A1264" s="14">
        <f>IFERROR(__xludf.DUMMYFUNCTION("""COMPUTED_VALUE"""),45181)</f>
        <v/>
      </c>
      <c r="B1264" s="1">
        <f>IFERROR(__xludf.DUMMYFUNCTION("""COMPUTED_VALUE"""),"ORG_2070")</f>
        <v/>
      </c>
      <c r="C1264" s="1">
        <f>IFERROR(__xludf.DUMMYFUNCTION("""COMPUTED_VALUE"""),TRUE)</f>
        <v/>
      </c>
      <c r="D1264" s="1">
        <f>IFERROR(__xludf.DUMMYFUNCTION("""COMPUTED_VALUE"""),"Open Assessment Technologies")</f>
        <v/>
      </c>
      <c r="E1264" s="15">
        <f>IFERROR(__xludf.DUMMYFUNCTION("""COMPUTED_VALUE"""),"https://www.taotesting.com/")</f>
        <v/>
      </c>
      <c r="F1264" s="1">
        <f>IFERROR(__xludf.DUMMYFUNCTION("""COMPUTED_VALUE"""),"TAO, from Open Assessment Technologies, is the leading digital assessment solution for education and career advancement, having delivered over 100 million tests in more than 30 languages worldwide. Modular, customizable and interoperable by design, TAO em"&amp;"powers you to break free from proprietary silos, eliminate expensive licensing fees, take full control of your testing resources and enjoy enterprise-class support.")</f>
        <v/>
      </c>
      <c r="G1264" s="1">
        <f>IFERROR(__xludf.DUMMYFUNCTION("""COMPUTED_VALUE"""),"EduTech Cluster Spain")</f>
        <v/>
      </c>
      <c r="H1264" s="1" t="n"/>
      <c r="I1264" s="1">
        <f>IFERROR(__xludf.DUMMYFUNCTION("""COMPUTED_VALUE"""),"teresa.casas.lopez@taotesting.com")</f>
        <v/>
      </c>
      <c r="J1264" s="1">
        <f>IFERROR(__xludf.DUMMYFUNCTION("""COMPUTED_VALUE"""),"(+352)621655987")</f>
        <v/>
      </c>
      <c r="K1264" s="1">
        <f>IFERROR(__xludf.DUMMYFUNCTION("""COMPUTED_VALUE"""),"CAPELLEN")</f>
        <v/>
      </c>
      <c r="L1264" s="1">
        <f>IFERROR(__xludf.DUMMYFUNCTION("""COMPUTED_VALUE"""),"Luxembourg")</f>
        <v/>
      </c>
      <c r="M1264" s="1">
        <f>IFERROR(__xludf.DUMMYFUNCTION("""COMPUTED_VALUE"""),"Belgium, Denmark, Finland, France, Georgia, Germany, Greece, Hungary, Iceland, Ireland, Italy, Liechtenstein, Lithuania, Luxembourg, Netherlands, Norway, Poland, Portugal, Spain, Sweden, Switzerland, Ukraine, United Kingdom")</f>
        <v/>
      </c>
      <c r="N1264" s="1">
        <f>IFERROR(__xludf.DUMMYFUNCTION("""COMPUTED_VALUE"""),"100+")</f>
        <v/>
      </c>
      <c r="O1264" s="1">
        <f>IFERROR(__xludf.DUMMYFUNCTION("""COMPUTED_VALUE"""),"Business to Business, Business to Consumer, Business to Schools")</f>
        <v/>
      </c>
      <c r="P1264" s="1">
        <f>IFERROR(__xludf.DUMMYFUNCTION("""COMPUTED_VALUE"""),"Primary Education, Secondary Education, Higher Education, Corporate Training, Lifelong learning/Adult education")</f>
        <v/>
      </c>
      <c r="Q1264" s="1">
        <f>IFERROR(__xludf.DUMMYFUNCTION("""COMPUTED_VALUE"""),"Teacher interfacing, Student interfacing, System/Administrative")</f>
        <v/>
      </c>
      <c r="R1264" s="1" t="n"/>
      <c r="S1264" s="15">
        <f>IFERROR(__xludf.DUMMYFUNCTION("""COMPUTED_VALUE"""),"https://twitter.com/TAOTesting/")</f>
        <v/>
      </c>
      <c r="T1264" s="15">
        <f>IFERROR(__xludf.DUMMYFUNCTION("""COMPUTED_VALUE"""),"https://www.linkedin.com/company/open-assessment-technologies-s-a-/")</f>
        <v/>
      </c>
      <c r="U1264" s="1">
        <f>IFERROR(__xludf.DUMMYFUNCTION("""COMPUTED_VALUE"""),"TAO Ignite")</f>
        <v/>
      </c>
      <c r="V1264" s="1">
        <f>IFERROR(__xludf.DUMMYFUNCTION("""COMPUTED_VALUE"""),"TAO Ignite is our off-the-shelf, subscription-based digital assessment solution designed to bring your testing program online fast and effectively, without the technical headache. 
The platform makes it intuitive, fast, and affordable to create and manag"&amp;"e your exams online, even without an IT team in place. Simply login via your web browser; you’ll have everything you need to start creating great assessments.
TAO Ignite is broken into 5 package tiers, based on annual volume and concurrency.")</f>
        <v/>
      </c>
      <c r="W1264" s="1">
        <f>IFERROR(__xludf.DUMMYFUNCTION("""COMPUTED_VALUE"""),"TAO Pro")</f>
        <v/>
      </c>
      <c r="X1264" s="1">
        <f>IFERROR(__xludf.DUMMYFUNCTION("""COMPUTED_VALUE"""),"Like TAO Ignite, TAO Pro offers a turn-key assessment platform that reduces the operational overhead associated with IT infrastructure and puts the focus back on building better assessments. Designed to scale to support well over 100,000 test-takers, Pro "&amp;"contains the same TAO Cloud™ hosting, features, and functionalities as TAO Ignite, but with a key addition. 
Pro packages also include dedicated account management support with a TAO Solutions Specialist to ensure your online testing campaigns are runnin"&amp;"g smoothly and scaling with your demand.
TAO Pro is broken into 5 package tiers, based on annual volume and concurrency.")</f>
        <v/>
      </c>
      <c r="Y1264" s="15">
        <f>IFERROR(__xludf.DUMMYFUNCTION("""COMPUTED_VALUE"""),"https://drive.google.com/uc?export=view&amp;id=1rPb2uf02C55S5F8wLOgSUtu-U7Bs9vML")</f>
        <v/>
      </c>
      <c r="Z1264" s="1">
        <f>IFERROR(__xludf.DUMMYFUNCTION("""COMPUTED_VALUE"""),"Unverified")</f>
        <v/>
      </c>
      <c r="AA1264" s="1" t="n"/>
      <c r="AB1264" s="1" t="n"/>
      <c r="AC1264" s="1" t="n"/>
      <c r="AD1264" s="1" t="n"/>
      <c r="AE1264" s="1" t="n"/>
    </row>
    <row r="1265" ht="42" customHeight="1">
      <c r="A1265" s="14">
        <f>IFERROR(__xludf.DUMMYFUNCTION("""COMPUTED_VALUE"""),45181)</f>
        <v/>
      </c>
      <c r="B1265" s="1">
        <f>IFERROR(__xludf.DUMMYFUNCTION("""COMPUTED_VALUE"""),"ORG_2086")</f>
        <v/>
      </c>
      <c r="C1265" s="1">
        <f>IFERROR(__xludf.DUMMYFUNCTION("""COMPUTED_VALUE"""),TRUE)</f>
        <v/>
      </c>
      <c r="D1265" s="1">
        <f>IFERROR(__xludf.DUMMYFUNCTION("""COMPUTED_VALUE"""),"PAPUA Learn English")</f>
        <v/>
      </c>
      <c r="E1265" s="15">
        <f>IFERROR(__xludf.DUMMYFUNCTION("""COMPUTED_VALUE"""),"www.papua.app")</f>
        <v/>
      </c>
      <c r="F1265" s="1">
        <f>IFERROR(__xludf.DUMMYFUNCTION("""COMPUTED_VALUE"""),"PAPUA is an app that achieves immersion in the English language by means of gamification, Artifical Intelligence, Speech Voice Recognition , and contextualised useful situations, thus learning as in real life. Millions of people have studied English, but "&amp;"they can’t speak it fluently, since they do not have the possibility to go abroad and get immersed in the language. That is exactly what PAPUA achieves. Linguistic contents are all covered down to the last detail, all skills are practiced in everyday usef"&amp;"ul situations, and everything is wrapped into an exciting stoyr that makes learning much more memorable (emotions).")</f>
        <v/>
      </c>
      <c r="G1265" s="1">
        <f>IFERROR(__xludf.DUMMYFUNCTION("""COMPUTED_VALUE"""),"I'm not part of any EdTech association")</f>
        <v/>
      </c>
      <c r="H1265" s="1" t="n"/>
      <c r="I1265" s="1">
        <f>IFERROR(__xludf.DUMMYFUNCTION("""COMPUTED_VALUE"""),"r.vela@papua.app")</f>
        <v/>
      </c>
      <c r="J1265" s="1">
        <f>IFERROR(__xludf.DUMMYFUNCTION("""COMPUTED_VALUE"""),"+34 618 29 22 20")</f>
        <v/>
      </c>
      <c r="K1265" s="1">
        <f>IFERROR(__xludf.DUMMYFUNCTION("""COMPUTED_VALUE"""),"MÓSTOLES, MADRID")</f>
        <v/>
      </c>
      <c r="L1265" s="1">
        <f>IFERROR(__xludf.DUMMYFUNCTION("""COMPUTED_VALUE"""),"Spain")</f>
        <v/>
      </c>
      <c r="M1265" s="1">
        <f>IFERROR(__xludf.DUMMYFUNCTION("""COMPUTED_VALUE"""),"Spain")</f>
        <v/>
      </c>
      <c r="N1265" s="1">
        <f>IFERROR(__xludf.DUMMYFUNCTION("""COMPUTED_VALUE"""),"0 to 10")</f>
        <v/>
      </c>
      <c r="O1265" s="1">
        <f>IFERROR(__xludf.DUMMYFUNCTION("""COMPUTED_VALUE"""),"Business to Business, Business to Consumer, Business to Schools")</f>
        <v/>
      </c>
      <c r="P1265" s="1">
        <f>IFERROR(__xludf.DUMMYFUNCTION("""COMPUTED_VALUE"""),"Secondary Education, Higher Education, Corporate Training, Lifelong learning/Adult education")</f>
        <v/>
      </c>
      <c r="Q1265" s="1">
        <f>IFERROR(__xludf.DUMMYFUNCTION("""COMPUTED_VALUE"""),"Student interfacing, Teacher interfacing, System/Administrative")</f>
        <v/>
      </c>
      <c r="R1265" s="1" t="n"/>
      <c r="S1265" s="1" t="n"/>
      <c r="T1265" s="1" t="n"/>
      <c r="U1265" s="1" t="n"/>
      <c r="V1265" s="1" t="n"/>
      <c r="W1265" s="1" t="n"/>
      <c r="X1265" s="1" t="n"/>
      <c r="Y1265" s="1" t="n"/>
      <c r="Z1265" s="1">
        <f>IFERROR(__xludf.DUMMYFUNCTION("""COMPUTED_VALUE"""),"Unverified")</f>
        <v/>
      </c>
      <c r="AA1265" s="1" t="n"/>
      <c r="AB1265" s="1" t="n"/>
      <c r="AC1265" s="1" t="n"/>
      <c r="AD1265" s="1" t="n"/>
      <c r="AE1265" s="1" t="n"/>
    </row>
    <row r="1266" ht="42" customHeight="1">
      <c r="A1266" s="14">
        <f>IFERROR(__xludf.DUMMYFUNCTION("""COMPUTED_VALUE"""),45181)</f>
        <v/>
      </c>
      <c r="B1266" s="1">
        <f>IFERROR(__xludf.DUMMYFUNCTION("""COMPUTED_VALUE"""),"ORG_2127")</f>
        <v/>
      </c>
      <c r="C1266" s="1">
        <f>IFERROR(__xludf.DUMMYFUNCTION("""COMPUTED_VALUE"""),TRUE)</f>
        <v/>
      </c>
      <c r="D1266" s="1">
        <f>IFERROR(__xludf.DUMMYFUNCTION("""COMPUTED_VALUE"""),"Projet Voltaire")</f>
        <v/>
      </c>
      <c r="E1266" s="15">
        <f>IFERROR(__xludf.DUMMYFUNCTION("""COMPUTED_VALUE"""),"https://www.projet-voltaire.fr/?utm_source=site&amp;utm_medium=referral_partner&amp;utm_campaign=edtech_map")</f>
        <v/>
      </c>
      <c r="F1266" s="1">
        <f>IFERROR(__xludf.DUMMYFUNCTION("""COMPUTED_VALUE"""),"Projet Voltaire is the n°1 training solution for French spelling, written and oral communication. 7 million people have already improved their skills thanks to this service. The mastery of French is an essential tool for communicating with others, from el"&amp;"ementary school to work life. The consequences of spelling mistakes can be disastrous: lack of confidence when writing, loss of credibility with your audience, rejected applications... People suffering from poor communication skills often suffer in silenc"&amp;"e, fearing the judgment of others. We have created a solution making spelling and communication skills accessible to everyone. Regardless of your initial level, age, objectives or pace of acquisition, the solution will craft a perfectly customed journey f"&amp;"or you. Two keywords: fun and efficiency! The goal is to stay away from textbooks or boring grammar lessons. Mastering French is a necessity for French speakers, but it should not be torture!")</f>
        <v/>
      </c>
      <c r="G1266" s="1">
        <f>IFERROR(__xludf.DUMMYFUNCTION("""COMPUTED_VALUE"""),"EdTech France")</f>
        <v/>
      </c>
      <c r="H1266" s="1" t="n"/>
      <c r="I1266" s="1">
        <f>IFERROR(__xludf.DUMMYFUNCTION("""COMPUTED_VALUE"""),"contact@projet-voltaire.fr")</f>
        <v/>
      </c>
      <c r="J1266" s="1">
        <f>IFERROR(__xludf.DUMMYFUNCTION("""COMPUTED_VALUE"""),"+330820690110")</f>
        <v/>
      </c>
      <c r="K1266" s="1">
        <f>IFERROR(__xludf.DUMMYFUNCTION("""COMPUTED_VALUE"""),"LYON")</f>
        <v/>
      </c>
      <c r="L1266" s="1">
        <f>IFERROR(__xludf.DUMMYFUNCTION("""COMPUTED_VALUE"""),"France")</f>
        <v/>
      </c>
      <c r="M1266" s="1">
        <f>IFERROR(__xludf.DUMMYFUNCTION("""COMPUTED_VALUE"""),"Andorra, Belgium, France, Luxembourg, Monaco, Switzerland")</f>
        <v/>
      </c>
      <c r="N1266" s="1">
        <f>IFERROR(__xludf.DUMMYFUNCTION("""COMPUTED_VALUE"""),"101 to 500")</f>
        <v/>
      </c>
      <c r="O1266" s="1">
        <f>IFERROR(__xludf.DUMMYFUNCTION("""COMPUTED_VALUE"""),"Business to Business, Business to Consumer, Business to Schools")</f>
        <v/>
      </c>
      <c r="P1266" s="1">
        <f>IFERROR(__xludf.DUMMYFUNCTION("""COMPUTED_VALUE"""),"Primary Education, Secondary Education, Corporate Training, Lifelong learning/Adult education, Vocational Education and Training (VET), Higher Education")</f>
        <v/>
      </c>
      <c r="Q1266" s="1">
        <f>IFERROR(__xludf.DUMMYFUNCTION("""COMPUTED_VALUE"""),"System/Administrative, Teacher interfacing, Student interfacing")</f>
        <v/>
      </c>
      <c r="R1266" s="1" t="n"/>
      <c r="S1266" s="15">
        <f>IFERROR(__xludf.DUMMYFUNCTION("""COMPUTED_VALUE"""),"https://www.twitter.com/projet_Voltaire")</f>
        <v/>
      </c>
      <c r="T1266" s="15">
        <f>IFERROR(__xludf.DUMMYFUNCTION("""COMPUTED_VALUE"""),"https://www.linkedin.com/company/projet-voltaire/")</f>
        <v/>
      </c>
      <c r="U1266" s="1">
        <f>IFERROR(__xludf.DUMMYFUNCTION("""COMPUTED_VALUE"""),"Projet Voltaire")</f>
        <v/>
      </c>
      <c r="V1266" s="1">
        <f>IFERROR(__xludf.DUMMYFUNCTION("""COMPUTED_VALUE"""),"Projet Voltaire is an app that can be used on your phone or computer, offering exercises that makes you more at ease when expressing yourself. Having a good communication gives a better image of yourself through good spelling, expressing yourself clearly "&amp;"with the right words and developping an effective argument.")</f>
        <v/>
      </c>
      <c r="W1266" s="1" t="n"/>
      <c r="X1266" s="1" t="n"/>
      <c r="Y1266" s="15">
        <f>IFERROR(__xludf.DUMMYFUNCTION("""COMPUTED_VALUE"""),"https://drive.google.com/uc?export=view&amp;id=1kD27KIuc1xvAflU1BogUqrB9ZmHzPSIB")</f>
        <v/>
      </c>
      <c r="Z1266" s="1">
        <f>IFERROR(__xludf.DUMMYFUNCTION("""COMPUTED_VALUE"""),"Unverified")</f>
        <v/>
      </c>
      <c r="AA1266" s="1" t="n"/>
      <c r="AB1266" s="1" t="n"/>
      <c r="AC1266" s="1" t="n"/>
      <c r="AD1266" s="1" t="n"/>
      <c r="AE1266" s="1" t="n"/>
    </row>
    <row r="1267" ht="42" customHeight="1">
      <c r="A1267" s="14">
        <f>IFERROR(__xludf.DUMMYFUNCTION("""COMPUTED_VALUE"""),45181)</f>
        <v/>
      </c>
      <c r="B1267" s="1">
        <f>IFERROR(__xludf.DUMMYFUNCTION("""COMPUTED_VALUE"""),"ORG_2154")</f>
        <v/>
      </c>
      <c r="C1267" s="1">
        <f>IFERROR(__xludf.DUMMYFUNCTION("""COMPUTED_VALUE"""),TRUE)</f>
        <v/>
      </c>
      <c r="D1267" s="1">
        <f>IFERROR(__xludf.DUMMYFUNCTION("""COMPUTED_VALUE"""),"Rainmaker Society")</f>
        <v/>
      </c>
      <c r="E1267" s="15">
        <f>IFERROR(__xludf.DUMMYFUNCTION("""COMPUTED_VALUE"""),"https://rainmakersociety.de")</f>
        <v/>
      </c>
      <c r="F1267" s="1">
        <f>IFERROR(__xludf.DUMMYFUNCTION("""COMPUTED_VALUE"""),"Rainmaker Society strives for a tomorrow where we help every top achiever to have the most fulfilling career. We provide lifelong career sparring for executives and future stars. We are candidate-centric and build a society for mutual career success. Driv"&amp;"en by Humans, Network, and Technology.")</f>
        <v/>
      </c>
      <c r="G1267" s="1">
        <f>IFERROR(__xludf.DUMMYFUNCTION("""COMPUTED_VALUE"""),"I'm not part of any EdTech association")</f>
        <v/>
      </c>
      <c r="H1267" s="1" t="n"/>
      <c r="I1267" s="1">
        <f>IFERROR(__xludf.DUMMYFUNCTION("""COMPUTED_VALUE"""),"s.galander@rainmakersociety.de")</f>
        <v/>
      </c>
      <c r="J1267" s="1">
        <f>IFERROR(__xludf.DUMMYFUNCTION("""COMPUTED_VALUE"""),"+49 176 34636226")</f>
        <v/>
      </c>
      <c r="K1267" s="1">
        <f>IFERROR(__xludf.DUMMYFUNCTION("""COMPUTED_VALUE"""),"BERLIN")</f>
        <v/>
      </c>
      <c r="L1267" s="1">
        <f>IFERROR(__xludf.DUMMYFUNCTION("""COMPUTED_VALUE"""),"Germany")</f>
        <v/>
      </c>
      <c r="M1267" s="1">
        <f>IFERROR(__xludf.DUMMYFUNCTION("""COMPUTED_VALUE"""),"Austria, Denmark, France, Germany, Netherlands, Switzerland")</f>
        <v/>
      </c>
      <c r="N1267" s="1">
        <f>IFERROR(__xludf.DUMMYFUNCTION("""COMPUTED_VALUE"""),"0 to 10")</f>
        <v/>
      </c>
      <c r="O1267" s="1">
        <f>IFERROR(__xludf.DUMMYFUNCTION("""COMPUTED_VALUE"""),"Business to Business, Business to Government, Business to Schools")</f>
        <v/>
      </c>
      <c r="P1267" s="1">
        <f>IFERROR(__xludf.DUMMYFUNCTION("""COMPUTED_VALUE"""),"Corporate Training, Lifelong learning/Adult education")</f>
        <v/>
      </c>
      <c r="Q1267" s="1">
        <f>IFERROR(__xludf.DUMMYFUNCTION("""COMPUTED_VALUE"""),"System/Administrative")</f>
        <v/>
      </c>
      <c r="R1267" s="1" t="n"/>
      <c r="S1267" s="1" t="n"/>
      <c r="T1267" s="1" t="n"/>
      <c r="U1267" s="1" t="n"/>
      <c r="V1267" s="1" t="n"/>
      <c r="W1267" s="1" t="n"/>
      <c r="X1267" s="1" t="n"/>
      <c r="Y1267" s="15">
        <f>IFERROR(__xludf.DUMMYFUNCTION("""COMPUTED_VALUE"""),"https://drive.google.com/uc?export=view&amp;id=1BwZUf1hHXXHstkUa7vWvUgjcLKuhT0oL")</f>
        <v/>
      </c>
      <c r="Z1267" s="1">
        <f>IFERROR(__xludf.DUMMYFUNCTION("""COMPUTED_VALUE"""),"Unverified")</f>
        <v/>
      </c>
      <c r="AA1267" s="1" t="n"/>
      <c r="AB1267" s="1" t="n"/>
      <c r="AC1267" s="1" t="n"/>
      <c r="AD1267" s="1" t="n"/>
      <c r="AE1267" s="1" t="n"/>
    </row>
    <row r="1268" ht="42" customHeight="1">
      <c r="A1268" s="14">
        <f>IFERROR(__xludf.DUMMYFUNCTION("""COMPUTED_VALUE"""),45181)</f>
        <v/>
      </c>
      <c r="B1268" s="1">
        <f>IFERROR(__xludf.DUMMYFUNCTION("""COMPUTED_VALUE"""),"ORG_2185")</f>
        <v/>
      </c>
      <c r="C1268" s="1">
        <f>IFERROR(__xludf.DUMMYFUNCTION("""COMPUTED_VALUE"""),TRUE)</f>
        <v/>
      </c>
      <c r="D1268" s="1">
        <f>IFERROR(__xludf.DUMMYFUNCTION("""COMPUTED_VALUE"""),"Rise Up")</f>
        <v/>
      </c>
      <c r="E1268" s="15">
        <f>IFERROR(__xludf.DUMMYFUNCTION("""COMPUTED_VALUE"""),"https://www.riseup.ai/")</f>
        <v/>
      </c>
      <c r="F1268" s="1">
        <f>IFERROR(__xludf.DUMMYFUNCTION("""COMPUTED_VALUE"""),"Rise Up delivers a dynamic and impactful learning experience through an all-in-one training solution designed to support L&amp;D. Rise Up learning platform makes it easy to plan, manage and combine face-to-face, virtual training and digital learning for a hyb"&amp;"rid and agile workforce. With an AI-driven adaptive learning capability, Rise Up is leading the way to incorporate experience, culture, need, impact and agility.")</f>
        <v/>
      </c>
      <c r="G1268" s="1">
        <f>IFERROR(__xludf.DUMMYFUNCTION("""COMPUTED_VALUE"""),"EdTech France")</f>
        <v/>
      </c>
      <c r="H1268" s="1" t="n"/>
      <c r="I1268" s="1">
        <f>IFERROR(__xludf.DUMMYFUNCTION("""COMPUTED_VALUE"""),"sales@riseup.ai")</f>
        <v/>
      </c>
      <c r="J1268" s="1">
        <f>IFERROR(__xludf.DUMMYFUNCTION("""COMPUTED_VALUE"""),"+33183812400")</f>
        <v/>
      </c>
      <c r="K1268" s="1">
        <f>IFERROR(__xludf.DUMMYFUNCTION("""COMPUTED_VALUE"""),"PARIS")</f>
        <v/>
      </c>
      <c r="L1268" s="1">
        <f>IFERROR(__xludf.DUMMYFUNCTION("""COMPUTED_VALUE"""),"France")</f>
        <v/>
      </c>
      <c r="M1268" s="1">
        <f>IFERROR(__xludf.DUMMYFUNCTION("""COMPUTED_VALUE"""),"Belgium, France, Germany, Luxembourg, Netherlands, Portugal, United Kingdom")</f>
        <v/>
      </c>
      <c r="N1268" s="1">
        <f>IFERROR(__xludf.DUMMYFUNCTION("""COMPUTED_VALUE"""),"100+")</f>
        <v/>
      </c>
      <c r="O1268" s="1">
        <f>IFERROR(__xludf.DUMMYFUNCTION("""COMPUTED_VALUE"""),"Business to Business, Business to Government, Business to Schools")</f>
        <v/>
      </c>
      <c r="P1268" s="1">
        <f>IFERROR(__xludf.DUMMYFUNCTION("""COMPUTED_VALUE"""),"Corporate Training, Lifelong learning/Adult education")</f>
        <v/>
      </c>
      <c r="Q1268" s="1">
        <f>IFERROR(__xludf.DUMMYFUNCTION("""COMPUTED_VALUE"""),"Teacher interfacing, Student interfacing, System/Administrative")</f>
        <v/>
      </c>
      <c r="R1268" s="15">
        <f>IFERROR(__xludf.DUMMYFUNCTION("""COMPUTED_VALUE"""),"https://www.instagram.com/riseup.ai/")</f>
        <v/>
      </c>
      <c r="S1268" s="15">
        <f>IFERROR(__xludf.DUMMYFUNCTION("""COMPUTED_VALUE"""),"https://twitter.com/RiseUpAI")</f>
        <v/>
      </c>
      <c r="T1268" s="15">
        <f>IFERROR(__xludf.DUMMYFUNCTION("""COMPUTED_VALUE"""),"https://www.linkedin.com/company/rise-up-ai-france/")</f>
        <v/>
      </c>
      <c r="U1268" s="1">
        <f>IFERROR(__xludf.DUMMYFUNCTION("""COMPUTED_VALUE"""),"Integrated LMS, LXP &amp; Authoring Tool")</f>
        <v/>
      </c>
      <c r="V1268" s="1">
        <f>IFERROR(__xludf.DUMMYFUNCTION("""COMPUTED_VALUE"""),"Blended Learning Platform including ready to use content. Integrated app to Microsoft Teams to allow seamless training experience. 
Our platform is also available as a mobile app to train your talents even offline !")</f>
        <v/>
      </c>
      <c r="W1268" s="1">
        <f>IFERROR(__xludf.DUMMYFUNCTION("""COMPUTED_VALUE"""),"Adaptive Learning")</f>
        <v/>
      </c>
      <c r="X1268" s="1">
        <f>IFERROR(__xludf.DUMMYFUNCTION("""COMPUTED_VALUE"""),"Skills repository and management. Personalise &amp; adapt your trainings according to your talents needs.")</f>
        <v/>
      </c>
      <c r="Y1268" s="15">
        <f>IFERROR(__xludf.DUMMYFUNCTION("""COMPUTED_VALUE"""),"https://drive.google.com/uc?export=view&amp;id=1D5-AmnQ8dY0D9XO9SILfD4ZQeSc-3edu")</f>
        <v/>
      </c>
      <c r="Z1268" s="1">
        <f>IFERROR(__xludf.DUMMYFUNCTION("""COMPUTED_VALUE"""),"Unverified")</f>
        <v/>
      </c>
      <c r="AA1268" s="1" t="n"/>
      <c r="AB1268" s="1" t="n"/>
      <c r="AC1268" s="1" t="n"/>
      <c r="AD1268" s="1" t="n"/>
      <c r="AE1268" s="1" t="n"/>
    </row>
    <row r="1269" ht="42" customHeight="1">
      <c r="A1269" s="14">
        <f>IFERROR(__xludf.DUMMYFUNCTION("""COMPUTED_VALUE"""),45181)</f>
        <v/>
      </c>
      <c r="B1269" s="1">
        <f>IFERROR(__xludf.DUMMYFUNCTION("""COMPUTED_VALUE"""),"ORG_2240")</f>
        <v/>
      </c>
      <c r="C1269" s="1">
        <f>IFERROR(__xludf.DUMMYFUNCTION("""COMPUTED_VALUE"""),TRUE)</f>
        <v/>
      </c>
      <c r="D1269" s="1">
        <f>IFERROR(__xludf.DUMMYFUNCTION("""COMPUTED_VALUE"""),"Silta Education")</f>
        <v/>
      </c>
      <c r="E1269" s="15">
        <f>IFERROR(__xludf.DUMMYFUNCTION("""COMPUTED_VALUE"""),"https://siltaeducation.com/silta-for-companies/")</f>
        <v/>
      </c>
      <c r="F1269" s="1">
        <f>IFERROR(__xludf.DUMMYFUNCTION("""COMPUTED_VALUE"""),"We build the bridge from science to practice.
For succeeding in a fast-changing, unstable world, our mission is to turn the scientific knowledge into easily applicable tools of wellbeing for students, teachers and employees alike. Wellbeing is the founda"&amp;"tion for learning. Healthy habits are the prerequisite of focus and creativity. Our trainings are based on neuroscientific and psychological research.
""Do I have ADHD?"" Our newest program, Silta Focus, is a one month online training to improve focus, s"&amp;"tress management and motivation. Did you know that concentration is a skill that can and must be trained? Like a muscle, it doesn't appear just like that, but it has to be trained and the habits supporting it have to be practiced.")</f>
        <v/>
      </c>
      <c r="G1269" s="1">
        <f>IFERROR(__xludf.DUMMYFUNCTION("""COMPUTED_VALUE"""),"EdTech Finland")</f>
        <v/>
      </c>
      <c r="H1269" s="1" t="n"/>
      <c r="I1269" s="1">
        <f>IFERROR(__xludf.DUMMYFUNCTION("""COMPUTED_VALUE"""),"veera@siltaeducation.com")</f>
        <v/>
      </c>
      <c r="J1269" s="1" t="n"/>
      <c r="K1269" s="1">
        <f>IFERROR(__xludf.DUMMYFUNCTION("""COMPUTED_VALUE"""),"Helsinki")</f>
        <v/>
      </c>
      <c r="L1269" s="1">
        <f>IFERROR(__xludf.DUMMYFUNCTION("""COMPUTED_VALUE"""),"Finland")</f>
        <v/>
      </c>
      <c r="M1269" s="1">
        <f>IFERROR(__xludf.DUMMYFUNCTION("""COMPUTED_VALUE"""),"Finland, Germany, Ireland, United Kingdom")</f>
        <v/>
      </c>
      <c r="N1269" s="1">
        <f>IFERROR(__xludf.DUMMYFUNCTION("""COMPUTED_VALUE"""),"0 to 10")</f>
        <v/>
      </c>
      <c r="O1269" s="1">
        <f>IFERROR(__xludf.DUMMYFUNCTION("""COMPUTED_VALUE"""),"Business to Business, Business to Government, Business to Schools")</f>
        <v/>
      </c>
      <c r="P1269" s="1">
        <f>IFERROR(__xludf.DUMMYFUNCTION("""COMPUTED_VALUE"""),"Secondary Education, Higher Education, Corporate Training")</f>
        <v/>
      </c>
      <c r="Q1269" s="1">
        <f>IFERROR(__xludf.DUMMYFUNCTION("""COMPUTED_VALUE"""),"Student interfacing, Teacher interfacing, System/Administrative")</f>
        <v/>
      </c>
      <c r="R1269" s="1" t="n"/>
      <c r="S1269" s="1" t="n"/>
      <c r="T1269" s="15">
        <f>IFERROR(__xludf.DUMMYFUNCTION("""COMPUTED_VALUE"""),"https://www.linkedin.com/company/silta-education/")</f>
        <v/>
      </c>
      <c r="U1269" s="1">
        <f>IFERROR(__xludf.DUMMYFUNCTION("""COMPUTED_VALUE"""),"Silta Focus")</f>
        <v/>
      </c>
      <c r="V1269" s="1">
        <f>IFERROR(__xludf.DUMMYFUNCTION("""COMPUTED_VALUE"""),"In an era of constant interruptions, concentration is a skill that can be learned.
For succeeding in a fast-changing, unstable world, the skill to focus is needed more than ever. Silta Focus is a neuroscience and psychology based online training aiming t"&amp;"o improve students' concentration, stress management and motivation. Research shows that smart habits are the prerequisite of wellbeing, creativity and academic performance. Good news is that focus is a skill that can be learned.")</f>
        <v/>
      </c>
      <c r="W1269" s="1">
        <f>IFERROR(__xludf.DUMMYFUNCTION("""COMPUTED_VALUE"""),"Silta SEL training for teachers")</f>
        <v/>
      </c>
      <c r="X1269" s="1">
        <f>IFERROR(__xludf.DUMMYFUNCTION("""COMPUTED_VALUE"""),"Research shows that skills in social and emotional learning (SEL) are the foundation for wellbeing, academic performance and good classroom behaviour.
Our mission is to develop teachers’ social and emotional competences for educating the next generation "&amp;"of problem-solvers. Impact only comes from teachers’ continuous professional development in social and emotional competences, rather than a short one-time training event. Our teacher training is targeted for high school and higher education teachers.")</f>
        <v/>
      </c>
      <c r="Y1269" s="15">
        <f>IFERROR(__xludf.DUMMYFUNCTION("""COMPUTED_VALUE"""),"https://drive.google.com/uc?export=view&amp;id=1G-8_9A9AguU55tqxoSqhH1CFqqJqwlDa")</f>
        <v/>
      </c>
      <c r="Z1269" s="1">
        <f>IFERROR(__xludf.DUMMYFUNCTION("""COMPUTED_VALUE"""),"Unverified")</f>
        <v/>
      </c>
      <c r="AA1269" s="1" t="n"/>
      <c r="AB1269" s="1" t="n"/>
      <c r="AC1269" s="1" t="n"/>
      <c r="AD1269" s="1" t="n"/>
      <c r="AE1269" s="1" t="n"/>
    </row>
    <row r="1270" ht="42" customHeight="1">
      <c r="A1270" s="14">
        <f>IFERROR(__xludf.DUMMYFUNCTION("""COMPUTED_VALUE"""),45181)</f>
        <v/>
      </c>
      <c r="B1270" s="1">
        <f>IFERROR(__xludf.DUMMYFUNCTION("""COMPUTED_VALUE"""),"ORG_2241")</f>
        <v/>
      </c>
      <c r="C1270" s="1">
        <f>IFERROR(__xludf.DUMMYFUNCTION("""COMPUTED_VALUE"""),TRUE)</f>
        <v/>
      </c>
      <c r="D1270" s="1">
        <f>IFERROR(__xludf.DUMMYFUNCTION("""COMPUTED_VALUE"""),"Simango")</f>
        <v/>
      </c>
      <c r="E1270" s="15">
        <f>IFERROR(__xludf.DUMMYFUNCTION("""COMPUTED_VALUE"""),"https://simango.fr/")</f>
        <v/>
      </c>
      <c r="F1270" s="1">
        <f>IFERROR(__xludf.DUMMYFUNCTION("""COMPUTED_VALUE"""),"SIMANGO revolutionizes the training of healthcare professionals with an immersive and impactful solution! The startup is a key player in healthcare training and taking the traditional learning model to a new level through innovative technologies: digital "&amp;"simulation and serious games. It offers a complete digital training solution, enabling healthcare institutions to train their staff more efficiently, at a lower cost and in a more flexible way. Today, SIMANGO has 300 healthcare institutions as ambassadors"&amp;", around 30 training programs developed and more than 600 virtual reality headsets deployed. And it doesn't stop there! In January 2022, the startup announced the development of the first metaverse training center for healthcare institutions. A collaborat"&amp;"ive, playful and immersive training space. This virtual hospital will be THE future training place for healthcare professionals.")</f>
        <v/>
      </c>
      <c r="G1270" s="1">
        <f>IFERROR(__xludf.DUMMYFUNCTION("""COMPUTED_VALUE"""),"EdTech France")</f>
        <v/>
      </c>
      <c r="H1270" s="1" t="n"/>
      <c r="I1270" s="1">
        <f>IFERROR(__xludf.DUMMYFUNCTION("""COMPUTED_VALUE"""),"contact@simango.fr")</f>
        <v/>
      </c>
      <c r="J1270" s="1">
        <f>IFERROR(__xludf.DUMMYFUNCTION("""COMPUTED_VALUE"""),"+33244849490")</f>
        <v/>
      </c>
      <c r="K1270" s="1">
        <f>IFERROR(__xludf.DUMMYFUNCTION("""COMPUTED_VALUE"""),"Rennes")</f>
        <v/>
      </c>
      <c r="L1270" s="1">
        <f>IFERROR(__xludf.DUMMYFUNCTION("""COMPUTED_VALUE"""),"France")</f>
        <v/>
      </c>
      <c r="M1270" s="1">
        <f>IFERROR(__xludf.DUMMYFUNCTION("""COMPUTED_VALUE"""),"France")</f>
        <v/>
      </c>
      <c r="N1270" s="1">
        <f>IFERROR(__xludf.DUMMYFUNCTION("""COMPUTED_VALUE"""),"11 to 50")</f>
        <v/>
      </c>
      <c r="O1270" s="1">
        <f>IFERROR(__xludf.DUMMYFUNCTION("""COMPUTED_VALUE"""),"Business to Business, Business to Government, Business to Schools")</f>
        <v/>
      </c>
      <c r="P1270" s="1">
        <f>IFERROR(__xludf.DUMMYFUNCTION("""COMPUTED_VALUE"""),"Higher Education, Corporate Training")</f>
        <v/>
      </c>
      <c r="Q1270" s="1">
        <f>IFERROR(__xludf.DUMMYFUNCTION("""COMPUTED_VALUE"""),"Student interfacing, Teacher interfacing, System/Administrative")</f>
        <v/>
      </c>
      <c r="R1270" s="1" t="n"/>
      <c r="S1270" s="15">
        <f>IFERROR(__xludf.DUMMYFUNCTION("""COMPUTED_VALUE"""),"https://twitter.com/simangosante")</f>
        <v/>
      </c>
      <c r="T1270" s="15">
        <f>IFERROR(__xludf.DUMMYFUNCTION("""COMPUTED_VALUE"""),"https://www.linkedin.com/company/simango/")</f>
        <v/>
      </c>
      <c r="U1270" s="1">
        <f>IFERROR(__xludf.DUMMYFUNCTION("""COMPUTED_VALUE"""),"Immersive training")</f>
        <v/>
      </c>
      <c r="V1270" s="1">
        <f>IFERROR(__xludf.DUMMYFUNCTION("""COMPUTED_VALUE"""),"Simango offers a complete catalog of training courses, accessible in virtual reality, PC, mobile ans tablet. In a serious game format, the learner as in immersed virtual health care institution.
He must interact with objects, answer to quizzes, play mini"&amp;"-games. The objective is to learn in a playful way about everyday risk situation, so as not to reproduce them in real life. The pedagogical content of each training course is designed in partneship with healthcare institutions.")</f>
        <v/>
      </c>
      <c r="W1270" s="1" t="n"/>
      <c r="X1270" s="1" t="n"/>
      <c r="Y1270" s="15">
        <f>IFERROR(__xludf.DUMMYFUNCTION("""COMPUTED_VALUE"""),"https://drive.google.com/uc?export=view&amp;id=1NK4JXnUUy7l_aux-msT6OrjYPsfOiKwq")</f>
        <v/>
      </c>
      <c r="Z1270" s="1">
        <f>IFERROR(__xludf.DUMMYFUNCTION("""COMPUTED_VALUE"""),"Unverified")</f>
        <v/>
      </c>
      <c r="AA1270" s="1" t="n"/>
      <c r="AB1270" s="1" t="n"/>
      <c r="AC1270" s="1" t="n"/>
      <c r="AD1270" s="1" t="n"/>
      <c r="AE1270" s="1" t="n"/>
    </row>
    <row r="1271" ht="42" customHeight="1">
      <c r="A1271" s="14">
        <f>IFERROR(__xludf.DUMMYFUNCTION("""COMPUTED_VALUE"""),45181)</f>
        <v/>
      </c>
      <c r="B1271" s="1">
        <f>IFERROR(__xludf.DUMMYFUNCTION("""COMPUTED_VALUE"""),"ORG_2278")</f>
        <v/>
      </c>
      <c r="C1271" s="1">
        <f>IFERROR(__xludf.DUMMYFUNCTION("""COMPUTED_VALUE"""),TRUE)</f>
        <v/>
      </c>
      <c r="D1271" s="1">
        <f>IFERROR(__xludf.DUMMYFUNCTION("""COMPUTED_VALUE"""),"SMARTEO")</f>
        <v/>
      </c>
      <c r="E1271" s="15">
        <f>IFERROR(__xludf.DUMMYFUNCTION("""COMPUTED_VALUE"""),"https://www.smarteo.co")</f>
        <v/>
      </c>
      <c r="F1271" s="1">
        <f>IFERROR(__xludf.DUMMYFUNCTION("""COMPUTED_VALUE"""),"On the edge of this 4th industrial revolution, we are experiencing extraordinary technological transformations: from robotics to Artificial Intelligence and the expansion of IOT. The way we approach things is changing very quickly and in all areas.
This "&amp;"is why at Smarteo, we create original learning experiences allowing everyone to become familiar with the technological tools of tomorrow. We have been working since 2018 with communities, libraries and schools and we offer them turnkey solutions to organi"&amp;"ze workshops for children, allowing them to acquire the skills of the 21st century.
Our workshops and educational materials are based on an innovative, fun and interdisciplinary approach, which introduces children to coding, robotics, 3D Printing and mor"&amp;"e. Furthermore, we leverage our AI powered digital platform to provide access to learner-centered physical equipment, online contents and coaching.")</f>
        <v/>
      </c>
      <c r="G1271" s="1">
        <f>IFERROR(__xludf.DUMMYFUNCTION("""COMPUTED_VALUE"""),"EdTech France")</f>
        <v/>
      </c>
      <c r="H1271" s="1" t="n"/>
      <c r="I1271" s="1">
        <f>IFERROR(__xludf.DUMMYFUNCTION("""COMPUTED_VALUE"""),"contact@smarteo.co")</f>
        <v/>
      </c>
      <c r="J1271" s="1">
        <f>IFERROR(__xludf.DUMMYFUNCTION("""COMPUTED_VALUE"""),"+330954874659")</f>
        <v/>
      </c>
      <c r="K1271" s="1">
        <f>IFERROR(__xludf.DUMMYFUNCTION("""COMPUTED_VALUE"""),"SCEAUX")</f>
        <v/>
      </c>
      <c r="L1271" s="1">
        <f>IFERROR(__xludf.DUMMYFUNCTION("""COMPUTED_VALUE"""),"France")</f>
        <v/>
      </c>
      <c r="M1271" s="1">
        <f>IFERROR(__xludf.DUMMYFUNCTION("""COMPUTED_VALUE"""),"Belgium, France, Germany, Italy, Spain, Switzerland, United Kingdom")</f>
        <v/>
      </c>
      <c r="N1271" s="1">
        <f>IFERROR(__xludf.DUMMYFUNCTION("""COMPUTED_VALUE"""),"0 to 10")</f>
        <v/>
      </c>
      <c r="O1271" s="1">
        <f>IFERROR(__xludf.DUMMYFUNCTION("""COMPUTED_VALUE"""),"Business to Business, Business to Schools")</f>
        <v/>
      </c>
      <c r="P1271" s="1">
        <f>IFERROR(__xludf.DUMMYFUNCTION("""COMPUTED_VALUE"""),"Primary Education, Secondary Education")</f>
        <v/>
      </c>
      <c r="Q1271" s="1">
        <f>IFERROR(__xludf.DUMMYFUNCTION("""COMPUTED_VALUE"""),"System/Administrative, Student interfacing, Teacher interfacing")</f>
        <v/>
      </c>
      <c r="R1271" s="15">
        <f>IFERROR(__xludf.DUMMYFUNCTION("""COMPUTED_VALUE"""),"https://www.instagram.com/smarteo.co")</f>
        <v/>
      </c>
      <c r="S1271" s="15">
        <f>IFERROR(__xludf.DUMMYFUNCTION("""COMPUTED_VALUE"""),"https://twitter.com/smarteo_co")</f>
        <v/>
      </c>
      <c r="T1271" s="15">
        <f>IFERROR(__xludf.DUMMYFUNCTION("""COMPUTED_VALUE"""),"https://www.linkedin.com/company/smarteo-co/")</f>
        <v/>
      </c>
      <c r="U1271" s="1">
        <f>IFERROR(__xludf.DUMMYFUNCTION("""COMPUTED_VALUE"""),"SMARTEO")</f>
        <v/>
      </c>
      <c r="V1271" s="1">
        <f>IFERROR(__xludf.DUMMYFUNCTION("""COMPUTED_VALUE"""),"Smarteo introduces children to coding, robotics, 3D printing and more, through an interdisciplinary and playful pedagogy. Our educational products combine the benefits of physical and digital learning and enable collaboration and creativity. We leverage o"&amp;"ur AI powered digital platform to provide access learner-centered physical equipment, online contents and coaching.")</f>
        <v/>
      </c>
      <c r="W1271" s="1">
        <f>IFERROR(__xludf.DUMMYFUNCTION("""COMPUTED_VALUE"""),"SMARTEOWORLDS")</f>
        <v/>
      </c>
      <c r="X1271" s="1">
        <f>IFERROR(__xludf.DUMMYFUNCTION("""COMPUTED_VALUE"""),"SMARTEOWORLDS: Code your adventures!
We have designed a set of educational and fun boxes that allow children to live extraordinary experiences and to experiment, build and learn to code while having fun: They include manual activities, electronic compone"&amp;"nts, many game accessories and 3D prints. They are also complemented by activities to do online while collaborating with other children or mentors.")</f>
        <v/>
      </c>
      <c r="Y1271" s="15">
        <f>IFERROR(__xludf.DUMMYFUNCTION("""COMPUTED_VALUE"""),"https://drive.google.com/uc?export=view&amp;id=1HPqZa_ok6oQZ1p_a5i7QEnsE2D9gpEuw")</f>
        <v/>
      </c>
      <c r="Z1271" s="1">
        <f>IFERROR(__xludf.DUMMYFUNCTION("""COMPUTED_VALUE"""),"Unverified")</f>
        <v/>
      </c>
      <c r="AA1271" s="1" t="n"/>
      <c r="AB1271" s="1" t="n"/>
      <c r="AC1271" s="1" t="n"/>
      <c r="AD1271" s="1" t="n"/>
      <c r="AE1271" s="1" t="n"/>
    </row>
    <row r="1272" ht="42" customHeight="1">
      <c r="A1272" s="14">
        <f>IFERROR(__xludf.DUMMYFUNCTION("""COMPUTED_VALUE"""),45181)</f>
        <v/>
      </c>
      <c r="B1272" s="1">
        <f>IFERROR(__xludf.DUMMYFUNCTION("""COMPUTED_VALUE"""),"ORG_2308")</f>
        <v/>
      </c>
      <c r="C1272" s="1">
        <f>IFERROR(__xludf.DUMMYFUNCTION("""COMPUTED_VALUE"""),TRUE)</f>
        <v/>
      </c>
      <c r="D1272" s="1">
        <f>IFERROR(__xludf.DUMMYFUNCTION("""COMPUTED_VALUE"""),"Splashtop")</f>
        <v/>
      </c>
      <c r="E1272" s="15">
        <f>IFERROR(__xludf.DUMMYFUNCTION("""COMPUTED_VALUE"""),"www.splashtop.com")</f>
        <v/>
      </c>
      <c r="F1272" s="1">
        <f>IFERROR(__xludf.DUMMYFUNCTION("""COMPUTED_VALUE"""),"Splashtop delivers secure remote access and support software and services to educational institutions globally. Splashtop enables students, faculty, and IT professionals to remotely access and support any device from any location. Splashtop solutions addr"&amp;"ess education continuity, technology inequity gaps, help desk productivity, and maximize student potential. Our edtech solutions include: Splashtop labs, which allows students and faculty to connect to and control an high-powered, on-campus workstations f"&amp;"rom their own device; Splashtop remote support solutions increase the effectiveness of on-campus help desk to manage and maintain technology; Splashtop Classroom, allows teachers to remotely control the lesson from anywhere in the classroom, annotate, and"&amp;" share with students; and, with Splashtop Mirroring 360, teachers and students can mirror their content, ideas and apps on their device to the whole class.")</f>
        <v/>
      </c>
      <c r="G1272" s="1">
        <f>IFERROR(__xludf.DUMMYFUNCTION("""COMPUTED_VALUE"""),"Dutch EdTech")</f>
        <v/>
      </c>
      <c r="H1272" s="1" t="n"/>
      <c r="I1272" s="1">
        <f>IFERROR(__xludf.DUMMYFUNCTION("""COMPUTED_VALUE"""),"frank.delgatto@splashtop.com")</f>
        <v/>
      </c>
      <c r="J1272" s="1">
        <f>IFERROR(__xludf.DUMMYFUNCTION("""COMPUTED_VALUE"""),"31614987307")</f>
        <v/>
      </c>
      <c r="K1272" s="1">
        <f>IFERROR(__xludf.DUMMYFUNCTION("""COMPUTED_VALUE"""),"AMSTERDAM")</f>
        <v/>
      </c>
      <c r="L1272" s="1">
        <f>IFERROR(__xludf.DUMMYFUNCTION("""COMPUTED_VALUE"""),"The Netherlands")</f>
        <v/>
      </c>
      <c r="M1272" s="1">
        <f>IFERROR(__xludf.DUMMYFUNCTION("""COMPUTED_VALUE"""),"Austria, Belarus, Belgium, Bosnia and Herzegovina, Bulgaria, Croatia, Cyprus, Czechia, Denmark, Estonia, Finland, France, Georgia, Germany, Greece, Hungary, Iceland, Ireland, Italy, Latvia, Liechtenstein, Lithuania, Luxembourg, Netherlands, Norway, Poland"&amp;", Portugal, Romania, Slovakia, Spain, Sweden, Switzerland, Turkey, Ukraine, United Kingdom")</f>
        <v/>
      </c>
      <c r="N1272" s="1">
        <f>IFERROR(__xludf.DUMMYFUNCTION("""COMPUTED_VALUE"""),"100+")</f>
        <v/>
      </c>
      <c r="O1272" s="1">
        <f>IFERROR(__xludf.DUMMYFUNCTION("""COMPUTED_VALUE"""),"Business to Business, Business to Schools")</f>
        <v/>
      </c>
      <c r="P1272" s="1">
        <f>IFERROR(__xludf.DUMMYFUNCTION("""COMPUTED_VALUE"""),"Primary Education, Secondary Education, Higher Education")</f>
        <v/>
      </c>
      <c r="Q1272" s="1">
        <f>IFERROR(__xludf.DUMMYFUNCTION("""COMPUTED_VALUE"""),"System/Administrative")</f>
        <v/>
      </c>
      <c r="R1272" s="1" t="n"/>
      <c r="S1272" s="1" t="n"/>
      <c r="T1272" s="1" t="n"/>
      <c r="U1272" s="1" t="n"/>
      <c r="V1272" s="1" t="n"/>
      <c r="W1272" s="1" t="n"/>
      <c r="X1272" s="1" t="n"/>
      <c r="Y1272" s="15">
        <f>IFERROR(__xludf.DUMMYFUNCTION("""COMPUTED_VALUE"""),"https://drive.google.com/uc?export=view&amp;id=1sjcwwsCR2fLzzwarvVIassgWUQGLBd72")</f>
        <v/>
      </c>
      <c r="Z1272" s="1">
        <f>IFERROR(__xludf.DUMMYFUNCTION("""COMPUTED_VALUE"""),"Unverified")</f>
        <v/>
      </c>
      <c r="AA1272" s="1" t="n"/>
      <c r="AB1272" s="1" t="n"/>
      <c r="AC1272" s="1" t="n"/>
      <c r="AD1272" s="1" t="n"/>
      <c r="AE1272" s="1" t="n"/>
    </row>
    <row r="1273" ht="42" customHeight="1">
      <c r="A1273" s="14">
        <f>IFERROR(__xludf.DUMMYFUNCTION("""COMPUTED_VALUE"""),45181)</f>
        <v/>
      </c>
      <c r="B1273" s="1">
        <f>IFERROR(__xludf.DUMMYFUNCTION("""COMPUTED_VALUE"""),"ORG_2337")</f>
        <v/>
      </c>
      <c r="C1273" s="1">
        <f>IFERROR(__xludf.DUMMYFUNCTION("""COMPUTED_VALUE"""),TRUE)</f>
        <v/>
      </c>
      <c r="D1273" s="1">
        <f>IFERROR(__xludf.DUMMYFUNCTION("""COMPUTED_VALUE"""),"Studinventive")</f>
        <v/>
      </c>
      <c r="E1273" s="15">
        <f>IFERROR(__xludf.DUMMYFUNCTION("""COMPUTED_VALUE"""),"https://studinventive.com")</f>
        <v/>
      </c>
      <c r="F1273" s="1">
        <f>IFERROR(__xludf.DUMMYFUNCTION("""COMPUTED_VALUE"""),"Studinventive is an online school specializing in micro-adaptive learning. We offer personalized support adapted to the personality type and learning style of the learner.")</f>
        <v/>
      </c>
      <c r="G1273" s="1">
        <f>IFERROR(__xludf.DUMMYFUNCTION("""COMPUTED_VALUE"""),"EdTech France")</f>
        <v/>
      </c>
      <c r="H1273" s="1" t="n"/>
      <c r="I1273" s="1">
        <f>IFERROR(__xludf.DUMMYFUNCTION("""COMPUTED_VALUE"""),"holly.many@studinventive.com")</f>
        <v/>
      </c>
      <c r="J1273" s="1">
        <f>IFERROR(__xludf.DUMMYFUNCTION("""COMPUTED_VALUE"""),"614072319")</f>
        <v/>
      </c>
      <c r="K1273" s="1">
        <f>IFERROR(__xludf.DUMMYFUNCTION("""COMPUTED_VALUE"""),"Paris")</f>
        <v/>
      </c>
      <c r="L1273" s="1">
        <f>IFERROR(__xludf.DUMMYFUNCTION("""COMPUTED_VALUE"""),"France")</f>
        <v/>
      </c>
      <c r="M1273" s="1">
        <f>IFERROR(__xludf.DUMMYFUNCTION("""COMPUTED_VALUE"""),"France")</f>
        <v/>
      </c>
      <c r="N1273" s="1">
        <f>IFERROR(__xludf.DUMMYFUNCTION("""COMPUTED_VALUE"""),"0 to 10")</f>
        <v/>
      </c>
      <c r="O1273" s="1">
        <f>IFERROR(__xludf.DUMMYFUNCTION("""COMPUTED_VALUE"""),"Business to Business, Business to Schools")</f>
        <v/>
      </c>
      <c r="P1273" s="1">
        <f>IFERROR(__xludf.DUMMYFUNCTION("""COMPUTED_VALUE"""),"Higher Education, Corporate Training, Lifelong learning/Adult education")</f>
        <v/>
      </c>
      <c r="Q1273" s="1">
        <f>IFERROR(__xludf.DUMMYFUNCTION("""COMPUTED_VALUE"""),"Student interfacing, Teacher interfacing, System/Administrative")</f>
        <v/>
      </c>
      <c r="R1273" s="1" t="n"/>
      <c r="S1273" s="1" t="n"/>
      <c r="T1273" s="1" t="n"/>
      <c r="U1273" s="1" t="n"/>
      <c r="V1273" s="1" t="n"/>
      <c r="W1273" s="1" t="n"/>
      <c r="X1273" s="1" t="n"/>
      <c r="Y1273" s="15">
        <f>IFERROR(__xludf.DUMMYFUNCTION("""COMPUTED_VALUE"""),"https://drive.google.com/uc?export=view&amp;id=1Z-LiKVWiV1z3GmBa0XWoQvl2VzWlYQsF")</f>
        <v/>
      </c>
      <c r="Z1273" s="1">
        <f>IFERROR(__xludf.DUMMYFUNCTION("""COMPUTED_VALUE"""),"Unverified")</f>
        <v/>
      </c>
      <c r="AA1273" s="1" t="n"/>
      <c r="AB1273" s="1" t="n"/>
      <c r="AC1273" s="1" t="n"/>
      <c r="AD1273" s="1" t="n"/>
      <c r="AE1273" s="1" t="n"/>
    </row>
    <row r="1274" ht="42" customHeight="1">
      <c r="A1274" s="14">
        <f>IFERROR(__xludf.DUMMYFUNCTION("""COMPUTED_VALUE"""),45181)</f>
        <v/>
      </c>
      <c r="B1274" s="1">
        <f>IFERROR(__xludf.DUMMYFUNCTION("""COMPUTED_VALUE"""),"ORG_2370")</f>
        <v/>
      </c>
      <c r="C1274" s="1">
        <f>IFERROR(__xludf.DUMMYFUNCTION("""COMPUTED_VALUE"""),TRUE)</f>
        <v/>
      </c>
      <c r="D1274" s="1">
        <f>IFERROR(__xludf.DUMMYFUNCTION("""COMPUTED_VALUE"""),"Taskbase")</f>
        <v/>
      </c>
      <c r="E1274" s="15">
        <f>IFERROR(__xludf.DUMMYFUNCTION("""COMPUTED_VALUE"""),"https://www.taskbase.com/")</f>
        <v/>
      </c>
      <c r="F1274" s="1">
        <f>IFERROR(__xludf.DUMMYFUNCTION("""COMPUTED_VALUE"""),"With Taskbase, digital learning platforms and education publishers deliver on the promise of personalized feedback with the Taskbase® feedback engine – built to take the learning outcome of the digital learning platforms to the next level.
Level-up your "&amp;"digital learning platform with the world’s #1 feedback engine and it's three components. 
- Evaluation: Evaluate complex tasks beyond right or wrong and give in-time, teacher-like feedback that is tailored to your educational concept.
- Advices: Provide r"&amp;"ecommendations and hints based on learners’ behavior, and lead your students through unique learning paths.
- Statistics: Detailed skill level statistics allow for clear overviews and dashboards, as well as an excellent foundation to implement advanced ga"&amp;"mification concepts.
Provide the right feedback at the right time through a stress-free integration with our ready-to-use API, reduce the time-to-market for personalized feedback and boost the learning outcome of your students.")</f>
        <v/>
      </c>
      <c r="G1274" s="1">
        <f>IFERROR(__xludf.DUMMYFUNCTION("""COMPUTED_VALUE"""),"Swiss EdTech Collider")</f>
        <v/>
      </c>
      <c r="H1274" s="1" t="n"/>
      <c r="I1274" s="1">
        <f>IFERROR(__xludf.DUMMYFUNCTION("""COMPUTED_VALUE"""),"info@taskbase.com")</f>
        <v/>
      </c>
      <c r="J1274" s="1" t="n"/>
      <c r="K1274" s="1">
        <f>IFERROR(__xludf.DUMMYFUNCTION("""COMPUTED_VALUE"""),"ZURICH")</f>
        <v/>
      </c>
      <c r="L1274" s="1">
        <f>IFERROR(__xludf.DUMMYFUNCTION("""COMPUTED_VALUE"""),"Switzerland")</f>
        <v/>
      </c>
      <c r="M1274" s="1">
        <f>IFERROR(__xludf.DUMMYFUNCTION("""COMPUTED_VALUE"""),"Austria, Germany, Italy, Liechtenstein, Sweden, Switzerland, United Kingdom")</f>
        <v/>
      </c>
      <c r="N1274" s="1">
        <f>IFERROR(__xludf.DUMMYFUNCTION("""COMPUTED_VALUE"""),"11 to 50")</f>
        <v/>
      </c>
      <c r="O1274" s="1">
        <f>IFERROR(__xludf.DUMMYFUNCTION("""COMPUTED_VALUE"""),"Business to Consumer")</f>
        <v/>
      </c>
      <c r="P1274" s="1">
        <f>IFERROR(__xludf.DUMMYFUNCTION("""COMPUTED_VALUE"""),"Early childhood development (0-5 years), Primary Education, Secondary Education, Higher Education, Corporate Training, Lifelong learning/Adult education")</f>
        <v/>
      </c>
      <c r="Q1274" s="1">
        <f>IFERROR(__xludf.DUMMYFUNCTION("""COMPUTED_VALUE"""),"System/Administrative")</f>
        <v/>
      </c>
      <c r="R1274" s="1" t="n"/>
      <c r="S1274" s="1" t="n"/>
      <c r="T1274" s="15">
        <f>IFERROR(__xludf.DUMMYFUNCTION("""COMPUTED_VALUE"""),"https://www.linkedin.com/company/taskbase/")</f>
        <v/>
      </c>
      <c r="U1274" s="1">
        <f>IFERROR(__xludf.DUMMYFUNCTION("""COMPUTED_VALUE"""),"Taskbase Feedback Engine")</f>
        <v/>
      </c>
      <c r="V1274" s="1">
        <f>IFERROR(__xludf.DUMMYFUNCTION("""COMPUTED_VALUE"""),"The Taskbase Feedback Engine App enables author teams to configure personalized feedback within seconds and constantly control and manage the quality of the automated, teacher-like feedback.")</f>
        <v/>
      </c>
      <c r="W1274" s="1" t="n"/>
      <c r="X1274" s="1" t="n"/>
      <c r="Y1274" s="15">
        <f>IFERROR(__xludf.DUMMYFUNCTION("""COMPUTED_VALUE"""),"https://drive.google.com/uc?export=view&amp;id=1iVeObtlTKykrJDkxj1TnO9-zCTG28e_-")</f>
        <v/>
      </c>
      <c r="Z1274" s="1">
        <f>IFERROR(__xludf.DUMMYFUNCTION("""COMPUTED_VALUE"""),"Unverified")</f>
        <v/>
      </c>
      <c r="AA1274" s="1" t="n"/>
      <c r="AB1274" s="1" t="n"/>
      <c r="AC1274" s="1" t="n"/>
      <c r="AD1274" s="1" t="n"/>
      <c r="AE1274" s="1" t="n"/>
    </row>
    <row r="1275" ht="42" customHeight="1">
      <c r="A1275" s="14">
        <f>IFERROR(__xludf.DUMMYFUNCTION("""COMPUTED_VALUE"""),45181)</f>
        <v/>
      </c>
      <c r="B1275" s="1">
        <f>IFERROR(__xludf.DUMMYFUNCTION("""COMPUTED_VALUE"""),"ORG_2380")</f>
        <v/>
      </c>
      <c r="C1275" s="1">
        <f>IFERROR(__xludf.DUMMYFUNCTION("""COMPUTED_VALUE"""),TRUE)</f>
        <v/>
      </c>
      <c r="D1275" s="1">
        <f>IFERROR(__xludf.DUMMYFUNCTION("""COMPUTED_VALUE"""),"Tecive")</f>
        <v/>
      </c>
      <c r="E1275" s="15">
        <f>IFERROR(__xludf.DUMMYFUNCTION("""COMPUTED_VALUE"""),"https://www.tecive.co.uk")</f>
        <v/>
      </c>
      <c r="F1275" s="1">
        <f>IFERROR(__xludf.DUMMYFUNCTION("""COMPUTED_VALUE"""),"There is a huge volume of communication in universities. This is because information is hard to find, stale or lost. The pandemic aggravated this due to a rush to improve the digital experience that resulted in an explosion of tools. 
On average, a lectu"&amp;"rer spends 312 hours every year dealing with emails, finding files and answering questions. 
We reduce the time needed to deal with those issues, to improve efficiency and satisfaction. Tecive is a platform to make information easy to find and encourage "&amp;"knowledge reuse.")</f>
        <v/>
      </c>
      <c r="G1275" s="1">
        <f>IFERROR(__xludf.DUMMYFUNCTION("""COMPUTED_VALUE"""),"I'm not part of any EdTech association")</f>
        <v/>
      </c>
      <c r="H1275" s="1" t="n"/>
      <c r="I1275" s="1">
        <f>IFERROR(__xludf.DUMMYFUNCTION("""COMPUTED_VALUE"""),"contact@tecive.co.uk")</f>
        <v/>
      </c>
      <c r="J1275" s="1" t="n"/>
      <c r="K1275" s="1">
        <f>IFERROR(__xludf.DUMMYFUNCTION("""COMPUTED_VALUE"""),"Edinburgh")</f>
        <v/>
      </c>
      <c r="L1275" s="1">
        <f>IFERROR(__xludf.DUMMYFUNCTION("""COMPUTED_VALUE"""),"United Kingdom")</f>
        <v/>
      </c>
      <c r="M1275" s="1">
        <f>IFERROR(__xludf.DUMMYFUNCTION("""COMPUTED_VALUE"""),"United Kingdom")</f>
        <v/>
      </c>
      <c r="N1275" s="1">
        <f>IFERROR(__xludf.DUMMYFUNCTION("""COMPUTED_VALUE"""),"0 to 10")</f>
        <v/>
      </c>
      <c r="O1275" s="1">
        <f>IFERROR(__xludf.DUMMYFUNCTION("""COMPUTED_VALUE"""),"Business to Consumer, Business to Government, Business to Schools")</f>
        <v/>
      </c>
      <c r="P1275" s="1">
        <f>IFERROR(__xludf.DUMMYFUNCTION("""COMPUTED_VALUE"""),"Higher Education")</f>
        <v/>
      </c>
      <c r="Q1275" s="1">
        <f>IFERROR(__xludf.DUMMYFUNCTION("""COMPUTED_VALUE"""),"Student interfacing, Teacher interfacing")</f>
        <v/>
      </c>
      <c r="R1275" s="1" t="n"/>
      <c r="S1275" s="1" t="n"/>
      <c r="T1275" s="1" t="n"/>
      <c r="U1275" s="1" t="n"/>
      <c r="V1275" s="1" t="n"/>
      <c r="W1275" s="1" t="n"/>
      <c r="X1275" s="1" t="n"/>
      <c r="Y1275" s="15">
        <f>IFERROR(__xludf.DUMMYFUNCTION("""COMPUTED_VALUE"""),"https://drive.google.com/uc?export=view&amp;id=1oNvt5HyELhHouUQ_x0t26UtJtA3ovKN4")</f>
        <v/>
      </c>
      <c r="Z1275" s="1">
        <f>IFERROR(__xludf.DUMMYFUNCTION("""COMPUTED_VALUE"""),"Unverified")</f>
        <v/>
      </c>
      <c r="AA1275" s="1" t="n"/>
      <c r="AB1275" s="1" t="n"/>
      <c r="AC1275" s="1" t="n"/>
      <c r="AD1275" s="1" t="n"/>
      <c r="AE1275" s="1" t="n"/>
    </row>
    <row r="1276" ht="42" customHeight="1">
      <c r="A1276" s="14">
        <f>IFERROR(__xludf.DUMMYFUNCTION("""COMPUTED_VALUE"""),45181)</f>
        <v/>
      </c>
      <c r="B1276" s="1">
        <f>IFERROR(__xludf.DUMMYFUNCTION("""COMPUTED_VALUE"""),"ORG_2414")</f>
        <v/>
      </c>
      <c r="C1276" s="1">
        <f>IFERROR(__xludf.DUMMYFUNCTION("""COMPUTED_VALUE"""),TRUE)</f>
        <v/>
      </c>
      <c r="D1276" s="1">
        <f>IFERROR(__xludf.DUMMYFUNCTION("""COMPUTED_VALUE"""),"TinyApp")</f>
        <v/>
      </c>
      <c r="E1276" s="15">
        <f>IFERROR(__xludf.DUMMYFUNCTION("""COMPUTED_VALUE"""),"https://www.tinyapp.biz/")</f>
        <v/>
      </c>
      <c r="F1276" s="1">
        <f>IFERROR(__xludf.DUMMYFUNCTION("""COMPUTED_VALUE"""),"TinyApp offers all you need to know to deliver quality education in kindergartens, daycares and preschools. TinyApp is made to support educators in their pedagogical work. Educators can work towards the objectives of the early childhood education curricul"&amp;"um and follow-up the progress. Easier and more effective than ever before through our easy-to-use digital platform and tools. 
TinyApp is developed by HelsinkiNYC International Ltd, an education technology company from Finland.")</f>
        <v/>
      </c>
      <c r="G1276" s="1">
        <f>IFERROR(__xludf.DUMMYFUNCTION("""COMPUTED_VALUE"""),"EdTech Finland")</f>
        <v/>
      </c>
      <c r="H1276" s="1" t="n"/>
      <c r="I1276" s="1">
        <f>IFERROR(__xludf.DUMMYFUNCTION("""COMPUTED_VALUE"""),"hello@tinyapp.biz")</f>
        <v/>
      </c>
      <c r="J1276" s="1" t="n"/>
      <c r="K1276" s="1">
        <f>IFERROR(__xludf.DUMMYFUNCTION("""COMPUTED_VALUE"""),"HELSINKI")</f>
        <v/>
      </c>
      <c r="L1276" s="1">
        <f>IFERROR(__xludf.DUMMYFUNCTION("""COMPUTED_VALUE"""),"Finland")</f>
        <v/>
      </c>
      <c r="M1276" s="1">
        <f>IFERROR(__xludf.DUMMYFUNCTION("""COMPUTED_VALUE"""),"Finland, Spain")</f>
        <v/>
      </c>
      <c r="N1276" s="1">
        <f>IFERROR(__xludf.DUMMYFUNCTION("""COMPUTED_VALUE"""),"0 to 10")</f>
        <v/>
      </c>
      <c r="O1276" s="1">
        <f>IFERROR(__xludf.DUMMYFUNCTION("""COMPUTED_VALUE"""),"Business to Consumer, Business to Government, Business to Schools")</f>
        <v/>
      </c>
      <c r="P1276" s="1">
        <f>IFERROR(__xludf.DUMMYFUNCTION("""COMPUTED_VALUE"""),"Early childhood development (0-5 years)")</f>
        <v/>
      </c>
      <c r="Q1276" s="1">
        <f>IFERROR(__xludf.DUMMYFUNCTION("""COMPUTED_VALUE"""),"Teacher interfacing, System/Administrative")</f>
        <v/>
      </c>
      <c r="R1276" s="15">
        <f>IFERROR(__xludf.DUMMYFUNCTION("""COMPUTED_VALUE"""),"https://www.instagram.com/tinyappes/")</f>
        <v/>
      </c>
      <c r="S1276" s="1" t="n"/>
      <c r="T1276" s="15">
        <f>IFERROR(__xludf.DUMMYFUNCTION("""COMPUTED_VALUE"""),"https://www.linkedin.com/company/tinyapp/")</f>
        <v/>
      </c>
      <c r="U1276" s="1">
        <f>IFERROR(__xludf.DUMMYFUNCTION("""COMPUTED_VALUE"""),"TinyApp")</f>
        <v/>
      </c>
      <c r="V1276" s="1">
        <f>IFERROR(__xludf.DUMMYFUNCTION("""COMPUTED_VALUE"""),"TinyApp is a one-stop solution for all early education professionals: Save time through systematic, efficient &amp; transparent processes for daily pedagogical work. Use real-time data to plan, develop and assess pedagogical activities. Communicate with famil"&amp;"ies easily with data-secure app. And develop your professional skills in early childhood education pedagogy.")</f>
        <v/>
      </c>
      <c r="W1276" s="1" t="n"/>
      <c r="X1276" s="1" t="n"/>
      <c r="Y1276" s="15">
        <f>IFERROR(__xludf.DUMMYFUNCTION("""COMPUTED_VALUE"""),"https://drive.google.com/uc?export=view&amp;id=1fxtJ2a5U2p0E57z1j80c5smXst2SE569")</f>
        <v/>
      </c>
      <c r="Z1276" s="1">
        <f>IFERROR(__xludf.DUMMYFUNCTION("""COMPUTED_VALUE"""),"Unverified")</f>
        <v/>
      </c>
      <c r="AA1276" s="1" t="n"/>
      <c r="AB1276" s="1" t="n"/>
      <c r="AC1276" s="1" t="n"/>
      <c r="AD1276" s="1" t="n"/>
      <c r="AE1276" s="1" t="n"/>
    </row>
    <row r="1277" ht="42" customHeight="1">
      <c r="A1277" s="14">
        <f>IFERROR(__xludf.DUMMYFUNCTION("""COMPUTED_VALUE"""),45181)</f>
        <v/>
      </c>
      <c r="B1277" s="1">
        <f>IFERROR(__xludf.DUMMYFUNCTION("""COMPUTED_VALUE"""),"ORG_2436")</f>
        <v/>
      </c>
      <c r="C1277" s="1">
        <f>IFERROR(__xludf.DUMMYFUNCTION("""COMPUTED_VALUE"""),TRUE)</f>
        <v/>
      </c>
      <c r="D1277" s="15">
        <f>IFERROR(__xludf.DUMMYFUNCTION("""COMPUTED_VALUE"""),"Tuto.com")</f>
        <v/>
      </c>
      <c r="E1277" s="15">
        <f>IFERROR(__xludf.DUMMYFUNCTION("""COMPUTED_VALUE"""),"https://fr.tuto.com/")</f>
        <v/>
      </c>
      <c r="F1277" s="1">
        <f>IFERROR(__xludf.DUMMYFUNCTION("""COMPUTED_VALUE"""),"Tuto.com is an online education company, focused in Digital. The company was created in 2009 by passionate entrepreneurs in their thirties, who shared two essential values ​​: quality and customer satisfaction. Our goal is to allow our users to develop th"&amp;"eir skills on a given software or a topic, in order to develop their career or change job.For this, we have more than 90 000 online courses , but also some Mentored Online Courses, to learn a specific field from A to Z.")</f>
        <v/>
      </c>
      <c r="G1277" s="1">
        <f>IFERROR(__xludf.DUMMYFUNCTION("""COMPUTED_VALUE"""),"EdTech France")</f>
        <v/>
      </c>
      <c r="H1277" s="1" t="n"/>
      <c r="I1277" s="1">
        <f>IFERROR(__xludf.DUMMYFUNCTION("""COMPUTED_VALUE"""),"support@tuto.com")</f>
        <v/>
      </c>
      <c r="J1277" s="1">
        <f>IFERROR(__xludf.DUMMYFUNCTION("""COMPUTED_VALUE"""),"+33 1 84 80 80 29")</f>
        <v/>
      </c>
      <c r="K1277" s="1">
        <f>IFERROR(__xludf.DUMMYFUNCTION("""COMPUTED_VALUE"""),"TOULON")</f>
        <v/>
      </c>
      <c r="L1277" s="1">
        <f>IFERROR(__xludf.DUMMYFUNCTION("""COMPUTED_VALUE"""),"France")</f>
        <v/>
      </c>
      <c r="M1277" s="1">
        <f>IFERROR(__xludf.DUMMYFUNCTION("""COMPUTED_VALUE"""),"France")</f>
        <v/>
      </c>
      <c r="N1277" s="1">
        <f>IFERROR(__xludf.DUMMYFUNCTION("""COMPUTED_VALUE"""),"11 to 50")</f>
        <v/>
      </c>
      <c r="O1277" s="1">
        <f>IFERROR(__xludf.DUMMYFUNCTION("""COMPUTED_VALUE"""),"Business to Consumer, Business to Schools")</f>
        <v/>
      </c>
      <c r="P1277" s="1">
        <f>IFERROR(__xludf.DUMMYFUNCTION("""COMPUTED_VALUE"""),"Higher Education, Corporate Training, Lifelong learning/Adult education")</f>
        <v/>
      </c>
      <c r="Q1277" s="1">
        <f>IFERROR(__xludf.DUMMYFUNCTION("""COMPUTED_VALUE"""),"Student interfacing, System/Administrative")</f>
        <v/>
      </c>
      <c r="R1277" s="1" t="n"/>
      <c r="S1277" s="1" t="n"/>
      <c r="T1277" s="1" t="n"/>
      <c r="U1277" s="1" t="n"/>
      <c r="V1277" s="1" t="n"/>
      <c r="W1277" s="1" t="n"/>
      <c r="X1277" s="1" t="n"/>
      <c r="Y1277" s="15">
        <f>IFERROR(__xludf.DUMMYFUNCTION("""COMPUTED_VALUE"""),"https://drive.google.com/uc?export=view&amp;id=1U_41NJP9Vk5YGjSXGHUBTafxvAvWHWZD")</f>
        <v/>
      </c>
      <c r="Z1277" s="1">
        <f>IFERROR(__xludf.DUMMYFUNCTION("""COMPUTED_VALUE"""),"Unverified")</f>
        <v/>
      </c>
      <c r="AA1277" s="1" t="n"/>
      <c r="AB1277" s="1" t="n"/>
      <c r="AC1277" s="1" t="n"/>
      <c r="AD1277" s="1" t="n"/>
      <c r="AE1277" s="1" t="n"/>
    </row>
    <row r="1278" ht="42" customHeight="1">
      <c r="A1278" s="14">
        <f>IFERROR(__xludf.DUMMYFUNCTION("""COMPUTED_VALUE"""),45181)</f>
        <v/>
      </c>
      <c r="B1278" s="1">
        <f>IFERROR(__xludf.DUMMYFUNCTION("""COMPUTED_VALUE"""),"ORG_1043")</f>
        <v/>
      </c>
      <c r="C1278" s="1">
        <f>IFERROR(__xludf.DUMMYFUNCTION("""COMPUTED_VALUE"""),TRUE)</f>
        <v/>
      </c>
      <c r="D1278" s="1">
        <f>IFERROR(__xludf.DUMMYFUNCTION("""COMPUTED_VALUE"""),"AIMAIRA")</f>
        <v/>
      </c>
      <c r="E1278" s="15">
        <f>IFERROR(__xludf.DUMMYFUNCTION("""COMPUTED_VALUE"""),"https://www.aimaira.fr/")</f>
        <v/>
      </c>
      <c r="F1278" s="1">
        <f>IFERROR(__xludf.DUMMYFUNCTION("""COMPUTED_VALUE"""),"AIMAIRA is a Student Information System (SIS) which enables users to monitor all the steps in a college student's career from their application to their graduation.
Designed by IT &amp; field experts, this SAAS Cloud-based software provides a large array of "&amp;"possibilities to the internal users who can access the school's full database online at any time.")</f>
        <v/>
      </c>
      <c r="G1278" s="1">
        <f>IFERROR(__xludf.DUMMYFUNCTION("""COMPUTED_VALUE"""),"EdTech France")</f>
        <v/>
      </c>
      <c r="H1278" s="1" t="n"/>
      <c r="I1278" s="1">
        <f>IFERROR(__xludf.DUMMYFUNCTION("""COMPUTED_VALUE"""),"contact@aimaira.fr")</f>
        <v/>
      </c>
      <c r="J1278" s="1">
        <f>IFERROR(__xludf.DUMMYFUNCTION("""COMPUTED_VALUE"""),"+ 33 2 78 77 61 28")</f>
        <v/>
      </c>
      <c r="K1278" s="1">
        <f>IFERROR(__xludf.DUMMYFUNCTION("""COMPUTED_VALUE"""),"MONT-SAINT-AIGNAN")</f>
        <v/>
      </c>
      <c r="L1278" s="1">
        <f>IFERROR(__xludf.DUMMYFUNCTION("""COMPUTED_VALUE"""),"France")</f>
        <v/>
      </c>
      <c r="M1278" s="1">
        <f>IFERROR(__xludf.DUMMYFUNCTION("""COMPUTED_VALUE"""),"France")</f>
        <v/>
      </c>
      <c r="N1278" s="1">
        <f>IFERROR(__xludf.DUMMYFUNCTION("""COMPUTED_VALUE"""),"11 to 50")</f>
        <v/>
      </c>
      <c r="O1278" s="1">
        <f>IFERROR(__xludf.DUMMYFUNCTION("""COMPUTED_VALUE"""),"Business to Business")</f>
        <v/>
      </c>
      <c r="P1278" s="1">
        <f>IFERROR(__xludf.DUMMYFUNCTION("""COMPUTED_VALUE"""),"Higher Education, Lifelong learning/Adult education")</f>
        <v/>
      </c>
      <c r="Q1278" s="1">
        <f>IFERROR(__xludf.DUMMYFUNCTION("""COMPUTED_VALUE"""),"System/Administrative")</f>
        <v/>
      </c>
      <c r="R1278" s="1" t="n"/>
      <c r="S1278" s="15">
        <f>IFERROR(__xludf.DUMMYFUNCTION("""COMPUTED_VALUE"""),"https://twitter.com/aimaira_erp")</f>
        <v/>
      </c>
      <c r="T1278" s="15">
        <f>IFERROR(__xludf.DUMMYFUNCTION("""COMPUTED_VALUE"""),"https://www.linkedin.com/company/aimaira/")</f>
        <v/>
      </c>
      <c r="U1278" s="1">
        <f>IFERROR(__xludf.DUMMYFUNCTION("""COMPUTED_VALUE"""),"Admission Management")</f>
        <v/>
      </c>
      <c r="V1278" s="1">
        <f>IFERROR(__xludf.DUMMYFUNCTION("""COMPUTED_VALUE"""),"AIMAIRA software is composed by modules. Our Admission Management solution holds 2 modules : ""Candidature"" and ""Sélection"". Candidature module permits schools to collects candidates' information and documents to assess and determine their eligibility "&amp;"for training. In fact, candidates apply on a special website and upload all the documents and information requested by the school. Then, their elements are accessibles to the school's managers in their own interface thanks to monitoring tables. Applicatio"&amp;"ns' assessment can be make by internal or external valuers on a special website. They complete an evaluation grid online for each candidate and the results are communicated to school's manager on their own interface. As a result, Candidature provides the "&amp;"opportunity to administrators can follow all the application process, change the status of applications and support applicants and valuers.
The process can be changed and adapted to each school. Sélection module permits the higher education's establishmen"&amp;"t to go further. This solution allows schools to organise competitive entrance exams with internal and external jurors on one or few days.")</f>
        <v/>
      </c>
      <c r="W1278" s="1">
        <f>IFERROR(__xludf.DUMMYFUNCTION("""COMPUTED_VALUE"""),"Registration Management")</f>
        <v/>
      </c>
      <c r="X1278" s="1">
        <f>IFERROR(__xludf.DUMMYFUNCTION("""COMPUTED_VALUE"""),"AIMAIRA software is composed by modules. Our Registration Management solution holds 3 modules : ""Inscription"", ""Finance"" and ""Relation Entreprise"". 
Inscription module enables schools to build and sign the contract of studies. In fact, prospective "&amp;"students transmit their personnal information and their supporting documents on a special website. After, they sign their contract online and they chose their terms of payement for their student fees.
The financial aspect of the student's registration an"&amp;"d journey in the school is managed by Finance module in AIMAIRA. This module gives managers an increased visibility to the real and prospective school's finances.
The process can be changed and adapted to each school. 
Relation Entreprise module permits"&amp;" school to handle the internship and apprenticeship contracts. The contracts can be complete and sign online by the school's administrator, the student and/or his or her host organization. 
The student's progress is tracked by the software. It is accessib"&amp;"le to each shareholder on their own interface or website.")</f>
        <v/>
      </c>
      <c r="Y1278" s="15">
        <f>IFERROR(__xludf.DUMMYFUNCTION("""COMPUTED_VALUE"""),"https://drive.google.com/uc?export=view&amp;id=1hFYJVHg1WicHtdtRKW8y4s6uN2pNSpZ_")</f>
        <v/>
      </c>
      <c r="Z1278" s="1">
        <f>IFERROR(__xludf.DUMMYFUNCTION("""COMPUTED_VALUE"""),"Unverified")</f>
        <v/>
      </c>
      <c r="AA1278" s="1" t="n"/>
      <c r="AB1278" s="1" t="n"/>
      <c r="AC1278" s="1" t="n"/>
      <c r="AD1278" s="1" t="n"/>
      <c r="AE1278" s="1" t="n"/>
    </row>
    <row r="1279" ht="42" customHeight="1">
      <c r="A1279" s="14">
        <f>IFERROR(__xludf.DUMMYFUNCTION("""COMPUTED_VALUE"""),45181)</f>
        <v/>
      </c>
      <c r="B1279" s="1">
        <f>IFERROR(__xludf.DUMMYFUNCTION("""COMPUTED_VALUE"""),"ORG_1064")</f>
        <v/>
      </c>
      <c r="C1279" s="1">
        <f>IFERROR(__xludf.DUMMYFUNCTION("""COMPUTED_VALUE"""),TRUE)</f>
        <v/>
      </c>
      <c r="D1279" s="1">
        <f>IFERROR(__xludf.DUMMYFUNCTION("""COMPUTED_VALUE"""),"AltusForm")</f>
        <v/>
      </c>
      <c r="E1279" s="15">
        <f>IFERROR(__xludf.DUMMYFUNCTION("""COMPUTED_VALUE"""),"https://altusform.fr")</f>
        <v/>
      </c>
      <c r="F1279" s="1">
        <f>IFERROR(__xludf.DUMMYFUNCTION("""COMPUTED_VALUE"""),"Born from the experience of a former French Air Force instructor pilot, AltusForm has been present on the virtual reality training, communication and orientation market since September 2018.
The company aims to make the creation and use of virtual reality"&amp;" resources accessible to as many people as possible.
AltusForm is particularly committed to vulnerable audiences.
This is how in 2019 the Orléans science park opened its doors to him for its acceleration program.
After 18 months of development, the compan"&amp;"y was able to bring the Nixi solution to market.
Born from the experience of a French Air Force instructor pilot, AltusForm has been present on the virtual reality training and communication market since September 2018. In 2019 the Orléans science park op"&amp;"ened its doors to him for its acceleration program. After 18 months of development, the company was able to bring the Nixi solution to market.
The company aims to make the creation and use of virtual reality resources accessible to as many people as possi"&amp;"ble. AltusForm is particularly committed to vulnerable audiences.
The types of customers for AltusForm are very varied: training centers that wish to innovate, companies with recruitment difficulties, social and professional integration structures.")</f>
        <v/>
      </c>
      <c r="G1279" s="1">
        <f>IFERROR(__xludf.DUMMYFUNCTION("""COMPUTED_VALUE"""),"EdTech France")</f>
        <v/>
      </c>
      <c r="H1279" s="1" t="n"/>
      <c r="I1279" s="1">
        <f>IFERROR(__xludf.DUMMYFUNCTION("""COMPUTED_VALUE"""),"contact@altusform.fr")</f>
        <v/>
      </c>
      <c r="J1279" s="1">
        <f>IFERROR(__xludf.DUMMYFUNCTION("""COMPUTED_VALUE"""),"+33 6 82 08 90 73")</f>
        <v/>
      </c>
      <c r="K1279" s="1">
        <f>IFERROR(__xludf.DUMMYFUNCTION("""COMPUTED_VALUE"""),"GIEN")</f>
        <v/>
      </c>
      <c r="L1279" s="1">
        <f>IFERROR(__xludf.DUMMYFUNCTION("""COMPUTED_VALUE"""),"France")</f>
        <v/>
      </c>
      <c r="M1279" s="1">
        <f>IFERROR(__xludf.DUMMYFUNCTION("""COMPUTED_VALUE"""),"France")</f>
        <v/>
      </c>
      <c r="N1279" s="1">
        <f>IFERROR(__xludf.DUMMYFUNCTION("""COMPUTED_VALUE"""),"0 to 2")</f>
        <v/>
      </c>
      <c r="O1279" s="1">
        <f>IFERROR(__xludf.DUMMYFUNCTION("""COMPUTED_VALUE"""),"Business to Business")</f>
        <v/>
      </c>
      <c r="P1279" s="1">
        <f>IFERROR(__xludf.DUMMYFUNCTION("""COMPUTED_VALUE"""),"Secondary Education, Corporate Training, Lifelong learning/Adult education")</f>
        <v/>
      </c>
      <c r="Q1279" s="1">
        <f>IFERROR(__xludf.DUMMYFUNCTION("""COMPUTED_VALUE"""),"Teacher interfacing, System/Administrative, Student interfacing")</f>
        <v/>
      </c>
      <c r="R1279" s="1" t="n"/>
      <c r="S1279" s="1" t="n"/>
      <c r="T1279" s="15">
        <f>IFERROR(__xludf.DUMMYFUNCTION("""COMPUTED_VALUE"""),"https://www.linkedin.com/company/altusform")</f>
        <v/>
      </c>
      <c r="U1279" s="1">
        <f>IFERROR(__xludf.DUMMYFUNCTION("""COMPUTED_VALUE"""),"Nixi")</f>
        <v/>
      </c>
      <c r="V1279" s="1">
        <f>IFERROR(__xludf.DUMMYFUNCTION("""COMPUTED_VALUE"""),"Nixi solution is a virtual reality media creation platform for training, communication and career guidance
- Effective fun quizzes: users spontaneously answer your questionnaires and memorize knowledge while playing baseball, knocking out UFOs, catching b"&amp;"ats with a magic wand...
- Immersive information about your jobs and your establishments with the creation of virtual tours that can be modified at any time and augmented with sound effects, chained questions...
Resources can be shared with your colleague"&amp;"s or with the whole community")</f>
        <v/>
      </c>
      <c r="W1279" s="1" t="n"/>
      <c r="X1279" s="1" t="n"/>
      <c r="Y1279" s="15">
        <f>IFERROR(__xludf.DUMMYFUNCTION("""COMPUTED_VALUE"""),"https://drive.google.com/uc?export=view&amp;id=1r4CC6FXNc3WjBP9m5ocW05SW04WmeoxA")</f>
        <v/>
      </c>
      <c r="Z1279" s="1">
        <f>IFERROR(__xludf.DUMMYFUNCTION("""COMPUTED_VALUE"""),"Unverified")</f>
        <v/>
      </c>
      <c r="AA1279" s="1" t="n"/>
      <c r="AB1279" s="1" t="n"/>
      <c r="AC1279" s="1" t="n"/>
      <c r="AD1279" s="1" t="n"/>
      <c r="AE1279" s="1" t="n"/>
    </row>
    <row r="1280" ht="42" customHeight="1">
      <c r="A1280" s="14">
        <f>IFERROR(__xludf.DUMMYFUNCTION("""COMPUTED_VALUE"""),45181)</f>
        <v/>
      </c>
      <c r="B1280" s="1">
        <f>IFERROR(__xludf.DUMMYFUNCTION("""COMPUTED_VALUE"""),"ORG_1088")</f>
        <v/>
      </c>
      <c r="C1280" s="1">
        <f>IFERROR(__xludf.DUMMYFUNCTION("""COMPUTED_VALUE"""),TRUE)</f>
        <v/>
      </c>
      <c r="D1280" s="1">
        <f>IFERROR(__xludf.DUMMYFUNCTION("""COMPUTED_VALUE"""),"AQUEDUTO (The Association for Quality Education and Training Online)")</f>
        <v/>
      </c>
      <c r="E1280" s="15">
        <f>IFERROR(__xludf.DUMMYFUNCTION("""COMPUTED_VALUE"""),"www.aqueduto.com")</f>
        <v/>
      </c>
      <c r="F1280" s="1">
        <f>IFERROR(__xludf.DUMMYFUNCTION("""COMPUTED_VALUE"""),"AQUEDUTO (Association for QUality EDUcation and Training Online) is a not-for-profit organization dedicated to promoting quality in online education programs. 
Through the creation of our Quality Assurance Framework, we strive to document standards in onl"&amp;"ine course delivery for schools worldwide to guide their online curriculum and offerings. As an institution, we seek to continuously further the field of online language and teacher education through our latest research and webinar events.
Our accredited "&amp;"members have showcased exceptional quality in their online programs and continue to deliver exceptional online education programs.")</f>
        <v/>
      </c>
      <c r="G1280" s="1">
        <f>IFERROR(__xludf.DUMMYFUNCTION("""COMPUTED_VALUE"""),"I'm not part of any EdTech association")</f>
        <v/>
      </c>
      <c r="H1280" s="1" t="n"/>
      <c r="I1280" s="1">
        <f>IFERROR(__xludf.DUMMYFUNCTION("""COMPUTED_VALUE"""),"aquedutoonline@gmail.com")</f>
        <v/>
      </c>
      <c r="J1280" s="1">
        <f>IFERROR(__xludf.DUMMYFUNCTION("""COMPUTED_VALUE"""),"+441603664473")</f>
        <v/>
      </c>
      <c r="K1280" s="1">
        <f>IFERROR(__xludf.DUMMYFUNCTION("""COMPUTED_VALUE"""),"Norwich")</f>
        <v/>
      </c>
      <c r="L1280" s="1">
        <f>IFERROR(__xludf.DUMMYFUNCTION("""COMPUTED_VALUE"""),"United Kingdom")</f>
        <v/>
      </c>
      <c r="M1280" s="1">
        <f>IFERROR(__xludf.DUMMYFUNCTION("""COMPUTED_VALUE"""),"Austria, Cyprus, Denmark, France, Germany, Greece, Hungary, Ireland, Italy, Kazakhstan, Lithuania, Luxembourg, Malta, Montenegro, Netherlands, North Macedonia, Norway, Poland, Portugal, Russia, Serbia, Slovakia, Spain, Switzerland, Turkey, Ukraine, United"&amp;" Kingdom")</f>
        <v/>
      </c>
      <c r="N1280" s="1">
        <f>IFERROR(__xludf.DUMMYFUNCTION("""COMPUTED_VALUE"""),"0 to 10")</f>
        <v/>
      </c>
      <c r="O1280" s="1">
        <f>IFERROR(__xludf.DUMMYFUNCTION("""COMPUTED_VALUE"""),"Business to Business")</f>
        <v/>
      </c>
      <c r="P1280" s="1">
        <f>IFERROR(__xludf.DUMMYFUNCTION("""COMPUTED_VALUE"""),"Corporate Training, Lifelong learning/Adult education")</f>
        <v/>
      </c>
      <c r="Q1280" s="1">
        <f>IFERROR(__xludf.DUMMYFUNCTION("""COMPUTED_VALUE"""),"Teacher interfacing, System/Administrative")</f>
        <v/>
      </c>
      <c r="R1280" s="1" t="n"/>
      <c r="S1280" s="1" t="n"/>
      <c r="T1280" s="1" t="n"/>
      <c r="U1280" s="1" t="n"/>
      <c r="V1280" s="1" t="n"/>
      <c r="W1280" s="1" t="n"/>
      <c r="X1280" s="1" t="n"/>
      <c r="Y1280" s="15">
        <f>IFERROR(__xludf.DUMMYFUNCTION("""COMPUTED_VALUE"""),"https://drive.google.com/uc?export=view&amp;id=1SvTjU7nQHCZnLmY3tFDzWf7lsk_6qPl7")</f>
        <v/>
      </c>
      <c r="Z1280" s="1">
        <f>IFERROR(__xludf.DUMMYFUNCTION("""COMPUTED_VALUE"""),"Unverified")</f>
        <v/>
      </c>
      <c r="AA1280" s="1" t="n"/>
      <c r="AB1280" s="1" t="n"/>
      <c r="AC1280" s="1" t="n"/>
      <c r="AD1280" s="1" t="n"/>
      <c r="AE1280" s="1" t="n"/>
    </row>
    <row r="1281" ht="42" customHeight="1">
      <c r="A1281" s="14">
        <f>IFERROR(__xludf.DUMMYFUNCTION("""COMPUTED_VALUE"""),45181)</f>
        <v/>
      </c>
      <c r="B1281" s="1">
        <f>IFERROR(__xludf.DUMMYFUNCTION("""COMPUTED_VALUE"""),"ORG_1120")</f>
        <v/>
      </c>
      <c r="C1281" s="1">
        <f>IFERROR(__xludf.DUMMYFUNCTION("""COMPUTED_VALUE"""),TRUE)</f>
        <v/>
      </c>
      <c r="D1281" s="1">
        <f>IFERROR(__xludf.DUMMYFUNCTION("""COMPUTED_VALUE"""),"Attender")</f>
        <v/>
      </c>
      <c r="E1281" s="15">
        <f>IFERROR(__xludf.DUMMYFUNCTION("""COMPUTED_VALUE"""),"www.attender.uk")</f>
        <v/>
      </c>
      <c r="F1281" s="1">
        <f>IFERROR(__xludf.DUMMYFUNCTION("""COMPUTED_VALUE"""),"Attender is on a mission to save teachers precious class time by making attendance registration fast and fun.
We want to lower student absence and prevent dropouts by using gamification. On top of this we deliver actionable attendance data in easy-to-use "&amp;"statistical interfaces.
We are convinced that you will get better results with a carrot than a stick. That is why we have made a great effort to motive students to attend by using rewards like Attender Streaks, Attender Coins and Attender Badges. The sch"&amp;"ool can choose if the students can redeem the coins for free lunch, gift certificates or similar to prevent absence and dropouts.
Contact us for a access to a free demo.")</f>
        <v/>
      </c>
      <c r="G1281" s="1">
        <f>IFERROR(__xludf.DUMMYFUNCTION("""COMPUTED_VALUE"""),"EdTech Denmark")</f>
        <v/>
      </c>
      <c r="H1281" s="1">
        <f>IFERROR(__xludf.DUMMYFUNCTION("""COMPUTED_VALUE"""),"English, Danish, Norwegian, Swedish, Finnish, German, Dutch, French, Spanish")</f>
        <v/>
      </c>
      <c r="I1281" s="1">
        <f>IFERROR(__xludf.DUMMYFUNCTION("""COMPUTED_VALUE"""),"heine@attender.dk")</f>
        <v/>
      </c>
      <c r="J1281" s="1">
        <f>IFERROR(__xludf.DUMMYFUNCTION("""COMPUTED_VALUE"""),"+4542407787")</f>
        <v/>
      </c>
      <c r="K1281" s="1">
        <f>IFERROR(__xludf.DUMMYFUNCTION("""COMPUTED_VALUE"""),"AARHUS N")</f>
        <v/>
      </c>
      <c r="L1281" s="1">
        <f>IFERROR(__xludf.DUMMYFUNCTION("""COMPUTED_VALUE"""),"Denmark")</f>
        <v/>
      </c>
      <c r="M1281" s="1">
        <f>IFERROR(__xludf.DUMMYFUNCTION("""COMPUTED_VALUE"""),"Denmark, Finland, Netherlands, Norway, Sweden, United Kingdom")</f>
        <v/>
      </c>
      <c r="N1281" s="1">
        <f>IFERROR(__xludf.DUMMYFUNCTION("""COMPUTED_VALUE"""),"3 to 5")</f>
        <v/>
      </c>
      <c r="O1281" s="1">
        <f>IFERROR(__xludf.DUMMYFUNCTION("""COMPUTED_VALUE"""),"Business to Business")</f>
        <v/>
      </c>
      <c r="P1281" s="1">
        <f>IFERROR(__xludf.DUMMYFUNCTION("""COMPUTED_VALUE"""),"Early childhood development (0-5 years), Primary Education, Secondary Education, Corporate Training, Vocational Education and Training (VET), Higher Education")</f>
        <v/>
      </c>
      <c r="Q1281" s="1">
        <f>IFERROR(__xludf.DUMMYFUNCTION("""COMPUTED_VALUE"""),"Teacher interfacing, System/Administrative")</f>
        <v/>
      </c>
      <c r="R1281" s="1" t="n"/>
      <c r="S1281" s="1" t="n"/>
      <c r="T1281" s="1" t="n"/>
      <c r="U1281" s="1">
        <f>IFERROR(__xludf.DUMMYFUNCTION("""COMPUTED_VALUE"""),"Attender Attendance Registration")</f>
        <v/>
      </c>
      <c r="V1281" s="1">
        <f>IFERROR(__xludf.DUMMYFUNCTION("""COMPUTED_VALUE"""),"Attender makes attendance registration fast and easy. It motivates students to attend class by using gamification.")</f>
        <v/>
      </c>
      <c r="W1281" s="1" t="n"/>
      <c r="X1281" s="1" t="n"/>
      <c r="Y1281" s="15">
        <f>IFERROR(__xludf.DUMMYFUNCTION("""COMPUTED_VALUE"""),"https://drive.google.com/uc?export=view&amp;id=1_mS3n6n6zPp3FKoXsIJ1NMwxvMkJNKlM")</f>
        <v/>
      </c>
      <c r="Z1281" s="1">
        <f>IFERROR(__xludf.DUMMYFUNCTION("""COMPUTED_VALUE"""),"Unverified")</f>
        <v/>
      </c>
      <c r="AA1281" s="1" t="n"/>
      <c r="AB1281" s="1" t="n"/>
      <c r="AC1281" s="1" t="n"/>
      <c r="AD1281" s="1" t="n"/>
      <c r="AE1281" s="1" t="n"/>
    </row>
    <row r="1282" ht="42" customHeight="1">
      <c r="A1282" s="14">
        <f>IFERROR(__xludf.DUMMYFUNCTION("""COMPUTED_VALUE"""),45181)</f>
        <v/>
      </c>
      <c r="B1282" s="1">
        <f>IFERROR(__xludf.DUMMYFUNCTION("""COMPUTED_VALUE"""),"ORG_1159")</f>
        <v/>
      </c>
      <c r="C1282" s="1">
        <f>IFERROR(__xludf.DUMMYFUNCTION("""COMPUTED_VALUE"""),TRUE)</f>
        <v/>
      </c>
      <c r="D1282" s="1">
        <f>IFERROR(__xludf.DUMMYFUNCTION("""COMPUTED_VALUE"""),"Beyond Education")</f>
        <v/>
      </c>
      <c r="E1282" s="15">
        <f>IFERROR(__xludf.DUMMYFUNCTION("""COMPUTED_VALUE"""),"https://beyondeducation.tech/")</f>
        <v/>
      </c>
      <c r="F1282" s="1">
        <f>IFERROR(__xludf.DUMMYFUNCTION("""COMPUTED_VALUE"""),"Beyond Education prepares students aged 10-21 for the future by assessing and developing 21st Century Competencies (soft skills) online, globally.")</f>
        <v/>
      </c>
      <c r="G1282" s="1">
        <f>IFERROR(__xludf.DUMMYFUNCTION("""COMPUTED_VALUE"""),"EdTech France")</f>
        <v/>
      </c>
      <c r="H1282" s="1" t="n"/>
      <c r="I1282" s="1">
        <f>IFERROR(__xludf.DUMMYFUNCTION("""COMPUTED_VALUE"""),"michaela@beyondeducation.tech")</f>
        <v/>
      </c>
      <c r="J1282" s="1">
        <f>IFERROR(__xludf.DUMMYFUNCTION("""COMPUTED_VALUE"""),"+33668101597")</f>
        <v/>
      </c>
      <c r="K1282" s="1">
        <f>IFERROR(__xludf.DUMMYFUNCTION("""COMPUTED_VALUE"""),"Paris 1er Arrondissement")</f>
        <v/>
      </c>
      <c r="L1282" s="1">
        <f>IFERROR(__xludf.DUMMYFUNCTION("""COMPUTED_VALUE"""),"France")</f>
        <v/>
      </c>
      <c r="M1282" s="1">
        <f>IFERROR(__xludf.DUMMYFUNCTION("""COMPUTED_VALUE"""),"France, Italy, Portugal, Slovakia")</f>
        <v/>
      </c>
      <c r="N1282" s="1">
        <f>IFERROR(__xludf.DUMMYFUNCTION("""COMPUTED_VALUE"""),"0 to 10")</f>
        <v/>
      </c>
      <c r="O1282" s="1">
        <f>IFERROR(__xludf.DUMMYFUNCTION("""COMPUTED_VALUE"""),"Business to Business")</f>
        <v/>
      </c>
      <c r="P1282" s="1">
        <f>IFERROR(__xludf.DUMMYFUNCTION("""COMPUTED_VALUE"""),"Secondary Education, Higher Education")</f>
        <v/>
      </c>
      <c r="Q1282" s="1">
        <f>IFERROR(__xludf.DUMMYFUNCTION("""COMPUTED_VALUE"""),"Student interfacing")</f>
        <v/>
      </c>
      <c r="R1282" s="15">
        <f>IFERROR(__xludf.DUMMYFUNCTION("""COMPUTED_VALUE"""),"https://www.instagram.com/beyondeducation21st/")</f>
        <v/>
      </c>
      <c r="S1282" s="1" t="n"/>
      <c r="T1282" s="15">
        <f>IFERROR(__xludf.DUMMYFUNCTION("""COMPUTED_VALUE"""),"https://www.linkedin.com/company/be-beyond-education-company/?viewAsMember=true")</f>
        <v/>
      </c>
      <c r="U1282" s="1">
        <f>IFERROR(__xludf.DUMMYFUNCTION("""COMPUTED_VALUE"""),"Competency Calculator")</f>
        <v/>
      </c>
      <c r="V1282" s="1">
        <f>IFERROR(__xludf.DUMMYFUNCTION("""COMPUTED_VALUE"""),"Research-based, scientifically validated assessment of soft-skills for 10-21 year-old.
* 1st ever validated and reliable test to assess students’ 21st century competencies*
* Personalized student report
* School report - diagnostic and recommendations
* I"&amp;"nternational benchmark of schools")</f>
        <v/>
      </c>
      <c r="W1282" s="1">
        <f>IFERROR(__xludf.DUMMYFUNCTION("""COMPUTED_VALUE"""),"Beyond Education Online Programs")</f>
        <v/>
      </c>
      <c r="X1282" s="1">
        <f>IFERROR(__xludf.DUMMYFUNCTION("""COMPUTED_VALUE"""),"Online validated learning experience to foster 21st century competencies
* Unique curricula adapted to students’ age 13-21
* Individual and group learning experiences
*Project-based learning using Design thinking
*Global Community
*Premium mentoring &amp; fac"&amp;"ilitated online sessions
*Certificate")</f>
        <v/>
      </c>
      <c r="Y1282" s="15">
        <f>IFERROR(__xludf.DUMMYFUNCTION("""COMPUTED_VALUE"""),"https://drive.google.com/uc?export=view&amp;id=1wv-QoJp0POrGv7U4efqchrGaBeznFR8V")</f>
        <v/>
      </c>
      <c r="Z1282" s="1">
        <f>IFERROR(__xludf.DUMMYFUNCTION("""COMPUTED_VALUE"""),"Unverified")</f>
        <v/>
      </c>
      <c r="AA1282" s="1" t="n"/>
      <c r="AB1282" s="1" t="n"/>
      <c r="AC1282" s="1" t="n"/>
      <c r="AD1282" s="1" t="n"/>
      <c r="AE1282" s="1" t="n"/>
    </row>
    <row r="1283" ht="42" customHeight="1">
      <c r="A1283" s="14">
        <f>IFERROR(__xludf.DUMMYFUNCTION("""COMPUTED_VALUE"""),45181)</f>
        <v/>
      </c>
      <c r="B1283" s="1">
        <f>IFERROR(__xludf.DUMMYFUNCTION("""COMPUTED_VALUE"""),"ORG_1181")</f>
        <v/>
      </c>
      <c r="C1283" s="1">
        <f>IFERROR(__xludf.DUMMYFUNCTION("""COMPUTED_VALUE"""),TRUE)</f>
        <v/>
      </c>
      <c r="D1283" s="1">
        <f>IFERROR(__xludf.DUMMYFUNCTION("""COMPUTED_VALUE"""),"Bodyswaps")</f>
        <v/>
      </c>
      <c r="E1283" s="15">
        <f>IFERROR(__xludf.DUMMYFUNCTION("""COMPUTED_VALUE"""),"https://bodyswaps.co/")</f>
        <v/>
      </c>
      <c r="F1283" s="1">
        <f>IFERROR(__xludf.DUMMYFUNCTION("""COMPUTED_VALUE"""),"Bodyswaps leverages VR &amp; AI to empower learners to practise and develop their soft skills through empathy and self-reflection.
Designed for corporates and educational organisations, Bodyswaps combines a distribution platform with an off-the-shelf library"&amp;" of immersive simulations on communication, teamwork, leadership and job interview skills.")</f>
        <v/>
      </c>
      <c r="G1283" s="1">
        <f>IFERROR(__xludf.DUMMYFUNCTION("""COMPUTED_VALUE"""),"EdTech France")</f>
        <v/>
      </c>
      <c r="H1283" s="1" t="n"/>
      <c r="I1283" s="1">
        <f>IFERROR(__xludf.DUMMYFUNCTION("""COMPUTED_VALUE"""),"chris@bodyswaps.co")</f>
        <v/>
      </c>
      <c r="J1283" s="1">
        <f>IFERROR(__xludf.DUMMYFUNCTION("""COMPUTED_VALUE"""),"+447917735078")</f>
        <v/>
      </c>
      <c r="K1283" s="1">
        <f>IFERROR(__xludf.DUMMYFUNCTION("""COMPUTED_VALUE"""),"LONDON")</f>
        <v/>
      </c>
      <c r="L1283" s="1">
        <f>IFERROR(__xludf.DUMMYFUNCTION("""COMPUTED_VALUE"""),"United Kingdom")</f>
        <v/>
      </c>
      <c r="M1283" s="1">
        <f>IFERROR(__xludf.DUMMYFUNCTION("""COMPUTED_VALUE"""),"Belgium, France, Germany, Spain, Switzerland, United Kingdom")</f>
        <v/>
      </c>
      <c r="N1283" s="1">
        <f>IFERROR(__xludf.DUMMYFUNCTION("""COMPUTED_VALUE"""),"0 to 10")</f>
        <v/>
      </c>
      <c r="O1283" s="1">
        <f>IFERROR(__xludf.DUMMYFUNCTION("""COMPUTED_VALUE"""),"Business to Business")</f>
        <v/>
      </c>
      <c r="P1283" s="1">
        <f>IFERROR(__xludf.DUMMYFUNCTION("""COMPUTED_VALUE"""),"Higher Education, Corporate Training")</f>
        <v/>
      </c>
      <c r="Q1283" s="1">
        <f>IFERROR(__xludf.DUMMYFUNCTION("""COMPUTED_VALUE"""),"Student interfacing, System/Administrative")</f>
        <v/>
      </c>
      <c r="R1283" s="1" t="n"/>
      <c r="S1283" s="1" t="n"/>
      <c r="T1283" s="1" t="n"/>
      <c r="U1283" s="1" t="n"/>
      <c r="V1283" s="1" t="n"/>
      <c r="W1283" s="1" t="n"/>
      <c r="X1283" s="1" t="n"/>
      <c r="Y1283" s="15">
        <f>IFERROR(__xludf.DUMMYFUNCTION("""COMPUTED_VALUE"""),"https://drive.google.com/uc?export=view&amp;id=1PDDXU8RtDlnZcK0p1xp5t_BYdg2svavC")</f>
        <v/>
      </c>
      <c r="Z1283" s="1">
        <f>IFERROR(__xludf.DUMMYFUNCTION("""COMPUTED_VALUE"""),"Unverified")</f>
        <v/>
      </c>
      <c r="AA1283" s="1" t="n"/>
      <c r="AB1283" s="1" t="n"/>
      <c r="AC1283" s="1" t="n"/>
      <c r="AD1283" s="1" t="n"/>
      <c r="AE1283" s="1" t="n"/>
    </row>
    <row r="1284" ht="42" customHeight="1">
      <c r="A1284" s="14">
        <f>IFERROR(__xludf.DUMMYFUNCTION("""COMPUTED_VALUE"""),45181)</f>
        <v/>
      </c>
      <c r="B1284" s="1">
        <f>IFERROR(__xludf.DUMMYFUNCTION("""COMPUTED_VALUE"""),"ORG_1212")</f>
        <v/>
      </c>
      <c r="C1284" s="1">
        <f>IFERROR(__xludf.DUMMYFUNCTION("""COMPUTED_VALUE"""),TRUE)</f>
        <v/>
      </c>
      <c r="D1284" s="1">
        <f>IFERROR(__xludf.DUMMYFUNCTION("""COMPUTED_VALUE"""),"Cambridge International Academy")</f>
        <v/>
      </c>
      <c r="E1284" s="15">
        <f>IFERROR(__xludf.DUMMYFUNCTION("""COMPUTED_VALUE"""),"https://www.cambridgeinternational.academy/")</f>
        <v/>
      </c>
      <c r="F1284" s="1">
        <f>IFERROR(__xludf.DUMMYFUNCTION("""COMPUTED_VALUE"""),"Cambridge International Academy is an accredited and innovative academy providing high quality education to young people in Cambridge and online.
Founded in 2015, the Academy aspires to help make Cambridge style education more
accessible to international"&amp;" students. The Academy began its mission teaching academic focused courses in Cambridge.
Since 2019, the Academy has widened its mission by teaching courses online, benefiting students without the need to travel.
The Academy is investing in an innovative"&amp;" technological solution to empower 5 million young people around the world to access our quality education by 2030.")</f>
        <v/>
      </c>
      <c r="G1284" s="1">
        <f>IFERROR(__xludf.DUMMYFUNCTION("""COMPUTED_VALUE"""),"I'm not part of any EdTech association")</f>
        <v/>
      </c>
      <c r="H1284" s="1" t="n"/>
      <c r="I1284" s="1">
        <f>IFERROR(__xludf.DUMMYFUNCTION("""COMPUTED_VALUE"""),"admissions@cambridgeinternational.academy")</f>
        <v/>
      </c>
      <c r="J1284" s="1">
        <f>IFERROR(__xludf.DUMMYFUNCTION("""COMPUTED_VALUE"""),"+44 7483226613")</f>
        <v/>
      </c>
      <c r="K1284" s="1">
        <f>IFERROR(__xludf.DUMMYFUNCTION("""COMPUTED_VALUE"""),"CAMBRIDGE")</f>
        <v/>
      </c>
      <c r="L1284" s="1">
        <f>IFERROR(__xludf.DUMMYFUNCTION("""COMPUTED_VALUE"""),"United Kingdom")</f>
        <v/>
      </c>
      <c r="M1284" s="1">
        <f>IFERROR(__xludf.DUMMYFUNCTION("""COMPUTED_VALUE"""),"United Kingdom")</f>
        <v/>
      </c>
      <c r="N1284" s="1">
        <f>IFERROR(__xludf.DUMMYFUNCTION("""COMPUTED_VALUE"""),"0 to 10")</f>
        <v/>
      </c>
      <c r="O1284" s="1">
        <f>IFERROR(__xludf.DUMMYFUNCTION("""COMPUTED_VALUE"""),"Business to Business")</f>
        <v/>
      </c>
      <c r="P1284" s="1">
        <f>IFERROR(__xludf.DUMMYFUNCTION("""COMPUTED_VALUE"""),"Secondary Education")</f>
        <v/>
      </c>
      <c r="Q1284" s="1">
        <f>IFERROR(__xludf.DUMMYFUNCTION("""COMPUTED_VALUE"""),"System/Administrative, Student interfacing, Teacher interfacing")</f>
        <v/>
      </c>
      <c r="R1284" s="1" t="n"/>
      <c r="S1284" s="1" t="n"/>
      <c r="T1284" s="1" t="n"/>
      <c r="U1284" s="1" t="n"/>
      <c r="V1284" s="1" t="n"/>
      <c r="W1284" s="1" t="n"/>
      <c r="X1284" s="1" t="n"/>
      <c r="Y1284" s="15">
        <f>IFERROR(__xludf.DUMMYFUNCTION("""COMPUTED_VALUE"""),"https://drive.google.com/uc?export=view&amp;id=1PO0oPl0fU1tfhRv0BsjS7hsYj16UMFvT")</f>
        <v/>
      </c>
      <c r="Z1284" s="1">
        <f>IFERROR(__xludf.DUMMYFUNCTION("""COMPUTED_VALUE"""),"Unverified")</f>
        <v/>
      </c>
      <c r="AA1284" s="1" t="n"/>
      <c r="AB1284" s="1" t="n"/>
      <c r="AC1284" s="1" t="n"/>
      <c r="AD1284" s="1" t="n"/>
      <c r="AE1284" s="1" t="n"/>
    </row>
    <row r="1285" ht="42" customHeight="1">
      <c r="A1285" s="14">
        <f>IFERROR(__xludf.DUMMYFUNCTION("""COMPUTED_VALUE"""),45181)</f>
        <v/>
      </c>
      <c r="B1285" s="1">
        <f>IFERROR(__xludf.DUMMYFUNCTION("""COMPUTED_VALUE"""),"ORG_1241")</f>
        <v/>
      </c>
      <c r="C1285" s="1">
        <f>IFERROR(__xludf.DUMMYFUNCTION("""COMPUTED_VALUE"""),TRUE)</f>
        <v/>
      </c>
      <c r="D1285" s="1">
        <f>IFERROR(__xludf.DUMMYFUNCTION("""COMPUTED_VALUE"""),"Civinc")</f>
        <v/>
      </c>
      <c r="E1285" s="15">
        <f>IFERROR(__xludf.DUMMYFUNCTION("""COMPUTED_VALUE"""),"www.civinc.co")</f>
        <v/>
      </c>
      <c r="F1285" s="1">
        <f>IFERROR(__xludf.DUMMYFUNCTION("""COMPUTED_VALUE"""),"Civinc is a social startup that offers a customizable digital platform for civic education where students can engage in meaningful discussions on important issues with peers who think differently. In safe, anonymous, one-on-one chat-based ‘speeddates’ the"&amp;"y can form their opinion, expand their horizon and develop vital civic skills, while the anonymized data gives teachers valuable insight on sentiment, language and performance.")</f>
        <v/>
      </c>
      <c r="G1285" s="1">
        <f>IFERROR(__xludf.DUMMYFUNCTION("""COMPUTED_VALUE"""),"Dutch EdTech")</f>
        <v/>
      </c>
      <c r="H1285" s="1" t="n"/>
      <c r="I1285" s="1">
        <f>IFERROR(__xludf.DUMMYFUNCTION("""COMPUTED_VALUE"""),"hello@civinc.co")</f>
        <v/>
      </c>
      <c r="J1285" s="1">
        <f>IFERROR(__xludf.DUMMYFUNCTION("""COMPUTED_VALUE"""),"+31621565085")</f>
        <v/>
      </c>
      <c r="K1285" s="1">
        <f>IFERROR(__xludf.DUMMYFUNCTION("""COMPUTED_VALUE"""),"AMSTERDAM")</f>
        <v/>
      </c>
      <c r="L1285" s="1">
        <f>IFERROR(__xludf.DUMMYFUNCTION("""COMPUTED_VALUE"""),"The Netherlands")</f>
        <v/>
      </c>
      <c r="M1285" s="1">
        <f>IFERROR(__xludf.DUMMYFUNCTION("""COMPUTED_VALUE"""),"Netherlands")</f>
        <v/>
      </c>
      <c r="N1285" s="1">
        <f>IFERROR(__xludf.DUMMYFUNCTION("""COMPUTED_VALUE"""),"0 to 10")</f>
        <v/>
      </c>
      <c r="O1285" s="1">
        <f>IFERROR(__xludf.DUMMYFUNCTION("""COMPUTED_VALUE"""),"Business to Business")</f>
        <v/>
      </c>
      <c r="P1285" s="1">
        <f>IFERROR(__xludf.DUMMYFUNCTION("""COMPUTED_VALUE"""),"Higher Education")</f>
        <v/>
      </c>
      <c r="Q1285" s="1">
        <f>IFERROR(__xludf.DUMMYFUNCTION("""COMPUTED_VALUE"""),"Student interfacing, Teacher interfacing, System/Administrative")</f>
        <v/>
      </c>
      <c r="R1285" s="1" t="n"/>
      <c r="S1285" s="1" t="n"/>
      <c r="T1285" s="15">
        <f>IFERROR(__xludf.DUMMYFUNCTION("""COMPUTED_VALUE"""),"https://www.linkedin.com/company/civinc")</f>
        <v/>
      </c>
      <c r="U1285" s="1">
        <f>IFERROR(__xludf.DUMMYFUNCTION("""COMPUTED_VALUE"""),"Civinc discussion platform")</f>
        <v/>
      </c>
      <c r="V1285" s="1">
        <f>IFERROR(__xludf.DUMMYFUNCTION("""COMPUTED_VALUE"""),"Civinc is a customizable digital platform for civic education where students can engage in meaningful discussions on important issues with peers who think differently. In safe, anonymous, one-on-one chat-based ‘speeddates’ they can form their opinion, exp"&amp;"and their horizon and develop vital civic skills, while the anonymized data gives teachers valuable insight on sentiment, language and performance.")</f>
        <v/>
      </c>
      <c r="W1285" s="1" t="n"/>
      <c r="X1285" s="1" t="n"/>
      <c r="Y1285" s="15">
        <f>IFERROR(__xludf.DUMMYFUNCTION("""COMPUTED_VALUE"""),"https://drive.google.com/uc?export=view&amp;id=1PUYazmoVsGKYvCrAxXUu4x0JpALZmURc")</f>
        <v/>
      </c>
      <c r="Z1285" s="1">
        <f>IFERROR(__xludf.DUMMYFUNCTION("""COMPUTED_VALUE"""),"Unverified")</f>
        <v/>
      </c>
      <c r="AA1285" s="1" t="n"/>
      <c r="AB1285" s="1" t="n"/>
      <c r="AC1285" s="1" t="n"/>
      <c r="AD1285" s="1" t="n"/>
      <c r="AE1285" s="1" t="n"/>
    </row>
    <row r="1286" ht="42" customHeight="1">
      <c r="A1286" s="14">
        <f>IFERROR(__xludf.DUMMYFUNCTION("""COMPUTED_VALUE"""),45181)</f>
        <v/>
      </c>
      <c r="B1286" s="1">
        <f>IFERROR(__xludf.DUMMYFUNCTION("""COMPUTED_VALUE"""),"ORG_1249")</f>
        <v/>
      </c>
      <c r="C1286" s="1">
        <f>IFERROR(__xludf.DUMMYFUNCTION("""COMPUTED_VALUE"""),TRUE)</f>
        <v/>
      </c>
      <c r="D1286" s="1">
        <f>IFERROR(__xludf.DUMMYFUNCTION("""COMPUTED_VALUE"""),"Classlife Education")</f>
        <v/>
      </c>
      <c r="E1286" s="15">
        <f>IFERROR(__xludf.DUMMYFUNCTION("""COMPUTED_VALUE"""),"https://www.classlife.education/")</f>
        <v/>
      </c>
      <c r="F1286" s="1">
        <f>IFERROR(__xludf.DUMMYFUNCTION("""COMPUTED_VALUE"""),"Classlife is an all-in-one education management platform in the cloud. From Higher Education, to K-12, including vocational training and academies, any educational institution can benefit from our software. 
Classlife integrates different tools within th"&amp;"e same platform to help all institutions manage and control all the workflows and tasks. It includes 4 modules that cover and connect all the areas of the school: marketing and sales, academic administration, financial management and online campus. It is "&amp;"also possible to connect third-party tools to meet all the needs the institution may have.
And all these that we just mentioned, in one single place.")</f>
        <v/>
      </c>
      <c r="G1286" s="1">
        <f>IFERROR(__xludf.DUMMYFUNCTION("""COMPUTED_VALUE"""),"EduTech Cluster Spain")</f>
        <v/>
      </c>
      <c r="H1286" s="1" t="n"/>
      <c r="I1286" s="1">
        <f>IFERROR(__xludf.DUMMYFUNCTION("""COMPUTED_VALUE"""),"hello@classlife.education")</f>
        <v/>
      </c>
      <c r="J1286" s="1">
        <f>IFERROR(__xludf.DUMMYFUNCTION("""COMPUTED_VALUE"""),"(+34) 935 436 174")</f>
        <v/>
      </c>
      <c r="K1286" s="1">
        <f>IFERROR(__xludf.DUMMYFUNCTION("""COMPUTED_VALUE"""),"Barcelona")</f>
        <v/>
      </c>
      <c r="L1286" s="1">
        <f>IFERROR(__xludf.DUMMYFUNCTION("""COMPUTED_VALUE"""),"Spain")</f>
        <v/>
      </c>
      <c r="M1286" s="1">
        <f>IFERROR(__xludf.DUMMYFUNCTION("""COMPUTED_VALUE"""),"Belgium, Cyprus, Spain")</f>
        <v/>
      </c>
      <c r="N1286" s="1">
        <f>IFERROR(__xludf.DUMMYFUNCTION("""COMPUTED_VALUE"""),"11 to 50")</f>
        <v/>
      </c>
      <c r="O1286" s="1">
        <f>IFERROR(__xludf.DUMMYFUNCTION("""COMPUTED_VALUE"""),"Business to Business")</f>
        <v/>
      </c>
      <c r="P1286" s="1">
        <f>IFERROR(__xludf.DUMMYFUNCTION("""COMPUTED_VALUE"""),"Primary Education, Secondary Education, Higher Education")</f>
        <v/>
      </c>
      <c r="Q1286" s="1">
        <f>IFERROR(__xludf.DUMMYFUNCTION("""COMPUTED_VALUE"""),"System/Administrative")</f>
        <v/>
      </c>
      <c r="R1286" s="1" t="n"/>
      <c r="S1286" s="1" t="n"/>
      <c r="T1286" s="1" t="n"/>
      <c r="U1286" s="1" t="n"/>
      <c r="V1286" s="1" t="n"/>
      <c r="W1286" s="1" t="n"/>
      <c r="X1286" s="1" t="n"/>
      <c r="Y1286" s="15">
        <f>IFERROR(__xludf.DUMMYFUNCTION("""COMPUTED_VALUE"""),"https://drive.google.com/uc?export=view&amp;id=1KwtNLU1apZdqBSlpxD-EimE7CPxBFit1")</f>
        <v/>
      </c>
      <c r="Z1286" s="1">
        <f>IFERROR(__xludf.DUMMYFUNCTION("""COMPUTED_VALUE"""),"Unverified")</f>
        <v/>
      </c>
      <c r="AA1286" s="1" t="n"/>
      <c r="AB1286" s="1" t="n"/>
      <c r="AC1286" s="1" t="n"/>
      <c r="AD1286" s="1" t="n"/>
      <c r="AE1286" s="1" t="n"/>
    </row>
    <row r="1287" ht="42" customHeight="1">
      <c r="A1287" s="14">
        <f>IFERROR(__xludf.DUMMYFUNCTION("""COMPUTED_VALUE"""),45181)</f>
        <v/>
      </c>
      <c r="B1287" s="1">
        <f>IFERROR(__xludf.DUMMYFUNCTION("""COMPUTED_VALUE"""),"ORG_1289")</f>
        <v/>
      </c>
      <c r="C1287" s="1">
        <f>IFERROR(__xludf.DUMMYFUNCTION("""COMPUTED_VALUE"""),TRUE)</f>
        <v/>
      </c>
      <c r="D1287" s="1">
        <f>IFERROR(__xludf.DUMMYFUNCTION("""COMPUTED_VALUE"""),"Comproved")</f>
        <v/>
      </c>
      <c r="E1287" s="15">
        <f>IFERROR(__xludf.DUMMYFUNCTION("""COMPUTED_VALUE"""),"https://comproved.com/en/")</f>
        <v/>
      </c>
      <c r="F1287" s="1">
        <f>IFERROR(__xludf.DUMMYFUNCTION("""COMPUTED_VALUE"""),"Comproved helps teachers and judges assess better, by providing knowledge and tooling. Years of scientific research have shown that comparative judgement works because people naturally compare when making decisions. Our comparing tool structures these com"&amp;"parisons and forms a valid, reliable and user-friendly instrument. The tool is perfect for large and small assessments and provides data for teachers and students to learn from.")</f>
        <v/>
      </c>
      <c r="G1287" s="1">
        <f>IFERROR(__xludf.DUMMYFUNCTION("""COMPUTED_VALUE"""),"I'm not part of any EdTech association")</f>
        <v/>
      </c>
      <c r="H1287" s="1" t="n"/>
      <c r="I1287" s="1">
        <f>IFERROR(__xludf.DUMMYFUNCTION("""COMPUTED_VALUE"""),"info@comproved.com")</f>
        <v/>
      </c>
      <c r="J1287" s="1" t="n"/>
      <c r="K1287" s="1">
        <f>IFERROR(__xludf.DUMMYFUNCTION("""COMPUTED_VALUE"""),"DEURNE")</f>
        <v/>
      </c>
      <c r="L1287" s="1">
        <f>IFERROR(__xludf.DUMMYFUNCTION("""COMPUTED_VALUE"""),"Belgium")</f>
        <v/>
      </c>
      <c r="M1287" s="1">
        <f>IFERROR(__xludf.DUMMYFUNCTION("""COMPUTED_VALUE"""),"Belgium, Netherlands, United Kingdom")</f>
        <v/>
      </c>
      <c r="N1287" s="1">
        <f>IFERROR(__xludf.DUMMYFUNCTION("""COMPUTED_VALUE"""),"0 to 10")</f>
        <v/>
      </c>
      <c r="O1287" s="1">
        <f>IFERROR(__xludf.DUMMYFUNCTION("""COMPUTED_VALUE"""),"Business to Business")</f>
        <v/>
      </c>
      <c r="P1287" s="1">
        <f>IFERROR(__xludf.DUMMYFUNCTION("""COMPUTED_VALUE"""),"Secondary Education, Higher Education")</f>
        <v/>
      </c>
      <c r="Q1287" s="1">
        <f>IFERROR(__xludf.DUMMYFUNCTION("""COMPUTED_VALUE"""),"Teacher interfacing, System/Administrative")</f>
        <v/>
      </c>
      <c r="R1287" s="1" t="n"/>
      <c r="S1287" s="1" t="n"/>
      <c r="T1287" s="1" t="n"/>
      <c r="U1287" s="1" t="n"/>
      <c r="V1287" s="1" t="n"/>
      <c r="W1287" s="1" t="n"/>
      <c r="X1287" s="1" t="n"/>
      <c r="Y1287" s="15">
        <f>IFERROR(__xludf.DUMMYFUNCTION("""COMPUTED_VALUE"""),"https://drive.google.com/uc?export=view&amp;id=1C1o3QWFEkCDG1usz6Jq7z5NpaGjwjeWN")</f>
        <v/>
      </c>
      <c r="Z1287" s="1">
        <f>IFERROR(__xludf.DUMMYFUNCTION("""COMPUTED_VALUE"""),"Unverified")</f>
        <v/>
      </c>
      <c r="AA1287" s="1" t="n"/>
      <c r="AB1287" s="1" t="n"/>
      <c r="AC1287" s="1" t="n"/>
      <c r="AD1287" s="1" t="n"/>
      <c r="AE1287" s="1" t="n"/>
    </row>
    <row r="1288" ht="42" customHeight="1">
      <c r="A1288" s="14">
        <f>IFERROR(__xludf.DUMMYFUNCTION("""COMPUTED_VALUE"""),45181)</f>
        <v/>
      </c>
      <c r="B1288" s="1">
        <f>IFERROR(__xludf.DUMMYFUNCTION("""COMPUTED_VALUE"""),"ORG_1298")</f>
        <v/>
      </c>
      <c r="C1288" s="1">
        <f>IFERROR(__xludf.DUMMYFUNCTION("""COMPUTED_VALUE"""),TRUE)</f>
        <v/>
      </c>
      <c r="D1288" s="1">
        <f>IFERROR(__xludf.DUMMYFUNCTION("""COMPUTED_VALUE"""),"Cornelsen Group")</f>
        <v/>
      </c>
      <c r="E1288" s="15">
        <f>IFERROR(__xludf.DUMMYFUNCTION("""COMPUTED_VALUE"""),"https://www.cornelsen-gruppe.de/en")</f>
        <v/>
      </c>
      <c r="F1288" s="1">
        <f>IFERROR(__xludf.DUMMYFUNCTION("""COMPUTED_VALUE"""),"The Cornelsen Group is headed by its majority shareholder the Franz Cornelsen Foundation, established in 1968, and is one of the leading providers of educational media in the German-speaking world. At our headquarters in Berlin and at five other locations"&amp;", more than 1,300 employees work for our well-known brands such as Cornelsen Verlag, Duden, VERITAS and Verlag an der Ruhr. Ranging from (pre-)K12 to professional learning, we aspire to shape a future where everyone can develop their full potential in a w"&amp;"ay that suits them best.
Cornelsen Verlag is one of the leading providers of educational media in the German-speaking world. Cornelsen harnesses its enormous educational expertise to develop products for teaching and individual learning – whether printed"&amp;", digital or cross-media. 
Cornelsen eCademy develops online learning solutions for in-house training and development. Its customised products help educators impart standard learning content. Trainees have flexible access to content and can design their "&amp;"own learning journey to suit their needs. 
Cornelsen Experimenta stands for learning through experimenting, to stimulate interest in the natural sciences and ensure individual learning success in STEM subjects.
Inside Unternehmensgruppe is a leading sup"&amp;"plier of digital solutions for inhouse training is one of the top 10 e-learning providers in Germany. Its focus is on e-learning, blended learning, workplace learning, performance support and training.")</f>
        <v/>
      </c>
      <c r="G1288" s="1">
        <f>IFERROR(__xludf.DUMMYFUNCTION("""COMPUTED_VALUE"""),"EDUvation")</f>
        <v/>
      </c>
      <c r="H1288" s="1" t="n"/>
      <c r="I1288" s="1">
        <f>IFERROR(__xludf.DUMMYFUNCTION("""COMPUTED_VALUE"""),"jeyran.sanee-khonsari@cornelsen.de")</f>
        <v/>
      </c>
      <c r="J1288" s="1">
        <f>IFERROR(__xludf.DUMMYFUNCTION("""COMPUTED_VALUE"""),"+4915223217981")</f>
        <v/>
      </c>
      <c r="K1288" s="1">
        <f>IFERROR(__xludf.DUMMYFUNCTION("""COMPUTED_VALUE"""),"BERLIN")</f>
        <v/>
      </c>
      <c r="L1288" s="1">
        <f>IFERROR(__xludf.DUMMYFUNCTION("""COMPUTED_VALUE"""),"Germany")</f>
        <v/>
      </c>
      <c r="M1288" s="1">
        <f>IFERROR(__xludf.DUMMYFUNCTION("""COMPUTED_VALUE"""),"Austria, Germany, Switzerland")</f>
        <v/>
      </c>
      <c r="N1288" s="1">
        <f>IFERROR(__xludf.DUMMYFUNCTION("""COMPUTED_VALUE"""),"500+")</f>
        <v/>
      </c>
      <c r="O1288" s="1">
        <f>IFERROR(__xludf.DUMMYFUNCTION("""COMPUTED_VALUE"""),"Business to Business")</f>
        <v/>
      </c>
      <c r="P1288" s="1">
        <f>IFERROR(__xludf.DUMMYFUNCTION("""COMPUTED_VALUE"""),"Early childhood development (0-5 years), Primary Education, Secondary Education, Higher Education, Corporate Training, Lifelong learning/Adult education")</f>
        <v/>
      </c>
      <c r="Q1288" s="1">
        <f>IFERROR(__xludf.DUMMYFUNCTION("""COMPUTED_VALUE"""),"System/Administrative, Student interfacing, Teacher interfacing")</f>
        <v/>
      </c>
      <c r="R1288" s="1" t="n"/>
      <c r="S1288" s="1" t="n"/>
      <c r="T1288" s="1" t="n"/>
      <c r="U1288" s="1" t="n"/>
      <c r="V1288" s="1" t="n"/>
      <c r="W1288" s="1" t="n"/>
      <c r="X1288" s="1" t="n"/>
      <c r="Y1288" s="15">
        <f>IFERROR(__xludf.DUMMYFUNCTION("""COMPUTED_VALUE"""),"https://drive.google.com/uc?export=view&amp;id=19ypDvnjn_4Z12rPjDnNL5MxmdYWeA0l8")</f>
        <v/>
      </c>
      <c r="Z1288" s="1">
        <f>IFERROR(__xludf.DUMMYFUNCTION("""COMPUTED_VALUE"""),"Unverified")</f>
        <v/>
      </c>
      <c r="AA1288" s="1" t="n"/>
      <c r="AB1288" s="1" t="n"/>
      <c r="AC1288" s="1" t="n"/>
      <c r="AD1288" s="1" t="n"/>
      <c r="AE1288" s="1" t="n"/>
    </row>
    <row r="1289" ht="42" customHeight="1">
      <c r="A1289" s="14">
        <f>IFERROR(__xludf.DUMMYFUNCTION("""COMPUTED_VALUE"""),45181)</f>
        <v/>
      </c>
      <c r="B1289" s="1">
        <f>IFERROR(__xludf.DUMMYFUNCTION("""COMPUTED_VALUE"""),"ORG_1307")</f>
        <v/>
      </c>
      <c r="C1289" s="1">
        <f>IFERROR(__xludf.DUMMYFUNCTION("""COMPUTED_VALUE"""),TRUE)</f>
        <v/>
      </c>
      <c r="D1289" s="1">
        <f>IFERROR(__xludf.DUMMYFUNCTION("""COMPUTED_VALUE"""),"Craft AI")</f>
        <v/>
      </c>
      <c r="E1289" s="15">
        <f>IFERROR(__xludf.DUMMYFUNCTION("""COMPUTED_VALUE"""),"https://www.craft.ai/")</f>
        <v/>
      </c>
      <c r="F1289" s="1">
        <f>IFERROR(__xludf.DUMMYFUNCTION("""COMPUTED_VALUE"""),"Adaptive Learning, personalized training recommendations, detection of students dropping out of school, we put AI applications on the market with the aim of building the future of school.
As an EdTech startup specialist in Machine Learning, we support sc"&amp;"hools and universities in their digital revolution and educational transformation thanks to an AI that is trustworthy, privacy-friendly, energy-efficient and explainable so as to always keep humans in the loop.")</f>
        <v/>
      </c>
      <c r="G1289" s="1">
        <f>IFERROR(__xludf.DUMMYFUNCTION("""COMPUTED_VALUE"""),"EdTech France")</f>
        <v/>
      </c>
      <c r="H1289" s="1" t="n"/>
      <c r="I1289" s="1">
        <f>IFERROR(__xludf.DUMMYFUNCTION("""COMPUTED_VALUE"""),"contact@craft.ai")</f>
        <v/>
      </c>
      <c r="J1289" s="1" t="n"/>
      <c r="K1289" s="1">
        <f>IFERROR(__xludf.DUMMYFUNCTION("""COMPUTED_VALUE"""),"PARIS")</f>
        <v/>
      </c>
      <c r="L1289" s="1">
        <f>IFERROR(__xludf.DUMMYFUNCTION("""COMPUTED_VALUE"""),"France")</f>
        <v/>
      </c>
      <c r="M1289" s="1">
        <f>IFERROR(__xludf.DUMMYFUNCTION("""COMPUTED_VALUE"""),"France")</f>
        <v/>
      </c>
      <c r="N1289" s="1">
        <f>IFERROR(__xludf.DUMMYFUNCTION("""COMPUTED_VALUE"""),"11 to 50")</f>
        <v/>
      </c>
      <c r="O1289" s="1">
        <f>IFERROR(__xludf.DUMMYFUNCTION("""COMPUTED_VALUE"""),"Business to Business")</f>
        <v/>
      </c>
      <c r="P1289" s="1">
        <f>IFERROR(__xludf.DUMMYFUNCTION("""COMPUTED_VALUE"""),"Higher Education, Corporate Training, Lifelong learning/Adult education")</f>
        <v/>
      </c>
      <c r="Q1289" s="1">
        <f>IFERROR(__xludf.DUMMYFUNCTION("""COMPUTED_VALUE"""),"Student interfacing, Teacher interfacing, System/Administrative")</f>
        <v/>
      </c>
      <c r="R1289" s="1" t="n"/>
      <c r="S1289" s="15">
        <f>IFERROR(__xludf.DUMMYFUNCTION("""COMPUTED_VALUE"""),"https://twitter.com/craft_ai")</f>
        <v/>
      </c>
      <c r="T1289" s="15">
        <f>IFERROR(__xludf.DUMMYFUNCTION("""COMPUTED_VALUE"""),"https://www.linkedin.com/company/9460012/")</f>
        <v/>
      </c>
      <c r="U1289" s="1">
        <f>IFERROR(__xludf.DUMMYFUNCTION("""COMPUTED_VALUE"""),"Adaptive Learning App")</f>
        <v/>
      </c>
      <c r="V1289" s="1">
        <f>IFERROR(__xludf.DUMMYFUNCTION("""COMPUTED_VALUE"""),"To support each student in a highly personalized way by allowing universities and schools to recommend content based on their own educational pathway. Our app adapts to each student's educational path and complements the teaching staff.
Our virtual tutor"&amp;" is based on the educational content of the courses in the form of a knowledge graph as well as on the student's profile and activity on the Learning Management System (LMS).")</f>
        <v/>
      </c>
      <c r="W1289" s="1">
        <f>IFERROR(__xludf.DUMMYFUNCTION("""COMPUTED_VALUE"""),"Recommendation of professional training")</f>
        <v/>
      </c>
      <c r="X1289" s="1">
        <f>IFERROR(__xludf.DUMMYFUNCTION("""COMPUTED_VALUE"""),"Accompanying new employees throughout their professional life so that their career path follows their deepest aspirations as well as the evolution of the job market. In order to provide the most accurate and relevant recommendations, we integrate differen"&amp;"t sources of data on the educational and professional background of alumni or the details of available training. 
The promise of lifelong support for students contributes to the improvement of the educational offer, the strengthening of the alumni networ"&amp;"k and the better employability of students.")</f>
        <v/>
      </c>
      <c r="Y1289" s="15">
        <f>IFERROR(__xludf.DUMMYFUNCTION("""COMPUTED_VALUE"""),"https://drive.google.com/uc?export=view&amp;id=1GyQym391kyXn4a89-MetLQTbml6Ycm6N")</f>
        <v/>
      </c>
      <c r="Z1289" s="1">
        <f>IFERROR(__xludf.DUMMYFUNCTION("""COMPUTED_VALUE"""),"Unverified")</f>
        <v/>
      </c>
      <c r="AA1289" s="1" t="n"/>
      <c r="AB1289" s="1" t="n"/>
      <c r="AC1289" s="1" t="n"/>
      <c r="AD1289" s="1" t="n"/>
      <c r="AE1289" s="1" t="n"/>
    </row>
    <row r="1290" ht="42" customHeight="1">
      <c r="A1290" s="14">
        <f>IFERROR(__xludf.DUMMYFUNCTION("""COMPUTED_VALUE"""),45181)</f>
        <v/>
      </c>
      <c r="B1290" s="1">
        <f>IFERROR(__xludf.DUMMYFUNCTION("""COMPUTED_VALUE"""),"ORG_1373")</f>
        <v/>
      </c>
      <c r="C1290" s="1">
        <f>IFERROR(__xludf.DUMMYFUNCTION("""COMPUTED_VALUE"""),TRUE)</f>
        <v/>
      </c>
      <c r="D1290" s="1">
        <f>IFERROR(__xludf.DUMMYFUNCTION("""COMPUTED_VALUE"""),"Dokeos")</f>
        <v/>
      </c>
      <c r="E1290" s="15">
        <f>IFERROR(__xludf.DUMMYFUNCTION("""COMPUTED_VALUE"""),"www.dokeos.com")</f>
        <v/>
      </c>
      <c r="F1290" s="1">
        <f>IFERROR(__xludf.DUMMYFUNCTION("""COMPUTED_VALUE"""),"Dokeos offers online training solutions and e-learning services for training centers and companies in France, the United States, Belgium and Switzerland. With Dokeos LMS, you can create your own customized training platform to enhance the skills of their "&amp;"learners and employees. Dokeos LMS not only delivers online training, but also assesses learners, certifies and sells professional training. 
Three words to describe Dokeos LMS : Simple, Ergonomic and Customizable.
Dokeos also has a training creation st"&amp;"udio (Tudio) and a wide catalog of turnkey training courses, such as GxP Training. 
Since 2004, Dokeos has transformed hundreds of organizations, including IPSEN, Lagardère, Amer Sports, Keepcool, Saint-Gobain, O'Tacos, Sciences Po, La Croix-Rouge and In"&amp;"stitut Gustave Roussy.
Visit dokeos.com and try out our platform for free!")</f>
        <v/>
      </c>
      <c r="G1290" s="1">
        <f>IFERROR(__xludf.DUMMYFUNCTION("""COMPUTED_VALUE"""),"I'm not part of any EdTech association")</f>
        <v/>
      </c>
      <c r="H1290" s="1">
        <f>IFERROR(__xludf.DUMMYFUNCTION("""COMPUTED_VALUE"""),"French, Arabic, Dutch")</f>
        <v/>
      </c>
      <c r="I1290" s="1">
        <f>IFERROR(__xludf.DUMMYFUNCTION("""COMPUTED_VALUE"""),"nicolas.francannet@dokeos.com")</f>
        <v/>
      </c>
      <c r="J1290" s="1" t="n"/>
      <c r="K1290" s="1">
        <f>IFERROR(__xludf.DUMMYFUNCTION("""COMPUTED_VALUE"""),"Paris")</f>
        <v/>
      </c>
      <c r="L1290" s="1">
        <f>IFERROR(__xludf.DUMMYFUNCTION("""COMPUTED_VALUE"""),"France")</f>
        <v/>
      </c>
      <c r="M1290" s="1">
        <f>IFERROR(__xludf.DUMMYFUNCTION("""COMPUTED_VALUE"""),"Belgium, France, Italy, Luxembourg, Netherlands, Switzerland, United Kingdom")</f>
        <v/>
      </c>
      <c r="N1290" s="1">
        <f>IFERROR(__xludf.DUMMYFUNCTION("""COMPUTED_VALUE"""),"11 to 50")</f>
        <v/>
      </c>
      <c r="O1290" s="1">
        <f>IFERROR(__xludf.DUMMYFUNCTION("""COMPUTED_VALUE"""),"Business to Business")</f>
        <v/>
      </c>
      <c r="P1290" s="1">
        <f>IFERROR(__xludf.DUMMYFUNCTION("""COMPUTED_VALUE"""),"Corporate Training, Lifelong learning/Adult education, Vocational Education and Training (VET), Higher Education")</f>
        <v/>
      </c>
      <c r="Q1290" s="1">
        <f>IFERROR(__xludf.DUMMYFUNCTION("""COMPUTED_VALUE"""),"System/Administrative, Student interfacing")</f>
        <v/>
      </c>
      <c r="R1290" s="15">
        <f>IFERROR(__xludf.DUMMYFUNCTION("""COMPUTED_VALUE"""),"https://www.instagram.com/dokeoslms/?hl=fr")</f>
        <v/>
      </c>
      <c r="S1290" s="15">
        <f>IFERROR(__xludf.DUMMYFUNCTION("""COMPUTED_VALUE"""),"https://twitter.com/dokeos")</f>
        <v/>
      </c>
      <c r="T1290" s="15">
        <f>IFERROR(__xludf.DUMMYFUNCTION("""COMPUTED_VALUE"""),"https://www.linkedin.com/company/dokeos")</f>
        <v/>
      </c>
      <c r="U1290" s="1">
        <f>IFERROR(__xludf.DUMMYFUNCTION("""COMPUTED_VALUE"""),"Dokeos LMS")</f>
        <v/>
      </c>
      <c r="V1290" s="1">
        <f>IFERROR(__xludf.DUMMYFUNCTION("""COMPUTED_VALUE"""),"What can you do with Dokeos LMS ? 
TRAIN, EVALUATE, ASSESS, CERTIFY, TRACK and SELL
Dokeos LMS is a white label solution that allows you to customise the design of your platform and express your brand image. Dokeos LMS collects extensive data on employe"&amp;"es’ skills, aspirations, and gaps to provide them with additional customised training. Any improvement in skills is an important source of motivation for your employees and will have a positive impact on your organisation’s goals.")</f>
        <v/>
      </c>
      <c r="W1290" s="1">
        <f>IFERROR(__xludf.DUMMYFUNCTION("""COMPUTED_VALUE"""),"Dokeos GxP Courses")</f>
        <v/>
      </c>
      <c r="X1290" s="1">
        <f>IFERROR(__xludf.DUMMYFUNCTION("""COMPUTED_VALUE"""),"Dokeos provides accredited compliance and regulatory courses designed for life sciences professionals. Those courses can be integrated into your learning platform (LMS) whatever its brand.
Examples of courses : GXP2146 Corrective Action and Preventive Ac"&amp;"tion (CAPA), GXP2960 Introduction to Current Good Practices (CGXP), GXP2437 Management of Clinical Trial Protocols, GXP0948 Non-Interventional Studies (NIS).")</f>
        <v/>
      </c>
      <c r="Y1290" s="15">
        <f>IFERROR(__xludf.DUMMYFUNCTION("""COMPUTED_VALUE"""),"https://drive.google.com/uc?export=view&amp;id=1xGugivr8_wiL4QT2_aSQHWNhkSVjI78X")</f>
        <v/>
      </c>
      <c r="Z1290" s="1">
        <f>IFERROR(__xludf.DUMMYFUNCTION("""COMPUTED_VALUE"""),"Unverified")</f>
        <v/>
      </c>
      <c r="AA1290" s="1" t="n"/>
      <c r="AB1290" s="1" t="n"/>
      <c r="AC1290" s="1" t="n"/>
      <c r="AD1290" s="1" t="n"/>
      <c r="AE1290" s="1" t="n"/>
    </row>
    <row r="1291" ht="42" customHeight="1">
      <c r="A1291" s="14">
        <f>IFERROR(__xludf.DUMMYFUNCTION("""COMPUTED_VALUE"""),45181)</f>
        <v/>
      </c>
      <c r="B1291" s="1">
        <f>IFERROR(__xludf.DUMMYFUNCTION("""COMPUTED_VALUE"""),"ORG_1554")</f>
        <v/>
      </c>
      <c r="C1291" s="1">
        <f>IFERROR(__xludf.DUMMYFUNCTION("""COMPUTED_VALUE"""),TRUE)</f>
        <v/>
      </c>
      <c r="D1291" s="1">
        <f>IFERROR(__xludf.DUMMYFUNCTION("""COMPUTED_VALUE"""),"Fasterclass")</f>
        <v/>
      </c>
      <c r="E1291" s="15">
        <f>IFERROR(__xludf.DUMMYFUNCTION("""COMPUTED_VALUE"""),"https://www.fasterclass.fr")</f>
        <v/>
      </c>
      <c r="F1291" s="1">
        <f>IFERROR(__xludf.DUMMYFUNCTION("""COMPUTED_VALUE"""),"Fasterclass is a training organization specilized in softskills: team/time/project management, feedback, or speech for example. 
Our blended learning experience was designed with the HRD of 4 French unicorns: Aircall, Matera, Voodoo and Ornikar.
One goal:"&amp;" maximize the impact in a minimum of time.")</f>
        <v/>
      </c>
      <c r="G1291" s="1">
        <f>IFERROR(__xludf.DUMMYFUNCTION("""COMPUTED_VALUE"""),"EdTech France")</f>
        <v/>
      </c>
      <c r="H1291" s="1" t="n"/>
      <c r="I1291" s="1">
        <f>IFERROR(__xludf.DUMMYFUNCTION("""COMPUTED_VALUE"""),"hello@fasterclass.fr")</f>
        <v/>
      </c>
      <c r="J1291" s="1">
        <f>IFERROR(__xludf.DUMMYFUNCTION("""COMPUTED_VALUE"""),"+33 6 45 74 67 03")</f>
        <v/>
      </c>
      <c r="K1291" s="1">
        <f>IFERROR(__xludf.DUMMYFUNCTION("""COMPUTED_VALUE"""),"Paris")</f>
        <v/>
      </c>
      <c r="L1291" s="1">
        <f>IFERROR(__xludf.DUMMYFUNCTION("""COMPUTED_VALUE"""),"France")</f>
        <v/>
      </c>
      <c r="M1291" s="1">
        <f>IFERROR(__xludf.DUMMYFUNCTION("""COMPUTED_VALUE"""),"Belgium, France")</f>
        <v/>
      </c>
      <c r="N1291" s="1">
        <f>IFERROR(__xludf.DUMMYFUNCTION("""COMPUTED_VALUE"""),"3 to 5")</f>
        <v/>
      </c>
      <c r="O1291" s="1">
        <f>IFERROR(__xludf.DUMMYFUNCTION("""COMPUTED_VALUE"""),"Business to Business")</f>
        <v/>
      </c>
      <c r="P1291" s="1">
        <f>IFERROR(__xludf.DUMMYFUNCTION("""COMPUTED_VALUE"""),"Corporate Training")</f>
        <v/>
      </c>
      <c r="Q1291" s="1">
        <f>IFERROR(__xludf.DUMMYFUNCTION("""COMPUTED_VALUE"""),"System/Administrative")</f>
        <v/>
      </c>
      <c r="R1291" s="1" t="n"/>
      <c r="S1291" s="1" t="n"/>
      <c r="T1291" s="15">
        <f>IFERROR(__xludf.DUMMYFUNCTION("""COMPUTED_VALUE"""),"https://www.linkedin.com/company/10414242")</f>
        <v/>
      </c>
      <c r="U1291" s="1">
        <f>IFERROR(__xludf.DUMMYFUNCTION("""COMPUTED_VALUE"""),"Fasterclass")</f>
        <v/>
      </c>
      <c r="V1291" s="1">
        <f>IFERROR(__xludf.DUMMYFUNCTION("""COMPUTED_VALUE"""),"6-week digital training program including:
&gt; Four 90-minute workshops, every second week
&gt; A pedagogical mini-series with a dozen of 3/5-minute videos
&gt; Daily followup on Slack/Teams/WhatsApp &amp; e-mails
&gt; Impact assessment at the end of the training progr"&amp;"am
&gt; Report to customer with data about Satisfaction, Engagement &amp; Impact")</f>
        <v/>
      </c>
      <c r="W1291" s="1" t="n"/>
      <c r="X1291" s="1" t="n"/>
      <c r="Y1291" s="15">
        <f>IFERROR(__xludf.DUMMYFUNCTION("""COMPUTED_VALUE"""),"https://drive.google.com/uc?export=view&amp;id=1xLZfCI4xD4uQitugXFJz9gmwak0uXHAb")</f>
        <v/>
      </c>
      <c r="Z1291" s="1">
        <f>IFERROR(__xludf.DUMMYFUNCTION("""COMPUTED_VALUE"""),"Unverified")</f>
        <v/>
      </c>
      <c r="AA1291" s="1" t="n"/>
      <c r="AB1291" s="1" t="n"/>
      <c r="AC1291" s="1" t="n"/>
      <c r="AD1291" s="1" t="n"/>
      <c r="AE1291" s="1" t="n"/>
    </row>
    <row r="1292" ht="42" customHeight="1">
      <c r="A1292" s="14">
        <f>IFERROR(__xludf.DUMMYFUNCTION("""COMPUTED_VALUE"""),45181)</f>
        <v/>
      </c>
      <c r="B1292" s="1">
        <f>IFERROR(__xludf.DUMMYFUNCTION("""COMPUTED_VALUE"""),"ORG_1646")</f>
        <v/>
      </c>
      <c r="C1292" s="1">
        <f>IFERROR(__xludf.DUMMYFUNCTION("""COMPUTED_VALUE"""),TRUE)</f>
        <v/>
      </c>
      <c r="D1292" s="1">
        <f>IFERROR(__xludf.DUMMYFUNCTION("""COMPUTED_VALUE"""),"Grimp")</f>
        <v/>
      </c>
      <c r="E1292" s="15">
        <f>IFERROR(__xludf.DUMMYFUNCTION("""COMPUTED_VALUE"""),"https://grimp.io")</f>
        <v/>
      </c>
      <c r="F1292" s="1">
        <f>IFERROR(__xludf.DUMMYFUNCTION("""COMPUTED_VALUE"""),"Grimp is SaaS solution to manage your job search in one place. There is also Grimp for Schools to facilitate job placement and a product for recruiters to help them source talent.")</f>
        <v/>
      </c>
      <c r="G1292" s="1">
        <f>IFERROR(__xludf.DUMMYFUNCTION("""COMPUTED_VALUE"""),"EdTech France")</f>
        <v/>
      </c>
      <c r="H1292" s="1" t="n"/>
      <c r="I1292" s="1">
        <f>IFERROR(__xludf.DUMMYFUNCTION("""COMPUTED_VALUE"""),"hello@grimp.io")</f>
        <v/>
      </c>
      <c r="J1292" s="1">
        <f>IFERROR(__xludf.DUMMYFUNCTION("""COMPUTED_VALUE"""),"+33 2 46 88 01 08")</f>
        <v/>
      </c>
      <c r="K1292" s="1">
        <f>IFERROR(__xludf.DUMMYFUNCTION("""COMPUTED_VALUE"""),"NANTES")</f>
        <v/>
      </c>
      <c r="L1292" s="1">
        <f>IFERROR(__xludf.DUMMYFUNCTION("""COMPUTED_VALUE"""),"France")</f>
        <v/>
      </c>
      <c r="M1292" s="1">
        <f>IFERROR(__xludf.DUMMYFUNCTION("""COMPUTED_VALUE"""),"France")</f>
        <v/>
      </c>
      <c r="N1292" s="1">
        <f>IFERROR(__xludf.DUMMYFUNCTION("""COMPUTED_VALUE"""),"0 to 10")</f>
        <v/>
      </c>
      <c r="O1292" s="1">
        <f>IFERROR(__xludf.DUMMYFUNCTION("""COMPUTED_VALUE"""),"Business to Business")</f>
        <v/>
      </c>
      <c r="P1292" s="1">
        <f>IFERROR(__xludf.DUMMYFUNCTION("""COMPUTED_VALUE"""),"Secondary Education, Higher Education")</f>
        <v/>
      </c>
      <c r="Q1292" s="1">
        <f>IFERROR(__xludf.DUMMYFUNCTION("""COMPUTED_VALUE"""),"Student interfacing, Teacher interfacing, System/Administrative")</f>
        <v/>
      </c>
      <c r="R1292" s="15">
        <f>IFERROR(__xludf.DUMMYFUNCTION("""COMPUTED_VALUE"""),"grimp.io")</f>
        <v/>
      </c>
      <c r="S1292" s="15">
        <f>IFERROR(__xludf.DUMMYFUNCTION("""COMPUTED_VALUE"""),"https://twitter.com/grimphq")</f>
        <v/>
      </c>
      <c r="T1292" s="15">
        <f>IFERROR(__xludf.DUMMYFUNCTION("""COMPUTED_VALUE"""),"https://www.linkedin.com/company/grimp-hq")</f>
        <v/>
      </c>
      <c r="U1292" s="1">
        <f>IFERROR(__xludf.DUMMYFUNCTION("""COMPUTED_VALUE"""),"Grimp for Schools")</f>
        <v/>
      </c>
      <c r="V1292" s="1">
        <f>IFERROR(__xludf.DUMMYFUNCTION("""COMPUTED_VALUE"""),"A powerful and pedagogical job tracking tool and CRM for students, a career advising and outcomes tracking platform for your school.")</f>
        <v/>
      </c>
      <c r="W1292" s="1">
        <f>IFERROR(__xludf.DUMMYFUNCTION("""COMPUTED_VALUE"""),"Grimp Academy")</f>
        <v/>
      </c>
      <c r="X1292" s="1">
        <f>IFERROR(__xludf.DUMMYFUNCTION("""COMPUTED_VALUE"""),"Track your job applications, manage your contacts and keep your job search organized, all in one place!")</f>
        <v/>
      </c>
      <c r="Y1292" s="15">
        <f>IFERROR(__xludf.DUMMYFUNCTION("""COMPUTED_VALUE"""),"https://drive.google.com/uc?export=view&amp;id=1lhWB8mgqr3GhKCYp4p7hbREDRcUzAKMi")</f>
        <v/>
      </c>
      <c r="Z1292" s="1">
        <f>IFERROR(__xludf.DUMMYFUNCTION("""COMPUTED_VALUE"""),"Unverified")</f>
        <v/>
      </c>
      <c r="AA1292" s="1" t="n"/>
      <c r="AB1292" s="1" t="n"/>
      <c r="AC1292" s="1" t="n"/>
      <c r="AD1292" s="1" t="n"/>
      <c r="AE1292" s="1" t="n"/>
    </row>
    <row r="1293" ht="42" customHeight="1">
      <c r="A1293" s="14">
        <f>IFERROR(__xludf.DUMMYFUNCTION("""COMPUTED_VALUE"""),45181)</f>
        <v/>
      </c>
      <c r="B1293" s="1">
        <f>IFERROR(__xludf.DUMMYFUNCTION("""COMPUTED_VALUE"""),"ORG_1653")</f>
        <v/>
      </c>
      <c r="C1293" s="1">
        <f>IFERROR(__xludf.DUMMYFUNCTION("""COMPUTED_VALUE"""),TRUE)</f>
        <v/>
      </c>
      <c r="D1293" s="1">
        <f>IFERROR(__xludf.DUMMYFUNCTION("""COMPUTED_VALUE"""),"Gymglish")</f>
        <v/>
      </c>
      <c r="E1293" s="15">
        <f>IFERROR(__xludf.DUMMYFUNCTION("""COMPUTED_VALUE"""),"https://www.gymglish.com")</f>
        <v/>
      </c>
      <c r="F1293" s="1">
        <f>IFERROR(__xludf.DUMMYFUNCTION("""COMPUTED_VALUE"""),"Founded in 2004, Gymglish creates fun adaptive learning courses for languages and more based on regular sessions to optimize long-term gains and memorization.
Our objective: to offer effective digital education to learners worldwide, a more enjoyable use"&amp;"r experience with better knowledge retention.")</f>
        <v/>
      </c>
      <c r="G1293" s="1">
        <f>IFERROR(__xludf.DUMMYFUNCTION("""COMPUTED_VALUE"""),"EdTech France")</f>
        <v/>
      </c>
      <c r="H1293" s="1" t="n"/>
      <c r="I1293" s="1">
        <f>IFERROR(__xludf.DUMMYFUNCTION("""COMPUTED_VALUE"""),"contact@gymglish.com")</f>
        <v/>
      </c>
      <c r="J1293" s="1">
        <f>IFERROR(__xludf.DUMMYFUNCTION("""COMPUTED_VALUE"""),"01 53 33 02 40")</f>
        <v/>
      </c>
      <c r="K1293" s="1">
        <f>IFERROR(__xludf.DUMMYFUNCTION("""COMPUTED_VALUE"""),"PARIS")</f>
        <v/>
      </c>
      <c r="L1293" s="1">
        <f>IFERROR(__xludf.DUMMYFUNCTION("""COMPUTED_VALUE"""),"France")</f>
        <v/>
      </c>
      <c r="M1293" s="1">
        <f>IFERROR(__xludf.DUMMYFUNCTION("""COMPUTED_VALUE"""),"Albania, Andorra, Armenia, Austria, Azerbaijan, Belarus, Belgium, Bosnia and Herzegovina, Bulgaria, Croatia, Czechia, Denmark, Estonia, Finland, France, Georgia, Germany, Greece, Hungary, Iceland, Ireland, Italy, Kazakhstan, Latvia, Liechtenstein, Lithuan"&amp;"ia, Luxembourg, Malta, Moldova, Monaco, Montenegro, Netherlands, North Macedonia, Norway, Poland, Portugal, Romania, Russia, San Marino, Serbia, Slovakia, Slovenia, Spain, Sweden, Switzerland, Turkey, Ukraine, United Kingdom")</f>
        <v/>
      </c>
      <c r="N1293" s="1">
        <f>IFERROR(__xludf.DUMMYFUNCTION("""COMPUTED_VALUE"""),"11 to 50")</f>
        <v/>
      </c>
      <c r="O1293" s="1">
        <f>IFERROR(__xludf.DUMMYFUNCTION("""COMPUTED_VALUE"""),"Business to Business")</f>
        <v/>
      </c>
      <c r="P1293" s="1">
        <f>IFERROR(__xludf.DUMMYFUNCTION("""COMPUTED_VALUE"""),"Corporate Training, Lifelong learning/Adult education, Higher Education")</f>
        <v/>
      </c>
      <c r="Q1293" s="1">
        <f>IFERROR(__xludf.DUMMYFUNCTION("""COMPUTED_VALUE"""),"System/Administrative, Student interfacing, Teacher interfacing")</f>
        <v/>
      </c>
      <c r="R1293" s="15">
        <f>IFERROR(__xludf.DUMMYFUNCTION("""COMPUTED_VALUE"""),"https://www.instagram.com/gymglish/")</f>
        <v/>
      </c>
      <c r="S1293" s="15">
        <f>IFERROR(__xludf.DUMMYFUNCTION("""COMPUTED_VALUE"""),"https://twitter.com/GymGlish")</f>
        <v/>
      </c>
      <c r="T1293" s="15">
        <f>IFERROR(__xludf.DUMMYFUNCTION("""COMPUTED_VALUE"""),"https://www.linkedin.com/company/gymglish/")</f>
        <v/>
      </c>
      <c r="U1293" s="1">
        <f>IFERROR(__xludf.DUMMYFUNCTION("""COMPUTED_VALUE"""),"Gymglish")</f>
        <v/>
      </c>
      <c r="V1293" s="1">
        <f>IFERROR(__xludf.DUMMYFUNCTION("""COMPUTED_VALUE"""),"https://www.gymglish.com/en/gymglish
Gymglish delivers short, personalized and fun online English lessons. Our goal: your motivation, participation and progress.
Story: Growing up as an apprentice to his perfumer grandfather in Montmartre, Bruno Delavig"&amp;"ne had dreams of starting his own business in San Francisco and expanding it. But when a suspicious ""accident"" robbed him of his sense of smell, Bruno was forced to take a different route to success...
Each of our English lessons ends with a ""dessert"&amp;""": an authentic clip of can't-miss anglophone culture. Film, music, literature or television allow you to finish your workout in style.")</f>
        <v/>
      </c>
      <c r="W1293" s="1">
        <f>IFERROR(__xludf.DUMMYFUNCTION("""COMPUTED_VALUE"""),"Frantastique")</f>
        <v/>
      </c>
      <c r="X1293" s="1">
        <f>IFERROR(__xludf.DUMMYFUNCTION("""COMPUTED_VALUE"""),"https://www.gymglish.com/en/frantastique
Frantastique delivers short, personalized and fun online French lessons. Our goal: your motivation, participation and progress.
Story: On a French-speaking planet, an Intergalactic agency staffed by humans and al"&amp;"iens defrosts Victor Hugo to act as a guide to Francophone culture and life. But first, Victor must bring mustard from Earth in order to avoid a bloody revolution.
Each of our French lessons ends with a ""dessert"": an authentic clip of can't-miss franco"&amp;"phone culture. Film, music, literature or television allow you to finish your workout in style.")</f>
        <v/>
      </c>
      <c r="Y1293" s="15">
        <f>IFERROR(__xludf.DUMMYFUNCTION("""COMPUTED_VALUE"""),"https://drive.google.com/uc?export=view&amp;id=1MdCvkj9qbbjR5gLNr3SUDEyDvjBXRcOe")</f>
        <v/>
      </c>
      <c r="Z1293" s="1">
        <f>IFERROR(__xludf.DUMMYFUNCTION("""COMPUTED_VALUE"""),"Unverified")</f>
        <v/>
      </c>
      <c r="AA1293" s="1" t="n"/>
      <c r="AB1293" s="1" t="n"/>
      <c r="AC1293" s="1" t="n"/>
      <c r="AD1293" s="1" t="n"/>
      <c r="AE1293" s="1" t="n"/>
    </row>
    <row r="1294" ht="42" customHeight="1">
      <c r="A1294" s="14">
        <f>IFERROR(__xludf.DUMMYFUNCTION("""COMPUTED_VALUE"""),45181)</f>
        <v/>
      </c>
      <c r="B1294" s="1">
        <f>IFERROR(__xludf.DUMMYFUNCTION("""COMPUTED_VALUE"""),"ORG_1683")</f>
        <v/>
      </c>
      <c r="C1294" s="1">
        <f>IFERROR(__xludf.DUMMYFUNCTION("""COMPUTED_VALUE"""),TRUE)</f>
        <v/>
      </c>
      <c r="D1294" s="1">
        <f>IFERROR(__xludf.DUMMYFUNCTION("""COMPUTED_VALUE"""),"Hopspots")</f>
        <v/>
      </c>
      <c r="E1294" s="15">
        <f>IFERROR(__xludf.DUMMYFUNCTION("""COMPUTED_VALUE"""),"https://www.hopspots.dk")</f>
        <v/>
      </c>
      <c r="F1294" s="1">
        <f>IFERROR(__xludf.DUMMYFUNCTION("""COMPUTED_VALUE"""),"Hopspots is active and interactive learning with wireless spots that light up and plays sound through an iPad and a speakersystem. Hopspots encourages pupils to move and allows them to become digital co-creators of their own learning content. Hopspots als"&amp;"o combines movement with coding as the children can create their own games where the programming skills leads to being able to play with your peers.")</f>
        <v/>
      </c>
      <c r="G1294" s="1">
        <f>IFERROR(__xludf.DUMMYFUNCTION("""COMPUTED_VALUE"""),"EdTech Denmark")</f>
        <v/>
      </c>
      <c r="H1294" s="1">
        <f>IFERROR(__xludf.DUMMYFUNCTION("""COMPUTED_VALUE"""),"Danish, English, Lithuanian, German, Dutch")</f>
        <v/>
      </c>
      <c r="I1294" s="1">
        <f>IFERROR(__xludf.DUMMYFUNCTION("""COMPUTED_VALUE"""),"info@hopspots.dk")</f>
        <v/>
      </c>
      <c r="J1294" s="1">
        <f>IFERROR(__xludf.DUMMYFUNCTION("""COMPUTED_VALUE"""),"+4531132618")</f>
        <v/>
      </c>
      <c r="K1294" s="1">
        <f>IFERROR(__xludf.DUMMYFUNCTION("""COMPUTED_VALUE"""),"Nannasvej 16")</f>
        <v/>
      </c>
      <c r="L1294" s="1">
        <f>IFERROR(__xludf.DUMMYFUNCTION("""COMPUTED_VALUE"""),"Denmark")</f>
        <v/>
      </c>
      <c r="M1294" s="1">
        <f>IFERROR(__xludf.DUMMYFUNCTION("""COMPUTED_VALUE"""),"Belgium, Denmark, Estonia, Finland, Germany, Lithuania, Netherlands, Norway, Sweden")</f>
        <v/>
      </c>
      <c r="N1294" s="1">
        <f>IFERROR(__xludf.DUMMYFUNCTION("""COMPUTED_VALUE"""),"0 to 2")</f>
        <v/>
      </c>
      <c r="O1294" s="1">
        <f>IFERROR(__xludf.DUMMYFUNCTION("""COMPUTED_VALUE"""),"Business to Business")</f>
        <v/>
      </c>
      <c r="P1294" s="1">
        <f>IFERROR(__xludf.DUMMYFUNCTION("""COMPUTED_VALUE"""),"Early childhood development (0-5 years), Primary Education")</f>
        <v/>
      </c>
      <c r="Q1294" s="1">
        <f>IFERROR(__xludf.DUMMYFUNCTION("""COMPUTED_VALUE"""),"Teacher interfacing, System/Administrative")</f>
        <v/>
      </c>
      <c r="R1294" s="15">
        <f>IFERROR(__xludf.DUMMYFUNCTION("""COMPUTED_VALUE"""),"https://www.instagram.com/hopspots/")</f>
        <v/>
      </c>
      <c r="S1294" s="1" t="n"/>
      <c r="T1294" s="15">
        <f>IFERROR(__xludf.DUMMYFUNCTION("""COMPUTED_VALUE"""),"https://www.linkedin.com/company/cxd--child-experience-design")</f>
        <v/>
      </c>
      <c r="U1294" s="1">
        <f>IFERROR(__xludf.DUMMYFUNCTION("""COMPUTED_VALUE"""),"Hopspots")</f>
        <v/>
      </c>
      <c r="V1294" s="1">
        <f>IFERROR(__xludf.DUMMYFUNCTION("""COMPUTED_VALUE"""),"Hopspots is an active and interactive learning tool that teachers can easily use to create engaging lessons. Children can learn by jumping/stepping on wireless tiles, that can light up and connect to an App and a speakersystem. They can play learning game"&amp;"s with the app and interactive tiles as well as creating their own content. The result is better learning while having fun!")</f>
        <v/>
      </c>
      <c r="W1294" s="1" t="n"/>
      <c r="X1294" s="1" t="n"/>
      <c r="Y1294" s="15">
        <f>IFERROR(__xludf.DUMMYFUNCTION("""COMPUTED_VALUE"""),"https://drive.google.com/uc?export=view&amp;id=1avebXazKPl3R0ZemfcD5OxGhaXfQ5-yM")</f>
        <v/>
      </c>
      <c r="Z1294" s="1">
        <f>IFERROR(__xludf.DUMMYFUNCTION("""COMPUTED_VALUE"""),"Unverified")</f>
        <v/>
      </c>
      <c r="AA1294" s="1" t="n"/>
      <c r="AB1294" s="1" t="n"/>
      <c r="AC1294" s="1" t="n"/>
      <c r="AD1294" s="1" t="n"/>
      <c r="AE1294" s="1" t="n"/>
    </row>
    <row r="1295" ht="42" customHeight="1">
      <c r="A1295" s="14">
        <f>IFERROR(__xludf.DUMMYFUNCTION("""COMPUTED_VALUE"""),45181)</f>
        <v/>
      </c>
      <c r="B1295" s="1">
        <f>IFERROR(__xludf.DUMMYFUNCTION("""COMPUTED_VALUE"""),"ORG_1702")</f>
        <v/>
      </c>
      <c r="C1295" s="1">
        <f>IFERROR(__xludf.DUMMYFUNCTION("""COMPUTED_VALUE"""),TRUE)</f>
        <v/>
      </c>
      <c r="D1295" s="1">
        <f>IFERROR(__xludf.DUMMYFUNCTION("""COMPUTED_VALUE"""),"ICDL France")</f>
        <v/>
      </c>
      <c r="E1295" s="15">
        <f>IFERROR(__xludf.DUMMYFUNCTION("""COMPUTED_VALUE"""),"https://www.icdlfrance.org/")</f>
        <v/>
      </c>
      <c r="F1295" s="1">
        <f>IFERROR(__xludf.DUMMYFUNCTION("""COMPUTED_VALUE"""),"ICDL is an international organisation dedicated to raising digital competence standards in the workforce, education and society. Our certification programmes, delivered through an active network in more than 100 countries, enable individuals and organisat"&amp;"ions to assess, build and certify their competence in the use of computers and digital tools to the globally-recognised ICDL standard.")</f>
        <v/>
      </c>
      <c r="G1295" s="1">
        <f>IFERROR(__xludf.DUMMYFUNCTION("""COMPUTED_VALUE"""),"EdTech France")</f>
        <v/>
      </c>
      <c r="H1295" s="1" t="n"/>
      <c r="I1295" s="1">
        <f>IFERROR(__xludf.DUMMYFUNCTION("""COMPUTED_VALUE"""),"contact@icdlfrance.org")</f>
        <v/>
      </c>
      <c r="J1295" s="1">
        <f>IFERROR(__xludf.DUMMYFUNCTION("""COMPUTED_VALUE"""),"+33 4 93 00 18 00")</f>
        <v/>
      </c>
      <c r="K1295" s="1">
        <f>IFERROR(__xludf.DUMMYFUNCTION("""COMPUTED_VALUE"""),"CANNES")</f>
        <v/>
      </c>
      <c r="L1295" s="1">
        <f>IFERROR(__xludf.DUMMYFUNCTION("""COMPUTED_VALUE"""),"France")</f>
        <v/>
      </c>
      <c r="M1295" s="1">
        <f>IFERROR(__xludf.DUMMYFUNCTION("""COMPUTED_VALUE"""),"France")</f>
        <v/>
      </c>
      <c r="N1295" s="1">
        <f>IFERROR(__xludf.DUMMYFUNCTION("""COMPUTED_VALUE"""),"6 to 10")</f>
        <v/>
      </c>
      <c r="O1295" s="1">
        <f>IFERROR(__xludf.DUMMYFUNCTION("""COMPUTED_VALUE"""),"Business to Business, Business to Consumer")</f>
        <v/>
      </c>
      <c r="P1295" s="1">
        <f>IFERROR(__xludf.DUMMYFUNCTION("""COMPUTED_VALUE"""),"Corporate Training, Lifelong learning/Adult education, Vocational Education and Training (VET), Higher Education")</f>
        <v/>
      </c>
      <c r="Q1295" s="1">
        <f>IFERROR(__xludf.DUMMYFUNCTION("""COMPUTED_VALUE"""),"System/Administrative, Student interfacing")</f>
        <v/>
      </c>
      <c r="R1295" s="15">
        <f>IFERROR(__xludf.DUMMYFUNCTION("""COMPUTED_VALUE"""),"https://www.instagram.com/icdl_france/")</f>
        <v/>
      </c>
      <c r="S1295" s="15">
        <f>IFERROR(__xludf.DUMMYFUNCTION("""COMPUTED_VALUE"""),"https://mobile.twitter.com/icdlfrance")</f>
        <v/>
      </c>
      <c r="T1295" s="15">
        <f>IFERROR(__xludf.DUMMYFUNCTION("""COMPUTED_VALUE"""),"https://www.linkedin.com/company/pcie---icdl")</f>
        <v/>
      </c>
      <c r="U1295" s="1">
        <f>IFERROR(__xludf.DUMMYFUNCTION("""COMPUTED_VALUE"""),"ICDL")</f>
        <v/>
      </c>
      <c r="V1295" s="1">
        <f>IFERROR(__xludf.DUMMYFUNCTION("""COMPUTED_VALUE"""),"ICDL has developed a suite of programmes that meet the demands of today’s digital world. Whether you are working through the ICDL Workforce modules to reach the digital skills standard required for the workplace or you are looking to develop more advanced"&amp;" skills for occupational effectiveness, ICDL has a vast range of modules to choose from, so you can build the ideal digital skill set for your needs.")</f>
        <v/>
      </c>
      <c r="W1295" s="1" t="n"/>
      <c r="X1295" s="1" t="n"/>
      <c r="Y1295" s="15">
        <f>IFERROR(__xludf.DUMMYFUNCTION("""COMPUTED_VALUE"""),"https://drive.google.com/uc?export=view&amp;id=1PVXqrYKHZ7gh0jjLFg7Nu0BnvNbzAFY6")</f>
        <v/>
      </c>
      <c r="Z1295" s="1">
        <f>IFERROR(__xludf.DUMMYFUNCTION("""COMPUTED_VALUE"""),"Unverified")</f>
        <v/>
      </c>
      <c r="AA1295" s="1" t="n"/>
      <c r="AB1295" s="1" t="n"/>
      <c r="AC1295" s="1" t="n"/>
      <c r="AD1295" s="1" t="n"/>
      <c r="AE1295" s="1" t="n"/>
    </row>
    <row r="1296" ht="42" customHeight="1">
      <c r="A1296" s="14">
        <f>IFERROR(__xludf.DUMMYFUNCTION("""COMPUTED_VALUE"""),45181)</f>
        <v/>
      </c>
      <c r="B1296" s="1">
        <f>IFERROR(__xludf.DUMMYFUNCTION("""COMPUTED_VALUE"""),"ORG_1706")</f>
        <v/>
      </c>
      <c r="C1296" s="1">
        <f>IFERROR(__xludf.DUMMYFUNCTION("""COMPUTED_VALUE"""),TRUE)</f>
        <v/>
      </c>
      <c r="D1296" s="1">
        <f>IFERROR(__xludf.DUMMYFUNCTION("""COMPUTED_VALUE"""),"idruide")</f>
        <v/>
      </c>
      <c r="E1296" s="15">
        <f>IFERROR(__xludf.DUMMYFUNCTION("""COMPUTED_VALUE"""),"https://idruide.com/")</f>
        <v/>
      </c>
      <c r="F1296" s="1">
        <f>IFERROR(__xludf.DUMMYFUNCTION("""COMPUTED_VALUE"""),"idruide’s tools allow you to navigate with ease and in complete safety in the world of digital mobility.
idruide offers IT solutions to manage your mobile and other devices : management of fleets, apps, web filtering, digital classrooms etc.
The synergy b"&amp;"etween these tools makes it a complete and intuitive offer.
Our technologies work on the most widely used operating systems (Android, Windows, Apple and Chrome OS). In addition, they are operational on all types of mobile digital devices. Don’t change you"&amp;"r habits, our solutions adapt to you.")</f>
        <v/>
      </c>
      <c r="G1296" s="1">
        <f>IFERROR(__xludf.DUMMYFUNCTION("""COMPUTED_VALUE"""),"AFINEF, EdTech France")</f>
        <v/>
      </c>
      <c r="H1296" s="1" t="n"/>
      <c r="I1296" s="1">
        <f>IFERROR(__xludf.DUMMYFUNCTION("""COMPUTED_VALUE"""),"contact@idruide.com")</f>
        <v/>
      </c>
      <c r="J1296" s="1" t="n"/>
      <c r="K1296" s="1">
        <f>IFERROR(__xludf.DUMMYFUNCTION("""COMPUTED_VALUE"""),"Monaco")</f>
        <v/>
      </c>
      <c r="L1296" s="1">
        <f>IFERROR(__xludf.DUMMYFUNCTION("""COMPUTED_VALUE"""),"Monaco")</f>
        <v/>
      </c>
      <c r="M1296" s="1">
        <f>IFERROR(__xludf.DUMMYFUNCTION("""COMPUTED_VALUE"""),"France, Spain")</f>
        <v/>
      </c>
      <c r="N1296" s="1">
        <f>IFERROR(__xludf.DUMMYFUNCTION("""COMPUTED_VALUE"""),"11 to 50")</f>
        <v/>
      </c>
      <c r="O1296" s="1">
        <f>IFERROR(__xludf.DUMMYFUNCTION("""COMPUTED_VALUE"""),"Business to Business, Business to Consumer")</f>
        <v/>
      </c>
      <c r="P1296" s="1">
        <f>IFERROR(__xludf.DUMMYFUNCTION("""COMPUTED_VALUE"""),"Early childhood development (0-5 years), Primary Education, Secondary Education")</f>
        <v/>
      </c>
      <c r="Q1296" s="1">
        <f>IFERROR(__xludf.DUMMYFUNCTION("""COMPUTED_VALUE"""),"Student interfacing, Teacher interfacing")</f>
        <v/>
      </c>
      <c r="R1296" s="1" t="n"/>
      <c r="S1296" s="15">
        <f>IFERROR(__xludf.DUMMYFUNCTION("""COMPUTED_VALUE"""),"https://twitter.com/idruide")</f>
        <v/>
      </c>
      <c r="T1296" s="15">
        <f>IFERROR(__xludf.DUMMYFUNCTION("""COMPUTED_VALUE"""),"https://www.linkedin.com/company/idruide/")</f>
        <v/>
      </c>
      <c r="U1296" s="1">
        <f>IFERROR(__xludf.DUMMYFUNCTION("""COMPUTED_VALUE"""),"Mobile Device Management (MDM) - Stonehenge")</f>
        <v/>
      </c>
      <c r="V1296" s="1">
        <f>IFERROR(__xludf.DUMMYFUNCTION("""COMPUTED_VALUE"""),"Manage all your mobile devices from a single online platform with Stonehenge.
Manage your digital equipment in a simple way from a single tool. idruide offers you a unified and secure management solution for digital terminals, compatible with all operati"&amp;"ng systems (Android, Windows, Apple and Chrome OS).")</f>
        <v/>
      </c>
      <c r="W1296" s="1">
        <f>IFERROR(__xludf.DUMMYFUNCTION("""COMPUTED_VALUE"""),"Internet filtering - idruide Web Secure")</f>
        <v/>
      </c>
      <c r="X1296" s="1">
        <f>IFERROR(__xludf.DUMMYFUNCTION("""COMPUTED_VALUE"""),"Secure Internet browsing anytime, anywhere with Web Secure.
Protect your school, its students and its teachers by filtering Internet browsing on all devices and all networks. Simplified installation from a single key link, without dedicated hardware.")</f>
        <v/>
      </c>
      <c r="Y1296" s="15">
        <f>IFERROR(__xludf.DUMMYFUNCTION("""COMPUTED_VALUE"""),"https://drive.google.com/uc?export=view&amp;id=1Ybwksx-d4kZqR5fjglqp-cOFGqFYMfiI")</f>
        <v/>
      </c>
      <c r="Z1296" s="1">
        <f>IFERROR(__xludf.DUMMYFUNCTION("""COMPUTED_VALUE"""),"Unverified")</f>
        <v/>
      </c>
      <c r="AA1296" s="1" t="n"/>
      <c r="AB1296" s="1" t="n"/>
      <c r="AC1296" s="1" t="n"/>
      <c r="AD1296" s="1" t="n"/>
      <c r="AE1296" s="1" t="n"/>
    </row>
    <row r="1297" ht="42" customHeight="1">
      <c r="A1297" s="14">
        <f>IFERROR(__xludf.DUMMYFUNCTION("""COMPUTED_VALUE"""),45181)</f>
        <v/>
      </c>
      <c r="B1297" s="1">
        <f>IFERROR(__xludf.DUMMYFUNCTION("""COMPUTED_VALUE"""),"ORG_1736")</f>
        <v/>
      </c>
      <c r="C1297" s="1">
        <f>IFERROR(__xludf.DUMMYFUNCTION("""COMPUTED_VALUE"""),TRUE)</f>
        <v/>
      </c>
      <c r="D1297" s="1">
        <f>IFERROR(__xludf.DUMMYFUNCTION("""COMPUTED_VALUE"""),"Investory")</f>
        <v/>
      </c>
      <c r="E1297" s="15">
        <f>IFERROR(__xludf.DUMMYFUNCTION("""COMPUTED_VALUE"""),"https://investoryapp.com/")</f>
        <v/>
      </c>
      <c r="F1297" s="1">
        <f>IFERROR(__xludf.DUMMYFUNCTION("""COMPUTED_VALUE"""),"Investory is a financial education game for children aged 6-10, which combines learning with a fun and engaging experience.
It is a game that utilises high-quality graphics and storyline to get the children engaged. By using familiar concepts, the knowled"&amp;"ge transfer is seamless and children are happy to repeat tasks or surpass challenges. It's very effective because the little ones not only learn theory in a masked way, but also practice it in a fun&amp;safe way.")</f>
        <v/>
      </c>
      <c r="G1297" s="1">
        <f>IFERROR(__xludf.DUMMYFUNCTION("""COMPUTED_VALUE"""),"I'm not part of any EdTech association")</f>
        <v/>
      </c>
      <c r="H1297" s="1" t="n"/>
      <c r="I1297" s="1">
        <f>IFERROR(__xludf.DUMMYFUNCTION("""COMPUTED_VALUE"""),"monica@investory.app")</f>
        <v/>
      </c>
      <c r="J1297" s="1">
        <f>IFERROR(__xludf.DUMMYFUNCTION("""COMPUTED_VALUE"""),"+40745696317")</f>
        <v/>
      </c>
      <c r="K1297" s="1">
        <f>IFERROR(__xludf.DUMMYFUNCTION("""COMPUTED_VALUE"""),"Cluj-Napoca")</f>
        <v/>
      </c>
      <c r="L1297" s="1">
        <f>IFERROR(__xludf.DUMMYFUNCTION("""COMPUTED_VALUE"""),"Romania")</f>
        <v/>
      </c>
      <c r="M1297" s="1">
        <f>IFERROR(__xludf.DUMMYFUNCTION("""COMPUTED_VALUE"""),"Austria, Belgium, Bulgaria, Croatia, Denmark, Estonia, Finland, France, Germany, Greece, Hungary, Iceland, Ireland, Italy, Latvia, Lithuania, Moldova, Netherlands, Norway, Poland, Romania, Serbia, Slovakia, Slovenia, Spain, Sweden, Switzerland, Turkey, Uk"&amp;"raine, United Kingdom")</f>
        <v/>
      </c>
      <c r="N1297" s="1">
        <f>IFERROR(__xludf.DUMMYFUNCTION("""COMPUTED_VALUE"""),"0 to 10")</f>
        <v/>
      </c>
      <c r="O1297" s="1">
        <f>IFERROR(__xludf.DUMMYFUNCTION("""COMPUTED_VALUE"""),"Business to Business, Business to Consumer")</f>
        <v/>
      </c>
      <c r="P1297" s="1">
        <f>IFERROR(__xludf.DUMMYFUNCTION("""COMPUTED_VALUE"""),"Primary Education")</f>
        <v/>
      </c>
      <c r="Q1297" s="1">
        <f>IFERROR(__xludf.DUMMYFUNCTION("""COMPUTED_VALUE"""),"System/Administrative, Student interfacing")</f>
        <v/>
      </c>
      <c r="R1297" s="1" t="n"/>
      <c r="S1297" s="1" t="n"/>
      <c r="T1297" s="1" t="n"/>
      <c r="U1297" s="1" t="n"/>
      <c r="V1297" s="1" t="n"/>
      <c r="W1297" s="1" t="n"/>
      <c r="X1297" s="1" t="n"/>
      <c r="Y1297" s="15">
        <f>IFERROR(__xludf.DUMMYFUNCTION("""COMPUTED_VALUE"""),"https://drive.google.com/uc?export=view&amp;id=18abHIP-8RZNT_W0-Xyy8BYLrPvL_NbDi")</f>
        <v/>
      </c>
      <c r="Z1297" s="1">
        <f>IFERROR(__xludf.DUMMYFUNCTION("""COMPUTED_VALUE"""),"Unverified")</f>
        <v/>
      </c>
      <c r="AA1297" s="1" t="n"/>
      <c r="AB1297" s="1" t="n"/>
      <c r="AC1297" s="1" t="n"/>
      <c r="AD1297" s="1" t="n"/>
      <c r="AE1297" s="1" t="n"/>
    </row>
    <row r="1298" ht="42" customHeight="1">
      <c r="A1298" s="14">
        <f>IFERROR(__xludf.DUMMYFUNCTION("""COMPUTED_VALUE"""),45181)</f>
        <v/>
      </c>
      <c r="B1298" s="1">
        <f>IFERROR(__xludf.DUMMYFUNCTION("""COMPUTED_VALUE"""),"ORG_1745")</f>
        <v/>
      </c>
      <c r="C1298" s="1">
        <f>IFERROR(__xludf.DUMMYFUNCTION("""COMPUTED_VALUE"""),TRUE)</f>
        <v/>
      </c>
      <c r="D1298" s="1">
        <f>IFERROR(__xludf.DUMMYFUNCTION("""COMPUTED_VALUE"""),"iTeach.world")</f>
        <v/>
      </c>
      <c r="E1298" s="15">
        <f>IFERROR(__xludf.DUMMYFUNCTION("""COMPUTED_VALUE"""),"https://iteach.world/")</f>
        <v/>
      </c>
      <c r="F1298" s="1">
        <f>IFERROR(__xludf.DUMMYFUNCTION("""COMPUTED_VALUE"""),"More than just a videoconferencing app, the iTeach Virtual Classroom includes all the other teaching and learning tools you need for a complete and effective online teaching experience. It is Easy to Use and built for virtual teaching.
What teachers can"&amp;" do in a physical classroom, can be fully replicated on line with iTeach. You have a virtual classroom with all the other tools you need in one place to deliver a more effective and engaging online learning experience.
The learning and teaching tools are"&amp;" connected to your branded virtual room. iTeach lets you add your logo and customize key visual elements to make your online school instantly recognizable and unique.
iTeach.world is being used in 168 countries across the world.")</f>
        <v/>
      </c>
      <c r="G1298" s="1">
        <f>IFERROR(__xludf.DUMMYFUNCTION("""COMPUTED_VALUE"""),"EdTech France")</f>
        <v/>
      </c>
      <c r="H1298" s="1" t="n"/>
      <c r="I1298" s="1">
        <f>IFERROR(__xludf.DUMMYFUNCTION("""COMPUTED_VALUE"""),"jpg@iteach.world")</f>
        <v/>
      </c>
      <c r="J1298" s="1" t="n"/>
      <c r="K1298" s="1">
        <f>IFERROR(__xludf.DUMMYFUNCTION("""COMPUTED_VALUE"""),"paris")</f>
        <v/>
      </c>
      <c r="L1298" s="1">
        <f>IFERROR(__xludf.DUMMYFUNCTION("""COMPUTED_VALUE"""),"France")</f>
        <v/>
      </c>
      <c r="M1298" s="1">
        <f>IFERROR(__xludf.DUMMYFUNCTION("""COMPUTED_VALUE"""),"Austria, Belgium, Czechia, France, Germany, Greece, Hungary, Ireland, Italy, Netherlands, Poland, Portugal, Russia, Slovakia, Slovenia, Spain, Switzerland, Ukraine, United Kingdom")</f>
        <v/>
      </c>
      <c r="N1298" s="1">
        <f>IFERROR(__xludf.DUMMYFUNCTION("""COMPUTED_VALUE"""),"0 to 10")</f>
        <v/>
      </c>
      <c r="O1298" s="1">
        <f>IFERROR(__xludf.DUMMYFUNCTION("""COMPUTED_VALUE"""),"Business to Business, Business to Consumer")</f>
        <v/>
      </c>
      <c r="P1298" s="1">
        <f>IFERROR(__xludf.DUMMYFUNCTION("""COMPUTED_VALUE"""),"Higher Education, Corporate Training, Lifelong learning/Adult education")</f>
        <v/>
      </c>
      <c r="Q1298" s="1">
        <f>IFERROR(__xludf.DUMMYFUNCTION("""COMPUTED_VALUE"""),"Teacher interfacing, System/Administrative")</f>
        <v/>
      </c>
      <c r="R1298" s="15">
        <f>IFERROR(__xludf.DUMMYFUNCTION("""COMPUTED_VALUE"""),"https://www.facebook.com/Iteachworld")</f>
        <v/>
      </c>
      <c r="S1298" s="1" t="n"/>
      <c r="T1298" s="15">
        <f>IFERROR(__xludf.DUMMYFUNCTION("""COMPUTED_VALUE"""),"https://www.linkedin.com/company/iteach-world/")</f>
        <v/>
      </c>
      <c r="U1298" s="1">
        <f>IFERROR(__xludf.DUMMYFUNCTION("""COMPUTED_VALUE"""),"iTeach virtual classroom: webroom")</f>
        <v/>
      </c>
      <c r="V1298" s="1">
        <f>IFERROR(__xludf.DUMMYFUNCTION("""COMPUTED_VALUE"""),"-Keep your students engaged with whiteboards, screen sharing, breakout groups, real-time notes, chat, and use polls to get discussions started or for real-time assessments.
-Use the Workspace to create your content playlist and share content such as video"&amp;"s, websites, presentations and other files during your class.
-Use Direct Talk to talk with a student privately without leaving the room.
-Make live notes during the class which you can review and edit later.
-Manage the students in the virtual classroom "&amp;"with moderation controls.")</f>
        <v/>
      </c>
      <c r="W1298" s="1">
        <f>IFERROR(__xludf.DUMMYFUNCTION("""COMPUTED_VALUE"""),"Teaching &amp; Learning tools: iTeach LMS")</f>
        <v/>
      </c>
      <c r="X1298" s="1">
        <f>IFERROR(__xludf.DUMMYFUNCTION("""COMPUTED_VALUE"""),"- Design Assignments &amp; assessments online 
- Get automated Progress tracking &amp; reports to debe efficient
- Get Attendance tracking &amp; reports and Identify students who need support
- Class calendar so you always know what’s happening
- Grade book and Keep "&amp;"track in real-time
- Class &amp; assignment reminders so you never forget anything
- Automated personalized feedback Because each student is different
- Messages &amp; announcements make it easy to communicate
- Communicate teacher profiles to build trust and ins"&amp;"pire students")</f>
        <v/>
      </c>
      <c r="Y1298" s="15">
        <f>IFERROR(__xludf.DUMMYFUNCTION("""COMPUTED_VALUE"""),"https://drive.google.com/uc?export=view&amp;id=1RQ-FvR9rMM2WaL5ZYatyvb3lpTbL4QUu")</f>
        <v/>
      </c>
      <c r="Z1298" s="1">
        <f>IFERROR(__xludf.DUMMYFUNCTION("""COMPUTED_VALUE"""),"Unverified")</f>
        <v/>
      </c>
      <c r="AA1298" s="1" t="n"/>
      <c r="AB1298" s="1" t="n"/>
      <c r="AC1298" s="1" t="n"/>
      <c r="AD1298" s="1" t="n"/>
      <c r="AE1298" s="1" t="n"/>
    </row>
    <row r="1299" ht="42" customHeight="1">
      <c r="A1299" s="14">
        <f>IFERROR(__xludf.DUMMYFUNCTION("""COMPUTED_VALUE"""),45181)</f>
        <v/>
      </c>
      <c r="B1299" s="1">
        <f>IFERROR(__xludf.DUMMYFUNCTION("""COMPUTED_VALUE"""),"ORG_1749")</f>
        <v/>
      </c>
      <c r="C1299" s="1">
        <f>IFERROR(__xludf.DUMMYFUNCTION("""COMPUTED_VALUE"""),TRUE)</f>
        <v/>
      </c>
      <c r="D1299" s="1">
        <f>IFERROR(__xludf.DUMMYFUNCTION("""COMPUTED_VALUE"""),"itorium")</f>
        <v/>
      </c>
      <c r="E1299" s="15">
        <f>IFERROR(__xludf.DUMMYFUNCTION("""COMPUTED_VALUE"""),"www.itorium.org")</f>
        <v/>
      </c>
      <c r="F1299" s="1">
        <f>IFERROR(__xludf.DUMMYFUNCTION("""COMPUTED_VALUE"""),"itorium helps organisations to learn at scale. We create appealing learning content (videos and XR).
We also develop virtual classrooms and recording studios.")</f>
        <v/>
      </c>
      <c r="G1299" s="1">
        <f>IFERROR(__xludf.DUMMYFUNCTION("""COMPUTED_VALUE"""),"Dutch EdTech")</f>
        <v/>
      </c>
      <c r="H1299" s="1" t="n"/>
      <c r="I1299" s="1">
        <f>IFERROR(__xludf.DUMMYFUNCTION("""COMPUTED_VALUE"""),"hello@itorium.org")</f>
        <v/>
      </c>
      <c r="J1299" s="1" t="n"/>
      <c r="K1299" s="1">
        <f>IFERROR(__xludf.DUMMYFUNCTION("""COMPUTED_VALUE"""),"AMSTERDAM")</f>
        <v/>
      </c>
      <c r="L1299" s="1">
        <f>IFERROR(__xludf.DUMMYFUNCTION("""COMPUTED_VALUE"""),"The Netherlands")</f>
        <v/>
      </c>
      <c r="M1299" s="1">
        <f>IFERROR(__xludf.DUMMYFUNCTION("""COMPUTED_VALUE"""),"Belgium, Germany, Netherlands")</f>
        <v/>
      </c>
      <c r="N1299" s="1">
        <f>IFERROR(__xludf.DUMMYFUNCTION("""COMPUTED_VALUE"""),"0 to 10")</f>
        <v/>
      </c>
      <c r="O1299" s="1">
        <f>IFERROR(__xludf.DUMMYFUNCTION("""COMPUTED_VALUE"""),"Business to Business, Business to Consumer")</f>
        <v/>
      </c>
      <c r="P1299" s="1">
        <f>IFERROR(__xludf.DUMMYFUNCTION("""COMPUTED_VALUE"""),"Higher Education, Corporate Training, Lifelong learning/Adult education")</f>
        <v/>
      </c>
      <c r="Q1299" s="1">
        <f>IFERROR(__xludf.DUMMYFUNCTION("""COMPUTED_VALUE"""),"System/Administrative")</f>
        <v/>
      </c>
      <c r="R1299" s="1" t="n"/>
      <c r="S1299" s="1" t="n"/>
      <c r="T1299" s="15">
        <f>IFERROR(__xludf.DUMMYFUNCTION("""COMPUTED_VALUE"""),"https://www.linkedin.com/company/itorium/")</f>
        <v/>
      </c>
      <c r="U1299" s="1">
        <f>IFERROR(__xludf.DUMMYFUNCTION("""COMPUTED_VALUE"""),"Learning Content")</f>
        <v/>
      </c>
      <c r="V1299" s="1">
        <f>IFERROR(__xludf.DUMMYFUNCTION("""COMPUTED_VALUE"""),"We support teachers, trainers and organisations in order to create the most attractive learning content. Our team of media experts are specialized in producing content (Video, audio and XR) for inspirational and knowledge transfer purposes.")</f>
        <v/>
      </c>
      <c r="W1299" s="1">
        <f>IFERROR(__xludf.DUMMYFUNCTION("""COMPUTED_VALUE"""),"Virtual Classrooms")</f>
        <v/>
      </c>
      <c r="X1299" s="1">
        <f>IFERROR(__xludf.DUMMYFUNCTION("""COMPUTED_VALUE"""),"The Virtual Classroom solves the problem of synchronous communication. The teacher is able to walk around and make use of augmented objects. The students are projected in a theatre setting and are able to remotely interact with each other.")</f>
        <v/>
      </c>
      <c r="Y1299" s="15">
        <f>IFERROR(__xludf.DUMMYFUNCTION("""COMPUTED_VALUE"""),"https://drive.google.com/uc?export=view&amp;id=172KbpIJyhObW9VNZCgHSi2J8l5LiNMx6")</f>
        <v/>
      </c>
      <c r="Z1299" s="1">
        <f>IFERROR(__xludf.DUMMYFUNCTION("""COMPUTED_VALUE"""),"Unverified")</f>
        <v/>
      </c>
      <c r="AA1299" s="1" t="n"/>
      <c r="AB1299" s="1" t="n"/>
      <c r="AC1299" s="1" t="n"/>
      <c r="AD1299" s="1" t="n"/>
      <c r="AE1299" s="1" t="n"/>
    </row>
    <row r="1300" ht="42" customHeight="1">
      <c r="A1300" s="14">
        <f>IFERROR(__xludf.DUMMYFUNCTION("""COMPUTED_VALUE"""),45181)</f>
        <v/>
      </c>
      <c r="B1300" s="1">
        <f>IFERROR(__xludf.DUMMYFUNCTION("""COMPUTED_VALUE"""),"ORG_1763")</f>
        <v/>
      </c>
      <c r="C1300" s="1">
        <f>IFERROR(__xludf.DUMMYFUNCTION("""COMPUTED_VALUE"""),TRUE)</f>
        <v/>
      </c>
      <c r="D1300" s="1">
        <f>IFERROR(__xludf.DUMMYFUNCTION("""COMPUTED_VALUE"""),"KALIVI")</f>
        <v/>
      </c>
      <c r="E1300" s="15">
        <f>IFERROR(__xludf.DUMMYFUNCTION("""COMPUTED_VALUE"""),"www.kalivi.fr")</f>
        <v/>
      </c>
      <c r="F1300" s="1">
        <f>IFERROR(__xludf.DUMMYFUNCTION("""COMPUTED_VALUE"""),"Kalivi est un organisme de formations et de conseils expert en qualité de vie au travail. Nous co créons avec nos clients, les formations pour qu'elles soient plus efficaces et impactantes autour de 3 thématiques : prévention des risques psychosociaux, ge"&amp;"stes et postures, efficacité professionnelle.")</f>
        <v/>
      </c>
      <c r="G1300" s="1">
        <f>IFERROR(__xludf.DUMMYFUNCTION("""COMPUTED_VALUE"""),"I'm not part of any EdTech association")</f>
        <v/>
      </c>
      <c r="H1300" s="1" t="n"/>
      <c r="I1300" s="1">
        <f>IFERROR(__xludf.DUMMYFUNCTION("""COMPUTED_VALUE"""),"contact@kalivi.fr")</f>
        <v/>
      </c>
      <c r="J1300" s="1">
        <f>IFERROR(__xludf.DUMMYFUNCTION("""COMPUTED_VALUE"""),"170290849")</f>
        <v/>
      </c>
      <c r="K1300" s="1">
        <f>IFERROR(__xludf.DUMMYFUNCTION("""COMPUTED_VALUE"""),"Versailles")</f>
        <v/>
      </c>
      <c r="L1300" s="1">
        <f>IFERROR(__xludf.DUMMYFUNCTION("""COMPUTED_VALUE"""),"France")</f>
        <v/>
      </c>
      <c r="M1300" s="1">
        <f>IFERROR(__xludf.DUMMYFUNCTION("""COMPUTED_VALUE"""),"France")</f>
        <v/>
      </c>
      <c r="N1300" s="1">
        <f>IFERROR(__xludf.DUMMYFUNCTION("""COMPUTED_VALUE"""),"0 to 10")</f>
        <v/>
      </c>
      <c r="O1300" s="1">
        <f>IFERROR(__xludf.DUMMYFUNCTION("""COMPUTED_VALUE"""),"Business to Business, Business to Consumer")</f>
        <v/>
      </c>
      <c r="P1300" s="1">
        <f>IFERROR(__xludf.DUMMYFUNCTION("""COMPUTED_VALUE"""),"Corporate Training")</f>
        <v/>
      </c>
      <c r="Q1300" s="1">
        <f>IFERROR(__xludf.DUMMYFUNCTION("""COMPUTED_VALUE"""),"Student interfacing, System/Administrative")</f>
        <v/>
      </c>
      <c r="R1300" s="1" t="n"/>
      <c r="S1300" s="1" t="n"/>
      <c r="T1300" s="1" t="n"/>
      <c r="U1300" s="1" t="n"/>
      <c r="V1300" s="1" t="n"/>
      <c r="W1300" s="1" t="n"/>
      <c r="X1300" s="1" t="n"/>
      <c r="Y1300" s="15">
        <f>IFERROR(__xludf.DUMMYFUNCTION("""COMPUTED_VALUE"""),"https://drive.google.com/uc?export=view&amp;id=19V-c6Vx-zsyibAB_Acb9xWXSDpknN66j")</f>
        <v/>
      </c>
      <c r="Z1300" s="1">
        <f>IFERROR(__xludf.DUMMYFUNCTION("""COMPUTED_VALUE"""),"Unverified")</f>
        <v/>
      </c>
      <c r="AA1300" s="1" t="n"/>
      <c r="AB1300" s="1" t="n"/>
      <c r="AC1300" s="1" t="n"/>
      <c r="AD1300" s="1" t="n"/>
      <c r="AE1300" s="1" t="n"/>
    </row>
    <row r="1301" ht="42" customHeight="1">
      <c r="A1301" s="14">
        <f>IFERROR(__xludf.DUMMYFUNCTION("""COMPUTED_VALUE"""),45181)</f>
        <v/>
      </c>
      <c r="B1301" s="1">
        <f>IFERROR(__xludf.DUMMYFUNCTION("""COMPUTED_VALUE"""),"ORG_1776")</f>
        <v/>
      </c>
      <c r="C1301" s="1">
        <f>IFERROR(__xludf.DUMMYFUNCTION("""COMPUTED_VALUE"""),TRUE)</f>
        <v/>
      </c>
      <c r="D1301" s="1">
        <f>IFERROR(__xludf.DUMMYFUNCTION("""COMPUTED_VALUE"""),"King Pact")</f>
        <v/>
      </c>
      <c r="E1301" s="15">
        <f>IFERROR(__xludf.DUMMYFUNCTION("""COMPUTED_VALUE"""),"https://www.kingpact.fr")</f>
        <v/>
      </c>
      <c r="F1301" s="1">
        <f>IFERROR(__xludf.DUMMYFUNCTION("""COMPUTED_VALUE"""),"King Pact is an online education platform which helps students get a job in M&amp;A and corporate finance.")</f>
        <v/>
      </c>
      <c r="G1301" s="1">
        <f>IFERROR(__xludf.DUMMYFUNCTION("""COMPUTED_VALUE"""),"EdTech France")</f>
        <v/>
      </c>
      <c r="H1301" s="1" t="n"/>
      <c r="I1301" s="1" t="n"/>
      <c r="J1301" s="1">
        <f>IFERROR(__xludf.DUMMYFUNCTION("""COMPUTED_VALUE"""),"760906808")</f>
        <v/>
      </c>
      <c r="K1301" s="1">
        <f>IFERROR(__xludf.DUMMYFUNCTION("""COMPUTED_VALUE"""),"Paris")</f>
        <v/>
      </c>
      <c r="L1301" s="1">
        <f>IFERROR(__xludf.DUMMYFUNCTION("""COMPUTED_VALUE"""),"France")</f>
        <v/>
      </c>
      <c r="M1301" s="1">
        <f>IFERROR(__xludf.DUMMYFUNCTION("""COMPUTED_VALUE"""),"France")</f>
        <v/>
      </c>
      <c r="N1301" s="1">
        <f>IFERROR(__xludf.DUMMYFUNCTION("""COMPUTED_VALUE"""),"0 to 2")</f>
        <v/>
      </c>
      <c r="O1301" s="1">
        <f>IFERROR(__xludf.DUMMYFUNCTION("""COMPUTED_VALUE"""),"Business to Business, Business to Consumer, Business to Government")</f>
        <v/>
      </c>
      <c r="P1301" s="1">
        <f>IFERROR(__xludf.DUMMYFUNCTION("""COMPUTED_VALUE"""),"Secondary Education, Corporate Training, Lifelong learning/Adult education, Higher Education")</f>
        <v/>
      </c>
      <c r="Q1301" s="1">
        <f>IFERROR(__xludf.DUMMYFUNCTION("""COMPUTED_VALUE"""),"Student interfacing")</f>
        <v/>
      </c>
      <c r="R1301" s="15">
        <f>IFERROR(__xludf.DUMMYFUNCTION("""COMPUTED_VALUE"""),"https://www.instagram.com/king_pact/?hl=en")</f>
        <v/>
      </c>
      <c r="S1301" s="1" t="n"/>
      <c r="T1301" s="15">
        <f>IFERROR(__xludf.DUMMYFUNCTION("""COMPUTED_VALUE"""),"https://www.linkedin.com/company/kingpact")</f>
        <v/>
      </c>
      <c r="U1301" s="1">
        <f>IFERROR(__xludf.DUMMYFUNCTION("""COMPUTED_VALUE"""),"Online education platform")</f>
        <v/>
      </c>
      <c r="V1301" s="1">
        <f>IFERROR(__xludf.DUMMYFUNCTION("""COMPUTED_VALUE"""),"King Pact helps people get a job in corporate finance and M&amp;A thanks to online courses and coaching with investment bankers.")</f>
        <v/>
      </c>
      <c r="W1301" s="1" t="n"/>
      <c r="X1301" s="1" t="n"/>
      <c r="Y1301" s="15">
        <f>IFERROR(__xludf.DUMMYFUNCTION("""COMPUTED_VALUE"""),"https://drive.google.com/uc?export=view&amp;id=1rxycs4aClc-rsFUADSHbP3UvYqQ2ILsZ")</f>
        <v/>
      </c>
      <c r="Z1301" s="1">
        <f>IFERROR(__xludf.DUMMYFUNCTION("""COMPUTED_VALUE"""),"Unverified")</f>
        <v/>
      </c>
      <c r="AA1301" s="1" t="n"/>
      <c r="AB1301" s="1" t="n"/>
      <c r="AC1301" s="1" t="n"/>
      <c r="AD1301" s="1" t="n"/>
      <c r="AE1301" s="1" t="n"/>
    </row>
    <row r="1302" ht="42" customHeight="1">
      <c r="A1302" s="14">
        <f>IFERROR(__xludf.DUMMYFUNCTION("""COMPUTED_VALUE"""),45181)</f>
        <v/>
      </c>
      <c r="B1302" s="1">
        <f>IFERROR(__xludf.DUMMYFUNCTION("""COMPUTED_VALUE"""),"ORG_1798")</f>
        <v/>
      </c>
      <c r="C1302" s="1">
        <f>IFERROR(__xludf.DUMMYFUNCTION("""COMPUTED_VALUE"""),TRUE)</f>
        <v/>
      </c>
      <c r="D1302" s="1">
        <f>IFERROR(__xludf.DUMMYFUNCTION("""COMPUTED_VALUE"""),"L'atelier des Chefs")</f>
        <v/>
      </c>
      <c r="E1302" s="15">
        <f>IFERROR(__xludf.DUMMYFUNCTION("""COMPUTED_VALUE"""),"www.atelierdeschefs.fr")</f>
        <v/>
      </c>
      <c r="F1302" s="1">
        <f>IFERROR(__xludf.DUMMYFUNCTION("""COMPUTED_VALUE"""),"L'atelier des Chefs is a European leader in digital training for all craft work : cooking, beauty, home care services, building activities and so on")</f>
        <v/>
      </c>
      <c r="G1302" s="1">
        <f>IFERROR(__xludf.DUMMYFUNCTION("""COMPUTED_VALUE"""),"EdTech France")</f>
        <v/>
      </c>
      <c r="H1302" s="1" t="n"/>
      <c r="I1302" s="1">
        <f>IFERROR(__xludf.DUMMYFUNCTION("""COMPUTED_VALUE"""),"nicolas.bergerault@atelierdeschefs.com")</f>
        <v/>
      </c>
      <c r="J1302" s="1">
        <f>IFERROR(__xludf.DUMMYFUNCTION("""COMPUTED_VALUE"""),"+33607562839")</f>
        <v/>
      </c>
      <c r="K1302" s="1">
        <f>IFERROR(__xludf.DUMMYFUNCTION("""COMPUTED_VALUE"""),"PARIS")</f>
        <v/>
      </c>
      <c r="L1302" s="1">
        <f>IFERROR(__xludf.DUMMYFUNCTION("""COMPUTED_VALUE"""),"France")</f>
        <v/>
      </c>
      <c r="M1302" s="1">
        <f>IFERROR(__xludf.DUMMYFUNCTION("""COMPUTED_VALUE"""),"Andorra, Belgium, France, Germany, Italy, Spain, United Kingdom")</f>
        <v/>
      </c>
      <c r="N1302" s="1">
        <f>IFERROR(__xludf.DUMMYFUNCTION("""COMPUTED_VALUE"""),"100+")</f>
        <v/>
      </c>
      <c r="O1302" s="1">
        <f>IFERROR(__xludf.DUMMYFUNCTION("""COMPUTED_VALUE"""),"Business to Business, Business to Consumer, Business to Government")</f>
        <v/>
      </c>
      <c r="P1302" s="1">
        <f>IFERROR(__xludf.DUMMYFUNCTION("""COMPUTED_VALUE"""),"Higher Education, Lifelong learning/Adult education")</f>
        <v/>
      </c>
      <c r="Q1302" s="1">
        <f>IFERROR(__xludf.DUMMYFUNCTION("""COMPUTED_VALUE"""),"Student interfacing, System/Administrative")</f>
        <v/>
      </c>
      <c r="R1302" s="15">
        <f>IFERROR(__xludf.DUMMYFUNCTION("""COMPUTED_VALUE"""),"https://www.instagram.com/atelierdeschefs/?hl=fr")</f>
        <v/>
      </c>
      <c r="S1302" s="1" t="n"/>
      <c r="T1302" s="15">
        <f>IFERROR(__xludf.DUMMYFUNCTION("""COMPUTED_VALUE"""),"https://www.linkedin.com/school/91825/admin/")</f>
        <v/>
      </c>
      <c r="U1302" s="1">
        <f>IFERROR(__xludf.DUMMYFUNCTION("""COMPUTED_VALUE"""),"CAP Cuisine 100% digital")</f>
        <v/>
      </c>
      <c r="V1302" s="1">
        <f>IFERROR(__xludf.DUMMYFUNCTION("""COMPUTED_VALUE"""),"Train digital to pass the best known exam all French Chefs went through!")</f>
        <v/>
      </c>
      <c r="W1302" s="1" t="n"/>
      <c r="X1302" s="1" t="n"/>
      <c r="Y1302" s="15">
        <f>IFERROR(__xludf.DUMMYFUNCTION("""COMPUTED_VALUE"""),"https://drive.google.com/uc?export=view&amp;id=1LDxZPlc9z0_2a_kYkGKR-OE3lfa9_raG")</f>
        <v/>
      </c>
      <c r="Z1302" s="1">
        <f>IFERROR(__xludf.DUMMYFUNCTION("""COMPUTED_VALUE"""),"Unverified")</f>
        <v/>
      </c>
      <c r="AA1302" s="1" t="n"/>
      <c r="AB1302" s="1" t="n"/>
      <c r="AC1302" s="1" t="n"/>
      <c r="AD1302" s="1" t="n"/>
      <c r="AE1302" s="1" t="n"/>
    </row>
    <row r="1303" ht="42" customHeight="1">
      <c r="A1303" s="14">
        <f>IFERROR(__xludf.DUMMYFUNCTION("""COMPUTED_VALUE"""),45181)</f>
        <v/>
      </c>
      <c r="B1303" s="1">
        <f>IFERROR(__xludf.DUMMYFUNCTION("""COMPUTED_VALUE"""),"ORG_1801")</f>
        <v/>
      </c>
      <c r="C1303" s="1">
        <f>IFERROR(__xludf.DUMMYFUNCTION("""COMPUTED_VALUE"""),TRUE)</f>
        <v/>
      </c>
      <c r="D1303" s="1">
        <f>IFERROR(__xludf.DUMMYFUNCTION("""COMPUTED_VALUE"""),"La Dante in Cambridge, European Cultural Centre")</f>
        <v/>
      </c>
      <c r="E1303" s="15">
        <f>IFERROR(__xludf.DUMMYFUNCTION("""COMPUTED_VALUE"""),"www.ladante-in-cambridge.org")</f>
        <v/>
      </c>
      <c r="F1303" s="1">
        <f>IFERROR(__xludf.DUMMYFUNCTION("""COMPUTED_VALUE"""),"A SME Cambridgeshire Business award finalist, La Dante in Cambridge is a language school providing excellent online and face to face tuition in Italian, Spanish and English. We are the only official PLIDA B1 Examination Centre for Italian citizenship in C"&amp;"ambridge, as well as an official DELE Spanish Exam Centre and a Trinity College Examination Centre for English.
Our Internship Digital Marketing programme and Teacher training for young graduates from Italy or Spain is well established. We have been runni"&amp;"ng a CLIL teacher training programme since 2011 with European schools. La Dante in Cambridge has links and collaborations with renown European Universities and businesses in the EU and Asia.")</f>
        <v/>
      </c>
      <c r="G1303" s="1">
        <f>IFERROR(__xludf.DUMMYFUNCTION("""COMPUTED_VALUE"""),"I'm not part of any EdTech association")</f>
        <v/>
      </c>
      <c r="H1303" s="1" t="n"/>
      <c r="I1303" s="1">
        <f>IFERROR(__xludf.DUMMYFUNCTION("""COMPUTED_VALUE"""),"english@ladante-in-cambridge.org")</f>
        <v/>
      </c>
      <c r="J1303" s="1">
        <f>IFERROR(__xludf.DUMMYFUNCTION("""COMPUTED_VALUE"""),"+447887606227")</f>
        <v/>
      </c>
      <c r="K1303" s="1">
        <f>IFERROR(__xludf.DUMMYFUNCTION("""COMPUTED_VALUE"""),"Cambridge")</f>
        <v/>
      </c>
      <c r="L1303" s="1">
        <f>IFERROR(__xludf.DUMMYFUNCTION("""COMPUTED_VALUE"""),"United Kingdom")</f>
        <v/>
      </c>
      <c r="M1303" s="1">
        <f>IFERROR(__xludf.DUMMYFUNCTION("""COMPUTED_VALUE"""),"Ireland, Italy, Spain, United Kingdom")</f>
        <v/>
      </c>
      <c r="N1303" s="1">
        <f>IFERROR(__xludf.DUMMYFUNCTION("""COMPUTED_VALUE"""),"0 to 10")</f>
        <v/>
      </c>
      <c r="O1303" s="1">
        <f>IFERROR(__xludf.DUMMYFUNCTION("""COMPUTED_VALUE"""),"Business to Business, Business to Consumer, Business to Government")</f>
        <v/>
      </c>
      <c r="P1303" s="1">
        <f>IFERROR(__xludf.DUMMYFUNCTION("""COMPUTED_VALUE"""),"Primary Education, Secondary Education, Higher Education, Corporate Training")</f>
        <v/>
      </c>
      <c r="Q1303" s="1">
        <f>IFERROR(__xludf.DUMMYFUNCTION("""COMPUTED_VALUE"""),"System/Administrative, Student interfacing, Teacher interfacing")</f>
        <v/>
      </c>
      <c r="R1303" s="1" t="n"/>
      <c r="S1303" s="1" t="n"/>
      <c r="T1303" s="1" t="n"/>
      <c r="U1303" s="1" t="n"/>
      <c r="V1303" s="1" t="n"/>
      <c r="W1303" s="1" t="n"/>
      <c r="X1303" s="1" t="n"/>
      <c r="Y1303" s="15">
        <f>IFERROR(__xludf.DUMMYFUNCTION("""COMPUTED_VALUE"""),"https://drive.google.com/uc?export=view&amp;id=15dWE7_Jkm0qikbnfw6A3MS6r5NGCXBGC")</f>
        <v/>
      </c>
      <c r="Z1303" s="1">
        <f>IFERROR(__xludf.DUMMYFUNCTION("""COMPUTED_VALUE"""),"Unverified")</f>
        <v/>
      </c>
      <c r="AA1303" s="1" t="n"/>
      <c r="AB1303" s="1" t="n"/>
      <c r="AC1303" s="1" t="n"/>
      <c r="AD1303" s="1" t="n"/>
      <c r="AE1303" s="1" t="n"/>
    </row>
    <row r="1304" ht="42" customHeight="1">
      <c r="A1304" s="14">
        <f>IFERROR(__xludf.DUMMYFUNCTION("""COMPUTED_VALUE"""),45181)</f>
        <v/>
      </c>
      <c r="B1304" s="1">
        <f>IFERROR(__xludf.DUMMYFUNCTION("""COMPUTED_VALUE"""),"ORG_1856")</f>
        <v/>
      </c>
      <c r="C1304" s="1">
        <f>IFERROR(__xludf.DUMMYFUNCTION("""COMPUTED_VALUE"""),TRUE)</f>
        <v/>
      </c>
      <c r="D1304" s="1">
        <f>IFERROR(__xludf.DUMMYFUNCTION("""COMPUTED_VALUE"""),"Les Adultes de Demain")</f>
        <v/>
      </c>
      <c r="E1304" s="15">
        <f>IFERROR(__xludf.DUMMYFUNCTION("""COMPUTED_VALUE"""),"https://www.lesadultesdedemain.com/")</f>
        <v/>
      </c>
      <c r="F1304" s="1">
        <f>IFERROR(__xludf.DUMMYFUNCTION("""COMPUTED_VALUE"""),"We are one of the most listened podcasts in France (&gt;800 000 listening since 2 years), on Education and Parenting topics. We've interviewed the most famous Education personalities. We've also published a book with our most successful episodes.")</f>
        <v/>
      </c>
      <c r="G1304" s="1">
        <f>IFERROR(__xludf.DUMMYFUNCTION("""COMPUTED_VALUE"""),"I'm not part of any EdTech association")</f>
        <v/>
      </c>
      <c r="H1304" s="1" t="n"/>
      <c r="I1304" s="1">
        <f>IFERROR(__xludf.DUMMYFUNCTION("""COMPUTED_VALUE"""),"stephaniedesclaibes@gmail.com")</f>
        <v/>
      </c>
      <c r="J1304" s="1" t="n"/>
      <c r="K1304" s="1">
        <f>IFERROR(__xludf.DUMMYFUNCTION("""COMPUTED_VALUE"""),"Paris")</f>
        <v/>
      </c>
      <c r="L1304" s="1">
        <f>IFERROR(__xludf.DUMMYFUNCTION("""COMPUTED_VALUE"""),"France")</f>
        <v/>
      </c>
      <c r="M1304" s="1">
        <f>IFERROR(__xludf.DUMMYFUNCTION("""COMPUTED_VALUE"""),"Belgium, France, Luxembourg, Switzerland")</f>
        <v/>
      </c>
      <c r="N1304" s="1">
        <f>IFERROR(__xludf.DUMMYFUNCTION("""COMPUTED_VALUE"""),"0 to 10")</f>
        <v/>
      </c>
      <c r="O1304" s="1">
        <f>IFERROR(__xludf.DUMMYFUNCTION("""COMPUTED_VALUE"""),"Business to Business, Business to Consumer, Business to Government, Business to Schools")</f>
        <v/>
      </c>
      <c r="P1304" s="1">
        <f>IFERROR(__xludf.DUMMYFUNCTION("""COMPUTED_VALUE"""),"Early childhood development (0-5 years), Primary Education, Secondary Education, Higher Education")</f>
        <v/>
      </c>
      <c r="Q1304" s="1">
        <f>IFERROR(__xludf.DUMMYFUNCTION("""COMPUTED_VALUE"""),"System/Administrative, Teacher interfacing")</f>
        <v/>
      </c>
      <c r="R1304" s="1" t="n"/>
      <c r="S1304" s="1" t="n"/>
      <c r="T1304" s="1" t="n"/>
      <c r="U1304" s="1" t="n"/>
      <c r="V1304" s="1" t="n"/>
      <c r="W1304" s="1" t="n"/>
      <c r="X1304" s="1" t="n"/>
      <c r="Y1304" s="15">
        <f>IFERROR(__xludf.DUMMYFUNCTION("""COMPUTED_VALUE"""),"https://drive.google.com/uc?export=view&amp;id=1XsrIJPCpnCsiEMCc-ffZqiD5ji-O_RuH")</f>
        <v/>
      </c>
      <c r="Z1304" s="1">
        <f>IFERROR(__xludf.DUMMYFUNCTION("""COMPUTED_VALUE"""),"Unverified")</f>
        <v/>
      </c>
      <c r="AA1304" s="1" t="n"/>
      <c r="AB1304" s="1" t="n"/>
      <c r="AC1304" s="1" t="n"/>
      <c r="AD1304" s="1" t="n"/>
      <c r="AE1304" s="1" t="n"/>
    </row>
    <row r="1305" ht="42" customHeight="1">
      <c r="A1305" s="14">
        <f>IFERROR(__xludf.DUMMYFUNCTION("""COMPUTED_VALUE"""),45181)</f>
        <v/>
      </c>
      <c r="B1305" s="1">
        <f>IFERROR(__xludf.DUMMYFUNCTION("""COMPUTED_VALUE"""),"ORG_1876")</f>
        <v/>
      </c>
      <c r="C1305" s="1">
        <f>IFERROR(__xludf.DUMMYFUNCTION("""COMPUTED_VALUE"""),TRUE)</f>
        <v/>
      </c>
      <c r="D1305" s="1">
        <f>IFERROR(__xludf.DUMMYFUNCTION("""COMPUTED_VALUE"""),"Lili (lili.cool)")</f>
        <v/>
      </c>
      <c r="E1305" s="15">
        <f>IFERROR(__xludf.DUMMYFUNCTION("""COMPUTED_VALUE"""),"http://www.lili.cool")</f>
        <v/>
      </c>
      <c r="F1305" s="1">
        <f>IFERROR(__xludf.DUMMYFUNCTION("""COMPUTED_VALUE"""),"Winner of the Trophées de l'éducation, Lili's mission is to give each child the keys to confidence - in oneself, orally &amp; with others - by boosting the 21st century skills, what we call ""superpowers"": emotional intelligence, communication, cooperation, "&amp;"critical thinking... so many essential strengths in a fast changing world. By ensuring the educational continuity from school to home, alongside parents and teachers, Lili offers super-programs that help 4-12 year olds to unleash their super-powers with f"&amp;"un workshops inspired by Montessori &amp; Freinet pedagogies: meditation &amp; yoga to tame their emotions and build up concentration, artistic expression &amp; improvisation to celebrate mistakes and free creativity, and philosophy podcasts to reflect on life and in"&amp;"spire tomorrow's leaders.")</f>
        <v/>
      </c>
      <c r="G1305" s="1">
        <f>IFERROR(__xludf.DUMMYFUNCTION("""COMPUTED_VALUE"""),"EdTech France")</f>
        <v/>
      </c>
      <c r="H1305" s="1" t="n"/>
      <c r="I1305" s="1">
        <f>IFERROR(__xludf.DUMMYFUNCTION("""COMPUTED_VALUE"""),"hello@lili.cool")</f>
        <v/>
      </c>
      <c r="J1305" s="1">
        <f>IFERROR(__xludf.DUMMYFUNCTION("""COMPUTED_VALUE"""),"+33629437143")</f>
        <v/>
      </c>
      <c r="K1305" s="1">
        <f>IFERROR(__xludf.DUMMYFUNCTION("""COMPUTED_VALUE"""),"VINCENNES")</f>
        <v/>
      </c>
      <c r="L1305" s="1">
        <f>IFERROR(__xludf.DUMMYFUNCTION("""COMPUTED_VALUE"""),"France")</f>
        <v/>
      </c>
      <c r="M1305"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305" s="1">
        <f>IFERROR(__xludf.DUMMYFUNCTION("""COMPUTED_VALUE"""),"0 to 10")</f>
        <v/>
      </c>
      <c r="O1305" s="1">
        <f>IFERROR(__xludf.DUMMYFUNCTION("""COMPUTED_VALUE"""),"Business to Business, Business to Consumer, Business to Government, Business to Schools")</f>
        <v/>
      </c>
      <c r="P1305" s="1">
        <f>IFERROR(__xludf.DUMMYFUNCTION("""COMPUTED_VALUE"""),"Early childhood development (0-5 years), Primary Education, Secondary Education")</f>
        <v/>
      </c>
      <c r="Q1305" s="1">
        <f>IFERROR(__xludf.DUMMYFUNCTION("""COMPUTED_VALUE"""),"System/Administrative, Student interfacing, Teacher interfacing")</f>
        <v/>
      </c>
      <c r="R1305" s="15">
        <f>IFERROR(__xludf.DUMMYFUNCTION("""COMPUTED_VALUE"""),"https://www.instagram.com/lili.cool.app/")</f>
        <v/>
      </c>
      <c r="S1305" s="1">
        <f>IFERROR(__xludf.DUMMYFUNCTION("""COMPUTED_VALUE"""),"Lili SAS")</f>
        <v/>
      </c>
      <c r="T1305" s="15">
        <f>IFERROR(__xludf.DUMMYFUNCTION("""COMPUTED_VALUE"""),"https://www.linkedin.com/company/lili-cool-app/")</f>
        <v/>
      </c>
      <c r="U1305" s="1">
        <f>IFERROR(__xludf.DUMMYFUNCTION("""COMPUTED_VALUE"""),"Lili (lili.cool)")</f>
        <v/>
      </c>
      <c r="V1305" s="1">
        <f>IFERROR(__xludf.DUMMYFUNCTION("""COMPUTED_VALUE"""),"Lili gives each child the keys to confidence - in oneself, orally &amp; with others - by boosting the 21st century skills with fun workshops inspired by Montessori &amp; Freinet pedagogies: meditation &amp; yoga to tame emotions and build up concentration, artistic e"&amp;"xpression &amp; improvisation to celebrate mistakes and free creativity, and philosophy podcasts to reflect on life and inspire tomorrow's leaders.")</f>
        <v/>
      </c>
      <c r="W1305" s="1" t="n"/>
      <c r="X1305" s="1" t="n"/>
      <c r="Y1305" s="15">
        <f>IFERROR(__xludf.DUMMYFUNCTION("""COMPUTED_VALUE"""),"https://drive.google.com/uc?export=view&amp;id=1WDZQ9Ue3Ry14i48aH2z38cWeGK56QnNs")</f>
        <v/>
      </c>
      <c r="Z1305" s="1">
        <f>IFERROR(__xludf.DUMMYFUNCTION("""COMPUTED_VALUE"""),"Unverified")</f>
        <v/>
      </c>
      <c r="AA1305" s="1" t="n"/>
      <c r="AB1305" s="1" t="n"/>
      <c r="AC1305" s="1" t="n"/>
      <c r="AD1305" s="1" t="n"/>
      <c r="AE1305" s="1" t="n"/>
    </row>
    <row r="1306" ht="42" customHeight="1">
      <c r="A1306" s="14">
        <f>IFERROR(__xludf.DUMMYFUNCTION("""COMPUTED_VALUE"""),45181)</f>
        <v/>
      </c>
      <c r="B1306" s="1">
        <f>IFERROR(__xludf.DUMMYFUNCTION("""COMPUTED_VALUE"""),"ORG_1877")</f>
        <v/>
      </c>
      <c r="C1306" s="1">
        <f>IFERROR(__xludf.DUMMYFUNCTION("""COMPUTED_VALUE"""),TRUE)</f>
        <v/>
      </c>
      <c r="D1306" s="1">
        <f>IFERROR(__xludf.DUMMYFUNCTION("""COMPUTED_VALUE"""),"LILLUP")</f>
        <v/>
      </c>
      <c r="E1306" s="15">
        <f>IFERROR(__xludf.DUMMYFUNCTION("""COMPUTED_VALUE"""),"https://www.lillup.com/")</f>
        <v/>
      </c>
      <c r="F1306" s="1">
        <f>IFERROR(__xludf.DUMMYFUNCTION("""COMPUTED_VALUE"""),"Learn to Earn
We designed and developed the &amp; chain protocol to solve the issues arising from the disruption of the field of employment, the ways we work and learn.")</f>
        <v/>
      </c>
      <c r="G1306" s="1">
        <f>IFERROR(__xludf.DUMMYFUNCTION("""COMPUTED_VALUE"""),"I'm not part of any EdTech association")</f>
        <v/>
      </c>
      <c r="H1306" s="1" t="n"/>
      <c r="I1306" s="1">
        <f>IFERROR(__xludf.DUMMYFUNCTION("""COMPUTED_VALUE"""),"ampersand@lillup.com")</f>
        <v/>
      </c>
      <c r="J1306" s="1">
        <f>IFERROR(__xludf.DUMMYFUNCTION("""COMPUTED_VALUE"""),"+33 650 346 244")</f>
        <v/>
      </c>
      <c r="K1306" s="1">
        <f>IFERROR(__xludf.DUMMYFUNCTION("""COMPUTED_VALUE"""),"dijon")</f>
        <v/>
      </c>
      <c r="L1306" s="1">
        <f>IFERROR(__xludf.DUMMYFUNCTION("""COMPUTED_VALUE"""),"France")</f>
        <v/>
      </c>
      <c r="M1306" s="1">
        <f>IFERROR(__xludf.DUMMYFUNCTION("""COMPUTED_VALUE"""),"Belgium, France, Germany, Italy, Spain, Switzerland, United Kingdom")</f>
        <v/>
      </c>
      <c r="N1306" s="1">
        <f>IFERROR(__xludf.DUMMYFUNCTION("""COMPUTED_VALUE"""),"0 to 10")</f>
        <v/>
      </c>
      <c r="O1306" s="1">
        <f>IFERROR(__xludf.DUMMYFUNCTION("""COMPUTED_VALUE"""),"Business to Business, Business to Consumer, Business to Government, Business to Schools")</f>
        <v/>
      </c>
      <c r="P1306" s="1">
        <f>IFERROR(__xludf.DUMMYFUNCTION("""COMPUTED_VALUE"""),"Corporate Training, Lifelong learning/Adult education")</f>
        <v/>
      </c>
      <c r="Q1306" s="1">
        <f>IFERROR(__xludf.DUMMYFUNCTION("""COMPUTED_VALUE"""),"Student interfacing, Teacher interfacing, System/Administrative")</f>
        <v/>
      </c>
      <c r="R1306" s="1" t="n"/>
      <c r="S1306" s="1" t="n"/>
      <c r="T1306" s="1" t="n"/>
      <c r="U1306" s="1" t="n"/>
      <c r="V1306" s="1" t="n"/>
      <c r="W1306" s="1" t="n"/>
      <c r="X1306" s="1" t="n"/>
      <c r="Y1306" s="15">
        <f>IFERROR(__xludf.DUMMYFUNCTION("""COMPUTED_VALUE"""),"https://drive.google.com/uc?export=view&amp;id=10jfcbMIxHCWCuPijkl7kdwdYlL3S-Z8M")</f>
        <v/>
      </c>
      <c r="Z1306" s="1">
        <f>IFERROR(__xludf.DUMMYFUNCTION("""COMPUTED_VALUE"""),"Unverified")</f>
        <v/>
      </c>
      <c r="AA1306" s="1" t="n"/>
      <c r="AB1306" s="1" t="n"/>
      <c r="AC1306" s="1" t="n"/>
      <c r="AD1306" s="1" t="n"/>
      <c r="AE1306" s="1" t="n"/>
    </row>
    <row r="1307" ht="42" customHeight="1">
      <c r="A1307" s="14">
        <f>IFERROR(__xludf.DUMMYFUNCTION("""COMPUTED_VALUE"""),45181)</f>
        <v/>
      </c>
      <c r="B1307" s="1">
        <f>IFERROR(__xludf.DUMMYFUNCTION("""COMPUTED_VALUE"""),"ORG_1906")</f>
        <v/>
      </c>
      <c r="C1307" s="1">
        <f>IFERROR(__xludf.DUMMYFUNCTION("""COMPUTED_VALUE"""),TRUE)</f>
        <v/>
      </c>
      <c r="D1307" s="1">
        <f>IFERROR(__xludf.DUMMYFUNCTION("""COMPUTED_VALUE"""),"Maître Lucas")</f>
        <v/>
      </c>
      <c r="E1307" s="15">
        <f>IFERROR(__xludf.DUMMYFUNCTION("""COMPUTED_VALUE"""),"https://maitrelucas.fr/")</f>
        <v/>
      </c>
      <c r="F1307" s="1">
        <f>IFERROR(__xludf.DUMMYFUNCTION("""COMPUTED_VALUE"""),"Launched in 2017, by Lucas Schildknecht, a school teacher, to offer new educational tools to the students in his class, Maître Lucas is originally a YouTube channel offering educational videos. 
Aimed at schoolchildren from 5 to 12, the character of Maît"&amp;"re Lucas teaches math, French and science with the help of 700 videos, 700 exercise sheets, 44 educational games and 100 mind maps. The content is enriched each week with 4 new videos. 
Lucas is passionate about teaching and digital technologies and recei"&amp;"ved an award in New York for this. He was very successful during the first containment period when his videos were viewed up to 50,000 times a day. 
He then joined forces with his cousin and lifelong friend Benoît Schildknecht, an expert and passionate a"&amp;"bout web tools, social networks and SEO, to set up a website https://maitrelucas.fr in order to offer more and more tools to students and teachers, such as worksheets, online quizzes, educational games, etc.")</f>
        <v/>
      </c>
      <c r="G1307" s="1">
        <f>IFERROR(__xludf.DUMMYFUNCTION("""COMPUTED_VALUE"""),"EdTech France")</f>
        <v/>
      </c>
      <c r="H1307" s="1" t="n"/>
      <c r="I1307" s="1">
        <f>IFERROR(__xludf.DUMMYFUNCTION("""COMPUTED_VALUE"""),"info@maitrelucas.fr")</f>
        <v/>
      </c>
      <c r="J1307" s="1" t="n"/>
      <c r="K1307" s="1">
        <f>IFERROR(__xludf.DUMMYFUNCTION("""COMPUTED_VALUE"""),"DUDELANGE")</f>
        <v/>
      </c>
      <c r="L1307" s="1">
        <f>IFERROR(__xludf.DUMMYFUNCTION("""COMPUTED_VALUE"""),"Luxembourg")</f>
        <v/>
      </c>
      <c r="M1307" s="1">
        <f>IFERROR(__xludf.DUMMYFUNCTION("""COMPUTED_VALUE"""),"Belgium, France, Luxembourg, Monaco, Switzerland")</f>
        <v/>
      </c>
      <c r="N1307" s="1">
        <f>IFERROR(__xludf.DUMMYFUNCTION("""COMPUTED_VALUE"""),"0 to 10")</f>
        <v/>
      </c>
      <c r="O1307" s="1">
        <f>IFERROR(__xludf.DUMMYFUNCTION("""COMPUTED_VALUE"""),"Business to Business, Business to Consumer, Business to Government, Business to Schools")</f>
        <v/>
      </c>
      <c r="P1307" s="1">
        <f>IFERROR(__xludf.DUMMYFUNCTION("""COMPUTED_VALUE"""),"Primary Education")</f>
        <v/>
      </c>
      <c r="Q1307" s="1">
        <f>IFERROR(__xludf.DUMMYFUNCTION("""COMPUTED_VALUE"""),"System/Administrative, Student interfacing, Teacher interfacing")</f>
        <v/>
      </c>
      <c r="R1307" s="15">
        <f>IFERROR(__xludf.DUMMYFUNCTION("""COMPUTED_VALUE"""),"https://www.instagram.com/maitre_lucas_officiel/")</f>
        <v/>
      </c>
      <c r="S1307" s="1" t="n"/>
      <c r="T1307" s="1" t="n"/>
      <c r="U1307" s="1">
        <f>IFERROR(__xludf.DUMMYFUNCTION("""COMPUTED_VALUE"""),"Digital Resource Library")</f>
        <v/>
      </c>
      <c r="V1307" s="1">
        <f>IFERROR(__xludf.DUMMYFUNCTION("""COMPUTED_VALUE"""),"Hundreds of videos, fact sheets, and dozens of mind maps and educational games available for everyone.")</f>
        <v/>
      </c>
      <c r="W1307" s="1">
        <f>IFERROR(__xludf.DUMMYFUNCTION("""COMPUTED_VALUE"""),"School Support")</f>
        <v/>
      </c>
      <c r="X1307" s="1">
        <f>IFERROR(__xludf.DUMMYFUNCTION("""COMPUTED_VALUE"""),"A 100% video-based course for homework help and home school support.")</f>
        <v/>
      </c>
      <c r="Y1307" s="15">
        <f>IFERROR(__xludf.DUMMYFUNCTION("""COMPUTED_VALUE"""),"https://drive.google.com/uc?export=view&amp;id=1q8FAdIKhIs1konGHCutwoDRTv9W4Q6ke")</f>
        <v/>
      </c>
      <c r="Z1307" s="1">
        <f>IFERROR(__xludf.DUMMYFUNCTION("""COMPUTED_VALUE"""),"Unverified")</f>
        <v/>
      </c>
      <c r="AA1307" s="1" t="n"/>
      <c r="AB1307" s="1" t="n"/>
      <c r="AC1307" s="1" t="n"/>
      <c r="AD1307" s="1" t="n"/>
      <c r="AE1307" s="1" t="n"/>
    </row>
    <row r="1308" ht="42" customHeight="1">
      <c r="A1308" s="14">
        <f>IFERROR(__xludf.DUMMYFUNCTION("""COMPUTED_VALUE"""),45181)</f>
        <v/>
      </c>
      <c r="B1308" s="1">
        <f>IFERROR(__xludf.DUMMYFUNCTION("""COMPUTED_VALUE"""),"ORG_1922")</f>
        <v/>
      </c>
      <c r="C1308" s="1">
        <f>IFERROR(__xludf.DUMMYFUNCTION("""COMPUTED_VALUE"""),TRUE)</f>
        <v/>
      </c>
      <c r="D1308" s="1">
        <f>IFERROR(__xludf.DUMMYFUNCTION("""COMPUTED_VALUE"""),"MASSIVE IMMERSIVE")</f>
        <v/>
      </c>
      <c r="E1308" s="15">
        <f>IFERROR(__xludf.DUMMYFUNCTION("""COMPUTED_VALUE"""),"https://massiveimmersive.com/")</f>
        <v/>
      </c>
      <c r="F1308" s="1">
        <f>IFERROR(__xludf.DUMMYFUNCTION("""COMPUTED_VALUE"""),"MASSIVE IMMERSIVE is a consulting company specialized in immersive training programs using virtual reality, augmented reality, mixed reality, virtual worlds and Metaverse. We assist company who whant to implement these technologies for training and educat"&amp;"ion. We work with a range of 40 differents partners that allow to organize any training projetct.")</f>
        <v/>
      </c>
      <c r="G1308" s="1">
        <f>IFERROR(__xludf.DUMMYFUNCTION("""COMPUTED_VALUE"""),"EdTech France")</f>
        <v/>
      </c>
      <c r="H1308" s="1" t="n"/>
      <c r="I1308" s="1">
        <f>IFERROR(__xludf.DUMMYFUNCTION("""COMPUTED_VALUE"""),"hello@massiveimmersive.com")</f>
        <v/>
      </c>
      <c r="J1308" s="1">
        <f>IFERROR(__xludf.DUMMYFUNCTION("""COMPUTED_VALUE"""),"644672850")</f>
        <v/>
      </c>
      <c r="K1308" s="1">
        <f>IFERROR(__xludf.DUMMYFUNCTION("""COMPUTED_VALUE"""),"PARIS")</f>
        <v/>
      </c>
      <c r="L1308" s="1">
        <f>IFERROR(__xludf.DUMMYFUNCTION("""COMPUTED_VALUE"""),"France")</f>
        <v/>
      </c>
      <c r="M1308" s="1">
        <f>IFERROR(__xludf.DUMMYFUNCTION("""COMPUTED_VALUE"""),"France")</f>
        <v/>
      </c>
      <c r="N1308" s="1">
        <f>IFERROR(__xludf.DUMMYFUNCTION("""COMPUTED_VALUE"""),"11 to 50")</f>
        <v/>
      </c>
      <c r="O1308" s="1">
        <f>IFERROR(__xludf.DUMMYFUNCTION("""COMPUTED_VALUE"""),"Business to Business, Business to Consumer, Business to Government, Business to Schools")</f>
        <v/>
      </c>
      <c r="P1308" s="1">
        <f>IFERROR(__xludf.DUMMYFUNCTION("""COMPUTED_VALUE"""),"Higher Education, Corporate Training, Lifelong learning/Adult education")</f>
        <v/>
      </c>
      <c r="Q1308" s="1">
        <f>IFERROR(__xludf.DUMMYFUNCTION("""COMPUTED_VALUE"""),"Teacher interfacing, Student interfacing, System/Administrative")</f>
        <v/>
      </c>
      <c r="R1308" s="15">
        <f>IFERROR(__xludf.DUMMYFUNCTION("""COMPUTED_VALUE"""),"https://www.instagram.com/massive_immersive/")</f>
        <v/>
      </c>
      <c r="S1308" s="15">
        <f>IFERROR(__xludf.DUMMYFUNCTION("""COMPUTED_VALUE"""),"https://twitter.com/Mass_Immersive")</f>
        <v/>
      </c>
      <c r="T1308" s="15">
        <f>IFERROR(__xludf.DUMMYFUNCTION("""COMPUTED_VALUE"""),"https://www.linkedin.com/company/massive-immersive/")</f>
        <v/>
      </c>
      <c r="U1308" s="1">
        <f>IFERROR(__xludf.DUMMYFUNCTION("""COMPUTED_VALUE"""),"MI Academy")</f>
        <v/>
      </c>
      <c r="V1308" s="1">
        <f>IFERROR(__xludf.DUMMYFUNCTION("""COMPUTED_VALUE"""),"Our Academy allow to train your trainers to create and use immersive technologies for training. Our courses range from VR initiation for training to the use of virtual worlds for training. We can also create any specific training using VR or AR solution")</f>
        <v/>
      </c>
      <c r="W1308" s="1">
        <f>IFERROR(__xludf.DUMMYFUNCTION("""COMPUTED_VALUE"""),"Evissam")</f>
        <v/>
      </c>
      <c r="X1308" s="1">
        <f>IFERROR(__xludf.DUMMYFUNCTION("""COMPUTED_VALUE"""),"Our serious game is based on communication, puzzle solving and teamwork. It is the only solution on the market that can be used in presence in Virtual Reality or remotely through virtual worlds and Metaverse. Our serious game is only distributed by us.")</f>
        <v/>
      </c>
      <c r="Y1308" s="15">
        <f>IFERROR(__xludf.DUMMYFUNCTION("""COMPUTED_VALUE"""),"https://drive.google.com/uc?export=view&amp;id=1WaFFO26j0-v6HF_oMXt2iTxt3nD46tb4")</f>
        <v/>
      </c>
      <c r="Z1308" s="1">
        <f>IFERROR(__xludf.DUMMYFUNCTION("""COMPUTED_VALUE"""),"Unverified")</f>
        <v/>
      </c>
      <c r="AA1308" s="1" t="n"/>
      <c r="AB1308" s="1" t="n"/>
      <c r="AC1308" s="1" t="n"/>
      <c r="AD1308" s="1" t="n"/>
      <c r="AE1308" s="1" t="n"/>
    </row>
    <row r="1309" ht="42" customHeight="1">
      <c r="A1309" s="14">
        <f>IFERROR(__xludf.DUMMYFUNCTION("""COMPUTED_VALUE"""),45181)</f>
        <v/>
      </c>
      <c r="B1309" s="1">
        <f>IFERROR(__xludf.DUMMYFUNCTION("""COMPUTED_VALUE"""),"ORG_1933")</f>
        <v/>
      </c>
      <c r="C1309" s="1">
        <f>IFERROR(__xludf.DUMMYFUNCTION("""COMPUTED_VALUE"""),TRUE)</f>
        <v/>
      </c>
      <c r="D1309" s="15">
        <f>IFERROR(__xludf.DUMMYFUNCTION("""COMPUTED_VALUE"""),"MaVoie.org")</f>
        <v/>
      </c>
      <c r="E1309" s="15">
        <f>IFERROR(__xludf.DUMMYFUNCTION("""COMPUTED_VALUE"""),"www.mavoie.org")</f>
        <v/>
      </c>
      <c r="F1309" s="1">
        <f>IFERROR(__xludf.DUMMYFUNCTION("""COMPUTED_VALUE"""),"MaVoie.org is a nonprofit organisation in France focussed on optimizing the path to employment for young people not in employment, education or training (“NEETs”)
MaVoie offers a tech platform that combines participant organizations’ access to employment "&amp;"services into a Pipeline to Employment platform, offering a unified user experience.
Created late 2020, MaVoie already reached over 10,000 young jobseekers, helping them discover new employment services in an innovative way (mobile and video first approac"&amp;"h), 88% of them feeling clearer about their next professional step.
MaVoie.org is an attempt to build one potential future of nonprofit organizations through innovation and tech.Through our start-up tech nonprofit, we seek to pave the way for other nonpro"&amp;"fits by sharing knowledge and proving both scale and impact.")</f>
        <v/>
      </c>
      <c r="G1309" s="1">
        <f>IFERROR(__xludf.DUMMYFUNCTION("""COMPUTED_VALUE"""),"EdTech France")</f>
        <v/>
      </c>
      <c r="H1309" s="1" t="n"/>
      <c r="I1309" s="1">
        <f>IFERROR(__xludf.DUMMYFUNCTION("""COMPUTED_VALUE"""),"contact@mavoie.org")</f>
        <v/>
      </c>
      <c r="J1309" s="1" t="n"/>
      <c r="K1309" s="1">
        <f>IFERROR(__xludf.DUMMYFUNCTION("""COMPUTED_VALUE"""),"PARIS")</f>
        <v/>
      </c>
      <c r="L1309" s="1">
        <f>IFERROR(__xludf.DUMMYFUNCTION("""COMPUTED_VALUE"""),"France")</f>
        <v/>
      </c>
      <c r="M1309" s="1">
        <f>IFERROR(__xludf.DUMMYFUNCTION("""COMPUTED_VALUE"""),"France")</f>
        <v/>
      </c>
      <c r="N1309" s="1">
        <f>IFERROR(__xludf.DUMMYFUNCTION("""COMPUTED_VALUE"""),"0 to 10")</f>
        <v/>
      </c>
      <c r="O1309" s="1">
        <f>IFERROR(__xludf.DUMMYFUNCTION("""COMPUTED_VALUE"""),"Business to Business, Business to Consumer, Business to Government, Business to Schools")</f>
        <v/>
      </c>
      <c r="P1309" s="1">
        <f>IFERROR(__xludf.DUMMYFUNCTION("""COMPUTED_VALUE"""),"Higher Education, Corporate Training")</f>
        <v/>
      </c>
      <c r="Q1309" s="1">
        <f>IFERROR(__xludf.DUMMYFUNCTION("""COMPUTED_VALUE"""),"Teacher interfacing, System/Administrative, Student interfacing")</f>
        <v/>
      </c>
      <c r="R1309" s="15">
        <f>IFERROR(__xludf.DUMMYFUNCTION("""COMPUTED_VALUE"""),"https://www.instagram.com/mavoieorg/")</f>
        <v/>
      </c>
      <c r="S1309" s="15">
        <f>IFERROR(__xludf.DUMMYFUNCTION("""COMPUTED_VALUE"""),"https://twitter.com/mavoie_org")</f>
        <v/>
      </c>
      <c r="T1309" s="15">
        <f>IFERROR(__xludf.DUMMYFUNCTION("""COMPUTED_VALUE"""),"https://www.linkedin.com/company/mavoie-org")</f>
        <v/>
      </c>
      <c r="U1309" s="1">
        <f>IFERROR(__xludf.DUMMYFUNCTION("""COMPUTED_VALUE"""),"Intern &amp; apprentices offboarding")</f>
        <v/>
      </c>
      <c r="V1309" s="1">
        <f>IFERROR(__xludf.DUMMYFUNCTION("""COMPUTED_VALUE"""),"A company can not retain 100% of its interns and apprentices straight after their work experience.
Yet by providing efficient offboarding to them, then can become advocates, potential hires in the future and defend their learning while being an intern / a"&amp;"pprentice, driving higher employer brand recognition in the ecosystem.
How?
By giving access to MaVoie which will help these young professionals improve their resume, interview preparation, soft skills derived from internships etc.")</f>
        <v/>
      </c>
      <c r="W1309" s="1">
        <f>IFERROR(__xludf.DUMMYFUNCTION("""COMPUTED_VALUE"""),"Employer brand for rejected applicants")</f>
        <v/>
      </c>
      <c r="X1309" s="1">
        <f>IFERROR(__xludf.DUMMYFUNCTION("""COMPUTED_VALUE"""),"95% candidats don't go through an interview. Some are bitter about no being considered and will boycott the company they applied for. 
MaVoie helps employers protect their brand by offering opportunies for rejected applicants to progress in their career "&amp;"path.
So far, we have over 93% candidates willing to bounce back after being rejected at a company")</f>
        <v/>
      </c>
      <c r="Y1309" s="15">
        <f>IFERROR(__xludf.DUMMYFUNCTION("""COMPUTED_VALUE"""),"https://drive.google.com/uc?export=view&amp;id=1W3ho_mVXPZGwmLvx0PxB1B_JNdKfvZIs")</f>
        <v/>
      </c>
      <c r="Z1309" s="1">
        <f>IFERROR(__xludf.DUMMYFUNCTION("""COMPUTED_VALUE"""),"Unverified")</f>
        <v/>
      </c>
      <c r="AA1309" s="1" t="n"/>
      <c r="AB1309" s="1" t="n"/>
      <c r="AC1309" s="1" t="n"/>
      <c r="AD1309" s="1" t="n"/>
      <c r="AE1309" s="1" t="n"/>
    </row>
    <row r="1310" ht="42" customHeight="1">
      <c r="A1310" s="14">
        <f>IFERROR(__xludf.DUMMYFUNCTION("""COMPUTED_VALUE"""),45181)</f>
        <v/>
      </c>
      <c r="B1310" s="1">
        <f>IFERROR(__xludf.DUMMYFUNCTION("""COMPUTED_VALUE"""),"ORG_2002")</f>
        <v/>
      </c>
      <c r="C1310" s="1">
        <f>IFERROR(__xludf.DUMMYFUNCTION("""COMPUTED_VALUE"""),TRUE)</f>
        <v/>
      </c>
      <c r="D1310" s="1">
        <f>IFERROR(__xludf.DUMMYFUNCTION("""COMPUTED_VALUE"""),"My Sales Academy")</f>
        <v/>
      </c>
      <c r="E1310" s="15">
        <f>IFERROR(__xludf.DUMMYFUNCTION("""COMPUTED_VALUE"""),"https://mysalesacademy.fr/")</f>
        <v/>
      </c>
      <c r="F1310" s="1">
        <f>IFERROR(__xludf.DUMMYFUNCTION("""COMPUTED_VALUE"""),"My Sales Academy is a French inclusive school promoting employability in the neighborhoods.
We train future salespeople to integrate them into the best start-ups")</f>
        <v/>
      </c>
      <c r="G1310" s="1">
        <f>IFERROR(__xludf.DUMMYFUNCTION("""COMPUTED_VALUE"""),"EdTech France")</f>
        <v/>
      </c>
      <c r="H1310" s="1" t="n"/>
      <c r="I1310" s="1">
        <f>IFERROR(__xludf.DUMMYFUNCTION("""COMPUTED_VALUE"""),"hello@mysalesacademy.fr")</f>
        <v/>
      </c>
      <c r="J1310" s="1">
        <f>IFERROR(__xludf.DUMMYFUNCTION("""COMPUTED_VALUE"""),"+33601639602")</f>
        <v/>
      </c>
      <c r="K1310" s="1">
        <f>IFERROR(__xludf.DUMMYFUNCTION("""COMPUTED_VALUE"""),"Lyon")</f>
        <v/>
      </c>
      <c r="L1310" s="1">
        <f>IFERROR(__xludf.DUMMYFUNCTION("""COMPUTED_VALUE"""),"France")</f>
        <v/>
      </c>
      <c r="M1310" s="1">
        <f>IFERROR(__xludf.DUMMYFUNCTION("""COMPUTED_VALUE"""),"France")</f>
        <v/>
      </c>
      <c r="N1310" s="1">
        <f>IFERROR(__xludf.DUMMYFUNCTION("""COMPUTED_VALUE"""),"0 to 10")</f>
        <v/>
      </c>
      <c r="O1310" s="1">
        <f>IFERROR(__xludf.DUMMYFUNCTION("""COMPUTED_VALUE"""),"Business to Business, Business to Consumer, Business to Government, Business to Schools")</f>
        <v/>
      </c>
      <c r="P1310" s="1">
        <f>IFERROR(__xludf.DUMMYFUNCTION("""COMPUTED_VALUE"""),"Secondary Education, Higher Education, Corporate Training, Lifelong learning/Adult education")</f>
        <v/>
      </c>
      <c r="Q1310" s="1">
        <f>IFERROR(__xludf.DUMMYFUNCTION("""COMPUTED_VALUE"""),"System/Administrative, Student interfacing")</f>
        <v/>
      </c>
      <c r="R1310" s="1" t="n"/>
      <c r="S1310" s="1" t="n"/>
      <c r="T1310" s="15">
        <f>IFERROR(__xludf.DUMMYFUNCTION("""COMPUTED_VALUE"""),"https://www.linkedin.com/company/my-sales-academy-lyon/?viewAsMember=true")</f>
        <v/>
      </c>
      <c r="U1310" s="1">
        <f>IFERROR(__xludf.DUMMYFUNCTION("""COMPUTED_VALUE"""),"My Sales Academy")</f>
        <v/>
      </c>
      <c r="V1310" s="1">
        <f>IFERROR(__xludf.DUMMYFUNCTION("""COMPUTED_VALUE"""),"Inclusive training for the salespeople of tomorrow")</f>
        <v/>
      </c>
      <c r="W1310" s="1" t="n"/>
      <c r="X1310" s="1" t="n"/>
      <c r="Y1310" s="1" t="n"/>
      <c r="Z1310" s="1">
        <f>IFERROR(__xludf.DUMMYFUNCTION("""COMPUTED_VALUE"""),"Unverified")</f>
        <v/>
      </c>
      <c r="AA1310" s="1" t="n"/>
      <c r="AB1310" s="1" t="n"/>
      <c r="AC1310" s="1" t="n"/>
      <c r="AD1310" s="1" t="n"/>
      <c r="AE1310" s="1" t="n"/>
    </row>
    <row r="1311" ht="42" customHeight="1">
      <c r="A1311" s="14">
        <f>IFERROR(__xludf.DUMMYFUNCTION("""COMPUTED_VALUE"""),45181)</f>
        <v/>
      </c>
      <c r="B1311" s="1">
        <f>IFERROR(__xludf.DUMMYFUNCTION("""COMPUTED_VALUE"""),"ORG_2016")</f>
        <v/>
      </c>
      <c r="C1311" s="1">
        <f>IFERROR(__xludf.DUMMYFUNCTION("""COMPUTED_VALUE"""),TRUE)</f>
        <v/>
      </c>
      <c r="D1311" s="1">
        <f>IFERROR(__xludf.DUMMYFUNCTION("""COMPUTED_VALUE"""),"Nabook")</f>
        <v/>
      </c>
      <c r="E1311" s="15">
        <f>IFERROR(__xludf.DUMMYFUNCTION("""COMPUTED_VALUE"""),"www.nabook.co")</f>
        <v/>
      </c>
      <c r="F1311" s="1">
        <f>IFERROR(__xludf.DUMMYFUNCTION("""COMPUTED_VALUE"""),"Nabook, the youth series to read!
Nabook is the 100% youth platform that turns screen time into reading time.
The application offers 7-14 year olds to discover +100 novels from publishing houses with a new reading experience.
The serial format, dialogue b"&amp;"ubbles and seasonal events encourage children to read in their free time.
A dictionary ensures reader independence. All series are accessible to dyslexic readers.")</f>
        <v/>
      </c>
      <c r="G1311" s="1">
        <f>IFERROR(__xludf.DUMMYFUNCTION("""COMPUTED_VALUE"""),"EdTech France")</f>
        <v/>
      </c>
      <c r="H1311" s="1" t="n"/>
      <c r="I1311" s="1">
        <f>IFERROR(__xludf.DUMMYFUNCTION("""COMPUTED_VALUE"""),"hello@nabook.co")</f>
        <v/>
      </c>
      <c r="J1311" s="1" t="n"/>
      <c r="K1311" s="1">
        <f>IFERROR(__xludf.DUMMYFUNCTION("""COMPUTED_VALUE"""),"CRETEIL")</f>
        <v/>
      </c>
      <c r="L1311" s="1">
        <f>IFERROR(__xludf.DUMMYFUNCTION("""COMPUTED_VALUE"""),"France")</f>
        <v/>
      </c>
      <c r="M1311" s="1">
        <f>IFERROR(__xludf.DUMMYFUNCTION("""COMPUTED_VALUE"""),"Belgium, France, Switzerland")</f>
        <v/>
      </c>
      <c r="N1311" s="1">
        <f>IFERROR(__xludf.DUMMYFUNCTION("""COMPUTED_VALUE"""),"0 to 10")</f>
        <v/>
      </c>
      <c r="O1311" s="1">
        <f>IFERROR(__xludf.DUMMYFUNCTION("""COMPUTED_VALUE"""),"Business to Business, Business to Consumer, Business to Government, Business to Schools")</f>
        <v/>
      </c>
      <c r="P1311" s="1">
        <f>IFERROR(__xludf.DUMMYFUNCTION("""COMPUTED_VALUE"""),"Primary Education, Secondary Education")</f>
        <v/>
      </c>
      <c r="Q1311" s="1">
        <f>IFERROR(__xludf.DUMMYFUNCTION("""COMPUTED_VALUE"""),"System/Administrative, Student interfacing")</f>
        <v/>
      </c>
      <c r="R1311" s="15">
        <f>IFERROR(__xludf.DUMMYFUNCTION("""COMPUTED_VALUE"""),"https://www.instagram.com/nabook_app")</f>
        <v/>
      </c>
      <c r="S1311" s="15">
        <f>IFERROR(__xludf.DUMMYFUNCTION("""COMPUTED_VALUE"""),"https://twitter.com/nabook_app")</f>
        <v/>
      </c>
      <c r="T1311" s="15">
        <f>IFERROR(__xludf.DUMMYFUNCTION("""COMPUTED_VALUE"""),"https://www.linkedin.com/company/14454529/")</f>
        <v/>
      </c>
      <c r="U1311" s="1">
        <f>IFERROR(__xludf.DUMMYFUNCTION("""COMPUTED_VALUE"""),"Nabook_app")</f>
        <v/>
      </c>
      <c r="V1311" s="1">
        <f>IFERROR(__xludf.DUMMYFUNCTION("""COMPUTED_VALUE"""),"Nabook, the youth series to read!
Nabook is the 100% youth platform that turns screen time into reading time.
The application offers 7-14 year olds to discover +100 novels from publishing houses with a new reading experience.
The serial format, dialogue b"&amp;"ubbles and seasonal events encourage children to read in their free time.
A dictionary ensures reader independence. All series are accessible to dyslexic readers.")</f>
        <v/>
      </c>
      <c r="W1311" s="1" t="n"/>
      <c r="X1311" s="1" t="n"/>
      <c r="Y1311" s="15">
        <f>IFERROR(__xludf.DUMMYFUNCTION("""COMPUTED_VALUE"""),"https://drive.google.com/uc?export=view&amp;id=1e5U0t5OzR3bqBfXsaSt6nh_bprodcnuE")</f>
        <v/>
      </c>
      <c r="Z1311" s="1">
        <f>IFERROR(__xludf.DUMMYFUNCTION("""COMPUTED_VALUE"""),"Unverified")</f>
        <v/>
      </c>
      <c r="AA1311" s="1" t="n"/>
      <c r="AB1311" s="1" t="n"/>
      <c r="AC1311" s="1" t="n"/>
      <c r="AD1311" s="1" t="n"/>
      <c r="AE1311" s="1" t="n"/>
    </row>
    <row r="1312" ht="42" customHeight="1">
      <c r="A1312" s="14">
        <f>IFERROR(__xludf.DUMMYFUNCTION("""COMPUTED_VALUE"""),45181)</f>
        <v/>
      </c>
      <c r="B1312" s="1">
        <f>IFERROR(__xludf.DUMMYFUNCTION("""COMPUTED_VALUE"""),"ORG_2119")</f>
        <v/>
      </c>
      <c r="C1312" s="1">
        <f>IFERROR(__xludf.DUMMYFUNCTION("""COMPUTED_VALUE"""),TRUE)</f>
        <v/>
      </c>
      <c r="D1312" s="1">
        <f>IFERROR(__xludf.DUMMYFUNCTION("""COMPUTED_VALUE"""),"Possible Lab")</f>
        <v/>
      </c>
      <c r="E1312" s="15">
        <f>IFERROR(__xludf.DUMMYFUNCTION("""COMPUTED_VALUE"""),"https://labpossible.com/")</f>
        <v/>
      </c>
      <c r="F1312" s="1">
        <f>IFERROR(__xludf.DUMMYFUNCTION("""COMPUTED_VALUE"""),"The proposed work is aimed at improving the educational system and employment policies.
In order to understand the challenges that digital transformation introduces, as well as to create valuable educational social intervention programs, we have been hea"&amp;"ring about the various changes that have occurred in society since then.")</f>
        <v/>
      </c>
      <c r="G1312" s="1">
        <f>IFERROR(__xludf.DUMMYFUNCTION("""COMPUTED_VALUE"""),"EduTech Cluster Spain")</f>
        <v/>
      </c>
      <c r="H1312" s="1" t="n"/>
      <c r="I1312" s="1">
        <f>IFERROR(__xludf.DUMMYFUNCTION("""COMPUTED_VALUE"""),"educacion@labpossible.com")</f>
        <v/>
      </c>
      <c r="J1312" s="1">
        <f>IFERROR(__xludf.DUMMYFUNCTION("""COMPUTED_VALUE"""),"666740862")</f>
        <v/>
      </c>
      <c r="K1312" s="1">
        <f>IFERROR(__xludf.DUMMYFUNCTION("""COMPUTED_VALUE"""),"Madrid")</f>
        <v/>
      </c>
      <c r="L1312" s="1">
        <f>IFERROR(__xludf.DUMMYFUNCTION("""COMPUTED_VALUE"""),"Spain")</f>
        <v/>
      </c>
      <c r="M1312" s="1">
        <f>IFERROR(__xludf.DUMMYFUNCTION("""COMPUTED_VALUE"""),"France, Spain")</f>
        <v/>
      </c>
      <c r="N1312" s="1">
        <f>IFERROR(__xludf.DUMMYFUNCTION("""COMPUTED_VALUE"""),"11 to 50")</f>
        <v/>
      </c>
      <c r="O1312" s="1">
        <f>IFERROR(__xludf.DUMMYFUNCTION("""COMPUTED_VALUE"""),"Business to Business, Business to Consumer, Business to Schools")</f>
        <v/>
      </c>
      <c r="P1312" s="1">
        <f>IFERROR(__xludf.DUMMYFUNCTION("""COMPUTED_VALUE"""),"Primary Education, Secondary Education, Higher Education")</f>
        <v/>
      </c>
      <c r="Q1312" s="1">
        <f>IFERROR(__xludf.DUMMYFUNCTION("""COMPUTED_VALUE"""),"Teacher interfacing")</f>
        <v/>
      </c>
      <c r="R1312" s="1" t="n"/>
      <c r="S1312" s="1" t="n"/>
      <c r="T1312" s="1" t="n"/>
      <c r="U1312" s="1" t="n"/>
      <c r="V1312" s="1" t="n"/>
      <c r="W1312" s="1" t="n"/>
      <c r="X1312" s="1" t="n"/>
      <c r="Y1312" s="15">
        <f>IFERROR(__xludf.DUMMYFUNCTION("""COMPUTED_VALUE"""),"https://drive.google.com/uc?export=view&amp;id=1fqIjAMqQw84zXYqcKLZwfaYlMkmPSGRU")</f>
        <v/>
      </c>
      <c r="Z1312" s="1">
        <f>IFERROR(__xludf.DUMMYFUNCTION("""COMPUTED_VALUE"""),"Unverified")</f>
        <v/>
      </c>
      <c r="AA1312" s="1" t="n"/>
      <c r="AB1312" s="1" t="n"/>
      <c r="AC1312" s="1" t="n"/>
      <c r="AD1312" s="1" t="n"/>
      <c r="AE1312" s="1" t="n"/>
    </row>
    <row r="1313" ht="42" customHeight="1">
      <c r="A1313" s="14">
        <f>IFERROR(__xludf.DUMMYFUNCTION("""COMPUTED_VALUE"""),45181)</f>
        <v/>
      </c>
      <c r="B1313" s="1">
        <f>IFERROR(__xludf.DUMMYFUNCTION("""COMPUTED_VALUE"""),"ORG_2128")</f>
        <v/>
      </c>
      <c r="C1313" s="1">
        <f>IFERROR(__xludf.DUMMYFUNCTION("""COMPUTED_VALUE"""),TRUE)</f>
        <v/>
      </c>
      <c r="D1313" s="1">
        <f>IFERROR(__xludf.DUMMYFUNCTION("""COMPUTED_VALUE"""),"PROPULSAR CYBER ACADEMIA")</f>
        <v/>
      </c>
      <c r="E1313" s="15">
        <f>IFERROR(__xludf.DUMMYFUNCTION("""COMPUTED_VALUE"""),"https://ww.pro-pulsar.com")</f>
        <v/>
      </c>
      <c r="F1313" s="1">
        <f>IFERROR(__xludf.DUMMYFUNCTION("""COMPUTED_VALUE"""),"Ambition. Propulsar's ambition is to protect the digital assets of companies and organisations by helping cybersecurity professionals to increase their skills in the workflow.
Problem. Cybersecurity teams lack the time to train.
Market opportunities: (1"&amp;") a shortage of three million cybersecurity professionals worldwide and (2) building, attracting and retaining strong cybersecurity teams.
Client base. Mid-sized companies, large companies and the public sector.
Products. Online library of over 1200 vid"&amp;"eo tutorials 27/7 and high value coaching in small groups (distance &amp; collaborative learning).
Marketing - Commercial. Three main pulls: unconventional launch, outbound sales and partnerships. One background action: international development.
Team. Luc "&amp;"Chrétien (founder and CEO), a digital developer, cybersecurity experts responsible for content and cybersecurity trainers-facilitators.
Financing. Bootstrapping then fundraising.")</f>
        <v/>
      </c>
      <c r="G1313" s="1">
        <f>IFERROR(__xludf.DUMMYFUNCTION("""COMPUTED_VALUE"""),"I'm not part of any EdTech association")</f>
        <v/>
      </c>
      <c r="H1313" s="1" t="n"/>
      <c r="I1313" s="1">
        <f>IFERROR(__xludf.DUMMYFUNCTION("""COMPUTED_VALUE"""),"contact@pro-pulsar.com")</f>
        <v/>
      </c>
      <c r="J1313" s="1">
        <f>IFERROR(__xludf.DUMMYFUNCTION("""COMPUTED_VALUE"""),"+33 6 86 45 55 61")</f>
        <v/>
      </c>
      <c r="K1313" s="1">
        <f>IFERROR(__xludf.DUMMYFUNCTION("""COMPUTED_VALUE"""),"LA CHAPELLE-SUR-ERDRE")</f>
        <v/>
      </c>
      <c r="L1313" s="1">
        <f>IFERROR(__xludf.DUMMYFUNCTION("""COMPUTED_VALUE"""),"France")</f>
        <v/>
      </c>
      <c r="M1313" s="1">
        <f>IFERROR(__xludf.DUMMYFUNCTION("""COMPUTED_VALUE"""),"France")</f>
        <v/>
      </c>
      <c r="N1313" s="1">
        <f>IFERROR(__xludf.DUMMYFUNCTION("""COMPUTED_VALUE"""),"0 to 10")</f>
        <v/>
      </c>
      <c r="O1313" s="1">
        <f>IFERROR(__xludf.DUMMYFUNCTION("""COMPUTED_VALUE"""),"Business to Business, Business to Consumer, Business to Schools")</f>
        <v/>
      </c>
      <c r="P1313" s="1">
        <f>IFERROR(__xludf.DUMMYFUNCTION("""COMPUTED_VALUE"""),"Corporate Training")</f>
        <v/>
      </c>
      <c r="Q1313" s="1">
        <f>IFERROR(__xludf.DUMMYFUNCTION("""COMPUTED_VALUE"""),"System/Administrative")</f>
        <v/>
      </c>
      <c r="R1313" s="1" t="n"/>
      <c r="S1313" s="1" t="n"/>
      <c r="T1313" s="1" t="n"/>
      <c r="U1313" s="1" t="n"/>
      <c r="V1313" s="1" t="n"/>
      <c r="W1313" s="1" t="n"/>
      <c r="X1313" s="1" t="n"/>
      <c r="Y1313" s="1" t="n"/>
      <c r="Z1313" s="1">
        <f>IFERROR(__xludf.DUMMYFUNCTION("""COMPUTED_VALUE"""),"Unverified")</f>
        <v/>
      </c>
      <c r="AA1313" s="1" t="n"/>
      <c r="AB1313" s="1" t="n"/>
      <c r="AC1313" s="1" t="n"/>
      <c r="AD1313" s="1" t="n"/>
      <c r="AE1313" s="1" t="n"/>
    </row>
    <row r="1314" ht="42" customHeight="1">
      <c r="A1314" s="14">
        <f>IFERROR(__xludf.DUMMYFUNCTION("""COMPUTED_VALUE"""),45181)</f>
        <v/>
      </c>
      <c r="B1314" s="1">
        <f>IFERROR(__xludf.DUMMYFUNCTION("""COMPUTED_VALUE"""),"ORG_2131")</f>
        <v/>
      </c>
      <c r="C1314" s="1">
        <f>IFERROR(__xludf.DUMMYFUNCTION("""COMPUTED_VALUE"""),TRUE)</f>
        <v/>
      </c>
      <c r="D1314" s="1">
        <f>IFERROR(__xludf.DUMMYFUNCTION("""COMPUTED_VALUE"""),"Prosoon")</f>
        <v/>
      </c>
      <c r="E1314" s="15">
        <f>IFERROR(__xludf.DUMMYFUNCTION("""COMPUTED_VALUE"""),"https://www.prosoon.eu")</f>
        <v/>
      </c>
      <c r="F1314" s="1">
        <f>IFERROR(__xludf.DUMMYFUNCTION("""COMPUTED_VALUE"""),"Prosoon is a web application leveraging blockchain technology for better training, employment and enabling equal opportunities. Our goal is to enable the fine-grained recognition of skills, academic achievements, experiences and qualifications, in a simpl"&amp;"e and confident way. The platform is geared toward educational institutions, students and alumnis as well as companies, to optimise recruiters tasks, by fighting against both diploma fraud, false resumes and discrimination in recruitment, through an anony"&amp;"mous CV with evidential value.")</f>
        <v/>
      </c>
      <c r="G1314" s="1">
        <f>IFERROR(__xludf.DUMMYFUNCTION("""COMPUTED_VALUE"""),"EdTech France")</f>
        <v/>
      </c>
      <c r="H1314" s="1" t="n"/>
      <c r="I1314" s="1">
        <f>IFERROR(__xludf.DUMMYFUNCTION("""COMPUTED_VALUE"""),"contact@prosoon.eu")</f>
        <v/>
      </c>
      <c r="J1314" s="1">
        <f>IFERROR(__xludf.DUMMYFUNCTION("""COMPUTED_VALUE"""),"+33670892997")</f>
        <v/>
      </c>
      <c r="K1314" s="1">
        <f>IFERROR(__xludf.DUMMYFUNCTION("""COMPUTED_VALUE"""),"ILLKIRCH GRAFFENSTADEN")</f>
        <v/>
      </c>
      <c r="L1314" s="1">
        <f>IFERROR(__xludf.DUMMYFUNCTION("""COMPUTED_VALUE"""),"France")</f>
        <v/>
      </c>
      <c r="M1314" s="1">
        <f>IFERROR(__xludf.DUMMYFUNCTION("""COMPUTED_VALUE"""),"France, Luxembourg, Switzerland")</f>
        <v/>
      </c>
      <c r="N1314" s="1">
        <f>IFERROR(__xludf.DUMMYFUNCTION("""COMPUTED_VALUE"""),"0 to 10")</f>
        <v/>
      </c>
      <c r="O1314" s="1">
        <f>IFERROR(__xludf.DUMMYFUNCTION("""COMPUTED_VALUE"""),"Business to Business, Business to Consumer, Business to Schools")</f>
        <v/>
      </c>
      <c r="P1314" s="1">
        <f>IFERROR(__xludf.DUMMYFUNCTION("""COMPUTED_VALUE"""),"Secondary Education, Higher Education, Corporate Training, Lifelong learning/Adult education")</f>
        <v/>
      </c>
      <c r="Q1314" s="1">
        <f>IFERROR(__xludf.DUMMYFUNCTION("""COMPUTED_VALUE"""),"Student interfacing, Teacher interfacing, System/Administrative")</f>
        <v/>
      </c>
      <c r="R1314" s="1" t="n"/>
      <c r="S1314" s="1" t="n"/>
      <c r="T1314" s="15">
        <f>IFERROR(__xludf.DUMMYFUNCTION("""COMPUTED_VALUE"""),"https://www.linkedin.com/company/prosoon/?viewAsMember=true")</f>
        <v/>
      </c>
      <c r="U1314" s="1">
        <f>IFERROR(__xludf.DUMMYFUNCTION("""COMPUTED_VALUE"""),"Prosoon")</f>
        <v/>
      </c>
      <c r="V1314" s="1">
        <f>IFERROR(__xludf.DUMMYFUNCTION("""COMPUTED_VALUE"""),"Prosoon is a web application that allows training institutions and companies to issue, store, share and verify digital credentials corresponding to learning, academic and professional achievements of trainees and young graduates.
Based on SSI (Self Sovere"&amp;"ign Identity) concept, the platform generates transaction between decentralized identifiers on different Blockchain Infrastructure, to make verifiable credentials tamper-proof, as well as to guarantee the digital sovereignty of our users.
The technologica"&amp;"l architecture is in line with international and European recommendations (W3C, EBSI / ESSIF)")</f>
        <v/>
      </c>
      <c r="W1314" s="1" t="n"/>
      <c r="X1314" s="1" t="n"/>
      <c r="Y1314" s="15">
        <f>IFERROR(__xludf.DUMMYFUNCTION("""COMPUTED_VALUE"""),"https://drive.google.com/uc?export=view&amp;id=124cnukxbkZeszRLLSs9MGjeT7Ld7q5qG")</f>
        <v/>
      </c>
      <c r="Z1314" s="1">
        <f>IFERROR(__xludf.DUMMYFUNCTION("""COMPUTED_VALUE"""),"Unverified")</f>
        <v/>
      </c>
      <c r="AA1314" s="1" t="n"/>
      <c r="AB1314" s="1" t="n"/>
      <c r="AC1314" s="1" t="n"/>
      <c r="AD1314" s="1" t="n"/>
      <c r="AE1314" s="1" t="n"/>
    </row>
    <row r="1315" ht="42" customHeight="1">
      <c r="A1315" s="14">
        <f>IFERROR(__xludf.DUMMYFUNCTION("""COMPUTED_VALUE"""),45181)</f>
        <v/>
      </c>
      <c r="B1315" s="1">
        <f>IFERROR(__xludf.DUMMYFUNCTION("""COMPUTED_VALUE"""),"ORG_2166")</f>
        <v/>
      </c>
      <c r="C1315" s="1">
        <f>IFERROR(__xludf.DUMMYFUNCTION("""COMPUTED_VALUE"""),TRUE)</f>
        <v/>
      </c>
      <c r="D1315" s="1">
        <f>IFERROR(__xludf.DUMMYFUNCTION("""COMPUTED_VALUE"""),"READY FOR RED")</f>
        <v/>
      </c>
      <c r="E1315" s="15">
        <f>IFERROR(__xludf.DUMMYFUNCTION("""COMPUTED_VALUE"""),"https://www.readyforred.com/")</f>
        <v/>
      </c>
      <c r="F1315" s="1">
        <f>IFERROR(__xludf.DUMMYFUNCTION("""COMPUTED_VALUE"""),"erdbeerwoche is the first social business in Austria specializing in menstruation. It was founded to break the taboo concerning menstruation and to convey necessary knowledge and a positive attitude towards the subject.
Its digital education program READ"&amp;"Y FOR RED educates teenagers between 10 and 16 years about the menstrual cycle and period products in an interactive way.
In 4 levels READY FOR RED provides the youngsters with over 50 interactive and diverse educational games and videos to help them app"&amp;"roach the otherwise rather awkward subject in a playful and creative way. The platform aims to spread wide-ranging information on the subject of menstruation amongst teenagers.
Teachers can use the platform as a free resource in their classes in order to"&amp;" support sexual health education. So far, more than 1.000 schools are using our platform and over 80.000 teenagers have been educated about menstruation through READY FOR RED.")</f>
        <v/>
      </c>
      <c r="G1315" s="1">
        <f>IFERROR(__xludf.DUMMYFUNCTION("""COMPUTED_VALUE"""),"EdTech Austria")</f>
        <v/>
      </c>
      <c r="H1315" s="1" t="n"/>
      <c r="I1315" s="1">
        <f>IFERROR(__xludf.DUMMYFUNCTION("""COMPUTED_VALUE"""),"team@readyforred.com")</f>
        <v/>
      </c>
      <c r="J1315" s="1" t="n"/>
      <c r="K1315" s="1">
        <f>IFERROR(__xludf.DUMMYFUNCTION("""COMPUTED_VALUE"""),"VIENNA")</f>
        <v/>
      </c>
      <c r="L1315" s="1">
        <f>IFERROR(__xludf.DUMMYFUNCTION("""COMPUTED_VALUE"""),"Austria")</f>
        <v/>
      </c>
      <c r="M1315" s="1">
        <f>IFERROR(__xludf.DUMMYFUNCTION("""COMPUTED_VALUE"""),"Austria, Germany")</f>
        <v/>
      </c>
      <c r="N1315" s="1">
        <f>IFERROR(__xludf.DUMMYFUNCTION("""COMPUTED_VALUE"""),"0 to 10")</f>
        <v/>
      </c>
      <c r="O1315" s="1">
        <f>IFERROR(__xludf.DUMMYFUNCTION("""COMPUTED_VALUE"""),"Business to Business, Business to Consumer, Business to Schools")</f>
        <v/>
      </c>
      <c r="P1315" s="1">
        <f>IFERROR(__xludf.DUMMYFUNCTION("""COMPUTED_VALUE"""),"Secondary Education")</f>
        <v/>
      </c>
      <c r="Q1315" s="1">
        <f>IFERROR(__xludf.DUMMYFUNCTION("""COMPUTED_VALUE"""),"Student interfacing, Teacher interfacing")</f>
        <v/>
      </c>
      <c r="R1315" s="15">
        <f>IFERROR(__xludf.DUMMYFUNCTION("""COMPUTED_VALUE"""),"https://www.instagram.com/erdbeerwoche_/")</f>
        <v/>
      </c>
      <c r="S1315" s="1" t="n"/>
      <c r="T1315" s="1" t="n"/>
      <c r="U1315" s="1">
        <f>IFERROR(__xludf.DUMMYFUNCTION("""COMPUTED_VALUE"""),"READY FOR RED")</f>
        <v/>
      </c>
      <c r="V1315" s="1">
        <f>IFERROR(__xludf.DUMMYFUNCTION("""COMPUTED_VALUE"""),"The digital education program READY FOR RED educates teenagers between 10 and 16 years about the menstrual cycle and period products in an interactive way.
In 4 levels READY FOR RED provides the youngsters with over 50 interactive and diverse educational"&amp;" games and videos to help them approach the otherwise rather awkward subject in a playful and creative way. The platform aims to spread wide-ranging information on the subject of menstruation amongst teenagers.")</f>
        <v/>
      </c>
      <c r="W1315" s="1" t="n"/>
      <c r="X1315" s="1" t="n"/>
      <c r="Y1315" s="15">
        <f>IFERROR(__xludf.DUMMYFUNCTION("""COMPUTED_VALUE"""),"https://drive.google.com/uc?export=view&amp;id=1sp0ZYfzfMeCQSgRadItFh_B0vtcD3Z1j")</f>
        <v/>
      </c>
      <c r="Z1315" s="1">
        <f>IFERROR(__xludf.DUMMYFUNCTION("""COMPUTED_VALUE"""),"Unverified")</f>
        <v/>
      </c>
      <c r="AA1315" s="1" t="n"/>
      <c r="AB1315" s="1" t="n"/>
      <c r="AC1315" s="1" t="n"/>
      <c r="AD1315" s="1" t="n"/>
      <c r="AE1315" s="1" t="n"/>
    </row>
    <row r="1316" ht="42" customHeight="1">
      <c r="A1316" s="14">
        <f>IFERROR(__xludf.DUMMYFUNCTION("""COMPUTED_VALUE"""),45181)</f>
        <v/>
      </c>
      <c r="B1316" s="1">
        <f>IFERROR(__xludf.DUMMYFUNCTION("""COMPUTED_VALUE"""),"ORG_2176")</f>
        <v/>
      </c>
      <c r="C1316" s="1">
        <f>IFERROR(__xludf.DUMMYFUNCTION("""COMPUTED_VALUE"""),TRUE)</f>
        <v/>
      </c>
      <c r="D1316" s="1">
        <f>IFERROR(__xludf.DUMMYFUNCTION("""COMPUTED_VALUE"""),"Relevance Learning")</f>
        <v/>
      </c>
      <c r="E1316" s="15">
        <f>IFERROR(__xludf.DUMMYFUNCTION("""COMPUTED_VALUE"""),"https://www.relevancelearning.com/")</f>
        <v/>
      </c>
      <c r="F1316" s="1">
        <f>IFERROR(__xludf.DUMMYFUNCTION("""COMPUTED_VALUE"""),"RELEVANCE accelerates learning on a global scale in the areas of leadership, personal skills, and change. Our unique combination of technology and people produces personal, adaptive and social learning experiences. This innovative approach ensures that ou"&amp;"r clients are relevant in their industry and in society, now and in the future.
Our clients achieve great business results, in terms of numbers and with their people. Because confident and happy employees create organizations with impact.
All our Progra"&amp;"ms are delivered blended, on a global scale and in a full-service model.
More than 300 colleagues support our clients, and we have a network of 700+ strategically located trainers and coaches. To date, we have served the needs of more than 5,000 organisa"&amp;"tions worldwide.")</f>
        <v/>
      </c>
      <c r="G1316" s="1">
        <f>IFERROR(__xludf.DUMMYFUNCTION("""COMPUTED_VALUE"""),"Dutch EdTech")</f>
        <v/>
      </c>
      <c r="H1316" s="1">
        <f>IFERROR(__xludf.DUMMYFUNCTION("""COMPUTED_VALUE"""),"All")</f>
        <v/>
      </c>
      <c r="I1316" s="1">
        <f>IFERROR(__xludf.DUMMYFUNCTION("""COMPUTED_VALUE"""),"info@relevancelearning.com")</f>
        <v/>
      </c>
      <c r="J1316" s="1">
        <f>IFERROR(__xludf.DUMMYFUNCTION("""COMPUTED_VALUE"""),"+ 31 418 68 85 58")</f>
        <v/>
      </c>
      <c r="K1316" s="1">
        <f>IFERROR(__xludf.DUMMYFUNCTION("""COMPUTED_VALUE"""),"ZALTBOMMEL")</f>
        <v/>
      </c>
      <c r="L1316" s="1">
        <f>IFERROR(__xludf.DUMMYFUNCTION("""COMPUTED_VALUE"""),"The Netherlands")</f>
        <v/>
      </c>
      <c r="M131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316" s="1">
        <f>IFERROR(__xludf.DUMMYFUNCTION("""COMPUTED_VALUE"""),"101 to 500")</f>
        <v/>
      </c>
      <c r="O1316" s="1">
        <f>IFERROR(__xludf.DUMMYFUNCTION("""COMPUTED_VALUE"""),"Business to Business, Business to Government")</f>
        <v/>
      </c>
      <c r="P1316" s="1">
        <f>IFERROR(__xludf.DUMMYFUNCTION("""COMPUTED_VALUE"""),"Corporate Training, Lifelong learning/Adult education")</f>
        <v/>
      </c>
      <c r="Q1316" s="1">
        <f>IFERROR(__xludf.DUMMYFUNCTION("""COMPUTED_VALUE"""),"System/Administrative, Student interfacing")</f>
        <v/>
      </c>
      <c r="R1316" s="1" t="n"/>
      <c r="S1316" s="1" t="n"/>
      <c r="T1316" s="15">
        <f>IFERROR(__xludf.DUMMYFUNCTION("""COMPUTED_VALUE"""),"https://www.linkedin.com/company/relevance-learning/")</f>
        <v/>
      </c>
      <c r="U1316" s="1">
        <f>IFERROR(__xludf.DUMMYFUNCTION("""COMPUTED_VALUE"""),"Power Skills")</f>
        <v/>
      </c>
      <c r="V1316" s="1">
        <f>IFERROR(__xludf.DUMMYFUNCTION("""COMPUTED_VALUE"""),"Our power skills development programs help in overcoming (business) challenges in a fast, blended and effective way. These dynamic programs focus on talent development and mastering skills for the future. Every skill supports the core of your organization"&amp;", each in their own way. Power skills vary from learning to solve complex problems, be more efficient, have fun in networking, deal with stress and maintain a healthy work-life balance.")</f>
        <v/>
      </c>
      <c r="W1316" s="1">
        <f>IFERROR(__xludf.DUMMYFUNCTION("""COMPUTED_VALUE"""),"Leadership")</f>
        <v/>
      </c>
      <c r="X1316" s="1">
        <f>IFERROR(__xludf.DUMMYFUNCTION("""COMPUTED_VALUE"""),"This raises high expectations from executives and managers: they need to continuously transform the organization in response to the rapidly changing market and support their employees to achieve high performance along with workplace happiness. Research sh"&amp;"ows that by balancing these factors, leaders create a climate which accelerates development and its effectiveness. This is achieved through inspirational and connected leadership, which ensures that the company DNA is embodied in everyone involved within "&amp;"the organization. However, before leaders can enable value in others, it is crucial they focus on their personal development first. That’s where Relevance comes into play.")</f>
        <v/>
      </c>
      <c r="Y1316" s="15">
        <f>IFERROR(__xludf.DUMMYFUNCTION("""COMPUTED_VALUE"""),"https://drive.google.com/uc?export=view&amp;id=1mbyM4wNtVWoaxfdrBEuYlchV3r4-AZvE")</f>
        <v/>
      </c>
      <c r="Z1316" s="1">
        <f>IFERROR(__xludf.DUMMYFUNCTION("""COMPUTED_VALUE"""),"Unverified")</f>
        <v/>
      </c>
      <c r="AA1316" s="1" t="n"/>
      <c r="AB1316" s="1" t="n"/>
      <c r="AC1316" s="1" t="n"/>
      <c r="AD1316" s="1" t="n"/>
      <c r="AE1316" s="1" t="n"/>
    </row>
    <row r="1317" ht="42" customHeight="1">
      <c r="A1317" s="14">
        <f>IFERROR(__xludf.DUMMYFUNCTION("""COMPUTED_VALUE"""),45181)</f>
        <v/>
      </c>
      <c r="B1317" s="1">
        <f>IFERROR(__xludf.DUMMYFUNCTION("""COMPUTED_VALUE"""),"ORG_2188")</f>
        <v/>
      </c>
      <c r="C1317" s="1">
        <f>IFERROR(__xludf.DUMMYFUNCTION("""COMPUTED_VALUE"""),TRUE)</f>
        <v/>
      </c>
      <c r="D1317" s="1">
        <f>IFERROR(__xludf.DUMMYFUNCTION("""COMPUTED_VALUE"""),"RO-BOTICA")</f>
        <v/>
      </c>
      <c r="E1317" s="15">
        <f>IFERROR(__xludf.DUMMYFUNCTION("""COMPUTED_VALUE"""),"www.ro-botica.com")</f>
        <v/>
      </c>
      <c r="F1317" s="1">
        <f>IFERROR(__xludf.DUMMYFUNCTION("""COMPUTED_VALUE"""),"We manufacture and distribute STEAM solutions based on robotics and coding.
At RO-BOTICA we help the new generations to give meaning to technology. We supply all sorts of robotic equipment and programing tools for Education and Personal use. Being the of"&amp;"ficial LEGO® Education distributor in Spain, we have trained and certified thousands of teachers ansd educators over the last 15 years.
Established in 2007, RO-BOTICA has been the first physical store in Europe, devoted to Personal and Educational roboti"&amp;"cs.")</f>
        <v/>
      </c>
      <c r="G1317" s="1">
        <f>IFERROR(__xludf.DUMMYFUNCTION("""COMPUTED_VALUE"""),"SEK Lab")</f>
        <v/>
      </c>
      <c r="H1317" s="1" t="n"/>
      <c r="I1317" s="1">
        <f>IFERROR(__xludf.DUMMYFUNCTION("""COMPUTED_VALUE"""),"info@ro-botica.com")</f>
        <v/>
      </c>
      <c r="J1317" s="1">
        <f>IFERROR(__xludf.DUMMYFUNCTION("""COMPUTED_VALUE"""),"+34934143581")</f>
        <v/>
      </c>
      <c r="K1317" s="1">
        <f>IFERROR(__xludf.DUMMYFUNCTION("""COMPUTED_VALUE"""),"BARCELONA")</f>
        <v/>
      </c>
      <c r="L1317" s="1">
        <f>IFERROR(__xludf.DUMMYFUNCTION("""COMPUTED_VALUE"""),"Spain")</f>
        <v/>
      </c>
      <c r="M1317" s="1">
        <f>IFERROR(__xludf.DUMMYFUNCTION("""COMPUTED_VALUE"""),"Andorra, France, Germany, Greece, Iceland, Ireland, Italy, Malta, Netherlands, Norway, Portugal, Spain, United Kingdom")</f>
        <v/>
      </c>
      <c r="N1317" s="1">
        <f>IFERROR(__xludf.DUMMYFUNCTION("""COMPUTED_VALUE"""),"0 to 10")</f>
        <v/>
      </c>
      <c r="O1317" s="1">
        <f>IFERROR(__xludf.DUMMYFUNCTION("""COMPUTED_VALUE"""),"Business to Business, Business to Government")</f>
        <v/>
      </c>
      <c r="P1317" s="1">
        <f>IFERROR(__xludf.DUMMYFUNCTION("""COMPUTED_VALUE"""),"Early childhood development (0-5 years), Primary Education, Secondary Education, Higher Education, Corporate Training, Lifelong learning/Adult education")</f>
        <v/>
      </c>
      <c r="Q1317" s="1">
        <f>IFERROR(__xludf.DUMMYFUNCTION("""COMPUTED_VALUE"""),"Teacher interfacing, System/Administrative, Student interfacing")</f>
        <v/>
      </c>
      <c r="R1317" s="1" t="n"/>
      <c r="S1317" s="1" t="n"/>
      <c r="T1317" s="1" t="n"/>
      <c r="U1317" s="1" t="n"/>
      <c r="V1317" s="1" t="n"/>
      <c r="W1317" s="1" t="n"/>
      <c r="X1317" s="1" t="n"/>
      <c r="Y1317" s="15">
        <f>IFERROR(__xludf.DUMMYFUNCTION("""COMPUTED_VALUE"""),"https://drive.google.com/uc?export=view&amp;id=1uA0VCcxLClpMRsq5xY3lgTYwBqEskUWt")</f>
        <v/>
      </c>
      <c r="Z1317" s="1">
        <f>IFERROR(__xludf.DUMMYFUNCTION("""COMPUTED_VALUE"""),"Unverified")</f>
        <v/>
      </c>
      <c r="AA1317" s="1" t="n"/>
      <c r="AB1317" s="1" t="n"/>
      <c r="AC1317" s="1" t="n"/>
      <c r="AD1317" s="1" t="n"/>
      <c r="AE1317" s="1" t="n"/>
    </row>
    <row r="1318" ht="42" customHeight="1">
      <c r="A1318" s="14">
        <f>IFERROR(__xludf.DUMMYFUNCTION("""COMPUTED_VALUE"""),45181)</f>
        <v/>
      </c>
      <c r="B1318" s="1">
        <f>IFERROR(__xludf.DUMMYFUNCTION("""COMPUTED_VALUE"""),"ORG_2250")</f>
        <v/>
      </c>
      <c r="C1318" s="1">
        <f>IFERROR(__xludf.DUMMYFUNCTION("""COMPUTED_VALUE"""),TRUE)</f>
        <v/>
      </c>
      <c r="D1318" s="1">
        <f>IFERROR(__xludf.DUMMYFUNCTION("""COMPUTED_VALUE"""),"Skilit")</f>
        <v/>
      </c>
      <c r="E1318" s="15">
        <f>IFERROR(__xludf.DUMMYFUNCTION("""COMPUTED_VALUE"""),"https://skilit.io")</f>
        <v/>
      </c>
      <c r="F1318" s="1">
        <f>IFERROR(__xludf.DUMMYFUNCTION("""COMPUTED_VALUE"""),"Contextual semantic analyzer. 
Skilit allows you to visualise, from a behavioural model, the soft skills conveyed by a text and to compare texts between them (recruitment, team building, HR decision, orientation/re-orientation)")</f>
        <v/>
      </c>
      <c r="G1318" s="1">
        <f>IFERROR(__xludf.DUMMYFUNCTION("""COMPUTED_VALUE"""),"EdTech France")</f>
        <v/>
      </c>
      <c r="H1318" s="1" t="n"/>
      <c r="I1318" s="1">
        <f>IFERROR(__xludf.DUMMYFUNCTION("""COMPUTED_VALUE"""),"jmsanti@skilit.io")</f>
        <v/>
      </c>
      <c r="J1318" s="1">
        <f>IFERROR(__xludf.DUMMYFUNCTION("""COMPUTED_VALUE"""),"+33 6 12 21 91 32")</f>
        <v/>
      </c>
      <c r="K1318" s="1">
        <f>IFERROR(__xludf.DUMMYFUNCTION("""COMPUTED_VALUE"""),"Ventabren")</f>
        <v/>
      </c>
      <c r="L1318" s="1">
        <f>IFERROR(__xludf.DUMMYFUNCTION("""COMPUTED_VALUE"""),"France")</f>
        <v/>
      </c>
      <c r="M1318" s="1">
        <f>IFERROR(__xludf.DUMMYFUNCTION("""COMPUTED_VALUE"""),"France, Netherlands")</f>
        <v/>
      </c>
      <c r="N1318" s="1">
        <f>IFERROR(__xludf.DUMMYFUNCTION("""COMPUTED_VALUE"""),"0 to 10")</f>
        <v/>
      </c>
      <c r="O1318" s="1">
        <f>IFERROR(__xludf.DUMMYFUNCTION("""COMPUTED_VALUE"""),"Business to Business, Business to Government")</f>
        <v/>
      </c>
      <c r="P1318" s="1">
        <f>IFERROR(__xludf.DUMMYFUNCTION("""COMPUTED_VALUE"""),"Secondary Education, Higher Education, Corporate Training, Lifelong learning/Adult education")</f>
        <v/>
      </c>
      <c r="Q1318" s="1">
        <f>IFERROR(__xludf.DUMMYFUNCTION("""COMPUTED_VALUE"""),"Teacher interfacing, Student interfacing, System/Administrative")</f>
        <v/>
      </c>
      <c r="R1318" s="1" t="n"/>
      <c r="S1318" s="1" t="n"/>
      <c r="T1318" s="15">
        <f>IFERROR(__xludf.DUMMYFUNCTION("""COMPUTED_VALUE"""),"https://www.linkedin.com/company/skilit-io")</f>
        <v/>
      </c>
      <c r="U1318" s="1">
        <f>IFERROR(__xludf.DUMMYFUNCTION("""COMPUTED_VALUE"""),"Skilit")</f>
        <v/>
      </c>
      <c r="V1318" s="1">
        <f>IFERROR(__xludf.DUMMYFUNCTION("""COMPUTED_VALUE"""),"Skilit allows you to visualise, from a behavioural model, the soft skills conveyed by a text and to compare texts between them (recruitment, team building, HR decision, orientation/re-orientation)")</f>
        <v/>
      </c>
      <c r="W1318" s="1" t="n"/>
      <c r="X1318" s="1" t="n"/>
      <c r="Y1318" s="15">
        <f>IFERROR(__xludf.DUMMYFUNCTION("""COMPUTED_VALUE"""),"https://drive.google.com/uc?export=view&amp;id=1KKddj_0VgeVWOzVFYEHLzraeeOjynugb")</f>
        <v/>
      </c>
      <c r="Z1318" s="1">
        <f>IFERROR(__xludf.DUMMYFUNCTION("""COMPUTED_VALUE"""),"Unverified")</f>
        <v/>
      </c>
      <c r="AA1318" s="1" t="n"/>
      <c r="AB1318" s="1" t="n"/>
      <c r="AC1318" s="1" t="n"/>
      <c r="AD1318" s="1" t="n"/>
      <c r="AE1318" s="1" t="n"/>
    </row>
    <row r="1319" ht="42" customHeight="1">
      <c r="A1319" s="14">
        <f>IFERROR(__xludf.DUMMYFUNCTION("""COMPUTED_VALUE"""),45181)</f>
        <v/>
      </c>
      <c r="B1319" s="1">
        <f>IFERROR(__xludf.DUMMYFUNCTION("""COMPUTED_VALUE"""),"ORG_2263")</f>
        <v/>
      </c>
      <c r="C1319" s="1">
        <f>IFERROR(__xludf.DUMMYFUNCTION("""COMPUTED_VALUE"""),TRUE)</f>
        <v/>
      </c>
      <c r="D1319" s="1">
        <f>IFERROR(__xludf.DUMMYFUNCTION("""COMPUTED_VALUE"""),"Skilmi")</f>
        <v/>
      </c>
      <c r="E1319" s="15">
        <f>IFERROR(__xludf.DUMMYFUNCTION("""COMPUTED_VALUE"""),"https://www.skilmi.fr/")</f>
        <v/>
      </c>
      <c r="F1319" s="1">
        <f>IFERROR(__xludf.DUMMYFUNCTION("""COMPUTED_VALUE"""),"Skilmi is a peer-to-peer training platform to get skills by video live from the best experts so you can thrive your projects. 
We help you get unstuck in your projects and tools management through 100 % customized trainings &amp; digital coachings. These are "&amp;"live, on-the-job and pay-as-you-go. Our focus : digital marketing, data &amp; AI")</f>
        <v/>
      </c>
      <c r="G1319" s="1">
        <f>IFERROR(__xludf.DUMMYFUNCTION("""COMPUTED_VALUE"""),"EdTech France")</f>
        <v/>
      </c>
      <c r="H1319" s="1" t="n"/>
      <c r="I1319" s="1">
        <f>IFERROR(__xludf.DUMMYFUNCTION("""COMPUTED_VALUE"""),"bonjour@skilmi.fr")</f>
        <v/>
      </c>
      <c r="J1319" s="1" t="n"/>
      <c r="K1319" s="1">
        <f>IFERROR(__xludf.DUMMYFUNCTION("""COMPUTED_VALUE"""),"PARIS")</f>
        <v/>
      </c>
      <c r="L1319" s="1">
        <f>IFERROR(__xludf.DUMMYFUNCTION("""COMPUTED_VALUE"""),"France")</f>
        <v/>
      </c>
      <c r="M1319" s="1">
        <f>IFERROR(__xludf.DUMMYFUNCTION("""COMPUTED_VALUE"""),"France")</f>
        <v/>
      </c>
      <c r="N1319" s="1">
        <f>IFERROR(__xludf.DUMMYFUNCTION("""COMPUTED_VALUE"""),"0 to 10")</f>
        <v/>
      </c>
      <c r="O1319" s="1">
        <f>IFERROR(__xludf.DUMMYFUNCTION("""COMPUTED_VALUE"""),"Business to Business, Business to Government")</f>
        <v/>
      </c>
      <c r="P1319" s="1">
        <f>IFERROR(__xludf.DUMMYFUNCTION("""COMPUTED_VALUE"""),"Corporate Training, Lifelong learning/Adult education")</f>
        <v/>
      </c>
      <c r="Q1319" s="1">
        <f>IFERROR(__xludf.DUMMYFUNCTION("""COMPUTED_VALUE"""),"Teacher interfacing, Student interfacing, System/Administrative")</f>
        <v/>
      </c>
      <c r="R1319" s="15">
        <f>IFERROR(__xludf.DUMMYFUNCTION("""COMPUTED_VALUE"""),"https://www.instagram.com/skilmi.fr/")</f>
        <v/>
      </c>
      <c r="S1319" s="15">
        <f>IFERROR(__xludf.DUMMYFUNCTION("""COMPUTED_VALUE"""),"https://twitter.com/skilmi_fr")</f>
        <v/>
      </c>
      <c r="T1319" s="15">
        <f>IFERROR(__xludf.DUMMYFUNCTION("""COMPUTED_VALUE"""),"https://www.linkedin.com/company/skilmi/?viewAsMember=true")</f>
        <v/>
      </c>
      <c r="U1319" s="1">
        <f>IFERROR(__xludf.DUMMYFUNCTION("""COMPUTED_VALUE"""),"Skilmi")</f>
        <v/>
      </c>
      <c r="V1319" s="1">
        <f>IFERROR(__xludf.DUMMYFUNCTION("""COMPUTED_VALUE"""),"Skilmi is a skills marketplace which connects the best experts professionals and trainers available to share skills and know-hows, with learners expecting to upskill so they can thrive their projects.
We believe it’s better to train 30 minutes a week than"&amp;" one week a year: so our model is based on micro-skills. 
We believe learning by doing is the best way to empower active skills: so we choose on-the-job learning by visio.")</f>
        <v/>
      </c>
      <c r="W1319" s="1">
        <f>IFERROR(__xludf.DUMMYFUNCTION("""COMPUTED_VALUE"""),"Skilbiz")</f>
        <v/>
      </c>
      <c r="X1319" s="1">
        <f>IFERROR(__xludf.DUMMYFUNCTION("""COMPUTED_VALUE"""),"Skilbiz provides the Skilmi platform as a white label for corporates which expect to create their own skills marketplace so they can retain and upskill talents. 
Skilbiz customization includes the creation of you own pool of talents, experts and alumni re"&amp;"lated to your industry, your specific topics and tools. Also the platform includes data analytics to better track skills supply and demand for your own teams as well as for your users.")</f>
        <v/>
      </c>
      <c r="Y1319" s="15">
        <f>IFERROR(__xludf.DUMMYFUNCTION("""COMPUTED_VALUE"""),"https://drive.google.com/uc?export=view&amp;id=1BBWOQ1HPN0JNV9lOFCbdkCjDTOcjaGAJ")</f>
        <v/>
      </c>
      <c r="Z1319" s="1">
        <f>IFERROR(__xludf.DUMMYFUNCTION("""COMPUTED_VALUE"""),"Unverified")</f>
        <v/>
      </c>
      <c r="AA1319" s="1" t="n"/>
      <c r="AB1319" s="1" t="n"/>
      <c r="AC1319" s="1" t="n"/>
      <c r="AD1319" s="1" t="n"/>
      <c r="AE1319" s="1" t="n"/>
    </row>
    <row r="1320" ht="42" customHeight="1">
      <c r="A1320" s="14">
        <f>IFERROR(__xludf.DUMMYFUNCTION("""COMPUTED_VALUE"""),45181)</f>
        <v/>
      </c>
      <c r="B1320" s="1">
        <f>IFERROR(__xludf.DUMMYFUNCTION("""COMPUTED_VALUE"""),"ORG_2282")</f>
        <v/>
      </c>
      <c r="C1320" s="1">
        <f>IFERROR(__xludf.DUMMYFUNCTION("""COMPUTED_VALUE"""),TRUE)</f>
        <v/>
      </c>
      <c r="D1320" s="1">
        <f>IFERROR(__xludf.DUMMYFUNCTION("""COMPUTED_VALUE"""),"Smile and Learn")</f>
        <v/>
      </c>
      <c r="E1320" s="15">
        <f>IFERROR(__xludf.DUMMYFUNCTION("""COMPUTED_VALUE"""),"www.smileandlearn.com")</f>
        <v/>
      </c>
      <c r="F1320" s="1">
        <f>IFERROR(__xludf.DUMMYFUNCTION("""COMPUTED_VALUE"""),"Smile and Learn a 360º personalized, content, educational platform, for children aged 3 to 12 years. Designed by lead expert educators, its content reinforces core curricular areas such as Maths, Literacy and Science, language learning and 21st century sk"&amp;"ills such as programming. Featuring over 8,500 proprietary activities, in apps and videos, Smile and Learn has been internationally awarded by the European Comission, BETT London and Enligthed. The platform is an inclusive education tool and offers an ana"&amp;"lytics and recommendation system using AI
Our headquarters are in Madrid in Spain and more than 40 Million children learn with our high quality digital content.")</f>
        <v/>
      </c>
      <c r="G1320" s="1">
        <f>IFERROR(__xludf.DUMMYFUNCTION("""COMPUTED_VALUE"""),"SEK Lab")</f>
        <v/>
      </c>
      <c r="H1320" s="1" t="n"/>
      <c r="I1320" s="1">
        <f>IFERROR(__xludf.DUMMYFUNCTION("""COMPUTED_VALUE"""),"victor.sanchez@smileandlearn.com")</f>
        <v/>
      </c>
      <c r="J1320" s="1" t="n"/>
      <c r="K1320" s="1">
        <f>IFERROR(__xludf.DUMMYFUNCTION("""COMPUTED_VALUE"""),"madrid")</f>
        <v/>
      </c>
      <c r="L1320" s="1">
        <f>IFERROR(__xludf.DUMMYFUNCTION("""COMPUTED_VALUE"""),"Spain")</f>
        <v/>
      </c>
      <c r="M1320" s="1">
        <f>IFERROR(__xludf.DUMMYFUNCTION("""COMPUTED_VALUE"""),"France, Italy, Portugal, Spain, Turkey, United Kingdom")</f>
        <v/>
      </c>
      <c r="N1320" s="1">
        <f>IFERROR(__xludf.DUMMYFUNCTION("""COMPUTED_VALUE"""),"11 to 50")</f>
        <v/>
      </c>
      <c r="O1320" s="1">
        <f>IFERROR(__xludf.DUMMYFUNCTION("""COMPUTED_VALUE"""),"Business to Business, Business to Government, Business to Schools")</f>
        <v/>
      </c>
      <c r="P1320" s="1">
        <f>IFERROR(__xludf.DUMMYFUNCTION("""COMPUTED_VALUE"""),"Early childhood development (0-5 years), Primary Education")</f>
        <v/>
      </c>
      <c r="Q1320" s="1">
        <f>IFERROR(__xludf.DUMMYFUNCTION("""COMPUTED_VALUE"""),"System/Administrative, Student interfacing, Teacher interfacing")</f>
        <v/>
      </c>
      <c r="R1320" s="1" t="n"/>
      <c r="S1320" s="1" t="n"/>
      <c r="T1320" s="15">
        <f>IFERROR(__xludf.DUMMYFUNCTION("""COMPUTED_VALUE"""),"https://www.linkedin.com/company/9408157")</f>
        <v/>
      </c>
      <c r="U1320" s="1">
        <f>IFERROR(__xludf.DUMMYFUNCTION("""COMPUTED_VALUE"""),"Smile and Learn")</f>
        <v/>
      </c>
      <c r="V1320" s="1">
        <f>IFERROR(__xludf.DUMMYFUNCTION("""COMPUTED_VALUE"""),"Smile and Learn a 360º personalized, content, educational platform, for children aged 3 to 12 years. Designed by lead expert educators, its content reinforces core curricular areas such as Maths, Literacy and Science, language learning and 21st century sk"&amp;"ills such as programming. Featuring over 8,500 proprietary activities, in apps and videos, Smile and Learn has been internationally awarded by the European Comission, BETT London and Enligthed. The platform is an inclusive education tool and offers an ana"&amp;"lytics and recommendation system using AI")</f>
        <v/>
      </c>
      <c r="W1320" s="1" t="n"/>
      <c r="X1320" s="1" t="n"/>
      <c r="Y1320" s="15">
        <f>IFERROR(__xludf.DUMMYFUNCTION("""COMPUTED_VALUE"""),"https://drive.google.com/uc?export=view&amp;id=11EHEP7cc7jGMuFzjvwFcNhWSWrAtbLOd")</f>
        <v/>
      </c>
      <c r="Z1320" s="1">
        <f>IFERROR(__xludf.DUMMYFUNCTION("""COMPUTED_VALUE"""),"Unverified")</f>
        <v/>
      </c>
      <c r="AA1320" s="1" t="n"/>
      <c r="AB1320" s="1" t="n"/>
      <c r="AC1320" s="1" t="n"/>
      <c r="AD1320" s="1" t="n"/>
      <c r="AE1320" s="1" t="n"/>
    </row>
    <row r="1321" ht="42" customHeight="1">
      <c r="A1321" s="14">
        <f>IFERROR(__xludf.DUMMYFUNCTION("""COMPUTED_VALUE"""),45181)</f>
        <v/>
      </c>
      <c r="B1321" s="1">
        <f>IFERROR(__xludf.DUMMYFUNCTION("""COMPUTED_VALUE"""),"ORG_2283")</f>
        <v/>
      </c>
      <c r="C1321" s="1">
        <f>IFERROR(__xludf.DUMMYFUNCTION("""COMPUTED_VALUE"""),TRUE)</f>
        <v/>
      </c>
      <c r="D1321" s="1">
        <f>IFERROR(__xludf.DUMMYFUNCTION("""COMPUTED_VALUE"""),"Smowltech")</f>
        <v/>
      </c>
      <c r="E1321" s="15">
        <f>IFERROR(__xludf.DUMMYFUNCTION("""COMPUTED_VALUE"""),"www.smowl.net")</f>
        <v/>
      </c>
      <c r="F1321" s="1">
        <f>IFERROR(__xludf.DUMMYFUNCTION("""COMPUTED_VALUE"""),"Smowltech is an edtech startup with the mission of building trust in online learning, in order to improve accessibility to quality education, and as a consequence empower users to access new opportunities of learning that can improve their quality of life"&amp;".
Smowltech has received support and finance by the European Commission that enable them to develop a patented method and system for continuous verification of a user identity in an online service. Currently, Smowltech is supporting educational instituti"&amp;"ons, corporates and governments to provide trust in their online learning processes (exams, certifications, recruitment, etc), mainly in EU and Latam.
Smowltech has received investment from Social Impact Funds to continuing working with institutions to m"&amp;"ake a positive impact facilitating access to quality education, linked to sustainable development goals, and reduce barriers that prevent it.")</f>
        <v/>
      </c>
      <c r="G1321" s="1">
        <f>IFERROR(__xludf.DUMMYFUNCTION("""COMPUTED_VALUE"""),"I'm not part of any EdTech association")</f>
        <v/>
      </c>
      <c r="H1321" s="1" t="n"/>
      <c r="I1321" s="1">
        <f>IFERROR(__xludf.DUMMYFUNCTION("""COMPUTED_VALUE"""),"alex.vea@smowltech.com")</f>
        <v/>
      </c>
      <c r="J1321" s="1">
        <f>IFERROR(__xludf.DUMMYFUNCTION("""COMPUTED_VALUE"""),"+34649159209")</f>
        <v/>
      </c>
      <c r="K1321" s="1">
        <f>IFERROR(__xludf.DUMMYFUNCTION("""COMPUTED_VALUE"""),"San Sebastian")</f>
        <v/>
      </c>
      <c r="L1321" s="1">
        <f>IFERROR(__xludf.DUMMYFUNCTION("""COMPUTED_VALUE"""),"Spain")</f>
        <v/>
      </c>
      <c r="M1321" s="1">
        <f>IFERROR(__xludf.DUMMYFUNCTION("""COMPUTED_VALUE"""),"France, Germany, Greece, Italy, Latvia, Portugal, Romania, Spain, United Kingdom")</f>
        <v/>
      </c>
      <c r="N1321" s="1">
        <f>IFERROR(__xludf.DUMMYFUNCTION("""COMPUTED_VALUE"""),"11 to 50")</f>
        <v/>
      </c>
      <c r="O1321" s="1">
        <f>IFERROR(__xludf.DUMMYFUNCTION("""COMPUTED_VALUE"""),"Business to Business, Business to Government, Business to Schools")</f>
        <v/>
      </c>
      <c r="P1321" s="1">
        <f>IFERROR(__xludf.DUMMYFUNCTION("""COMPUTED_VALUE"""),"Higher Education, Corporate Training, Lifelong learning/Adult education")</f>
        <v/>
      </c>
      <c r="Q1321" s="1">
        <f>IFERROR(__xludf.DUMMYFUNCTION("""COMPUTED_VALUE"""),"System/Administrative")</f>
        <v/>
      </c>
      <c r="R1321" s="1" t="n"/>
      <c r="S1321" s="1" t="n"/>
      <c r="T1321" s="1" t="n"/>
      <c r="U1321" s="1" t="n"/>
      <c r="V1321" s="1" t="n"/>
      <c r="W1321" s="1" t="n"/>
      <c r="X1321" s="1" t="n"/>
      <c r="Y1321" s="1" t="n"/>
      <c r="Z1321" s="1">
        <f>IFERROR(__xludf.DUMMYFUNCTION("""COMPUTED_VALUE"""),"Unverified")</f>
        <v/>
      </c>
      <c r="AA1321" s="1" t="n"/>
      <c r="AB1321" s="1" t="n"/>
      <c r="AC1321" s="1" t="n"/>
      <c r="AD1321" s="1" t="n"/>
      <c r="AE1321" s="1" t="n"/>
    </row>
    <row r="1322" ht="42" customHeight="1">
      <c r="A1322" s="14">
        <f>IFERROR(__xludf.DUMMYFUNCTION("""COMPUTED_VALUE"""),45181)</f>
        <v/>
      </c>
      <c r="B1322" s="1">
        <f>IFERROR(__xludf.DUMMYFUNCTION("""COMPUTED_VALUE"""),"ORG_2287")</f>
        <v/>
      </c>
      <c r="C1322" s="1">
        <f>IFERROR(__xludf.DUMMYFUNCTION("""COMPUTED_VALUE"""),TRUE)</f>
        <v/>
      </c>
      <c r="D1322" s="1">
        <f>IFERROR(__xludf.DUMMYFUNCTION("""COMPUTED_VALUE"""),"Society College")</f>
        <v/>
      </c>
      <c r="E1322" s="15">
        <f>IFERROR(__xludf.DUMMYFUNCTION("""COMPUTED_VALUE"""),"www.societycollege.nl")</f>
        <v/>
      </c>
      <c r="F1322" s="1">
        <f>IFERROR(__xludf.DUMMYFUNCTION("""COMPUTED_VALUE"""),"Society College is a social enterprise which builds a civil force to empower society in combination by changing the compass of strategic personal development and focussing on life-long-development by a strong individual program to strenghten resilience, t"&amp;"eamwork and comradeship. 
Society College believes that a society with economic and mental prosperity is not only the responsibility of a government but is equally also the responsibility of the private sector by implementing the new approach of the socia"&amp;"l return. 
The war on talent is not about jobs but about the right conditions.: it is not only about career, but every phase of life needs another job fulfillment. 
The founders of Society College have 7 years successful experience at Defensity College ("&amp;"startup within the ministry of Defence). With a 94% retention grade they know how to inspire younger generations.")</f>
        <v/>
      </c>
      <c r="G1322" s="1">
        <f>IFERROR(__xludf.DUMMYFUNCTION("""COMPUTED_VALUE"""),"Dutch EdTech")</f>
        <v/>
      </c>
      <c r="H1322" s="1" t="n"/>
      <c r="I1322" s="1">
        <f>IFERROR(__xludf.DUMMYFUNCTION("""COMPUTED_VALUE"""),"info@societycollege.nl")</f>
        <v/>
      </c>
      <c r="J1322" s="1" t="n"/>
      <c r="K1322" s="1">
        <f>IFERROR(__xludf.DUMMYFUNCTION("""COMPUTED_VALUE"""),"Amsterdam")</f>
        <v/>
      </c>
      <c r="L1322" s="1">
        <f>IFERROR(__xludf.DUMMYFUNCTION("""COMPUTED_VALUE"""),"The Netherlands")</f>
        <v/>
      </c>
      <c r="M1322" s="1">
        <f>IFERROR(__xludf.DUMMYFUNCTION("""COMPUTED_VALUE"""),"Netherlands")</f>
        <v/>
      </c>
      <c r="N1322" s="1">
        <f>IFERROR(__xludf.DUMMYFUNCTION("""COMPUTED_VALUE"""),"0 to 10")</f>
        <v/>
      </c>
      <c r="O1322" s="1">
        <f>IFERROR(__xludf.DUMMYFUNCTION("""COMPUTED_VALUE"""),"Business to Business, Business to Government, Business to Schools")</f>
        <v/>
      </c>
      <c r="P1322" s="1">
        <f>IFERROR(__xludf.DUMMYFUNCTION("""COMPUTED_VALUE"""),"Higher Education, Corporate Training, Lifelong learning/Adult education")</f>
        <v/>
      </c>
      <c r="Q1322" s="1">
        <f>IFERROR(__xludf.DUMMYFUNCTION("""COMPUTED_VALUE"""),"Student interfacing, System/Administrative")</f>
        <v/>
      </c>
      <c r="R1322" s="1" t="n"/>
      <c r="S1322" s="1" t="n"/>
      <c r="T1322" s="15">
        <f>IFERROR(__xludf.DUMMYFUNCTION("""COMPUTED_VALUE"""),"https://nl.linkedin.com/company/society-college")</f>
        <v/>
      </c>
      <c r="U1322" s="1">
        <f>IFERROR(__xludf.DUMMYFUNCTION("""COMPUTED_VALUE"""),"Service year")</f>
        <v/>
      </c>
      <c r="V1322" s="1">
        <f>IFERROR(__xludf.DUMMYFUNCTION("""COMPUTED_VALUE"""),"During this service year from Society College offers an unique curriculum:
1. someone will work for example in the border protection.
2. if someone is orientating on the next career step we facilitate the the person can have work experience at an organisa"&amp;"tion and vice versa for the organisation to know each other.
3. all members of Society College have to fullfill the program of shaping, cooperation, resilience
4. Society College challenges all community members to integrate actively the social return 2.0"&amp;".")</f>
        <v/>
      </c>
      <c r="W1322" s="1">
        <f>IFERROR(__xludf.DUMMYFUNCTION("""COMPUTED_VALUE"""),"work student program")</f>
        <v/>
      </c>
      <c r="X1322" s="1">
        <f>IFERROR(__xludf.DUMMYFUNCTION("""COMPUTED_VALUE"""),"The work student program is for all students and is besides there regular study. 1. a student works for example in a pandemic protection.
2. a student will have the possibility to work in a organisation to have experience but it is also interesting for th"&amp;"e company to find new talents.
3. all students of Society College have to fullfill the program of shaping, cooperation, resilience.
4. Society College challenges all community members to integrate actively the social return 2.0.")</f>
        <v/>
      </c>
      <c r="Y1322" s="15">
        <f>IFERROR(__xludf.DUMMYFUNCTION("""COMPUTED_VALUE"""),"https://drive.google.com/uc?export=view&amp;id=1JVjRBSyCS61RMCCu8cRo_OUozBmoPII-")</f>
        <v/>
      </c>
      <c r="Z1322" s="1">
        <f>IFERROR(__xludf.DUMMYFUNCTION("""COMPUTED_VALUE"""),"Unverified")</f>
        <v/>
      </c>
      <c r="AA1322" s="1" t="n"/>
      <c r="AB1322" s="1" t="n"/>
      <c r="AC1322" s="1" t="n"/>
      <c r="AD1322" s="1" t="n"/>
      <c r="AE1322" s="1" t="n"/>
    </row>
    <row r="1323" ht="42" customHeight="1">
      <c r="A1323" s="14">
        <f>IFERROR(__xludf.DUMMYFUNCTION("""COMPUTED_VALUE"""),45181)</f>
        <v/>
      </c>
      <c r="B1323" s="1">
        <f>IFERROR(__xludf.DUMMYFUNCTION("""COMPUTED_VALUE"""),"ORG_2304")</f>
        <v/>
      </c>
      <c r="C1323" s="1">
        <f>IFERROR(__xludf.DUMMYFUNCTION("""COMPUTED_VALUE"""),TRUE)</f>
        <v/>
      </c>
      <c r="D1323" s="1">
        <f>IFERROR(__xludf.DUMMYFUNCTION("""COMPUTED_VALUE"""),"SPARTED")</f>
        <v/>
      </c>
      <c r="E1323" s="15">
        <f>IFERROR(__xludf.DUMMYFUNCTION("""COMPUTED_VALUE"""),"https://www.sparted.com/")</f>
        <v/>
      </c>
      <c r="F1323" s="1">
        <f>IFERROR(__xludf.DUMMYFUNCTION("""COMPUTED_VALUE"""),"SPARTED is THE French mobile learning solution designed to boost agility and performance of your teams. Our SaaS solution helps organisations reach and engage their employees with the right knowledge at the right time through a 3 minute-per-day game-based"&amp;" social experience.")</f>
        <v/>
      </c>
      <c r="G1323" s="1">
        <f>IFERROR(__xludf.DUMMYFUNCTION("""COMPUTED_VALUE"""),"I'm not part of any EdTech association")</f>
        <v/>
      </c>
      <c r="H1323" s="1" t="n"/>
      <c r="I1323" s="1">
        <f>IFERROR(__xludf.DUMMYFUNCTION("""COMPUTED_VALUE"""),"alexandra.lyraud@sparted.com")</f>
        <v/>
      </c>
      <c r="J1323" s="1" t="n"/>
      <c r="K1323" s="1">
        <f>IFERROR(__xludf.DUMMYFUNCTION("""COMPUTED_VALUE"""),"Paris")</f>
        <v/>
      </c>
      <c r="L1323" s="1">
        <f>IFERROR(__xludf.DUMMYFUNCTION("""COMPUTED_VALUE"""),"France")</f>
        <v/>
      </c>
      <c r="M1323" s="1">
        <f>IFERROR(__xludf.DUMMYFUNCTION("""COMPUTED_VALUE"""),"Belgium, Czechia, France, Germany, Hungary, Italy, Luxembourg, Netherlands, Norway, Poland, Portugal, Romania, Spain, Sweden, Switzerland, United Kingdom")</f>
        <v/>
      </c>
      <c r="N1323" s="1">
        <f>IFERROR(__xludf.DUMMYFUNCTION("""COMPUTED_VALUE"""),"11 to 50")</f>
        <v/>
      </c>
      <c r="O1323" s="1">
        <f>IFERROR(__xludf.DUMMYFUNCTION("""COMPUTED_VALUE"""),"Business to Business, Business to Government, Business to Schools")</f>
        <v/>
      </c>
      <c r="P1323" s="1">
        <f>IFERROR(__xludf.DUMMYFUNCTION("""COMPUTED_VALUE"""),"Corporate Training")</f>
        <v/>
      </c>
      <c r="Q1323" s="1">
        <f>IFERROR(__xludf.DUMMYFUNCTION("""COMPUTED_VALUE"""),"Student interfacing, System/Administrative")</f>
        <v/>
      </c>
      <c r="R1323" s="1" t="n"/>
      <c r="S1323" s="1" t="n"/>
      <c r="T1323" s="1" t="n"/>
      <c r="U1323" s="1" t="n"/>
      <c r="V1323" s="1" t="n"/>
      <c r="W1323" s="1" t="n"/>
      <c r="X1323" s="1" t="n"/>
      <c r="Y1323" s="15">
        <f>IFERROR(__xludf.DUMMYFUNCTION("""COMPUTED_VALUE"""),"https://drive.google.com/uc?export=view&amp;id=1OUPEQEnOoA0u_eX_5n8RNxiV2t-juSp8")</f>
        <v/>
      </c>
      <c r="Z1323" s="1">
        <f>IFERROR(__xludf.DUMMYFUNCTION("""COMPUTED_VALUE"""),"Unverified")</f>
        <v/>
      </c>
      <c r="AA1323" s="1" t="n"/>
      <c r="AB1323" s="1" t="n"/>
      <c r="AC1323" s="1" t="n"/>
      <c r="AD1323" s="1" t="n"/>
      <c r="AE1323" s="1" t="n"/>
    </row>
    <row r="1324" ht="42" customHeight="1">
      <c r="A1324" s="14">
        <f>IFERROR(__xludf.DUMMYFUNCTION("""COMPUTED_VALUE"""),45181)</f>
        <v/>
      </c>
      <c r="B1324" s="1">
        <f>IFERROR(__xludf.DUMMYFUNCTION("""COMPUTED_VALUE"""),"ORG_2356")</f>
        <v/>
      </c>
      <c r="C1324" s="1">
        <f>IFERROR(__xludf.DUMMYFUNCTION("""COMPUTED_VALUE"""),TRUE)</f>
        <v/>
      </c>
      <c r="D1324" s="1">
        <f>IFERROR(__xludf.DUMMYFUNCTION("""COMPUTED_VALUE"""),"Sylex")</f>
        <v/>
      </c>
      <c r="E1324" s="15">
        <f>IFERROR(__xludf.DUMMYFUNCTION("""COMPUTED_VALUE"""),"https://sylexapp.com")</f>
        <v/>
      </c>
      <c r="F1324" s="1">
        <f>IFERROR(__xludf.DUMMYFUNCTION("""COMPUTED_VALUE"""),"A safe, positive and gamified sex education platform for teens")</f>
        <v/>
      </c>
      <c r="G1324" s="1">
        <f>IFERROR(__xludf.DUMMYFUNCTION("""COMPUTED_VALUE"""),"EdTech France")</f>
        <v/>
      </c>
      <c r="H1324" s="1" t="n"/>
      <c r="I1324" s="1">
        <f>IFERROR(__xludf.DUMMYFUNCTION("""COMPUTED_VALUE"""),"hello@sylexapp.com")</f>
        <v/>
      </c>
      <c r="J1324" s="1" t="n"/>
      <c r="K1324" s="1">
        <f>IFERROR(__xludf.DUMMYFUNCTION("""COMPUTED_VALUE"""),"PARIS")</f>
        <v/>
      </c>
      <c r="L1324" s="1">
        <f>IFERROR(__xludf.DUMMYFUNCTION("""COMPUTED_VALUE"""),"France")</f>
        <v/>
      </c>
      <c r="M1324" s="1">
        <f>IFERROR(__xludf.DUMMYFUNCTION("""COMPUTED_VALUE"""),"Belgium, France, Luxembourg, Monaco")</f>
        <v/>
      </c>
      <c r="N1324" s="1">
        <f>IFERROR(__xludf.DUMMYFUNCTION("""COMPUTED_VALUE"""),"0 to 10")</f>
        <v/>
      </c>
      <c r="O1324" s="1">
        <f>IFERROR(__xludf.DUMMYFUNCTION("""COMPUTED_VALUE"""),"Business to Business, Business to Government, Business to Schools")</f>
        <v/>
      </c>
      <c r="P1324" s="1">
        <f>IFERROR(__xludf.DUMMYFUNCTION("""COMPUTED_VALUE"""),"Secondary Education")</f>
        <v/>
      </c>
      <c r="Q1324" s="1">
        <f>IFERROR(__xludf.DUMMYFUNCTION("""COMPUTED_VALUE"""),"System/Administrative, Student interfacing, Teacher interfacing")</f>
        <v/>
      </c>
      <c r="R1324" s="15">
        <f>IFERROR(__xludf.DUMMYFUNCTION("""COMPUTED_VALUE"""),"https://www.instagram.com/sylexapp/")</f>
        <v/>
      </c>
      <c r="S1324" s="15">
        <f>IFERROR(__xludf.DUMMYFUNCTION("""COMPUTED_VALUE"""),"https://twitter.com/sylexapp")</f>
        <v/>
      </c>
      <c r="T1324" s="15">
        <f>IFERROR(__xludf.DUMMYFUNCTION("""COMPUTED_VALUE"""),"https://www.linkedin.com/company/76330568")</f>
        <v/>
      </c>
      <c r="U1324" s="1">
        <f>IFERROR(__xludf.DUMMYFUNCTION("""COMPUTED_VALUE"""),"Sylex")</f>
        <v/>
      </c>
      <c r="V1324" s="1">
        <f>IFERROR(__xludf.DUMMYFUNCTION("""COMPUTED_VALUE"""),"Through short videos and games, teens find the answer to all the questions they don't dare to ask, and learn points according to their learnings.")</f>
        <v/>
      </c>
      <c r="W1324" s="1" t="n"/>
      <c r="X1324" s="1" t="n"/>
      <c r="Y1324" s="15">
        <f>IFERROR(__xludf.DUMMYFUNCTION("""COMPUTED_VALUE"""),"https://drive.google.com/uc?export=view&amp;id=1Uo900LSpwcy0Z-vbp6zejgdb6llCdtqJ")</f>
        <v/>
      </c>
      <c r="Z1324" s="1">
        <f>IFERROR(__xludf.DUMMYFUNCTION("""COMPUTED_VALUE"""),"Unverified")</f>
        <v/>
      </c>
      <c r="AA1324" s="1" t="n"/>
      <c r="AB1324" s="1" t="n"/>
      <c r="AC1324" s="1" t="n"/>
      <c r="AD1324" s="1" t="n"/>
      <c r="AE1324" s="1" t="n"/>
    </row>
    <row r="1325" ht="42" customHeight="1">
      <c r="A1325" s="14">
        <f>IFERROR(__xludf.DUMMYFUNCTION("""COMPUTED_VALUE"""),45181)</f>
        <v/>
      </c>
      <c r="B1325" s="1">
        <f>IFERROR(__xludf.DUMMYFUNCTION("""COMPUTED_VALUE"""),"ORG_2361")</f>
        <v/>
      </c>
      <c r="C1325" s="1">
        <f>IFERROR(__xludf.DUMMYFUNCTION("""COMPUTED_VALUE"""),TRUE)</f>
        <v/>
      </c>
      <c r="D1325" s="1">
        <f>IFERROR(__xludf.DUMMYFUNCTION("""COMPUTED_VALUE"""),"Syntagma Digital")</f>
        <v/>
      </c>
      <c r="E1325" s="15">
        <f>IFERROR(__xludf.DUMMYFUNCTION("""COMPUTED_VALUE"""),"http://syntagmadigital.com/")</f>
        <v/>
      </c>
      <c r="F1325" s="1">
        <f>IFERROR(__xludf.DUMMYFUNCTION("""COMPUTED_VALUE"""),"Helping K12 schools to innovate and digitize for the first time Humanities subjects in Spain and LATAM.
Our digital platform solve teacher's needs, help students to learn, and also is easily integrated at any educational platform: Moodle, Classroom, etc.")</f>
        <v/>
      </c>
      <c r="G1325" s="1">
        <f>IFERROR(__xludf.DUMMYFUNCTION("""COMPUTED_VALUE"""),"EduTech Cluster Spain")</f>
        <v/>
      </c>
      <c r="H1325" s="1" t="n"/>
      <c r="I1325" s="1">
        <f>IFERROR(__xludf.DUMMYFUNCTION("""COMPUTED_VALUE"""),"jordi@syntagmadigital.com")</f>
        <v/>
      </c>
      <c r="J1325" s="1" t="n"/>
      <c r="K1325" s="1">
        <f>IFERROR(__xludf.DUMMYFUNCTION("""COMPUTED_VALUE"""),"ALCOBENDAS")</f>
        <v/>
      </c>
      <c r="L1325" s="1">
        <f>IFERROR(__xludf.DUMMYFUNCTION("""COMPUTED_VALUE"""),"Spain")</f>
        <v/>
      </c>
      <c r="M1325" s="1">
        <f>IFERROR(__xludf.DUMMYFUNCTION("""COMPUTED_VALUE"""),"Spain")</f>
        <v/>
      </c>
      <c r="N1325" s="1">
        <f>IFERROR(__xludf.DUMMYFUNCTION("""COMPUTED_VALUE"""),"0 to 10")</f>
        <v/>
      </c>
      <c r="O1325" s="1">
        <f>IFERROR(__xludf.DUMMYFUNCTION("""COMPUTED_VALUE"""),"Business to Business, Business to Schools")</f>
        <v/>
      </c>
      <c r="P1325" s="1">
        <f>IFERROR(__xludf.DUMMYFUNCTION("""COMPUTED_VALUE"""),"Secondary Education")</f>
        <v/>
      </c>
      <c r="Q1325" s="1">
        <f>IFERROR(__xludf.DUMMYFUNCTION("""COMPUTED_VALUE"""),"System/Administrative, Student interfacing, Teacher interfacing")</f>
        <v/>
      </c>
      <c r="R1325" s="15">
        <f>IFERROR(__xludf.DUMMYFUNCTION("""COMPUTED_VALUE"""),"https://www.instagram.com/syntagma_analizador_sintactico/")</f>
        <v/>
      </c>
      <c r="S1325" s="15">
        <f>IFERROR(__xludf.DUMMYFUNCTION("""COMPUTED_VALUE"""),"https://twitter.com/SyntagmaD")</f>
        <v/>
      </c>
      <c r="T1325" s="15">
        <f>IFERROR(__xludf.DUMMYFUNCTION("""COMPUTED_VALUE"""),"https://www.linkedin.com/company/syntagmadigital")</f>
        <v/>
      </c>
      <c r="U1325" s="1">
        <f>IFERROR(__xludf.DUMMYFUNCTION("""COMPUTED_VALUE"""),"Syntagma Digital")</f>
        <v/>
      </c>
      <c r="V1325" s="1">
        <f>IFERROR(__xludf.DUMMYFUNCTION("""COMPUTED_VALUE"""),"Web platform for Spanish Language teachers to practice and create assessment for their students at K12 schools.
Automated assessment save teachers time, and digital content boost motivation of students to learn the subject.
Students can access through d"&amp;"ifferent devices: laptop, tablet and mobiles, and also it is easily integrated in other LMS platforms such as Moodle, Teams and Classroom.
Free use is available for teachers, with a freemium license for extra functionalities and unlimited usage.
For Pu"&amp;"blishers and public educative platforms, we develop an API to use our software to create content for Spanish subject and integrated at their own educative platforms.")</f>
        <v/>
      </c>
      <c r="W1325" s="1">
        <f>IFERROR(__xludf.DUMMYFUNCTION("""COMPUTED_VALUE"""),"Cursos Syntagma")</f>
        <v/>
      </c>
      <c r="X1325" s="1">
        <f>IFERROR(__xludf.DUMMYFUNCTION("""COMPUTED_VALUE"""),"Digital web course for students with all theory and automated assessment to pass Spanish subject exams at K12 schools in Spain and LATAM.
All content is available also for mobile devices. Students learn and practice whenever and wherever they want. 
Mon"&amp;"thly subscription is available for this courses.")</f>
        <v/>
      </c>
      <c r="Y1325" s="15">
        <f>IFERROR(__xludf.DUMMYFUNCTION("""COMPUTED_VALUE"""),"https://drive.google.com/uc?export=view&amp;id=1GIzpBDb_x7x10sHJ4_EL8XKZGi5BPHka")</f>
        <v/>
      </c>
      <c r="Z1325" s="1">
        <f>IFERROR(__xludf.DUMMYFUNCTION("""COMPUTED_VALUE"""),"Unverified")</f>
        <v/>
      </c>
      <c r="AA1325" s="1" t="n"/>
      <c r="AB1325" s="1" t="n"/>
      <c r="AC1325" s="1" t="n"/>
      <c r="AD1325" s="1" t="n"/>
      <c r="AE1325" s="1" t="n"/>
    </row>
    <row r="1326" ht="42" customHeight="1">
      <c r="A1326" s="14">
        <f>IFERROR(__xludf.DUMMYFUNCTION("""COMPUTED_VALUE"""),45181)</f>
        <v/>
      </c>
      <c r="B1326" s="1">
        <f>IFERROR(__xludf.DUMMYFUNCTION("""COMPUTED_VALUE"""),"ORG_2365")</f>
        <v/>
      </c>
      <c r="C1326" s="1">
        <f>IFERROR(__xludf.DUMMYFUNCTION("""COMPUTED_VALUE"""),TRUE)</f>
        <v/>
      </c>
      <c r="D1326" s="1">
        <f>IFERROR(__xludf.DUMMYFUNCTION("""COMPUTED_VALUE"""),"Takk")</f>
        <v/>
      </c>
      <c r="E1326" s="15">
        <f>IFERROR(__xludf.DUMMYFUNCTION("""COMPUTED_VALUE"""),"https://takk.app/")</f>
        <v/>
      </c>
      <c r="F1326" s="1">
        <f>IFERROR(__xludf.DUMMYFUNCTION("""COMPUTED_VALUE"""),"takk is an administrative management saas for training companies. takk makes it easy to plan training sessions and generate automatically all the administrative documentation via a certified electronic signature process. 
Save 1 hour per participant with "&amp;"takk, the software that automates the administratives tasks of your training organization. 
Be sure to pay the right price with our pay-as-you-go system.")</f>
        <v/>
      </c>
      <c r="G1326" s="1">
        <f>IFERROR(__xludf.DUMMYFUNCTION("""COMPUTED_VALUE"""),"I'm not part of any EdTech association")</f>
        <v/>
      </c>
      <c r="H1326" s="1" t="n"/>
      <c r="I1326" s="1">
        <f>IFERROR(__xludf.DUMMYFUNCTION("""COMPUTED_VALUE"""),"team@takk.app")</f>
        <v/>
      </c>
      <c r="J1326" s="1">
        <f>IFERROR(__xludf.DUMMYFUNCTION("""COMPUTED_VALUE"""),"664918214")</f>
        <v/>
      </c>
      <c r="K1326" s="1">
        <f>IFERROR(__xludf.DUMMYFUNCTION("""COMPUTED_VALUE"""),"Nogent-sur-Marne")</f>
        <v/>
      </c>
      <c r="L1326" s="1">
        <f>IFERROR(__xludf.DUMMYFUNCTION("""COMPUTED_VALUE"""),"France")</f>
        <v/>
      </c>
      <c r="M1326" s="1">
        <f>IFERROR(__xludf.DUMMYFUNCTION("""COMPUTED_VALUE"""),"France")</f>
        <v/>
      </c>
      <c r="N1326" s="1">
        <f>IFERROR(__xludf.DUMMYFUNCTION("""COMPUTED_VALUE"""),"0 to 10")</f>
        <v/>
      </c>
      <c r="O1326" s="1">
        <f>IFERROR(__xludf.DUMMYFUNCTION("""COMPUTED_VALUE"""),"Business to Business, Business to Schools")</f>
        <v/>
      </c>
      <c r="P1326" s="1">
        <f>IFERROR(__xludf.DUMMYFUNCTION("""COMPUTED_VALUE"""),"Higher Education, Corporate Training, Lifelong learning/Adult education")</f>
        <v/>
      </c>
      <c r="Q1326" s="1">
        <f>IFERROR(__xludf.DUMMYFUNCTION("""COMPUTED_VALUE"""),"Teacher interfacing, System/Administrative")</f>
        <v/>
      </c>
      <c r="R1326" s="1" t="n"/>
      <c r="S1326" s="1" t="n"/>
      <c r="T1326" s="1" t="n"/>
      <c r="U1326" s="1" t="n"/>
      <c r="V1326" s="1" t="n"/>
      <c r="W1326" s="1" t="n"/>
      <c r="X1326" s="1" t="n"/>
      <c r="Y1326" s="15">
        <f>IFERROR(__xludf.DUMMYFUNCTION("""COMPUTED_VALUE"""),"https://drive.google.com/uc?export=view&amp;id=15CsNMUfypfn7y2BlBmahS1h7EhY_wi13")</f>
        <v/>
      </c>
      <c r="Z1326" s="1">
        <f>IFERROR(__xludf.DUMMYFUNCTION("""COMPUTED_VALUE"""),"Unverified")</f>
        <v/>
      </c>
      <c r="AA1326" s="1" t="n"/>
      <c r="AB1326" s="1" t="n"/>
      <c r="AC1326" s="1" t="n"/>
      <c r="AD1326" s="1" t="n"/>
      <c r="AE1326" s="1" t="n"/>
    </row>
    <row r="1327" ht="42" customHeight="1">
      <c r="A1327" s="14">
        <f>IFERROR(__xludf.DUMMYFUNCTION("""COMPUTED_VALUE"""),45181)</f>
        <v/>
      </c>
      <c r="B1327" s="1">
        <f>IFERROR(__xludf.DUMMYFUNCTION("""COMPUTED_VALUE"""),"ORG_2366")</f>
        <v/>
      </c>
      <c r="C1327" s="1">
        <f>IFERROR(__xludf.DUMMYFUNCTION("""COMPUTED_VALUE"""),TRUE)</f>
        <v/>
      </c>
      <c r="D1327" s="1">
        <f>IFERROR(__xludf.DUMMYFUNCTION("""COMPUTED_VALUE"""),"tal&amp;dev")</f>
        <v/>
      </c>
      <c r="E1327" s="15">
        <f>IFERROR(__xludf.DUMMYFUNCTION("""COMPUTED_VALUE"""),"https://www.talanddev.com")</f>
        <v/>
      </c>
      <c r="F1327" s="1">
        <f>IFERROR(__xludf.DUMMYFUNCTION("""COMPUTED_VALUE"""),"We provide career insights to young graduates and working professionals as well as tools for self assessment and career direction. Our engaged network of senior executives, university professors and business leaders around the world further contributes to"&amp;" our educational blogs.")</f>
        <v/>
      </c>
      <c r="G1327" s="1">
        <f>IFERROR(__xludf.DUMMYFUNCTION("""COMPUTED_VALUE"""),"I'm not part of any EdTech association")</f>
        <v/>
      </c>
      <c r="H1327" s="1" t="n"/>
      <c r="I1327" s="1">
        <f>IFERROR(__xludf.DUMMYFUNCTION("""COMPUTED_VALUE"""),"info@talanddev.com")</f>
        <v/>
      </c>
      <c r="J1327" s="1" t="n"/>
      <c r="K1327" s="1">
        <f>IFERROR(__xludf.DUMMYFUNCTION("""COMPUTED_VALUE"""),"Milano")</f>
        <v/>
      </c>
      <c r="L1327" s="1">
        <f>IFERROR(__xludf.DUMMYFUNCTION("""COMPUTED_VALUE"""),"Italy")</f>
        <v/>
      </c>
      <c r="M1327" s="1">
        <f>IFERROR(__xludf.DUMMYFUNCTION("""COMPUTED_VALUE"""),"Austria, Belgium, Denmark, France, Germany, Italy, Poland, Portugal, United Kingdom")</f>
        <v/>
      </c>
      <c r="N1327" s="1">
        <f>IFERROR(__xludf.DUMMYFUNCTION("""COMPUTED_VALUE"""),"0 to 10")</f>
        <v/>
      </c>
      <c r="O1327" s="1">
        <f>IFERROR(__xludf.DUMMYFUNCTION("""COMPUTED_VALUE"""),"Business to Business, Business to Schools")</f>
        <v/>
      </c>
      <c r="P1327" s="1">
        <f>IFERROR(__xludf.DUMMYFUNCTION("""COMPUTED_VALUE"""),"Corporate Training")</f>
        <v/>
      </c>
      <c r="Q1327" s="1">
        <f>IFERROR(__xludf.DUMMYFUNCTION("""COMPUTED_VALUE"""),"System/Administrative, Student interfacing")</f>
        <v/>
      </c>
      <c r="R1327" s="1" t="n"/>
      <c r="S1327" s="1" t="n"/>
      <c r="T1327" s="1" t="n"/>
      <c r="U1327" s="1" t="n"/>
      <c r="V1327" s="1" t="n"/>
      <c r="W1327" s="1" t="n"/>
      <c r="X1327" s="1" t="n"/>
      <c r="Y1327" s="15">
        <f>IFERROR(__xludf.DUMMYFUNCTION("""COMPUTED_VALUE"""),"https://drive.google.com/uc?export=view&amp;id=1uTk_qyJPZMFsWiW-vLD_vg1Kptk13cOo")</f>
        <v/>
      </c>
      <c r="Z1327" s="1">
        <f>IFERROR(__xludf.DUMMYFUNCTION("""COMPUTED_VALUE"""),"Unverified")</f>
        <v/>
      </c>
      <c r="AA1327" s="1" t="n"/>
      <c r="AB1327" s="1" t="n"/>
      <c r="AC1327" s="1" t="n"/>
      <c r="AD1327" s="1" t="n"/>
      <c r="AE1327" s="1" t="n"/>
    </row>
    <row r="1328" ht="42" customHeight="1">
      <c r="A1328" s="14">
        <f>IFERROR(__xludf.DUMMYFUNCTION("""COMPUTED_VALUE"""),45181)</f>
        <v/>
      </c>
      <c r="B1328" s="1">
        <f>IFERROR(__xludf.DUMMYFUNCTION("""COMPUTED_VALUE"""),"ORG_2378")</f>
        <v/>
      </c>
      <c r="C1328" s="1">
        <f>IFERROR(__xludf.DUMMYFUNCTION("""COMPUTED_VALUE"""),TRUE)</f>
        <v/>
      </c>
      <c r="D1328" s="1">
        <f>IFERROR(__xludf.DUMMYFUNCTION("""COMPUTED_VALUE"""),"Tech Kids Academy")</f>
        <v/>
      </c>
      <c r="E1328" s="15">
        <f>IFERROR(__xludf.DUMMYFUNCTION("""COMPUTED_VALUE"""),"techkidsacademy.com")</f>
        <v/>
      </c>
      <c r="F1328" s="1">
        <f>IFERROR(__xludf.DUMMYFUNCTION("""COMPUTED_VALUE"""),"Tech Kids Academy, created in 2014, is a digital academy for kids age 5 to 17 years old. It's an after-school program where children learn coding (Scratch, Python, C#), robotics (Lego, Ozobot, JD), electronics (LittleBits, MicroBit, Arduino) and design (P"&amp;"iskel, 3DSlash, Blender), either on a weekly basis or during the holidays. 
Tech Kids Academy is located in France and has 3 academies: Paris 15th, St-Germain-En-Laye and Levallois. Our weekly workshops are organized by group of age and level (beginner, "&amp;"intermediate and confirmed), and are available in French and English. 
We also offer online courses and virtual classes with iTech Campus. 🚀 
Register online for our free trial sessions, weekly workshops or holiday camps! 
Come and reveal your talents"&amp;"! 🤩")</f>
        <v/>
      </c>
      <c r="G1328" s="1">
        <f>IFERROR(__xludf.DUMMYFUNCTION("""COMPUTED_VALUE"""),"EdTech France")</f>
        <v/>
      </c>
      <c r="H1328" s="1" t="n"/>
      <c r="I1328" s="1">
        <f>IFERROR(__xludf.DUMMYFUNCTION("""COMPUTED_VALUE"""),"contact@techkidsacademy.com")</f>
        <v/>
      </c>
      <c r="J1328" s="1">
        <f>IFERROR(__xludf.DUMMYFUNCTION("""COMPUTED_VALUE"""),"+33 1 88 47 70 65")</f>
        <v/>
      </c>
      <c r="K1328" s="1">
        <f>IFERROR(__xludf.DUMMYFUNCTION("""COMPUTED_VALUE"""),"PARIS")</f>
        <v/>
      </c>
      <c r="L1328" s="1">
        <f>IFERROR(__xludf.DUMMYFUNCTION("""COMPUTED_VALUE"""),"France")</f>
        <v/>
      </c>
      <c r="M1328" s="1">
        <f>IFERROR(__xludf.DUMMYFUNCTION("""COMPUTED_VALUE"""),"France")</f>
        <v/>
      </c>
      <c r="N1328" s="1">
        <f>IFERROR(__xludf.DUMMYFUNCTION("""COMPUTED_VALUE"""),"0 to 10")</f>
        <v/>
      </c>
      <c r="O1328" s="1">
        <f>IFERROR(__xludf.DUMMYFUNCTION("""COMPUTED_VALUE"""),"Business to Business, Business to Schools")</f>
        <v/>
      </c>
      <c r="P1328" s="1">
        <f>IFERROR(__xludf.DUMMYFUNCTION("""COMPUTED_VALUE"""),"Primary Education, Secondary Education, Higher Education")</f>
        <v/>
      </c>
      <c r="Q1328" s="1">
        <f>IFERROR(__xludf.DUMMYFUNCTION("""COMPUTED_VALUE"""),"System/Administrative, Student interfacing, Teacher interfacing")</f>
        <v/>
      </c>
      <c r="R1328" s="15">
        <f>IFERROR(__xludf.DUMMYFUNCTION("""COMPUTED_VALUE"""),"https://www.instagram.com/techkidsacademy/")</f>
        <v/>
      </c>
      <c r="S1328" s="15">
        <f>IFERROR(__xludf.DUMMYFUNCTION("""COMPUTED_VALUE"""),"https://twitter.com/techkidsacademy")</f>
        <v/>
      </c>
      <c r="T1328" s="15">
        <f>IFERROR(__xludf.DUMMYFUNCTION("""COMPUTED_VALUE"""),"https://www.linkedin.com/company/45964857/")</f>
        <v/>
      </c>
      <c r="U1328" s="1">
        <f>IFERROR(__xludf.DUMMYFUNCTION("""COMPUTED_VALUE"""),"Weekly workshops")</f>
        <v/>
      </c>
      <c r="V1328" s="1">
        <f>IFERROR(__xludf.DUMMYFUNCTION("""COMPUTED_VALUE"""),"Weekly workshops for kids &amp; teens (5-17 yo):
- 27 workshops of 1h30 during school year
- One workshop per week (on Tuesday, Wednesday, Thursday or Saturday)
- Learning coding, robotics, electronics and design
- By age group (7-9 yo, 10-14 yo, 13-17 yo)
-"&amp;" By level (beginner, intermediate, confirmed)
- In French or in English
- In Paris 15th, St-Germain-En-Laye or Levallois-Perret (France)")</f>
        <v/>
      </c>
      <c r="W1328" s="1">
        <f>IFERROR(__xludf.DUMMYFUNCTION("""COMPUTED_VALUE"""),"Holiday camps")</f>
        <v/>
      </c>
      <c r="X1328" s="1">
        <f>IFERROR(__xludf.DUMMYFUNCTION("""COMPUTED_VALUE"""),"Holiday camps for kids &amp; teens (7-17 yo):
- Learning coding (Scratch, Python, C#), robotics (Lego, Ozobot, JD) and design (Piskel, Blender, 3DSlash)
- By age group (7-10 yo, 11-14 yo, 14-17 yo)
- In French or in English
- In Paris 15th, St-Germain-En-Lay"&amp;"e or Levallois-Perret (France)")</f>
        <v/>
      </c>
      <c r="Y1328" s="15">
        <f>IFERROR(__xludf.DUMMYFUNCTION("""COMPUTED_VALUE"""),"https://drive.google.com/uc?export=view&amp;id=1Te0XaUR4-3wgcmPhqlAwtClFPBJ2cNMn")</f>
        <v/>
      </c>
      <c r="Z1328" s="1">
        <f>IFERROR(__xludf.DUMMYFUNCTION("""COMPUTED_VALUE"""),"Unverified")</f>
        <v/>
      </c>
      <c r="AA1328" s="1" t="n"/>
      <c r="AB1328" s="1" t="n"/>
      <c r="AC1328" s="1" t="n"/>
      <c r="AD1328" s="1" t="n"/>
      <c r="AE1328" s="1" t="n"/>
    </row>
    <row r="1329" ht="42" customHeight="1">
      <c r="A1329" s="14">
        <f>IFERROR(__xludf.DUMMYFUNCTION("""COMPUTED_VALUE"""),45181)</f>
        <v/>
      </c>
      <c r="B1329" s="1">
        <f>IFERROR(__xludf.DUMMYFUNCTION("""COMPUTED_VALUE"""),"ORG_2390")</f>
        <v/>
      </c>
      <c r="C1329" s="1">
        <f>IFERROR(__xludf.DUMMYFUNCTION("""COMPUTED_VALUE"""),TRUE)</f>
        <v/>
      </c>
      <c r="D1329" s="1">
        <f>IFERROR(__xludf.DUMMYFUNCTION("""COMPUTED_VALUE"""),"TestWe")</f>
        <v/>
      </c>
      <c r="E1329" s="15">
        <f>IFERROR(__xludf.DUMMYFUNCTION("""COMPUTED_VALUE"""),"https://testwe.eu/en/")</f>
        <v/>
      </c>
      <c r="F1329" s="1">
        <f>IFERROR(__xludf.DUMMYFUNCTION("""COMPUTED_VALUE"""),"TestWe offers an online exam platform for both in-class and remote exam sessions. Administer very easily your sessions from your interface or from TestWe's platform with or without invigilation, the choice is in your hands.")</f>
        <v/>
      </c>
      <c r="G1329" s="1">
        <f>IFERROR(__xludf.DUMMYFUNCTION("""COMPUTED_VALUE"""),"AFINEF, EdTech France")</f>
        <v/>
      </c>
      <c r="H1329" s="1">
        <f>IFERROR(__xludf.DUMMYFUNCTION("""COMPUTED_VALUE"""),"French, English, Spanish, Portuguese, Italian, Dutch")</f>
        <v/>
      </c>
      <c r="I1329" s="1">
        <f>IFERROR(__xludf.DUMMYFUNCTION("""COMPUTED_VALUE"""),"clement.regnier@testwe.eu")</f>
        <v/>
      </c>
      <c r="J1329" s="1">
        <f>IFERROR(__xludf.DUMMYFUNCTION("""COMPUTED_VALUE"""),"+33 1 76 41 14 88")</f>
        <v/>
      </c>
      <c r="K1329" s="1">
        <f>IFERROR(__xludf.DUMMYFUNCTION("""COMPUTED_VALUE"""),"Paris")</f>
        <v/>
      </c>
      <c r="L1329" s="1">
        <f>IFERROR(__xludf.DUMMYFUNCTION("""COMPUTED_VALUE"""),"France")</f>
        <v/>
      </c>
      <c r="M1329" s="1">
        <f>IFERROR(__xludf.DUMMYFUNCTION("""COMPUTED_VALUE"""),"Belgium, France, Germany, Italy, Luxembourg, Monaco, Netherlands, Portugal, Spain, Switzerland")</f>
        <v/>
      </c>
      <c r="N1329" s="1">
        <f>IFERROR(__xludf.DUMMYFUNCTION("""COMPUTED_VALUE"""),"11 to 50")</f>
        <v/>
      </c>
      <c r="O1329" s="1">
        <f>IFERROR(__xludf.DUMMYFUNCTION("""COMPUTED_VALUE"""),"Business to Business, Business to Schools")</f>
        <v/>
      </c>
      <c r="P1329" s="1">
        <f>IFERROR(__xludf.DUMMYFUNCTION("""COMPUTED_VALUE"""),"Secondary Education, Corporate Training, Lifelong learning/Adult education, Vocational Education and Training (VET), Higher Education")</f>
        <v/>
      </c>
      <c r="Q1329" s="1">
        <f>IFERROR(__xludf.DUMMYFUNCTION("""COMPUTED_VALUE"""),"Teacher interfacing, System/Administrative")</f>
        <v/>
      </c>
      <c r="R1329" s="15">
        <f>IFERROR(__xludf.DUMMYFUNCTION("""COMPUTED_VALUE"""),"https://www.instagram.com/testwe_eu/")</f>
        <v/>
      </c>
      <c r="S1329" s="15">
        <f>IFERROR(__xludf.DUMMYFUNCTION("""COMPUTED_VALUE"""),"https://twitter.com/testwe_eu")</f>
        <v/>
      </c>
      <c r="T1329" s="15">
        <f>IFERROR(__xludf.DUMMYFUNCTION("""COMPUTED_VALUE"""),"https://www.linkedin.com/company/testwe")</f>
        <v/>
      </c>
      <c r="U1329" s="1">
        <f>IFERROR(__xludf.DUMMYFUNCTION("""COMPUTED_VALUE"""),"TestWe")</f>
        <v/>
      </c>
      <c r="V1329" s="1">
        <f>IFERROR(__xludf.DUMMYFUNCTION("""COMPUTED_VALUE"""),"TestWe is a powerful exam builder platform to create, manage, grade and share exams whatever the type of questions (mcq, ucq, true/false, open ended, close ended, drop down, ...) and whatever the type of attached documents (pdf, img, mp3, gif, ...).
Read"&amp;"y to use and easy to use.")</f>
        <v/>
      </c>
      <c r="W1329" s="1">
        <f>IFERROR(__xludf.DUMMYFUNCTION("""COMPUTED_VALUE"""),"ProctorWe")</f>
        <v/>
      </c>
      <c r="X1329" s="1">
        <f>IFERROR(__xludf.DUMMYFUNCTION("""COMPUTED_VALUE"""),"ProctorWe is remote invigilation solution for both live and recorded sessions. It brings flexibility, integrity and security to online tests.")</f>
        <v/>
      </c>
      <c r="Y1329" s="15">
        <f>IFERROR(__xludf.DUMMYFUNCTION("""COMPUTED_VALUE"""),"https://drive.google.com/uc?export=view&amp;id=1iEVw_HadK7sPYKIj1otl8chfgGpbuiFV")</f>
        <v/>
      </c>
      <c r="Z1329" s="1">
        <f>IFERROR(__xludf.DUMMYFUNCTION("""COMPUTED_VALUE"""),"Unverified")</f>
        <v/>
      </c>
      <c r="AA1329" s="1" t="n"/>
      <c r="AB1329" s="1" t="n"/>
      <c r="AC1329" s="1" t="n"/>
      <c r="AD1329" s="1" t="n"/>
      <c r="AE1329" s="1" t="n"/>
    </row>
    <row r="1330" ht="42" customHeight="1">
      <c r="A1330" s="14">
        <f>IFERROR(__xludf.DUMMYFUNCTION("""COMPUTED_VALUE"""),45181)</f>
        <v/>
      </c>
      <c r="B1330" s="1">
        <f>IFERROR(__xludf.DUMMYFUNCTION("""COMPUTED_VALUE"""),"ORG_2401")</f>
        <v/>
      </c>
      <c r="C1330" s="1">
        <f>IFERROR(__xludf.DUMMYFUNCTION("""COMPUTED_VALUE"""),TRUE)</f>
        <v/>
      </c>
      <c r="D1330" s="1">
        <f>IFERROR(__xludf.DUMMYFUNCTION("""COMPUTED_VALUE"""),"THE PHOTO ACADEMY")</f>
        <v/>
      </c>
      <c r="E1330" s="15">
        <f>IFERROR(__xludf.DUMMYFUNCTION("""COMPUTED_VALUE"""),"www.thephotoacademy.com")</f>
        <v/>
      </c>
      <c r="F1330" s="1">
        <f>IFERROR(__xludf.DUMMYFUNCTION("""COMPUTED_VALUE"""),"THE PHOTO ACADEMY is the international leader in photography training, represented in 17 countries by more than 200 instructors. It is also the distributor of the first international certification in photography, offering a blockchain seal to identify the"&amp;" graduates of its learning paths.")</f>
        <v/>
      </c>
      <c r="G1330" s="1">
        <f>IFERROR(__xludf.DUMMYFUNCTION("""COMPUTED_VALUE"""),"I'm not part of any EdTech association")</f>
        <v/>
      </c>
      <c r="H1330" s="1" t="n"/>
      <c r="I1330" s="1">
        <f>IFERROR(__xludf.DUMMYFUNCTION("""COMPUTED_VALUE"""),"contact@thephotoacademy.com")</f>
        <v/>
      </c>
      <c r="J1330" s="1">
        <f>IFERROR(__xludf.DUMMYFUNCTION("""COMPUTED_VALUE"""),"+33 1 82 88 77 77")</f>
        <v/>
      </c>
      <c r="K1330" s="1">
        <f>IFERROR(__xludf.DUMMYFUNCTION("""COMPUTED_VALUE"""),"Bruxelles")</f>
        <v/>
      </c>
      <c r="L1330" s="1">
        <f>IFERROR(__xludf.DUMMYFUNCTION("""COMPUTED_VALUE"""),"Belgium")</f>
        <v/>
      </c>
      <c r="M1330" s="1">
        <f>IFERROR(__xludf.DUMMYFUNCTION("""COMPUTED_VALUE"""),"Austria, Belgium, France, Germany, Ireland, Italy, Luxembourg, Netherlands, Switzerland, United Kingdom")</f>
        <v/>
      </c>
      <c r="N1330" s="1">
        <f>IFERROR(__xludf.DUMMYFUNCTION("""COMPUTED_VALUE"""),"0 to 10")</f>
        <v/>
      </c>
      <c r="O1330" s="1">
        <f>IFERROR(__xludf.DUMMYFUNCTION("""COMPUTED_VALUE"""),"Business to Consumer")</f>
        <v/>
      </c>
      <c r="P1330" s="1">
        <f>IFERROR(__xludf.DUMMYFUNCTION("""COMPUTED_VALUE"""),"Higher Education")</f>
        <v/>
      </c>
      <c r="Q1330" s="1">
        <f>IFERROR(__xludf.DUMMYFUNCTION("""COMPUTED_VALUE"""),"System/Administrative, Student interfacing")</f>
        <v/>
      </c>
      <c r="R1330" s="1" t="n"/>
      <c r="S1330" s="1" t="n"/>
      <c r="T1330" s="1" t="n"/>
      <c r="U1330" s="1" t="n"/>
      <c r="V1330" s="1" t="n"/>
      <c r="W1330" s="1" t="n"/>
      <c r="X1330" s="1" t="n"/>
      <c r="Y1330" s="15">
        <f>IFERROR(__xludf.DUMMYFUNCTION("""COMPUTED_VALUE"""),"https://drive.google.com/uc?export=view&amp;id=1a9Gs_i2bv-KsdeNnDQsb4Lm0yWvDVIF3")</f>
        <v/>
      </c>
      <c r="Z1330" s="1">
        <f>IFERROR(__xludf.DUMMYFUNCTION("""COMPUTED_VALUE"""),"Unverified")</f>
        <v/>
      </c>
      <c r="AA1330" s="1" t="n"/>
      <c r="AB1330" s="1" t="n"/>
      <c r="AC1330" s="1" t="n"/>
      <c r="AD1330" s="1" t="n"/>
      <c r="AE1330" s="1" t="n"/>
    </row>
    <row r="1331" ht="42" customHeight="1">
      <c r="A1331" s="14">
        <f>IFERROR(__xludf.DUMMYFUNCTION("""COMPUTED_VALUE"""),45181)</f>
        <v/>
      </c>
      <c r="B1331" s="1">
        <f>IFERROR(__xludf.DUMMYFUNCTION("""COMPUTED_VALUE"""),"ORG_2417")</f>
        <v/>
      </c>
      <c r="C1331" s="1">
        <f>IFERROR(__xludf.DUMMYFUNCTION("""COMPUTED_VALUE"""),TRUE)</f>
        <v/>
      </c>
      <c r="D1331" s="15">
        <f>IFERROR(__xludf.DUMMYFUNCTION("""COMPUTED_VALUE"""),"toddl.co")</f>
        <v/>
      </c>
      <c r="E1331" s="15">
        <f>IFERROR(__xludf.DUMMYFUNCTION("""COMPUTED_VALUE"""),"www.toddl.co")</f>
        <v/>
      </c>
      <c r="F1331" s="1">
        <f>IFERROR(__xludf.DUMMYFUNCTION("""COMPUTED_VALUE"""),"toddl.co is on a mission to digitise the kids' education sector. We do this through a suite of powerful technology solutions tailor-made for providers of kids' activities.
Today, toddl.co is the leading marketplace for kids' classes and camps in Barcelon"&amp;"a and beyond, with a catalog of 2000+ activities and more than 18,000 parents using the marketplace to find new enrichment opportunities for their children.
In Summer 2022, we'll launch a new all-in-one, cloud-based SaaS tool to help education providers "&amp;"streamline their day-to-day operations. The software will be fully integrated with the toddl.co marketplace, giving educators an easy way to reach new customers and freeing up time to focus on what matters most: the kids!")</f>
        <v/>
      </c>
      <c r="G1331" s="1">
        <f>IFERROR(__xludf.DUMMYFUNCTION("""COMPUTED_VALUE"""),"EduTech Cluster Spain")</f>
        <v/>
      </c>
      <c r="H1331" s="1" t="n"/>
      <c r="I1331" s="1">
        <f>IFERROR(__xludf.DUMMYFUNCTION("""COMPUTED_VALUE"""),"info@toddl.co")</f>
        <v/>
      </c>
      <c r="J1331" s="1">
        <f>IFERROR(__xludf.DUMMYFUNCTION("""COMPUTED_VALUE"""),"+34649881437")</f>
        <v/>
      </c>
      <c r="K1331" s="1">
        <f>IFERROR(__xludf.DUMMYFUNCTION("""COMPUTED_VALUE"""),"BARCELONA")</f>
        <v/>
      </c>
      <c r="L1331" s="1">
        <f>IFERROR(__xludf.DUMMYFUNCTION("""COMPUTED_VALUE"""),"Spain")</f>
        <v/>
      </c>
      <c r="M1331" s="1">
        <f>IFERROR(__xludf.DUMMYFUNCTION("""COMPUTED_VALUE"""),"Spain")</f>
        <v/>
      </c>
      <c r="N1331" s="1">
        <f>IFERROR(__xludf.DUMMYFUNCTION("""COMPUTED_VALUE"""),"0 to 10")</f>
        <v/>
      </c>
      <c r="O1331" s="1">
        <f>IFERROR(__xludf.DUMMYFUNCTION("""COMPUTED_VALUE"""),"Business to Consumer, Business to Government, Business to Schools")</f>
        <v/>
      </c>
      <c r="P1331" s="1">
        <f>IFERROR(__xludf.DUMMYFUNCTION("""COMPUTED_VALUE"""),"Early childhood development (0-5 years), Primary Education, Secondary Education")</f>
        <v/>
      </c>
      <c r="Q1331" s="1">
        <f>IFERROR(__xludf.DUMMYFUNCTION("""COMPUTED_VALUE"""),"System/Administrative")</f>
        <v/>
      </c>
      <c r="R1331" s="1" t="n"/>
      <c r="S1331" s="1" t="n"/>
      <c r="T1331" s="1" t="n"/>
      <c r="U1331" s="1" t="n"/>
      <c r="V1331" s="1" t="n"/>
      <c r="W1331" s="1" t="n"/>
      <c r="X1331" s="1" t="n"/>
      <c r="Y1331" s="1" t="n"/>
      <c r="Z1331" s="1">
        <f>IFERROR(__xludf.DUMMYFUNCTION("""COMPUTED_VALUE"""),"Unverified")</f>
        <v/>
      </c>
      <c r="AA1331" s="1" t="n"/>
      <c r="AB1331" s="1" t="n"/>
      <c r="AC1331" s="1" t="n"/>
      <c r="AD1331" s="1" t="n"/>
      <c r="AE1331" s="1" t="n"/>
    </row>
    <row r="1332" ht="42" customHeight="1">
      <c r="A1332" s="14">
        <f>IFERROR(__xludf.DUMMYFUNCTION("""COMPUTED_VALUE"""),45181)</f>
        <v/>
      </c>
      <c r="B1332" s="1">
        <f>IFERROR(__xludf.DUMMYFUNCTION("""COMPUTED_VALUE"""),"ORG_2424")</f>
        <v/>
      </c>
      <c r="C1332" s="1">
        <f>IFERROR(__xludf.DUMMYFUNCTION("""COMPUTED_VALUE"""),TRUE)</f>
        <v/>
      </c>
      <c r="D1332" s="1">
        <f>IFERROR(__xludf.DUMMYFUNCTION("""COMPUTED_VALUE"""),"Tosa Certifications")</f>
        <v/>
      </c>
      <c r="E1332" s="15">
        <f>IFERROR(__xludf.DUMMYFUNCTION("""COMPUTED_VALUE"""),"https://www.tosa.org/EN/index")</f>
        <v/>
      </c>
      <c r="F1332" s="1">
        <f>IFERROR(__xludf.DUMMYFUNCTION("""COMPUTED_VALUE"""),"Providing meaningful outcomes for students is important. Isograd’s Tosa certifications are the standard in higher education for validating students’ digital skills. Schools and Universities can offer certifications for Google Workspace, Microsoft Office, "&amp;"digital literacy, cyber responsibility, Python, Adobe Creative Cloud and more. 
Tosa’s industry approved certifications for digital skills can be used as part of Teacher's roadmap to innovate and transform their courses.")</f>
        <v/>
      </c>
      <c r="G1332" s="1">
        <f>IFERROR(__xludf.DUMMYFUNCTION("""COMPUTED_VALUE"""),"AFINEF, EdTech France")</f>
        <v/>
      </c>
      <c r="H1332" s="1" t="n"/>
      <c r="I1332" s="1">
        <f>IFERROR(__xludf.DUMMYFUNCTION("""COMPUTED_VALUE"""),"contact@isograd.com")</f>
        <v/>
      </c>
      <c r="J1332" s="1">
        <f>IFERROR(__xludf.DUMMYFUNCTION("""COMPUTED_VALUE"""),"+33 (0)1 42 66 28 88")</f>
        <v/>
      </c>
      <c r="K1332" s="1">
        <f>IFERROR(__xludf.DUMMYFUNCTION("""COMPUTED_VALUE"""),"Paris")</f>
        <v/>
      </c>
      <c r="L1332" s="1">
        <f>IFERROR(__xludf.DUMMYFUNCTION("""COMPUTED_VALUE"""),"France")</f>
        <v/>
      </c>
      <c r="M1332" s="1">
        <f>IFERROR(__xludf.DUMMYFUNCTION("""COMPUTED_VALUE"""),"Belgium, France, Germany, Ireland, Italy, Luxembourg, Monaco, Netherlands, Spain, Switzerland, United Kingdom")</f>
        <v/>
      </c>
      <c r="N1332" s="1">
        <f>IFERROR(__xludf.DUMMYFUNCTION("""COMPUTED_VALUE"""),"11 to 50")</f>
        <v/>
      </c>
      <c r="O1332" s="1">
        <f>IFERROR(__xludf.DUMMYFUNCTION("""COMPUTED_VALUE"""),"Business to Consumer, Business to Government, Business to Schools")</f>
        <v/>
      </c>
      <c r="P1332" s="1">
        <f>IFERROR(__xludf.DUMMYFUNCTION("""COMPUTED_VALUE"""),"Higher Education, Corporate Training, Lifelong learning/Adult education")</f>
        <v/>
      </c>
      <c r="Q1332" s="1">
        <f>IFERROR(__xludf.DUMMYFUNCTION("""COMPUTED_VALUE"""),"Student interfacing, Teacher interfacing, System/Administrative")</f>
        <v/>
      </c>
      <c r="R1332" s="1" t="n"/>
      <c r="S1332" s="1" t="n"/>
      <c r="T1332" s="15">
        <f>IFERROR(__xludf.DUMMYFUNCTION("""COMPUTED_VALUE"""),"https://www.linkedin.com/company/tosacertifications/")</f>
        <v/>
      </c>
      <c r="U1332" s="1">
        <f>IFERROR(__xludf.DUMMYFUNCTION("""COMPUTED_VALUE"""),"Tosa Desktop")</f>
        <v/>
      </c>
      <c r="V1332" s="1">
        <f>IFERROR(__xludf.DUMMYFUNCTION("""COMPUTED_VALUE"""),"Tosa Desktop offers assessment and certification tests on in-demand office automation skills.")</f>
        <v/>
      </c>
      <c r="W1332" s="1">
        <f>IFERROR(__xludf.DUMMYFUNCTION("""COMPUTED_VALUE"""),"Tosa Digital")</f>
        <v/>
      </c>
      <c r="X1332" s="1">
        <f>IFERROR(__xludf.DUMMYFUNCTION("""COMPUTED_VALUE"""),"Our Tosa Digital offering assess and certify digital literacy (DigComp) or end-user cyber responsibility skills.")</f>
        <v/>
      </c>
      <c r="Y1332" s="15">
        <f>IFERROR(__xludf.DUMMYFUNCTION("""COMPUTED_VALUE"""),"https://drive.google.com/uc?export=view&amp;id=16TJ0KiiE1Fu1-OeWrfghjROa8pbt_KKG")</f>
        <v/>
      </c>
      <c r="Z1332" s="1">
        <f>IFERROR(__xludf.DUMMYFUNCTION("""COMPUTED_VALUE"""),"Unverified")</f>
        <v/>
      </c>
      <c r="AA1332" s="1" t="n"/>
      <c r="AB1332" s="1" t="n"/>
      <c r="AC1332" s="1" t="n"/>
      <c r="AD1332" s="1" t="n"/>
      <c r="AE1332" s="1" t="n"/>
    </row>
    <row r="1333" ht="42" customHeight="1">
      <c r="A1333" s="14">
        <f>IFERROR(__xludf.DUMMYFUNCTION("""COMPUTED_VALUE"""),45181)</f>
        <v/>
      </c>
      <c r="B1333" s="1">
        <f>IFERROR(__xludf.DUMMYFUNCTION("""COMPUTED_VALUE"""),"ORG_2469")</f>
        <v/>
      </c>
      <c r="C1333" s="1">
        <f>IFERROR(__xludf.DUMMYFUNCTION("""COMPUTED_VALUE"""),TRUE)</f>
        <v/>
      </c>
      <c r="D1333" s="1">
        <f>IFERROR(__xludf.DUMMYFUNCTION("""COMPUTED_VALUE"""),"Unly")</f>
        <v/>
      </c>
      <c r="E1333" s="15">
        <f>IFERROR(__xludf.DUMMYFUNCTION("""COMPUTED_VALUE"""),"https://unly.org/")</f>
        <v/>
      </c>
      <c r="F1333" s="1">
        <f>IFERROR(__xludf.DUMMYFUNCTION("""COMPUTED_VALUE"""),"Unly is a socially responsible company, fighting inequality and facilitating access to higher education. Unly is committed to making education more inclusive, through responsible funding for students.
Unly is powering Propulseo, a program led by an assoc"&amp;"iation, whose goal is to identify and help students with high potential.
👉 https://propulseo.unly.org/
👉 https://femmes-dans-la-tech.propulseo.unly.org/
We also provide technological solutions to help students find the necessary funding for their studi"&amp;"es.
👉 https://solidarity.unly.org/
We proudly participate in many TechForGood initiatives and regularly engage as part of open-source software initiatives.
👉 https://github.com/UnlyEd/")</f>
        <v/>
      </c>
      <c r="G1333" s="1">
        <f>IFERROR(__xludf.DUMMYFUNCTION("""COMPUTED_VALUE"""),"EdTech France")</f>
        <v/>
      </c>
      <c r="H1333" s="1" t="n"/>
      <c r="I1333" s="1">
        <f>IFERROR(__xludf.DUMMYFUNCTION("""COMPUTED_VALUE"""),"contact@unly.org")</f>
        <v/>
      </c>
      <c r="J1333" s="1" t="n"/>
      <c r="K1333" s="1">
        <f>IFERROR(__xludf.DUMMYFUNCTION("""COMPUTED_VALUE"""),"LYON")</f>
        <v/>
      </c>
      <c r="L1333" s="1">
        <f>IFERROR(__xludf.DUMMYFUNCTION("""COMPUTED_VALUE"""),"France")</f>
        <v/>
      </c>
      <c r="M1333" s="1">
        <f>IFERROR(__xludf.DUMMYFUNCTION("""COMPUTED_VALUE"""),"France")</f>
        <v/>
      </c>
      <c r="N1333" s="1">
        <f>IFERROR(__xludf.DUMMYFUNCTION("""COMPUTED_VALUE"""),"0 to 10")</f>
        <v/>
      </c>
      <c r="O1333" s="1">
        <f>IFERROR(__xludf.DUMMYFUNCTION("""COMPUTED_VALUE"""),"Business to Consumer, Business to Government, Business to Schools")</f>
        <v/>
      </c>
      <c r="P1333" s="1">
        <f>IFERROR(__xludf.DUMMYFUNCTION("""COMPUTED_VALUE"""),"Higher Education")</f>
        <v/>
      </c>
      <c r="Q1333" s="1">
        <f>IFERROR(__xludf.DUMMYFUNCTION("""COMPUTED_VALUE"""),"System/Administrative, Student interfacing")</f>
        <v/>
      </c>
      <c r="R1333" s="15">
        <f>IFERROR(__xludf.DUMMYFUNCTION("""COMPUTED_VALUE"""),"https://www.instagram.com/propulseo/")</f>
        <v/>
      </c>
      <c r="S1333" s="15">
        <f>IFERROR(__xludf.DUMMYFUNCTION("""COMPUTED_VALUE"""),"https://twitter.com/unlyed")</f>
        <v/>
      </c>
      <c r="T1333" s="15">
        <f>IFERROR(__xludf.DUMMYFUNCTION("""COMPUTED_VALUE"""),"https://www.linkedin.com/company/unly/")</f>
        <v/>
      </c>
      <c r="U1333" s="1">
        <f>IFERROR(__xludf.DUMMYFUNCTION("""COMPUTED_VALUE"""),"Propulseo")</f>
        <v/>
      </c>
      <c r="V1333" s="1">
        <f>IFERROR(__xludf.DUMMYFUNCTION("""COMPUTED_VALUE"""),"Propulseo supports higher education students and acts to prevent financial difficulties, school dropout out and unequal access to education.
Propulseo identifies talented students and provides them with a scholarship and one-year mentorship program. Thes"&amp;"e resources are provided by partner companies, committed to supporting equal opportunities for all students. 
In 2021, Propulseo raised 100 000 € and supported 30 students.
👉 https://propulseo.unly.org/")</f>
        <v/>
      </c>
      <c r="W1333" s="1">
        <f>IFERROR(__xludf.DUMMYFUNCTION("""COMPUTED_VALUE"""),"The Funding Place")</f>
        <v/>
      </c>
      <c r="X1333" s="1">
        <f>IFERROR(__xludf.DUMMYFUNCTION("""COMPUTED_VALUE"""),"TFP is a white labeled platform where students, parents and prospects can find all financing solutions that apply for their personal situation.
For schools, TFP helps convert prospects into enrolled students by providing an early answer to the finance-re"&amp;"lated questions.
It also helps to save time, by providing a web-accessible way for students to find solutions by themselves, without bothering your staff.
It also provides with advices and a loan calculator.
This product is mainly used by higher educati"&amp;"on institutions. A few examples:
- https://financial-advisor.grenoble-em.com/en
- https://financer-mes-etudes.em-normandie.com/en")</f>
        <v/>
      </c>
      <c r="Y1333" s="15">
        <f>IFERROR(__xludf.DUMMYFUNCTION("""COMPUTED_VALUE"""),"https://drive.google.com/uc?export=view&amp;id=1xliyHvm-rirbaW4SkkXooG2ouNpBrCl0")</f>
        <v/>
      </c>
      <c r="Z1333" s="1">
        <f>IFERROR(__xludf.DUMMYFUNCTION("""COMPUTED_VALUE"""),"Unverified")</f>
        <v/>
      </c>
      <c r="AA1333" s="1" t="n"/>
      <c r="AB1333" s="1" t="n"/>
      <c r="AC1333" s="1" t="n"/>
      <c r="AD1333" s="1" t="n"/>
      <c r="AE1333" s="1" t="n"/>
    </row>
    <row r="1334" ht="42" customHeight="1">
      <c r="A1334" s="14">
        <f>IFERROR(__xludf.DUMMYFUNCTION("""COMPUTED_VALUE"""),45181)</f>
        <v/>
      </c>
      <c r="B1334" s="1">
        <f>IFERROR(__xludf.DUMMYFUNCTION("""COMPUTED_VALUE"""),"ORG_2474")</f>
        <v/>
      </c>
      <c r="C1334" s="1">
        <f>IFERROR(__xludf.DUMMYFUNCTION("""COMPUTED_VALUE"""),TRUE)</f>
        <v/>
      </c>
      <c r="D1334" s="1">
        <f>IFERROR(__xludf.DUMMYFUNCTION("""COMPUTED_VALUE"""),"Upskyld")</f>
        <v/>
      </c>
      <c r="E1334" s="15">
        <f>IFERROR(__xludf.DUMMYFUNCTION("""COMPUTED_VALUE"""),"upskyld.com")</f>
        <v/>
      </c>
      <c r="F1334" s="1">
        <f>IFERROR(__xludf.DUMMYFUNCTION("""COMPUTED_VALUE"""),"According to Forbes over 70% of employees are concerned that they might lose their job to AI … due to a lack of knowledge.
Keeping up to date, to understand and leverage fast moving topics is a losing battle for employees’ time and attention. 
Without co"&amp;"nstant upskilling, make no mistake, a company's competitive edge will fade into oblivion as the market races with unstoppable force.
Upskyld unlocks the potential of podcasts, using AI to provide a personalized learning experience to lead in highly compe"&amp;"titive markets.
We provide accurate reporting, effective tracking of learning progress, essential to maintain and enhance professionals’ skill sets. Our mission is to help to foster a culture of continuous learning, to keep teams sharp and prepared to co"&amp;"mprehend, grow and lead in an ever-evolving world.")</f>
        <v/>
      </c>
      <c r="G1334" s="1">
        <f>IFERROR(__xludf.DUMMYFUNCTION("""COMPUTED_VALUE"""),"EdTech Austria, EdTech France, SuperCharger Ventures, Swiss EdTech Collider, LearnTech Hub")</f>
        <v/>
      </c>
      <c r="H1334" s="1">
        <f>IFERROR(__xludf.DUMMYFUNCTION("""COMPUTED_VALUE"""),"English, French, German")</f>
        <v/>
      </c>
      <c r="I1334" s="1">
        <f>IFERROR(__xludf.DUMMYFUNCTION("""COMPUTED_VALUE"""),"marie@upskyld.com")</f>
        <v/>
      </c>
      <c r="J1334" s="1">
        <f>IFERROR(__xludf.DUMMYFUNCTION("""COMPUTED_VALUE"""),"+33 6 23 49 47 19")</f>
        <v/>
      </c>
      <c r="K1334" s="1">
        <f>IFERROR(__xludf.DUMMYFUNCTION("""COMPUTED_VALUE"""),"Paris")</f>
        <v/>
      </c>
      <c r="L1334" s="1">
        <f>IFERROR(__xludf.DUMMYFUNCTION("""COMPUTED_VALUE"""),"France")</f>
        <v/>
      </c>
      <c r="M1334" s="1">
        <f>IFERROR(__xludf.DUMMYFUNCTION("""COMPUTED_VALUE"""),"Austria, Belgium, Denmark, Finland, France, Germany, Greece, Hungary, Ireland, Italy, Netherlands, Norway, Poland, Portugal, Romania, Spain, Switzerland, United Kingdom")</f>
        <v/>
      </c>
      <c r="N1334" s="1">
        <f>IFERROR(__xludf.DUMMYFUNCTION("""COMPUTED_VALUE"""),"0 to 2")</f>
        <v/>
      </c>
      <c r="O1334" s="1">
        <f>IFERROR(__xludf.DUMMYFUNCTION("""COMPUTED_VALUE"""),"Business to Consumer, Business to Schools")</f>
        <v/>
      </c>
      <c r="P1334" s="1">
        <f>IFERROR(__xludf.DUMMYFUNCTION("""COMPUTED_VALUE"""),"Corporate Training, Lifelong learning/Adult education")</f>
        <v/>
      </c>
      <c r="Q1334" s="1">
        <f>IFERROR(__xludf.DUMMYFUNCTION("""COMPUTED_VALUE"""),"System/Administrative, Student interfacing")</f>
        <v/>
      </c>
      <c r="R1334" s="1" t="n"/>
      <c r="S1334" s="1" t="n"/>
      <c r="T1334" s="15">
        <f>IFERROR(__xludf.DUMMYFUNCTION("""COMPUTED_VALUE"""),"https://www.linkedin.com/company/84367156/")</f>
        <v/>
      </c>
      <c r="U1334" s="1">
        <f>IFERROR(__xludf.DUMMYFUNCTION("""COMPUTED_VALUE"""),"Upskyld")</f>
        <v/>
      </c>
      <c r="V1334" s="1">
        <f>IFERROR(__xludf.DUMMYFUNCTION("""COMPUTED_VALUE"""),"Learning faster &amp; better thanks to personalised podcast content in a learning experience.
Upskyld is an app with AI-based recommendation engine involving criteria like skills, languages, time and goals, automated generated assessment tests, and structure"&amp;"d content to reuse.
Competitive advantage? Podcast Episodes curation based on educational criteria, recommendation/selection instead of a catalogue, assessment, gamification and structured notes.")</f>
        <v/>
      </c>
      <c r="W1334" s="1" t="n"/>
      <c r="X1334" s="1" t="n"/>
      <c r="Y1334" s="15">
        <f>IFERROR(__xludf.DUMMYFUNCTION("""COMPUTED_VALUE"""),"https://drive.google.com/uc?export=view&amp;id=1Xzopr91dmMwctfgSfU4v-O8hqe2GTrjr")</f>
        <v/>
      </c>
      <c r="Z1334" s="1">
        <f>IFERROR(__xludf.DUMMYFUNCTION("""COMPUTED_VALUE"""),"Unverified")</f>
        <v/>
      </c>
      <c r="AA1334" s="1" t="n"/>
      <c r="AB1334" s="1" t="n"/>
      <c r="AC1334" s="1" t="n"/>
      <c r="AD1334" s="1" t="n"/>
      <c r="AE1334" s="1" t="n"/>
    </row>
    <row r="1335" ht="42" customHeight="1">
      <c r="A1335" s="14">
        <f>IFERROR(__xludf.DUMMYFUNCTION("""COMPUTED_VALUE"""),45181)</f>
        <v/>
      </c>
      <c r="B1335" s="1">
        <f>IFERROR(__xludf.DUMMYFUNCTION("""COMPUTED_VALUE"""),"ORG_2483")</f>
        <v/>
      </c>
      <c r="C1335" s="1">
        <f>IFERROR(__xludf.DUMMYFUNCTION("""COMPUTED_VALUE"""),TRUE)</f>
        <v/>
      </c>
      <c r="D1335" s="1">
        <f>IFERROR(__xludf.DUMMYFUNCTION("""COMPUTED_VALUE"""),"VBuddies™")</f>
        <v/>
      </c>
      <c r="E1335" s="15">
        <f>IFERROR(__xludf.DUMMYFUNCTION("""COMPUTED_VALUE"""),"https://www.vbuddies.world/")</f>
        <v/>
      </c>
      <c r="F1335" s="1">
        <f>IFERROR(__xludf.DUMMYFUNCTION("""COMPUTED_VALUE"""),"Connecting Locally, Communicating Globally!
VBuddies™ is social metaverse platform connecting young people to exchange native languages, local culture and knowledge.
VBuddies™ is powered by UK based Metaverse Tech Ltd.")</f>
        <v/>
      </c>
      <c r="G1335" s="1">
        <f>IFERROR(__xludf.DUMMYFUNCTION("""COMPUTED_VALUE"""),"I'm not part of any EdTech association")</f>
        <v/>
      </c>
      <c r="H1335" s="1" t="n"/>
      <c r="I1335" s="1">
        <f>IFERROR(__xludf.DUMMYFUNCTION("""COMPUTED_VALUE"""),"Hello@VBuddies.World")</f>
        <v/>
      </c>
      <c r="J1335" s="1">
        <f>IFERROR(__xludf.DUMMYFUNCTION("""COMPUTED_VALUE"""),"+44 7764283678")</f>
        <v/>
      </c>
      <c r="K1335" s="1">
        <f>IFERROR(__xludf.DUMMYFUNCTION("""COMPUTED_VALUE"""),"BISHOPS STORTFORD")</f>
        <v/>
      </c>
      <c r="L1335" s="1">
        <f>IFERROR(__xludf.DUMMYFUNCTION("""COMPUTED_VALUE"""),"United Kingdom")</f>
        <v/>
      </c>
      <c r="M1335" s="1">
        <f>IFERROR(__xludf.DUMMYFUNCTION("""COMPUTED_VALUE"""),"United Kingdom")</f>
        <v/>
      </c>
      <c r="N1335" s="1">
        <f>IFERROR(__xludf.DUMMYFUNCTION("""COMPUTED_VALUE"""),"0 to 10")</f>
        <v/>
      </c>
      <c r="O1335" s="1">
        <f>IFERROR(__xludf.DUMMYFUNCTION("""COMPUTED_VALUE"""),"Business to Consumer, Business to Schools")</f>
        <v/>
      </c>
      <c r="P1335" s="1">
        <f>IFERROR(__xludf.DUMMYFUNCTION("""COMPUTED_VALUE"""),"Secondary Education, Higher Education")</f>
        <v/>
      </c>
      <c r="Q1335" s="1">
        <f>IFERROR(__xludf.DUMMYFUNCTION("""COMPUTED_VALUE"""),"System/Administrative, Student interfacing, Teacher interfacing")</f>
        <v/>
      </c>
      <c r="R1335" s="1" t="n"/>
      <c r="S1335" s="1" t="n"/>
      <c r="T1335" s="1" t="n"/>
      <c r="U1335" s="1" t="n"/>
      <c r="V1335" s="1" t="n"/>
      <c r="W1335" s="1" t="n"/>
      <c r="X1335" s="1" t="n"/>
      <c r="Y1335" s="15">
        <f>IFERROR(__xludf.DUMMYFUNCTION("""COMPUTED_VALUE"""),"https://drive.google.com/uc?export=view&amp;id=10i9jLilfNja6oiGYWjSn4mxhYbB7_55O")</f>
        <v/>
      </c>
      <c r="Z1335" s="1">
        <f>IFERROR(__xludf.DUMMYFUNCTION("""COMPUTED_VALUE"""),"Unverified")</f>
        <v/>
      </c>
      <c r="AA1335" s="1" t="n"/>
      <c r="AB1335" s="1" t="n"/>
      <c r="AC1335" s="1" t="n"/>
      <c r="AD1335" s="1" t="n"/>
      <c r="AE1335" s="1" t="n"/>
    </row>
    <row r="1336" ht="42" customHeight="1">
      <c r="A1336" s="14">
        <f>IFERROR(__xludf.DUMMYFUNCTION("""COMPUTED_VALUE"""),45181)</f>
        <v/>
      </c>
      <c r="B1336" s="1">
        <f>IFERROR(__xludf.DUMMYFUNCTION("""COMPUTED_VALUE"""),"ORG_2485")</f>
        <v/>
      </c>
      <c r="C1336" s="1">
        <f>IFERROR(__xludf.DUMMYFUNCTION("""COMPUTED_VALUE"""),TRUE)</f>
        <v/>
      </c>
      <c r="D1336" s="1">
        <f>IFERROR(__xludf.DUMMYFUNCTION("""COMPUTED_VALUE"""),"VerifyEd")</f>
        <v/>
      </c>
      <c r="E1336" s="15">
        <f>IFERROR(__xludf.DUMMYFUNCTION("""COMPUTED_VALUE"""),"VerifyEd.io")</f>
        <v/>
      </c>
      <c r="F1336" s="1">
        <f>IFERROR(__xludf.DUMMYFUNCTION("""COMPUTED_VALUE"""),"VerifyEd uses blockchain to issue digital certificates across education. From degrees and CPD to short courses and practical skills, VerifyEd is revolutionising the way credentials are issued, stacked and shared for Universities like Middlesex, Winchester"&amp;" and the LIS as well as for professional bodies like the Law Society of Ireland.
Issuing via blockchain means certificates are cheaper than printed alternatives, whilst being fully automated, carbon-neutral and immutable, helping providers make cost and "&amp;"time savings, achieve sustainability targets, and maintain reputation by protecting against certificate fraud.
Our digital certificates and credentials are also far better at surfacing skills a learner has gained through their learning lives and achieved"&amp;" through many different learning experiences. They are also instantly verified for free, a step change from the current cost of £12 per UK degree verification. Learners can share collections of their credentials online with employers, recruiters and other"&amp;" networks, opening up global employment opportunities as remote working continues to accelerate.")</f>
        <v/>
      </c>
      <c r="G1336" s="1">
        <f>IFERROR(__xludf.DUMMYFUNCTION("""COMPUTED_VALUE"""),"I'm not part of any EdTech association")</f>
        <v/>
      </c>
      <c r="H1336" s="1" t="n"/>
      <c r="I1336" s="1">
        <f>IFERROR(__xludf.DUMMYFUNCTION("""COMPUTED_VALUE"""),"yaz@verifyed.io")</f>
        <v/>
      </c>
      <c r="J1336" s="1">
        <f>IFERROR(__xludf.DUMMYFUNCTION("""COMPUTED_VALUE"""),"7595170358")</f>
        <v/>
      </c>
      <c r="K1336" s="1">
        <f>IFERROR(__xludf.DUMMYFUNCTION("""COMPUTED_VALUE"""),"Lymington")</f>
        <v/>
      </c>
      <c r="L1336" s="1">
        <f>IFERROR(__xludf.DUMMYFUNCTION("""COMPUTED_VALUE"""),"United Kingdom")</f>
        <v/>
      </c>
      <c r="M1336" s="1">
        <f>IFERROR(__xludf.DUMMYFUNCTION("""COMPUTED_VALUE"""),"United Kingdom")</f>
        <v/>
      </c>
      <c r="N1336" s="1">
        <f>IFERROR(__xludf.DUMMYFUNCTION("""COMPUTED_VALUE"""),"0 to 10")</f>
        <v/>
      </c>
      <c r="O1336" s="1">
        <f>IFERROR(__xludf.DUMMYFUNCTION("""COMPUTED_VALUE"""),"Business to Consumer, Business to Schools")</f>
        <v/>
      </c>
      <c r="P1336" s="1">
        <f>IFERROR(__xludf.DUMMYFUNCTION("""COMPUTED_VALUE"""),"Higher Education, Corporate Training, Lifelong learning/Adult education")</f>
        <v/>
      </c>
      <c r="Q1336" s="1">
        <f>IFERROR(__xludf.DUMMYFUNCTION("""COMPUTED_VALUE"""),"System/Administrative")</f>
        <v/>
      </c>
      <c r="R1336" s="1" t="n"/>
      <c r="S1336" s="1" t="n"/>
      <c r="T1336" s="1" t="n"/>
      <c r="U1336" s="1" t="n"/>
      <c r="V1336" s="1" t="n"/>
      <c r="W1336" s="1" t="n"/>
      <c r="X1336" s="1" t="n"/>
      <c r="Y1336" s="15">
        <f>IFERROR(__xludf.DUMMYFUNCTION("""COMPUTED_VALUE"""),"https://drive.google.com/uc?export=view&amp;id=1pHCmazhqzvaA7TrkPFo6jXqqaA7vX16C")</f>
        <v/>
      </c>
      <c r="Z1336" s="1">
        <f>IFERROR(__xludf.DUMMYFUNCTION("""COMPUTED_VALUE"""),"Unverified")</f>
        <v/>
      </c>
      <c r="AA1336" s="1" t="n"/>
      <c r="AB1336" s="1" t="n"/>
      <c r="AC1336" s="1" t="n"/>
      <c r="AD1336" s="1" t="n"/>
      <c r="AE1336" s="1" t="n"/>
    </row>
    <row r="1337" ht="42" customHeight="1">
      <c r="A1337" s="14">
        <f>IFERROR(__xludf.DUMMYFUNCTION("""COMPUTED_VALUE"""),45181)</f>
        <v/>
      </c>
      <c r="B1337" s="1">
        <f>IFERROR(__xludf.DUMMYFUNCTION("""COMPUTED_VALUE"""),"ORG_2521")</f>
        <v/>
      </c>
      <c r="C1337" s="1">
        <f>IFERROR(__xludf.DUMMYFUNCTION("""COMPUTED_VALUE"""),TRUE)</f>
        <v/>
      </c>
      <c r="D1337" s="1">
        <f>IFERROR(__xludf.DUMMYFUNCTION("""COMPUTED_VALUE"""),"Weeki")</f>
        <v/>
      </c>
      <c r="E1337" s="15">
        <f>IFERROR(__xludf.DUMMYFUNCTION("""COMPUTED_VALUE"""),"weeki.io")</f>
        <v/>
      </c>
      <c r="F1337" s="1">
        <f>IFERROR(__xludf.DUMMYFUNCTION("""COMPUTED_VALUE"""),"Online scientific collaborative whiteboard.")</f>
        <v/>
      </c>
      <c r="G1337" s="1">
        <f>IFERROR(__xludf.DUMMYFUNCTION("""COMPUTED_VALUE"""),"I'm not part of any EdTech association")</f>
        <v/>
      </c>
      <c r="H1337" s="1" t="n"/>
      <c r="I1337" s="1">
        <f>IFERROR(__xludf.DUMMYFUNCTION("""COMPUTED_VALUE"""),"baptiste@weeki.io")</f>
        <v/>
      </c>
      <c r="J1337" s="1">
        <f>IFERROR(__xludf.DUMMYFUNCTION("""COMPUTED_VALUE"""),"+33783572454")</f>
        <v/>
      </c>
      <c r="K1337" s="1">
        <f>IFERROR(__xludf.DUMMYFUNCTION("""COMPUTED_VALUE"""),"avenue Leon Jouhaux")</f>
        <v/>
      </c>
      <c r="L1337" s="1">
        <f>IFERROR(__xludf.DUMMYFUNCTION("""COMPUTED_VALUE"""),"France")</f>
        <v/>
      </c>
      <c r="M1337"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United Kingdom")</f>
        <v/>
      </c>
      <c r="N1337" s="1">
        <f>IFERROR(__xludf.DUMMYFUNCTION("""COMPUTED_VALUE"""),"0 to 10")</f>
        <v/>
      </c>
      <c r="O1337" s="1">
        <f>IFERROR(__xludf.DUMMYFUNCTION("""COMPUTED_VALUE"""),"Business to Government, Business to Schools")</f>
        <v/>
      </c>
      <c r="P1337" s="1">
        <f>IFERROR(__xludf.DUMMYFUNCTION("""COMPUTED_VALUE"""),"Higher Education, Corporate Training")</f>
        <v/>
      </c>
      <c r="Q1337" s="1">
        <f>IFERROR(__xludf.DUMMYFUNCTION("""COMPUTED_VALUE"""),"Student interfacing, Teacher interfacing")</f>
        <v/>
      </c>
      <c r="R1337" s="1" t="n"/>
      <c r="S1337" s="1" t="n"/>
      <c r="T1337" s="1" t="n"/>
      <c r="U1337" s="1">
        <f>IFERROR(__xludf.DUMMYFUNCTION("""COMPUTED_VALUE"""),"Weeki")</f>
        <v/>
      </c>
      <c r="V1337" s="1">
        <f>IFERROR(__xludf.DUMMYFUNCTION("""COMPUTED_VALUE"""),"Unlimited scientific online collaborative whiteboard.")</f>
        <v/>
      </c>
      <c r="W1337" s="1" t="n"/>
      <c r="X1337" s="1" t="n"/>
      <c r="Y1337" s="15">
        <f>IFERROR(__xludf.DUMMYFUNCTION("""COMPUTED_VALUE"""),"https://drive.google.com/uc?export=view&amp;id=1WyeJb8cH6GRodx1C35_AgaVsCU2aTXOu")</f>
        <v/>
      </c>
      <c r="Z1337" s="1">
        <f>IFERROR(__xludf.DUMMYFUNCTION("""COMPUTED_VALUE"""),"Unverified")</f>
        <v/>
      </c>
      <c r="AA1337" s="1" t="n"/>
      <c r="AB1337" s="1" t="n"/>
      <c r="AC1337" s="1" t="n"/>
      <c r="AD1337" s="1" t="n"/>
      <c r="AE1337" s="1" t="n"/>
    </row>
    <row r="1338" ht="42" customHeight="1">
      <c r="A1338" s="14">
        <f>IFERROR(__xludf.DUMMYFUNCTION("""COMPUTED_VALUE"""),45181)</f>
        <v/>
      </c>
      <c r="B1338" s="1">
        <f>IFERROR(__xludf.DUMMYFUNCTION("""COMPUTED_VALUE"""),"ORG_2524")</f>
        <v/>
      </c>
      <c r="C1338" s="1">
        <f>IFERROR(__xludf.DUMMYFUNCTION("""COMPUTED_VALUE"""),TRUE)</f>
        <v/>
      </c>
      <c r="D1338" s="1">
        <f>IFERROR(__xludf.DUMMYFUNCTION("""COMPUTED_VALUE"""),"WeSchool")</f>
        <v/>
      </c>
      <c r="E1338" s="15">
        <f>IFERROR(__xludf.DUMMYFUNCTION("""COMPUTED_VALUE"""),"https://www.weschool.com/en")</f>
        <v/>
      </c>
      <c r="F1338" s="1">
        <f>IFERROR(__xludf.DUMMYFUNCTION("""COMPUTED_VALUE"""),"At WeSchool, we’re on a mission to ensure learning never stops by empowering educators and students with a more inclusive, collaborative, and engaging way of learning.")</f>
        <v/>
      </c>
      <c r="G1338" s="1">
        <f>IFERROR(__xludf.DUMMYFUNCTION("""COMPUTED_VALUE"""),"I'm not part of any EdTech association")</f>
        <v/>
      </c>
      <c r="H1338" s="1" t="n"/>
      <c r="I1338" s="1">
        <f>IFERROR(__xludf.DUMMYFUNCTION("""COMPUTED_VALUE"""),"superpowers@weschool.com")</f>
        <v/>
      </c>
      <c r="J1338" s="1" t="n"/>
      <c r="K1338" s="1">
        <f>IFERROR(__xludf.DUMMYFUNCTION("""COMPUTED_VALUE"""),"MILAN")</f>
        <v/>
      </c>
      <c r="L1338" s="1">
        <f>IFERROR(__xludf.DUMMYFUNCTION("""COMPUTED_VALUE"""),"Italy")</f>
        <v/>
      </c>
      <c r="M1338" s="1">
        <f>IFERROR(__xludf.DUMMYFUNCTION("""COMPUTED_VALUE"""),"Albania, Italy")</f>
        <v/>
      </c>
      <c r="N1338" s="1">
        <f>IFERROR(__xludf.DUMMYFUNCTION("""COMPUTED_VALUE"""),"11 to 50")</f>
        <v/>
      </c>
      <c r="O1338" s="1">
        <f>IFERROR(__xludf.DUMMYFUNCTION("""COMPUTED_VALUE"""),"Business to Schools")</f>
        <v/>
      </c>
      <c r="P1338" s="1">
        <f>IFERROR(__xludf.DUMMYFUNCTION("""COMPUTED_VALUE"""),"Primary Education, Secondary Education, Higher Education, Corporate Training, Lifelong learning/Adult education")</f>
        <v/>
      </c>
      <c r="Q1338" s="1">
        <f>IFERROR(__xludf.DUMMYFUNCTION("""COMPUTED_VALUE"""),"Student interfacing, Teacher interfacing, System/Administrative")</f>
        <v/>
      </c>
      <c r="R1338" s="15">
        <f>IFERROR(__xludf.DUMMYFUNCTION("""COMPUTED_VALUE"""),"https://www.instagram.com/weschool_it/")</f>
        <v/>
      </c>
      <c r="S1338" s="15">
        <f>IFERROR(__xludf.DUMMYFUNCTION("""COMPUTED_VALUE"""),"https://twitter.com/_weschool")</f>
        <v/>
      </c>
      <c r="T1338" s="15">
        <f>IFERROR(__xludf.DUMMYFUNCTION("""COMPUTED_VALUE"""),"https://www.linkedin.com/company/weschool")</f>
        <v/>
      </c>
      <c r="U1338" s="1">
        <f>IFERROR(__xludf.DUMMYFUNCTION("""COMPUTED_VALUE"""),"The Platform")</f>
        <v/>
      </c>
      <c r="V1338" s="1">
        <f>IFERROR(__xludf.DUMMYFUNCTION("""COMPUTED_VALUE"""),"The WeSchool platform helps teachers and trainers find a flexible and safe space where students have the confidence to collaborate, exchange opinions, foster and test their creativity and skills.
With our tools, educators can put contemporary learning met"&amp;"hodologies into practise – such as the flipped classroom or challenge-based learning – and build the best learning path for their students’ growth. Asynchronous assignments paired with synchronous sessions for single students or project groups help engage"&amp;" beyond time and space, creating a truly blended education system.")</f>
        <v/>
      </c>
      <c r="W1338" s="1" t="n"/>
      <c r="X1338" s="1" t="n"/>
      <c r="Y1338" s="1" t="n"/>
      <c r="Z1338" s="1">
        <f>IFERROR(__xludf.DUMMYFUNCTION("""COMPUTED_VALUE"""),"Unverified")</f>
        <v/>
      </c>
      <c r="AA1338" s="1" t="n"/>
      <c r="AB1338" s="1" t="n"/>
      <c r="AC1338" s="1" t="n"/>
      <c r="AD1338" s="1" t="n"/>
      <c r="AE1338" s="1" t="n"/>
    </row>
    <row r="1339" ht="42" customHeight="1">
      <c r="A1339" s="14">
        <f>IFERROR(__xludf.DUMMYFUNCTION("""COMPUTED_VALUE"""),45181)</f>
        <v/>
      </c>
      <c r="B1339" s="1">
        <f>IFERROR(__xludf.DUMMYFUNCTION("""COMPUTED_VALUE"""),"ORG_2525")</f>
        <v/>
      </c>
      <c r="C1339" s="1">
        <f>IFERROR(__xludf.DUMMYFUNCTION("""COMPUTED_VALUE"""),TRUE)</f>
        <v/>
      </c>
      <c r="D1339" s="1">
        <f>IFERROR(__xludf.DUMMYFUNCTION("""COMPUTED_VALUE"""),"Whaller")</f>
        <v/>
      </c>
      <c r="E1339" s="15">
        <f>IFERROR(__xludf.DUMMYFUNCTION("""COMPUTED_VALUE"""),"https://whaller.com")</f>
        <v/>
      </c>
      <c r="F1339" s="1">
        <f>IFERROR(__xludf.DUMMYFUNCTION("""COMPUTED_VALUE"""),"Whaller is a scalable and fully customizable solution that gives companies, schools, government agencies, associations and individuals everything they need to build their own secure social and collaborative networks. 
Networks are built with ""spheres"". "&amp;"Each sphere is a sealed, independent space, where its members can communicate and collaborate in complete security. Spheres are fully customizable and include a variety of collaboration tools such as messages, chat, video conferencing, document storage wi"&amp;"th simultaneous co-editing,...
Create a complete digital campus that centralises exchanges, tools and resources for your entire ecosystem: students, faculty, parents, administration and alumni.
- Share public and private messages with network members;
- "&amp;"Store and collaborate on documents thanks to an integrated file box and office suite (Whaller 365);
- Organize meetings and webinars with a variety of video conferencing solutions;
- Assign tasks and follow their progress on a Kanban board;
- Create event"&amp;"s and display them in a team calendar;
- Conduct surveys to gather feedback;
- Track network activity with analytics.")</f>
        <v/>
      </c>
      <c r="G1339" s="1">
        <f>IFERROR(__xludf.DUMMYFUNCTION("""COMPUTED_VALUE"""),"EdTech France")</f>
        <v/>
      </c>
      <c r="H1339" s="1" t="n"/>
      <c r="I1339" s="1">
        <f>IFERROR(__xludf.DUMMYFUNCTION("""COMPUTED_VALUE"""),"contact@whaller.com")</f>
        <v/>
      </c>
      <c r="J1339" s="1">
        <f>IFERROR(__xludf.DUMMYFUNCTION("""COMPUTED_VALUE"""),"+33 1 47 92 82 18")</f>
        <v/>
      </c>
      <c r="K1339" s="1">
        <f>IFERROR(__xludf.DUMMYFUNCTION("""COMPUTED_VALUE"""),"SURESNES")</f>
        <v/>
      </c>
      <c r="L1339" s="1">
        <f>IFERROR(__xludf.DUMMYFUNCTION("""COMPUTED_VALUE"""),"France")</f>
        <v/>
      </c>
      <c r="M1339" s="1">
        <f>IFERROR(__xludf.DUMMYFUNCTION("""COMPUTED_VALUE"""),"France, Germany, Spain, United Kingdom")</f>
        <v/>
      </c>
      <c r="N1339" s="1">
        <f>IFERROR(__xludf.DUMMYFUNCTION("""COMPUTED_VALUE"""),"11 to 50")</f>
        <v/>
      </c>
      <c r="O1339" s="1">
        <f>IFERROR(__xludf.DUMMYFUNCTION("""COMPUTED_VALUE"""),"Business to Schools")</f>
        <v/>
      </c>
      <c r="P1339" s="1">
        <f>IFERROR(__xludf.DUMMYFUNCTION("""COMPUTED_VALUE"""),"Secondary Education, Higher Education, Corporate Training, Lifelong learning/Adult education")</f>
        <v/>
      </c>
      <c r="Q1339" s="1">
        <f>IFERROR(__xludf.DUMMYFUNCTION("""COMPUTED_VALUE"""),"System/Administrative, Student interfacing, Teacher interfacing")</f>
        <v/>
      </c>
      <c r="R1339" s="1" t="n"/>
      <c r="S1339" s="15">
        <f>IFERROR(__xludf.DUMMYFUNCTION("""COMPUTED_VALUE"""),"https://twitter.com/whaller_en")</f>
        <v/>
      </c>
      <c r="T1339" s="15">
        <f>IFERROR(__xludf.DUMMYFUNCTION("""COMPUTED_VALUE"""),"https://www.linkedin.com/company/whaller")</f>
        <v/>
      </c>
      <c r="U1339" s="1">
        <f>IFERROR(__xludf.DUMMYFUNCTION("""COMPUTED_VALUE"""),"Whaller")</f>
        <v/>
      </c>
      <c r="V1339" s="1">
        <f>IFERROR(__xludf.DUMMYFUNCTION("""COMPUTED_VALUE"""),"The secure social and collaborative platform. Whaller is designed for all types of organisations, especially educational institutions. Create a complete digital campus that centralises exchanges, tools and resources for your entire ecosystem: students, fa"&amp;"culty, parents, administration and alumni.")</f>
        <v/>
      </c>
      <c r="W1339" s="1" t="n"/>
      <c r="X1339" s="1" t="n"/>
      <c r="Y1339" s="15">
        <f>IFERROR(__xludf.DUMMYFUNCTION("""COMPUTED_VALUE"""),"https://drive.google.com/uc?export=view&amp;id=1rXK3BL3xTvEp6YnOoCvY4uKcofHyRN1m")</f>
        <v/>
      </c>
      <c r="Z1339" s="1">
        <f>IFERROR(__xludf.DUMMYFUNCTION("""COMPUTED_VALUE"""),"Unverified")</f>
        <v/>
      </c>
      <c r="AA1339" s="1" t="n"/>
      <c r="AB1339" s="1" t="n"/>
      <c r="AC1339" s="1" t="n"/>
      <c r="AD1339" s="1" t="n"/>
      <c r="AE1339" s="1" t="n"/>
    </row>
    <row r="1340" ht="42" customHeight="1">
      <c r="A1340" s="14">
        <f>IFERROR(__xludf.DUMMYFUNCTION("""COMPUTED_VALUE"""),45181)</f>
        <v/>
      </c>
      <c r="B1340" s="1">
        <f>IFERROR(__xludf.DUMMYFUNCTION("""COMPUTED_VALUE"""),"ORG_1023")</f>
        <v/>
      </c>
      <c r="C1340" s="1">
        <f>IFERROR(__xludf.DUMMYFUNCTION("""COMPUTED_VALUE"""),TRUE)</f>
        <v/>
      </c>
      <c r="D1340" s="1">
        <f>IFERROR(__xludf.DUMMYFUNCTION("""COMPUTED_VALUE"""),"academa")</f>
        <v/>
      </c>
      <c r="E1340" s="15">
        <f>IFERROR(__xludf.DUMMYFUNCTION("""COMPUTED_VALUE"""),"https://academa.de/")</f>
        <v/>
      </c>
      <c r="F1340" s="1">
        <f>IFERROR(__xludf.DUMMYFUNCTION("""COMPUTED_VALUE"""),"Combining a team of experts on the public sector, entrepreneurship, and educational technology, we are building academa.de. Based on high-quality online courses, learning data, and an intelligent customer experience, we enable government employees to beco"&amp;"me lifelong learners.")</f>
        <v/>
      </c>
      <c r="G1340" s="1">
        <f>IFERROR(__xludf.DUMMYFUNCTION("""COMPUTED_VALUE"""),"I'm not part of any EdTech association")</f>
        <v/>
      </c>
      <c r="H1340" s="1" t="n"/>
      <c r="I1340" s="1">
        <f>IFERROR(__xludf.DUMMYFUNCTION("""COMPUTED_VALUE"""),"kontakt@academa.de")</f>
        <v/>
      </c>
      <c r="J1340" s="1">
        <f>IFERROR(__xludf.DUMMYFUNCTION("""COMPUTED_VALUE"""),"+49 (0) 241 8943670")</f>
        <v/>
      </c>
      <c r="K1340" s="1">
        <f>IFERROR(__xludf.DUMMYFUNCTION("""COMPUTED_VALUE"""),"Aachen")</f>
        <v/>
      </c>
      <c r="L1340" s="1">
        <f>IFERROR(__xludf.DUMMYFUNCTION("""COMPUTED_VALUE"""),"Germany")</f>
        <v/>
      </c>
      <c r="M1340" s="1">
        <f>IFERROR(__xludf.DUMMYFUNCTION("""COMPUTED_VALUE"""),"Germany")</f>
        <v/>
      </c>
      <c r="N1340" s="1">
        <f>IFERROR(__xludf.DUMMYFUNCTION("""COMPUTED_VALUE"""),"0 to 10")</f>
        <v/>
      </c>
      <c r="O1340" s="1">
        <f>IFERROR(__xludf.DUMMYFUNCTION("""COMPUTED_VALUE"""),"Business to Business")</f>
        <v/>
      </c>
      <c r="P1340" s="1">
        <f>IFERROR(__xludf.DUMMYFUNCTION("""COMPUTED_VALUE"""),"Corporate Training, Lifelong learning/Adult education")</f>
        <v/>
      </c>
      <c r="Q1340" s="1">
        <f>IFERROR(__xludf.DUMMYFUNCTION("""COMPUTED_VALUE"""),"Student interfacing, System/Administrative")</f>
        <v/>
      </c>
      <c r="R1340" s="1" t="n"/>
      <c r="S1340" s="1" t="n"/>
      <c r="T1340" s="1" t="n"/>
      <c r="U1340" s="1" t="n"/>
      <c r="V1340" s="1" t="n"/>
      <c r="W1340" s="1" t="n"/>
      <c r="X1340" s="1" t="n"/>
      <c r="Y1340" s="15">
        <f>IFERROR(__xludf.DUMMYFUNCTION("""COMPUTED_VALUE"""),"https://drive.google.com/uc?export=view&amp;id=1AQgpgCyLZeGulCay7lylWpMPdiT_xw-u")</f>
        <v/>
      </c>
      <c r="Z1340" s="1">
        <f>IFERROR(__xludf.DUMMYFUNCTION("""COMPUTED_VALUE"""),"Unverified")</f>
        <v/>
      </c>
      <c r="AA1340" s="1" t="n"/>
      <c r="AB1340" s="1" t="n"/>
      <c r="AC1340" s="1" t="n"/>
      <c r="AD1340" s="1" t="n"/>
      <c r="AE1340" s="1" t="n"/>
    </row>
    <row r="1341" ht="42" customHeight="1">
      <c r="A1341" s="14">
        <f>IFERROR(__xludf.DUMMYFUNCTION("""COMPUTED_VALUE"""),45181)</f>
        <v/>
      </c>
      <c r="B1341" s="1">
        <f>IFERROR(__xludf.DUMMYFUNCTION("""COMPUTED_VALUE"""),"ORG_1038")</f>
        <v/>
      </c>
      <c r="C1341" s="1">
        <f>IFERROR(__xludf.DUMMYFUNCTION("""COMPUTED_VALUE"""),TRUE)</f>
        <v/>
      </c>
      <c r="D1341" s="1">
        <f>IFERROR(__xludf.DUMMYFUNCTION("""COMPUTED_VALUE"""),"Admentum")</f>
        <v/>
      </c>
      <c r="E1341" s="15">
        <f>IFERROR(__xludf.DUMMYFUNCTION("""COMPUTED_VALUE"""),"www.admentum.se")</f>
        <v/>
      </c>
      <c r="F1341" s="1">
        <f>IFERROR(__xludf.DUMMYFUNCTION("""COMPUTED_VALUE"""),"Admentum is the result of many years of experience in the school system and was founded in 2013 out of a passion for school, modern technology and smart solutions. Our name is a combination of the words Administration and Momentum - which is what we know "&amp;"best. We are your new solution for administering your primary school, your high school or your student health.")</f>
        <v/>
      </c>
      <c r="G1341" s="1" t="n"/>
      <c r="H1341" s="1" t="n"/>
      <c r="I1341" s="1">
        <f>IFERROR(__xludf.DUMMYFUNCTION("""COMPUTED_VALUE"""),"info@admentum.se")</f>
        <v/>
      </c>
      <c r="J1341" s="1" t="n"/>
      <c r="K1341" s="1">
        <f>IFERROR(__xludf.DUMMYFUNCTION("""COMPUTED_VALUE"""),"NACKA")</f>
        <v/>
      </c>
      <c r="L1341" s="1">
        <f>IFERROR(__xludf.DUMMYFUNCTION("""COMPUTED_VALUE"""),"Sweden")</f>
        <v/>
      </c>
      <c r="M1341" s="1">
        <f>IFERROR(__xludf.DUMMYFUNCTION("""COMPUTED_VALUE"""),"Sweden")</f>
        <v/>
      </c>
      <c r="N1341" s="1">
        <f>IFERROR(__xludf.DUMMYFUNCTION("""COMPUTED_VALUE"""),"0 to 10")</f>
        <v/>
      </c>
      <c r="O1341" s="1">
        <f>IFERROR(__xludf.DUMMYFUNCTION("""COMPUTED_VALUE"""),"Business to Business")</f>
        <v/>
      </c>
      <c r="P1341" s="1">
        <f>IFERROR(__xludf.DUMMYFUNCTION("""COMPUTED_VALUE"""),"Early childhood development (0-5 years), Primary Education, Secondary Education")</f>
        <v/>
      </c>
      <c r="Q1341" s="1">
        <f>IFERROR(__xludf.DUMMYFUNCTION("""COMPUTED_VALUE"""),"Teacher interfacing, System/Administrative")</f>
        <v/>
      </c>
      <c r="R1341" s="1" t="n"/>
      <c r="S1341" s="1" t="n"/>
      <c r="T1341" s="15">
        <f>IFERROR(__xludf.DUMMYFUNCTION("""COMPUTED_VALUE"""),"https://www.linkedin.com/company/skolplattformen")</f>
        <v/>
      </c>
      <c r="U1341" s="1">
        <f>IFERROR(__xludf.DUMMYFUNCTION("""COMPUTED_VALUE"""),"Admentum School")</f>
        <v/>
      </c>
      <c r="V1341" s="1">
        <f>IFERROR(__xludf.DUMMYFUNCTION("""COMPUTED_VALUE"""),"Administer your user registry, your grades and written assessments, study plans, attendance and keep in constant contact with the parents. That, and much more, is part of our digital school system Admentum School.")</f>
        <v/>
      </c>
      <c r="W1341" s="1">
        <f>IFERROR(__xludf.DUMMYFUNCTION("""COMPUTED_VALUE"""),"Admentum Students Health")</f>
        <v/>
      </c>
      <c r="X1341" s="1">
        <f>IFERROR(__xludf.DUMMYFUNCTION("""COMPUTED_VALUE"""),"All student health documentation gathered in one place in a secure digital system with smart solutions. 
Admentum Student Health is revolutionizing the student health team's approach by elevating it into a fully digital and cloud-based environment. The re"&amp;"sult is a more efficient and safer EHT.")</f>
        <v/>
      </c>
      <c r="Y1341" s="15">
        <f>IFERROR(__xludf.DUMMYFUNCTION("""COMPUTED_VALUE"""),"https://drive.google.com/uc?export=view&amp;id=129cHBdnzZ35rpshNhMzjImatpP0vUtiG")</f>
        <v/>
      </c>
      <c r="Z1341" s="1">
        <f>IFERROR(__xludf.DUMMYFUNCTION("""COMPUTED_VALUE"""),"Unverified")</f>
        <v/>
      </c>
      <c r="AA1341" s="1" t="n"/>
      <c r="AB1341" s="1" t="n"/>
      <c r="AC1341" s="1" t="n"/>
      <c r="AD1341" s="1" t="n"/>
      <c r="AE1341" s="1" t="n"/>
    </row>
    <row r="1342" ht="42" customHeight="1">
      <c r="A1342" s="14">
        <f>IFERROR(__xludf.DUMMYFUNCTION("""COMPUTED_VALUE"""),45181)</f>
        <v/>
      </c>
      <c r="B1342" s="1">
        <f>IFERROR(__xludf.DUMMYFUNCTION("""COMPUTED_VALUE"""),"ORG_1093")</f>
        <v/>
      </c>
      <c r="C1342" s="1">
        <f>IFERROR(__xludf.DUMMYFUNCTION("""COMPUTED_VALUE"""),TRUE)</f>
        <v/>
      </c>
      <c r="D1342" s="1">
        <f>IFERROR(__xludf.DUMMYFUNCTION("""COMPUTED_VALUE"""),"Area9 Lyceum")</f>
        <v/>
      </c>
      <c r="E1342" s="15">
        <f>IFERROR(__xludf.DUMMYFUNCTION("""COMPUTED_VALUE"""),"www.area9lyceum.com")</f>
        <v/>
      </c>
      <c r="F1342" s="1">
        <f>IFERROR(__xludf.DUMMYFUNCTION("""COMPUTED_VALUE"""),"Area9 Lyceum brings together more than two decades of learning research and advanced computer science in its next-generation learning platforms for K-12, higher education, and workforce education. As a leader in personalized and adaptive learning, as well"&amp;" as comprehensive infrastructure for learning engineering, design, delivery and analytics at scale, Area9 Lyceum enables clients to realize the future of personalized, multidimensional learning: mastery-based learning. A mastery-based approach enables lea"&amp;"rners to become proficient in the knowledge and skills that are highly relevant to them, their teams, and organizations. The technologies developed by Area9 are used by millions of learners of all ages and by leading organizations and companies around the"&amp;" world.")</f>
        <v/>
      </c>
      <c r="G1342" s="1">
        <f>IFERROR(__xludf.DUMMYFUNCTION("""COMPUTED_VALUE"""),"EdTech Denmark")</f>
        <v/>
      </c>
      <c r="H1342" s="1" t="n"/>
      <c r="I1342" s="1">
        <f>IFERROR(__xludf.DUMMYFUNCTION("""COMPUTED_VALUE"""),"info@area9lyceum.com")</f>
        <v/>
      </c>
      <c r="J1342" s="1">
        <f>IFERROR(__xludf.DUMMYFUNCTION("""COMPUTED_VALUE"""),"+45 33 11")</f>
        <v/>
      </c>
      <c r="K1342" s="1">
        <f>IFERROR(__xludf.DUMMYFUNCTION("""COMPUTED_VALUE"""),"COPENHAGEN K")</f>
        <v/>
      </c>
      <c r="L1342" s="1">
        <f>IFERROR(__xludf.DUMMYFUNCTION("""COMPUTED_VALUE"""),"Denmark")</f>
        <v/>
      </c>
      <c r="M1342" s="1">
        <f>IFERROR(__xludf.DUMMYFUNCTION("""COMPUTED_VALUE"""),"Austria, Belgium, Denmark, Estonia, France, Germany, Italy, Netherlands, Portugal, Sweden, Switzerland, United Kingdom")</f>
        <v/>
      </c>
      <c r="N1342" s="1">
        <f>IFERROR(__xludf.DUMMYFUNCTION("""COMPUTED_VALUE"""),"100+")</f>
        <v/>
      </c>
      <c r="O1342" s="1">
        <f>IFERROR(__xludf.DUMMYFUNCTION("""COMPUTED_VALUE"""),"Business to Business")</f>
        <v/>
      </c>
      <c r="P1342" s="1">
        <f>IFERROR(__xludf.DUMMYFUNCTION("""COMPUTED_VALUE"""),"Primary Education, Secondary Education, Higher Education, Corporate Training, Lifelong learning/Adult education")</f>
        <v/>
      </c>
      <c r="Q1342" s="1">
        <f>IFERROR(__xludf.DUMMYFUNCTION("""COMPUTED_VALUE"""),"Student interfacing, Teacher interfacing, System/Administrative")</f>
        <v/>
      </c>
      <c r="R1342" s="1" t="n"/>
      <c r="S1342" s="15">
        <f>IFERROR(__xludf.DUMMYFUNCTION("""COMPUTED_VALUE"""),"https://twitter.com/area9lyceum")</f>
        <v/>
      </c>
      <c r="T1342" s="15">
        <f>IFERROR(__xludf.DUMMYFUNCTION("""COMPUTED_VALUE"""),"https://www.linkedin.com/company/area9lyceum")</f>
        <v/>
      </c>
      <c r="U1342" s="1">
        <f>IFERROR(__xludf.DUMMYFUNCTION("""COMPUTED_VALUE"""),"Area9 Rhapsode")</f>
        <v/>
      </c>
      <c r="V1342" s="1">
        <f>IFERROR(__xludf.DUMMYFUNCTION("""COMPUTED_VALUE"""),"Area9 Rhapsode™ is the world's first four-dimensional AI-enabled adaptive learning platform. It is a cloud-based responsive design, authoring, delivery and reporting system that is compatible with xAPI, and SCORM and integrates seamlessly with LMS's.")</f>
        <v/>
      </c>
      <c r="W1342" s="1" t="n"/>
      <c r="X1342" s="1" t="n"/>
      <c r="Y1342" s="15">
        <f>IFERROR(__xludf.DUMMYFUNCTION("""COMPUTED_VALUE"""),"https://drive.google.com/uc?export=view&amp;id=1p5SxfRPj34o-oHh8fNB7bBDFC4G6dqB_")</f>
        <v/>
      </c>
      <c r="Z1342" s="1">
        <f>IFERROR(__xludf.DUMMYFUNCTION("""COMPUTED_VALUE"""),"Unverified")</f>
        <v/>
      </c>
      <c r="AA1342" s="1" t="n"/>
      <c r="AB1342" s="1" t="n"/>
      <c r="AC1342" s="1" t="n"/>
      <c r="AD1342" s="1" t="n"/>
      <c r="AE1342" s="1" t="n"/>
    </row>
    <row r="1343" ht="42" customHeight="1">
      <c r="A1343" s="14">
        <f>IFERROR(__xludf.DUMMYFUNCTION("""COMPUTED_VALUE"""),45181)</f>
        <v/>
      </c>
      <c r="B1343" s="1">
        <f>IFERROR(__xludf.DUMMYFUNCTION("""COMPUTED_VALUE"""),"ORG_1271")</f>
        <v/>
      </c>
      <c r="C1343" s="1">
        <f>IFERROR(__xludf.DUMMYFUNCTION("""COMPUTED_VALUE"""),TRUE)</f>
        <v/>
      </c>
      <c r="D1343" s="1">
        <f>IFERROR(__xludf.DUMMYFUNCTION("""COMPUTED_VALUE"""),"CodeGrade")</f>
        <v/>
      </c>
      <c r="E1343" s="15">
        <f>IFERROR(__xludf.DUMMYFUNCTION("""COMPUTED_VALUE"""),"https://codegrade.com")</f>
        <v/>
      </c>
      <c r="F1343" s="1">
        <f>IFERROR(__xludf.DUMMYFUNCTION("""COMPUTED_VALUE"""),"CodeGrade creates the flexible learning platform for coding education. With CodeGrade, you keep students who are learning to code engaged and motivated. CodeGrade offers a built-in editor, the best autograder on the market and many pedagogical tools with "&amp;"which teachers can effectively teach students how to code.
CodeGrade is used by over 60 educational organizations (mostly higher-ed) globally and radically increases learning outcomes for students.")</f>
        <v/>
      </c>
      <c r="G1343" s="1">
        <f>IFERROR(__xludf.DUMMYFUNCTION("""COMPUTED_VALUE"""),"Dutch EdTech")</f>
        <v/>
      </c>
      <c r="H1343" s="1" t="n"/>
      <c r="I1343" s="1">
        <f>IFERROR(__xludf.DUMMYFUNCTION("""COMPUTED_VALUE"""),"hello@codegrade.com")</f>
        <v/>
      </c>
      <c r="J1343" s="1" t="n"/>
      <c r="K1343" s="1">
        <f>IFERROR(__xludf.DUMMYFUNCTION("""COMPUTED_VALUE"""),"AMSTERDAM")</f>
        <v/>
      </c>
      <c r="L1343" s="1">
        <f>IFERROR(__xludf.DUMMYFUNCTION("""COMPUTED_VALUE"""),"The Netherlands")</f>
        <v/>
      </c>
      <c r="M1343" s="1">
        <f>IFERROR(__xludf.DUMMYFUNCTION("""COMPUTED_VALUE"""),"Austria, Belgium, Denmark, Finland, France, Germany, Greece, Iceland, Ireland, Italy, Netherlands, Norway, Portugal, Spain, Sweden, Switzerland, United Kingdom")</f>
        <v/>
      </c>
      <c r="N1343" s="1">
        <f>IFERROR(__xludf.DUMMYFUNCTION("""COMPUTED_VALUE"""),"11 to 50")</f>
        <v/>
      </c>
      <c r="O1343" s="1">
        <f>IFERROR(__xludf.DUMMYFUNCTION("""COMPUTED_VALUE"""),"Business to Business")</f>
        <v/>
      </c>
      <c r="P1343" s="1">
        <f>IFERROR(__xludf.DUMMYFUNCTION("""COMPUTED_VALUE"""),"Secondary Education, Higher Education, Corporate Training, Lifelong learning/Adult education")</f>
        <v/>
      </c>
      <c r="Q1343" s="1">
        <f>IFERROR(__xludf.DUMMYFUNCTION("""COMPUTED_VALUE"""),"Student interfacing, Teacher interfacing, System/Administrative")</f>
        <v/>
      </c>
      <c r="R1343" s="1" t="n"/>
      <c r="S1343" s="15">
        <f>IFERROR(__xludf.DUMMYFUNCTION("""COMPUTED_VALUE"""),"https://twitter.com/CodeGradeCom")</f>
        <v/>
      </c>
      <c r="T1343" s="15">
        <f>IFERROR(__xludf.DUMMYFUNCTION("""COMPUTED_VALUE"""),"https://www.linkedin.com/company/codegrade/")</f>
        <v/>
      </c>
      <c r="U1343" s="1">
        <f>IFERROR(__xludf.DUMMYFUNCTION("""COMPUTED_VALUE"""),"CodeGrade")</f>
        <v/>
      </c>
      <c r="V1343" s="1">
        <f>IFERROR(__xludf.DUMMYFUNCTION("""COMPUTED_VALUE"""),"CodeGrade creates the flexible learning platform for coding education. With CodeGrade, you keep students who are learning to code engaged and motivated. CodeGrade offers a built-in editor, the best autograder on the market and many pedagogical tools with "&amp;"which teachers can effectively teach students how to code.")</f>
        <v/>
      </c>
      <c r="W1343" s="1" t="n"/>
      <c r="X1343" s="1" t="n"/>
      <c r="Y1343" s="15">
        <f>IFERROR(__xludf.DUMMYFUNCTION("""COMPUTED_VALUE"""),"https://drive.google.com/uc?export=view&amp;id=13iLT4uxN7ff9vwuvbhxw4GGGXhTIjn92")</f>
        <v/>
      </c>
      <c r="Z1343" s="1">
        <f>IFERROR(__xludf.DUMMYFUNCTION("""COMPUTED_VALUE"""),"Unverified")</f>
        <v/>
      </c>
      <c r="AA1343" s="1" t="n"/>
      <c r="AB1343" s="1" t="n"/>
      <c r="AC1343" s="1" t="n"/>
      <c r="AD1343" s="1" t="n"/>
      <c r="AE1343" s="1" t="n"/>
    </row>
    <row r="1344" ht="42" customHeight="1">
      <c r="A1344" s="14">
        <f>IFERROR(__xludf.DUMMYFUNCTION("""COMPUTED_VALUE"""),45181)</f>
        <v/>
      </c>
      <c r="B1344" s="1">
        <f>IFERROR(__xludf.DUMMYFUNCTION("""COMPUTED_VALUE"""),"ORG_1302")</f>
        <v/>
      </c>
      <c r="C1344" s="1">
        <f>IFERROR(__xludf.DUMMYFUNCTION("""COMPUTED_VALUE"""),TRUE)</f>
        <v/>
      </c>
      <c r="D1344" s="1">
        <f>IFERROR(__xludf.DUMMYFUNCTION("""COMPUTED_VALUE"""),"COSS")</f>
        <v/>
      </c>
      <c r="E1344" s="15">
        <f>IFERROR(__xludf.DUMMYFUNCTION("""COMPUTED_VALUE"""),"https://globalcoss.com/")</f>
        <v/>
      </c>
      <c r="F1344" s="1">
        <f>IFERROR(__xludf.DUMMYFUNCTION("""COMPUTED_VALUE"""),"COSS is an application for students tomeasure, develop and certify their level of their soft skills level on their CV, like the TOEFL for English.
The student asks for specific feedback on his/her cross-cutting skills in an academic or professional situat"&amp;"ion professional situation.
COSS certifies competencies over a period of time period. The student publishes a badge and a link attesting to his or her level in the skill when his reliability index reaches the highest score.")</f>
        <v/>
      </c>
      <c r="G1344" s="1">
        <f>IFERROR(__xludf.DUMMYFUNCTION("""COMPUTED_VALUE"""),"I'm not part of any EdTech association")</f>
        <v/>
      </c>
      <c r="H1344" s="1" t="n"/>
      <c r="I1344" s="1">
        <f>IFERROR(__xludf.DUMMYFUNCTION("""COMPUTED_VALUE"""),"bertrand.ponchon@5feedback.com")</f>
        <v/>
      </c>
      <c r="J1344" s="1">
        <f>IFERROR(__xludf.DUMMYFUNCTION("""COMPUTED_VALUE"""),"+ 33 6 52 59 28 27")</f>
        <v/>
      </c>
      <c r="K1344" s="1">
        <f>IFERROR(__xludf.DUMMYFUNCTION("""COMPUTED_VALUE"""),"Levallois Perret")</f>
        <v/>
      </c>
      <c r="L1344" s="1">
        <f>IFERROR(__xludf.DUMMYFUNCTION("""COMPUTED_VALUE"""),"France")</f>
        <v/>
      </c>
      <c r="M1344" s="1">
        <f>IFERROR(__xludf.DUMMYFUNCTION("""COMPUTED_VALUE"""),"Belgium, France, Germany, Italy, Luxembourg, Spain, Switzerland, United Kingdom")</f>
        <v/>
      </c>
      <c r="N1344" s="1">
        <f>IFERROR(__xludf.DUMMYFUNCTION("""COMPUTED_VALUE"""),"11 to 50")</f>
        <v/>
      </c>
      <c r="O1344" s="1">
        <f>IFERROR(__xludf.DUMMYFUNCTION("""COMPUTED_VALUE"""),"Business to Business")</f>
        <v/>
      </c>
      <c r="P1344" s="1">
        <f>IFERROR(__xludf.DUMMYFUNCTION("""COMPUTED_VALUE"""),"Higher Education, Corporate Training, Lifelong learning/Adult education")</f>
        <v/>
      </c>
      <c r="Q1344" s="1">
        <f>IFERROR(__xludf.DUMMYFUNCTION("""COMPUTED_VALUE"""),"Student interfacing, Teacher interfacing, System/Administrative")</f>
        <v/>
      </c>
      <c r="R1344" s="1" t="n"/>
      <c r="S1344" s="1" t="n"/>
      <c r="T1344" s="1" t="n"/>
      <c r="U1344" s="1" t="n"/>
      <c r="V1344" s="1" t="n"/>
      <c r="W1344" s="1" t="n"/>
      <c r="X1344" s="1" t="n"/>
      <c r="Y1344" s="15">
        <f>IFERROR(__xludf.DUMMYFUNCTION("""COMPUTED_VALUE"""),"https://drive.google.com/uc?export=view&amp;id=1mR3HjV2Ubt8jIBhiTSGgwHBfr15aRgaL")</f>
        <v/>
      </c>
      <c r="Z1344" s="1">
        <f>IFERROR(__xludf.DUMMYFUNCTION("""COMPUTED_VALUE"""),"Unverified")</f>
        <v/>
      </c>
      <c r="AA1344" s="1" t="n"/>
      <c r="AB1344" s="1" t="n"/>
      <c r="AC1344" s="1" t="n"/>
      <c r="AD1344" s="1" t="n"/>
      <c r="AE1344" s="1" t="n"/>
    </row>
    <row r="1345" ht="42" customHeight="1">
      <c r="A1345" s="14">
        <f>IFERROR(__xludf.DUMMYFUNCTION("""COMPUTED_VALUE"""),45181)</f>
        <v/>
      </c>
      <c r="B1345" s="1">
        <f>IFERROR(__xludf.DUMMYFUNCTION("""COMPUTED_VALUE"""),"ORG_1364")</f>
        <v/>
      </c>
      <c r="C1345" s="1">
        <f>IFERROR(__xludf.DUMMYFUNCTION("""COMPUTED_VALUE"""),TRUE)</f>
        <v/>
      </c>
      <c r="D1345" s="1">
        <f>IFERROR(__xludf.DUMMYFUNCTION("""COMPUTED_VALUE"""),"Digleefy")</f>
        <v/>
      </c>
      <c r="E1345" s="15">
        <f>IFERROR(__xludf.DUMMYFUNCTION("""COMPUTED_VALUE"""),"https://www.digleefy.no/")</f>
        <v/>
      </c>
      <c r="F1345" s="1">
        <f>IFERROR(__xludf.DUMMYFUNCTION("""COMPUTED_VALUE"""),"Digleefy apply game mechanics for a team based learning experience, enhancing 21st Century Skills, making teams more effective and innovative. We developed a no code platform with a B2B SaaS product ready to accelerate for scale.")</f>
        <v/>
      </c>
      <c r="G1345" s="1">
        <f>IFERROR(__xludf.DUMMYFUNCTION("""COMPUTED_VALUE"""),"I'm not part of any EdTech association")</f>
        <v/>
      </c>
      <c r="H1345" s="1" t="n"/>
      <c r="I1345" s="1">
        <f>IFERROR(__xludf.DUMMYFUNCTION("""COMPUTED_VALUE"""),"post@digleefy.no")</f>
        <v/>
      </c>
      <c r="J1345" s="1">
        <f>IFERROR(__xludf.DUMMYFUNCTION("""COMPUTED_VALUE"""),"+47 948 90 161")</f>
        <v/>
      </c>
      <c r="K1345" s="1">
        <f>IFERROR(__xludf.DUMMYFUNCTION("""COMPUTED_VALUE"""),"Sarpsborg")</f>
        <v/>
      </c>
      <c r="L1345" s="1">
        <f>IFERROR(__xludf.DUMMYFUNCTION("""COMPUTED_VALUE"""),"Norway")</f>
        <v/>
      </c>
      <c r="M1345" s="1">
        <f>IFERROR(__xludf.DUMMYFUNCTION("""COMPUTED_VALUE"""),"Norway")</f>
        <v/>
      </c>
      <c r="N1345" s="1">
        <f>IFERROR(__xludf.DUMMYFUNCTION("""COMPUTED_VALUE"""),"0 to 10")</f>
        <v/>
      </c>
      <c r="O1345" s="1">
        <f>IFERROR(__xludf.DUMMYFUNCTION("""COMPUTED_VALUE"""),"Business to Business, Business to Consumer")</f>
        <v/>
      </c>
      <c r="P1345" s="1">
        <f>IFERROR(__xludf.DUMMYFUNCTION("""COMPUTED_VALUE"""),"Corporate Training")</f>
        <v/>
      </c>
      <c r="Q1345" s="1">
        <f>IFERROR(__xludf.DUMMYFUNCTION("""COMPUTED_VALUE"""),"Student interfacing, Teacher interfacing, System/Administrative")</f>
        <v/>
      </c>
      <c r="R1345" s="1" t="n"/>
      <c r="S1345" s="1" t="n"/>
      <c r="T1345" s="1" t="n"/>
      <c r="U1345" s="1" t="n"/>
      <c r="V1345" s="1" t="n"/>
      <c r="W1345" s="1" t="n"/>
      <c r="X1345" s="1" t="n"/>
      <c r="Y1345" s="1" t="n"/>
      <c r="Z1345" s="1">
        <f>IFERROR(__xludf.DUMMYFUNCTION("""COMPUTED_VALUE"""),"Unverified")</f>
        <v/>
      </c>
      <c r="AA1345" s="1" t="n"/>
      <c r="AB1345" s="1" t="n"/>
      <c r="AC1345" s="1" t="n"/>
      <c r="AD1345" s="1" t="n"/>
      <c r="AE1345" s="1" t="n"/>
    </row>
    <row r="1346" ht="42" customHeight="1">
      <c r="A1346" s="14">
        <f>IFERROR(__xludf.DUMMYFUNCTION("""COMPUTED_VALUE"""),45181)</f>
        <v/>
      </c>
      <c r="B1346" s="1">
        <f>IFERROR(__xludf.DUMMYFUNCTION("""COMPUTED_VALUE"""),"ORG_1442")</f>
        <v/>
      </c>
      <c r="C1346" s="1">
        <f>IFERROR(__xludf.DUMMYFUNCTION("""COMPUTED_VALUE"""),TRUE)</f>
        <v/>
      </c>
      <c r="D1346" s="1">
        <f>IFERROR(__xludf.DUMMYFUNCTION("""COMPUTED_VALUE"""),"eduki")</f>
        <v/>
      </c>
      <c r="E1346" s="15">
        <f>IFERROR(__xludf.DUMMYFUNCTION("""COMPUTED_VALUE"""),"https://eduki.com/")</f>
        <v/>
      </c>
      <c r="F1346" s="1">
        <f>IFERROR(__xludf.DUMMYFUNCTION("""COMPUTED_VALUE"""),"eduki is an easy-to-use and diverse online platform for teachers to share their self-designed teaching resources. Our mission is to build a place for teachers to connect, where they can find the support and tools they need to deliver the best school educa"&amp;"tion. Our website and app is currently available in German, Spanish and French.")</f>
        <v/>
      </c>
      <c r="G1346" s="1">
        <f>IFERROR(__xludf.DUMMYFUNCTION("""COMPUTED_VALUE"""),"I'm not part of any EdTech association")</f>
        <v/>
      </c>
      <c r="H1346" s="1" t="n"/>
      <c r="I1346" s="1">
        <f>IFERROR(__xludf.DUMMYFUNCTION("""COMPUTED_VALUE"""),"hallo@eduki.com")</f>
        <v/>
      </c>
      <c r="J1346" s="1" t="n"/>
      <c r="K1346" s="1">
        <f>IFERROR(__xludf.DUMMYFUNCTION("""COMPUTED_VALUE"""),"Berlin")</f>
        <v/>
      </c>
      <c r="L1346" s="1">
        <f>IFERROR(__xludf.DUMMYFUNCTION("""COMPUTED_VALUE"""),"Germany")</f>
        <v/>
      </c>
      <c r="M1346" s="1">
        <f>IFERROR(__xludf.DUMMYFUNCTION("""COMPUTED_VALUE"""),"Austria, France, Germany, Spain, Switzerland")</f>
        <v/>
      </c>
      <c r="N1346" s="1">
        <f>IFERROR(__xludf.DUMMYFUNCTION("""COMPUTED_VALUE"""),"51 to 100")</f>
        <v/>
      </c>
      <c r="O1346" s="1">
        <f>IFERROR(__xludf.DUMMYFUNCTION("""COMPUTED_VALUE"""),"Business to Business, Business to Consumer")</f>
        <v/>
      </c>
      <c r="P1346" s="1">
        <f>IFERROR(__xludf.DUMMYFUNCTION("""COMPUTED_VALUE"""),"Primary Education, Secondary Education")</f>
        <v/>
      </c>
      <c r="Q1346" s="1">
        <f>IFERROR(__xludf.DUMMYFUNCTION("""COMPUTED_VALUE"""),"Teacher interfacing")</f>
        <v/>
      </c>
      <c r="R1346" s="1" t="n"/>
      <c r="S1346" s="1" t="n"/>
      <c r="T1346" s="1" t="n"/>
      <c r="U1346" s="1" t="n"/>
      <c r="V1346" s="1" t="n"/>
      <c r="W1346" s="1" t="n"/>
      <c r="X1346" s="1" t="n"/>
      <c r="Y1346" s="15">
        <f>IFERROR(__xludf.DUMMYFUNCTION("""COMPUTED_VALUE"""),"https://drive.google.com/uc?export=view&amp;id=1iqds_j-_bNpFZ4qyiPP_03OWWmOH1_Dl")</f>
        <v/>
      </c>
      <c r="Z1346" s="1">
        <f>IFERROR(__xludf.DUMMYFUNCTION("""COMPUTED_VALUE"""),"Unverified")</f>
        <v/>
      </c>
      <c r="AA1346" s="1" t="n"/>
      <c r="AB1346" s="1" t="n"/>
      <c r="AC1346" s="1" t="n"/>
      <c r="AD1346" s="1" t="n"/>
      <c r="AE1346" s="1" t="n"/>
    </row>
    <row r="1347" ht="42" customHeight="1">
      <c r="A1347" s="14">
        <f>IFERROR(__xludf.DUMMYFUNCTION("""COMPUTED_VALUE"""),45181)</f>
        <v/>
      </c>
      <c r="B1347" s="1">
        <f>IFERROR(__xludf.DUMMYFUNCTION("""COMPUTED_VALUE"""),"ORG_1490")</f>
        <v/>
      </c>
      <c r="C1347" s="1">
        <f>IFERROR(__xludf.DUMMYFUNCTION("""COMPUTED_VALUE"""),TRUE)</f>
        <v/>
      </c>
      <c r="D1347" s="1">
        <f>IFERROR(__xludf.DUMMYFUNCTION("""COMPUTED_VALUE"""),"Emotionhack")</f>
        <v/>
      </c>
      <c r="E1347" s="15">
        <f>IFERROR(__xludf.DUMMYFUNCTION("""COMPUTED_VALUE"""),"www.emotionhack.com")</f>
        <v/>
      </c>
      <c r="F1347" s="1">
        <f>IFERROR(__xludf.DUMMYFUNCTION("""COMPUTED_VALUE"""),"Emotionhack is a soft-skill learning platform aimed to democratice softskill development to help people to reach their full potential.")</f>
        <v/>
      </c>
      <c r="G1347" s="1">
        <f>IFERROR(__xludf.DUMMYFUNCTION("""COMPUTED_VALUE"""),"I'm not part of any EdTech association")</f>
        <v/>
      </c>
      <c r="H1347" s="1" t="n"/>
      <c r="I1347" s="1">
        <f>IFERROR(__xludf.DUMMYFUNCTION("""COMPUTED_VALUE"""),"contacto@emotionhack.com")</f>
        <v/>
      </c>
      <c r="J1347" s="1" t="n"/>
      <c r="K1347" s="1">
        <f>IFERROR(__xludf.DUMMYFUNCTION("""COMPUTED_VALUE"""),"Madrid")</f>
        <v/>
      </c>
      <c r="L1347" s="1">
        <f>IFERROR(__xludf.DUMMYFUNCTION("""COMPUTED_VALUE"""),"Spain")</f>
        <v/>
      </c>
      <c r="M1347" s="1">
        <f>IFERROR(__xludf.DUMMYFUNCTION("""COMPUTED_VALUE"""),"Andorra, Austria, Belgium, Bosnia and Herzegovina, Croatia, Czechia, Denmark, Estonia, Finland, France, Germany, Greece, Iceland, Ireland, Italy, Liechtenstein, Lithuania, Luxembourg, Malta, Montenegro, Netherlands, Norway, Poland, Portugal, Slovakia, Slo"&amp;"venia, Spain, Sweden, Switzerland, United Kingdom")</f>
        <v/>
      </c>
      <c r="N1347" s="1">
        <f>IFERROR(__xludf.DUMMYFUNCTION("""COMPUTED_VALUE"""),"0 to 10")</f>
        <v/>
      </c>
      <c r="O1347" s="1">
        <f>IFERROR(__xludf.DUMMYFUNCTION("""COMPUTED_VALUE"""),"Business to Business, Business to Consumer, Business to Government")</f>
        <v/>
      </c>
      <c r="P1347" s="1">
        <f>IFERROR(__xludf.DUMMYFUNCTION("""COMPUTED_VALUE"""),"Higher Education, Corporate Training, Lifelong learning/Adult education")</f>
        <v/>
      </c>
      <c r="Q1347" s="1">
        <f>IFERROR(__xludf.DUMMYFUNCTION("""COMPUTED_VALUE"""),"Teacher interfacing, Student interfacing, System/Administrative")</f>
        <v/>
      </c>
      <c r="R1347" s="1" t="n"/>
      <c r="S1347" s="1" t="n"/>
      <c r="T1347" s="1" t="n"/>
      <c r="U1347" s="1" t="n"/>
      <c r="V1347" s="1" t="n"/>
      <c r="W1347" s="1" t="n"/>
      <c r="X1347" s="1" t="n"/>
      <c r="Y1347" s="15">
        <f>IFERROR(__xludf.DUMMYFUNCTION("""COMPUTED_VALUE"""),"https://drive.google.com/uc?export=view&amp;id=1hUDH8ZIJeJAo_8423Be-94k00zOCS1dW")</f>
        <v/>
      </c>
      <c r="Z1347" s="1">
        <f>IFERROR(__xludf.DUMMYFUNCTION("""COMPUTED_VALUE"""),"Unverified")</f>
        <v/>
      </c>
      <c r="AA1347" s="1" t="n"/>
      <c r="AB1347" s="1" t="n"/>
      <c r="AC1347" s="1" t="n"/>
      <c r="AD1347" s="1" t="n"/>
      <c r="AE1347" s="1" t="n"/>
    </row>
    <row r="1348" ht="42" customHeight="1">
      <c r="A1348" s="14">
        <f>IFERROR(__xludf.DUMMYFUNCTION("""COMPUTED_VALUE"""),45181)</f>
        <v/>
      </c>
      <c r="B1348" s="1">
        <f>IFERROR(__xludf.DUMMYFUNCTION("""COMPUTED_VALUE"""),"ORG_1592")</f>
        <v/>
      </c>
      <c r="C1348" s="1">
        <f>IFERROR(__xludf.DUMMYFUNCTION("""COMPUTED_VALUE"""),TRUE)</f>
        <v/>
      </c>
      <c r="D1348" s="1">
        <f>IFERROR(__xludf.DUMMYFUNCTION("""COMPUTED_VALUE"""),"Fun Academy")</f>
        <v/>
      </c>
      <c r="E1348" s="15">
        <f>IFERROR(__xludf.DUMMYFUNCTION("""COMPUTED_VALUE"""),"https://www.funacademy.org/")</f>
        <v/>
      </c>
      <c r="F1348" s="1">
        <f>IFERROR(__xludf.DUMMYFUNCTION("""COMPUTED_VALUE"""),"Fun Academy is an early years eduction company from Finland. We focus on Fun Learning materials and training. We collaborate with partners to bring Fun Learning experiences to all children.")</f>
        <v/>
      </c>
      <c r="G1348" s="1">
        <f>IFERROR(__xludf.DUMMYFUNCTION("""COMPUTED_VALUE"""),"EdTech Finland")</f>
        <v/>
      </c>
      <c r="H1348" s="1" t="n"/>
      <c r="I1348" s="1">
        <f>IFERROR(__xludf.DUMMYFUNCTION("""COMPUTED_VALUE"""),"sanna@funacademy.fi")</f>
        <v/>
      </c>
      <c r="J1348" s="1" t="n"/>
      <c r="K1348" s="1">
        <f>IFERROR(__xludf.DUMMYFUNCTION("""COMPUTED_VALUE"""),"RUNEBERGINKATU 14-16")</f>
        <v/>
      </c>
      <c r="L1348" s="1">
        <f>IFERROR(__xludf.DUMMYFUNCTION("""COMPUTED_VALUE"""),"Finland")</f>
        <v/>
      </c>
      <c r="M1348" s="1">
        <f>IFERROR(__xludf.DUMMYFUNCTION("""COMPUTED_VALUE"""),"Finland, Ukraine")</f>
        <v/>
      </c>
      <c r="N1348" s="1">
        <f>IFERROR(__xludf.DUMMYFUNCTION("""COMPUTED_VALUE"""),"0 to 10")</f>
        <v/>
      </c>
      <c r="O1348" s="1">
        <f>IFERROR(__xludf.DUMMYFUNCTION("""COMPUTED_VALUE"""),"Business to Business, Business to Consumer, Business to Government, Business to Schools")</f>
        <v/>
      </c>
      <c r="P1348" s="1">
        <f>IFERROR(__xludf.DUMMYFUNCTION("""COMPUTED_VALUE"""),"Early childhood development (0-5 years), Primary Education")</f>
        <v/>
      </c>
      <c r="Q1348" s="1">
        <f>IFERROR(__xludf.DUMMYFUNCTION("""COMPUTED_VALUE"""),"System/Administrative, Teacher interfacing")</f>
        <v/>
      </c>
      <c r="R1348" s="1">
        <f>IFERROR(__xludf.DUMMYFUNCTION("""COMPUTED_VALUE"""),"Fun Academy")</f>
        <v/>
      </c>
      <c r="S1348" s="1">
        <f>IFERROR(__xludf.DUMMYFUNCTION("""COMPUTED_VALUE"""),"@funacademycom")</f>
        <v/>
      </c>
      <c r="T1348" s="15">
        <f>IFERROR(__xludf.DUMMYFUNCTION("""COMPUTED_VALUE"""),"https://www.linkedin.com/search/results/all/?keywords=fun%20academy&amp;origin=GLOBAL_SEARCH_HEADER&amp;sid=u*2")</f>
        <v/>
      </c>
      <c r="U1348" s="1">
        <f>IFERROR(__xludf.DUMMYFUNCTION("""COMPUTED_VALUE"""),"Fun Academy Parent App")</f>
        <v/>
      </c>
      <c r="V1348" s="1">
        <f>IFERROR(__xludf.DUMMYFUNCTION("""COMPUTED_VALUE"""),"The Fun Academy Parent App program is based on a kindergarten teacher's manual from Finland - with the activities now revised for your home environment. The approach is playful Fun Learning - the learning goals including life skills. The activities are de"&amp;"signed to spark interest, foster creativity and support curiosity in an engaging, active and fun way. Easy access: receive the instructions on your laptop or mobile.
It's for you if
- you have 3-6 year old children
​- you want your children to have all t"&amp;"he possibilities to get far in life
- you think to yourself, ""Am I doing this parenting thing right?""
- or if you have a preschool and would love to have a rich resource bank of Fun Learning activities.")</f>
        <v/>
      </c>
      <c r="W1348" s="1" t="n"/>
      <c r="X1348" s="1" t="n"/>
      <c r="Y1348" s="15">
        <f>IFERROR(__xludf.DUMMYFUNCTION("""COMPUTED_VALUE"""),"https://drive.google.com/uc?export=view&amp;id=1DrJgMqXiFPJZnBm-JHUntmb6taLWtvYR")</f>
        <v/>
      </c>
      <c r="Z1348" s="1">
        <f>IFERROR(__xludf.DUMMYFUNCTION("""COMPUTED_VALUE"""),"Unverified")</f>
        <v/>
      </c>
      <c r="AA1348" s="1" t="n"/>
      <c r="AB1348" s="1" t="n"/>
      <c r="AC1348" s="1" t="n"/>
      <c r="AD1348" s="1" t="n"/>
      <c r="AE1348" s="1" t="n"/>
    </row>
    <row r="1349" ht="42" customHeight="1">
      <c r="A1349" s="14">
        <f>IFERROR(__xludf.DUMMYFUNCTION("""COMPUTED_VALUE"""),45181)</f>
        <v/>
      </c>
      <c r="B1349" s="1">
        <f>IFERROR(__xludf.DUMMYFUNCTION("""COMPUTED_VALUE"""),"ORG_1673")</f>
        <v/>
      </c>
      <c r="C1349" s="1">
        <f>IFERROR(__xludf.DUMMYFUNCTION("""COMPUTED_VALUE"""),TRUE)</f>
        <v/>
      </c>
      <c r="D1349" s="1">
        <f>IFERROR(__xludf.DUMMYFUNCTION("""COMPUTED_VALUE"""),"Hero")</f>
        <v/>
      </c>
      <c r="E1349" s="15">
        <f>IFERROR(__xludf.DUMMYFUNCTION("""COMPUTED_VALUE"""),"https://heroapp.ai")</f>
        <v/>
      </c>
      <c r="F1349" s="1">
        <f>IFERROR(__xludf.DUMMYFUNCTION("""COMPUTED_VALUE"""),"Hero is an AI-powered tool that helps challenged readers and language learners understand difficult texts. Hero turns difficult language into something that's much easier to understand at the click of a button. Think Google Translate, but for translating "&amp;"difficult text into easy language. 
Hero turns university-level texts into middle school level and is available both as a browser extension and as an independent webapp that simplifies text wherever you read.")</f>
        <v/>
      </c>
      <c r="G1349" s="1">
        <f>IFERROR(__xludf.DUMMYFUNCTION("""COMPUTED_VALUE"""),"I'm not part of any EdTech association")</f>
        <v/>
      </c>
      <c r="H1349" s="1" t="n"/>
      <c r="I1349" s="1">
        <f>IFERROR(__xludf.DUMMYFUNCTION("""COMPUTED_VALUE"""),"hello@heroapp.ai")</f>
        <v/>
      </c>
      <c r="J1349" s="1" t="n"/>
      <c r="K1349" s="1">
        <f>IFERROR(__xludf.DUMMYFUNCTION("""COMPUTED_VALUE"""),"Copenhagen")</f>
        <v/>
      </c>
      <c r="L1349" s="1">
        <f>IFERROR(__xludf.DUMMYFUNCTION("""COMPUTED_VALUE"""),"Denmark")</f>
        <v/>
      </c>
      <c r="M134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349" s="1">
        <f>IFERROR(__xludf.DUMMYFUNCTION("""COMPUTED_VALUE"""),"0 to 10")</f>
        <v/>
      </c>
      <c r="O1349" s="1">
        <f>IFERROR(__xludf.DUMMYFUNCTION("""COMPUTED_VALUE"""),"Business to Business, Business to Consumer, Business to Government, Business to Schools")</f>
        <v/>
      </c>
      <c r="P1349" s="1">
        <f>IFERROR(__xludf.DUMMYFUNCTION("""COMPUTED_VALUE"""),"Secondary Education, Higher Education, Corporate Training, Lifelong learning/Adult education")</f>
        <v/>
      </c>
      <c r="Q1349" s="1">
        <f>IFERROR(__xludf.DUMMYFUNCTION("""COMPUTED_VALUE"""),"System/Administrative, Student interfacing, Teacher interfacing")</f>
        <v/>
      </c>
      <c r="R1349" s="1" t="n"/>
      <c r="S1349" s="1" t="n"/>
      <c r="T1349" s="1" t="n"/>
      <c r="U1349" s="1" t="n"/>
      <c r="V1349" s="1" t="n"/>
      <c r="W1349" s="1" t="n"/>
      <c r="X1349" s="1" t="n"/>
      <c r="Y1349" s="15">
        <f>IFERROR(__xludf.DUMMYFUNCTION("""COMPUTED_VALUE"""),"https://drive.google.com/uc?export=view&amp;id=18OoJhR33MvPz61Kpabv7xY6RjXTFGLdm")</f>
        <v/>
      </c>
      <c r="Z1349" s="1">
        <f>IFERROR(__xludf.DUMMYFUNCTION("""COMPUTED_VALUE"""),"Unverified")</f>
        <v/>
      </c>
      <c r="AA1349" s="1" t="n"/>
      <c r="AB1349" s="1" t="n"/>
      <c r="AC1349" s="1" t="n"/>
      <c r="AD1349" s="1" t="n"/>
      <c r="AE1349" s="1" t="n"/>
    </row>
    <row r="1350" ht="42" customHeight="1">
      <c r="A1350" s="14">
        <f>IFERROR(__xludf.DUMMYFUNCTION("""COMPUTED_VALUE"""),45181)</f>
        <v/>
      </c>
      <c r="B1350" s="1">
        <f>IFERROR(__xludf.DUMMYFUNCTION("""COMPUTED_VALUE"""),"ORG_1777")</f>
        <v/>
      </c>
      <c r="C1350" s="1">
        <f>IFERROR(__xludf.DUMMYFUNCTION("""COMPUTED_VALUE"""),TRUE)</f>
        <v/>
      </c>
      <c r="D1350" s="1">
        <f>IFERROR(__xludf.DUMMYFUNCTION("""COMPUTED_VALUE"""),"Kings")</f>
        <v/>
      </c>
      <c r="E1350" s="15">
        <f>IFERROR(__xludf.DUMMYFUNCTION("""COMPUTED_VALUE"""),"kings.lt")</f>
        <v/>
      </c>
      <c r="F1350" s="1">
        <f>IFERROR(__xludf.DUMMYFUNCTION("""COMPUTED_VALUE"""),"Kings Olympiad organizes educational competitions (also called Olympiads) for schoolchildren. We started online Olympiads during Covid in Lithuania. Our model looks like freemium: participation in the first stage is free, if you get to the next round and "&amp;"want to continue, the price is 10 EUR. It is important that we have a platform for teachers, where they can register themselves and register their students for the Olympiads. For every action they are getting points, which can be exchanged into different "&amp;"material goods.")</f>
        <v/>
      </c>
      <c r="G1350" s="1">
        <f>IFERROR(__xludf.DUMMYFUNCTION("""COMPUTED_VALUE"""),"I'm not part of any EdTech association")</f>
        <v/>
      </c>
      <c r="H1350" s="1" t="n"/>
      <c r="I1350" s="1">
        <f>IFERROR(__xludf.DUMMYFUNCTION("""COMPUTED_VALUE"""),"i.vekua@kings.lt")</f>
        <v/>
      </c>
      <c r="J1350" s="1" t="n"/>
      <c r="K1350" s="1">
        <f>IFERROR(__xludf.DUMMYFUNCTION("""COMPUTED_VALUE"""),"Vilnius")</f>
        <v/>
      </c>
      <c r="L1350" s="1">
        <f>IFERROR(__xludf.DUMMYFUNCTION("""COMPUTED_VALUE"""),"Lithuania")</f>
        <v/>
      </c>
      <c r="M1350" s="1">
        <f>IFERROR(__xludf.DUMMYFUNCTION("""COMPUTED_VALUE"""),"Bulgaria, Lithuania")</f>
        <v/>
      </c>
      <c r="N1350" s="1">
        <f>IFERROR(__xludf.DUMMYFUNCTION("""COMPUTED_VALUE"""),"11 to 50")</f>
        <v/>
      </c>
      <c r="O1350" s="1">
        <f>IFERROR(__xludf.DUMMYFUNCTION("""COMPUTED_VALUE"""),"Business to Business, Business to Consumer, Business to Schools")</f>
        <v/>
      </c>
      <c r="P1350" s="1">
        <f>IFERROR(__xludf.DUMMYFUNCTION("""COMPUTED_VALUE"""),"Primary Education, Secondary Education")</f>
        <v/>
      </c>
      <c r="Q1350" s="1">
        <f>IFERROR(__xludf.DUMMYFUNCTION("""COMPUTED_VALUE"""),"System/Administrative, Student interfacing, Teacher interfacing")</f>
        <v/>
      </c>
      <c r="R1350" s="1" t="n"/>
      <c r="S1350" s="1" t="n"/>
      <c r="T1350" s="1" t="n"/>
      <c r="U1350" s="1" t="n"/>
      <c r="V1350" s="1" t="n"/>
      <c r="W1350" s="1" t="n"/>
      <c r="X1350" s="1" t="n"/>
      <c r="Y1350" s="15">
        <f>IFERROR(__xludf.DUMMYFUNCTION("""COMPUTED_VALUE"""),"https://drive.google.com/uc?export=view&amp;id=15z9REUQowvXlWBZVxxidwFesMKeaVOUn")</f>
        <v/>
      </c>
      <c r="Z1350" s="1">
        <f>IFERROR(__xludf.DUMMYFUNCTION("""COMPUTED_VALUE"""),"Unverified")</f>
        <v/>
      </c>
      <c r="AA1350" s="1" t="n"/>
      <c r="AB1350" s="1" t="n"/>
      <c r="AC1350" s="1" t="n"/>
      <c r="AD1350" s="1" t="n"/>
      <c r="AE1350" s="1" t="n"/>
    </row>
    <row r="1351" ht="42" customHeight="1">
      <c r="A1351" s="14">
        <f>IFERROR(__xludf.DUMMYFUNCTION("""COMPUTED_VALUE"""),45181)</f>
        <v/>
      </c>
      <c r="B1351" s="1">
        <f>IFERROR(__xludf.DUMMYFUNCTION("""COMPUTED_VALUE"""),"ORG_1880")</f>
        <v/>
      </c>
      <c r="C1351" s="1">
        <f>IFERROR(__xludf.DUMMYFUNCTION("""COMPUTED_VALUE"""),TRUE)</f>
        <v/>
      </c>
      <c r="D1351" s="1">
        <f>IFERROR(__xludf.DUMMYFUNCTION("""COMPUTED_VALUE"""),"Lingio")</f>
        <v/>
      </c>
      <c r="E1351" s="15">
        <f>IFERROR(__xludf.DUMMYFUNCTION("""COMPUTED_VALUE"""),"https://www.lingio.com/en")</f>
        <v/>
      </c>
      <c r="F1351" s="1">
        <f>IFERROR(__xludf.DUMMYFUNCTION("""COMPUTED_VALUE"""),"Lingio provides industry-specific language learning to corporations and solves: 
1) Corporations can recruit more foreign-born talent and solve company staffing shortages and meet business needs
2) Corporations will increase security at work, operational "&amp;"efficiency, customer satisfaction, retention of staff, and much more")</f>
        <v/>
      </c>
      <c r="G1351" s="1">
        <f>IFERROR(__xludf.DUMMYFUNCTION("""COMPUTED_VALUE"""),"Swedish EdTech Industry")</f>
        <v/>
      </c>
      <c r="H1351" s="1" t="n"/>
      <c r="I1351" s="1" t="n"/>
      <c r="J1351" s="1" t="n"/>
      <c r="K1351" s="1">
        <f>IFERROR(__xludf.DUMMYFUNCTION("""COMPUTED_VALUE"""),"Medborgarplatsen 25")</f>
        <v/>
      </c>
      <c r="L1351" s="1">
        <f>IFERROR(__xludf.DUMMYFUNCTION("""COMPUTED_VALUE"""),"Sweden")</f>
        <v/>
      </c>
      <c r="M1351" s="1">
        <f>IFERROR(__xludf.DUMMYFUNCTION("""COMPUTED_VALUE"""),"Austria, Belgium, France, Germany, Italy, Netherlands, Norway, Poland, Spain, Sweden, United Kingdom")</f>
        <v/>
      </c>
      <c r="N1351" s="1">
        <f>IFERROR(__xludf.DUMMYFUNCTION("""COMPUTED_VALUE"""),"11 to 50")</f>
        <v/>
      </c>
      <c r="O1351" s="1">
        <f>IFERROR(__xludf.DUMMYFUNCTION("""COMPUTED_VALUE"""),"Business to Business, Business to Government")</f>
        <v/>
      </c>
      <c r="P1351" s="1">
        <f>IFERROR(__xludf.DUMMYFUNCTION("""COMPUTED_VALUE"""),"Corporate Training, Lifelong learning/Adult education")</f>
        <v/>
      </c>
      <c r="Q1351" s="1">
        <f>IFERROR(__xludf.DUMMYFUNCTION("""COMPUTED_VALUE"""),"Teacher interfacing, Student interfacing, System/Administrative")</f>
        <v/>
      </c>
      <c r="R1351" s="1" t="n"/>
      <c r="S1351" s="1" t="n"/>
      <c r="T1351" s="15">
        <f>IFERROR(__xludf.DUMMYFUNCTION("""COMPUTED_VALUE"""),"https://www.linkedin.com/company/lingio")</f>
        <v/>
      </c>
      <c r="U1351" s="1">
        <f>IFERROR(__xludf.DUMMYFUNCTION("""COMPUTED_VALUE"""),"Lingio")</f>
        <v/>
      </c>
      <c r="V1351" s="1">
        <f>IFERROR(__xludf.DUMMYFUNCTION("""COMPUTED_VALUE"""),"Industry-specific language learning with 12x better course completion rates compared to global actors. Lingio is :
* Relevant: Industry-specific language learning needed for staff to excel at work. * Efficient: We have bridged learning, gamification and t"&amp;"ech and created world class products making learning truly efficient. * Fun: For deskless workers we provide fun learning so that it feels like playing a mobile game.")</f>
        <v/>
      </c>
      <c r="W1351" s="1" t="n"/>
      <c r="X1351" s="1" t="n"/>
      <c r="Y1351" s="15">
        <f>IFERROR(__xludf.DUMMYFUNCTION("""COMPUTED_VALUE"""),"https://drive.google.com/uc?export=view&amp;id=1UC5IHoaTV757dxz8n9nFVJ_so690SL0z")</f>
        <v/>
      </c>
      <c r="Z1351" s="1">
        <f>IFERROR(__xludf.DUMMYFUNCTION("""COMPUTED_VALUE"""),"Unverified")</f>
        <v/>
      </c>
      <c r="AA1351" s="1" t="n"/>
      <c r="AB1351" s="1" t="n"/>
      <c r="AC1351" s="1" t="n"/>
      <c r="AD1351" s="1" t="n"/>
      <c r="AE1351" s="1" t="n"/>
    </row>
    <row r="1352" ht="42" customHeight="1">
      <c r="A1352" s="14">
        <f>IFERROR(__xludf.DUMMYFUNCTION("""COMPUTED_VALUE"""),45181)</f>
        <v/>
      </c>
      <c r="B1352" s="1">
        <f>IFERROR(__xludf.DUMMYFUNCTION("""COMPUTED_VALUE"""),"ORG_1902")</f>
        <v/>
      </c>
      <c r="C1352" s="1">
        <f>IFERROR(__xludf.DUMMYFUNCTION("""COMPUTED_VALUE"""),TRUE)</f>
        <v/>
      </c>
      <c r="D1352" s="1">
        <f>IFERROR(__xludf.DUMMYFUNCTION("""COMPUTED_VALUE"""),"MAGMA Learning")</f>
        <v/>
      </c>
      <c r="E1352" s="15">
        <f>IFERROR(__xludf.DUMMYFUNCTION("""COMPUTED_VALUE"""),"https://www.magmalearning.com/")</f>
        <v/>
      </c>
      <c r="F1352" s="1">
        <f>IFERROR(__xludf.DUMMYFUNCTION("""COMPUTED_VALUE"""),"We help companies enhances the effectiveness and impact of their training programs thanks to our machine learning innovations:
Intelligent personalization boosts the learning experience by adapting the mind of each of your employees.
Automatic microlear"&amp;"ning generation creates interactive digital learning contents from your training materials.
Knowledge visualization motivates your learners and gives you deep insights to develop your learning strategies.")</f>
        <v/>
      </c>
      <c r="G1352" s="1">
        <f>IFERROR(__xludf.DUMMYFUNCTION("""COMPUTED_VALUE"""),"EdTech France, Swiss EdTech Collider")</f>
        <v/>
      </c>
      <c r="H1352" s="1" t="n"/>
      <c r="I1352" s="1">
        <f>IFERROR(__xludf.DUMMYFUNCTION("""COMPUTED_VALUE"""),"maxime@magmalearning.com")</f>
        <v/>
      </c>
      <c r="J1352" s="1">
        <f>IFERROR(__xludf.DUMMYFUNCTION("""COMPUTED_VALUE"""),"+41216471503")</f>
        <v/>
      </c>
      <c r="K1352" s="1">
        <f>IFERROR(__xludf.DUMMYFUNCTION("""COMPUTED_VALUE"""),"LAUSANNE")</f>
        <v/>
      </c>
      <c r="L1352" s="1">
        <f>IFERROR(__xludf.DUMMYFUNCTION("""COMPUTED_VALUE"""),"Switzerland")</f>
        <v/>
      </c>
      <c r="M1352" s="1">
        <f>IFERROR(__xludf.DUMMYFUNCTION("""COMPUTED_VALUE"""),"Belgium, Denmark, France, Germany, Italy, Luxembourg, Spain, Switzerland, United Kingdom")</f>
        <v/>
      </c>
      <c r="N1352" s="1">
        <f>IFERROR(__xludf.DUMMYFUNCTION("""COMPUTED_VALUE"""),"0 to 10")</f>
        <v/>
      </c>
      <c r="O1352" s="1">
        <f>IFERROR(__xludf.DUMMYFUNCTION("""COMPUTED_VALUE"""),"Business to Business, Business to Government, Business to Schools")</f>
        <v/>
      </c>
      <c r="P1352" s="1">
        <f>IFERROR(__xludf.DUMMYFUNCTION("""COMPUTED_VALUE"""),"Corporate Training")</f>
        <v/>
      </c>
      <c r="Q1352" s="1">
        <f>IFERROR(__xludf.DUMMYFUNCTION("""COMPUTED_VALUE"""),"Teacher interfacing, System/Administrative")</f>
        <v/>
      </c>
      <c r="R1352" s="1">
        <f>IFERROR(__xludf.DUMMYFUNCTION("""COMPUTED_VALUE"""),"MAGMA Learning")</f>
        <v/>
      </c>
      <c r="S1352" s="1">
        <f>IFERROR(__xludf.DUMMYFUNCTION("""COMPUTED_VALUE"""),"MAGMA Learning")</f>
        <v/>
      </c>
      <c r="T1352" s="15">
        <f>IFERROR(__xludf.DUMMYFUNCTION("""COMPUTED_VALUE"""),"https://www.linkedin.com/company/magma-learning")</f>
        <v/>
      </c>
      <c r="U1352" s="1">
        <f>IFERROR(__xludf.DUMMYFUNCTION("""COMPUTED_VALUE"""),"ARI 9000")</f>
        <v/>
      </c>
      <c r="V1352" s="1">
        <f>IFERROR(__xludf.DUMMYFUNCTION("""COMPUTED_VALUE"""),"Our multi-platform app ARI 9000 acts like a personal AI tutor for your employees. ARI builds a model of their knowledge and helps them expand it towards their fullest potential.")</f>
        <v/>
      </c>
      <c r="W1352" s="1">
        <f>IFERROR(__xludf.DUMMYFUNCTION("""COMPUTED_VALUE"""),"Microlearning generation")</f>
        <v/>
      </c>
      <c r="X1352" s="1">
        <f>IFERROR(__xludf.DUMMYFUNCTION("""COMPUTED_VALUE"""),"Our AI analyses your training materials and turns them into interactive microlearning puzzles. 
Quickly scale up your digital learning offerings! You can also generate engaging quizzes to evaluate your employees’ constructive development.")</f>
        <v/>
      </c>
      <c r="Y1352" s="15">
        <f>IFERROR(__xludf.DUMMYFUNCTION("""COMPUTED_VALUE"""),"https://drive.google.com/uc?export=view&amp;id=1u31TDPk-Ut4ct4gTzRgG76gMBrDMOCNw")</f>
        <v/>
      </c>
      <c r="Z1352" s="1">
        <f>IFERROR(__xludf.DUMMYFUNCTION("""COMPUTED_VALUE"""),"Unverified")</f>
        <v/>
      </c>
      <c r="AA1352" s="1" t="n"/>
      <c r="AB1352" s="1" t="n"/>
      <c r="AC1352" s="1" t="n"/>
      <c r="AD1352" s="1" t="n"/>
      <c r="AE1352" s="1" t="n"/>
    </row>
    <row r="1353" ht="42" customHeight="1">
      <c r="A1353" s="14">
        <f>IFERROR(__xludf.DUMMYFUNCTION("""COMPUTED_VALUE"""),45181)</f>
        <v/>
      </c>
      <c r="B1353" s="1">
        <f>IFERROR(__xludf.DUMMYFUNCTION("""COMPUTED_VALUE"""),"ORG_1903")</f>
        <v/>
      </c>
      <c r="C1353" s="1">
        <f>IFERROR(__xludf.DUMMYFUNCTION("""COMPUTED_VALUE"""),TRUE)</f>
        <v/>
      </c>
      <c r="D1353" s="1">
        <f>IFERROR(__xludf.DUMMYFUNCTION("""COMPUTED_VALUE"""),"Magma Math")</f>
        <v/>
      </c>
      <c r="E1353" s="15">
        <f>IFERROR(__xludf.DUMMYFUNCTION("""COMPUTED_VALUE"""),"www.magmamath.com")</f>
        <v/>
      </c>
      <c r="F1353" s="1">
        <f>IFERROR(__xludf.DUMMYFUNCTION("""COMPUTED_VALUE"""),"Magma is the leading application for math education where students are able to show their work and express themselves when solving problems. Mathematics is more than just multiple choice practice. Each step in a student's process reveals a story. With Mag"&amp;"ma Math, ALL students are empowered to see themselves as doers of mathematics. Teachers are able to facilitate mathematics as a living practice and center students' voices in every lesson. With Magma, teachers can provide differentiated support for each a"&amp;"nd every student using qualitative and quantitative data populated in real-time. Check out www.magmamath.com to see how it works.")</f>
        <v/>
      </c>
      <c r="G1353" s="1">
        <f>IFERROR(__xludf.DUMMYFUNCTION("""COMPUTED_VALUE"""),"Swedish EdTech Industry")</f>
        <v/>
      </c>
      <c r="H1353" s="1" t="n"/>
      <c r="I1353" s="1">
        <f>IFERROR(__xludf.DUMMYFUNCTION("""COMPUTED_VALUE"""),"arvid@magmamath.com")</f>
        <v/>
      </c>
      <c r="J1353" s="1">
        <f>IFERROR(__xludf.DUMMYFUNCTION("""COMPUTED_VALUE"""),"+46707913464")</f>
        <v/>
      </c>
      <c r="K1353" s="1">
        <f>IFERROR(__xludf.DUMMYFUNCTION("""COMPUTED_VALUE"""),"STOCKHOLM")</f>
        <v/>
      </c>
      <c r="L1353" s="1">
        <f>IFERROR(__xludf.DUMMYFUNCTION("""COMPUTED_VALUE"""),"Sweden")</f>
        <v/>
      </c>
      <c r="M1353" s="1">
        <f>IFERROR(__xludf.DUMMYFUNCTION("""COMPUTED_VALUE"""),"Spain, Sweden")</f>
        <v/>
      </c>
      <c r="N1353" s="1">
        <f>IFERROR(__xludf.DUMMYFUNCTION("""COMPUTED_VALUE"""),"11 to 50")</f>
        <v/>
      </c>
      <c r="O1353" s="1">
        <f>IFERROR(__xludf.DUMMYFUNCTION("""COMPUTED_VALUE"""),"Business to Business, Business to Government, Business to Schools")</f>
        <v/>
      </c>
      <c r="P1353" s="1">
        <f>IFERROR(__xludf.DUMMYFUNCTION("""COMPUTED_VALUE"""),"Primary Education, Secondary Education")</f>
        <v/>
      </c>
      <c r="Q1353" s="1">
        <f>IFERROR(__xludf.DUMMYFUNCTION("""COMPUTED_VALUE"""),"Student interfacing, Teacher interfacing")</f>
        <v/>
      </c>
      <c r="R1353" s="15">
        <f>IFERROR(__xludf.DUMMYFUNCTION("""COMPUTED_VALUE"""),"instagram.com/magma_math")</f>
        <v/>
      </c>
      <c r="S1353" s="15">
        <f>IFERROR(__xludf.DUMMYFUNCTION("""COMPUTED_VALUE"""),"twitter.com/magmamath")</f>
        <v/>
      </c>
      <c r="T1353" s="15">
        <f>IFERROR(__xludf.DUMMYFUNCTION("""COMPUTED_VALUE"""),"https://www.linkedin.com/company/magma-math")</f>
        <v/>
      </c>
      <c r="U1353" s="1">
        <f>IFERROR(__xludf.DUMMYFUNCTION("""COMPUTED_VALUE"""),"Magma Math")</f>
        <v/>
      </c>
      <c r="V1353" s="1">
        <f>IFERROR(__xludf.DUMMYFUNCTION("""COMPUTED_VALUE"""),"Magma is the leading application for math education where students are able to show their work and express themselves when solving problems. Mathematics is more than just multiple choice practice. Each step in a student's process reveals a story. With Mag"&amp;"ma Math, ALL students are empowered to see themselves as doers of mathematics. Teachers are able to facilitate mathematics as a living practice and center students' voices in every lesson. With Magma, teachers can provide differentiated support for each a"&amp;"nd every student using qualitative and quantitative data populated in real-time. Check out www.magmamath.com to see how it works.")</f>
        <v/>
      </c>
      <c r="W1353" s="1" t="n"/>
      <c r="X1353" s="1" t="n"/>
      <c r="Y1353" s="15">
        <f>IFERROR(__xludf.DUMMYFUNCTION("""COMPUTED_VALUE"""),"https://drive.google.com/uc?export=view&amp;id=1KawoERUFQfFikHlRSnMKFNbiaUuZL6xz")</f>
        <v/>
      </c>
      <c r="Z1353" s="1">
        <f>IFERROR(__xludf.DUMMYFUNCTION("""COMPUTED_VALUE"""),"Unverified")</f>
        <v/>
      </c>
      <c r="AA1353" s="1" t="n"/>
      <c r="AB1353" s="1" t="n"/>
      <c r="AC1353" s="1" t="n"/>
      <c r="AD1353" s="1" t="n"/>
      <c r="AE1353" s="1" t="n"/>
    </row>
    <row r="1354" ht="42" customHeight="1">
      <c r="A1354" s="14">
        <f>IFERROR(__xludf.DUMMYFUNCTION("""COMPUTED_VALUE"""),45181)</f>
        <v/>
      </c>
      <c r="B1354" s="1">
        <f>IFERROR(__xludf.DUMMYFUNCTION("""COMPUTED_VALUE"""),"ORG_1939")</f>
        <v/>
      </c>
      <c r="C1354" s="1">
        <f>IFERROR(__xludf.DUMMYFUNCTION("""COMPUTED_VALUE"""),TRUE)</f>
        <v/>
      </c>
      <c r="D1354" s="1">
        <f>IFERROR(__xludf.DUMMYFUNCTION("""COMPUTED_VALUE"""),"Meebook")</f>
        <v/>
      </c>
      <c r="E1354" s="15">
        <f>IFERROR(__xludf.DUMMYFUNCTION("""COMPUTED_VALUE"""),"https://www.meebook.org/")</f>
        <v/>
      </c>
      <c r="F1354" s="1">
        <f>IFERROR(__xludf.DUMMYFUNCTION("""COMPUTED_VALUE"""),"Meebook is a learning management system (LMS), known for its intuitive and user-friendly interface. 
With Meebook, you get a method-free learning platform for planning, conducting, and evaluating your teaching. Together we strengthen students’ learning, k"&amp;"nowledge sharing, academic management, and parent collaboration. Meebook is the most commonly used LMS in Denmark, and the platform makes it easy for students to find the material in one place and to be updated on upcoming courses.")</f>
        <v/>
      </c>
      <c r="G1354" s="1">
        <f>IFERROR(__xludf.DUMMYFUNCTION("""COMPUTED_VALUE"""),"EdTech Denmark")</f>
        <v/>
      </c>
      <c r="H1354" s="1" t="n"/>
      <c r="I1354" s="1">
        <f>IFERROR(__xludf.DUMMYFUNCTION("""COMPUTED_VALUE"""),"srs@meebook.com")</f>
        <v/>
      </c>
      <c r="J1354" s="1">
        <f>IFERROR(__xludf.DUMMYFUNCTION("""COMPUTED_VALUE"""),"+4533110780")</f>
        <v/>
      </c>
      <c r="K1354" s="1">
        <f>IFERROR(__xludf.DUMMYFUNCTION("""COMPUTED_VALUE"""),"KØBENHAVN")</f>
        <v/>
      </c>
      <c r="L1354" s="1">
        <f>IFERROR(__xludf.DUMMYFUNCTION("""COMPUTED_VALUE"""),"Denmark")</f>
        <v/>
      </c>
      <c r="M1354" s="1">
        <f>IFERROR(__xludf.DUMMYFUNCTION("""COMPUTED_VALUE"""),"Denmark")</f>
        <v/>
      </c>
      <c r="N1354" s="1">
        <f>IFERROR(__xludf.DUMMYFUNCTION("""COMPUTED_VALUE"""),"11 to 50")</f>
        <v/>
      </c>
      <c r="O1354" s="1">
        <f>IFERROR(__xludf.DUMMYFUNCTION("""COMPUTED_VALUE"""),"Business to Business, Business to Government, Business to Schools")</f>
        <v/>
      </c>
      <c r="P1354" s="1">
        <f>IFERROR(__xludf.DUMMYFUNCTION("""COMPUTED_VALUE"""),"Early childhood development (0-5 years), Primary Education, Secondary Education, Higher Education, Corporate Training")</f>
        <v/>
      </c>
      <c r="Q1354" s="1">
        <f>IFERROR(__xludf.DUMMYFUNCTION("""COMPUTED_VALUE"""),"System/Administrative, Student interfacing, Teacher interfacing")</f>
        <v/>
      </c>
      <c r="R1354" s="1" t="n"/>
      <c r="S1354" s="1" t="n"/>
      <c r="T1354" s="1" t="n"/>
      <c r="U1354" s="1" t="n"/>
      <c r="V1354" s="1" t="n"/>
      <c r="W1354" s="1" t="n"/>
      <c r="X1354" s="1" t="n"/>
      <c r="Y1354" s="15">
        <f>IFERROR(__xludf.DUMMYFUNCTION("""COMPUTED_VALUE"""),"https://drive.google.com/uc?export=view&amp;id=1fh3eyiLhJMGGQ4oj8NqA7nVBIL8hCj5L")</f>
        <v/>
      </c>
      <c r="Z1354" s="1">
        <f>IFERROR(__xludf.DUMMYFUNCTION("""COMPUTED_VALUE"""),"Unverified")</f>
        <v/>
      </c>
      <c r="AA1354" s="1" t="n"/>
      <c r="AB1354" s="1" t="n"/>
      <c r="AC1354" s="1" t="n"/>
      <c r="AD1354" s="1" t="n"/>
      <c r="AE1354" s="1" t="n"/>
    </row>
    <row r="1355" ht="42" customHeight="1">
      <c r="A1355" s="14">
        <f>IFERROR(__xludf.DUMMYFUNCTION("""COMPUTED_VALUE"""),45181)</f>
        <v/>
      </c>
      <c r="B1355" s="1">
        <f>IFERROR(__xludf.DUMMYFUNCTION("""COMPUTED_VALUE"""),"ORG_1974")</f>
        <v/>
      </c>
      <c r="C1355" s="1">
        <f>IFERROR(__xludf.DUMMYFUNCTION("""COMPUTED_VALUE"""),TRUE)</f>
        <v/>
      </c>
      <c r="D1355" s="1">
        <f>IFERROR(__xludf.DUMMYFUNCTION("""COMPUTED_VALUE"""),"MobieTrain")</f>
        <v/>
      </c>
      <c r="E1355" s="15">
        <f>IFERROR(__xludf.DUMMYFUNCTION("""COMPUTED_VALUE"""),"https://www.mobietrain.com/")</f>
        <v/>
      </c>
      <c r="F1355" s="1">
        <f>IFERROR(__xludf.DUMMYFUNCTION("""COMPUTED_VALUE"""),"MobieTrain is The #1 Learning App for your Frontline Teams. 
MobieTrain revolutionises workplace training with mobile-first microlearning. Our mission is to empower all employees with the right training content at the right time on the device they prefer,"&amp;" to help them succeed in their professional and personal development. 
MobieTrain empowers the employees of organisations such as Decathlon, Vans, Diesel, Emirates Post, Timberland, Azadea Group and Hästens with the right training content, at the right ti"&amp;"me, on the device they prefer. The MobieTrain Platform transfers knowledge 6 times more effectively while reducing the time of content creation and administration by more than half.")</f>
        <v/>
      </c>
      <c r="G1355" s="1">
        <f>IFERROR(__xludf.DUMMYFUNCTION("""COMPUTED_VALUE"""),"I'm not part of any EdTech association")</f>
        <v/>
      </c>
      <c r="H1355" s="1" t="n"/>
      <c r="I1355" s="1">
        <f>IFERROR(__xludf.DUMMYFUNCTION("""COMPUTED_VALUE"""),"hello@mobietrain.com")</f>
        <v/>
      </c>
      <c r="J1355" s="1">
        <f>IFERROR(__xludf.DUMMYFUNCTION("""COMPUTED_VALUE"""),"(+32) 475 79 34 97")</f>
        <v/>
      </c>
      <c r="K1355" s="1">
        <f>IFERROR(__xludf.DUMMYFUNCTION("""COMPUTED_VALUE"""),"Genk")</f>
        <v/>
      </c>
      <c r="L1355" s="1">
        <f>IFERROR(__xludf.DUMMYFUNCTION("""COMPUTED_VALUE"""),"Belgium")</f>
        <v/>
      </c>
      <c r="M1355" s="1">
        <f>IFERROR(__xludf.DUMMYFUNCTION("""COMPUTED_VALUE"""),"Belgium, Denmark, France, Germany, Italy, Luxembourg, Netherlands, Norway, Portugal, Spain, Sweden, United Kingdom")</f>
        <v/>
      </c>
      <c r="N1355" s="1">
        <f>IFERROR(__xludf.DUMMYFUNCTION("""COMPUTED_VALUE"""),"51 to 100")</f>
        <v/>
      </c>
      <c r="O1355" s="1">
        <f>IFERROR(__xludf.DUMMYFUNCTION("""COMPUTED_VALUE"""),"Business to Business, Business to Government, Business to Schools")</f>
        <v/>
      </c>
      <c r="P1355" s="1">
        <f>IFERROR(__xludf.DUMMYFUNCTION("""COMPUTED_VALUE"""),"Corporate Training")</f>
        <v/>
      </c>
      <c r="Q1355" s="1">
        <f>IFERROR(__xludf.DUMMYFUNCTION("""COMPUTED_VALUE"""),"System/Administrative")</f>
        <v/>
      </c>
      <c r="R1355" s="1" t="n"/>
      <c r="S1355" s="1" t="n"/>
      <c r="T1355" s="1" t="n"/>
      <c r="U1355" s="1" t="n"/>
      <c r="V1355" s="1" t="n"/>
      <c r="W1355" s="1" t="n"/>
      <c r="X1355" s="1" t="n"/>
      <c r="Y1355" s="15">
        <f>IFERROR(__xludf.DUMMYFUNCTION("""COMPUTED_VALUE"""),"https://drive.google.com/uc?export=view&amp;id=1cZjFsdmcGZsygV0t8hzOKS31SRL_Y1BF")</f>
        <v/>
      </c>
      <c r="Z1355" s="1">
        <f>IFERROR(__xludf.DUMMYFUNCTION("""COMPUTED_VALUE"""),"Unverified")</f>
        <v/>
      </c>
      <c r="AA1355" s="1" t="n"/>
      <c r="AB1355" s="1" t="n"/>
      <c r="AC1355" s="1" t="n"/>
      <c r="AD1355" s="1" t="n"/>
      <c r="AE1355" s="1" t="n"/>
    </row>
    <row r="1356" ht="42" customHeight="1">
      <c r="A1356" s="14">
        <f>IFERROR(__xludf.DUMMYFUNCTION("""COMPUTED_VALUE"""),45181)</f>
        <v/>
      </c>
      <c r="B1356" s="1">
        <f>IFERROR(__xludf.DUMMYFUNCTION("""COMPUTED_VALUE"""),"ORG_2044")</f>
        <v/>
      </c>
      <c r="C1356" s="1">
        <f>IFERROR(__xludf.DUMMYFUNCTION("""COMPUTED_VALUE"""),TRUE)</f>
        <v/>
      </c>
      <c r="D1356" s="1">
        <f>IFERROR(__xludf.DUMMYFUNCTION("""COMPUTED_VALUE"""),"NOOBE")</f>
        <v/>
      </c>
      <c r="E1356" s="15">
        <f>IFERROR(__xludf.DUMMYFUNCTION("""COMPUTED_VALUE"""),"www.noobe.es")</f>
        <v/>
      </c>
      <c r="F1356" s="1">
        <f>IFERROR(__xludf.DUMMYFUNCTION("""COMPUTED_VALUE"""),"We are a company specialized in the digital transformation of learning processes, and for this we have developed a digital solution called NOOBE that allows flexibility, personalization and individualization of learning itineraries and work plans for stud"&amp;"ents so that teachers can design experiences of learning they want based on their purpose and educational project")</f>
        <v/>
      </c>
      <c r="G1356" s="1">
        <f>IFERROR(__xludf.DUMMYFUNCTION("""COMPUTED_VALUE"""),"EduTech Cluster Spain")</f>
        <v/>
      </c>
      <c r="H1356" s="1">
        <f>IFERROR(__xludf.DUMMYFUNCTION("""COMPUTED_VALUE"""),"Spanish, English, Catalan")</f>
        <v/>
      </c>
      <c r="I1356" s="1">
        <f>IFERROR(__xludf.DUMMYFUNCTION("""COMPUTED_VALUE"""),"manuel.llorens@trebol-educacion.com")</f>
        <v/>
      </c>
      <c r="J1356" s="1">
        <f>IFERROR(__xludf.DUMMYFUNCTION("""COMPUTED_VALUE"""),"+34 952205823")</f>
        <v/>
      </c>
      <c r="K1356" s="1">
        <f>IFERROR(__xludf.DUMMYFUNCTION("""COMPUTED_VALUE"""),"MALAGA")</f>
        <v/>
      </c>
      <c r="L1356" s="1">
        <f>IFERROR(__xludf.DUMMYFUNCTION("""COMPUTED_VALUE"""),"Spain")</f>
        <v/>
      </c>
      <c r="M1356" s="1">
        <f>IFERROR(__xludf.DUMMYFUNCTION("""COMPUTED_VALUE"""),"Andorra, Portugal, Spain")</f>
        <v/>
      </c>
      <c r="N1356" s="1">
        <f>IFERROR(__xludf.DUMMYFUNCTION("""COMPUTED_VALUE"""),"11 to 50")</f>
        <v/>
      </c>
      <c r="O1356" s="1">
        <f>IFERROR(__xludf.DUMMYFUNCTION("""COMPUTED_VALUE"""),"Business to Business, Business to Schools")</f>
        <v/>
      </c>
      <c r="P1356" s="1">
        <f>IFERROR(__xludf.DUMMYFUNCTION("""COMPUTED_VALUE"""),"Primary Education, Secondary Education")</f>
        <v/>
      </c>
      <c r="Q1356" s="1">
        <f>IFERROR(__xludf.DUMMYFUNCTION("""COMPUTED_VALUE"""),"Teacher interfacing, System/Administrative")</f>
        <v/>
      </c>
      <c r="R1356" s="15">
        <f>IFERROR(__xludf.DUMMYFUNCTION("""COMPUTED_VALUE"""),"https://www.instagram.com/noobeagilelearning/")</f>
        <v/>
      </c>
      <c r="S1356" s="15">
        <f>IFERROR(__xludf.DUMMYFUNCTION("""COMPUTED_VALUE"""),"https://twitter.com/Noobe_AL")</f>
        <v/>
      </c>
      <c r="T1356" s="15">
        <f>IFERROR(__xludf.DUMMYFUNCTION("""COMPUTED_VALUE"""),"https://www.linkedin.com/company/noobeeducation/")</f>
        <v/>
      </c>
      <c r="U1356" s="1">
        <f>IFERROR(__xludf.DUMMYFUNCTION("""COMPUTED_VALUE"""),"NOOBE")</f>
        <v/>
      </c>
      <c r="V1356" s="1">
        <f>IFERROR(__xludf.DUMMYFUNCTION("""COMPUTED_VALUE"""),"NOOBE is a digital solution that allows teachers to manage all phases related to the learning experience of their students, including planning and defining learning objectives, personalization of groups, content and learning strategies, implementation in "&amp;"the School, monitoring of the students, continuous evaluation and feedback and information on the achievement of goals based on the graduation profile")</f>
        <v/>
      </c>
      <c r="W1356" s="1" t="n"/>
      <c r="X1356" s="1" t="n"/>
      <c r="Y1356" s="15">
        <f>IFERROR(__xludf.DUMMYFUNCTION("""COMPUTED_VALUE"""),"https://drive.google.com/uc?export=view&amp;id=1iKwNLIl1olsJV47PftqjWuIMn13cqmS2")</f>
        <v/>
      </c>
      <c r="Z1356" s="1">
        <f>IFERROR(__xludf.DUMMYFUNCTION("""COMPUTED_VALUE"""),"Unverified")</f>
        <v/>
      </c>
      <c r="AA1356" s="1" t="n"/>
      <c r="AB1356" s="1" t="n"/>
      <c r="AC1356" s="1" t="n"/>
      <c r="AD1356" s="1" t="n"/>
      <c r="AE1356" s="1" t="n"/>
    </row>
    <row r="1357" ht="42" customHeight="1">
      <c r="A1357" s="14">
        <f>IFERROR(__xludf.DUMMYFUNCTION("""COMPUTED_VALUE"""),45181)</f>
        <v/>
      </c>
      <c r="B1357" s="1">
        <f>IFERROR(__xludf.DUMMYFUNCTION("""COMPUTED_VALUE"""),"ORG_2085")</f>
        <v/>
      </c>
      <c r="C1357" s="1">
        <f>IFERROR(__xludf.DUMMYFUNCTION("""COMPUTED_VALUE"""),TRUE)</f>
        <v/>
      </c>
      <c r="D1357" s="1">
        <f>IFERROR(__xludf.DUMMYFUNCTION("""COMPUTED_VALUE"""),"Paideia")</f>
        <v/>
      </c>
      <c r="E1357" s="15">
        <f>IFERROR(__xludf.DUMMYFUNCTION("""COMPUTED_VALUE"""),"www.paideialondon.com")</f>
        <v/>
      </c>
      <c r="F1357" s="1">
        <f>IFERROR(__xludf.DUMMYFUNCTION("""COMPUTED_VALUE"""),"Paideia is a digital learning platform backed by science, offering a start-to-finish pathways to exams. 
We have built a complete solution for parents and children as they support learning at home. We combine different medias - digital lessons, practice "&amp;"questions and worksheets - with gamification through live Masterclasses and head-to-head gaming.
Our students learn efficiently and effectively, outperforming their peers while spending less time learning.")</f>
        <v/>
      </c>
      <c r="G1357" s="1">
        <f>IFERROR(__xludf.DUMMYFUNCTION("""COMPUTED_VALUE"""),"SuperCharger Ventures")</f>
        <v/>
      </c>
      <c r="H1357" s="1" t="n"/>
      <c r="I1357" s="1">
        <f>IFERROR(__xludf.DUMMYFUNCTION("""COMPUTED_VALUE"""),"hello@paideialondon.com")</f>
        <v/>
      </c>
      <c r="J1357" s="1" t="n"/>
      <c r="K1357" s="1">
        <f>IFERROR(__xludf.DUMMYFUNCTION("""COMPUTED_VALUE"""),"LONDON")</f>
        <v/>
      </c>
      <c r="L1357" s="1">
        <f>IFERROR(__xludf.DUMMYFUNCTION("""COMPUTED_VALUE"""),"United Kingdom")</f>
        <v/>
      </c>
      <c r="M1357" s="1">
        <f>IFERROR(__xludf.DUMMYFUNCTION("""COMPUTED_VALUE"""),"United Kingdom")</f>
        <v/>
      </c>
      <c r="N1357" s="1">
        <f>IFERROR(__xludf.DUMMYFUNCTION("""COMPUTED_VALUE"""),"0 to 10")</f>
        <v/>
      </c>
      <c r="O1357" s="1">
        <f>IFERROR(__xludf.DUMMYFUNCTION("""COMPUTED_VALUE"""),"Business to Business, Business to Schools")</f>
        <v/>
      </c>
      <c r="P1357" s="1">
        <f>IFERROR(__xludf.DUMMYFUNCTION("""COMPUTED_VALUE"""),"Early childhood development (0-5 years), Primary Education, Secondary Education")</f>
        <v/>
      </c>
      <c r="Q1357" s="1">
        <f>IFERROR(__xludf.DUMMYFUNCTION("""COMPUTED_VALUE"""),"System/Administrative, Student interfacing, Teacher interfacing")</f>
        <v/>
      </c>
      <c r="R1357" s="1" t="n"/>
      <c r="S1357" s="1" t="n"/>
      <c r="T1357" s="1" t="n"/>
      <c r="U1357" s="1" t="n"/>
      <c r="V1357" s="1" t="n"/>
      <c r="W1357" s="1" t="n"/>
      <c r="X1357" s="1" t="n"/>
      <c r="Y1357" s="15">
        <f>IFERROR(__xludf.DUMMYFUNCTION("""COMPUTED_VALUE"""),"https://drive.google.com/uc?export=view&amp;id=10TjOvjGvEVQQ9XiSsjaKtz3Qja5zanBi")</f>
        <v/>
      </c>
      <c r="Z1357" s="1">
        <f>IFERROR(__xludf.DUMMYFUNCTION("""COMPUTED_VALUE"""),"Unverified")</f>
        <v/>
      </c>
      <c r="AA1357" s="1" t="n"/>
      <c r="AB1357" s="1" t="n"/>
      <c r="AC1357" s="1" t="n"/>
      <c r="AD1357" s="1" t="n"/>
      <c r="AE1357" s="1" t="n"/>
    </row>
    <row r="1358" ht="42" customHeight="1">
      <c r="A1358" s="14">
        <f>IFERROR(__xludf.DUMMYFUNCTION("""COMPUTED_VALUE"""),45181)</f>
        <v/>
      </c>
      <c r="B1358" s="1">
        <f>IFERROR(__xludf.DUMMYFUNCTION("""COMPUTED_VALUE"""),"ORG_2105")</f>
        <v/>
      </c>
      <c r="C1358" s="1">
        <f>IFERROR(__xludf.DUMMYFUNCTION("""COMPUTED_VALUE"""),TRUE)</f>
        <v/>
      </c>
      <c r="D1358" s="1">
        <f>IFERROR(__xludf.DUMMYFUNCTION("""COMPUTED_VALUE"""),"PITCHBOY")</f>
        <v/>
      </c>
      <c r="E1358" s="15">
        <f>IFERROR(__xludf.DUMMYFUNCTION("""COMPUTED_VALUE"""),"https://www.pitchboy.sc/")</f>
        <v/>
      </c>
      <c r="F1358" s="1">
        <f>IFERROR(__xludf.DUMMYFUNCTION("""COMPUTED_VALUE"""),"PITCHBOY is the 1st conversation simulator to develop employees skills and complete current training tools!
We combine the most innovative artificial intelligence and voice recognition technologies to recreate total immersion in a real work environment.
T"&amp;"he employees freely train themselves to develop the right reflexes. They are trained in an efficient, playful and caring way.
The conversational learning platform is first and foremost a library for your immersive
simulations, in audio, 2D video or 360° "&amp;"video.
The user is immersed in a realistic working environment and has a natural conversation
with a video or voice recorded interlocutor. The platform is also a managerial support
tool. Statistical data and replays make it possible to identify achievemen"&amp;"ts and areas for improvement, by learner or group of learners.")</f>
        <v/>
      </c>
      <c r="G1358" s="1">
        <f>IFERROR(__xludf.DUMMYFUNCTION("""COMPUTED_VALUE"""),"EdTech France")</f>
        <v/>
      </c>
      <c r="H1358" s="1" t="n"/>
      <c r="I1358" s="1">
        <f>IFERROR(__xludf.DUMMYFUNCTION("""COMPUTED_VALUE"""),"contact@pitchboy.sc")</f>
        <v/>
      </c>
      <c r="J1358" s="1" t="n"/>
      <c r="K1358" s="1">
        <f>IFERROR(__xludf.DUMMYFUNCTION("""COMPUTED_VALUE"""),"PARIS")</f>
        <v/>
      </c>
      <c r="L1358" s="1">
        <f>IFERROR(__xludf.DUMMYFUNCTION("""COMPUTED_VALUE"""),"France")</f>
        <v/>
      </c>
      <c r="M1358" s="1">
        <f>IFERROR(__xludf.DUMMYFUNCTION("""COMPUTED_VALUE"""),"Belgium, France, United Kingdom")</f>
        <v/>
      </c>
      <c r="N1358" s="1">
        <f>IFERROR(__xludf.DUMMYFUNCTION("""COMPUTED_VALUE"""),"0 to 10")</f>
        <v/>
      </c>
      <c r="O1358" s="1">
        <f>IFERROR(__xludf.DUMMYFUNCTION("""COMPUTED_VALUE"""),"Business to Consumer")</f>
        <v/>
      </c>
      <c r="P1358" s="1">
        <f>IFERROR(__xludf.DUMMYFUNCTION("""COMPUTED_VALUE"""),"Corporate Training, Lifelong learning/Adult education")</f>
        <v/>
      </c>
      <c r="Q1358" s="1">
        <f>IFERROR(__xludf.DUMMYFUNCTION("""COMPUTED_VALUE"""),"Teacher interfacing, System/Administrative")</f>
        <v/>
      </c>
      <c r="R1358" s="1" t="n"/>
      <c r="S1358" s="15">
        <f>IFERROR(__xludf.DUMMYFUNCTION("""COMPUTED_VALUE"""),"https://twitter.com/PitchboyVR")</f>
        <v/>
      </c>
      <c r="T1358" s="15">
        <f>IFERROR(__xludf.DUMMYFUNCTION("""COMPUTED_VALUE"""),"https://www.linkedin.com/company/pitchboy/")</f>
        <v/>
      </c>
      <c r="U1358" s="1">
        <f>IFERROR(__xludf.DUMMYFUNCTION("""COMPUTED_VALUE"""),"Conversation simulator")</f>
        <v/>
      </c>
      <c r="V1358" s="1">
        <f>IFERROR(__xludf.DUMMYFUNCTION("""COMPUTED_VALUE"""),"The conversational learning platform is first and foremost a library for your immersive simulations, in audio, 2D video or 360° video (and deepfake video).
Several modalities are available for your recruitment, onboarding, training and awareness : convers"&amp;"ational quiz, conversational micro-learning and conversational work situations.")</f>
        <v/>
      </c>
      <c r="W1358" s="1">
        <f>IFERROR(__xludf.DUMMYFUNCTION("""COMPUTED_VALUE"""),"Authoring tool")</f>
        <v/>
      </c>
      <c r="X1358" s="1">
        <f>IFERROR(__xludf.DUMMYFUNCTION("""COMPUTED_VALUE"""),"Get started with the conversational intelligence technology developed by Pitchboy to freely create and integrate conversation simulations into your training paths. Simply use voice recognition in training, no coding skills required. Script writing is made"&amp;" easier to highlight your know-how and your teaching expertise.")</f>
        <v/>
      </c>
      <c r="Y1358" s="1" t="n"/>
      <c r="Z1358" s="1">
        <f>IFERROR(__xludf.DUMMYFUNCTION("""COMPUTED_VALUE"""),"Unverified")</f>
        <v/>
      </c>
      <c r="AA1358" s="1" t="n"/>
      <c r="AB1358" s="1" t="n"/>
      <c r="AC1358" s="1" t="n"/>
      <c r="AD1358" s="1" t="n"/>
      <c r="AE1358" s="1" t="n"/>
    </row>
    <row r="1359" ht="42" customHeight="1">
      <c r="A1359" s="14">
        <f>IFERROR(__xludf.DUMMYFUNCTION("""COMPUTED_VALUE"""),45181)</f>
        <v/>
      </c>
      <c r="B1359" s="1">
        <f>IFERROR(__xludf.DUMMYFUNCTION("""COMPUTED_VALUE"""),"ORG_2201")</f>
        <v/>
      </c>
      <c r="C1359" s="1">
        <f>IFERROR(__xludf.DUMMYFUNCTION("""COMPUTED_VALUE"""),TRUE)</f>
        <v/>
      </c>
      <c r="D1359" s="1">
        <f>IFERROR(__xludf.DUMMYFUNCTION("""COMPUTED_VALUE"""),"Roundies")</f>
        <v/>
      </c>
      <c r="E1359" s="15">
        <f>IFERROR(__xludf.DUMMYFUNCTION("""COMPUTED_VALUE"""),"https://tunteetjataidot.fi/en/home/")</f>
        <v/>
      </c>
      <c r="F1359" s="1">
        <f>IFERROR(__xludf.DUMMYFUNCTION("""COMPUTED_VALUE"""),"Our mission is to grow children socially and emotionally stronger in the early years. We have validated our research-based method (combining psychological and pedagogical guidance with play based learning) in Finland. We are building globally scalabe plat"&amp;"form for social and emotional learning in early childhood education. Beside this SEL Curriculum for early childhood educators we offer insightful products for families.")</f>
        <v/>
      </c>
      <c r="G1359" s="1">
        <f>IFERROR(__xludf.DUMMYFUNCTION("""COMPUTED_VALUE"""),"I'm not part of any EdTech association")</f>
        <v/>
      </c>
      <c r="H1359" s="1" t="n"/>
      <c r="I1359" s="1">
        <f>IFERROR(__xludf.DUMMYFUNCTION("""COMPUTED_VALUE"""),"mari.korkeamaki@roundies.fi")</f>
        <v/>
      </c>
      <c r="J1359" s="1">
        <f>IFERROR(__xludf.DUMMYFUNCTION("""COMPUTED_VALUE"""),"+358403518882")</f>
        <v/>
      </c>
      <c r="K1359" s="1">
        <f>IFERROR(__xludf.DUMMYFUNCTION("""COMPUTED_VALUE"""),"Helsinki")</f>
        <v/>
      </c>
      <c r="L1359" s="1">
        <f>IFERROR(__xludf.DUMMYFUNCTION("""COMPUTED_VALUE"""),"Finland")</f>
        <v/>
      </c>
      <c r="M1359" s="1">
        <f>IFERROR(__xludf.DUMMYFUNCTION("""COMPUTED_VALUE"""),"Finland")</f>
        <v/>
      </c>
      <c r="N1359" s="1">
        <f>IFERROR(__xludf.DUMMYFUNCTION("""COMPUTED_VALUE"""),"0 to 10")</f>
        <v/>
      </c>
      <c r="O1359" s="1">
        <f>IFERROR(__xludf.DUMMYFUNCTION("""COMPUTED_VALUE"""),"Business to Consumer")</f>
        <v/>
      </c>
      <c r="P1359" s="1">
        <f>IFERROR(__xludf.DUMMYFUNCTION("""COMPUTED_VALUE"""),"Early childhood development (0-5 years), Primary Education")</f>
        <v/>
      </c>
      <c r="Q1359" s="1">
        <f>IFERROR(__xludf.DUMMYFUNCTION("""COMPUTED_VALUE"""),"System/Administrative, Student interfacing, Teacher interfacing")</f>
        <v/>
      </c>
      <c r="R1359" s="1" t="n"/>
      <c r="S1359" s="1" t="n"/>
      <c r="T1359" s="1" t="n"/>
      <c r="U1359" s="1" t="n"/>
      <c r="V1359" s="1" t="n"/>
      <c r="W1359" s="1" t="n"/>
      <c r="X1359" s="1" t="n"/>
      <c r="Y1359" s="15">
        <f>IFERROR(__xludf.DUMMYFUNCTION("""COMPUTED_VALUE"""),"https://drive.google.com/uc?export=view&amp;id=1wpWc5yzNVib6tyQsHwtXaw7z4-7OuqQW")</f>
        <v/>
      </c>
      <c r="Z1359" s="1">
        <f>IFERROR(__xludf.DUMMYFUNCTION("""COMPUTED_VALUE"""),"Unverified")</f>
        <v/>
      </c>
      <c r="AA1359" s="1" t="n"/>
      <c r="AB1359" s="1" t="n"/>
      <c r="AC1359" s="1" t="n"/>
      <c r="AD1359" s="1" t="n"/>
      <c r="AE1359" s="1" t="n"/>
    </row>
    <row r="1360" ht="42" customHeight="1">
      <c r="A1360" s="14">
        <f>IFERROR(__xludf.DUMMYFUNCTION("""COMPUTED_VALUE"""),45181)</f>
        <v/>
      </c>
      <c r="B1360" s="1">
        <f>IFERROR(__xludf.DUMMYFUNCTION("""COMPUTED_VALUE"""),"ORG_2210")</f>
        <v/>
      </c>
      <c r="C1360" s="1">
        <f>IFERROR(__xludf.DUMMYFUNCTION("""COMPUTED_VALUE"""),TRUE)</f>
        <v/>
      </c>
      <c r="D1360" s="1">
        <f>IFERROR(__xludf.DUMMYFUNCTION("""COMPUTED_VALUE"""),"SchoolParrot")</f>
        <v/>
      </c>
      <c r="E1360" s="15">
        <f>IFERROR(__xludf.DUMMYFUNCTION("""COMPUTED_VALUE"""),"https://www.schoolparrot.co.uk/")</f>
        <v/>
      </c>
      <c r="F1360" s="1">
        <f>IFERROR(__xludf.DUMMYFUNCTION("""COMPUTED_VALUE"""),"SchoolParrot is a review site for Schools. We list all Schools from young ages to higher education. As a School, you can claim your profile and start working with reviews for free at SchoolParrot.")</f>
        <v/>
      </c>
      <c r="G1360" s="1">
        <f>IFERROR(__xludf.DUMMYFUNCTION("""COMPUTED_VALUE"""),"Swedish EdTech Industry")</f>
        <v/>
      </c>
      <c r="H1360" s="1" t="n"/>
      <c r="I1360" s="1">
        <f>IFERROR(__xludf.DUMMYFUNCTION("""COMPUTED_VALUE"""),"contact@schoolparrot.com")</f>
        <v/>
      </c>
      <c r="J1360" s="1" t="n"/>
      <c r="K1360" s="1">
        <f>IFERROR(__xludf.DUMMYFUNCTION("""COMPUTED_VALUE"""),"Stockholm")</f>
        <v/>
      </c>
      <c r="L1360" s="1">
        <f>IFERROR(__xludf.DUMMYFUNCTION("""COMPUTED_VALUE"""),"Sweden")</f>
        <v/>
      </c>
      <c r="M1360" s="1">
        <f>IFERROR(__xludf.DUMMYFUNCTION("""COMPUTED_VALUE"""),"Sweden, United Kingdom")</f>
        <v/>
      </c>
      <c r="N1360" s="1">
        <f>IFERROR(__xludf.DUMMYFUNCTION("""COMPUTED_VALUE"""),"0 to 10")</f>
        <v/>
      </c>
      <c r="O1360" s="1">
        <f>IFERROR(__xludf.DUMMYFUNCTION("""COMPUTED_VALUE"""),"Business to Consumer")</f>
        <v/>
      </c>
      <c r="P1360" s="1">
        <f>IFERROR(__xludf.DUMMYFUNCTION("""COMPUTED_VALUE"""),"Early childhood development (0-5 years), Primary Education, Secondary Education, Higher Education")</f>
        <v/>
      </c>
      <c r="Q1360" s="1">
        <f>IFERROR(__xludf.DUMMYFUNCTION("""COMPUTED_VALUE"""),"System/Administrative, Student interfacing, Teacher interfacing")</f>
        <v/>
      </c>
      <c r="R1360" s="15">
        <f>IFERROR(__xludf.DUMMYFUNCTION("""COMPUTED_VALUE"""),"https://www.instagram.com/schoolparrot/")</f>
        <v/>
      </c>
      <c r="S1360" s="15">
        <f>IFERROR(__xludf.DUMMYFUNCTION("""COMPUTED_VALUE"""),"https://twitter.com/schoolparrotoff")</f>
        <v/>
      </c>
      <c r="T1360" s="15">
        <f>IFERROR(__xludf.DUMMYFUNCTION("""COMPUTED_VALUE"""),"https://www.linkedin.com/company/schoolparrot")</f>
        <v/>
      </c>
      <c r="U1360" s="1">
        <f>IFERROR(__xludf.DUMMYFUNCTION("""COMPUTED_VALUE"""),"SchoolParrot")</f>
        <v/>
      </c>
      <c r="V1360" s="1">
        <f>IFERROR(__xludf.DUMMYFUNCTION("""COMPUTED_VALUE"""),"SchoolParrot is a review platform for Schools.")</f>
        <v/>
      </c>
      <c r="W1360" s="1" t="n"/>
      <c r="X1360" s="1" t="n"/>
      <c r="Y1360" s="15">
        <f>IFERROR(__xludf.DUMMYFUNCTION("""COMPUTED_VALUE"""),"https://drive.google.com/uc?export=view&amp;id=1v7_UPnE7zhHHqGRBk5PN-tTUGg-ooEC8")</f>
        <v/>
      </c>
      <c r="Z1360" s="1">
        <f>IFERROR(__xludf.DUMMYFUNCTION("""COMPUTED_VALUE"""),"Unverified")</f>
        <v/>
      </c>
      <c r="AA1360" s="1" t="n"/>
      <c r="AB1360" s="1" t="n"/>
      <c r="AC1360" s="1" t="n"/>
      <c r="AD1360" s="1" t="n"/>
      <c r="AE1360" s="1" t="n"/>
    </row>
    <row r="1361" ht="42" customHeight="1">
      <c r="A1361" s="14">
        <f>IFERROR(__xludf.DUMMYFUNCTION("""COMPUTED_VALUE"""),45181)</f>
        <v/>
      </c>
      <c r="B1361" s="1">
        <f>IFERROR(__xludf.DUMMYFUNCTION("""COMPUTED_VALUE"""),"ORG_2239")</f>
        <v/>
      </c>
      <c r="C1361" s="1">
        <f>IFERROR(__xludf.DUMMYFUNCTION("""COMPUTED_VALUE"""),TRUE)</f>
        <v/>
      </c>
      <c r="D1361" s="1">
        <f>IFERROR(__xludf.DUMMYFUNCTION("""COMPUTED_VALUE"""),"SiliconHagen")</f>
        <v/>
      </c>
      <c r="E1361" s="15">
        <f>IFERROR(__xludf.DUMMYFUNCTION("""COMPUTED_VALUE"""),"www.siliconhagen.com")</f>
        <v/>
      </c>
      <c r="F1361" s="1">
        <f>IFERROR(__xludf.DUMMYFUNCTION("""COMPUTED_VALUE"""),"SiliconHagen develops XR materials for customised use by a range of vocational education and training providers in construction, engineering and health care sectors. Spatial computing is also used in co-creation of experimental immersive STEM learning spa"&amp;"ces for high school pupils. SiliconHagen is in the unique position to apply long term user-orientated learning from over 7 years of collaborating, innovating and testing a wide spectrum of virtual world scenes.")</f>
        <v/>
      </c>
      <c r="G1361" s="1">
        <f>IFERROR(__xludf.DUMMYFUNCTION("""COMPUTED_VALUE"""),"I'm not part of any EdTech association")</f>
        <v/>
      </c>
      <c r="H1361" s="1" t="n"/>
      <c r="I1361" s="1">
        <f>IFERROR(__xludf.DUMMYFUNCTION("""COMPUTED_VALUE"""),"info@siliconhagen.com")</f>
        <v/>
      </c>
      <c r="J1361" s="1">
        <f>IFERROR(__xludf.DUMMYFUNCTION("""COMPUTED_VALUE"""),"+45 50 20 34 84")</f>
        <v/>
      </c>
      <c r="K1361" s="1">
        <f>IFERROR(__xludf.DUMMYFUNCTION("""COMPUTED_VALUE"""),"Copenhagen")</f>
        <v/>
      </c>
      <c r="L1361" s="1">
        <f>IFERROR(__xludf.DUMMYFUNCTION("""COMPUTED_VALUE"""),"Denmark")</f>
        <v/>
      </c>
      <c r="M1361" s="1">
        <f>IFERROR(__xludf.DUMMYFUNCTION("""COMPUTED_VALUE"""),"Belgium, Czechia, Denmark, Estonia, Germany, Latvia, Lithuania, Luxembourg, Netherlands, Norway, Poland, Slovakia, Slovenia, Sweden, United Kingdom")</f>
        <v/>
      </c>
      <c r="N1361" s="1">
        <f>IFERROR(__xludf.DUMMYFUNCTION("""COMPUTED_VALUE"""),"0 to 10")</f>
        <v/>
      </c>
      <c r="O1361" s="1">
        <f>IFERROR(__xludf.DUMMYFUNCTION("""COMPUTED_VALUE"""),"Business to Consumer")</f>
        <v/>
      </c>
      <c r="P1361" s="1">
        <f>IFERROR(__xludf.DUMMYFUNCTION("""COMPUTED_VALUE"""),"Secondary Education, Higher Education, Corporate Training, Lifelong learning/Adult education")</f>
        <v/>
      </c>
      <c r="Q1361" s="1">
        <f>IFERROR(__xludf.DUMMYFUNCTION("""COMPUTED_VALUE"""),"Student interfacing, Teacher interfacing, System/Administrative")</f>
        <v/>
      </c>
      <c r="R1361" s="1" t="n"/>
      <c r="S1361" s="1" t="n"/>
      <c r="T1361" s="1" t="n"/>
      <c r="U1361" s="1" t="n"/>
      <c r="V1361" s="1" t="n"/>
      <c r="W1361" s="1" t="n"/>
      <c r="X1361" s="1" t="n"/>
      <c r="Y1361" s="15">
        <f>IFERROR(__xludf.DUMMYFUNCTION("""COMPUTED_VALUE"""),"https://drive.google.com/uc?export=view&amp;id=1X6vPeqda-H7oxzAQDy45wLVGIVRRYTLy")</f>
        <v/>
      </c>
      <c r="Z1361" s="1">
        <f>IFERROR(__xludf.DUMMYFUNCTION("""COMPUTED_VALUE"""),"Unverified")</f>
        <v/>
      </c>
      <c r="AA1361" s="1" t="n"/>
      <c r="AB1361" s="1" t="n"/>
      <c r="AC1361" s="1" t="n"/>
      <c r="AD1361" s="1" t="n"/>
      <c r="AE1361" s="1" t="n"/>
    </row>
    <row r="1362" ht="42" customHeight="1">
      <c r="A1362" s="14">
        <f>IFERROR(__xludf.DUMMYFUNCTION("""COMPUTED_VALUE"""),45181)</f>
        <v/>
      </c>
      <c r="B1362" s="1">
        <f>IFERROR(__xludf.DUMMYFUNCTION("""COMPUTED_VALUE"""),"ORG_2319")</f>
        <v/>
      </c>
      <c r="C1362" s="1">
        <f>IFERROR(__xludf.DUMMYFUNCTION("""COMPUTED_VALUE"""),TRUE)</f>
        <v/>
      </c>
      <c r="D1362" s="1">
        <f>IFERROR(__xludf.DUMMYFUNCTION("""COMPUTED_VALUE"""),"StartSteps")</f>
        <v/>
      </c>
      <c r="E1362" s="15">
        <f>IFERROR(__xludf.DUMMYFUNCTION("""COMPUTED_VALUE"""),"https://startsteps.org/")</f>
        <v/>
      </c>
      <c r="F1362" s="1">
        <f>IFERROR(__xludf.DUMMYFUNCTION("""COMPUTED_VALUE"""),"StartSteps is a digital skills academy &amp; marketplace to orientate career changers and unemployed, to the future of tech jobs, educational pathways and digital skills education providers in Europe.")</f>
        <v/>
      </c>
      <c r="G1362" s="1">
        <f>IFERROR(__xludf.DUMMYFUNCTION("""COMPUTED_VALUE"""),"I'm not part of any EdTech association")</f>
        <v/>
      </c>
      <c r="H1362" s="1" t="n"/>
      <c r="I1362" s="1">
        <f>IFERROR(__xludf.DUMMYFUNCTION("""COMPUTED_VALUE"""),"paddy@startsteps.org")</f>
        <v/>
      </c>
      <c r="J1362" s="1">
        <f>IFERROR(__xludf.DUMMYFUNCTION("""COMPUTED_VALUE"""),"15734755010")</f>
        <v/>
      </c>
      <c r="K1362" s="1">
        <f>IFERROR(__xludf.DUMMYFUNCTION("""COMPUTED_VALUE"""),"Berlin")</f>
        <v/>
      </c>
      <c r="L1362" s="1">
        <f>IFERROR(__xludf.DUMMYFUNCTION("""COMPUTED_VALUE"""),"Germany")</f>
        <v/>
      </c>
      <c r="M1362" s="1">
        <f>IFERROR(__xludf.DUMMYFUNCTION("""COMPUTED_VALUE"""),"Germany")</f>
        <v/>
      </c>
      <c r="N1362" s="1">
        <f>IFERROR(__xludf.DUMMYFUNCTION("""COMPUTED_VALUE"""),"0 to 10")</f>
        <v/>
      </c>
      <c r="O1362" s="1">
        <f>IFERROR(__xludf.DUMMYFUNCTION("""COMPUTED_VALUE"""),"Business to Consumer, Business to Schools")</f>
        <v/>
      </c>
      <c r="P1362" s="1">
        <f>IFERROR(__xludf.DUMMYFUNCTION("""COMPUTED_VALUE"""),"Higher Education, Corporate Training, Lifelong learning/Adult education")</f>
        <v/>
      </c>
      <c r="Q1362" s="1">
        <f>IFERROR(__xludf.DUMMYFUNCTION("""COMPUTED_VALUE"""),"System/Administrative, Student interfacing")</f>
        <v/>
      </c>
      <c r="R1362" s="1" t="n"/>
      <c r="S1362" s="1" t="n"/>
      <c r="T1362" s="1" t="n"/>
      <c r="U1362" s="1" t="n"/>
      <c r="V1362" s="1" t="n"/>
      <c r="W1362" s="1" t="n"/>
      <c r="X1362" s="1" t="n"/>
      <c r="Y1362" s="15">
        <f>IFERROR(__xludf.DUMMYFUNCTION("""COMPUTED_VALUE"""),"https://drive.google.com/uc?export=view&amp;id=1OHeulynBf601ThHWH1sW_LWaRC6Tcmc1")</f>
        <v/>
      </c>
      <c r="Z1362" s="1">
        <f>IFERROR(__xludf.DUMMYFUNCTION("""COMPUTED_VALUE"""),"Unverified")</f>
        <v/>
      </c>
      <c r="AA1362" s="1" t="n"/>
      <c r="AB1362" s="1" t="n"/>
      <c r="AC1362" s="1" t="n"/>
      <c r="AD1362" s="1" t="n"/>
      <c r="AE1362" s="1" t="n"/>
    </row>
    <row r="1363" ht="42" customHeight="1">
      <c r="A1363" s="14">
        <f>IFERROR(__xludf.DUMMYFUNCTION("""COMPUTED_VALUE"""),45181)</f>
        <v/>
      </c>
      <c r="B1363" s="1">
        <f>IFERROR(__xludf.DUMMYFUNCTION("""COMPUTED_VALUE"""),"ORG_2355")</f>
        <v/>
      </c>
      <c r="C1363" s="1">
        <f>IFERROR(__xludf.DUMMYFUNCTION("""COMPUTED_VALUE"""),TRUE)</f>
        <v/>
      </c>
      <c r="D1363" s="1">
        <f>IFERROR(__xludf.DUMMYFUNCTION("""COMPUTED_VALUE"""),"Swiss Learning Hub Ltd.")</f>
        <v/>
      </c>
      <c r="E1363" s="15">
        <f>IFERROR(__xludf.DUMMYFUNCTION("""COMPUTED_VALUE"""),"www.swisslearninghub.com")</f>
        <v/>
      </c>
      <c r="F1363" s="1">
        <f>IFERROR(__xludf.DUMMYFUNCTION("""COMPUTED_VALUE"""),"The Swiss Learning Hub is the platform for vocational education and training in a globalised working environment. Successfully used in the 3 areas of basic vocational education (Vocational Edition), in-company education (Corporate Edition) and tertiary ed"&amp;"ucation (Campus Edition).")</f>
        <v/>
      </c>
      <c r="G1363" s="1">
        <f>IFERROR(__xludf.DUMMYFUNCTION("""COMPUTED_VALUE"""),"I'm not part of any EdTech association")</f>
        <v/>
      </c>
      <c r="H1363" s="1" t="n"/>
      <c r="I1363" s="1">
        <f>IFERROR(__xludf.DUMMYFUNCTION("""COMPUTED_VALUE"""),"urs.widmer@swisslearninghub.ch")</f>
        <v/>
      </c>
      <c r="J1363" s="1">
        <f>IFERROR(__xludf.DUMMYFUNCTION("""COMPUTED_VALUE"""),"+41584048870")</f>
        <v/>
      </c>
      <c r="K1363" s="1">
        <f>IFERROR(__xludf.DUMMYFUNCTION("""COMPUTED_VALUE"""),"ZURICH")</f>
        <v/>
      </c>
      <c r="L1363" s="1">
        <f>IFERROR(__xludf.DUMMYFUNCTION("""COMPUTED_VALUE"""),"Switzerland")</f>
        <v/>
      </c>
      <c r="M1363" s="1">
        <f>IFERROR(__xludf.DUMMYFUNCTION("""COMPUTED_VALUE"""),"Germany, Switzerland")</f>
        <v/>
      </c>
      <c r="N1363" s="1">
        <f>IFERROR(__xludf.DUMMYFUNCTION("""COMPUTED_VALUE"""),"51 to 100")</f>
        <v/>
      </c>
      <c r="O1363" s="1">
        <f>IFERROR(__xludf.DUMMYFUNCTION("""COMPUTED_VALUE"""),"Business to Consumer, Business to Schools")</f>
        <v/>
      </c>
      <c r="P1363" s="1">
        <f>IFERROR(__xludf.DUMMYFUNCTION("""COMPUTED_VALUE"""),"Higher Education, Corporate Training, Lifelong learning/Adult education")</f>
        <v/>
      </c>
      <c r="Q1363" s="1">
        <f>IFERROR(__xludf.DUMMYFUNCTION("""COMPUTED_VALUE"""),"Student interfacing, System/Administrative")</f>
        <v/>
      </c>
      <c r="R1363" s="1" t="n"/>
      <c r="S1363" s="1" t="n"/>
      <c r="T1363" s="1" t="n"/>
      <c r="U1363" s="1" t="n"/>
      <c r="V1363" s="1" t="n"/>
      <c r="W1363" s="1" t="n"/>
      <c r="X1363" s="1" t="n"/>
      <c r="Y1363" s="15">
        <f>IFERROR(__xludf.DUMMYFUNCTION("""COMPUTED_VALUE"""),"https://drive.google.com/uc?export=view&amp;id=1Jbip0Ecr93LrAqFNM0R14EqRBN1t4XQc")</f>
        <v/>
      </c>
      <c r="Z1363" s="1">
        <f>IFERROR(__xludf.DUMMYFUNCTION("""COMPUTED_VALUE"""),"Unverified")</f>
        <v/>
      </c>
      <c r="AA1363" s="1" t="n"/>
      <c r="AB1363" s="1" t="n"/>
      <c r="AC1363" s="1" t="n"/>
      <c r="AD1363" s="1" t="n"/>
      <c r="AE1363" s="1" t="n"/>
    </row>
    <row r="1364" ht="42" customHeight="1">
      <c r="A1364" s="14">
        <f>IFERROR(__xludf.DUMMYFUNCTION("""COMPUTED_VALUE"""),45181)</f>
        <v/>
      </c>
      <c r="B1364" s="1">
        <f>IFERROR(__xludf.DUMMYFUNCTION("""COMPUTED_VALUE"""),"ORG_2364")</f>
        <v/>
      </c>
      <c r="C1364" s="1">
        <f>IFERROR(__xludf.DUMMYFUNCTION("""COMPUTED_VALUE"""),TRUE)</f>
        <v/>
      </c>
      <c r="D1364" s="1">
        <f>IFERROR(__xludf.DUMMYFUNCTION("""COMPUTED_VALUE"""),"TakeawalkVR")</f>
        <v/>
      </c>
      <c r="E1364" s="15">
        <f>IFERROR(__xludf.DUMMYFUNCTION("""COMPUTED_VALUE"""),"http://www.vrplatformen.dk/platform/xpandr/")</f>
        <v/>
      </c>
      <c r="F1364" s="1">
        <f>IFERROR(__xludf.DUMMYFUNCTION("""COMPUTED_VALUE"""),"With Takeawalks Xpandr, students can both talk about and reflect on what they actually experience in practice, from a theoretical perspective. 
By using the features in Xpandr, it is possible to take the theory and throw it directly into a realistic scen"&amp;"ario in VR. Xpandr is also interactive, which means that students must actively make choices to progress in the different scenarios.
We facilitae VR sessions with +150 students at the same time from diffrent locations easy and simpel, making Xpandr usabl"&amp;"e for everybody,")</f>
        <v/>
      </c>
      <c r="G1364" s="1">
        <f>IFERROR(__xludf.DUMMYFUNCTION("""COMPUTED_VALUE"""),"EdTech Denmark")</f>
        <v/>
      </c>
      <c r="H1364" s="1" t="n"/>
      <c r="I1364" s="1">
        <f>IFERROR(__xludf.DUMMYFUNCTION("""COMPUTED_VALUE"""),"contact@takeawalk360.com")</f>
        <v/>
      </c>
      <c r="J1364" s="1">
        <f>IFERROR(__xludf.DUMMYFUNCTION("""COMPUTED_VALUE"""),"+45 69126475")</f>
        <v/>
      </c>
      <c r="K1364" s="1">
        <f>IFERROR(__xludf.DUMMYFUNCTION("""COMPUTED_VALUE"""),"Egtved")</f>
        <v/>
      </c>
      <c r="L1364" s="1">
        <f>IFERROR(__xludf.DUMMYFUNCTION("""COMPUTED_VALUE"""),"Denmark")</f>
        <v/>
      </c>
      <c r="M1364" s="1">
        <f>IFERROR(__xludf.DUMMYFUNCTION("""COMPUTED_VALUE"""),"Denmark, Germany, Norway, Sweden")</f>
        <v/>
      </c>
      <c r="N1364" s="1">
        <f>IFERROR(__xludf.DUMMYFUNCTION("""COMPUTED_VALUE"""),"11 to 50")</f>
        <v/>
      </c>
      <c r="O1364" s="1">
        <f>IFERROR(__xludf.DUMMYFUNCTION("""COMPUTED_VALUE"""),"Business to Government")</f>
        <v/>
      </c>
      <c r="P1364" s="1">
        <f>IFERROR(__xludf.DUMMYFUNCTION("""COMPUTED_VALUE"""),"Early childhood development (0-5 years), Primary Education, Secondary Education, Higher Education, Corporate Training, Lifelong learning/Adult education")</f>
        <v/>
      </c>
      <c r="Q1364" s="1">
        <f>IFERROR(__xludf.DUMMYFUNCTION("""COMPUTED_VALUE"""),"Student interfacing, Teacher interfacing, System/Administrative")</f>
        <v/>
      </c>
      <c r="R1364" s="1">
        <f>IFERROR(__xludf.DUMMYFUNCTION("""COMPUTED_VALUE"""),"Takeawalk")</f>
        <v/>
      </c>
      <c r="S1364" s="1">
        <f>IFERROR(__xludf.DUMMYFUNCTION("""COMPUTED_VALUE"""),"Takeawalk")</f>
        <v/>
      </c>
      <c r="T1364" s="15">
        <f>IFERROR(__xludf.DUMMYFUNCTION("""COMPUTED_VALUE"""),"https://www.linkedin.com/company/takeawalkvr")</f>
        <v/>
      </c>
      <c r="U1364" s="1">
        <f>IFERROR(__xludf.DUMMYFUNCTION("""COMPUTED_VALUE"""),"Xpandr")</f>
        <v/>
      </c>
      <c r="V1364" s="1">
        <f>IFERROR(__xludf.DUMMYFUNCTION("""COMPUTED_VALUE"""),"A Plug and Play solution to experience, record and process VR films.
Imagine stepping into a regular library. Just as you know it. However, there is one small difference. There are 4 VR headsets, 
1 tablet and a 360 ° camera in front of you.
Turn on a he"&amp;"adset, select a movie from the VR library on the tablet and put on the headset. Enter a whole new world where you get really close. Maybe you have chosen to go to a nature area, are standing in a building or you are on an excursion with an entire school c"&amp;"lass.
Instead of reading about different places, events, people and skills, you can virtually travel to another destination and learn new things there.
When you have finished experiencing in the headset, you will probably feel inspired to show others yo"&amp;"ur local area or interests. Then borrow the 360 ° camera home and record your own VR movies. Edit your recording in our unique software and upload it directly to the tablet and headsets located at the library.
Now others can experience your unique conten"&amp;"t.")</f>
        <v/>
      </c>
      <c r="W1364" s="1" t="n"/>
      <c r="X1364" s="1" t="n"/>
      <c r="Y1364" s="15">
        <f>IFERROR(__xludf.DUMMYFUNCTION("""COMPUTED_VALUE"""),"https://drive.google.com/uc?export=view&amp;id=1lVtHWRaC-b84Wzm8aDA_mxZ0jOtXABOP")</f>
        <v/>
      </c>
      <c r="Z1364" s="1">
        <f>IFERROR(__xludf.DUMMYFUNCTION("""COMPUTED_VALUE"""),"Unverified")</f>
        <v/>
      </c>
      <c r="AA1364" s="1" t="n"/>
      <c r="AB1364" s="1" t="n"/>
      <c r="AC1364" s="1" t="n"/>
      <c r="AD1364" s="1" t="n"/>
      <c r="AE1364" s="1" t="n"/>
    </row>
    <row r="1365" ht="42" customHeight="1">
      <c r="A1365" s="14">
        <f>IFERROR(__xludf.DUMMYFUNCTION("""COMPUTED_VALUE"""),45181)</f>
        <v/>
      </c>
      <c r="B1365" s="1">
        <f>IFERROR(__xludf.DUMMYFUNCTION("""COMPUTED_VALUE"""),"ORG_2415")</f>
        <v/>
      </c>
      <c r="C1365" s="1">
        <f>IFERROR(__xludf.DUMMYFUNCTION("""COMPUTED_VALUE"""),TRUE)</f>
        <v/>
      </c>
      <c r="D1365" s="1">
        <f>IFERROR(__xludf.DUMMYFUNCTION("""COMPUTED_VALUE"""),"Tinycoaching")</f>
        <v/>
      </c>
      <c r="E1365" s="15">
        <f>IFERROR(__xludf.DUMMYFUNCTION("""COMPUTED_VALUE"""),"https://tiny-coaching.com/index.php/en/tinycoaching-le-coach-virtuel-english/")</f>
        <v/>
      </c>
      <c r="F1365" s="1">
        <f>IFERROR(__xludf.DUMMYFUNCTION("""COMPUTED_VALUE"""),"Tiny is the first professional virtual coach available on instant messengers. 
Tiny was created so that every employee, whether a manager or an employee, has the right to a coach to help them develop their career and skills.
Equipped with artificial inte"&amp;"lligence, Tiny knows the training courses needs of learners.
It takes care of your skills development by simply chatting with you directly from the platform of your choice (Microsoft Teams, Messenger, Application).
Our educational system is based on the "&amp;"rules of neuro-pedagogy to enable optimal learning and better retention of information.
The coach sends microleaning content in different formats (article, podcast, video, multimedia) depending on your training program. However, if you need to learn a co"&amp;"ncept at the time, you can ask Tiny for coaching on the skill in question. 
He will regularly remind you of what he has already taught you, and he will challenge you with motivating and engaging words so that your new knowledge will take hold in the long"&amp;" term.")</f>
        <v/>
      </c>
      <c r="G1365" s="1">
        <f>IFERROR(__xludf.DUMMYFUNCTION("""COMPUTED_VALUE"""),"EdTech France")</f>
        <v/>
      </c>
      <c r="H1365" s="1" t="n"/>
      <c r="I1365" s="1">
        <f>IFERROR(__xludf.DUMMYFUNCTION("""COMPUTED_VALUE"""),"hubert@tiny-coaching.com")</f>
        <v/>
      </c>
      <c r="J1365" s="1">
        <f>IFERROR(__xludf.DUMMYFUNCTION("""COMPUTED_VALUE"""),"675195498")</f>
        <v/>
      </c>
      <c r="K1365" s="1">
        <f>IFERROR(__xludf.DUMMYFUNCTION("""COMPUTED_VALUE"""),"NORMADIE")</f>
        <v/>
      </c>
      <c r="L1365" s="1">
        <f>IFERROR(__xludf.DUMMYFUNCTION("""COMPUTED_VALUE"""),"France")</f>
        <v/>
      </c>
      <c r="M1365" s="1">
        <f>IFERROR(__xludf.DUMMYFUNCTION("""COMPUTED_VALUE"""),"Finland")</f>
        <v/>
      </c>
      <c r="N1365" s="1">
        <f>IFERROR(__xludf.DUMMYFUNCTION("""COMPUTED_VALUE"""),"11 to 50")</f>
        <v/>
      </c>
      <c r="O1365" s="1">
        <f>IFERROR(__xludf.DUMMYFUNCTION("""COMPUTED_VALUE"""),"Business to Government")</f>
        <v/>
      </c>
      <c r="P1365" s="1">
        <f>IFERROR(__xludf.DUMMYFUNCTION("""COMPUTED_VALUE"""),"Secondary Education, Higher Education, Corporate Training, Lifelong learning/Adult education")</f>
        <v/>
      </c>
      <c r="Q1365" s="1">
        <f>IFERROR(__xludf.DUMMYFUNCTION("""COMPUTED_VALUE"""),"Student interfacing, Teacher interfacing, System/Administrative")</f>
        <v/>
      </c>
      <c r="R1365" s="1" t="n"/>
      <c r="S1365" s="1" t="n"/>
      <c r="T1365" s="1" t="n"/>
      <c r="U1365" s="1" t="n"/>
      <c r="V1365" s="1" t="n"/>
      <c r="W1365" s="1" t="n"/>
      <c r="X1365" s="1" t="n"/>
      <c r="Y1365" s="15">
        <f>IFERROR(__xludf.DUMMYFUNCTION("""COMPUTED_VALUE"""),"https://drive.google.com/uc?export=view&amp;id=1Yxtxp--q-tMpwRcecGXpcTEGIbo6MKTf")</f>
        <v/>
      </c>
      <c r="Z1365" s="1">
        <f>IFERROR(__xludf.DUMMYFUNCTION("""COMPUTED_VALUE"""),"Unverified")</f>
        <v/>
      </c>
      <c r="AA1365" s="1" t="n"/>
      <c r="AB1365" s="1" t="n"/>
      <c r="AC1365" s="1" t="n"/>
      <c r="AD1365" s="1" t="n"/>
      <c r="AE1365" s="1" t="n"/>
    </row>
    <row r="1366" ht="42" customHeight="1">
      <c r="A1366" s="14">
        <f>IFERROR(__xludf.DUMMYFUNCTION("""COMPUTED_VALUE"""),45181)</f>
        <v/>
      </c>
      <c r="B1366" s="1">
        <f>IFERROR(__xludf.DUMMYFUNCTION("""COMPUTED_VALUE"""),"ORG_2418")</f>
        <v/>
      </c>
      <c r="C1366" s="1">
        <f>IFERROR(__xludf.DUMMYFUNCTION("""COMPUTED_VALUE"""),TRUE)</f>
        <v/>
      </c>
      <c r="D1366" s="1">
        <f>IFERROR(__xludf.DUMMYFUNCTION("""COMPUTED_VALUE"""),"Tokey")</f>
        <v/>
      </c>
      <c r="E1366" s="15">
        <f>IFERROR(__xludf.DUMMYFUNCTION("""COMPUTED_VALUE"""),"https://www.tokeyfinance.com/home")</f>
        <v/>
      </c>
      <c r="F1366" s="1">
        <f>IFERROR(__xludf.DUMMYFUNCTION("""COMPUTED_VALUE"""),"Tokey is the beginning of the new era in the student financing system. Through its platform students can get funding for their studies through an Income Share Agreement (ISA) financed through a disruptive token system by impact investors and companies int"&amp;"erested in hiring those students.")</f>
        <v/>
      </c>
      <c r="G1366" s="1">
        <f>IFERROR(__xludf.DUMMYFUNCTION("""COMPUTED_VALUE"""),"I'm not part of any EdTech association")</f>
        <v/>
      </c>
      <c r="H1366" s="1" t="n"/>
      <c r="I1366" s="1">
        <f>IFERROR(__xludf.DUMMYFUNCTION("""COMPUTED_VALUE"""),"info@tokeyfinance.com")</f>
        <v/>
      </c>
      <c r="J1366" s="1" t="n"/>
      <c r="K1366" s="1">
        <f>IFERROR(__xludf.DUMMYFUNCTION("""COMPUTED_VALUE"""),"MADRID")</f>
        <v/>
      </c>
      <c r="L1366" s="1">
        <f>IFERROR(__xludf.DUMMYFUNCTION("""COMPUTED_VALUE"""),"Spain")</f>
        <v/>
      </c>
      <c r="M1366" s="1">
        <f>IFERROR(__xludf.DUMMYFUNCTION("""COMPUTED_VALUE"""),"Spain")</f>
        <v/>
      </c>
      <c r="N1366" s="1">
        <f>IFERROR(__xludf.DUMMYFUNCTION("""COMPUTED_VALUE"""),"0 to 10")</f>
        <v/>
      </c>
      <c r="O1366" s="1">
        <f>IFERROR(__xludf.DUMMYFUNCTION("""COMPUTED_VALUE"""),"Business to Government, Business to Schools")</f>
        <v/>
      </c>
      <c r="P1366" s="1">
        <f>IFERROR(__xludf.DUMMYFUNCTION("""COMPUTED_VALUE"""),"Higher Education, Corporate Training, Lifelong learning/Adult education")</f>
        <v/>
      </c>
      <c r="Q1366" s="1">
        <f>IFERROR(__xludf.DUMMYFUNCTION("""COMPUTED_VALUE"""),"Student interfacing, System/Administrative")</f>
        <v/>
      </c>
      <c r="R1366" s="1" t="n"/>
      <c r="S1366" s="1" t="n"/>
      <c r="T1366" s="1" t="n"/>
      <c r="U1366" s="1" t="n"/>
      <c r="V1366" s="1" t="n"/>
      <c r="W1366" s="1" t="n"/>
      <c r="X1366" s="1" t="n"/>
      <c r="Y1366" s="15">
        <f>IFERROR(__xludf.DUMMYFUNCTION("""COMPUTED_VALUE"""),"https://drive.google.com/uc?export=view&amp;id=18OGAQXEQSJEJx9k3URZP1fYcKiZWtQjT")</f>
        <v/>
      </c>
      <c r="Z1366" s="1">
        <f>IFERROR(__xludf.DUMMYFUNCTION("""COMPUTED_VALUE"""),"Unverified")</f>
        <v/>
      </c>
      <c r="AA1366" s="1" t="n"/>
      <c r="AB1366" s="1" t="n"/>
      <c r="AC1366" s="1" t="n"/>
      <c r="AD1366" s="1" t="n"/>
      <c r="AE1366" s="1" t="n"/>
    </row>
    <row r="1367" ht="42" customHeight="1">
      <c r="A1367" s="14">
        <f>IFERROR(__xludf.DUMMYFUNCTION("""COMPUTED_VALUE"""),45181)</f>
        <v/>
      </c>
      <c r="B1367" s="1">
        <f>IFERROR(__xludf.DUMMYFUNCTION("""COMPUTED_VALUE"""),"ORG_2481")</f>
        <v/>
      </c>
      <c r="C1367" s="1">
        <f>IFERROR(__xludf.DUMMYFUNCTION("""COMPUTED_VALUE"""),TRUE)</f>
        <v/>
      </c>
      <c r="D1367" s="1">
        <f>IFERROR(__xludf.DUMMYFUNCTION("""COMPUTED_VALUE"""),"Valamon Academy")</f>
        <v/>
      </c>
      <c r="E1367" s="15">
        <f>IFERROR(__xludf.DUMMYFUNCTION("""COMPUTED_VALUE"""),"www.valamonacademy.com")</f>
        <v/>
      </c>
      <c r="F1367" s="1">
        <f>IFERROR(__xludf.DUMMYFUNCTION("""COMPUTED_VALUE"""),"Valamon Academy is a fully interactive language learning experience delivered online.
We help people learn the language in a fun and easy way in mini-groups with friends all over the world.
English, Spanish, Catalan, Italian, Russian, Portuguese, French, "&amp;"German, and more to come soon!")</f>
        <v/>
      </c>
      <c r="G1367" s="1">
        <f>IFERROR(__xludf.DUMMYFUNCTION("""COMPUTED_VALUE"""),"I'm not part of any EdTech association")</f>
        <v/>
      </c>
      <c r="H1367" s="1" t="n"/>
      <c r="I1367" s="1">
        <f>IFERROR(__xludf.DUMMYFUNCTION("""COMPUTED_VALUE"""),"info@valamonacademy.com")</f>
        <v/>
      </c>
      <c r="J1367" s="1">
        <f>IFERROR(__xludf.DUMMYFUNCTION("""COMPUTED_VALUE"""),"+34600298300")</f>
        <v/>
      </c>
      <c r="K1367" s="1">
        <f>IFERROR(__xludf.DUMMYFUNCTION("""COMPUTED_VALUE"""),"Gelida")</f>
        <v/>
      </c>
      <c r="L1367" s="1">
        <f>IFERROR(__xludf.DUMMYFUNCTION("""COMPUTED_VALUE"""),"Spain")</f>
        <v/>
      </c>
      <c r="M1367"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367" s="1">
        <f>IFERROR(__xludf.DUMMYFUNCTION("""COMPUTED_VALUE"""),"0 to 10")</f>
        <v/>
      </c>
      <c r="O1367" s="1">
        <f>IFERROR(__xludf.DUMMYFUNCTION("""COMPUTED_VALUE"""),"Business to Schools")</f>
        <v/>
      </c>
      <c r="P1367" s="1">
        <f>IFERROR(__xludf.DUMMYFUNCTION("""COMPUTED_VALUE"""),"Corporate Training, Lifelong learning/Adult education")</f>
        <v/>
      </c>
      <c r="Q1367" s="1">
        <f>IFERROR(__xludf.DUMMYFUNCTION("""COMPUTED_VALUE"""),"Student interfacing, System/Administrative")</f>
        <v/>
      </c>
      <c r="R1367" s="1" t="n"/>
      <c r="S1367" s="1" t="n"/>
      <c r="T1367" s="1" t="n"/>
      <c r="U1367" s="1" t="n"/>
      <c r="V1367" s="1" t="n"/>
      <c r="W1367" s="1" t="n"/>
      <c r="X1367" s="1" t="n"/>
      <c r="Y1367" s="15">
        <f>IFERROR(__xludf.DUMMYFUNCTION("""COMPUTED_VALUE"""),"https://drive.google.com/uc?export=view&amp;id=1bRCKsMWAJeasqV_c_PpH3-MrJ35Mu6cO")</f>
        <v/>
      </c>
      <c r="Z1367" s="1">
        <f>IFERROR(__xludf.DUMMYFUNCTION("""COMPUTED_VALUE"""),"Unverified")</f>
        <v/>
      </c>
      <c r="AA1367" s="1" t="n"/>
      <c r="AB1367" s="1" t="n"/>
      <c r="AC1367" s="1" t="n"/>
      <c r="AD1367" s="1" t="n"/>
      <c r="AE1367" s="1" t="n"/>
    </row>
    <row r="1368" ht="42" customHeight="1">
      <c r="A1368" s="14">
        <f>IFERROR(__xludf.DUMMYFUNCTION("""COMPUTED_VALUE"""),45181)</f>
        <v/>
      </c>
      <c r="B1368" s="1">
        <f>IFERROR(__xludf.DUMMYFUNCTION("""COMPUTED_VALUE"""),"ORG_2500")</f>
        <v/>
      </c>
      <c r="C1368" s="1">
        <f>IFERROR(__xludf.DUMMYFUNCTION("""COMPUTED_VALUE"""),TRUE)</f>
        <v/>
      </c>
      <c r="D1368" s="1">
        <f>IFERROR(__xludf.DUMMYFUNCTION("""COMPUTED_VALUE"""),"Vision Education")</f>
        <v/>
      </c>
      <c r="E1368" s="15">
        <f>IFERROR(__xludf.DUMMYFUNCTION("""COMPUTED_VALUE"""),"www.learnmatch.com")</f>
        <v/>
      </c>
      <c r="F1368" s="1">
        <f>IFERROR(__xludf.DUMMYFUNCTION("""COMPUTED_VALUE"""),"Mobile language learning solutions for B2B and B2C. Language learning App ""LearnMatch"" for up to 8 learning languages with different sponsor- and premium-models globally. 
""LearnMatch Business"" as a customised mobile language learning app for the corp"&amp;"orate market with different specific industry-solutions available.
SaaS-solutions for bigger clients.")</f>
        <v/>
      </c>
      <c r="G1368" s="1">
        <f>IFERROR(__xludf.DUMMYFUNCTION("""COMPUTED_VALUE"""),"EdTech Austria")</f>
        <v/>
      </c>
      <c r="H1368" s="1" t="n"/>
      <c r="I1368" s="1">
        <f>IFERROR(__xludf.DUMMYFUNCTION("""COMPUTED_VALUE"""),"info@visioneducation.at")</f>
        <v/>
      </c>
      <c r="J1368" s="1" t="n"/>
      <c r="K1368" s="1">
        <f>IFERROR(__xludf.DUMMYFUNCTION("""COMPUTED_VALUE"""),"Vienna")</f>
        <v/>
      </c>
      <c r="L1368" s="1">
        <f>IFERROR(__xludf.DUMMYFUNCTION("""COMPUTED_VALUE"""),"Austria")</f>
        <v/>
      </c>
      <c r="M1368" s="1">
        <f>IFERROR(__xludf.DUMMYFUNCTION("""COMPUTED_VALUE"""),"Austria, Bosnia and Herzegovina, Bulgaria, Croatia, Czechia, France, Germany, Greece, Hungary, Italy, Malta, Poland, Portugal, Romania, Russia, Slovakia, Slovenia, Spain, Sweden, Switzerland, Turkey, United Kingdom")</f>
        <v/>
      </c>
      <c r="N1368" s="1">
        <f>IFERROR(__xludf.DUMMYFUNCTION("""COMPUTED_VALUE"""),"0 to 10")</f>
        <v/>
      </c>
      <c r="O1368" s="1">
        <f>IFERROR(__xludf.DUMMYFUNCTION("""COMPUTED_VALUE"""),"Business to Schools")</f>
        <v/>
      </c>
      <c r="P1368" s="1">
        <f>IFERROR(__xludf.DUMMYFUNCTION("""COMPUTED_VALUE"""),"Primary Education, Secondary Education, Corporate Training, Lifelong learning/Adult education")</f>
        <v/>
      </c>
      <c r="Q1368" s="1">
        <f>IFERROR(__xludf.DUMMYFUNCTION("""COMPUTED_VALUE"""),"System/Administrative, Student interfacing, Teacher interfacing")</f>
        <v/>
      </c>
      <c r="R1368" s="1" t="n"/>
      <c r="S1368" s="1" t="n"/>
      <c r="T1368" s="15">
        <f>IFERROR(__xludf.DUMMYFUNCTION("""COMPUTED_VALUE"""),"https://www.linkedin.com/company/11433216/")</f>
        <v/>
      </c>
      <c r="U1368" s="1">
        <f>IFERROR(__xludf.DUMMYFUNCTION("""COMPUTED_VALUE"""),"LearnMatch")</f>
        <v/>
      </c>
      <c r="V1368" s="1">
        <f>IFERROR(__xludf.DUMMYFUNCTION("""COMPUTED_VALUE"""),"LearnMatch is a native mobile vocabulary trainer for iOS and Android with more than 35 native languages and 7 learning languages. LearnMatch supports a playful way of learning with lots of gamification elements and unique features, like ""LiveMatch""")</f>
        <v/>
      </c>
      <c r="W1368" s="1">
        <f>IFERROR(__xludf.DUMMYFUNCTION("""COMPUTED_VALUE"""),"LearnMatch Business")</f>
        <v/>
      </c>
      <c r="X1368" s="1">
        <f>IFERROR(__xludf.DUMMYFUNCTION("""COMPUTED_VALUE"""),"LearnMatch Business is a native mobile vocabulary trainer for iOS and Android for corporate customers supporting the language learning programs for employees. Its unique features are available in combination with fully customisable industry-specific and c"&amp;"ompany-specific coursebooks.")</f>
        <v/>
      </c>
      <c r="Y1368" s="15">
        <f>IFERROR(__xludf.DUMMYFUNCTION("""COMPUTED_VALUE"""),"https://drive.google.com/uc?export=view&amp;id=1-0lZ4gMZAUKZ-peL7fBS4rQZFZdT_1Zl")</f>
        <v/>
      </c>
      <c r="Z1368" s="1">
        <f>IFERROR(__xludf.DUMMYFUNCTION("""COMPUTED_VALUE"""),"Unverified")</f>
        <v/>
      </c>
      <c r="AA1368" s="1" t="n"/>
      <c r="AB1368" s="1" t="n"/>
      <c r="AC1368" s="1" t="n"/>
      <c r="AD1368" s="1" t="n"/>
      <c r="AE1368" s="1" t="n"/>
    </row>
    <row r="1369" ht="42" customHeight="1">
      <c r="A1369" s="14">
        <f>IFERROR(__xludf.DUMMYFUNCTION("""COMPUTED_VALUE"""),45181)</f>
        <v/>
      </c>
      <c r="B1369" s="1">
        <f>IFERROR(__xludf.DUMMYFUNCTION("""COMPUTED_VALUE"""),"ORG_2522")</f>
        <v/>
      </c>
      <c r="C1369" s="1">
        <f>IFERROR(__xludf.DUMMYFUNCTION("""COMPUTED_VALUE"""),TRUE)</f>
        <v/>
      </c>
      <c r="D1369" s="1">
        <f>IFERROR(__xludf.DUMMYFUNCTION("""COMPUTED_VALUE"""),"Weird Science Lab")</f>
        <v/>
      </c>
      <c r="E1369" s="15">
        <f>IFERROR(__xludf.DUMMYFUNCTION("""COMPUTED_VALUE"""),"www.weirdsciencelab.com")</f>
        <v/>
      </c>
      <c r="F1369" s="1">
        <f>IFERROR(__xludf.DUMMYFUNCTION("""COMPUTED_VALUE"""),"Oxford spinout, focusing on STEM curriculum via VR/XR.")</f>
        <v/>
      </c>
      <c r="G1369" s="1">
        <f>IFERROR(__xludf.DUMMYFUNCTION("""COMPUTED_VALUE"""),"I'm not part of any EdTech association")</f>
        <v/>
      </c>
      <c r="H1369" s="1" t="n"/>
      <c r="I1369" s="1">
        <f>IFERROR(__xludf.DUMMYFUNCTION("""COMPUTED_VALUE"""),"executive@weirdsciencelab.com")</f>
        <v/>
      </c>
      <c r="J1369" s="1">
        <f>IFERROR(__xludf.DUMMYFUNCTION("""COMPUTED_VALUE"""),"+441865521017")</f>
        <v/>
      </c>
      <c r="K1369" s="1">
        <f>IFERROR(__xludf.DUMMYFUNCTION("""COMPUTED_VALUE"""),"Oxford")</f>
        <v/>
      </c>
      <c r="L1369" s="1">
        <f>IFERROR(__xludf.DUMMYFUNCTION("""COMPUTED_VALUE"""),"United Kingdom")</f>
        <v/>
      </c>
      <c r="M1369" s="1">
        <f>IFERROR(__xludf.DUMMYFUNCTION("""COMPUTED_VALUE"""),"Netherlands, Switzerland, United Kingdom")</f>
        <v/>
      </c>
      <c r="N1369" s="1">
        <f>IFERROR(__xludf.DUMMYFUNCTION("""COMPUTED_VALUE"""),"0 to 10")</f>
        <v/>
      </c>
      <c r="O1369" s="1">
        <f>IFERROR(__xludf.DUMMYFUNCTION("""COMPUTED_VALUE"""),"Business to Schools")</f>
        <v/>
      </c>
      <c r="P1369" s="1">
        <f>IFERROR(__xludf.DUMMYFUNCTION("""COMPUTED_VALUE"""),"Secondary Education, Higher Education")</f>
        <v/>
      </c>
      <c r="Q1369" s="1">
        <f>IFERROR(__xludf.DUMMYFUNCTION("""COMPUTED_VALUE"""),"Student interfacing, Teacher interfacing")</f>
        <v/>
      </c>
      <c r="R1369" s="1" t="n"/>
      <c r="S1369" s="1" t="n"/>
      <c r="T1369" s="1" t="n"/>
      <c r="U1369" s="1" t="n"/>
      <c r="V1369" s="1" t="n"/>
      <c r="W1369" s="1" t="n"/>
      <c r="X1369" s="1" t="n"/>
      <c r="Y1369" s="15">
        <f>IFERROR(__xludf.DUMMYFUNCTION("""COMPUTED_VALUE"""),"https://drive.google.com/uc?export=view&amp;id=1F7PJijQCKUSeVbq51Il8BWpA9NxcEaoz")</f>
        <v/>
      </c>
      <c r="Z1369" s="1">
        <f>IFERROR(__xludf.DUMMYFUNCTION("""COMPUTED_VALUE"""),"Unverified")</f>
        <v/>
      </c>
      <c r="AA1369" s="1" t="n"/>
      <c r="AB1369" s="1" t="n"/>
      <c r="AC1369" s="1" t="n"/>
      <c r="AD1369" s="1" t="n"/>
      <c r="AE1369" s="1" t="n"/>
    </row>
    <row r="1370" ht="42" customHeight="1">
      <c r="A1370" s="14">
        <f>IFERROR(__xludf.DUMMYFUNCTION("""COMPUTED_VALUE"""),45181)</f>
        <v/>
      </c>
      <c r="B1370" s="1">
        <f>IFERROR(__xludf.DUMMYFUNCTION("""COMPUTED_VALUE"""),"ORG_2553")</f>
        <v/>
      </c>
      <c r="C1370" s="1">
        <f>IFERROR(__xludf.DUMMYFUNCTION("""COMPUTED_VALUE"""),TRUE)</f>
        <v/>
      </c>
      <c r="D1370" s="1">
        <f>IFERROR(__xludf.DUMMYFUNCTION("""COMPUTED_VALUE"""),"wryte")</f>
        <v/>
      </c>
      <c r="E1370" s="15">
        <f>IFERROR(__xludf.DUMMYFUNCTION("""COMPUTED_VALUE"""),"www.wryte.io")</f>
        <v/>
      </c>
      <c r="F1370" s="1">
        <f>IFERROR(__xludf.DUMMYFUNCTION("""COMPUTED_VALUE"""),"wryte is a free tablet app to take handwritten notes. With its intelligent structure, it offers digital booklets instead of folders and files. An integrated timetable which is cross-linked with subjects and booklets keeps automated order.
In the next mon"&amp;"ths, a live collaboration feature between users will be available. This feature will enable digital tutoring on demand, minute wise. Get a tutor whenever you have a question and just pay for the time you need. The tutor will be able to write into the stud"&amp;"ents booklet live, while having a video call.")</f>
        <v/>
      </c>
      <c r="G1370" s="1">
        <f>IFERROR(__xludf.DUMMYFUNCTION("""COMPUTED_VALUE"""),"I'm not part of any EdTech association")</f>
        <v/>
      </c>
      <c r="H1370" s="1" t="n"/>
      <c r="I1370" s="1">
        <f>IFERROR(__xludf.DUMMYFUNCTION("""COMPUTED_VALUE"""),"m.schadhauser@wryte.de")</f>
        <v/>
      </c>
      <c r="J1370" s="1">
        <f>IFERROR(__xludf.DUMMYFUNCTION("""COMPUTED_VALUE"""),"+491702431240")</f>
        <v/>
      </c>
      <c r="K1370" s="1">
        <f>IFERROR(__xludf.DUMMYFUNCTION("""COMPUTED_VALUE"""),"MUNICH")</f>
        <v/>
      </c>
      <c r="L1370" s="1">
        <f>IFERROR(__xludf.DUMMYFUNCTION("""COMPUTED_VALUE"""),"Germany")</f>
        <v/>
      </c>
      <c r="M1370" s="1">
        <f>IFERROR(__xludf.DUMMYFUNCTION("""COMPUTED_VALUE"""),"Albania, Austria, Belgium, Bosnia and Herzegovina, Bulgaria, Croatia, Cyprus, Czechia, Denmark, Estonia, Finland, France, Georgia, Germany, Greece, Hungary, Iceland, Ireland, Italy, Liechtenstein, Lithuania, Luxembourg, Malta, Monaco, Montenegro, Netherla"&amp;"nds, North Macedonia, Norway, Poland, Portugal, Romania, San Marino, Serbia, Slovakia, Slovenia, Spain, Sweden, Switzerland, Turkey, Ukraine, United Kingdom")</f>
        <v/>
      </c>
      <c r="N1370" s="1">
        <f>IFERROR(__xludf.DUMMYFUNCTION("""COMPUTED_VALUE"""),"11 to 50")</f>
        <v/>
      </c>
      <c r="O1370" s="1">
        <f>IFERROR(__xludf.DUMMYFUNCTION("""COMPUTED_VALUE"""),"Business to Schools")</f>
        <v/>
      </c>
      <c r="P1370" s="1">
        <f>IFERROR(__xludf.DUMMYFUNCTION("""COMPUTED_VALUE"""),"Secondary Education, Higher Education")</f>
        <v/>
      </c>
      <c r="Q1370" s="1">
        <f>IFERROR(__xludf.DUMMYFUNCTION("""COMPUTED_VALUE"""),"System/Administrative, Student interfacing, Teacher interfacing")</f>
        <v/>
      </c>
      <c r="R1370" s="1" t="n"/>
      <c r="S1370" s="1" t="n"/>
      <c r="T1370" s="1" t="n"/>
      <c r="U1370" s="1" t="n"/>
      <c r="V1370" s="1" t="n"/>
      <c r="W1370" s="1" t="n"/>
      <c r="X1370" s="1" t="n"/>
      <c r="Y1370" s="15">
        <f>IFERROR(__xludf.DUMMYFUNCTION("""COMPUTED_VALUE"""),"https://drive.google.com/uc?export=view&amp;id=1UDmjwmSea9PdNQaL3wzAOugIJunRxHhx")</f>
        <v/>
      </c>
      <c r="Z1370" s="1">
        <f>IFERROR(__xludf.DUMMYFUNCTION("""COMPUTED_VALUE"""),"Unverified")</f>
        <v/>
      </c>
      <c r="AA1370" s="1" t="n"/>
      <c r="AB1370" s="1" t="n"/>
      <c r="AC1370" s="1" t="n"/>
      <c r="AD1370" s="1" t="n"/>
      <c r="AE1370" s="1" t="n"/>
    </row>
    <row r="1371" ht="42" customHeight="1">
      <c r="A1371" s="14">
        <f>IFERROR(__xludf.DUMMYFUNCTION("""COMPUTED_VALUE"""),45181)</f>
        <v/>
      </c>
      <c r="B1371" s="1">
        <f>IFERROR(__xludf.DUMMYFUNCTION("""COMPUTED_VALUE"""),"ORG_1752")</f>
        <v/>
      </c>
      <c r="C1371" s="1">
        <f>IFERROR(__xludf.DUMMYFUNCTION("""COMPUTED_VALUE"""),TRUE)</f>
        <v/>
      </c>
      <c r="D1371" s="15">
        <f>IFERROR(__xludf.DUMMYFUNCTION("""COMPUTED_VALUE"""),"jenseigne.fr")</f>
        <v/>
      </c>
      <c r="E1371" s="15">
        <f>IFERROR(__xludf.DUMMYFUNCTION("""COMPUTED_VALUE"""),"https://www.jenseigne.fr")</f>
        <v/>
      </c>
      <c r="F1371" s="1">
        <f>IFERROR(__xludf.DUMMYFUNCTION("""COMPUTED_VALUE"""),"jenseigne.fr is a the leading online marketplace for K-12 educational resources in French language. jenseigne.fr has been designed for teachers to access the community, content, and tools they need to teach at their best. Every month, over 100k teachers u"&amp;"se jenseigne.fr to save time and create the best instructional materials for their students.")</f>
        <v/>
      </c>
      <c r="G1371" s="1">
        <f>IFERROR(__xludf.DUMMYFUNCTION("""COMPUTED_VALUE"""),"EdTech France")</f>
        <v/>
      </c>
      <c r="H1371" s="1" t="n"/>
      <c r="I1371" s="1">
        <f>IFERROR(__xludf.DUMMYFUNCTION("""COMPUTED_VALUE"""),"contact@ecolem.fr")</f>
        <v/>
      </c>
      <c r="J1371" s="1">
        <f>IFERROR(__xludf.DUMMYFUNCTION("""COMPUTED_VALUE"""),"+33 1 84 80 35 30")</f>
        <v/>
      </c>
      <c r="K1371" s="1">
        <f>IFERROR(__xludf.DUMMYFUNCTION("""COMPUTED_VALUE"""),"Paris")</f>
        <v/>
      </c>
      <c r="L1371" s="1">
        <f>IFERROR(__xludf.DUMMYFUNCTION("""COMPUTED_VALUE"""),"France")</f>
        <v/>
      </c>
      <c r="M1371" s="1">
        <f>IFERROR(__xludf.DUMMYFUNCTION("""COMPUTED_VALUE"""),"Belgium, France, Monaco, Switzerland")</f>
        <v/>
      </c>
      <c r="N1371" s="1">
        <f>IFERROR(__xludf.DUMMYFUNCTION("""COMPUTED_VALUE"""),"11 to 50")</f>
        <v/>
      </c>
      <c r="O1371" s="1">
        <f>IFERROR(__xludf.DUMMYFUNCTION("""COMPUTED_VALUE"""),"Business to Business")</f>
        <v/>
      </c>
      <c r="P1371" s="1">
        <f>IFERROR(__xludf.DUMMYFUNCTION("""COMPUTED_VALUE"""),"Early childhood development (0-5 years), Primary Education, Secondary Education")</f>
        <v/>
      </c>
      <c r="Q1371" s="1">
        <f>IFERROR(__xludf.DUMMYFUNCTION("""COMPUTED_VALUE"""),"System/Administrative, Student interfacing, Teacher interfacing")</f>
        <v/>
      </c>
      <c r="R1371" s="1" t="n"/>
      <c r="S1371" s="1" t="n"/>
      <c r="T1371" s="1">
        <f>IFERROR(__xludf.DUMMYFUNCTION("""COMPUTED_VALUE"""),"/www.linkedin.com/company/the-school-project")</f>
        <v/>
      </c>
      <c r="U1371" s="15">
        <f>IFERROR(__xludf.DUMMYFUNCTION("""COMPUTED_VALUE"""),"jenseigne.fr")</f>
        <v/>
      </c>
      <c r="V1371" s="1">
        <f>IFERROR(__xludf.DUMMYFUNCTION("""COMPUTED_VALUE"""),"jenseigne.fr is a the leading online marketplace for K-12 educational resources in French language. jenseigne.fr has been designed for teachers to access the community, content, and tools they need to teach at their best. Every month, over 100k teachers u"&amp;"se jenseigne.fr to save time and create the best instructional materials for their students.")</f>
        <v/>
      </c>
      <c r="W1371" s="15">
        <f>IFERROR(__xludf.DUMMYFUNCTION("""COMPUTED_VALUE"""),"MesEleves.fr")</f>
        <v/>
      </c>
      <c r="X1371" s="1">
        <f>IFERROR(__xludf.DUMMYFUNCTION("""COMPUTED_VALUE"""),"MesEleves.fr is a leading early education software to help run nurseries, preschools and kindergartens.")</f>
        <v/>
      </c>
      <c r="Y1371" s="1" t="n"/>
      <c r="Z1371" s="1">
        <f>IFERROR(__xludf.DUMMYFUNCTION("""COMPUTED_VALUE"""),"Unverified")</f>
        <v/>
      </c>
      <c r="AA1371" s="1" t="n"/>
      <c r="AB1371" s="1" t="n"/>
      <c r="AC1371" s="1" t="n"/>
      <c r="AD1371" s="1" t="n"/>
      <c r="AE1371" s="1" t="n"/>
    </row>
    <row r="1372" ht="42" customHeight="1">
      <c r="A1372" s="14">
        <f>IFERROR(__xludf.DUMMYFUNCTION("""COMPUTED_VALUE"""),45181)</f>
        <v/>
      </c>
      <c r="B1372" s="1">
        <f>IFERROR(__xludf.DUMMYFUNCTION("""COMPUTED_VALUE"""),"ORG_1846")</f>
        <v/>
      </c>
      <c r="C1372" s="1">
        <f>IFERROR(__xludf.DUMMYFUNCTION("""COMPUTED_VALUE"""),TRUE)</f>
        <v/>
      </c>
      <c r="D1372" s="1">
        <f>IFERROR(__xludf.DUMMYFUNCTION("""COMPUTED_VALUE"""),"Leemons")</f>
        <v/>
      </c>
      <c r="E1372" s="15">
        <f>IFERROR(__xludf.DUMMYFUNCTION("""COMPUTED_VALUE"""),"https://leemons.io/")</f>
        <v/>
      </c>
      <c r="F1372" s="1">
        <f>IFERROR(__xludf.DUMMYFUNCTION("""COMPUTED_VALUE"""),"A digital platform for designing learning experiences aimed at obtaining meaningful learning through the construction of knowledge as a systemic, collaborative and practical process.
Developed in open source and free for everyone, we have come to do our "&amp;"bit to help create opportunities through education.")</f>
        <v/>
      </c>
      <c r="G1372" s="1">
        <f>IFERROR(__xludf.DUMMYFUNCTION("""COMPUTED_VALUE"""),"I'm not part of any EdTech association")</f>
        <v/>
      </c>
      <c r="H1372" s="1" t="n"/>
      <c r="I1372" s="1">
        <f>IFERROR(__xludf.DUMMYFUNCTION("""COMPUTED_VALUE"""),"mail@leemons.io")</f>
        <v/>
      </c>
      <c r="J1372" s="1">
        <f>IFERROR(__xludf.DUMMYFUNCTION("""COMPUTED_VALUE"""),"+34902727379")</f>
        <v/>
      </c>
      <c r="K1372" s="1">
        <f>IFERROR(__xludf.DUMMYFUNCTION("""COMPUTED_VALUE"""),"MADRID")</f>
        <v/>
      </c>
      <c r="L1372" s="1">
        <f>IFERROR(__xludf.DUMMYFUNCTION("""COMPUTED_VALUE"""),"Spain")</f>
        <v/>
      </c>
      <c r="M1372" s="1">
        <f>IFERROR(__xludf.DUMMYFUNCTION("""COMPUTED_VALUE"""),"Spain")</f>
        <v/>
      </c>
      <c r="N1372" s="1">
        <f>IFERROR(__xludf.DUMMYFUNCTION("""COMPUTED_VALUE"""),"0 to 10")</f>
        <v/>
      </c>
      <c r="O1372" s="1">
        <f>IFERROR(__xludf.DUMMYFUNCTION("""COMPUTED_VALUE"""),"Business to Business")</f>
        <v/>
      </c>
      <c r="P1372" s="1">
        <f>IFERROR(__xludf.DUMMYFUNCTION("""COMPUTED_VALUE"""),"Primary Education, Secondary Education, Higher Education, Corporate Training, Lifelong learning/Adult education")</f>
        <v/>
      </c>
      <c r="Q1372" s="1">
        <f>IFERROR(__xludf.DUMMYFUNCTION("""COMPUTED_VALUE"""),"System/Administrative, Student interfacing, Teacher interfacing")</f>
        <v/>
      </c>
      <c r="R1372" s="1" t="n"/>
      <c r="S1372" s="1" t="n"/>
      <c r="T1372" s="1" t="n"/>
      <c r="U1372" s="1" t="n"/>
      <c r="V1372" s="1" t="n"/>
      <c r="W1372" s="1" t="n"/>
      <c r="X1372" s="1" t="n"/>
      <c r="Y1372" s="15">
        <f>IFERROR(__xludf.DUMMYFUNCTION("""COMPUTED_VALUE"""),"https://drive.google.com/uc?export=view&amp;id=1V8OozST_kd9ag9oPJFfAA-e6h54WhTpI")</f>
        <v/>
      </c>
      <c r="Z1372" s="1">
        <f>IFERROR(__xludf.DUMMYFUNCTION("""COMPUTED_VALUE"""),"Unverified")</f>
        <v/>
      </c>
      <c r="AA1372" s="1" t="n"/>
      <c r="AB1372" s="1" t="n"/>
      <c r="AC1372" s="1" t="n"/>
      <c r="AD1372" s="1" t="n"/>
      <c r="AE1372" s="1" t="n"/>
    </row>
    <row r="1373" ht="42" customHeight="1">
      <c r="A1373" s="14">
        <f>IFERROR(__xludf.DUMMYFUNCTION("""COMPUTED_VALUE"""),45181)</f>
        <v/>
      </c>
      <c r="B1373" s="1">
        <f>IFERROR(__xludf.DUMMYFUNCTION("""COMPUTED_VALUE"""),"ORG_2536")</f>
        <v/>
      </c>
      <c r="C1373" s="1">
        <f>IFERROR(__xludf.DUMMYFUNCTION("""COMPUTED_VALUE"""),TRUE)</f>
        <v/>
      </c>
      <c r="D1373" s="1">
        <f>IFERROR(__xludf.DUMMYFUNCTION("""COMPUTED_VALUE"""),"WingUp")</f>
        <v/>
      </c>
      <c r="E1373" s="15">
        <f>IFERROR(__xludf.DUMMYFUNCTION("""COMPUTED_VALUE"""),"Wingup.io")</f>
        <v/>
      </c>
      <c r="F1373" s="1">
        <f>IFERROR(__xludf.DUMMYFUNCTION("""COMPUTED_VALUE"""),"WingUp is a community platform that aims to reshape the education system by relying on the actors of the passion economy.
Our platform allows the decentralization and the accessibility to education as well as the monetization of content for the benefit "&amp;"of our creators.
By relying on current communication tools, WingUp presents a diversity of educational topics in different formats (videos, live courses, podcasts...). These subjects are treated by experts (the creators) who popularize information throu"&amp;"gh quality content. 
WingUp's ambition is on the one hand to support these content creators from a financial point of view by helping them to make the most of their passion and on the other hand to allow each individual in Europe to explore new topics i"&amp;"n depth regularly at a reasonable price.
The platform strongly wishes to create a community of specialists concerned with the evolution of our society’s way of learning.")</f>
        <v/>
      </c>
      <c r="G1373" s="1">
        <f>IFERROR(__xludf.DUMMYFUNCTION("""COMPUTED_VALUE"""),"I'm not part of any EdTech association")</f>
        <v/>
      </c>
      <c r="H1373" s="1" t="n"/>
      <c r="I1373" s="1">
        <f>IFERROR(__xludf.DUMMYFUNCTION("""COMPUTED_VALUE"""),"benjamin@wingup.io")</f>
        <v/>
      </c>
      <c r="J1373" s="1">
        <f>IFERROR(__xludf.DUMMYFUNCTION("""COMPUTED_VALUE"""),"+33695053620")</f>
        <v/>
      </c>
      <c r="K1373" s="1">
        <f>IFERROR(__xludf.DUMMYFUNCTION("""COMPUTED_VALUE"""),"Paris")</f>
        <v/>
      </c>
      <c r="L1373" s="1">
        <f>IFERROR(__xludf.DUMMYFUNCTION("""COMPUTED_VALUE"""),"France")</f>
        <v/>
      </c>
      <c r="M1373"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373" s="1">
        <f>IFERROR(__xludf.DUMMYFUNCTION("""COMPUTED_VALUE"""),"0 to 10")</f>
        <v/>
      </c>
      <c r="O1373" s="1">
        <f>IFERROR(__xludf.DUMMYFUNCTION("""COMPUTED_VALUE"""),"Business to Consumer")</f>
        <v/>
      </c>
      <c r="P1373" s="1">
        <f>IFERROR(__xludf.DUMMYFUNCTION("""COMPUTED_VALUE"""),"Lifelong learning/Adult education")</f>
        <v/>
      </c>
      <c r="Q1373" s="1">
        <f>IFERROR(__xludf.DUMMYFUNCTION("""COMPUTED_VALUE"""),"Teacher interfacing")</f>
        <v/>
      </c>
      <c r="R1373" s="1" t="n"/>
      <c r="S1373" s="1" t="n"/>
      <c r="T1373" s="1" t="n"/>
      <c r="U1373" s="1" t="n"/>
      <c r="V1373" s="1" t="n"/>
      <c r="W1373" s="1" t="n"/>
      <c r="X1373" s="1" t="n"/>
      <c r="Y1373" s="1" t="n"/>
      <c r="Z1373" s="1">
        <f>IFERROR(__xludf.DUMMYFUNCTION("""COMPUTED_VALUE"""),"Unverified")</f>
        <v/>
      </c>
      <c r="AA1373" s="1" t="n"/>
      <c r="AB1373" s="1" t="n"/>
      <c r="AC1373" s="1" t="n"/>
      <c r="AD1373" s="1" t="n"/>
      <c r="AE1373" s="1" t="n"/>
    </row>
    <row r="1374" ht="42" customHeight="1">
      <c r="A1374" s="14">
        <f>IFERROR(__xludf.DUMMYFUNCTION("""COMPUTED_VALUE"""),45181)</f>
        <v/>
      </c>
      <c r="B1374" s="1">
        <f>IFERROR(__xludf.DUMMYFUNCTION("""COMPUTED_VALUE"""),"ORG_1286")</f>
        <v/>
      </c>
      <c r="C1374" s="1">
        <f>IFERROR(__xludf.DUMMYFUNCTION("""COMPUTED_VALUE"""),TRUE)</f>
        <v/>
      </c>
      <c r="D1374" s="1">
        <f>IFERROR(__xludf.DUMMYFUNCTION("""COMPUTED_VALUE"""),"Comodín Universitario")</f>
        <v/>
      </c>
      <c r="E1374" s="15">
        <f>IFERROR(__xludf.DUMMYFUNCTION("""COMPUTED_VALUE"""),"https://comodinuniversitario.com/")</f>
        <v/>
      </c>
      <c r="F1374" s="1">
        <f>IFERROR(__xludf.DUMMYFUNCTION("""COMPUTED_VALUE"""),"Our company helps university students. With a simple photo, of the statement of a University exercise, sending it to our website to solve and in turn to explain by videoconference how any university exercise has been solved by the hand of recent universit"&amp;"y graduates. Applying in turn a group purchase system, lowering the cost of acquisition per person.")</f>
        <v/>
      </c>
      <c r="G1374" s="1">
        <f>IFERROR(__xludf.DUMMYFUNCTION("""COMPUTED_VALUE"""),"SEK Lab")</f>
        <v/>
      </c>
      <c r="H1374" s="1" t="n"/>
      <c r="I1374" s="1">
        <f>IFERROR(__xludf.DUMMYFUNCTION("""COMPUTED_VALUE"""),"oliver@comodinuniversitario.com")</f>
        <v/>
      </c>
      <c r="J1374" s="1">
        <f>IFERROR(__xludf.DUMMYFUNCTION("""COMPUTED_VALUE"""),"692697511")</f>
        <v/>
      </c>
      <c r="K1374" s="1">
        <f>IFERROR(__xludf.DUMMYFUNCTION("""COMPUTED_VALUE"""),"Madrid")</f>
        <v/>
      </c>
      <c r="L1374" s="1">
        <f>IFERROR(__xludf.DUMMYFUNCTION("""COMPUTED_VALUE"""),"Spain")</f>
        <v/>
      </c>
      <c r="M1374" s="1">
        <f>IFERROR(__xludf.DUMMYFUNCTION("""COMPUTED_VALUE"""),"Spain")</f>
        <v/>
      </c>
      <c r="N1374" s="1">
        <f>IFERROR(__xludf.DUMMYFUNCTION("""COMPUTED_VALUE"""),"0 to 10")</f>
        <v/>
      </c>
      <c r="O1374" s="1">
        <f>IFERROR(__xludf.DUMMYFUNCTION("""COMPUTED_VALUE"""),"Business to Business, Business to Consumer")</f>
        <v/>
      </c>
      <c r="P1374" s="1">
        <f>IFERROR(__xludf.DUMMYFUNCTION("""COMPUTED_VALUE"""),"Higher Education")</f>
        <v/>
      </c>
      <c r="Q1374" s="1">
        <f>IFERROR(__xludf.DUMMYFUNCTION("""COMPUTED_VALUE"""),"Student interfacing")</f>
        <v/>
      </c>
      <c r="R1374" s="1">
        <f>IFERROR(__xludf.DUMMYFUNCTION("""COMPUTED_VALUE"""),"Comodín Universitario")</f>
        <v/>
      </c>
      <c r="S1374" s="1">
        <f>IFERROR(__xludf.DUMMYFUNCTION("""COMPUTED_VALUE"""),"Comodín Universitario")</f>
        <v/>
      </c>
      <c r="T1374" s="15">
        <f>IFERROR(__xludf.DUMMYFUNCTION("""COMPUTED_VALUE"""),"https://www.linkedin.com/in/%C3%B3liver-n%C3%BA%C3%B1ez-rozas-84a15681/")</f>
        <v/>
      </c>
      <c r="U1374" s="1">
        <f>IFERROR(__xludf.DUMMYFUNCTION("""COMPUTED_VALUE"""),"Solution of a university exercise")</f>
        <v/>
      </c>
      <c r="V1374" s="1">
        <f>IFERROR(__xludf.DUMMYFUNCTION("""COMPUTED_VALUE"""),"The client takes a photo of the statement of a university exercise and can upload it to our app or website, then we will ask if he knows someone else with the same exercise to solve and we will offer him the opportunity to buy the exercise in a group the "&amp;"acquisition cost per student.")</f>
        <v/>
      </c>
      <c r="W1374" s="1">
        <f>IFERROR(__xludf.DUMMYFUNCTION("""COMPUTED_VALUE"""),"Explanatory videoconference")</f>
        <v/>
      </c>
      <c r="X1374" s="1">
        <f>IFERROR(__xludf.DUMMYFUNCTION("""COMPUTED_VALUE"""),"If the student buys the solution of an exercise from us and does not know how it has been solved, the engineer or architect who has solved it can hold an explanatory videoconference of the exercise that he has already bought and in turn he can also compar"&amp;"e it in a group, lowering the cost. acquisition per student.")</f>
        <v/>
      </c>
      <c r="Y1374" s="15">
        <f>IFERROR(__xludf.DUMMYFUNCTION("""COMPUTED_VALUE"""),"https://drive.google.com/uc?export=view&amp;id=1kXUrFXEOjMgnLtQamvmp00s7RjS74IB5")</f>
        <v/>
      </c>
      <c r="Z1374" s="1">
        <f>IFERROR(__xludf.DUMMYFUNCTION("""COMPUTED_VALUE"""),"Unverified")</f>
        <v/>
      </c>
      <c r="AA1374" s="1" t="n"/>
      <c r="AB1374" s="1" t="n"/>
      <c r="AC1374" s="1" t="n"/>
      <c r="AD1374" s="1" t="n"/>
      <c r="AE1374" s="1" t="n"/>
    </row>
    <row r="1375" ht="42" customHeight="1">
      <c r="A1375" s="14">
        <f>IFERROR(__xludf.DUMMYFUNCTION("""COMPUTED_VALUE"""),45181)</f>
        <v/>
      </c>
      <c r="B1375" s="1">
        <f>IFERROR(__xludf.DUMMYFUNCTION("""COMPUTED_VALUE"""),"ORG_1991")</f>
        <v/>
      </c>
      <c r="C1375" s="1">
        <f>IFERROR(__xludf.DUMMYFUNCTION("""COMPUTED_VALUE"""),TRUE)</f>
        <v/>
      </c>
      <c r="D1375" s="1">
        <f>IFERROR(__xludf.DUMMYFUNCTION("""COMPUTED_VALUE"""),"Moveen")</f>
        <v/>
      </c>
      <c r="E1375" s="15">
        <f>IFERROR(__xludf.DUMMYFUNCTION("""COMPUTED_VALUE"""),"http://www.moveen.eu")</f>
        <v/>
      </c>
      <c r="F1375" s="1">
        <f>IFERROR(__xludf.DUMMYFUNCTION("""COMPUTED_VALUE"""),"We're building the place for student to shape their future. We are connecting students to share their experiences and skills to progress and make the best academic choices.")</f>
        <v/>
      </c>
      <c r="G1375" s="1">
        <f>IFERROR(__xludf.DUMMYFUNCTION("""COMPUTED_VALUE"""),"I'm not part of any EdTech association")</f>
        <v/>
      </c>
      <c r="H1375" s="1" t="n"/>
      <c r="I1375" s="1">
        <f>IFERROR(__xludf.DUMMYFUNCTION("""COMPUTED_VALUE"""),"nicolas.duprat@moveen.eu")</f>
        <v/>
      </c>
      <c r="J1375" s="1">
        <f>IFERROR(__xludf.DUMMYFUNCTION("""COMPUTED_VALUE"""),"06 42 29 44 85")</f>
        <v/>
      </c>
      <c r="K1375" s="1">
        <f>IFERROR(__xludf.DUMMYFUNCTION("""COMPUTED_VALUE"""),"PARIS")</f>
        <v/>
      </c>
      <c r="L1375" s="1">
        <f>IFERROR(__xludf.DUMMYFUNCTION("""COMPUTED_VALUE"""),"France")</f>
        <v/>
      </c>
      <c r="M1375" s="1">
        <f>IFERROR(__xludf.DUMMYFUNCTION("""COMPUTED_VALUE"""),"France")</f>
        <v/>
      </c>
      <c r="N1375" s="1">
        <f>IFERROR(__xludf.DUMMYFUNCTION("""COMPUTED_VALUE"""),"0 to 10")</f>
        <v/>
      </c>
      <c r="O1375" s="1">
        <f>IFERROR(__xludf.DUMMYFUNCTION("""COMPUTED_VALUE"""),"Business to Business, Business to Government, Business to Schools")</f>
        <v/>
      </c>
      <c r="P1375" s="1">
        <f>IFERROR(__xludf.DUMMYFUNCTION("""COMPUTED_VALUE"""),"Secondary Education, Higher Education")</f>
        <v/>
      </c>
      <c r="Q1375" s="1">
        <f>IFERROR(__xludf.DUMMYFUNCTION("""COMPUTED_VALUE"""),"Student interfacing, System/Administrative")</f>
        <v/>
      </c>
      <c r="R1375" s="1" t="n"/>
      <c r="S1375" s="1" t="n"/>
      <c r="T1375" s="1" t="n"/>
      <c r="U1375" s="1" t="n"/>
      <c r="V1375" s="1" t="n"/>
      <c r="W1375" s="1" t="n"/>
      <c r="X1375" s="1" t="n"/>
      <c r="Y1375" s="1" t="n"/>
      <c r="Z1375" s="1">
        <f>IFERROR(__xludf.DUMMYFUNCTION("""COMPUTED_VALUE"""),"Unverified")</f>
        <v/>
      </c>
      <c r="AA1375" s="1" t="n"/>
      <c r="AB1375" s="1" t="n"/>
      <c r="AC1375" s="1" t="n"/>
      <c r="AD1375" s="1" t="n"/>
      <c r="AE1375" s="1" t="n"/>
    </row>
    <row r="1376" ht="42" customHeight="1">
      <c r="A1376" s="14">
        <f>IFERROR(__xludf.DUMMYFUNCTION("""COMPUTED_VALUE"""),45181)</f>
        <v/>
      </c>
      <c r="B1376" s="1">
        <f>IFERROR(__xludf.DUMMYFUNCTION("""COMPUTED_VALUE"""),"ORG_2087")</f>
        <v/>
      </c>
      <c r="C1376" s="1">
        <f>IFERROR(__xludf.DUMMYFUNCTION("""COMPUTED_VALUE"""),TRUE)</f>
        <v/>
      </c>
      <c r="D1376" s="1">
        <f>IFERROR(__xludf.DUMMYFUNCTION("""COMPUTED_VALUE"""),"Paragin")</f>
        <v/>
      </c>
      <c r="E1376" s="15">
        <f>IFERROR(__xludf.DUMMYFUNCTION("""COMPUTED_VALUE"""),"https://www.paragin.com")</f>
        <v/>
      </c>
      <c r="F1376" s="1">
        <f>IFERROR(__xludf.DUMMYFUNCTION("""COMPUTED_VALUE"""),"Paragin is a fast growing developer of SaaS EdTech software. We help schools, universities, exam institutions and corporations by delivering online software for examination, assessments, STEM, ePortfolios and course management, for assessing, assessing an"&amp;"d developing skills, knowledge and competences. We work hard to provide solutions that are user-friendly, efficient and attractively designed and are used by many schools, universities, educational publishers and other organizations, from Finland to Mexic"&amp;"o and from Australia to The Netherlands.")</f>
        <v/>
      </c>
      <c r="G1376" s="1">
        <f>IFERROR(__xludf.DUMMYFUNCTION("""COMPUTED_VALUE"""),"Dutch EdTech")</f>
        <v/>
      </c>
      <c r="H1376" s="1">
        <f>IFERROR(__xludf.DUMMYFUNCTION("""COMPUTED_VALUE"""),"English, Dutch, German, Spanish")</f>
        <v/>
      </c>
      <c r="I1376" s="1">
        <f>IFERROR(__xludf.DUMMYFUNCTION("""COMPUTED_VALUE"""),"info@paragin.com")</f>
        <v/>
      </c>
      <c r="J1376" s="1">
        <f>IFERROR(__xludf.DUMMYFUNCTION("""COMPUTED_VALUE"""),"+31 33 205 3007")</f>
        <v/>
      </c>
      <c r="K1376" s="1">
        <f>IFERROR(__xludf.DUMMYFUNCTION("""COMPUTED_VALUE"""),"NIJKERK")</f>
        <v/>
      </c>
      <c r="L1376" s="1">
        <f>IFERROR(__xludf.DUMMYFUNCTION("""COMPUTED_VALUE"""),"The Netherlands")</f>
        <v/>
      </c>
      <c r="M1376" s="1">
        <f>IFERROR(__xludf.DUMMYFUNCTION("""COMPUTED_VALUE"""),"Austria, Belgium, Denmark, Finland, France, Germany, Hungary, Lithuania, Netherlands, Norway, Spain, Sweden, United Kingdom")</f>
        <v/>
      </c>
      <c r="N1376" s="1">
        <f>IFERROR(__xludf.DUMMYFUNCTION("""COMPUTED_VALUE"""),"51 to 100")</f>
        <v/>
      </c>
      <c r="O1376" s="1">
        <f>IFERROR(__xludf.DUMMYFUNCTION("""COMPUTED_VALUE"""),"Business to Business, Business to Government, Business to Schools")</f>
        <v/>
      </c>
      <c r="P1376" s="1">
        <f>IFERROR(__xludf.DUMMYFUNCTION("""COMPUTED_VALUE"""),"Secondary Education, Corporate Training, Lifelong learning/Adult education, Vocational Education and Training (VET), Higher Education")</f>
        <v/>
      </c>
      <c r="Q1376" s="1">
        <f>IFERROR(__xludf.DUMMYFUNCTION("""COMPUTED_VALUE"""),"Teacher interfacing, System/Administrative, Student interfacing")</f>
        <v/>
      </c>
      <c r="R1376" s="1" t="n"/>
      <c r="S1376" s="1" t="n"/>
      <c r="T1376" s="15">
        <f>IFERROR(__xludf.DUMMYFUNCTION("""COMPUTED_VALUE"""),"https://nl.linkedin.com/company/paragin")</f>
        <v/>
      </c>
      <c r="U1376" s="1">
        <f>IFERROR(__xludf.DUMMYFUNCTION("""COMPUTED_VALUE"""),"SOWISO")</f>
        <v/>
      </c>
      <c r="V1376" s="1">
        <f>IFERROR(__xludf.DUMMYFUNCTION("""COMPUTED_VALUE"""),"SOWISO is an online learning &amp; testing environment for STEM that engages students and saves teachers time.")</f>
        <v/>
      </c>
      <c r="W1376" s="1">
        <f>IFERROR(__xludf.DUMMYFUNCTION("""COMPUTED_VALUE"""),"Remindo")</f>
        <v/>
      </c>
      <c r="X1376" s="1">
        <f>IFERROR(__xludf.DUMMYFUNCTION("""COMPUTED_VALUE"""),"Remindo helps educators take care of the entire process of testing and examination.")</f>
        <v/>
      </c>
      <c r="Y1376" s="15">
        <f>IFERROR(__xludf.DUMMYFUNCTION("""COMPUTED_VALUE"""),"https://drive.google.com/uc?export=view&amp;id=1qddC_-Ncj4F8miS5vBoVknxYiN2ChOlR")</f>
        <v/>
      </c>
      <c r="Z1376" s="1">
        <f>IFERROR(__xludf.DUMMYFUNCTION("""COMPUTED_VALUE"""),"Unverified")</f>
        <v/>
      </c>
      <c r="AA1376" s="1" t="n"/>
      <c r="AB1376" s="1" t="n"/>
      <c r="AC1376" s="1" t="n"/>
      <c r="AD1376" s="1" t="n"/>
      <c r="AE1376" s="1" t="n"/>
    </row>
    <row r="1377" ht="42" customHeight="1">
      <c r="A1377" s="14">
        <f>IFERROR(__xludf.DUMMYFUNCTION("""COMPUTED_VALUE"""),45181)</f>
        <v/>
      </c>
      <c r="B1377" s="1">
        <f>IFERROR(__xludf.DUMMYFUNCTION("""COMPUTED_VALUE"""),"ORG_2506")</f>
        <v/>
      </c>
      <c r="C1377" s="1">
        <f>IFERROR(__xludf.DUMMYFUNCTION("""COMPUTED_VALUE"""),TRUE)</f>
        <v/>
      </c>
      <c r="D1377" s="15">
        <f>IFERROR(__xludf.DUMMYFUNCTION("""COMPUTED_VALUE"""),"voluta.coop")</f>
        <v/>
      </c>
      <c r="E1377" s="15">
        <f>IFERROR(__xludf.DUMMYFUNCTION("""COMPUTED_VALUE"""),"https://www.voluta.coop/")</f>
        <v/>
      </c>
      <c r="F1377" s="1">
        <f>IFERROR(__xludf.DUMMYFUNCTION("""COMPUTED_VALUE"""),"We connect rural and urban areas to fight against rural depopulation, the digital divide and disconnection with nature.
Educational projects, international cooperation for development and territorial revitalization.")</f>
        <v/>
      </c>
      <c r="G1377" s="1">
        <f>IFERROR(__xludf.DUMMYFUNCTION("""COMPUTED_VALUE"""),"I'm not part of any EdTech association")</f>
        <v/>
      </c>
      <c r="H1377" s="1" t="n"/>
      <c r="I1377" s="1">
        <f>IFERROR(__xludf.DUMMYFUNCTION("""COMPUTED_VALUE"""),"info@voluta.coop")</f>
        <v/>
      </c>
      <c r="J1377" s="1" t="n"/>
      <c r="K1377" s="1">
        <f>IFERROR(__xludf.DUMMYFUNCTION("""COMPUTED_VALUE"""),"ARAS DE LOS OLMOS")</f>
        <v/>
      </c>
      <c r="L1377" s="1">
        <f>IFERROR(__xludf.DUMMYFUNCTION("""COMPUTED_VALUE"""),"Spain")</f>
        <v/>
      </c>
      <c r="M1377" s="1">
        <f>IFERROR(__xludf.DUMMYFUNCTION("""COMPUTED_VALUE"""),"Spain")</f>
        <v/>
      </c>
      <c r="N1377" s="1">
        <f>IFERROR(__xludf.DUMMYFUNCTION("""COMPUTED_VALUE"""),"0 to 10")</f>
        <v/>
      </c>
      <c r="O1377" s="1">
        <f>IFERROR(__xludf.DUMMYFUNCTION("""COMPUTED_VALUE"""),"Business to Consumer")</f>
        <v/>
      </c>
      <c r="P1377" s="1">
        <f>IFERROR(__xludf.DUMMYFUNCTION("""COMPUTED_VALUE"""),"Primary Education, Secondary Education, Higher Education")</f>
        <v/>
      </c>
      <c r="Q1377" s="1">
        <f>IFERROR(__xludf.DUMMYFUNCTION("""COMPUTED_VALUE"""),"Student interfacing, Teacher interfacing, System/Administrative")</f>
        <v/>
      </c>
      <c r="R1377" s="1" t="n"/>
      <c r="S1377" s="1" t="n"/>
      <c r="T1377" s="1" t="n"/>
      <c r="U1377" s="1" t="n"/>
      <c r="V1377" s="1" t="n"/>
      <c r="W1377" s="1" t="n"/>
      <c r="X1377" s="1" t="n"/>
      <c r="Y1377" s="15">
        <f>IFERROR(__xludf.DUMMYFUNCTION("""COMPUTED_VALUE"""),"https://drive.google.com/uc?export=view&amp;id=1HxQu0nO916M7ioS3S-K4xMDcGUjcLiyU")</f>
        <v/>
      </c>
      <c r="Z1377" s="1">
        <f>IFERROR(__xludf.DUMMYFUNCTION("""COMPUTED_VALUE"""),"Unverified")</f>
        <v/>
      </c>
      <c r="AA1377" s="1" t="n"/>
      <c r="AB1377" s="1" t="n"/>
      <c r="AC1377" s="1" t="n"/>
      <c r="AD1377" s="1" t="n"/>
      <c r="AE1377" s="1" t="n"/>
    </row>
    <row r="1378" ht="42" customHeight="1">
      <c r="A1378" s="14">
        <f>IFERROR(__xludf.DUMMYFUNCTION("""COMPUTED_VALUE"""),45181)</f>
        <v/>
      </c>
      <c r="B1378" s="1">
        <f>IFERROR(__xludf.DUMMYFUNCTION("""COMPUTED_VALUE"""),"ORG_2551")</f>
        <v/>
      </c>
      <c r="C1378" s="1">
        <f>IFERROR(__xludf.DUMMYFUNCTION("""COMPUTED_VALUE"""),TRUE)</f>
        <v/>
      </c>
      <c r="D1378" s="1">
        <f>IFERROR(__xludf.DUMMYFUNCTION("""COMPUTED_VALUE"""),"WoWplay")</f>
        <v/>
      </c>
      <c r="E1378" s="15">
        <f>IFERROR(__xludf.DUMMYFUNCTION("""COMPUTED_VALUE"""),"www.wowplayexperience.com")</f>
        <v/>
      </c>
      <c r="F1378" s="1">
        <f>IFERROR(__xludf.DUMMYFUNCTION("""COMPUTED_VALUE"""),"WoWplay, is a space for children to develop Soft Skills and STEAM competences through wonder and play. We want to empower kids to become makers, creators, and shapers of the technologies we use everyday through blended learning (hands-on learning plus a r"&amp;"esponsible use of screens).")</f>
        <v/>
      </c>
      <c r="G1378" s="1">
        <f>IFERROR(__xludf.DUMMYFUNCTION("""COMPUTED_VALUE"""),"SEK Lab")</f>
        <v/>
      </c>
      <c r="H1378" s="1" t="n"/>
      <c r="I1378" s="1">
        <f>IFERROR(__xludf.DUMMYFUNCTION("""COMPUTED_VALUE"""),"oriana@wowplayexperience.com")</f>
        <v/>
      </c>
      <c r="J1378" s="1">
        <f>IFERROR(__xludf.DUMMYFUNCTION("""COMPUTED_VALUE"""),"+34684378837")</f>
        <v/>
      </c>
      <c r="K1378" s="1">
        <f>IFERROR(__xludf.DUMMYFUNCTION("""COMPUTED_VALUE"""),"MADRID")</f>
        <v/>
      </c>
      <c r="L1378" s="1">
        <f>IFERROR(__xludf.DUMMYFUNCTION("""COMPUTED_VALUE"""),"Spain")</f>
        <v/>
      </c>
      <c r="M1378" s="1">
        <f>IFERROR(__xludf.DUMMYFUNCTION("""COMPUTED_VALUE"""),"Spain")</f>
        <v/>
      </c>
      <c r="N1378" s="1">
        <f>IFERROR(__xludf.DUMMYFUNCTION("""COMPUTED_VALUE"""),"0 to 10")</f>
        <v/>
      </c>
      <c r="O1378" s="1">
        <f>IFERROR(__xludf.DUMMYFUNCTION("""COMPUTED_VALUE"""),"Business to Consumer, Business to Schools")</f>
        <v/>
      </c>
      <c r="P1378" s="1">
        <f>IFERROR(__xludf.DUMMYFUNCTION("""COMPUTED_VALUE"""),"Primary Education")</f>
        <v/>
      </c>
      <c r="Q1378" s="1">
        <f>IFERROR(__xludf.DUMMYFUNCTION("""COMPUTED_VALUE"""),"System/Administrative, Student interfacing, Teacher interfacing")</f>
        <v/>
      </c>
      <c r="R1378" s="1">
        <f>IFERROR(__xludf.DUMMYFUNCTION("""COMPUTED_VALUE"""),"@wowplay_experience")</f>
        <v/>
      </c>
      <c r="S1378" s="1" t="n"/>
      <c r="T1378" s="15">
        <f>IFERROR(__xludf.DUMMYFUNCTION("""COMPUTED_VALUE"""),"https://www.linkedin.com/company/wowplayexperience/")</f>
        <v/>
      </c>
      <c r="U1378" s="1">
        <f>IFERROR(__xludf.DUMMYFUNCTION("""COMPUTED_VALUE"""),"STEAM projects delivered at home")</f>
        <v/>
      </c>
      <c r="V1378" s="1">
        <f>IFERROR(__xludf.DUMMYFUNCTION("""COMPUTED_VALUE"""),"A subscription for kids 5 to 8 years old in which they receive every month a wowbox. Everything they need (online and offline) to build a new project. All the projects are linked to our yearly program. In 12 months we go over 4 themed modules: Electricity"&amp;", Mechanics, Coding and Science. All of them with a strong arts component. The projects level up and are linked to each other.")</f>
        <v/>
      </c>
      <c r="W1378" s="1" t="n"/>
      <c r="X1378" s="1" t="n"/>
      <c r="Y1378" s="15">
        <f>IFERROR(__xludf.DUMMYFUNCTION("""COMPUTED_VALUE"""),"https://drive.google.com/uc?export=view&amp;id=1sK6JVXdKrAhvJ-XQ_8iiAkd_lZ5XoFeS")</f>
        <v/>
      </c>
      <c r="Z1378" s="1">
        <f>IFERROR(__xludf.DUMMYFUNCTION("""COMPUTED_VALUE"""),"Unverified")</f>
        <v/>
      </c>
      <c r="AA1378" s="1" t="n"/>
      <c r="AB1378" s="1" t="n"/>
      <c r="AC1378" s="1" t="n"/>
      <c r="AD1378" s="1" t="n"/>
      <c r="AE1378" s="1" t="n"/>
    </row>
    <row r="1379" ht="42" customHeight="1">
      <c r="A1379" s="14">
        <f>IFERROR(__xludf.DUMMYFUNCTION("""COMPUTED_VALUE"""),45181)</f>
        <v/>
      </c>
      <c r="B1379" s="1">
        <f>IFERROR(__xludf.DUMMYFUNCTION("""COMPUTED_VALUE"""),"ORG_1021")</f>
        <v/>
      </c>
      <c r="C1379" s="1">
        <f>IFERROR(__xludf.DUMMYFUNCTION("""COMPUTED_VALUE"""),TRUE)</f>
        <v/>
      </c>
      <c r="D1379" s="1">
        <f>IFERROR(__xludf.DUMMYFUNCTION("""COMPUTED_VALUE"""),"Abstract Technology")</f>
        <v/>
      </c>
      <c r="E1379" s="15">
        <f>IFERROR(__xludf.DUMMYFUNCTION("""COMPUTED_VALUE"""),"https://abstract-technology.com/")</f>
        <v/>
      </c>
      <c r="F1379" s="1">
        <f>IFERROR(__xludf.DUMMYFUNCTION("""COMPUTED_VALUE"""),"Abstract Technology is a digital agency that selects, designs and personalizes cutting edge open source software solutions. From conception, to development, to implementation, we develop individual and customized digital solutions for our customers and fa"&amp;"miliarize their employees with the new software. We develop innovative and individual digital solutions for educational institutions and we are professional and official service partner of Open edX® and PLONE.")</f>
        <v/>
      </c>
      <c r="G1379" s="1">
        <f>IFERROR(__xludf.DUMMYFUNCTION("""COMPUTED_VALUE"""),"I'm not part of any EdTech association")</f>
        <v/>
      </c>
      <c r="H1379" s="1" t="n"/>
      <c r="I1379" s="1">
        <f>IFERROR(__xludf.DUMMYFUNCTION("""COMPUTED_VALUE"""),"info@abstract-technology.de")</f>
        <v/>
      </c>
      <c r="J1379" s="1" t="n"/>
      <c r="K1379" s="1">
        <f>IFERROR(__xludf.DUMMYFUNCTION("""COMPUTED_VALUE"""),"Milan")</f>
        <v/>
      </c>
      <c r="L1379" s="1">
        <f>IFERROR(__xludf.DUMMYFUNCTION("""COMPUTED_VALUE"""),"Italy")</f>
        <v/>
      </c>
      <c r="M1379" s="1">
        <f>IFERROR(__xludf.DUMMYFUNCTION("""COMPUTED_VALUE"""),"Germany, Italy")</f>
        <v/>
      </c>
      <c r="N1379" s="1">
        <f>IFERROR(__xludf.DUMMYFUNCTION("""COMPUTED_VALUE"""),"0 to 10")</f>
        <v/>
      </c>
      <c r="O1379" s="1">
        <f>IFERROR(__xludf.DUMMYFUNCTION("""COMPUTED_VALUE"""),"Business to Business")</f>
        <v/>
      </c>
      <c r="P1379" s="1">
        <f>IFERROR(__xludf.DUMMYFUNCTION("""COMPUTED_VALUE"""),"Higher Education, Corporate Training, Lifelong learning/Adult education")</f>
        <v/>
      </c>
      <c r="Q1379" s="1">
        <f>IFERROR(__xludf.DUMMYFUNCTION("""COMPUTED_VALUE"""),"Student interfacing, System/Administrative")</f>
        <v/>
      </c>
      <c r="R1379" s="1" t="n"/>
      <c r="S1379" s="1" t="n"/>
      <c r="T1379" s="1" t="n"/>
      <c r="U1379" s="1" t="n"/>
      <c r="V1379" s="1" t="n"/>
      <c r="W1379" s="1" t="n"/>
      <c r="X1379" s="1" t="n"/>
      <c r="Y1379" s="1" t="n"/>
      <c r="Z1379" s="1">
        <f>IFERROR(__xludf.DUMMYFUNCTION("""COMPUTED_VALUE"""),"Unverified")</f>
        <v/>
      </c>
      <c r="AA1379" s="1" t="n"/>
      <c r="AB1379" s="1" t="n"/>
      <c r="AC1379" s="1" t="n"/>
      <c r="AD1379" s="1" t="n"/>
      <c r="AE1379" s="1" t="n"/>
    </row>
    <row r="1380" ht="42" customHeight="1">
      <c r="A1380" s="14">
        <f>IFERROR(__xludf.DUMMYFUNCTION("""COMPUTED_VALUE"""),45181)</f>
        <v/>
      </c>
      <c r="B1380" s="1">
        <f>IFERROR(__xludf.DUMMYFUNCTION("""COMPUTED_VALUE"""),"ORG_1131")</f>
        <v/>
      </c>
      <c r="C1380" s="1">
        <f>IFERROR(__xludf.DUMMYFUNCTION("""COMPUTED_VALUE"""),TRUE)</f>
        <v/>
      </c>
      <c r="D1380" s="1">
        <f>IFERROR(__xludf.DUMMYFUNCTION("""COMPUTED_VALUE"""),"AZAV Pilot")</f>
        <v/>
      </c>
      <c r="E1380" s="15">
        <f>IFERROR(__xludf.DUMMYFUNCTION("""COMPUTED_VALUE"""),"https://azav-pilot.de/")</f>
        <v/>
      </c>
      <c r="F1380" s="1">
        <f>IFERROR(__xludf.DUMMYFUNCTION("""COMPUTED_VALUE"""),"AZAV Pilot is the administrative backbone for education providers in Germany to manage their courses, participants and certifications to receive government support for their students.")</f>
        <v/>
      </c>
      <c r="G1380" s="1">
        <f>IFERROR(__xludf.DUMMYFUNCTION("""COMPUTED_VALUE"""),"I'm not part of any EdTech association")</f>
        <v/>
      </c>
      <c r="H1380" s="1" t="n"/>
      <c r="I1380" s="1">
        <f>IFERROR(__xludf.DUMMYFUNCTION("""COMPUTED_VALUE"""),"info@azav-pilot.de")</f>
        <v/>
      </c>
      <c r="J1380" s="1" t="n"/>
      <c r="K1380" s="1">
        <f>IFERROR(__xludf.DUMMYFUNCTION("""COMPUTED_VALUE"""),"Hattingen")</f>
        <v/>
      </c>
      <c r="L1380" s="1">
        <f>IFERROR(__xludf.DUMMYFUNCTION("""COMPUTED_VALUE"""),"Germany")</f>
        <v/>
      </c>
      <c r="M1380" s="1">
        <f>IFERROR(__xludf.DUMMYFUNCTION("""COMPUTED_VALUE"""),"Austria, France, Germany, Italy, Netherlands, Portugal, Spain, Switzerland, United Kingdom")</f>
        <v/>
      </c>
      <c r="N1380" s="1">
        <f>IFERROR(__xludf.DUMMYFUNCTION("""COMPUTED_VALUE"""),"0 to 10")</f>
        <v/>
      </c>
      <c r="O1380" s="1">
        <f>IFERROR(__xludf.DUMMYFUNCTION("""COMPUTED_VALUE"""),"Business to Business")</f>
        <v/>
      </c>
      <c r="P1380" s="1">
        <f>IFERROR(__xludf.DUMMYFUNCTION("""COMPUTED_VALUE"""),"Higher Education, Corporate Training")</f>
        <v/>
      </c>
      <c r="Q1380" s="1">
        <f>IFERROR(__xludf.DUMMYFUNCTION("""COMPUTED_VALUE"""),"System/Administrative")</f>
        <v/>
      </c>
      <c r="R1380" s="1" t="n"/>
      <c r="S1380" s="1" t="n"/>
      <c r="T1380" s="1" t="n"/>
      <c r="U1380" s="1" t="n"/>
      <c r="V1380" s="1" t="n"/>
      <c r="W1380" s="1" t="n"/>
      <c r="X1380" s="1" t="n"/>
      <c r="Y1380" s="15">
        <f>IFERROR(__xludf.DUMMYFUNCTION("""COMPUTED_VALUE"""),"https://drive.google.com/uc?export=view&amp;id=1rORReOctkTPBqaGDRxb5BGhjJEaWl52B")</f>
        <v/>
      </c>
      <c r="Z1380" s="1">
        <f>IFERROR(__xludf.DUMMYFUNCTION("""COMPUTED_VALUE"""),"Unverified")</f>
        <v/>
      </c>
      <c r="AA1380" s="1" t="n"/>
      <c r="AB1380" s="1" t="n"/>
      <c r="AC1380" s="1" t="n"/>
      <c r="AD1380" s="1" t="n"/>
      <c r="AE1380" s="1" t="n"/>
    </row>
    <row r="1381" ht="42" customHeight="1">
      <c r="A1381" s="14">
        <f>IFERROR(__xludf.DUMMYFUNCTION("""COMPUTED_VALUE"""),45181)</f>
        <v/>
      </c>
      <c r="B1381" s="1">
        <f>IFERROR(__xludf.DUMMYFUNCTION("""COMPUTED_VALUE"""),"ORG_1146")</f>
        <v/>
      </c>
      <c r="C1381" s="1">
        <f>IFERROR(__xludf.DUMMYFUNCTION("""COMPUTED_VALUE"""),TRUE)</f>
        <v/>
      </c>
      <c r="D1381" s="1">
        <f>IFERROR(__xludf.DUMMYFUNCTION("""COMPUTED_VALUE"""),"Beedle")</f>
        <v/>
      </c>
      <c r="E1381" s="15">
        <f>IFERROR(__xludf.DUMMYFUNCTION("""COMPUTED_VALUE"""),"https://beedle.co")</f>
        <v/>
      </c>
      <c r="F1381" s="1">
        <f>IFERROR(__xludf.DUMMYFUNCTION("""COMPUTED_VALUE"""),"Beedle is a provider of an all-in-one solution to streamline teaching and learning in Microsoft Teams for Education. Created by teachers, Beedle brings powerful teaching and engaging functionality to Microsoft Teams with tools and resources tailored to th"&amp;"e modern educator’s daily needs. Save time, engage with parents, and support your students’ overall success—all from a single, familiar platform. The Beedle solutions are trusted by over 700 schools in more than 80 countries. Our customers include schools"&amp;" and other educational organizations who wish to move teaching, learning, and student engagement to a safe, digital, and online environment.")</f>
        <v/>
      </c>
      <c r="G1381" s="1">
        <f>IFERROR(__xludf.DUMMYFUNCTION("""COMPUTED_VALUE"""),"I'm not part of any EdTech association")</f>
        <v/>
      </c>
      <c r="H1381" s="1" t="n"/>
      <c r="I1381" s="1">
        <f>IFERROR(__xludf.DUMMYFUNCTION("""COMPUTED_VALUE"""),"support@beedle.co")</f>
        <v/>
      </c>
      <c r="J1381" s="1" t="n"/>
      <c r="K1381" s="1">
        <f>IFERROR(__xludf.DUMMYFUNCTION("""COMPUTED_VALUE"""),"Reykjavik")</f>
        <v/>
      </c>
      <c r="L1381" s="1">
        <f>IFERROR(__xludf.DUMMYFUNCTION("""COMPUTED_VALUE"""),"Iceland")</f>
        <v/>
      </c>
      <c r="M1381" s="1">
        <f>IFERROR(__xludf.DUMMYFUNCTION("""COMPUTED_VALUE"""),"Austria, Belgium, Croatia, Czechia, Denmark, Finland, France, Georgia, Germany, Hungary, Iceland, Ireland, Italy, Liechtenstein, Malta, Netherlands, Norway, Poland, Portugal, Romania, Spain, Sweden, Switzerland, Turkey, Ukraine, United Kingdom")</f>
        <v/>
      </c>
      <c r="N1381" s="1">
        <f>IFERROR(__xludf.DUMMYFUNCTION("""COMPUTED_VALUE"""),"11 to 50")</f>
        <v/>
      </c>
      <c r="O1381" s="1">
        <f>IFERROR(__xludf.DUMMYFUNCTION("""COMPUTED_VALUE"""),"Business to Business")</f>
        <v/>
      </c>
      <c r="P1381" s="1">
        <f>IFERROR(__xludf.DUMMYFUNCTION("""COMPUTED_VALUE"""),"Primary Education, Secondary Education, Higher Education")</f>
        <v/>
      </c>
      <c r="Q1381" s="1">
        <f>IFERROR(__xludf.DUMMYFUNCTION("""COMPUTED_VALUE"""),"System/Administrative, Student interfacing, Teacher interfacing")</f>
        <v/>
      </c>
      <c r="R1381" s="1" t="n"/>
      <c r="S1381" s="1" t="n"/>
      <c r="T1381" s="1" t="n"/>
      <c r="U1381" s="1" t="n"/>
      <c r="V1381" s="1" t="n"/>
      <c r="W1381" s="1" t="n"/>
      <c r="X1381" s="1" t="n"/>
      <c r="Y1381" s="15">
        <f>IFERROR(__xludf.DUMMYFUNCTION("""COMPUTED_VALUE"""),"https://drive.google.com/uc?export=view&amp;id=1VLbgHPxO0KpFMX-NHHO-K5X6xke2ezCq")</f>
        <v/>
      </c>
      <c r="Z1381" s="1">
        <f>IFERROR(__xludf.DUMMYFUNCTION("""COMPUTED_VALUE"""),"Unverified")</f>
        <v/>
      </c>
      <c r="AA1381" s="1" t="n"/>
      <c r="AB1381" s="1" t="n"/>
      <c r="AC1381" s="1" t="n"/>
      <c r="AD1381" s="1" t="n"/>
      <c r="AE1381" s="1" t="n"/>
    </row>
    <row r="1382" ht="42" customHeight="1">
      <c r="A1382" s="14">
        <f>IFERROR(__xludf.DUMMYFUNCTION("""COMPUTED_VALUE"""),45181)</f>
        <v/>
      </c>
      <c r="B1382" s="1">
        <f>IFERROR(__xludf.DUMMYFUNCTION("""COMPUTED_VALUE"""),"ORG_1203")</f>
        <v/>
      </c>
      <c r="C1382" s="1">
        <f>IFERROR(__xludf.DUMMYFUNCTION("""COMPUTED_VALUE"""),TRUE)</f>
        <v/>
      </c>
      <c r="D1382" s="1">
        <f>IFERROR(__xludf.DUMMYFUNCTION("""COMPUTED_VALUE"""),"BUKU")</f>
        <v/>
      </c>
      <c r="E1382" s="15">
        <f>IFERROR(__xludf.DUMMYFUNCTION("""COMPUTED_VALUE"""),"buku.io")</f>
        <v/>
      </c>
      <c r="F1382" s="1">
        <f>IFERROR(__xludf.DUMMYFUNCTION("""COMPUTED_VALUE"""),"Opening a world of knowledge and opportunities for everyone worldwide
BUKU is a subscription based streaming platform for educational content. BUKU collaborates with over 125 local and international publishers, to give students/lecturers/educational inst"&amp;"itutes around the world always and everywhere access to up-to-date high quality educational content on all devices. Online and offline. For a local affordable price.
BUKU, at this moment, is active in the Netherlands, Suriname, Aruba/Bonaire/Curaçao, Nami"&amp;"bia, Kenya, Malawi, Ghana, Fiji Islands, Vanuatu, Solomon Islands, Papua New Guinea and India.")</f>
        <v/>
      </c>
      <c r="G1382" s="1" t="n"/>
      <c r="H1382" s="1" t="n"/>
      <c r="I1382" s="1">
        <f>IFERROR(__xludf.DUMMYFUNCTION("""COMPUTED_VALUE"""),"hello@buku.io")</f>
        <v/>
      </c>
      <c r="J1382" s="1">
        <f>IFERROR(__xludf.DUMMYFUNCTION("""COMPUTED_VALUE"""),"+31625014941")</f>
        <v/>
      </c>
      <c r="K1382" s="1">
        <f>IFERROR(__xludf.DUMMYFUNCTION("""COMPUTED_VALUE"""),"Groningen")</f>
        <v/>
      </c>
      <c r="L1382" s="1">
        <f>IFERROR(__xludf.DUMMYFUNCTION("""COMPUTED_VALUE"""),"The Netherlands")</f>
        <v/>
      </c>
      <c r="M1382" s="1">
        <f>IFERROR(__xludf.DUMMYFUNCTION("""COMPUTED_VALUE"""),"Netherlands")</f>
        <v/>
      </c>
      <c r="N1382" s="1">
        <f>IFERROR(__xludf.DUMMYFUNCTION("""COMPUTED_VALUE"""),"11 to 50")</f>
        <v/>
      </c>
      <c r="O1382" s="1">
        <f>IFERROR(__xludf.DUMMYFUNCTION("""COMPUTED_VALUE"""),"Business to Business")</f>
        <v/>
      </c>
      <c r="P1382" s="1">
        <f>IFERROR(__xludf.DUMMYFUNCTION("""COMPUTED_VALUE"""),"Secondary Education, Higher Education, Corporate Training, Lifelong learning/Adult education")</f>
        <v/>
      </c>
      <c r="Q1382" s="1">
        <f>IFERROR(__xludf.DUMMYFUNCTION("""COMPUTED_VALUE"""),"System/Administrative, Student interfacing, Teacher interfacing")</f>
        <v/>
      </c>
      <c r="R1382" s="1">
        <f>IFERROR(__xludf.DUMMYFUNCTION("""COMPUTED_VALUE"""),"-")</f>
        <v/>
      </c>
      <c r="S1382" s="1">
        <f>IFERROR(__xludf.DUMMYFUNCTION("""COMPUTED_VALUE"""),"-")</f>
        <v/>
      </c>
      <c r="T1382" s="15">
        <f>IFERROR(__xludf.DUMMYFUNCTION("""COMPUTED_VALUE"""),"https://www.linkedin.com/company/buku-world/mycompany/")</f>
        <v/>
      </c>
      <c r="U1382" s="1">
        <f>IFERROR(__xludf.DUMMYFUNCTION("""COMPUTED_VALUE"""),"BUKU")</f>
        <v/>
      </c>
      <c r="V1382" s="1">
        <f>IFERROR(__xludf.DUMMYFUNCTION("""COMPUTED_VALUE"""),"Subscription based streaming platform for educational content.")</f>
        <v/>
      </c>
      <c r="W1382" s="1" t="n"/>
      <c r="X1382" s="1" t="n"/>
      <c r="Y1382" s="15">
        <f>IFERROR(__xludf.DUMMYFUNCTION("""COMPUTED_VALUE"""),"https://drive.google.com/uc?export=view&amp;id=1MODGVJgpEACpQssCBm0hG-9lD8osuEL2")</f>
        <v/>
      </c>
      <c r="Z1382" s="1">
        <f>IFERROR(__xludf.DUMMYFUNCTION("""COMPUTED_VALUE"""),"Unverified")</f>
        <v/>
      </c>
      <c r="AA1382" s="1" t="n"/>
      <c r="AB1382" s="1" t="n"/>
      <c r="AC1382" s="1" t="n"/>
      <c r="AD1382" s="1" t="n"/>
      <c r="AE1382" s="1" t="n"/>
    </row>
    <row r="1383" ht="42" customHeight="1">
      <c r="A1383" s="14">
        <f>IFERROR(__xludf.DUMMYFUNCTION("""COMPUTED_VALUE"""),45181)</f>
        <v/>
      </c>
      <c r="B1383" s="1">
        <f>IFERROR(__xludf.DUMMYFUNCTION("""COMPUTED_VALUE"""),"ORG_1311")</f>
        <v/>
      </c>
      <c r="C1383" s="1">
        <f>IFERROR(__xludf.DUMMYFUNCTION("""COMPUTED_VALUE"""),TRUE)</f>
        <v/>
      </c>
      <c r="D1383" s="1">
        <f>IFERROR(__xludf.DUMMYFUNCTION("""COMPUTED_VALUE"""),"Cresory")</f>
        <v/>
      </c>
      <c r="E1383" s="15">
        <f>IFERROR(__xludf.DUMMYFUNCTION("""COMPUTED_VALUE"""),"Cresory.com")</f>
        <v/>
      </c>
      <c r="F1383" s="1">
        <f>IFERROR(__xludf.DUMMYFUNCTION("""COMPUTED_VALUE"""),"At Cresory we aim to be the reference source of financial education for 6-12 years old children.")</f>
        <v/>
      </c>
      <c r="G1383" s="1">
        <f>IFERROR(__xludf.DUMMYFUNCTION("""COMPUTED_VALUE"""),"SEK Lab")</f>
        <v/>
      </c>
      <c r="H1383" s="1" t="n"/>
      <c r="I1383" s="1" t="n"/>
      <c r="J1383" s="1">
        <f>IFERROR(__xludf.DUMMYFUNCTION("""COMPUTED_VALUE"""),"+34637291441")</f>
        <v/>
      </c>
      <c r="K1383" s="1">
        <f>IFERROR(__xludf.DUMMYFUNCTION("""COMPUTED_VALUE"""),"MADRID")</f>
        <v/>
      </c>
      <c r="L1383" s="1">
        <f>IFERROR(__xludf.DUMMYFUNCTION("""COMPUTED_VALUE"""),"Spain")</f>
        <v/>
      </c>
      <c r="M1383" s="1">
        <f>IFERROR(__xludf.DUMMYFUNCTION("""COMPUTED_VALUE"""),"Spain")</f>
        <v/>
      </c>
      <c r="N1383" s="1">
        <f>IFERROR(__xludf.DUMMYFUNCTION("""COMPUTED_VALUE"""),"0 to 10")</f>
        <v/>
      </c>
      <c r="O1383" s="1">
        <f>IFERROR(__xludf.DUMMYFUNCTION("""COMPUTED_VALUE"""),"Business to Business")</f>
        <v/>
      </c>
      <c r="P1383" s="1">
        <f>IFERROR(__xludf.DUMMYFUNCTION("""COMPUTED_VALUE"""),"Primary Education")</f>
        <v/>
      </c>
      <c r="Q1383" s="1">
        <f>IFERROR(__xludf.DUMMYFUNCTION("""COMPUTED_VALUE"""),"System/Administrative")</f>
        <v/>
      </c>
      <c r="R1383" s="1">
        <f>IFERROR(__xludf.DUMMYFUNCTION("""COMPUTED_VALUE"""),"@cresory_")</f>
        <v/>
      </c>
      <c r="S1383" s="1">
        <f>IFERROR(__xludf.DUMMYFUNCTION("""COMPUTED_VALUE"""),"Cresory")</f>
        <v/>
      </c>
      <c r="T1383" s="1">
        <f>IFERROR(__xludf.DUMMYFUNCTION("""COMPUTED_VALUE"""),"Cresory")</f>
        <v/>
      </c>
      <c r="U1383" s="1">
        <f>IFERROR(__xludf.DUMMYFUNCTION("""COMPUTED_VALUE"""),"Cresory")</f>
        <v/>
      </c>
      <c r="V1383" s="1">
        <f>IFERROR(__xludf.DUMMYFUNCTION("""COMPUTED_VALUE"""),"Cresory is an e-learning program that teaches finances to 6-12 years old children. While playing they learn how to value the money, save, invest and manage budgets")</f>
        <v/>
      </c>
      <c r="W1383" s="1" t="n"/>
      <c r="X1383" s="1" t="n"/>
      <c r="Y1383" s="15">
        <f>IFERROR(__xludf.DUMMYFUNCTION("""COMPUTED_VALUE"""),"https://drive.google.com/uc?export=view&amp;id=1QqCfUZo9pe3nBaemrIsGNNVgrFTT-we9")</f>
        <v/>
      </c>
      <c r="Z1383" s="1">
        <f>IFERROR(__xludf.DUMMYFUNCTION("""COMPUTED_VALUE"""),"Unverified")</f>
        <v/>
      </c>
      <c r="AA1383" s="1" t="n"/>
      <c r="AB1383" s="1" t="n"/>
      <c r="AC1383" s="1" t="n"/>
      <c r="AD1383" s="1" t="n"/>
      <c r="AE1383" s="1" t="n"/>
    </row>
    <row r="1384" ht="42" customHeight="1">
      <c r="A1384" s="14">
        <f>IFERROR(__xludf.DUMMYFUNCTION("""COMPUTED_VALUE"""),45181)</f>
        <v/>
      </c>
      <c r="B1384" s="1">
        <f>IFERROR(__xludf.DUMMYFUNCTION("""COMPUTED_VALUE"""),"ORG_1323")</f>
        <v/>
      </c>
      <c r="C1384" s="1">
        <f>IFERROR(__xludf.DUMMYFUNCTION("""COMPUTED_VALUE"""),TRUE)</f>
        <v/>
      </c>
      <c r="D1384" s="1">
        <f>IFERROR(__xludf.DUMMYFUNCTION("""COMPUTED_VALUE"""),"d-teach online school")</f>
        <v/>
      </c>
      <c r="E1384" s="15">
        <f>IFERROR(__xludf.DUMMYFUNCTION("""COMPUTED_VALUE"""),"https://www.d-teachschool.com")</f>
        <v/>
      </c>
      <c r="F1384" s="1">
        <f>IFERROR(__xludf.DUMMYFUNCTION("""COMPUTED_VALUE"""),"www.d-teachschool.com
d-teach online school is the first international 100% online school in Belgium. An extensive team of educationalists, teachers and speech therapists has been providing online training to children, young people and adults at home and "&amp;"abroad for more than ten years. The online school wants to build bridges between Belgium and the world to enable internationalisation and reintegration in Belgian schools.")</f>
        <v/>
      </c>
      <c r="G1384" s="1">
        <f>IFERROR(__xludf.DUMMYFUNCTION("""COMPUTED_VALUE"""),"I'm not part of any EdTech association")</f>
        <v/>
      </c>
      <c r="H1384" s="1" t="n"/>
      <c r="I1384" s="1">
        <f>IFERROR(__xludf.DUMMYFUNCTION("""COMPUTED_VALUE"""),"lieselot.declercq@d-teach.com")</f>
        <v/>
      </c>
      <c r="J1384" s="1" t="n"/>
      <c r="K1384" s="1">
        <f>IFERROR(__xludf.DUMMYFUNCTION("""COMPUTED_VALUE"""),"Brussels")</f>
        <v/>
      </c>
      <c r="L1384" s="1">
        <f>IFERROR(__xludf.DUMMYFUNCTION("""COMPUTED_VALUE"""),"Belgium")</f>
        <v/>
      </c>
      <c r="M1384" s="1">
        <f>IFERROR(__xludf.DUMMYFUNCTION("""COMPUTED_VALUE"""),"Belgium")</f>
        <v/>
      </c>
      <c r="N1384" s="1">
        <f>IFERROR(__xludf.DUMMYFUNCTION("""COMPUTED_VALUE"""),"0 to 10")</f>
        <v/>
      </c>
      <c r="O1384" s="1">
        <f>IFERROR(__xludf.DUMMYFUNCTION("""COMPUTED_VALUE"""),"Business to Business")</f>
        <v/>
      </c>
      <c r="P1384" s="1">
        <f>IFERROR(__xludf.DUMMYFUNCTION("""COMPUTED_VALUE"""),"Early childhood development (0-5 years), Primary Education, Secondary Education, Higher Education, Lifelong learning/Adult education")</f>
        <v/>
      </c>
      <c r="Q1384" s="1">
        <f>IFERROR(__xludf.DUMMYFUNCTION("""COMPUTED_VALUE"""),"System/Administrative, Student interfacing")</f>
        <v/>
      </c>
      <c r="R1384" s="1" t="n"/>
      <c r="S1384" s="1">
        <f>IFERROR(__xludf.DUMMYFUNCTION("""COMPUTED_VALUE"""),"@D_TEACH1")</f>
        <v/>
      </c>
      <c r="T1384" s="15">
        <f>IFERROR(__xludf.DUMMYFUNCTION("""COMPUTED_VALUE"""),"https://www.linkedin.com/company/d-teach/about/?viewAsMember=true")</f>
        <v/>
      </c>
      <c r="U1384" s="1">
        <f>IFERROR(__xludf.DUMMYFUNCTION("""COMPUTED_VALUE"""),"Online courses")</f>
        <v/>
      </c>
      <c r="V1384" s="1">
        <f>IFERROR(__xludf.DUMMYFUNCTION("""COMPUTED_VALUE"""),"see: https://www.d-teachschool.com/offer/")</f>
        <v/>
      </c>
      <c r="W1384" s="1" t="n"/>
      <c r="X1384" s="1" t="n"/>
      <c r="Y1384" s="15">
        <f>IFERROR(__xludf.DUMMYFUNCTION("""COMPUTED_VALUE"""),"https://drive.google.com/uc?export=view&amp;id=1JTlv8QkiVUaMk8CjNnATToDcSB-XWhkU")</f>
        <v/>
      </c>
      <c r="Z1384" s="1">
        <f>IFERROR(__xludf.DUMMYFUNCTION("""COMPUTED_VALUE"""),"Unverified")</f>
        <v/>
      </c>
      <c r="AA1384" s="1" t="n"/>
      <c r="AB1384" s="1" t="n"/>
      <c r="AC1384" s="1" t="n"/>
      <c r="AD1384" s="1" t="n"/>
      <c r="AE1384" s="1" t="n"/>
    </row>
    <row r="1385" ht="42" customHeight="1">
      <c r="A1385" s="14">
        <f>IFERROR(__xludf.DUMMYFUNCTION("""COMPUTED_VALUE"""),45181)</f>
        <v/>
      </c>
      <c r="B1385" s="1">
        <f>IFERROR(__xludf.DUMMYFUNCTION("""COMPUTED_VALUE"""),"ORG_1324")</f>
        <v/>
      </c>
      <c r="C1385" s="1">
        <f>IFERROR(__xludf.DUMMYFUNCTION("""COMPUTED_VALUE"""),TRUE)</f>
        <v/>
      </c>
      <c r="D1385" s="1">
        <f>IFERROR(__xludf.DUMMYFUNCTION("""COMPUTED_VALUE"""),"d-teach training")</f>
        <v/>
      </c>
      <c r="E1385" s="15">
        <f>IFERROR(__xludf.DUMMYFUNCTION("""COMPUTED_VALUE"""),"https://d-teachtraining.com")</f>
        <v/>
      </c>
      <c r="F1385" s="1">
        <f>IFERROR(__xludf.DUMMYFUNCTION("""COMPUTED_VALUE"""),"d-teach online training combines practical experience from the online school with its own research in close collaboration with the academic world. d-teach online training has grown into an expertise and knowledge centre in online learning, specialised in "&amp;"online didactics and instructional design. We also work for companies to support the L&amp;D team with online &amp; blended learning. This online expertise is used to support organisations in their transformation from offline to blended and online learning.")</f>
        <v/>
      </c>
      <c r="G1385" s="1">
        <f>IFERROR(__xludf.DUMMYFUNCTION("""COMPUTED_VALUE"""),"I'm not part of any EdTech association")</f>
        <v/>
      </c>
      <c r="H1385" s="1" t="n"/>
      <c r="I1385" s="1">
        <f>IFERROR(__xludf.DUMMYFUNCTION("""COMPUTED_VALUE"""),"training@d-teach.com")</f>
        <v/>
      </c>
      <c r="J1385" s="1" t="n"/>
      <c r="K1385" s="1">
        <f>IFERROR(__xludf.DUMMYFUNCTION("""COMPUTED_VALUE"""),"Gent")</f>
        <v/>
      </c>
      <c r="L1385" s="1">
        <f>IFERROR(__xludf.DUMMYFUNCTION("""COMPUTED_VALUE"""),"Belgium")</f>
        <v/>
      </c>
      <c r="M1385" s="1">
        <f>IFERROR(__xludf.DUMMYFUNCTION("""COMPUTED_VALUE"""),"Belgium, Germany, Luxembourg, Netherlands, United Kingdom")</f>
        <v/>
      </c>
      <c r="N1385" s="1">
        <f>IFERROR(__xludf.DUMMYFUNCTION("""COMPUTED_VALUE"""),"0 to 10")</f>
        <v/>
      </c>
      <c r="O1385" s="1">
        <f>IFERROR(__xludf.DUMMYFUNCTION("""COMPUTED_VALUE"""),"Business to Business")</f>
        <v/>
      </c>
      <c r="P1385" s="1">
        <f>IFERROR(__xludf.DUMMYFUNCTION("""COMPUTED_VALUE"""),"Corporate Training, Lifelong learning/Adult education")</f>
        <v/>
      </c>
      <c r="Q1385" s="1">
        <f>IFERROR(__xludf.DUMMYFUNCTION("""COMPUTED_VALUE"""),"Teacher interfacing, System/Administrative")</f>
        <v/>
      </c>
      <c r="R1385" s="1" t="n"/>
      <c r="S1385" s="1">
        <f>IFERROR(__xludf.DUMMYFUNCTION("""COMPUTED_VALUE"""),"@dteachtraining")</f>
        <v/>
      </c>
      <c r="T1385" s="15">
        <f>IFERROR(__xludf.DUMMYFUNCTION("""COMPUTED_VALUE"""),"https://www.linkedin.com/company/d-teach-training/about/")</f>
        <v/>
      </c>
      <c r="U1385" s="1">
        <f>IFERROR(__xludf.DUMMYFUNCTION("""COMPUTED_VALUE"""),"Online training")</f>
        <v/>
      </c>
      <c r="V1385" s="1">
        <f>IFERROR(__xludf.DUMMYFUNCTION("""COMPUTED_VALUE"""),"d-teach online training combines that practical experience from the online school with its own research in close collaboration with the academic world. d-teach online training has grown into an expertise and knowledge centre in online learning, specialise"&amp;"d in online didactics and instructional design. We also work for companies to support the L&amp;D team with online &amp; blended learning. This online expertise is used to support organisations in their transformation from offline to blended and online learning.")</f>
        <v/>
      </c>
      <c r="W1385" s="1" t="n"/>
      <c r="X1385" s="1" t="n"/>
      <c r="Y1385" s="15">
        <f>IFERROR(__xludf.DUMMYFUNCTION("""COMPUTED_VALUE"""),"https://drive.google.com/uc?export=view&amp;id=1sgAjrqKrYUVr2gSXwJcoS5WH-w12U4E3")</f>
        <v/>
      </c>
      <c r="Z1385" s="1">
        <f>IFERROR(__xludf.DUMMYFUNCTION("""COMPUTED_VALUE"""),"Unverified")</f>
        <v/>
      </c>
      <c r="AA1385" s="1" t="n"/>
      <c r="AB1385" s="1" t="n"/>
      <c r="AC1385" s="1" t="n"/>
      <c r="AD1385" s="1" t="n"/>
      <c r="AE1385" s="1" t="n"/>
    </row>
    <row r="1386" ht="42" customHeight="1">
      <c r="A1386" s="14">
        <f>IFERROR(__xludf.DUMMYFUNCTION("""COMPUTED_VALUE"""),45181)</f>
        <v/>
      </c>
      <c r="B1386" s="1">
        <f>IFERROR(__xludf.DUMMYFUNCTION("""COMPUTED_VALUE"""),"ORG_1371")</f>
        <v/>
      </c>
      <c r="C1386" s="1">
        <f>IFERROR(__xludf.DUMMYFUNCTION("""COMPUTED_VALUE"""),TRUE)</f>
        <v/>
      </c>
      <c r="D1386" s="1">
        <f>IFERROR(__xludf.DUMMYFUNCTION("""COMPUTED_VALUE"""),"Docsity")</f>
        <v/>
      </c>
      <c r="E1386" s="15">
        <f>IFERROR(__xludf.DUMMYFUNCTION("""COMPUTED_VALUE"""),"https://www.docsity.com")</f>
        <v/>
      </c>
      <c r="F1386" s="1">
        <f>IFERROR(__xludf.DUMMYFUNCTION("""COMPUTED_VALUE"""),"At Docsity we help students to effectively learn and prepare for their exams through high quality study resources, both proprietary and crowd-sourced.
As part of our mission, we also help students connect with the best study opportunities worldwide.")</f>
        <v/>
      </c>
      <c r="G1386" s="1">
        <f>IFERROR(__xludf.DUMMYFUNCTION("""COMPUTED_VALUE"""),"I'm not part of any EdTech association")</f>
        <v/>
      </c>
      <c r="H1386" s="1" t="n"/>
      <c r="I1386" s="1">
        <f>IFERROR(__xludf.DUMMYFUNCTION("""COMPUTED_VALUE"""),"partnerships@docsity.com")</f>
        <v/>
      </c>
      <c r="J1386" s="1" t="n"/>
      <c r="K1386" s="1">
        <f>IFERROR(__xludf.DUMMYFUNCTION("""COMPUTED_VALUE"""),"Torino")</f>
        <v/>
      </c>
      <c r="L1386" s="1">
        <f>IFERROR(__xludf.DUMMYFUNCTION("""COMPUTED_VALUE"""),"Italy")</f>
        <v/>
      </c>
      <c r="M1386" s="1">
        <f>IFERROR(__xludf.DUMMYFUNCTION("""COMPUTED_VALUE"""),"France, Germany, Italy, Poland, Portugal, Russia, Serbia, Spain, Switzerland")</f>
        <v/>
      </c>
      <c r="N1386" s="1">
        <f>IFERROR(__xludf.DUMMYFUNCTION("""COMPUTED_VALUE"""),"51 to 100")</f>
        <v/>
      </c>
      <c r="O1386" s="1">
        <f>IFERROR(__xludf.DUMMYFUNCTION("""COMPUTED_VALUE"""),"Business to Business")</f>
        <v/>
      </c>
      <c r="P1386" s="1">
        <f>IFERROR(__xludf.DUMMYFUNCTION("""COMPUTED_VALUE"""),"Higher Education, Lifelong learning/Adult education")</f>
        <v/>
      </c>
      <c r="Q1386" s="1">
        <f>IFERROR(__xludf.DUMMYFUNCTION("""COMPUTED_VALUE"""),"Student interfacing")</f>
        <v/>
      </c>
      <c r="R1386" s="1" t="n"/>
      <c r="S1386" s="1" t="n"/>
      <c r="T1386" s="1" t="n"/>
      <c r="U1386" s="1" t="n"/>
      <c r="V1386" s="1" t="n"/>
      <c r="W1386" s="1" t="n"/>
      <c r="X1386" s="1" t="n"/>
      <c r="Y1386" s="15">
        <f>IFERROR(__xludf.DUMMYFUNCTION("""COMPUTED_VALUE"""),"https://drive.google.com/uc?export=view&amp;id=1w22Va9WYBnhGKivKrRUb8C0jllWQpiNQ")</f>
        <v/>
      </c>
      <c r="Z1386" s="1">
        <f>IFERROR(__xludf.DUMMYFUNCTION("""COMPUTED_VALUE"""),"Unverified")</f>
        <v/>
      </c>
      <c r="AA1386" s="1" t="n"/>
      <c r="AB1386" s="1" t="n"/>
      <c r="AC1386" s="1" t="n"/>
      <c r="AD1386" s="1" t="n"/>
      <c r="AE1386" s="1" t="n"/>
    </row>
    <row r="1387" ht="42" customHeight="1">
      <c r="A1387" s="14">
        <f>IFERROR(__xludf.DUMMYFUNCTION("""COMPUTED_VALUE"""),45181)</f>
        <v/>
      </c>
      <c r="B1387" s="1">
        <f>IFERROR(__xludf.DUMMYFUNCTION("""COMPUTED_VALUE"""),"ORG_1396")</f>
        <v/>
      </c>
      <c r="C1387" s="1">
        <f>IFERROR(__xludf.DUMMYFUNCTION("""COMPUTED_VALUE"""),TRUE)</f>
        <v/>
      </c>
      <c r="D1387" s="1">
        <f>IFERROR(__xludf.DUMMYFUNCTION("""COMPUTED_VALUE"""),"EdAider")</f>
        <v/>
      </c>
      <c r="E1387" s="15">
        <f>IFERROR(__xludf.DUMMYFUNCTION("""COMPUTED_VALUE"""),"www.EdAider.com")</f>
        <v/>
      </c>
      <c r="F1387" s="1">
        <f>IFERROR(__xludf.DUMMYFUNCTION("""COMPUTED_VALUE"""),"A smart pedagogical plattform for data-driven education")</f>
        <v/>
      </c>
      <c r="G1387" s="1">
        <f>IFERROR(__xludf.DUMMYFUNCTION("""COMPUTED_VALUE"""),"Swedish EdTech Industry")</f>
        <v/>
      </c>
      <c r="H1387" s="1" t="n"/>
      <c r="I1387" s="1">
        <f>IFERROR(__xludf.DUMMYFUNCTION("""COMPUTED_VALUE"""),"contact@edaider.com")</f>
        <v/>
      </c>
      <c r="J1387" s="1" t="n"/>
      <c r="K1387" s="1">
        <f>IFERROR(__xludf.DUMMYFUNCTION("""COMPUTED_VALUE"""),"Skattetorpsvägen")</f>
        <v/>
      </c>
      <c r="L1387" s="1">
        <f>IFERROR(__xludf.DUMMYFUNCTION("""COMPUTED_VALUE"""),"Sweden")</f>
        <v/>
      </c>
      <c r="M1387" s="1">
        <f>IFERROR(__xludf.DUMMYFUNCTION("""COMPUTED_VALUE"""),"Sweden")</f>
        <v/>
      </c>
      <c r="N1387" s="1">
        <f>IFERROR(__xludf.DUMMYFUNCTION("""COMPUTED_VALUE"""),"11 to 50")</f>
        <v/>
      </c>
      <c r="O1387" s="1">
        <f>IFERROR(__xludf.DUMMYFUNCTION("""COMPUTED_VALUE"""),"Business to Business, Business to Consumer")</f>
        <v/>
      </c>
      <c r="P1387" s="1">
        <f>IFERROR(__xludf.DUMMYFUNCTION("""COMPUTED_VALUE"""),"Primary Education, Secondary Education, Higher Education, Lifelong learning/Adult education")</f>
        <v/>
      </c>
      <c r="Q1387" s="1">
        <f>IFERROR(__xludf.DUMMYFUNCTION("""COMPUTED_VALUE"""),"System/Administrative, Student interfacing, Teacher interfacing")</f>
        <v/>
      </c>
      <c r="R1387" s="1" t="n"/>
      <c r="S1387" s="1" t="n"/>
      <c r="T1387" s="15">
        <f>IFERROR(__xludf.DUMMYFUNCTION("""COMPUTED_VALUE"""),"www.linkedin.com/ed-aider")</f>
        <v/>
      </c>
      <c r="U1387" s="1">
        <f>IFERROR(__xludf.DUMMYFUNCTION("""COMPUTED_VALUE"""),"EdAider")</f>
        <v/>
      </c>
      <c r="V1387" s="1">
        <f>IFERROR(__xludf.DUMMYFUNCTION("""COMPUTED_VALUE"""),"The main EdAider platform supports data-driven learning and teaching during lessons and within courses")</f>
        <v/>
      </c>
      <c r="W1387" s="1">
        <f>IFERROR(__xludf.DUMMYFUNCTION("""COMPUTED_VALUE"""),"EdAider Wellbeing analytics")</f>
        <v/>
      </c>
      <c r="X1387" s="1">
        <f>IFERROR(__xludf.DUMMYFUNCTION("""COMPUTED_VALUE"""),"This specific product supports schools to monitor students wellbeing with rich analytical tools")</f>
        <v/>
      </c>
      <c r="Y1387" s="15">
        <f>IFERROR(__xludf.DUMMYFUNCTION("""COMPUTED_VALUE"""),"https://drive.google.com/uc?export=view&amp;id=155jqeHP5qMATmq3awUm7FFDJqW3RGbNs")</f>
        <v/>
      </c>
      <c r="Z1387" s="1">
        <f>IFERROR(__xludf.DUMMYFUNCTION("""COMPUTED_VALUE"""),"Unverified")</f>
        <v/>
      </c>
      <c r="AA1387" s="1" t="n"/>
      <c r="AB1387" s="1" t="n"/>
      <c r="AC1387" s="1" t="n"/>
      <c r="AD1387" s="1" t="n"/>
      <c r="AE1387" s="1" t="n"/>
    </row>
    <row r="1388" ht="42" customHeight="1">
      <c r="A1388" s="14">
        <f>IFERROR(__xludf.DUMMYFUNCTION("""COMPUTED_VALUE"""),45181)</f>
        <v/>
      </c>
      <c r="B1388" s="1">
        <f>IFERROR(__xludf.DUMMYFUNCTION("""COMPUTED_VALUE"""),"ORG_1398")</f>
        <v/>
      </c>
      <c r="C1388" s="1">
        <f>IFERROR(__xludf.DUMMYFUNCTION("""COMPUTED_VALUE"""),TRUE)</f>
        <v/>
      </c>
      <c r="D1388" s="1">
        <f>IFERROR(__xludf.DUMMYFUNCTION("""COMPUTED_VALUE"""),"Edberry")</f>
        <v/>
      </c>
      <c r="E1388" s="15">
        <f>IFERROR(__xludf.DUMMYFUNCTION("""COMPUTED_VALUE"""),"www.edberry.digital")</f>
        <v/>
      </c>
      <c r="F1388" s="1">
        <f>IFERROR(__xludf.DUMMYFUNCTION("""COMPUTED_VALUE"""),"Digital services platform for education. Making education better. Forever.")</f>
        <v/>
      </c>
      <c r="G1388" s="1">
        <f>IFERROR(__xludf.DUMMYFUNCTION("""COMPUTED_VALUE"""),"I'm not part of any EdTech association")</f>
        <v/>
      </c>
      <c r="H1388" s="1" t="n"/>
      <c r="I1388" s="1">
        <f>IFERROR(__xludf.DUMMYFUNCTION("""COMPUTED_VALUE"""),"edberryme@gmail.com")</f>
        <v/>
      </c>
      <c r="J1388" s="1">
        <f>IFERROR(__xludf.DUMMYFUNCTION("""COMPUTED_VALUE"""),"+37066622166")</f>
        <v/>
      </c>
      <c r="K1388" s="1">
        <f>IFERROR(__xludf.DUMMYFUNCTION("""COMPUTED_VALUE"""),"Vilnius")</f>
        <v/>
      </c>
      <c r="L1388" s="1">
        <f>IFERROR(__xludf.DUMMYFUNCTION("""COMPUTED_VALUE"""),"Lithuania")</f>
        <v/>
      </c>
      <c r="M1388" s="1">
        <f>IFERROR(__xludf.DUMMYFUNCTION("""COMPUTED_VALUE"""),"Belarus, Ukraine")</f>
        <v/>
      </c>
      <c r="N1388" s="1">
        <f>IFERROR(__xludf.DUMMYFUNCTION("""COMPUTED_VALUE"""),"0 to 10")</f>
        <v/>
      </c>
      <c r="O1388" s="1">
        <f>IFERROR(__xludf.DUMMYFUNCTION("""COMPUTED_VALUE"""),"Business to Business, Business to Consumer")</f>
        <v/>
      </c>
      <c r="P1388" s="1">
        <f>IFERROR(__xludf.DUMMYFUNCTION("""COMPUTED_VALUE"""),"Early childhood development (0-5 years), Primary Education, Secondary Education, Higher Education, Corporate Training, Lifelong learning/Adult education")</f>
        <v/>
      </c>
      <c r="Q1388" s="1">
        <f>IFERROR(__xludf.DUMMYFUNCTION("""COMPUTED_VALUE"""),"System/Administrative")</f>
        <v/>
      </c>
      <c r="R1388" s="1" t="n"/>
      <c r="S1388" s="1" t="n"/>
      <c r="T1388" s="1" t="n"/>
      <c r="U1388" s="1" t="n"/>
      <c r="V1388" s="1" t="n"/>
      <c r="W1388" s="1" t="n"/>
      <c r="X1388" s="1" t="n"/>
      <c r="Y1388" s="15">
        <f>IFERROR(__xludf.DUMMYFUNCTION("""COMPUTED_VALUE"""),"https://drive.google.com/uc?export=view&amp;id=1k8e_m0fJVs_g9-h13MDxxSnoEywRk1xP")</f>
        <v/>
      </c>
      <c r="Z1388" s="1">
        <f>IFERROR(__xludf.DUMMYFUNCTION("""COMPUTED_VALUE"""),"Unverified")</f>
        <v/>
      </c>
      <c r="AA1388" s="1" t="n"/>
      <c r="AB1388" s="1" t="n"/>
      <c r="AC1388" s="1" t="n"/>
      <c r="AD1388" s="1" t="n"/>
      <c r="AE1388" s="1" t="n"/>
    </row>
    <row r="1389" ht="42" customHeight="1">
      <c r="A1389" s="14">
        <f>IFERROR(__xludf.DUMMYFUNCTION("""COMPUTED_VALUE"""),45181)</f>
        <v/>
      </c>
      <c r="B1389" s="1">
        <f>IFERROR(__xludf.DUMMYFUNCTION("""COMPUTED_VALUE"""),"ORG_1428")</f>
        <v/>
      </c>
      <c r="C1389" s="1">
        <f>IFERROR(__xludf.DUMMYFUNCTION("""COMPUTED_VALUE"""),TRUE)</f>
        <v/>
      </c>
      <c r="D1389" s="1">
        <f>IFERROR(__xludf.DUMMYFUNCTION("""COMPUTED_VALUE"""),"EduCat")</f>
        <v/>
      </c>
      <c r="E1389" s="15">
        <f>IFERROR(__xludf.DUMMYFUNCTION("""COMPUTED_VALUE"""),"http://educat.study/")</f>
        <v/>
      </c>
      <c r="F1389" s="1">
        <f>IFERROR(__xludf.DUMMYFUNCTION("""COMPUTED_VALUE"""),"EduCat is an innovative platform matching students from universities around the world with high school students wanting to apply there.")</f>
        <v/>
      </c>
      <c r="G1389" s="1">
        <f>IFERROR(__xludf.DUMMYFUNCTION("""COMPUTED_VALUE"""),"I'm not part of any EdTech association")</f>
        <v/>
      </c>
      <c r="H1389" s="1" t="n"/>
      <c r="I1389" s="1">
        <f>IFERROR(__xludf.DUMMYFUNCTION("""COMPUTED_VALUE"""),"nina.wieretilo@educat.study")</f>
        <v/>
      </c>
      <c r="J1389" s="1">
        <f>IFERROR(__xludf.DUMMYFUNCTION("""COMPUTED_VALUE"""),"+48696264008")</f>
        <v/>
      </c>
      <c r="K1389" s="1">
        <f>IFERROR(__xludf.DUMMYFUNCTION("""COMPUTED_VALUE"""),"WARSZAWA")</f>
        <v/>
      </c>
      <c r="L1389" s="1">
        <f>IFERROR(__xludf.DUMMYFUNCTION("""COMPUTED_VALUE"""),"Poland")</f>
        <v/>
      </c>
      <c r="M1389" s="1">
        <f>IFERROR(__xludf.DUMMYFUNCTION("""COMPUTED_VALUE"""),"France, Germany, Latvia, Lithuania, Poland, Romania, United Kingdom")</f>
        <v/>
      </c>
      <c r="N1389" s="1">
        <f>IFERROR(__xludf.DUMMYFUNCTION("""COMPUTED_VALUE"""),"0 to 10")</f>
        <v/>
      </c>
      <c r="O1389" s="1">
        <f>IFERROR(__xludf.DUMMYFUNCTION("""COMPUTED_VALUE"""),"Business to Business, Business to Consumer")</f>
        <v/>
      </c>
      <c r="P1389" s="1">
        <f>IFERROR(__xludf.DUMMYFUNCTION("""COMPUTED_VALUE"""),"Secondary Education, Higher Education")</f>
        <v/>
      </c>
      <c r="Q1389" s="1">
        <f>IFERROR(__xludf.DUMMYFUNCTION("""COMPUTED_VALUE"""),"System/Administrative, Student interfacing")</f>
        <v/>
      </c>
      <c r="R1389" s="1" t="n"/>
      <c r="S1389" s="1" t="n"/>
      <c r="T1389" s="1" t="n"/>
      <c r="U1389" s="1" t="n"/>
      <c r="V1389" s="1" t="n"/>
      <c r="W1389" s="1" t="n"/>
      <c r="X1389" s="1" t="n"/>
      <c r="Y1389" s="15">
        <f>IFERROR(__xludf.DUMMYFUNCTION("""COMPUTED_VALUE"""),"https://drive.google.com/uc?export=view&amp;id=12SX9CETeukP7HRtY2QHJeHuT7yZrotcN")</f>
        <v/>
      </c>
      <c r="Z1389" s="1">
        <f>IFERROR(__xludf.DUMMYFUNCTION("""COMPUTED_VALUE"""),"Unverified")</f>
        <v/>
      </c>
      <c r="AA1389" s="1" t="n"/>
      <c r="AB1389" s="1" t="n"/>
      <c r="AC1389" s="1" t="n"/>
      <c r="AD1389" s="1" t="n"/>
      <c r="AE1389" s="1" t="n"/>
    </row>
    <row r="1390" ht="42" customHeight="1">
      <c r="A1390" s="14">
        <f>IFERROR(__xludf.DUMMYFUNCTION("""COMPUTED_VALUE"""),45181)</f>
        <v/>
      </c>
      <c r="B1390" s="1">
        <f>IFERROR(__xludf.DUMMYFUNCTION("""COMPUTED_VALUE"""),"ORG_1461")</f>
        <v/>
      </c>
      <c r="C1390" s="1">
        <f>IFERROR(__xludf.DUMMYFUNCTION("""COMPUTED_VALUE"""),TRUE)</f>
        <v/>
      </c>
      <c r="D1390" s="1">
        <f>IFERROR(__xludf.DUMMYFUNCTION("""COMPUTED_VALUE"""),"edusiia")</f>
        <v/>
      </c>
      <c r="E1390" s="15">
        <f>IFERROR(__xludf.DUMMYFUNCTION("""COMPUTED_VALUE"""),"www.edusiia.com")</f>
        <v/>
      </c>
      <c r="F1390" s="1">
        <f>IFERROR(__xludf.DUMMYFUNCTION("""COMPUTED_VALUE"""),"edusiia is the first productive online community for education. We help educational organizations to connect their stakeholders sustainably with each other and with third parties - for successful educational change. We bring organizations and people from "&amp;"various fields together on a long-term basis: including schools, universities, education companies, EdTech startups, foundations, associations and NGOs. We aim to live our purpose - improving education together - by supporting people and organizations to "&amp;"make education more effective. Initially we are operating in Germany and later worldwide.
What makes us unique?
1. Our online community is completely tailored to educational stakeholders.
2. edusiia is the first platform that captures data about the acto"&amp;"rs, issues and problems of the German education landscape in real time.
3. edusiia is a German, GDPR-compliant platform that meets high data protection standards.
4. We enable networking as well as productive collaboration and we actively support our comm"&amp;"unity.")</f>
        <v/>
      </c>
      <c r="G1390" s="1">
        <f>IFERROR(__xludf.DUMMYFUNCTION("""COMPUTED_VALUE"""),"I'm not part of any EdTech association")</f>
        <v/>
      </c>
      <c r="H1390" s="1" t="n"/>
      <c r="I1390" s="1">
        <f>IFERROR(__xludf.DUMMYFUNCTION("""COMPUTED_VALUE"""),"hallo@edusiia.com")</f>
        <v/>
      </c>
      <c r="J1390" s="1" t="n"/>
      <c r="K1390" s="1">
        <f>IFERROR(__xludf.DUMMYFUNCTION("""COMPUTED_VALUE"""),"BERLIN")</f>
        <v/>
      </c>
      <c r="L1390" s="1">
        <f>IFERROR(__xludf.DUMMYFUNCTION("""COMPUTED_VALUE"""),"Germany")</f>
        <v/>
      </c>
      <c r="M1390" s="1">
        <f>IFERROR(__xludf.DUMMYFUNCTION("""COMPUTED_VALUE"""),"Germany")</f>
        <v/>
      </c>
      <c r="N1390" s="1">
        <f>IFERROR(__xludf.DUMMYFUNCTION("""COMPUTED_VALUE"""),"0 to 10")</f>
        <v/>
      </c>
      <c r="O1390" s="1">
        <f>IFERROR(__xludf.DUMMYFUNCTION("""COMPUTED_VALUE"""),"Business to Business, Business to Consumer")</f>
        <v/>
      </c>
      <c r="P1390" s="1">
        <f>IFERROR(__xludf.DUMMYFUNCTION("""COMPUTED_VALUE"""),"Early childhood development (0-5 years), Primary Education, Secondary Education, Higher Education, Corporate Training, Lifelong learning/Adult education")</f>
        <v/>
      </c>
      <c r="Q1390" s="1">
        <f>IFERROR(__xludf.DUMMYFUNCTION("""COMPUTED_VALUE"""),"Teacher interfacing, Student interfacing, System/Administrative")</f>
        <v/>
      </c>
      <c r="R1390" s="1" t="n"/>
      <c r="S1390" s="1" t="n"/>
      <c r="T1390" s="1" t="n"/>
      <c r="U1390" s="1" t="n"/>
      <c r="V1390" s="1" t="n"/>
      <c r="W1390" s="1" t="n"/>
      <c r="X1390" s="1" t="n"/>
      <c r="Y1390" s="15">
        <f>IFERROR(__xludf.DUMMYFUNCTION("""COMPUTED_VALUE"""),"https://drive.google.com/uc?export=view&amp;id=18ytvzXk_6I7cdviy4NET-6T-kyzYKjX5")</f>
        <v/>
      </c>
      <c r="Z1390" s="1">
        <f>IFERROR(__xludf.DUMMYFUNCTION("""COMPUTED_VALUE"""),"Unverified")</f>
        <v/>
      </c>
      <c r="AA1390" s="1" t="n"/>
      <c r="AB1390" s="1" t="n"/>
      <c r="AC1390" s="1" t="n"/>
      <c r="AD1390" s="1" t="n"/>
      <c r="AE1390" s="1" t="n"/>
    </row>
    <row r="1391" ht="42" customHeight="1">
      <c r="A1391" s="14">
        <f>IFERROR(__xludf.DUMMYFUNCTION("""COMPUTED_VALUE"""),45181)</f>
        <v/>
      </c>
      <c r="B1391" s="1">
        <f>IFERROR(__xludf.DUMMYFUNCTION("""COMPUTED_VALUE"""),"ORG_1462")</f>
        <v/>
      </c>
      <c r="C1391" s="1">
        <f>IFERROR(__xludf.DUMMYFUNCTION("""COMPUTED_VALUE"""),TRUE)</f>
        <v/>
      </c>
      <c r="D1391" s="1">
        <f>IFERROR(__xludf.DUMMYFUNCTION("""COMPUTED_VALUE"""),"edutec.one")</f>
        <v/>
      </c>
      <c r="E1391" s="15">
        <f>IFERROR(__xludf.DUMMYFUNCTION("""COMPUTED_VALUE"""),"www.edutec.one")</f>
        <v/>
      </c>
      <c r="F1391" s="1">
        <f>IFERROR(__xludf.DUMMYFUNCTION("""COMPUTED_VALUE"""),"Our expert team arranges and advises on a broad range of educational principles, supporting adaptive learning, digital education, creating better solutions empowering the workforce of tomorrow.
These solutions and services include but are not limited to:"&amp;" Curriculum Design, Educational Needs Analysis for Public and Private Learning, Competence Management, Advanced Learning Technologies, Simulation and Game based Learning.
In addition we are supporting Educational Industries in M &amp; A projects and Investme"&amp;"nt initiatives.")</f>
        <v/>
      </c>
      <c r="G1391" s="1">
        <f>IFERROR(__xludf.DUMMYFUNCTION("""COMPUTED_VALUE"""),"I'm not part of any EdTech association")</f>
        <v/>
      </c>
      <c r="H1391" s="1" t="n"/>
      <c r="I1391" s="1">
        <f>IFERROR(__xludf.DUMMYFUNCTION("""COMPUTED_VALUE"""),"niehaus@edutec.one")</f>
        <v/>
      </c>
      <c r="J1391" s="1" t="n"/>
      <c r="K1391" s="1">
        <f>IFERROR(__xludf.DUMMYFUNCTION("""COMPUTED_VALUE"""),"Kirchheim")</f>
        <v/>
      </c>
      <c r="L1391" s="1">
        <f>IFERROR(__xludf.DUMMYFUNCTION("""COMPUTED_VALUE"""),"Germany")</f>
        <v/>
      </c>
      <c r="M1391" s="1">
        <f>IFERROR(__xludf.DUMMYFUNCTION("""COMPUTED_VALUE"""),"Germany")</f>
        <v/>
      </c>
      <c r="N1391" s="1">
        <f>IFERROR(__xludf.DUMMYFUNCTION("""COMPUTED_VALUE"""),"0 to 10")</f>
        <v/>
      </c>
      <c r="O1391" s="1">
        <f>IFERROR(__xludf.DUMMYFUNCTION("""COMPUTED_VALUE"""),"Business to Business, Business to Consumer, Business to Government, Business to Schools")</f>
        <v/>
      </c>
      <c r="P1391" s="1">
        <f>IFERROR(__xludf.DUMMYFUNCTION("""COMPUTED_VALUE"""),"Higher Education, Lifelong learning/Adult education")</f>
        <v/>
      </c>
      <c r="Q1391" s="1">
        <f>IFERROR(__xludf.DUMMYFUNCTION("""COMPUTED_VALUE"""),"System/Administrative")</f>
        <v/>
      </c>
      <c r="R1391" s="1" t="n"/>
      <c r="S1391" s="1" t="n"/>
      <c r="T1391" s="1" t="n"/>
      <c r="U1391" s="1" t="n"/>
      <c r="V1391" s="1" t="n"/>
      <c r="W1391" s="1" t="n"/>
      <c r="X1391" s="1" t="n"/>
      <c r="Y1391" s="15">
        <f>IFERROR(__xludf.DUMMYFUNCTION("""COMPUTED_VALUE"""),"https://drive.google.com/uc?export=view&amp;id=1bv2tYMM1vow-4NBuzGzU1pA3b6_aGh-q")</f>
        <v/>
      </c>
      <c r="Z1391" s="1">
        <f>IFERROR(__xludf.DUMMYFUNCTION("""COMPUTED_VALUE"""),"Unverified")</f>
        <v/>
      </c>
      <c r="AA1391" s="1" t="n"/>
      <c r="AB1391" s="1" t="n"/>
      <c r="AC1391" s="1" t="n"/>
      <c r="AD1391" s="1" t="n"/>
      <c r="AE1391" s="1" t="n"/>
    </row>
    <row r="1392" ht="42" customHeight="1">
      <c r="A1392" s="14">
        <f>IFERROR(__xludf.DUMMYFUNCTION("""COMPUTED_VALUE"""),45181)</f>
        <v/>
      </c>
      <c r="B1392" s="1">
        <f>IFERROR(__xludf.DUMMYFUNCTION("""COMPUTED_VALUE"""),"ORG_1494")</f>
        <v/>
      </c>
      <c r="C1392" s="1">
        <f>IFERROR(__xludf.DUMMYFUNCTION("""COMPUTED_VALUE"""),TRUE)</f>
        <v/>
      </c>
      <c r="D1392" s="1">
        <f>IFERROR(__xludf.DUMMYFUNCTION("""COMPUTED_VALUE"""),"Endurae")</f>
        <v/>
      </c>
      <c r="E1392" s="15">
        <f>IFERROR(__xludf.DUMMYFUNCTION("""COMPUTED_VALUE"""),"www.endurae.com")</f>
        <v/>
      </c>
      <c r="F1392" s="1">
        <f>IFERROR(__xludf.DUMMYFUNCTION("""COMPUTED_VALUE"""),"Endurae Voice Technology OÜ (EVT) is a design studio and consultancy focused on Multimodal Learning Experiences (such as chatbots, voicebots, interactive e-learning etc). Are you just starting with multimodal technology and don't know how to proceed? Or d"&amp;"o you want to go beyond what existing platforms have to offer? We are here to help! We have offerings ranging from informing you about principles of Learning Design, to designing your interaction flows, and offering guidance through hardware options.")</f>
        <v/>
      </c>
      <c r="G1392" s="1">
        <f>IFERROR(__xludf.DUMMYFUNCTION("""COMPUTED_VALUE"""),"I'm not part of any EdTech association")</f>
        <v/>
      </c>
      <c r="H1392" s="1" t="n"/>
      <c r="I1392" s="1">
        <f>IFERROR(__xludf.DUMMYFUNCTION("""COMPUTED_VALUE"""),"info@endurae.com")</f>
        <v/>
      </c>
      <c r="J1392" s="1" t="n"/>
      <c r="K1392" s="1">
        <f>IFERROR(__xludf.DUMMYFUNCTION("""COMPUTED_VALUE"""),"Tallinn")</f>
        <v/>
      </c>
      <c r="L1392" s="1">
        <f>IFERROR(__xludf.DUMMYFUNCTION("""COMPUTED_VALUE"""),"Estonia")</f>
        <v/>
      </c>
      <c r="M1392" s="1">
        <f>IFERROR(__xludf.DUMMYFUNCTION("""COMPUTED_VALUE"""),"Austria, Cyprus, Denmark, Estonia, Finland, France, Ireland, Italy, Portugal, Spain")</f>
        <v/>
      </c>
      <c r="N1392" s="1">
        <f>IFERROR(__xludf.DUMMYFUNCTION("""COMPUTED_VALUE"""),"0 to 10")</f>
        <v/>
      </c>
      <c r="O1392" s="1">
        <f>IFERROR(__xludf.DUMMYFUNCTION("""COMPUTED_VALUE"""),"Business to Business, Business to Consumer, Business to Government, Business to Schools")</f>
        <v/>
      </c>
      <c r="P1392" s="1">
        <f>IFERROR(__xludf.DUMMYFUNCTION("""COMPUTED_VALUE"""),"Higher Education, Corporate Training, Lifelong learning/Adult education")</f>
        <v/>
      </c>
      <c r="Q1392" s="1">
        <f>IFERROR(__xludf.DUMMYFUNCTION("""COMPUTED_VALUE"""),"Teacher interfacing, Student interfacing, System/Administrative")</f>
        <v/>
      </c>
      <c r="R1392" s="1" t="n"/>
      <c r="S1392" s="1" t="n"/>
      <c r="T1392" s="1" t="n"/>
      <c r="U1392" s="1" t="n"/>
      <c r="V1392" s="1" t="n"/>
      <c r="W1392" s="1" t="n"/>
      <c r="X1392" s="1" t="n"/>
      <c r="Y1392" s="15">
        <f>IFERROR(__xludf.DUMMYFUNCTION("""COMPUTED_VALUE"""),"https://drive.google.com/uc?export=view&amp;id=1qU9572SbPFpzBNxo9OFgcu15ZRY4QHk2")</f>
        <v/>
      </c>
      <c r="Z1392" s="1">
        <f>IFERROR(__xludf.DUMMYFUNCTION("""COMPUTED_VALUE"""),"Unverified")</f>
        <v/>
      </c>
      <c r="AA1392" s="1" t="n"/>
      <c r="AB1392" s="1" t="n"/>
      <c r="AC1392" s="1" t="n"/>
      <c r="AD1392" s="1" t="n"/>
      <c r="AE1392" s="1" t="n"/>
    </row>
    <row r="1393" ht="42" customHeight="1">
      <c r="A1393" s="14">
        <f>IFERROR(__xludf.DUMMYFUNCTION("""COMPUTED_VALUE"""),45181)</f>
        <v/>
      </c>
      <c r="B1393" s="1">
        <f>IFERROR(__xludf.DUMMYFUNCTION("""COMPUTED_VALUE"""),"ORG_1502")</f>
        <v/>
      </c>
      <c r="C1393" s="1">
        <f>IFERROR(__xludf.DUMMYFUNCTION("""COMPUTED_VALUE"""),TRUE)</f>
        <v/>
      </c>
      <c r="D1393" s="1">
        <f>IFERROR(__xludf.DUMMYFUNCTION("""COMPUTED_VALUE"""),"Enzima12")</f>
        <v/>
      </c>
      <c r="E1393" s="15">
        <f>IFERROR(__xludf.DUMMYFUNCTION("""COMPUTED_VALUE"""),"https://www.enzima12.com/home-enzima12")</f>
        <v/>
      </c>
      <c r="F1393" s="1">
        <f>IFERROR(__xludf.DUMMYFUNCTION("""COMPUTED_VALUE"""),"Enzima12 is a company builder that researches, develops, tests and implements new technological solutions related to the world of work and training.
To date it has three projects to its credit:
SCRIBA: an application that allows to easily design, manage"&amp;" and report distance learning, in compliance with the regulations of the Italian Interprofessional Funds.
&gt; https://scriba.tech
Forma42: a laboratory for the development of digital projects designed specifically for companies working in the world of trai"&amp;"ning and employment services.
&gt; https://www.forma42.it
Formatori Italiani: a digital platform active throughout Italy, which aims to connect companies and trainers, giving both parties the opportunity to get to know each other, collaborate and review eac"&amp;"h other.
&gt; https://www.formatoriitaliani.com")</f>
        <v/>
      </c>
      <c r="G1393" s="1">
        <f>IFERROR(__xludf.DUMMYFUNCTION("""COMPUTED_VALUE"""),"I'm not part of any EdTech association")</f>
        <v/>
      </c>
      <c r="H1393" s="1" t="n"/>
      <c r="I1393" s="1">
        <f>IFERROR(__xludf.DUMMYFUNCTION("""COMPUTED_VALUE"""),"info@e12.it")</f>
        <v/>
      </c>
      <c r="J1393" s="1" t="n"/>
      <c r="K1393" s="1">
        <f>IFERROR(__xludf.DUMMYFUNCTION("""COMPUTED_VALUE"""),"MILANO")</f>
        <v/>
      </c>
      <c r="L1393" s="1">
        <f>IFERROR(__xludf.DUMMYFUNCTION("""COMPUTED_VALUE"""),"Italy")</f>
        <v/>
      </c>
      <c r="M1393" s="1">
        <f>IFERROR(__xludf.DUMMYFUNCTION("""COMPUTED_VALUE"""),"Italy")</f>
        <v/>
      </c>
      <c r="N1393" s="1">
        <f>IFERROR(__xludf.DUMMYFUNCTION("""COMPUTED_VALUE"""),"0 to 10")</f>
        <v/>
      </c>
      <c r="O1393" s="1">
        <f>IFERROR(__xludf.DUMMYFUNCTION("""COMPUTED_VALUE"""),"Business to Business, Business to Consumer, Business to Government, Business to Schools")</f>
        <v/>
      </c>
      <c r="P1393" s="1">
        <f>IFERROR(__xludf.DUMMYFUNCTION("""COMPUTED_VALUE"""),"Corporate Training")</f>
        <v/>
      </c>
      <c r="Q1393" s="1">
        <f>IFERROR(__xludf.DUMMYFUNCTION("""COMPUTED_VALUE"""),"Teacher interfacing, Student interfacing, System/Administrative")</f>
        <v/>
      </c>
      <c r="R1393" s="1" t="n"/>
      <c r="S1393" s="1" t="n"/>
      <c r="T1393" s="1" t="n"/>
      <c r="U1393" s="1" t="n"/>
      <c r="V1393" s="1" t="n"/>
      <c r="W1393" s="1" t="n"/>
      <c r="X1393" s="1" t="n"/>
      <c r="Y1393" s="15">
        <f>IFERROR(__xludf.DUMMYFUNCTION("""COMPUTED_VALUE"""),"https://drive.google.com/uc?export=view&amp;id=18GZqFcjfZQbp02K-gHONI5uHu8O_F2p2")</f>
        <v/>
      </c>
      <c r="Z1393" s="1">
        <f>IFERROR(__xludf.DUMMYFUNCTION("""COMPUTED_VALUE"""),"Unverified")</f>
        <v/>
      </c>
      <c r="AA1393" s="1" t="n"/>
      <c r="AB1393" s="1" t="n"/>
      <c r="AC1393" s="1" t="n"/>
      <c r="AD1393" s="1" t="n"/>
      <c r="AE1393" s="1" t="n"/>
    </row>
    <row r="1394" ht="42" customHeight="1">
      <c r="A1394" s="14">
        <f>IFERROR(__xludf.DUMMYFUNCTION("""COMPUTED_VALUE"""),45181)</f>
        <v/>
      </c>
      <c r="B1394" s="1">
        <f>IFERROR(__xludf.DUMMYFUNCTION("""COMPUTED_VALUE"""),"ORG_1564")</f>
        <v/>
      </c>
      <c r="C1394" s="1">
        <f>IFERROR(__xludf.DUMMYFUNCTION("""COMPUTED_VALUE"""),TRUE)</f>
        <v/>
      </c>
      <c r="D1394" s="1">
        <f>IFERROR(__xludf.DUMMYFUNCTION("""COMPUTED_VALUE"""),"Finance Unlocked")</f>
        <v/>
      </c>
      <c r="E1394" s="15">
        <f>IFERROR(__xludf.DUMMYFUNCTION("""COMPUTED_VALUE"""),"https://financeunlocked.com/")</f>
        <v/>
      </c>
      <c r="F1394" s="1">
        <f>IFERROR(__xludf.DUMMYFUNCTION("""COMPUTED_VALUE"""),"Finance Unlocked is the world’s first comprehensive, on-demand video-delivered learning platform built specifically for finance professionals - “Masterclass for finance”.")</f>
        <v/>
      </c>
      <c r="G1394" s="1">
        <f>IFERROR(__xludf.DUMMYFUNCTION("""COMPUTED_VALUE"""),"I'm not part of any EdTech association")</f>
        <v/>
      </c>
      <c r="H1394" s="1" t="n"/>
      <c r="I1394" s="1">
        <f>IFERROR(__xludf.DUMMYFUNCTION("""COMPUTED_VALUE"""),"ben@financeunlocked.com")</f>
        <v/>
      </c>
      <c r="J1394" s="1">
        <f>IFERROR(__xludf.DUMMYFUNCTION("""COMPUTED_VALUE"""),"020 3951 7593")</f>
        <v/>
      </c>
      <c r="K1394" s="1">
        <f>IFERROR(__xludf.DUMMYFUNCTION("""COMPUTED_VALUE"""),"Holborn,")</f>
        <v/>
      </c>
      <c r="L1394" s="1">
        <f>IFERROR(__xludf.DUMMYFUNCTION("""COMPUTED_VALUE"""),"United Kingdom")</f>
        <v/>
      </c>
      <c r="M1394"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San Marino, Serbia, Slovakia, Slovenia, Spain, Sweden, Switzerland, Turkey, Ukraine, United Kingdom")</f>
        <v/>
      </c>
      <c r="N1394" s="1">
        <f>IFERROR(__xludf.DUMMYFUNCTION("""COMPUTED_VALUE"""),"11 to 50")</f>
        <v/>
      </c>
      <c r="O1394" s="1">
        <f>IFERROR(__xludf.DUMMYFUNCTION("""COMPUTED_VALUE"""),"Business to Business, Business to Consumer, Business to Government, Business to Schools")</f>
        <v/>
      </c>
      <c r="P1394" s="1">
        <f>IFERROR(__xludf.DUMMYFUNCTION("""COMPUTED_VALUE"""),"Higher Education, Corporate Training, Lifelong learning/Adult education")</f>
        <v/>
      </c>
      <c r="Q1394" s="1">
        <f>IFERROR(__xludf.DUMMYFUNCTION("""COMPUTED_VALUE"""),"Student interfacing, System/Administrative")</f>
        <v/>
      </c>
      <c r="R1394" s="1" t="n"/>
      <c r="S1394" s="1" t="n"/>
      <c r="T1394" s="1" t="n"/>
      <c r="U1394" s="1" t="n"/>
      <c r="V1394" s="1" t="n"/>
      <c r="W1394" s="1" t="n"/>
      <c r="X1394" s="1" t="n"/>
      <c r="Y1394" s="15">
        <f>IFERROR(__xludf.DUMMYFUNCTION("""COMPUTED_VALUE"""),"https://drive.google.com/uc?export=view&amp;id=1F40JV5OzRdvbu3jMoqGJqGOyF8tvr1dp")</f>
        <v/>
      </c>
      <c r="Z1394" s="1">
        <f>IFERROR(__xludf.DUMMYFUNCTION("""COMPUTED_VALUE"""),"Unverified")</f>
        <v/>
      </c>
      <c r="AA1394" s="1" t="n"/>
      <c r="AB1394" s="1" t="n"/>
      <c r="AC1394" s="1" t="n"/>
      <c r="AD1394" s="1" t="n"/>
      <c r="AE1394" s="1" t="n"/>
    </row>
    <row r="1395" ht="42" customHeight="1">
      <c r="A1395" s="14">
        <f>IFERROR(__xludf.DUMMYFUNCTION("""COMPUTED_VALUE"""),45181)</f>
        <v/>
      </c>
      <c r="B1395" s="1">
        <f>IFERROR(__xludf.DUMMYFUNCTION("""COMPUTED_VALUE"""),"ORG_1617")</f>
        <v/>
      </c>
      <c r="C1395" s="1">
        <f>IFERROR(__xludf.DUMMYFUNCTION("""COMPUTED_VALUE"""),TRUE)</f>
        <v/>
      </c>
      <c r="D1395" s="1">
        <f>IFERROR(__xludf.DUMMYFUNCTION("""COMPUTED_VALUE"""),"GENYUS SCHOOL")</f>
        <v/>
      </c>
      <c r="E1395" s="15">
        <f>IFERROR(__xludf.DUMMYFUNCTION("""COMPUTED_VALUE"""),"http://genyusschool.com/")</f>
        <v/>
      </c>
      <c r="F1395" s="1">
        <f>IFERROR(__xludf.DUMMYFUNCTION("""COMPUTED_VALUE"""),"Genyus School, the entrepreuneurs kids &amp; teens School:
Innovative project focused on promoting entrepreneurship + soft skill development + technology + projects. 
The Magic Triangle learning methodology is based on:
1. The ""Children's Entrepreneurshi"&amp;"p Program"", developing their own projects based on their interests (sports, animals, technology, art, etc.)
2. Soft skills like: public speaking, teamwork, self-esteem, leadership, empathy and communication.
3. Learning by doing: dynamics, games, practic"&amp;"es, challenges and activities.
Genyus School achieves an emotional link with the kids&amp;teens learning, becaming them in a proactive part of their own education.
The ""learning by doing"" methodology is driving the kids&amp;teens through the development of th"&amp;"eir own business projects based on their hobbies and concerns, while their soft skills are improving.
Education experiences are created in Genyus School")</f>
        <v/>
      </c>
      <c r="G1395" s="1">
        <f>IFERROR(__xludf.DUMMYFUNCTION("""COMPUTED_VALUE"""),"I'm not part of any EdTech association")</f>
        <v/>
      </c>
      <c r="H1395" s="1">
        <f>IFERROR(__xludf.DUMMYFUNCTION("""COMPUTED_VALUE"""),"Spanish, English")</f>
        <v/>
      </c>
      <c r="I1395" s="1">
        <f>IFERROR(__xludf.DUMMYFUNCTION("""COMPUTED_VALUE"""),"pedrocarrillo@genyusschool.com")</f>
        <v/>
      </c>
      <c r="J1395" s="1">
        <f>IFERROR(__xludf.DUMMYFUNCTION("""COMPUTED_VALUE"""),"649347471")</f>
        <v/>
      </c>
      <c r="K1395" s="1">
        <f>IFERROR(__xludf.DUMMYFUNCTION("""COMPUTED_VALUE"""),"GIJÓN")</f>
        <v/>
      </c>
      <c r="L1395" s="1">
        <f>IFERROR(__xludf.DUMMYFUNCTION("""COMPUTED_VALUE"""),"Spain")</f>
        <v/>
      </c>
      <c r="M1395" s="1">
        <f>IFERROR(__xludf.DUMMYFUNCTION("""COMPUTED_VALUE"""),"Spain")</f>
        <v/>
      </c>
      <c r="N1395" s="1">
        <f>IFERROR(__xludf.DUMMYFUNCTION("""COMPUTED_VALUE"""),"6 to 10")</f>
        <v/>
      </c>
      <c r="O1395" s="1">
        <f>IFERROR(__xludf.DUMMYFUNCTION("""COMPUTED_VALUE"""),"Business to Business, Business to Consumer, Business to Government, Business to Schools")</f>
        <v/>
      </c>
      <c r="P1395" s="1">
        <f>IFERROR(__xludf.DUMMYFUNCTION("""COMPUTED_VALUE"""),"Primary Education, Secondary Education")</f>
        <v/>
      </c>
      <c r="Q1395" s="1">
        <f>IFERROR(__xludf.DUMMYFUNCTION("""COMPUTED_VALUE"""),"System/Administrative, Teacher interfacing")</f>
        <v/>
      </c>
      <c r="R1395" s="15">
        <f>IFERROR(__xludf.DUMMYFUNCTION("""COMPUTED_VALUE"""),"https://www.instagram.com/genyusschool/")</f>
        <v/>
      </c>
      <c r="S1395" s="15">
        <f>IFERROR(__xludf.DUMMYFUNCTION("""COMPUTED_VALUE"""),"https://twitter.com/GenyusSchool")</f>
        <v/>
      </c>
      <c r="T1395" s="15">
        <f>IFERROR(__xludf.DUMMYFUNCTION("""COMPUTED_VALUE"""),"https://www.linkedin.com/company/genyusschool")</f>
        <v/>
      </c>
      <c r="U1395" s="1">
        <f>IFERROR(__xludf.DUMMYFUNCTION("""COMPUTED_VALUE"""),"Future Minds Movement")</f>
        <v/>
      </c>
      <c r="V1395" s="1">
        <f>IFERROR(__xludf.DUMMYFUNCTION("""COMPUTED_VALUE"""),"Entrepreneurship week celebration with School, public institutions and companies.
EdEm Awards.
EdEm Fest.")</f>
        <v/>
      </c>
      <c r="W1395" s="1">
        <f>IFERROR(__xludf.DUMMYFUNCTION("""COMPUTED_VALUE"""),"Entrepreneurship and soft skills Program for children")</f>
        <v/>
      </c>
      <c r="X1395" s="1">
        <f>IFERROR(__xludf.DUMMYFUNCTION("""COMPUTED_VALUE"""),"Entrepreneurship and soft skills Program for children teach them skills, through developing their own projects and learning by doing, for building their own life path.")</f>
        <v/>
      </c>
      <c r="Y1395" s="15">
        <f>IFERROR(__xludf.DUMMYFUNCTION("""COMPUTED_VALUE"""),"https://drive.google.com/uc?export=view&amp;id=1S3d3GBJlnaUutwUhf6Q_4jCXH0IlBkuI")</f>
        <v/>
      </c>
      <c r="Z1395" s="1">
        <f>IFERROR(__xludf.DUMMYFUNCTION("""COMPUTED_VALUE"""),"Unverified")</f>
        <v/>
      </c>
      <c r="AA1395" s="1" t="n"/>
      <c r="AB1395" s="1" t="n"/>
      <c r="AC1395" s="1" t="n"/>
      <c r="AD1395" s="1" t="n"/>
      <c r="AE1395" s="1" t="n"/>
    </row>
    <row r="1396" ht="42" customHeight="1">
      <c r="A1396" s="14">
        <f>IFERROR(__xludf.DUMMYFUNCTION("""COMPUTED_VALUE"""),45181)</f>
        <v/>
      </c>
      <c r="B1396" s="1">
        <f>IFERROR(__xludf.DUMMYFUNCTION("""COMPUTED_VALUE"""),"ORG_1634")</f>
        <v/>
      </c>
      <c r="C1396" s="1">
        <f>IFERROR(__xludf.DUMMYFUNCTION("""COMPUTED_VALUE"""),TRUE)</f>
        <v/>
      </c>
      <c r="D1396" s="1">
        <f>IFERROR(__xludf.DUMMYFUNCTION("""COMPUTED_VALUE"""),"GoMappED Limited")</f>
        <v/>
      </c>
      <c r="E1396" s="15">
        <f>IFERROR(__xludf.DUMMYFUNCTION("""COMPUTED_VALUE"""),"https://www.gomapped.com")</f>
        <v/>
      </c>
      <c r="F1396" s="1">
        <f>IFERROR(__xludf.DUMMYFUNCTION("""COMPUTED_VALUE"""),"GoMappED Limited founded in Dublin, Ireland in 2017, provides Kells Class, an innovative live-video classroom with all-in-one learning management functions. 
It simulates the face-to-face classroom education environment with auto-generated study report f"&amp;"or each student after each lesson. 
Schools, teachers, students and parents can easily understand the up-to-date individual students' performance inside and outside the online classroom anytime.")</f>
        <v/>
      </c>
      <c r="G1396" s="1">
        <f>IFERROR(__xludf.DUMMYFUNCTION("""COMPUTED_VALUE"""),"EdTech Ireland")</f>
        <v/>
      </c>
      <c r="H1396" s="1">
        <f>IFERROR(__xludf.DUMMYFUNCTION("""COMPUTED_VALUE"""),"English, Spanish")</f>
        <v/>
      </c>
      <c r="I1396" s="1">
        <f>IFERROR(__xludf.DUMMYFUNCTION("""COMPUTED_VALUE"""),"info@gomapped.com")</f>
        <v/>
      </c>
      <c r="J1396" s="1" t="n"/>
      <c r="K1396" s="1">
        <f>IFERROR(__xludf.DUMMYFUNCTION("""COMPUTED_VALUE"""),"Dublin")</f>
        <v/>
      </c>
      <c r="L1396" s="1">
        <f>IFERROR(__xludf.DUMMYFUNCTION("""COMPUTED_VALUE"""),"Ireland")</f>
        <v/>
      </c>
      <c r="M1396" s="1">
        <f>IFERROR(__xludf.DUMMYFUNCTION("""COMPUTED_VALUE"""),"Ireland, Netherlands, Spain")</f>
        <v/>
      </c>
      <c r="N1396" s="1">
        <f>IFERROR(__xludf.DUMMYFUNCTION("""COMPUTED_VALUE"""),"11 to 50")</f>
        <v/>
      </c>
      <c r="O1396" s="1">
        <f>IFERROR(__xludf.DUMMYFUNCTION("""COMPUTED_VALUE"""),"Business to Business, Business to Consumer, Business to Schools")</f>
        <v/>
      </c>
      <c r="P1396" s="1">
        <f>IFERROR(__xludf.DUMMYFUNCTION("""COMPUTED_VALUE"""),"Primary Education, Secondary Education, Corporate Training, Lifelong learning/Adult education, Vocational Education and Training (VET), Higher Education")</f>
        <v/>
      </c>
      <c r="Q1396" s="1">
        <f>IFERROR(__xludf.DUMMYFUNCTION("""COMPUTED_VALUE"""),"Student interfacing")</f>
        <v/>
      </c>
      <c r="R1396" s="1" t="n"/>
      <c r="S1396" s="15">
        <f>IFERROR(__xludf.DUMMYFUNCTION("""COMPUTED_VALUE"""),"https://twitter.com/GoMappED")</f>
        <v/>
      </c>
      <c r="T1396" s="15">
        <f>IFERROR(__xludf.DUMMYFUNCTION("""COMPUTED_VALUE"""),"https://ie.linkedin.com/company/gomappedlimited")</f>
        <v/>
      </c>
      <c r="U1396" s="1">
        <f>IFERROR(__xludf.DUMMYFUNCTION("""COMPUTED_VALUE"""),"Kells Class")</f>
        <v/>
      </c>
      <c r="V1396" s="1">
        <f>IFERROR(__xludf.DUMMYFUNCTION("""COMPUTED_VALUE"""),"Kells Class provides an unified and easy live video learning management system. Students can communicate with teachers at any time during and after the class, view course calendar, lesson materials, complete homework and view teachers' feedback, join onli"&amp;"ne assessments, view each lesson's playback and study report, as well as practise their English proununciation with AI powered real-time feedback.
It covers every step for online learning, as well as significanly reduce and simplify the school administra"&amp;"tion works.")</f>
        <v/>
      </c>
      <c r="W1396" s="1" t="n"/>
      <c r="X1396" s="1" t="n"/>
      <c r="Y1396" s="15">
        <f>IFERROR(__xludf.DUMMYFUNCTION("""COMPUTED_VALUE"""),"https://drive.google.com/uc?export=view&amp;id=1cT2mqK0gPXNkX816R_YXwDO7ElNoaB8W")</f>
        <v/>
      </c>
      <c r="Z1396" s="1">
        <f>IFERROR(__xludf.DUMMYFUNCTION("""COMPUTED_VALUE"""),"Unverified")</f>
        <v/>
      </c>
      <c r="AA1396" s="1" t="n"/>
      <c r="AB1396" s="1" t="n"/>
      <c r="AC1396" s="1" t="n"/>
      <c r="AD1396" s="1" t="n"/>
      <c r="AE1396" s="1" t="n"/>
    </row>
    <row r="1397" ht="42" customHeight="1">
      <c r="A1397" s="14">
        <f>IFERROR(__xludf.DUMMYFUNCTION("""COMPUTED_VALUE"""),45181)</f>
        <v/>
      </c>
      <c r="B1397" s="1">
        <f>IFERROR(__xludf.DUMMYFUNCTION("""COMPUTED_VALUE"""),"ORG_1652")</f>
        <v/>
      </c>
      <c r="C1397" s="1">
        <f>IFERROR(__xludf.DUMMYFUNCTION("""COMPUTED_VALUE"""),TRUE)</f>
        <v/>
      </c>
      <c r="D1397" s="1">
        <f>IFERROR(__xludf.DUMMYFUNCTION("""COMPUTED_VALUE"""),"Guilds42 APS")</f>
        <v/>
      </c>
      <c r="E1397" s="15">
        <f>IFERROR(__xludf.DUMMYFUNCTION("""COMPUTED_VALUE"""),"https://www.guilds42.com/")</f>
        <v/>
      </c>
      <c r="F1397" s="1">
        <f>IFERROR(__xludf.DUMMYFUNCTION("""COMPUTED_VALUE"""),"Guilds42 is an online ""Learn &amp; Hire"" platform which bind together and federate Learning Objects, native and third party's content from external platforms through a framework that allows our frontend fruition of external content (APIs). The Platform trac"&amp;"ks and monitor each user's learning experience and usage, collating data, performing and validating Certification tests even on behalf of external platforms such as Google, Hubspot, SAP, Salesforce, Kaggle etc, profiling and offering dashboards to users. "&amp;"A further layer of reinforced Learning are Project Works commissioned by paying SMEs. This layer provides further data, certifying and assigning scores &amp; ratings to each users performing; further Certifying and profiling skills (hard &amp; soft skills) to be "&amp;"added onto dashboards (and offering data to SMEs and recruiters in Premium subscription).")</f>
        <v/>
      </c>
      <c r="G1397" s="1">
        <f>IFERROR(__xludf.DUMMYFUNCTION("""COMPUTED_VALUE"""),"I'm not part of any EdTech association")</f>
        <v/>
      </c>
      <c r="H1397" s="1" t="n"/>
      <c r="I1397" s="1">
        <f>IFERROR(__xludf.DUMMYFUNCTION("""COMPUTED_VALUE"""),"andrea.alfieri@guilds42.com")</f>
        <v/>
      </c>
      <c r="J1397" s="1">
        <f>IFERROR(__xludf.DUMMYFUNCTION("""COMPUTED_VALUE"""),"+39 3299858848")</f>
        <v/>
      </c>
      <c r="K1397" s="1">
        <f>IFERROR(__xludf.DUMMYFUNCTION("""COMPUTED_VALUE"""),"TORINO")</f>
        <v/>
      </c>
      <c r="L1397" s="1">
        <f>IFERROR(__xludf.DUMMYFUNCTION("""COMPUTED_VALUE"""),"Italy")</f>
        <v/>
      </c>
      <c r="M1397" s="1">
        <f>IFERROR(__xludf.DUMMYFUNCTION("""COMPUTED_VALUE"""),"Albania, Austria, Belgium, Bulgaria, Croatia, Cyprus, Czechia, Denmark, Estonia, Finland, France, Georgia, Germany, Hungary, Iceland, Ireland, Italy, Latvia, Liechtenstein, Lithuania, Malta, Netherlands, Norway, Poland, Portugal, Romania, Slovakia, Sloven"&amp;"ia, Spain, Sweden, Switzerland, Turkey, Ukraine, United Kingdom")</f>
        <v/>
      </c>
      <c r="N1397" s="1">
        <f>IFERROR(__xludf.DUMMYFUNCTION("""COMPUTED_VALUE"""),"0 to 10")</f>
        <v/>
      </c>
      <c r="O1397" s="1">
        <f>IFERROR(__xludf.DUMMYFUNCTION("""COMPUTED_VALUE"""),"Business to Business, Business to Government")</f>
        <v/>
      </c>
      <c r="P1397" s="1">
        <f>IFERROR(__xludf.DUMMYFUNCTION("""COMPUTED_VALUE"""),"Primary Education, Secondary Education, Higher Education, Corporate Training, Lifelong learning/Adult education")</f>
        <v/>
      </c>
      <c r="Q1397" s="1">
        <f>IFERROR(__xludf.DUMMYFUNCTION("""COMPUTED_VALUE"""),"Student interfacing, System/Administrative")</f>
        <v/>
      </c>
      <c r="R1397" s="1" t="n"/>
      <c r="S1397" s="1" t="n"/>
      <c r="T1397" s="1" t="n"/>
      <c r="U1397" s="1" t="n"/>
      <c r="V1397" s="1" t="n"/>
      <c r="W1397" s="1" t="n"/>
      <c r="X1397" s="1" t="n"/>
      <c r="Y1397" s="15">
        <f>IFERROR(__xludf.DUMMYFUNCTION("""COMPUTED_VALUE"""),"https://drive.google.com/uc?export=view&amp;id=1cyqxkHlMBWUyzpqaKUmxdfeUeU6O4Ina")</f>
        <v/>
      </c>
      <c r="Z1397" s="1">
        <f>IFERROR(__xludf.DUMMYFUNCTION("""COMPUTED_VALUE"""),"Unverified")</f>
        <v/>
      </c>
      <c r="AA1397" s="1" t="n"/>
      <c r="AB1397" s="1" t="n"/>
      <c r="AC1397" s="1" t="n"/>
      <c r="AD1397" s="1" t="n"/>
      <c r="AE1397" s="1" t="n"/>
    </row>
    <row r="1398" ht="42" customHeight="1">
      <c r="A1398" s="14">
        <f>IFERROR(__xludf.DUMMYFUNCTION("""COMPUTED_VALUE"""),45181)</f>
        <v/>
      </c>
      <c r="B1398" s="1">
        <f>IFERROR(__xludf.DUMMYFUNCTION("""COMPUTED_VALUE"""),"ORG_1681")</f>
        <v/>
      </c>
      <c r="C1398" s="1">
        <f>IFERROR(__xludf.DUMMYFUNCTION("""COMPUTED_VALUE"""),TRUE)</f>
        <v/>
      </c>
      <c r="D1398" s="1">
        <f>IFERROR(__xludf.DUMMYFUNCTION("""COMPUTED_VALUE"""),"Homologation Student Services")</f>
        <v/>
      </c>
      <c r="E1398" s="15">
        <f>IFERROR(__xludf.DUMMYFUNCTION("""COMPUTED_VALUE"""),"https://www.hostudents.com/")</f>
        <v/>
      </c>
      <c r="F1398" s="1">
        <f>IFERROR(__xludf.DUMMYFUNCTION("""COMPUTED_VALUE"""),"We are a service company for students from all over the world who want to start or continue their university studies in Spain.
We are agents working with a network of universities, which allows us to guide you through all the steps in the enrollment proce"&amp;"ss of any official degrees.
We´ll also help you with the legal requirements to access to the Spanish university system. We handle all legal burocracy so that you need not worry about any of these things.")</f>
        <v/>
      </c>
      <c r="G1398" s="1">
        <f>IFERROR(__xludf.DUMMYFUNCTION("""COMPUTED_VALUE"""),"I'm not part of any EdTech association")</f>
        <v/>
      </c>
      <c r="H1398" s="1" t="n"/>
      <c r="I1398" s="1">
        <f>IFERROR(__xludf.DUMMYFUNCTION("""COMPUTED_VALUE"""),"info@hostudents.com")</f>
        <v/>
      </c>
      <c r="J1398" s="1">
        <f>IFERROR(__xludf.DUMMYFUNCTION("""COMPUTED_VALUE"""),"+34 628237237")</f>
        <v/>
      </c>
      <c r="K1398" s="1">
        <f>IFERROR(__xludf.DUMMYFUNCTION("""COMPUTED_VALUE"""),"POZUELO DE ALARCON, MADRID")</f>
        <v/>
      </c>
      <c r="L1398" s="1">
        <f>IFERROR(__xludf.DUMMYFUNCTION("""COMPUTED_VALUE"""),"Spain")</f>
        <v/>
      </c>
      <c r="M1398"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Russia, San Marino, Serbia, Slovakia, Slovenia, Spain, Sweden, Switzerland, Turkey, Ukraine, United Kingdom")</f>
        <v/>
      </c>
      <c r="N1398" s="1">
        <f>IFERROR(__xludf.DUMMYFUNCTION("""COMPUTED_VALUE"""),"0 to 10")</f>
        <v/>
      </c>
      <c r="O1398" s="1">
        <f>IFERROR(__xludf.DUMMYFUNCTION("""COMPUTED_VALUE"""),"Business to Business, Business to Government")</f>
        <v/>
      </c>
      <c r="P1398" s="1">
        <f>IFERROR(__xludf.DUMMYFUNCTION("""COMPUTED_VALUE"""),"Secondary Education, Higher Education")</f>
        <v/>
      </c>
      <c r="Q1398" s="1">
        <f>IFERROR(__xludf.DUMMYFUNCTION("""COMPUTED_VALUE"""),"System/Administrative, Student interfacing")</f>
        <v/>
      </c>
      <c r="R1398" s="1" t="n"/>
      <c r="S1398" s="1" t="n"/>
      <c r="T1398" s="1" t="n"/>
      <c r="U1398" s="1" t="n"/>
      <c r="V1398" s="1" t="n"/>
      <c r="W1398" s="1" t="n"/>
      <c r="X1398" s="1" t="n"/>
      <c r="Y1398" s="15">
        <f>IFERROR(__xludf.DUMMYFUNCTION("""COMPUTED_VALUE"""),"https://drive.google.com/uc?export=view&amp;id=1DkNYHB9dy5hUiUlafMB6E1OlEvbsaz7d")</f>
        <v/>
      </c>
      <c r="Z1398" s="1">
        <f>IFERROR(__xludf.DUMMYFUNCTION("""COMPUTED_VALUE"""),"Unverified")</f>
        <v/>
      </c>
      <c r="AA1398" s="1" t="n"/>
      <c r="AB1398" s="1" t="n"/>
      <c r="AC1398" s="1" t="n"/>
      <c r="AD1398" s="1" t="n"/>
      <c r="AE1398" s="1" t="n"/>
    </row>
    <row r="1399" ht="42" customHeight="1">
      <c r="A1399" s="14">
        <f>IFERROR(__xludf.DUMMYFUNCTION("""COMPUTED_VALUE"""),45181)</f>
        <v/>
      </c>
      <c r="B1399" s="1">
        <f>IFERROR(__xludf.DUMMYFUNCTION("""COMPUTED_VALUE"""),"ORG_1717")</f>
        <v/>
      </c>
      <c r="C1399" s="1">
        <f>IFERROR(__xludf.DUMMYFUNCTION("""COMPUTED_VALUE"""),TRUE)</f>
        <v/>
      </c>
      <c r="D1399" s="1">
        <f>IFERROR(__xludf.DUMMYFUNCTION("""COMPUTED_VALUE"""),"Impact School")</f>
        <v/>
      </c>
      <c r="E1399" s="15">
        <f>IFERROR(__xludf.DUMMYFUNCTION("""COMPUTED_VALUE"""),"https://www.impactschool.org.ls")</f>
        <v/>
      </c>
      <c r="F1399" s="1">
        <f>IFERROR(__xludf.DUMMYFUNCTION("""COMPUTED_VALUE"""),"We are a non-profit tech school based in Maseru, Lesotho, with ur headquarters in Dublin, Ireland. Our educational goal is to provide students with useful knowledge that is highly appreciated by Lesotho and the global technology industry. We do so by usin"&amp;"g the latest tech curriculums, while addressing the shortage of skilled workers, the gender gap and inclusion and diversity in the tech industry.")</f>
        <v/>
      </c>
      <c r="G1399" s="1">
        <f>IFERROR(__xludf.DUMMYFUNCTION("""COMPUTED_VALUE"""),"I'm not part of any EdTech association")</f>
        <v/>
      </c>
      <c r="H1399" s="1" t="n"/>
      <c r="I1399" s="1">
        <f>IFERROR(__xludf.DUMMYFUNCTION("""COMPUTED_VALUE"""),"mamonaheng@impactschool.org.ls")</f>
        <v/>
      </c>
      <c r="J1399" s="1">
        <f>IFERROR(__xludf.DUMMYFUNCTION("""COMPUTED_VALUE"""),"+266 6224 8880")</f>
        <v/>
      </c>
      <c r="K1399" s="1">
        <f>IFERROR(__xludf.DUMMYFUNCTION("""COMPUTED_VALUE"""),"DUBLIN 1")</f>
        <v/>
      </c>
      <c r="L1399" s="1">
        <f>IFERROR(__xludf.DUMMYFUNCTION("""COMPUTED_VALUE"""),"Ireland")</f>
        <v/>
      </c>
      <c r="M1399" s="1">
        <f>IFERROR(__xludf.DUMMYFUNCTION("""COMPUTED_VALUE"""),"Ireland")</f>
        <v/>
      </c>
      <c r="N1399" s="1">
        <f>IFERROR(__xludf.DUMMYFUNCTION("""COMPUTED_VALUE"""),"0 to 10")</f>
        <v/>
      </c>
      <c r="O1399" s="1">
        <f>IFERROR(__xludf.DUMMYFUNCTION("""COMPUTED_VALUE"""),"Business to Business, Business to Government, Business to Schools")</f>
        <v/>
      </c>
      <c r="P1399" s="1">
        <f>IFERROR(__xludf.DUMMYFUNCTION("""COMPUTED_VALUE"""),"Higher Education, Corporate Training")</f>
        <v/>
      </c>
      <c r="Q1399" s="1">
        <f>IFERROR(__xludf.DUMMYFUNCTION("""COMPUTED_VALUE"""),"System/Administrative, Student interfacing, Teacher interfacing")</f>
        <v/>
      </c>
      <c r="R1399" s="1" t="n"/>
      <c r="S1399" s="1" t="n"/>
      <c r="T1399" s="1" t="n"/>
      <c r="U1399" s="1" t="n"/>
      <c r="V1399" s="1" t="n"/>
      <c r="W1399" s="1" t="n"/>
      <c r="X1399" s="1" t="n"/>
      <c r="Y1399" s="15">
        <f>IFERROR(__xludf.DUMMYFUNCTION("""COMPUTED_VALUE"""),"https://drive.google.com/uc?export=view&amp;id=18g_v4eJjlefBjRhSqKW_KekZ8KL-hBCN")</f>
        <v/>
      </c>
      <c r="Z1399" s="1">
        <f>IFERROR(__xludf.DUMMYFUNCTION("""COMPUTED_VALUE"""),"Unverified")</f>
        <v/>
      </c>
      <c r="AA1399" s="1" t="n"/>
      <c r="AB1399" s="1" t="n"/>
      <c r="AC1399" s="1" t="n"/>
      <c r="AD1399" s="1" t="n"/>
      <c r="AE1399" s="1" t="n"/>
    </row>
    <row r="1400" ht="42" customHeight="1">
      <c r="A1400" s="14">
        <f>IFERROR(__xludf.DUMMYFUNCTION("""COMPUTED_VALUE"""),45181)</f>
        <v/>
      </c>
      <c r="B1400" s="1">
        <f>IFERROR(__xludf.DUMMYFUNCTION("""COMPUTED_VALUE"""),"ORG_1773")</f>
        <v/>
      </c>
      <c r="C1400" s="1">
        <f>IFERROR(__xludf.DUMMYFUNCTION("""COMPUTED_VALUE"""),TRUE)</f>
        <v/>
      </c>
      <c r="D1400" s="1">
        <f>IFERROR(__xludf.DUMMYFUNCTION("""COMPUTED_VALUE"""),"Kimple")</f>
        <v/>
      </c>
      <c r="E1400" s="15">
        <f>IFERROR(__xludf.DUMMYFUNCTION("""COMPUTED_VALUE"""),"https://www.edukimple.com/")</f>
        <v/>
      </c>
      <c r="F1400" s="1">
        <f>IFERROR(__xludf.DUMMYFUNCTION("""COMPUTED_VALUE"""),"The platform for teachers with topical projects that promote essential knowledge and skill learning for today. A digital environment for teachers with bilingüal class suggestions and teacher support on emerging issues that help bringing today's challenges"&amp;" closer to the classroom.
Diversity, environment, digitalisation, information verification, globalisation, equality and other social, political, environmental or economic challenges are just some of the topics Kimple addresses.")</f>
        <v/>
      </c>
      <c r="G1400" s="1">
        <f>IFERROR(__xludf.DUMMYFUNCTION("""COMPUTED_VALUE"""),"SEK Lab, SuperCharger Ventures")</f>
        <v/>
      </c>
      <c r="H1400" s="1" t="n"/>
      <c r="I1400" s="1" t="n"/>
      <c r="J1400" s="1" t="n"/>
      <c r="K1400" s="1">
        <f>IFERROR(__xludf.DUMMYFUNCTION("""COMPUTED_VALUE"""),"MADRID")</f>
        <v/>
      </c>
      <c r="L1400" s="1">
        <f>IFERROR(__xludf.DUMMYFUNCTION("""COMPUTED_VALUE"""),"Spain")</f>
        <v/>
      </c>
      <c r="M1400" s="1">
        <f>IFERROR(__xludf.DUMMYFUNCTION("""COMPUTED_VALUE"""),"Spain")</f>
        <v/>
      </c>
      <c r="N1400" s="1">
        <f>IFERROR(__xludf.DUMMYFUNCTION("""COMPUTED_VALUE"""),"0 to 10")</f>
        <v/>
      </c>
      <c r="O1400" s="1">
        <f>IFERROR(__xludf.DUMMYFUNCTION("""COMPUTED_VALUE"""),"Business to Business, Business to Government, Business to Schools")</f>
        <v/>
      </c>
      <c r="P1400" s="1">
        <f>IFERROR(__xludf.DUMMYFUNCTION("""COMPUTED_VALUE"""),"Primary Education, Secondary Education")</f>
        <v/>
      </c>
      <c r="Q1400" s="1">
        <f>IFERROR(__xludf.DUMMYFUNCTION("""COMPUTED_VALUE"""),"Teacher interfacing")</f>
        <v/>
      </c>
      <c r="R1400" s="1">
        <f>IFERROR(__xludf.DUMMYFUNCTION("""COMPUTED_VALUE"""),"@edukimple")</f>
        <v/>
      </c>
      <c r="S1400" s="1">
        <f>IFERROR(__xludf.DUMMYFUNCTION("""COMPUTED_VALUE"""),"@EduKimple")</f>
        <v/>
      </c>
      <c r="T1400" s="15">
        <f>IFERROR(__xludf.DUMMYFUNCTION("""COMPUTED_VALUE"""),"https://www.linkedin.com/company/kimple-education")</f>
        <v/>
      </c>
      <c r="U1400" s="1">
        <f>IFERROR(__xludf.DUMMYFUNCTION("""COMPUTED_VALUE"""),"Kimple")</f>
        <v/>
      </c>
      <c r="V1400" s="1">
        <f>IFERROR(__xludf.DUMMYFUNCTION("""COMPUTED_VALUE"""),"The platform for teachers with topical projects that promote essential knowledge and skill learning for today.")</f>
        <v/>
      </c>
      <c r="W1400" s="1" t="n"/>
      <c r="X1400" s="1" t="n"/>
      <c r="Y1400" s="15">
        <f>IFERROR(__xludf.DUMMYFUNCTION("""COMPUTED_VALUE"""),"https://drive.google.com/uc?export=view&amp;id=1GXpKDGRSJkHyaIrRrK6hayOpeVcWiAzT")</f>
        <v/>
      </c>
      <c r="Z1400" s="1">
        <f>IFERROR(__xludf.DUMMYFUNCTION("""COMPUTED_VALUE"""),"Unverified")</f>
        <v/>
      </c>
      <c r="AA1400" s="1" t="n"/>
      <c r="AB1400" s="1" t="n"/>
      <c r="AC1400" s="1" t="n"/>
      <c r="AD1400" s="1" t="n"/>
      <c r="AE1400" s="1" t="n"/>
    </row>
    <row r="1401" ht="42" customHeight="1">
      <c r="A1401" s="14">
        <f>IFERROR(__xludf.DUMMYFUNCTION("""COMPUTED_VALUE"""),45181)</f>
        <v/>
      </c>
      <c r="B1401" s="1">
        <f>IFERROR(__xludf.DUMMYFUNCTION("""COMPUTED_VALUE"""),"ORG_1842")</f>
        <v/>
      </c>
      <c r="C1401" s="1">
        <f>IFERROR(__xludf.DUMMYFUNCTION("""COMPUTED_VALUE"""),TRUE)</f>
        <v/>
      </c>
      <c r="D1401" s="1">
        <f>IFERROR(__xludf.DUMMYFUNCTION("""COMPUTED_VALUE"""),"Learnster")</f>
        <v/>
      </c>
      <c r="E1401" s="15">
        <f>IFERROR(__xludf.DUMMYFUNCTION("""COMPUTED_VALUE"""),"http://www.learnster.com/?utm_source=european_edtech_map&amp;utm_medium=banner&amp;utm_campaign=profile")</f>
        <v/>
      </c>
      <c r="F1401" s="1">
        <f>IFERROR(__xludf.DUMMYFUNCTION("""COMPUTED_VALUE"""),"Learnster develops the LMS of tomorrow for growing organizations aspiring to achieve maximum learning in minimum time.
Learnster’s cutting-edge technology creates new ways of communicating and sharing information with the entire organization.
Involve su"&amp;"bject matter experts in creating everything from micro learnings and single courses, to onboarding schemes and dynamic training programs. Share with employees, customers and partners.")</f>
        <v/>
      </c>
      <c r="G1401" s="1">
        <f>IFERROR(__xludf.DUMMYFUNCTION("""COMPUTED_VALUE"""),"I'm not part of any EdTech association")</f>
        <v/>
      </c>
      <c r="H1401" s="1" t="n"/>
      <c r="I1401" s="1">
        <f>IFERROR(__xludf.DUMMYFUNCTION("""COMPUTED_VALUE"""),"contact@learnster.com")</f>
        <v/>
      </c>
      <c r="J1401" s="1">
        <f>IFERROR(__xludf.DUMMYFUNCTION("""COMPUTED_VALUE"""),"+46102115910")</f>
        <v/>
      </c>
      <c r="K1401" s="1">
        <f>IFERROR(__xludf.DUMMYFUNCTION("""COMPUTED_VALUE"""),"Stockholm")</f>
        <v/>
      </c>
      <c r="L1401" s="1">
        <f>IFERROR(__xludf.DUMMYFUNCTION("""COMPUTED_VALUE"""),"Sweden")</f>
        <v/>
      </c>
      <c r="M1401" s="1">
        <f>IFERROR(__xludf.DUMMYFUNCTION("""COMPUTED_VALUE"""),"Germany, Norway, Sweden")</f>
        <v/>
      </c>
      <c r="N1401" s="1">
        <f>IFERROR(__xludf.DUMMYFUNCTION("""COMPUTED_VALUE"""),"11 to 50")</f>
        <v/>
      </c>
      <c r="O1401" s="1">
        <f>IFERROR(__xludf.DUMMYFUNCTION("""COMPUTED_VALUE"""),"Business to Business, Business to Government, Business to Schools")</f>
        <v/>
      </c>
      <c r="P1401" s="1">
        <f>IFERROR(__xludf.DUMMYFUNCTION("""COMPUTED_VALUE"""),"Corporate Training, Lifelong learning/Adult education")</f>
        <v/>
      </c>
      <c r="Q1401" s="1">
        <f>IFERROR(__xludf.DUMMYFUNCTION("""COMPUTED_VALUE"""),"System/Administrative")</f>
        <v/>
      </c>
      <c r="R1401" s="1" t="n"/>
      <c r="S1401" s="1" t="n"/>
      <c r="T1401" s="1" t="n"/>
      <c r="U1401" s="1" t="n"/>
      <c r="V1401" s="1" t="n"/>
      <c r="W1401" s="1" t="n"/>
      <c r="X1401" s="1" t="n"/>
      <c r="Y1401" s="15">
        <f>IFERROR(__xludf.DUMMYFUNCTION("""COMPUTED_VALUE"""),"https://drive.google.com/uc?export=view&amp;id=1iEqsTf-0-k7DNzKuGL1jnSTTIGG7RMZ7")</f>
        <v/>
      </c>
      <c r="Z1401" s="1">
        <f>IFERROR(__xludf.DUMMYFUNCTION("""COMPUTED_VALUE"""),"Unverified")</f>
        <v/>
      </c>
      <c r="AA1401" s="1" t="n"/>
      <c r="AB1401" s="1" t="n"/>
      <c r="AC1401" s="1" t="n"/>
      <c r="AD1401" s="1" t="n"/>
      <c r="AE1401" s="1" t="n"/>
    </row>
    <row r="1402" ht="42" customHeight="1">
      <c r="A1402" s="14">
        <f>IFERROR(__xludf.DUMMYFUNCTION("""COMPUTED_VALUE"""),45181)</f>
        <v/>
      </c>
      <c r="B1402" s="1">
        <f>IFERROR(__xludf.DUMMYFUNCTION("""COMPUTED_VALUE"""),"ORG_1910")</f>
        <v/>
      </c>
      <c r="C1402" s="1">
        <f>IFERROR(__xludf.DUMMYFUNCTION("""COMPUTED_VALUE"""),TRUE)</f>
        <v/>
      </c>
      <c r="D1402" s="1">
        <f>IFERROR(__xludf.DUMMYFUNCTION("""COMPUTED_VALUE"""),"Maker's Red Box")</f>
        <v/>
      </c>
      <c r="E1402" s="15">
        <f>IFERROR(__xludf.DUMMYFUNCTION("""COMPUTED_VALUE"""),"www.makersredbox.com")</f>
        <v/>
      </c>
      <c r="F1402" s="1">
        <f>IFERROR(__xludf.DUMMYFUNCTION("""COMPUTED_VALUE"""),"Maker’s Red Box offers a series of story-driven, STEAM-focused teaching materials that engage students in building transferable soft and hard skills, finding their passion and reaching their potential.
Maker education prepares today’s youth for the chall"&amp;"enges of the future. It’s a movement, a methodology, a mindset and a community all at once that blends hard and soft skills development with a design focus.")</f>
        <v/>
      </c>
      <c r="G1402" s="1">
        <f>IFERROR(__xludf.DUMMYFUNCTION("""COMPUTED_VALUE"""),"I'm not part of any EdTech association")</f>
        <v/>
      </c>
      <c r="H1402" s="1" t="n"/>
      <c r="I1402" s="1">
        <f>IFERROR(__xludf.DUMMYFUNCTION("""COMPUTED_VALUE"""),"gabor.major@makersredbox.com")</f>
        <v/>
      </c>
      <c r="J1402" s="1">
        <f>IFERROR(__xludf.DUMMYFUNCTION("""COMPUTED_VALUE"""),"+36 70 5270550")</f>
        <v/>
      </c>
      <c r="K1402" s="1">
        <f>IFERROR(__xludf.DUMMYFUNCTION("""COMPUTED_VALUE"""),"BUDAPEST")</f>
        <v/>
      </c>
      <c r="L1402" s="1">
        <f>IFERROR(__xludf.DUMMYFUNCTION("""COMPUTED_VALUE"""),"Hungary")</f>
        <v/>
      </c>
      <c r="M1402" s="1">
        <f>IFERROR(__xludf.DUMMYFUNCTION("""COMPUTED_VALUE"""),"Albania, Armenia, Austria, Azerbaijan, Belgium, Bosnia and Herzegovina, Bulgaria, Croatia, Cyprus, Czechia, Denmark, Estonia, Finland, France, Georgia, Germany, Greece, Hungary, Iceland, Ireland, Italy, Kazakhstan, Latvia, Liechtenstein, Lithuania, Luxemb"&amp;"ourg, Malta, Netherlands, North Macedonia, Norway, Poland, Portugal, Romania, Serbia, Slovakia, Slovenia, Spain, Sweden, Switzerland, Turkey, Ukraine, United Kingdom")</f>
        <v/>
      </c>
      <c r="N1402" s="1">
        <f>IFERROR(__xludf.DUMMYFUNCTION("""COMPUTED_VALUE"""),"11 to 50")</f>
        <v/>
      </c>
      <c r="O1402" s="1">
        <f>IFERROR(__xludf.DUMMYFUNCTION("""COMPUTED_VALUE"""),"Business to Business, Business to Government, Business to Schools")</f>
        <v/>
      </c>
      <c r="P1402" s="1">
        <f>IFERROR(__xludf.DUMMYFUNCTION("""COMPUTED_VALUE"""),"Primary Education, Secondary Education")</f>
        <v/>
      </c>
      <c r="Q1402" s="1">
        <f>IFERROR(__xludf.DUMMYFUNCTION("""COMPUTED_VALUE"""),"Teacher interfacing")</f>
        <v/>
      </c>
      <c r="R1402" s="1" t="n"/>
      <c r="S1402" s="1" t="n"/>
      <c r="T1402" s="1" t="n"/>
      <c r="U1402" s="1" t="n"/>
      <c r="V1402" s="1" t="n"/>
      <c r="W1402" s="1" t="n"/>
      <c r="X1402" s="1" t="n"/>
      <c r="Y1402" s="1" t="n"/>
      <c r="Z1402" s="1">
        <f>IFERROR(__xludf.DUMMYFUNCTION("""COMPUTED_VALUE"""),"Unverified")</f>
        <v/>
      </c>
      <c r="AA1402" s="1" t="n"/>
      <c r="AB1402" s="1" t="n"/>
      <c r="AC1402" s="1" t="n"/>
      <c r="AD1402" s="1" t="n"/>
      <c r="AE1402" s="1" t="n"/>
    </row>
    <row r="1403" ht="42" customHeight="1">
      <c r="A1403" s="14">
        <f>IFERROR(__xludf.DUMMYFUNCTION("""COMPUTED_VALUE"""),45181)</f>
        <v/>
      </c>
      <c r="B1403" s="1">
        <f>IFERROR(__xludf.DUMMYFUNCTION("""COMPUTED_VALUE"""),"ORG_2011")</f>
        <v/>
      </c>
      <c r="C1403" s="1">
        <f>IFERROR(__xludf.DUMMYFUNCTION("""COMPUTED_VALUE"""),TRUE)</f>
        <v/>
      </c>
      <c r="D1403" s="1">
        <f>IFERROR(__xludf.DUMMYFUNCTION("""COMPUTED_VALUE"""),"MySnapshot")</f>
        <v/>
      </c>
      <c r="E1403" s="15">
        <f>IFERROR(__xludf.DUMMYFUNCTION("""COMPUTED_VALUE"""),"www.mysnapshot.co")</f>
        <v/>
      </c>
      <c r="F1403" s="1">
        <f>IFERROR(__xludf.DUMMYFUNCTION("""COMPUTED_VALUE"""),"MySnapshot is a methodology and assessment tool built for the end-to-end process of transformation in adult education.")</f>
        <v/>
      </c>
      <c r="G1403" s="1">
        <f>IFERROR(__xludf.DUMMYFUNCTION("""COMPUTED_VALUE"""),"I'm not part of any EdTech association")</f>
        <v/>
      </c>
      <c r="H1403" s="1" t="n"/>
      <c r="I1403" s="1">
        <f>IFERROR(__xludf.DUMMYFUNCTION("""COMPUTED_VALUE"""),"charlotte@mysnapshot.co")</f>
        <v/>
      </c>
      <c r="J1403" s="1">
        <f>IFERROR(__xludf.DUMMYFUNCTION("""COMPUTED_VALUE"""),"+447463861218")</f>
        <v/>
      </c>
      <c r="K1403" s="1">
        <f>IFERROR(__xludf.DUMMYFUNCTION("""COMPUTED_VALUE"""),"London")</f>
        <v/>
      </c>
      <c r="L1403" s="1">
        <f>IFERROR(__xludf.DUMMYFUNCTION("""COMPUTED_VALUE"""),"United Kingdom")</f>
        <v/>
      </c>
      <c r="M1403" s="1">
        <f>IFERROR(__xludf.DUMMYFUNCTION("""COMPUTED_VALUE"""),"Germany, Spain, United Kingdom")</f>
        <v/>
      </c>
      <c r="N1403" s="1">
        <f>IFERROR(__xludf.DUMMYFUNCTION("""COMPUTED_VALUE"""),"0 to 10")</f>
        <v/>
      </c>
      <c r="O1403" s="1">
        <f>IFERROR(__xludf.DUMMYFUNCTION("""COMPUTED_VALUE"""),"Business to Business, Business to Schools")</f>
        <v/>
      </c>
      <c r="P1403" s="1">
        <f>IFERROR(__xludf.DUMMYFUNCTION("""COMPUTED_VALUE"""),"Corporate Training, Lifelong learning/Adult education")</f>
        <v/>
      </c>
      <c r="Q1403" s="1">
        <f>IFERROR(__xludf.DUMMYFUNCTION("""COMPUTED_VALUE"""),"Teacher interfacing, System/Administrative")</f>
        <v/>
      </c>
      <c r="R1403" s="1" t="n"/>
      <c r="S1403" s="1" t="n"/>
      <c r="T1403" s="1" t="n"/>
      <c r="U1403" s="1" t="n"/>
      <c r="V1403" s="1" t="n"/>
      <c r="W1403" s="1" t="n"/>
      <c r="X1403" s="1" t="n"/>
      <c r="Y1403" s="1" t="n"/>
      <c r="Z1403" s="1">
        <f>IFERROR(__xludf.DUMMYFUNCTION("""COMPUTED_VALUE"""),"Unverified")</f>
        <v/>
      </c>
      <c r="AA1403" s="1" t="n"/>
      <c r="AB1403" s="1" t="n"/>
      <c r="AC1403" s="1" t="n"/>
      <c r="AD1403" s="1" t="n"/>
      <c r="AE1403" s="1" t="n"/>
    </row>
    <row r="1404" ht="42" customHeight="1">
      <c r="A1404" s="14">
        <f>IFERROR(__xludf.DUMMYFUNCTION("""COMPUTED_VALUE"""),45181)</f>
        <v/>
      </c>
      <c r="B1404" s="1">
        <f>IFERROR(__xludf.DUMMYFUNCTION("""COMPUTED_VALUE"""),"ORG_2023")</f>
        <v/>
      </c>
      <c r="C1404" s="1">
        <f>IFERROR(__xludf.DUMMYFUNCTION("""COMPUTED_VALUE"""),TRUE)</f>
        <v/>
      </c>
      <c r="D1404" s="15">
        <f>IFERROR(__xludf.DUMMYFUNCTION("""COMPUTED_VALUE"""),"Nauczeni.pl")</f>
        <v/>
      </c>
      <c r="E1404" s="15">
        <f>IFERROR(__xludf.DUMMYFUNCTION("""COMPUTED_VALUE"""),"https://www.nauczeni.pl/")</f>
        <v/>
      </c>
      <c r="F1404" s="1">
        <f>IFERROR(__xludf.DUMMYFUNCTION("""COMPUTED_VALUE"""),"Nauczeni.pl is a fully end-to-end platform for out of school education. It gives the teacher a suite of tools that take care of all the organizational issues related to teaching (calendar, accounting, mass payments, virtual classroom etc.) and let them fo"&amp;"cus fully on teaching. Students can access individual, group and fast on-demand 20-minute tutoring via the platform.")</f>
        <v/>
      </c>
      <c r="G1404" s="1">
        <f>IFERROR(__xludf.DUMMYFUNCTION("""COMPUTED_VALUE"""),"I'm not part of any EdTech association")</f>
        <v/>
      </c>
      <c r="H1404" s="1" t="n"/>
      <c r="I1404" s="1">
        <f>IFERROR(__xludf.DUMMYFUNCTION("""COMPUTED_VALUE"""),"ninawieretilo@gmail.com")</f>
        <v/>
      </c>
      <c r="J1404" s="1">
        <f>IFERROR(__xludf.DUMMYFUNCTION("""COMPUTED_VALUE"""),"+48696264008")</f>
        <v/>
      </c>
      <c r="K1404" s="1">
        <f>IFERROR(__xludf.DUMMYFUNCTION("""COMPUTED_VALUE"""),"WARSAW")</f>
        <v/>
      </c>
      <c r="L1404" s="1">
        <f>IFERROR(__xludf.DUMMYFUNCTION("""COMPUTED_VALUE"""),"Poland")</f>
        <v/>
      </c>
      <c r="M1404" s="1">
        <f>IFERROR(__xludf.DUMMYFUNCTION("""COMPUTED_VALUE"""),"Poland")</f>
        <v/>
      </c>
      <c r="N1404" s="1">
        <f>IFERROR(__xludf.DUMMYFUNCTION("""COMPUTED_VALUE"""),"0 to 10")</f>
        <v/>
      </c>
      <c r="O1404" s="1">
        <f>IFERROR(__xludf.DUMMYFUNCTION("""COMPUTED_VALUE"""),"Business to Business, Business to Schools")</f>
        <v/>
      </c>
      <c r="P1404" s="1">
        <f>IFERROR(__xludf.DUMMYFUNCTION("""COMPUTED_VALUE"""),"Primary Education, Secondary Education")</f>
        <v/>
      </c>
      <c r="Q1404" s="1">
        <f>IFERROR(__xludf.DUMMYFUNCTION("""COMPUTED_VALUE"""),"System/Administrative, Student interfacing, Teacher interfacing")</f>
        <v/>
      </c>
      <c r="R1404" s="1" t="n"/>
      <c r="S1404" s="1" t="n"/>
      <c r="T1404" s="1" t="n"/>
      <c r="U1404" s="1" t="n"/>
      <c r="V1404" s="1" t="n"/>
      <c r="W1404" s="1" t="n"/>
      <c r="X1404" s="1" t="n"/>
      <c r="Y1404" s="15">
        <f>IFERROR(__xludf.DUMMYFUNCTION("""COMPUTED_VALUE"""),"https://drive.google.com/uc?export=view&amp;id=1vJPvZ3q_jaKPCrSbJTtg49byxy8I9rQa")</f>
        <v/>
      </c>
      <c r="Z1404" s="1">
        <f>IFERROR(__xludf.DUMMYFUNCTION("""COMPUTED_VALUE"""),"Unverified")</f>
        <v/>
      </c>
      <c r="AA1404" s="1" t="n"/>
      <c r="AB1404" s="1" t="n"/>
      <c r="AC1404" s="1" t="n"/>
      <c r="AD1404" s="1" t="n"/>
      <c r="AE1404" s="1" t="n"/>
    </row>
    <row r="1405" ht="42" customHeight="1">
      <c r="A1405" s="14">
        <f>IFERROR(__xludf.DUMMYFUNCTION("""COMPUTED_VALUE"""),45181)</f>
        <v/>
      </c>
      <c r="B1405" s="1">
        <f>IFERROR(__xludf.DUMMYFUNCTION("""COMPUTED_VALUE"""),"ORG_2024")</f>
        <v/>
      </c>
      <c r="C1405" s="1">
        <f>IFERROR(__xludf.DUMMYFUNCTION("""COMPUTED_VALUE"""),TRUE)</f>
        <v/>
      </c>
      <c r="D1405" s="1">
        <f>IFERROR(__xludf.DUMMYFUNCTION("""COMPUTED_VALUE"""),"NE")</f>
        <v/>
      </c>
      <c r="E1405" s="15">
        <f>IFERROR(__xludf.DUMMYFUNCTION("""COMPUTED_VALUE"""),"www.ne.se")</f>
        <v/>
      </c>
      <c r="F1405" s="1">
        <f>IFERROR(__xludf.DUMMYFUNCTION("""COMPUTED_VALUE"""),"NE is a leading Edtech company that has provided reliable knowledge for over 35 years. In a world where truth is becoming increasingly subjective, we want to provide an objective foundation and make knowledge accessible and engaging for everyone. At the c"&amp;"ore of our offering stands the Swedish National Encyclopedia, surrounded by other online services such as educational film, fact bases, dictionaries. We have also emerged as the leading Swedish supplier of teaching aids. Today NE is the learning curriculu"&amp;"m platform for more than 350.000 students and teachers across Sweden, with a full array of K-9 teaching aids and many for 10-12.")</f>
        <v/>
      </c>
      <c r="G1405" s="1">
        <f>IFERROR(__xludf.DUMMYFUNCTION("""COMPUTED_VALUE"""),"I'm not part of any EdTech association")</f>
        <v/>
      </c>
      <c r="H1405" s="1" t="n"/>
      <c r="I1405" s="1">
        <f>IFERROR(__xludf.DUMMYFUNCTION("""COMPUTED_VALUE"""),"info@ne.se")</f>
        <v/>
      </c>
      <c r="J1405" s="1" t="n"/>
      <c r="K1405" s="1">
        <f>IFERROR(__xludf.DUMMYFUNCTION("""COMPUTED_VALUE"""),"MALMÖ")</f>
        <v/>
      </c>
      <c r="L1405" s="1">
        <f>IFERROR(__xludf.DUMMYFUNCTION("""COMPUTED_VALUE"""),"Sweden")</f>
        <v/>
      </c>
      <c r="M1405" s="1">
        <f>IFERROR(__xludf.DUMMYFUNCTION("""COMPUTED_VALUE"""),"Sweden")</f>
        <v/>
      </c>
      <c r="N1405" s="1">
        <f>IFERROR(__xludf.DUMMYFUNCTION("""COMPUTED_VALUE"""),"51 to 100")</f>
        <v/>
      </c>
      <c r="O1405" s="1">
        <f>IFERROR(__xludf.DUMMYFUNCTION("""COMPUTED_VALUE"""),"Business to Business, Business to Schools")</f>
        <v/>
      </c>
      <c r="P1405" s="1">
        <f>IFERROR(__xludf.DUMMYFUNCTION("""COMPUTED_VALUE"""),"Early childhood development (0-5 years), Primary Education, Secondary Education, Higher Education, Lifelong learning/Adult education")</f>
        <v/>
      </c>
      <c r="Q1405" s="1">
        <f>IFERROR(__xludf.DUMMYFUNCTION("""COMPUTED_VALUE"""),"System/Administrative, Student interfacing, Teacher interfacing")</f>
        <v/>
      </c>
      <c r="R1405" s="1" t="n"/>
      <c r="S1405" s="1" t="n"/>
      <c r="T1405" s="1" t="n"/>
      <c r="U1405" s="1" t="n"/>
      <c r="V1405" s="1" t="n"/>
      <c r="W1405" s="1" t="n"/>
      <c r="X1405" s="1" t="n"/>
      <c r="Y1405" s="15">
        <f>IFERROR(__xludf.DUMMYFUNCTION("""COMPUTED_VALUE"""),"https://drive.google.com/uc?export=view&amp;id=1yU1VBj0VTtBKOCyTkSG_LEq3TlJVz2z6")</f>
        <v/>
      </c>
      <c r="Z1405" s="1">
        <f>IFERROR(__xludf.DUMMYFUNCTION("""COMPUTED_VALUE"""),"Unverified")</f>
        <v/>
      </c>
      <c r="AA1405" s="1" t="n"/>
      <c r="AB1405" s="1" t="n"/>
      <c r="AC1405" s="1" t="n"/>
      <c r="AD1405" s="1" t="n"/>
      <c r="AE1405" s="1" t="n"/>
    </row>
    <row r="1406" ht="42" customHeight="1">
      <c r="A1406" s="14">
        <f>IFERROR(__xludf.DUMMYFUNCTION("""COMPUTED_VALUE"""),45181)</f>
        <v/>
      </c>
      <c r="B1406" s="1">
        <f>IFERROR(__xludf.DUMMYFUNCTION("""COMPUTED_VALUE"""),"ORG_2025")</f>
        <v/>
      </c>
      <c r="C1406" s="1">
        <f>IFERROR(__xludf.DUMMYFUNCTION("""COMPUTED_VALUE"""),TRUE)</f>
        <v/>
      </c>
      <c r="D1406" s="1">
        <f>IFERROR(__xludf.DUMMYFUNCTION("""COMPUTED_VALUE"""),"neddux")</f>
        <v/>
      </c>
      <c r="E1406" s="15">
        <f>IFERROR(__xludf.DUMMYFUNCTION("""COMPUTED_VALUE"""),"www.neddux.com")</f>
        <v/>
      </c>
      <c r="F1406" s="1">
        <f>IFERROR(__xludf.DUMMYFUNCTION("""COMPUTED_VALUE"""),"We make movies to transform learning into an inmersive, impacting and engaging experience.")</f>
        <v/>
      </c>
      <c r="G1406" s="1">
        <f>IFERROR(__xludf.DUMMYFUNCTION("""COMPUTED_VALUE"""),"I'm not part of any EdTech association")</f>
        <v/>
      </c>
      <c r="H1406" s="1" t="n"/>
      <c r="I1406" s="1">
        <f>IFERROR(__xludf.DUMMYFUNCTION("""COMPUTED_VALUE"""),"gramos@neddux.com")</f>
        <v/>
      </c>
      <c r="J1406" s="1" t="n"/>
      <c r="K1406" s="1">
        <f>IFERROR(__xludf.DUMMYFUNCTION("""COMPUTED_VALUE"""),"MADRID")</f>
        <v/>
      </c>
      <c r="L1406" s="1">
        <f>IFERROR(__xludf.DUMMYFUNCTION("""COMPUTED_VALUE"""),"Spain")</f>
        <v/>
      </c>
      <c r="M1406" s="1">
        <f>IFERROR(__xludf.DUMMYFUNCTION("""COMPUTED_VALUE"""),"Spain")</f>
        <v/>
      </c>
      <c r="N1406" s="1">
        <f>IFERROR(__xludf.DUMMYFUNCTION("""COMPUTED_VALUE"""),"0 to 10")</f>
        <v/>
      </c>
      <c r="O1406" s="1">
        <f>IFERROR(__xludf.DUMMYFUNCTION("""COMPUTED_VALUE"""),"Business to Consumer")</f>
        <v/>
      </c>
      <c r="P1406" s="1">
        <f>IFERROR(__xludf.DUMMYFUNCTION("""COMPUTED_VALUE"""),"Higher Education, Corporate Training, Lifelong learning/Adult education")</f>
        <v/>
      </c>
      <c r="Q1406" s="1">
        <f>IFERROR(__xludf.DUMMYFUNCTION("""COMPUTED_VALUE"""),"Student interfacing, System/Administrative")</f>
        <v/>
      </c>
      <c r="R1406" s="1" t="n"/>
      <c r="S1406" s="1" t="n"/>
      <c r="T1406" s="1" t="n"/>
      <c r="U1406" s="1" t="n"/>
      <c r="V1406" s="1" t="n"/>
      <c r="W1406" s="1" t="n"/>
      <c r="X1406" s="1" t="n"/>
      <c r="Y1406" s="15">
        <f>IFERROR(__xludf.DUMMYFUNCTION("""COMPUTED_VALUE"""),"https://drive.google.com/uc?export=view&amp;id=1uIwIYtLckEWZOje3PQgPJ9-oi3u_452y")</f>
        <v/>
      </c>
      <c r="Z1406" s="1">
        <f>IFERROR(__xludf.DUMMYFUNCTION("""COMPUTED_VALUE"""),"Unverified")</f>
        <v/>
      </c>
      <c r="AA1406" s="1" t="n"/>
      <c r="AB1406" s="1" t="n"/>
      <c r="AC1406" s="1" t="n"/>
      <c r="AD1406" s="1" t="n"/>
      <c r="AE1406" s="1" t="n"/>
    </row>
    <row r="1407" ht="42" customHeight="1">
      <c r="A1407" s="14">
        <f>IFERROR(__xludf.DUMMYFUNCTION("""COMPUTED_VALUE"""),45181)</f>
        <v/>
      </c>
      <c r="B1407" s="1">
        <f>IFERROR(__xludf.DUMMYFUNCTION("""COMPUTED_VALUE"""),"ORG_2133")</f>
        <v/>
      </c>
      <c r="C1407" s="1">
        <f>IFERROR(__xludf.DUMMYFUNCTION("""COMPUTED_VALUE"""),TRUE)</f>
        <v/>
      </c>
      <c r="D1407" s="1">
        <f>IFERROR(__xludf.DUMMYFUNCTION("""COMPUTED_VALUE"""),"PROYECTO A")</f>
        <v/>
      </c>
      <c r="E1407" s="15">
        <f>IFERROR(__xludf.DUMMYFUNCTION("""COMPUTED_VALUE"""),"www.proyectoa.es")</f>
        <v/>
      </c>
      <c r="F1407" s="1">
        <f>IFERROR(__xludf.DUMMYFUNCTION("""COMPUTED_VALUE"""),"PROYECTO A is an edtech startup whose mission is to promote STEAM vocations. We develop educational resources for schools and individuals. We offer products and services adapted to the needs of each client.
We have created a series of products to facilit"&amp;"ate learning: all-in-one educational robotics kits for young people from 12 years old. We also have a wide catalog of face-to-face and online technological courses on programming, 3D design, animations, electronics, video games, etc. We use augmented real"&amp;"ity as a learning tool, implementing educational innovation.
We have our own teaching methodology based on resilience and errors as the basis of learning, not as failures. We use recycled and recyclable materials in all of our physical products.")</f>
        <v/>
      </c>
      <c r="G1407" s="1">
        <f>IFERROR(__xludf.DUMMYFUNCTION("""COMPUTED_VALUE"""),"I'm not part of any EdTech association")</f>
        <v/>
      </c>
      <c r="H1407" s="1" t="n"/>
      <c r="I1407" s="1">
        <f>IFERROR(__xludf.DUMMYFUNCTION("""COMPUTED_VALUE"""),"contacto@proyectoa.es")</f>
        <v/>
      </c>
      <c r="J1407" s="1">
        <f>IFERROR(__xludf.DUMMYFUNCTION("""COMPUTED_VALUE"""),"+34657347550")</f>
        <v/>
      </c>
      <c r="K1407" s="1">
        <f>IFERROR(__xludf.DUMMYFUNCTION("""COMPUTED_VALUE"""),"Valencia")</f>
        <v/>
      </c>
      <c r="L1407" s="1">
        <f>IFERROR(__xludf.DUMMYFUNCTION("""COMPUTED_VALUE"""),"Spain")</f>
        <v/>
      </c>
      <c r="M1407" s="1">
        <f>IFERROR(__xludf.DUMMYFUNCTION("""COMPUTED_VALUE"""),"Italy, Spain")</f>
        <v/>
      </c>
      <c r="N1407" s="1">
        <f>IFERROR(__xludf.DUMMYFUNCTION("""COMPUTED_VALUE"""),"0 to 10")</f>
        <v/>
      </c>
      <c r="O1407" s="1">
        <f>IFERROR(__xludf.DUMMYFUNCTION("""COMPUTED_VALUE"""),"Business to Consumer")</f>
        <v/>
      </c>
      <c r="P1407" s="1">
        <f>IFERROR(__xludf.DUMMYFUNCTION("""COMPUTED_VALUE"""),"Primary Education, Secondary Education, Higher Education")</f>
        <v/>
      </c>
      <c r="Q1407" s="1">
        <f>IFERROR(__xludf.DUMMYFUNCTION("""COMPUTED_VALUE"""),"System/Administrative, Student interfacing, Teacher interfacing")</f>
        <v/>
      </c>
      <c r="R1407" s="1" t="n"/>
      <c r="S1407" s="1" t="n"/>
      <c r="T1407" s="1" t="n"/>
      <c r="U1407" s="1" t="n"/>
      <c r="V1407" s="1" t="n"/>
      <c r="W1407" s="1" t="n"/>
      <c r="X1407" s="1" t="n"/>
      <c r="Y1407" s="15">
        <f>IFERROR(__xludf.DUMMYFUNCTION("""COMPUTED_VALUE"""),"https://drive.google.com/uc?export=view&amp;id=1qXxbwMbwim-nC9YTV91qI-toCWm0ebRg")</f>
        <v/>
      </c>
      <c r="Z1407" s="1">
        <f>IFERROR(__xludf.DUMMYFUNCTION("""COMPUTED_VALUE"""),"Unverified")</f>
        <v/>
      </c>
      <c r="AA1407" s="1" t="n"/>
      <c r="AB1407" s="1" t="n"/>
      <c r="AC1407" s="1" t="n"/>
      <c r="AD1407" s="1" t="n"/>
      <c r="AE1407" s="1" t="n"/>
    </row>
    <row r="1408" ht="42" customHeight="1">
      <c r="A1408" s="14">
        <f>IFERROR(__xludf.DUMMYFUNCTION("""COMPUTED_VALUE"""),45181)</f>
        <v/>
      </c>
      <c r="B1408" s="1">
        <f>IFERROR(__xludf.DUMMYFUNCTION("""COMPUTED_VALUE"""),"ORG_2141")</f>
        <v/>
      </c>
      <c r="C1408" s="1">
        <f>IFERROR(__xludf.DUMMYFUNCTION("""COMPUTED_VALUE"""),TRUE)</f>
        <v/>
      </c>
      <c r="D1408" s="15">
        <f>IFERROR(__xludf.DUMMYFUNCTION("""COMPUTED_VALUE"""),"Quaestiones.com")</f>
        <v/>
      </c>
      <c r="E1408" s="15">
        <f>IFERROR(__xludf.DUMMYFUNCTION("""COMPUTED_VALUE"""),"www.quaestiones.com")</f>
        <v/>
      </c>
      <c r="F1408" s="1">
        <f>IFERROR(__xludf.DUMMYFUNCTION("""COMPUTED_VALUE"""),"Quaestiones is the platform that, since 2000, has been collecting questions, notes and feedbacks of Lecturers, useful in preparing university exams. The goal of quaestiones has always been to break down the barriers that hinder access to training and know"&amp;"ledge and it does so through digital tools.
At the center of the quaestiones project are the students: more than 450K members who share their materials and their experiences, continuing to grow a db of timely information, cataloged by course and teacher.
"&amp;"The technology that is the basis of the project allows us to carry out our mission with the tutoring section, close to launch, and the streaming courses of teachers and partner platforms, always keeping the needs and requirements of students in the foregr"&amp;"ound, constantly "" questioned ""by our team.")</f>
        <v/>
      </c>
      <c r="G1408" s="1">
        <f>IFERROR(__xludf.DUMMYFUNCTION("""COMPUTED_VALUE"""),"I'm not part of any EdTech association")</f>
        <v/>
      </c>
      <c r="H1408" s="1" t="n"/>
      <c r="I1408" s="1">
        <f>IFERROR(__xludf.DUMMYFUNCTION("""COMPUTED_VALUE"""),"info@quaestiones.com")</f>
        <v/>
      </c>
      <c r="J1408" s="1" t="n"/>
      <c r="K1408" s="1">
        <f>IFERROR(__xludf.DUMMYFUNCTION("""COMPUTED_VALUE"""),"ROME")</f>
        <v/>
      </c>
      <c r="L1408" s="1">
        <f>IFERROR(__xludf.DUMMYFUNCTION("""COMPUTED_VALUE"""),"Italy")</f>
        <v/>
      </c>
      <c r="M1408" s="1">
        <f>IFERROR(__xludf.DUMMYFUNCTION("""COMPUTED_VALUE"""),"Italy")</f>
        <v/>
      </c>
      <c r="N1408" s="1">
        <f>IFERROR(__xludf.DUMMYFUNCTION("""COMPUTED_VALUE"""),"0 to 10")</f>
        <v/>
      </c>
      <c r="O1408" s="1">
        <f>IFERROR(__xludf.DUMMYFUNCTION("""COMPUTED_VALUE"""),"Business to Consumer")</f>
        <v/>
      </c>
      <c r="P1408" s="1">
        <f>IFERROR(__xludf.DUMMYFUNCTION("""COMPUTED_VALUE"""),"Secondary Education, Higher Education")</f>
        <v/>
      </c>
      <c r="Q1408" s="1">
        <f>IFERROR(__xludf.DUMMYFUNCTION("""COMPUTED_VALUE"""),"Student interfacing, Teacher interfacing")</f>
        <v/>
      </c>
      <c r="R1408" s="1" t="n"/>
      <c r="S1408" s="1" t="n"/>
      <c r="T1408" s="1" t="n"/>
      <c r="U1408" s="1" t="n"/>
      <c r="V1408" s="1" t="n"/>
      <c r="W1408" s="1" t="n"/>
      <c r="X1408" s="1" t="n"/>
      <c r="Y1408" s="15">
        <f>IFERROR(__xludf.DUMMYFUNCTION("""COMPUTED_VALUE"""),"https://drive.google.com/uc?export=view&amp;id=1Ax8xlb8ujECvfwfEi9oDqx0pCOtV-25W")</f>
        <v/>
      </c>
      <c r="Z1408" s="1">
        <f>IFERROR(__xludf.DUMMYFUNCTION("""COMPUTED_VALUE"""),"Unverified")</f>
        <v/>
      </c>
      <c r="AA1408" s="1" t="n"/>
      <c r="AB1408" s="1" t="n"/>
      <c r="AC1408" s="1" t="n"/>
      <c r="AD1408" s="1" t="n"/>
      <c r="AE1408" s="1" t="n"/>
    </row>
    <row r="1409" ht="42" customHeight="1">
      <c r="A1409" s="14">
        <f>IFERROR(__xludf.DUMMYFUNCTION("""COMPUTED_VALUE"""),45181)</f>
        <v/>
      </c>
      <c r="B1409" s="1">
        <f>IFERROR(__xludf.DUMMYFUNCTION("""COMPUTED_VALUE"""),"ORG_2279")</f>
        <v/>
      </c>
      <c r="C1409" s="1">
        <f>IFERROR(__xludf.DUMMYFUNCTION("""COMPUTED_VALUE"""),TRUE)</f>
        <v/>
      </c>
      <c r="D1409" s="1">
        <f>IFERROR(__xludf.DUMMYFUNCTION("""COMPUTED_VALUE"""),"Smartest Learning")</f>
        <v/>
      </c>
      <c r="E1409" s="15">
        <f>IFERROR(__xludf.DUMMYFUNCTION("""COMPUTED_VALUE"""),"www.smartest.io")</f>
        <v/>
      </c>
      <c r="F1409" s="1">
        <f>IFERROR(__xludf.DUMMYFUNCTION("""COMPUTED_VALUE"""),"Smartest creates interactive, personalized lessons and quizzes from prompts or documents, by using artificial intelligence to extract content and generate questions within seconds.")</f>
        <v/>
      </c>
      <c r="G1409" s="1">
        <f>IFERROR(__xludf.DUMMYFUNCTION("""COMPUTED_VALUE"""),"Swiss EdTech Collider")</f>
        <v/>
      </c>
      <c r="H1409" s="1">
        <f>IFERROR(__xludf.DUMMYFUNCTION("""COMPUTED_VALUE"""),"English, French, German")</f>
        <v/>
      </c>
      <c r="I1409" s="1">
        <f>IFERROR(__xludf.DUMMYFUNCTION("""COMPUTED_VALUE"""),"support@smartest.io")</f>
        <v/>
      </c>
      <c r="J1409" s="1">
        <f>IFERROR(__xludf.DUMMYFUNCTION("""COMPUTED_VALUE"""),"+41775282128")</f>
        <v/>
      </c>
      <c r="K1409" s="1">
        <f>IFERROR(__xludf.DUMMYFUNCTION("""COMPUTED_VALUE"""),"Apfelbaumstrasse 50")</f>
        <v/>
      </c>
      <c r="L1409" s="1">
        <f>IFERROR(__xludf.DUMMYFUNCTION("""COMPUTED_VALUE"""),"Switzerland")</f>
        <v/>
      </c>
      <c r="M1409" s="1">
        <f>IFERROR(__xludf.DUMMYFUNCTION("""COMPUTED_VALUE"""),"Germany, Switzerland")</f>
        <v/>
      </c>
      <c r="N1409" s="1">
        <f>IFERROR(__xludf.DUMMYFUNCTION("""COMPUTED_VALUE"""),"0 to 2")</f>
        <v/>
      </c>
      <c r="O1409" s="1">
        <f>IFERROR(__xludf.DUMMYFUNCTION("""COMPUTED_VALUE"""),"Business to Consumer, Business to Government, Business to Schools")</f>
        <v/>
      </c>
      <c r="P1409" s="1">
        <f>IFERROR(__xludf.DUMMYFUNCTION("""COMPUTED_VALUE"""),"Secondary Education, Corporate Training, Lifelong learning/Adult education, Vocational Education and Training (VET), Higher Education")</f>
        <v/>
      </c>
      <c r="Q1409" s="1">
        <f>IFERROR(__xludf.DUMMYFUNCTION("""COMPUTED_VALUE"""),"System/Administrative, Teacher interfacing, Student interfacing")</f>
        <v/>
      </c>
      <c r="R1409" s="1" t="n"/>
      <c r="S1409" s="1" t="n"/>
      <c r="T1409" s="15">
        <f>IFERROR(__xludf.DUMMYFUNCTION("""COMPUTED_VALUE"""),"https://www.linkedin.com/company/smartestlearning/")</f>
        <v/>
      </c>
      <c r="U1409" s="1">
        <f>IFERROR(__xludf.DUMMYFUNCTION("""COMPUTED_VALUE"""),"Smartest")</f>
        <v/>
      </c>
      <c r="V1409" s="1">
        <f>IFERROR(__xludf.DUMMYFUNCTION("""COMPUTED_VALUE"""),"Smartest is an app that lets users quickly and effortlessly create practice exercises using their existing study material. The user selects the analog or digital source material and receives a ready-to-use study package with learning and testing exercises"&amp;" within seconds. This is accomplished with a unique combination of advanced machine learning algorithms. To increase learning effectiveness, video explanations can be added, and progress is displayed in dashboards visible to teachers and students.")</f>
        <v/>
      </c>
      <c r="W1409" s="1" t="n"/>
      <c r="X1409" s="1" t="n"/>
      <c r="Y1409" s="15">
        <f>IFERROR(__xludf.DUMMYFUNCTION("""COMPUTED_VALUE"""),"https://drive.google.com/uc?export=view&amp;id=1P-EbPZSLEDTcW4L-OYzmlcSW4PQH7Tdg")</f>
        <v/>
      </c>
      <c r="Z1409" s="1">
        <f>IFERROR(__xludf.DUMMYFUNCTION("""COMPUTED_VALUE"""),"Unverified")</f>
        <v/>
      </c>
      <c r="AA1409" s="1" t="n"/>
      <c r="AB1409" s="1" t="n"/>
      <c r="AC1409" s="1" t="n"/>
      <c r="AD1409" s="1" t="n"/>
      <c r="AE1409" s="1" t="n"/>
    </row>
    <row r="1410" ht="42" customHeight="1">
      <c r="A1410" s="14">
        <f>IFERROR(__xludf.DUMMYFUNCTION("""COMPUTED_VALUE"""),45181)</f>
        <v/>
      </c>
      <c r="B1410" s="1">
        <f>IFERROR(__xludf.DUMMYFUNCTION("""COMPUTED_VALUE"""),"ORG_2294")</f>
        <v/>
      </c>
      <c r="C1410" s="1">
        <f>IFERROR(__xludf.DUMMYFUNCTION("""COMPUTED_VALUE"""),TRUE)</f>
        <v/>
      </c>
      <c r="D1410" s="1">
        <f>IFERROR(__xludf.DUMMYFUNCTION("""COMPUTED_VALUE"""),"Sonant")</f>
        <v/>
      </c>
      <c r="E1410" s="15">
        <f>IFERROR(__xludf.DUMMYFUNCTION("""COMPUTED_VALUE"""),"https://www.sonant.fi")</f>
        <v/>
      </c>
      <c r="F1410" s="1">
        <f>IFERROR(__xludf.DUMMYFUNCTION("""COMPUTED_VALUE"""),"Sonant is developing empowering assistive technology to support neurodiverse children and their families. We are also researching and developing gamified solutions to enhance the learning experience of non-typical learners.")</f>
        <v/>
      </c>
      <c r="G1410" s="1">
        <f>IFERROR(__xludf.DUMMYFUNCTION("""COMPUTED_VALUE"""),"I'm not part of any EdTech association")</f>
        <v/>
      </c>
      <c r="H1410" s="1">
        <f>IFERROR(__xludf.DUMMYFUNCTION("""COMPUTED_VALUE"""),"English, Finnish")</f>
        <v/>
      </c>
      <c r="I1410" s="1">
        <f>IFERROR(__xludf.DUMMYFUNCTION("""COMPUTED_VALUE"""),"hello@sonant.fi")</f>
        <v/>
      </c>
      <c r="J1410" s="1" t="n"/>
      <c r="K1410" s="1">
        <f>IFERROR(__xludf.DUMMYFUNCTION("""COMPUTED_VALUE"""),"HELSINKI")</f>
        <v/>
      </c>
      <c r="L1410" s="1">
        <f>IFERROR(__xludf.DUMMYFUNCTION("""COMPUTED_VALUE"""),"Finland")</f>
        <v/>
      </c>
      <c r="M1410" s="1">
        <f>IFERROR(__xludf.DUMMYFUNCTION("""COMPUTED_VALUE"""),"Finland")</f>
        <v/>
      </c>
      <c r="N1410" s="1">
        <f>IFERROR(__xludf.DUMMYFUNCTION("""COMPUTED_VALUE"""),"0 to 2")</f>
        <v/>
      </c>
      <c r="O1410" s="1">
        <f>IFERROR(__xludf.DUMMYFUNCTION("""COMPUTED_VALUE"""),"Business to Consumer, Business to Schools")</f>
        <v/>
      </c>
      <c r="P1410" s="1">
        <f>IFERROR(__xludf.DUMMYFUNCTION("""COMPUTED_VALUE"""),"Early childhood development (0-5 years)")</f>
        <v/>
      </c>
      <c r="Q1410" s="1">
        <f>IFERROR(__xludf.DUMMYFUNCTION("""COMPUTED_VALUE"""),"System/Administrative, Student interfacing, Teacher interfacing")</f>
        <v/>
      </c>
      <c r="R1410" s="1" t="n"/>
      <c r="S1410" s="1" t="n"/>
      <c r="T1410" s="15">
        <f>IFERROR(__xludf.DUMMYFUNCTION("""COMPUTED_VALUE"""),"https://www.linkedin.com/company/sonant-oy/")</f>
        <v/>
      </c>
      <c r="U1410" s="1">
        <f>IFERROR(__xludf.DUMMYFUNCTION("""COMPUTED_VALUE"""),"Meemoi")</f>
        <v/>
      </c>
      <c r="V1410" s="1">
        <f>IFERROR(__xludf.DUMMYFUNCTION("""COMPUTED_VALUE"""),"Meemoi is a versatile communication aid to support language development and increase positive moments of connection and collaboration between children and caregivers. It can also be used in kindergartens by teachers.")</f>
        <v/>
      </c>
      <c r="W1410" s="1" t="n"/>
      <c r="X1410" s="1" t="n"/>
      <c r="Y1410" s="15">
        <f>IFERROR(__xludf.DUMMYFUNCTION("""COMPUTED_VALUE"""),"https://drive.google.com/uc?export=view&amp;id=1Hi9nNl9BQ-tHqIGRceyUDUnMLIjYC4wE")</f>
        <v/>
      </c>
      <c r="Z1410" s="1">
        <f>IFERROR(__xludf.DUMMYFUNCTION("""COMPUTED_VALUE"""),"Unverified")</f>
        <v/>
      </c>
      <c r="AA1410" s="1" t="n"/>
      <c r="AB1410" s="1" t="n"/>
      <c r="AC1410" s="1" t="n"/>
      <c r="AD1410" s="1" t="n"/>
      <c r="AE1410" s="1" t="n"/>
    </row>
    <row r="1411" ht="42" customHeight="1">
      <c r="A1411" s="14">
        <f>IFERROR(__xludf.DUMMYFUNCTION("""COMPUTED_VALUE"""),45181)</f>
        <v/>
      </c>
      <c r="B1411" s="1">
        <f>IFERROR(__xludf.DUMMYFUNCTION("""COMPUTED_VALUE"""),"ORG_2301")</f>
        <v/>
      </c>
      <c r="C1411" s="1">
        <f>IFERROR(__xludf.DUMMYFUNCTION("""COMPUTED_VALUE"""),TRUE)</f>
        <v/>
      </c>
      <c r="D1411" s="1">
        <f>IFERROR(__xludf.DUMMYFUNCTION("""COMPUTED_VALUE"""),"Sparkademy")</f>
        <v/>
      </c>
      <c r="E1411" s="15">
        <f>IFERROR(__xludf.DUMMYFUNCTION("""COMPUTED_VALUE"""),"https://www.sparkademy.com/")</f>
        <v/>
      </c>
      <c r="F1411" s="1">
        <f>IFERROR(__xludf.DUMMYFUNCTION("""COMPUTED_VALUE"""),"Sparkademy offers a corporate learning program and platform. 
We help large organizations future-proof their business from within by training their teams to be innovators and future leaders.
We focus on power skills such as customer-centricity, creativi"&amp;"ty, analytical thinking, and more.
Our learners receive custom-made content developed alongside professors from world-renowned universities and industry experts.
We achieve the engagement of “in person-,” the ease and scalability of “online-” and the im"&amp;"pact and ROI of “on the job-” training.")</f>
        <v/>
      </c>
      <c r="G1411" s="1">
        <f>IFERROR(__xludf.DUMMYFUNCTION("""COMPUTED_VALUE"""),"I'm not part of any EdTech association")</f>
        <v/>
      </c>
      <c r="H1411" s="1" t="n"/>
      <c r="I1411" s="1">
        <f>IFERROR(__xludf.DUMMYFUNCTION("""COMPUTED_VALUE"""),"info@sparkademy.com")</f>
        <v/>
      </c>
      <c r="J1411" s="1">
        <f>IFERROR(__xludf.DUMMYFUNCTION("""COMPUTED_VALUE"""),"+41 44 536 59 49")</f>
        <v/>
      </c>
      <c r="K1411" s="1">
        <f>IFERROR(__xludf.DUMMYFUNCTION("""COMPUTED_VALUE"""),"Zürich")</f>
        <v/>
      </c>
      <c r="L1411" s="1">
        <f>IFERROR(__xludf.DUMMYFUNCTION("""COMPUTED_VALUE"""),"Switzerland")</f>
        <v/>
      </c>
      <c r="M1411" s="1">
        <f>IFERROR(__xludf.DUMMYFUNCTION("""COMPUTED_VALUE"""),"Germany, Netherlands, Switzerland")</f>
        <v/>
      </c>
      <c r="N1411" s="1">
        <f>IFERROR(__xludf.DUMMYFUNCTION("""COMPUTED_VALUE"""),"11 to 50")</f>
        <v/>
      </c>
      <c r="O1411" s="1">
        <f>IFERROR(__xludf.DUMMYFUNCTION("""COMPUTED_VALUE"""),"Business to Consumer, Business to Schools")</f>
        <v/>
      </c>
      <c r="P1411" s="1">
        <f>IFERROR(__xludf.DUMMYFUNCTION("""COMPUTED_VALUE"""),"Corporate Training, Lifelong learning/Adult education")</f>
        <v/>
      </c>
      <c r="Q1411" s="1">
        <f>IFERROR(__xludf.DUMMYFUNCTION("""COMPUTED_VALUE"""),"System/Administrative")</f>
        <v/>
      </c>
      <c r="R1411" s="1" t="n"/>
      <c r="S1411" s="1" t="n"/>
      <c r="T1411" s="1" t="n"/>
      <c r="U1411" s="1" t="n"/>
      <c r="V1411" s="1" t="n"/>
      <c r="W1411" s="1" t="n"/>
      <c r="X1411" s="1" t="n"/>
      <c r="Y1411" s="15">
        <f>IFERROR(__xludf.DUMMYFUNCTION("""COMPUTED_VALUE"""),"https://drive.google.com/uc?export=view&amp;id=1QFNLwwwBRmTBan6CH8wyZhFVlONmlj64")</f>
        <v/>
      </c>
      <c r="Z1411" s="1">
        <f>IFERROR(__xludf.DUMMYFUNCTION("""COMPUTED_VALUE"""),"Unverified")</f>
        <v/>
      </c>
      <c r="AA1411" s="1" t="n"/>
      <c r="AB1411" s="1" t="n"/>
      <c r="AC1411" s="1" t="n"/>
      <c r="AD1411" s="1" t="n"/>
      <c r="AE1411" s="1" t="n"/>
    </row>
    <row r="1412" ht="42" customHeight="1">
      <c r="A1412" s="14">
        <f>IFERROR(__xludf.DUMMYFUNCTION("""COMPUTED_VALUE"""),45181)</f>
        <v/>
      </c>
      <c r="B1412" s="1">
        <f>IFERROR(__xludf.DUMMYFUNCTION("""COMPUTED_VALUE"""),"ORG_2343")</f>
        <v/>
      </c>
      <c r="C1412" s="1">
        <f>IFERROR(__xludf.DUMMYFUNCTION("""COMPUTED_VALUE"""),TRUE)</f>
        <v/>
      </c>
      <c r="D1412" s="1">
        <f>IFERROR(__xludf.DUMMYFUNCTION("""COMPUTED_VALUE"""),"StudyHelp")</f>
        <v/>
      </c>
      <c r="E1412" s="15">
        <f>IFERROR(__xludf.DUMMYFUNCTION("""COMPUTED_VALUE"""),"www.studyhelp.de")</f>
        <v/>
      </c>
      <c r="F1412" s="1">
        <f>IFERROR(__xludf.DUMMYFUNCTION("""COMPUTED_VALUE"""),"The company addresses learners’ needs offering a #hybrid #solution which includes #interactive #learning booklets, #online platforms, #individual learning #coaching and intensive #courses. In doing so, StudyHelp is thus very well positioned to master the "&amp;"dynamics in the EdTech sector in an agile way.")</f>
        <v/>
      </c>
      <c r="G1412" s="1">
        <f>IFERROR(__xludf.DUMMYFUNCTION("""COMPUTED_VALUE"""),"EDUvation")</f>
        <v/>
      </c>
      <c r="H1412" s="1" t="n"/>
      <c r="I1412" s="1">
        <f>IFERROR(__xludf.DUMMYFUNCTION("""COMPUTED_VALUE"""),"daniel.weiner@studyhelp.de")</f>
        <v/>
      </c>
      <c r="J1412" s="1">
        <f>IFERROR(__xludf.DUMMYFUNCTION("""COMPUTED_VALUE"""),"17681312239")</f>
        <v/>
      </c>
      <c r="K1412" s="1">
        <f>IFERROR(__xludf.DUMMYFUNCTION("""COMPUTED_VALUE"""),"Paderborn")</f>
        <v/>
      </c>
      <c r="L1412" s="1">
        <f>IFERROR(__xludf.DUMMYFUNCTION("""COMPUTED_VALUE"""),"Germany")</f>
        <v/>
      </c>
      <c r="M1412" s="1">
        <f>IFERROR(__xludf.DUMMYFUNCTION("""COMPUTED_VALUE"""),"Austria, Germany")</f>
        <v/>
      </c>
      <c r="N1412" s="1">
        <f>IFERROR(__xludf.DUMMYFUNCTION("""COMPUTED_VALUE"""),"0 to 10")</f>
        <v/>
      </c>
      <c r="O1412" s="1">
        <f>IFERROR(__xludf.DUMMYFUNCTION("""COMPUTED_VALUE"""),"Business to Consumer, Business to Schools")</f>
        <v/>
      </c>
      <c r="P1412" s="1">
        <f>IFERROR(__xludf.DUMMYFUNCTION("""COMPUTED_VALUE"""),"Primary Education, Secondary Education, Higher Education")</f>
        <v/>
      </c>
      <c r="Q1412" s="1">
        <f>IFERROR(__xludf.DUMMYFUNCTION("""COMPUTED_VALUE"""),"System/Administrative, Student interfacing, Teacher interfacing")</f>
        <v/>
      </c>
      <c r="R1412" s="1" t="n"/>
      <c r="S1412" s="1" t="n"/>
      <c r="T1412" s="1" t="n"/>
      <c r="U1412" s="1">
        <f>IFERROR(__xludf.DUMMYFUNCTION("""COMPUTED_VALUE"""),"Learnbooks")</f>
        <v/>
      </c>
      <c r="V1412" s="1">
        <f>IFERROR(__xludf.DUMMYFUNCTION("""COMPUTED_VALUE"""),"Learnbooks with videos")</f>
        <v/>
      </c>
      <c r="W1412" s="1">
        <f>IFERROR(__xludf.DUMMYFUNCTION("""COMPUTED_VALUE"""),"Tutoring")</f>
        <v/>
      </c>
      <c r="X1412" s="1">
        <f>IFERROR(__xludf.DUMMYFUNCTION("""COMPUTED_VALUE"""),"Online and offline tutoring")</f>
        <v/>
      </c>
      <c r="Y1412" s="15">
        <f>IFERROR(__xludf.DUMMYFUNCTION("""COMPUTED_VALUE"""),"https://drive.google.com/uc?export=view&amp;id=17U4chQ7FRs1Ivkv4z9sEuBThx3_fhFFX")</f>
        <v/>
      </c>
      <c r="Z1412" s="1">
        <f>IFERROR(__xludf.DUMMYFUNCTION("""COMPUTED_VALUE"""),"Unverified")</f>
        <v/>
      </c>
      <c r="AA1412" s="1" t="n"/>
      <c r="AB1412" s="1" t="n"/>
      <c r="AC1412" s="1" t="n"/>
      <c r="AD1412" s="1" t="n"/>
      <c r="AE1412" s="1" t="n"/>
    </row>
    <row r="1413" ht="42" customHeight="1">
      <c r="A1413" s="14">
        <f>IFERROR(__xludf.DUMMYFUNCTION("""COMPUTED_VALUE"""),45181)</f>
        <v/>
      </c>
      <c r="B1413" s="1">
        <f>IFERROR(__xludf.DUMMYFUNCTION("""COMPUTED_VALUE"""),"ORG_2345")</f>
        <v/>
      </c>
      <c r="C1413" s="1">
        <f>IFERROR(__xludf.DUMMYFUNCTION("""COMPUTED_VALUE"""),TRUE)</f>
        <v/>
      </c>
      <c r="D1413" s="1">
        <f>IFERROR(__xludf.DUMMYFUNCTION("""COMPUTED_VALUE"""),"Studyportals")</f>
        <v/>
      </c>
      <c r="E1413" s="15">
        <f>IFERROR(__xludf.DUMMYFUNCTION("""COMPUTED_VALUE"""),"https://studyportals.com/")</f>
        <v/>
      </c>
      <c r="F1413" s="1">
        <f>IFERROR(__xludf.DUMMYFUNCTION("""COMPUTED_VALUE"""),"Studyportals is a study choice platform with over 52 million visitors from around the world in 2021. We help our university clients to grow and diversify their international student population.")</f>
        <v/>
      </c>
      <c r="G1413" s="1">
        <f>IFERROR(__xludf.DUMMYFUNCTION("""COMPUTED_VALUE"""),"Dutch EdTech")</f>
        <v/>
      </c>
      <c r="H1413" s="1" t="n"/>
      <c r="I1413" s="1">
        <f>IFERROR(__xludf.DUMMYFUNCTION("""COMPUTED_VALUE"""),"hello@studyportals.com")</f>
        <v/>
      </c>
      <c r="J1413" s="1">
        <f>IFERROR(__xludf.DUMMYFUNCTION("""COMPUTED_VALUE"""),"+31 40 292 0060")</f>
        <v/>
      </c>
      <c r="K1413" s="1">
        <f>IFERROR(__xludf.DUMMYFUNCTION("""COMPUTED_VALUE"""),"EINDHOVEN")</f>
        <v/>
      </c>
      <c r="L1413" s="1">
        <f>IFERROR(__xludf.DUMMYFUNCTION("""COMPUTED_VALUE"""),"The Netherlands")</f>
        <v/>
      </c>
      <c r="M1413" s="1">
        <f>IFERROR(__xludf.DUMMYFUNCTION("""COMPUTED_VALUE"""),"Albania, Armenia, Austria, Belgium, Bulgaria, Croatia, Cyprus, Denmark, Estonia, Finland, France, Germany, Greece, Hungary, Iceland, Ireland, Italy, Latvia, Liechtenstein, Lithuania, Luxembourg, Malta, Moldova, Monaco, Montenegro, Netherlands, North Maced"&amp;"onia, Norway, Poland, Portugal, Romania, San Marino, Serbia, Slovakia, Slovenia, Spain, Sweden, Switzerland, Turkey, Ukraine, United Kingdom")</f>
        <v/>
      </c>
      <c r="N1413" s="1">
        <f>IFERROR(__xludf.DUMMYFUNCTION("""COMPUTED_VALUE"""),"100+")</f>
        <v/>
      </c>
      <c r="O1413" s="1">
        <f>IFERROR(__xludf.DUMMYFUNCTION("""COMPUTED_VALUE"""),"Business to Consumer, Business to Schools")</f>
        <v/>
      </c>
      <c r="P1413" s="1">
        <f>IFERROR(__xludf.DUMMYFUNCTION("""COMPUTED_VALUE"""),"Higher Education, Corporate Training, Lifelong learning/Adult education")</f>
        <v/>
      </c>
      <c r="Q1413" s="1">
        <f>IFERROR(__xludf.DUMMYFUNCTION("""COMPUTED_VALUE"""),"Student interfacing")</f>
        <v/>
      </c>
      <c r="R1413" s="1" t="n"/>
      <c r="S1413" s="1">
        <f>IFERROR(__xludf.DUMMYFUNCTION("""COMPUTED_VALUE"""),"@Studyportals")</f>
        <v/>
      </c>
      <c r="T1413" s="15">
        <f>IFERROR(__xludf.DUMMYFUNCTION("""COMPUTED_VALUE"""),"https://www.linkedin.com/company/studyportals")</f>
        <v/>
      </c>
      <c r="U1413" s="1">
        <f>IFERROR(__xludf.DUMMYFUNCTION("""COMPUTED_VALUE"""),"Marketing and international student recruitment")</f>
        <v/>
      </c>
      <c r="V1413" s="1">
        <f>IFERROR(__xludf.DUMMYFUNCTION("""COMPUTED_VALUE"""),"If you are interested in increasing the number and diversity of student applications and enrolments, to highlight your programmes and institution to a global audience, our portals are the place to be.")</f>
        <v/>
      </c>
      <c r="W1413" s="1">
        <f>IFERROR(__xludf.DUMMYFUNCTION("""COMPUTED_VALUE"""),"Analytics and consuting")</f>
        <v/>
      </c>
      <c r="X1413" s="1">
        <f>IFERROR(__xludf.DUMMYFUNCTION("""COMPUTED_VALUE"""),"Our three areas of expertise are Analytics, Consulting, and Training. The Analytics and Consulting Team (ACT) at Studyportals advises and assists universities and other organisations in the higher education sector to realise their ambitions in the field o"&amp;"f international marketing and international student recruitment.")</f>
        <v/>
      </c>
      <c r="Y1413" s="15">
        <f>IFERROR(__xludf.DUMMYFUNCTION("""COMPUTED_VALUE"""),"https://drive.google.com/uc?export=view&amp;id=10XymHp0LQLleQBefZZeP6AtwAPBT847V")</f>
        <v/>
      </c>
      <c r="Z1413" s="1">
        <f>IFERROR(__xludf.DUMMYFUNCTION("""COMPUTED_VALUE"""),"Unverified")</f>
        <v/>
      </c>
      <c r="AA1413" s="1" t="n"/>
      <c r="AB1413" s="1" t="n"/>
      <c r="AC1413" s="1" t="n"/>
      <c r="AD1413" s="1" t="n"/>
      <c r="AE1413" s="1" t="n"/>
    </row>
    <row r="1414" ht="42" customHeight="1">
      <c r="A1414" s="14">
        <f>IFERROR(__xludf.DUMMYFUNCTION("""COMPUTED_VALUE"""),45181)</f>
        <v/>
      </c>
      <c r="B1414" s="1">
        <f>IFERROR(__xludf.DUMMYFUNCTION("""COMPUTED_VALUE"""),"ORG_2372")</f>
        <v/>
      </c>
      <c r="C1414" s="1">
        <f>IFERROR(__xludf.DUMMYFUNCTION("""COMPUTED_VALUE"""),TRUE)</f>
        <v/>
      </c>
      <c r="D1414" s="1">
        <f>IFERROR(__xludf.DUMMYFUNCTION("""COMPUTED_VALUE"""),"Teach Up")</f>
        <v/>
      </c>
      <c r="E1414" s="15">
        <f>IFERROR(__xludf.DUMMYFUNCTION("""COMPUTED_VALUE"""),"https://teachup.com/")</f>
        <v/>
      </c>
      <c r="F1414" s="1">
        <f>IFERROR(__xludf.DUMMYFUNCTION("""COMPUTED_VALUE"""),"Teach Up is a SaaS Adaptive Learning platform that integrates AI, making any training unique and personalized to each learner’s needs. Learning must be inclusive. With Teach Up, everybody succeeds.
In few words, after each interaction the training conte"&amp;"nt adapts in real time according to the learner’s needs, level of expertise, learning preferences and goals. 
With Teach Up, everyone can master any key concept, at his/her own pace. 
Teach Up has already transformed 300 organizations through Adaptive L"&amp;"earning including SNCF, La Poste, Axa, Ornikar &amp; Bonduelle. We are so proud of it!")</f>
        <v/>
      </c>
      <c r="G1414" s="1">
        <f>IFERROR(__xludf.DUMMYFUNCTION("""COMPUTED_VALUE"""),"EdTech France")</f>
        <v/>
      </c>
      <c r="H1414" s="1" t="n"/>
      <c r="I1414" s="1">
        <f>IFERROR(__xludf.DUMMYFUNCTION("""COMPUTED_VALUE"""),"margaux@teachup.com")</f>
        <v/>
      </c>
      <c r="J1414" s="1">
        <f>IFERROR(__xludf.DUMMYFUNCTION("""COMPUTED_VALUE"""),"+33 7 69 01 52 84")</f>
        <v/>
      </c>
      <c r="K1414" s="1">
        <f>IFERROR(__xludf.DUMMYFUNCTION("""COMPUTED_VALUE"""),"Lyon")</f>
        <v/>
      </c>
      <c r="L1414" s="1">
        <f>IFERROR(__xludf.DUMMYFUNCTION("""COMPUTED_VALUE"""),"France")</f>
        <v/>
      </c>
      <c r="M1414" s="1">
        <f>IFERROR(__xludf.DUMMYFUNCTION("""COMPUTED_VALUE"""),"France")</f>
        <v/>
      </c>
      <c r="N1414" s="1">
        <f>IFERROR(__xludf.DUMMYFUNCTION("""COMPUTED_VALUE"""),"11 to 50")</f>
        <v/>
      </c>
      <c r="O1414" s="1">
        <f>IFERROR(__xludf.DUMMYFUNCTION("""COMPUTED_VALUE"""),"Business to Government, Business to Schools")</f>
        <v/>
      </c>
      <c r="P1414" s="1">
        <f>IFERROR(__xludf.DUMMYFUNCTION("""COMPUTED_VALUE"""),"Higher Education, Corporate Training, Lifelong learning/Adult education")</f>
        <v/>
      </c>
      <c r="Q1414" s="1">
        <f>IFERROR(__xludf.DUMMYFUNCTION("""COMPUTED_VALUE"""),"Teacher interfacing, Student interfacing, System/Administrative")</f>
        <v/>
      </c>
      <c r="R1414" s="15">
        <f>IFERROR(__xludf.DUMMYFUNCTION("""COMPUTED_VALUE"""),"http://www.instagram.com/teachup_inside/")</f>
        <v/>
      </c>
      <c r="S1414" s="15">
        <f>IFERROR(__xludf.DUMMYFUNCTION("""COMPUTED_VALUE"""),"http://twitter.com/teachup_france?lang=fr")</f>
        <v/>
      </c>
      <c r="T1414" s="15">
        <f>IFERROR(__xludf.DUMMYFUNCTION("""COMPUTED_VALUE"""),"http://www.linkedin.com/company/teachup.com")</f>
        <v/>
      </c>
      <c r="U1414" s="1">
        <f>IFERROR(__xludf.DUMMYFUNCTION("""COMPUTED_VALUE"""),"Teach Up")</f>
        <v/>
      </c>
      <c r="V1414" s="1">
        <f>IFERROR(__xludf.DUMMYFUNCTION("""COMPUTED_VALUE"""),"Teach Up is the easiest way to create and deliver courses which are personalized to each learner in order to make them succeed, thanks to AI. Adaptive Learning is the alternative to a linear learning experience or Linear System. Linear systems refer to th"&amp;"e traditional, sequential e-learning that we all are familiar with. They deliver the same content, at the same time, in a pre-determined sequence, to each learner. Often boring and non-efficient. Why? Because if learners already know parts of a course, th"&amp;"ey still have to work through each and every step – wasting time and decreasing engagement. With Teach Up, we’ve created an innovative knowledge transfer technology based on an Adaptive Learning Model. A Learning Platform, for companies, for training orga"&amp;"nizations, for universities, based on Artificial Intelligence which enables real-time adaptation of a learning path to each learner’s needs. We believe this technology can significantly grow the digital learning market and change the way we all learn. Ano"&amp;"ther fundamental differentiating asset is that with Teach Up, everybody can also easily create micro and macro-Adaptive learning experiences, whether they are to be used on a smartphone, a tablet or a computer. Easily, and rapidly.
Teach Up could be buy a"&amp;"s : - Platform all-in-one (Authoring tool to create your content + Learning Management System functionalities to diffuse it)
or
- Extension : LXP if you already have a LMS")</f>
        <v/>
      </c>
      <c r="W1414" s="1" t="n"/>
      <c r="X1414" s="1" t="n"/>
      <c r="Y1414" s="15">
        <f>IFERROR(__xludf.DUMMYFUNCTION("""COMPUTED_VALUE"""),"https://drive.google.com/uc?export=view&amp;id=1A0ZBEoqgjhz4nipxx5RUsSNNnvHCysEa")</f>
        <v/>
      </c>
      <c r="Z1414" s="1">
        <f>IFERROR(__xludf.DUMMYFUNCTION("""COMPUTED_VALUE"""),"Unverified")</f>
        <v/>
      </c>
      <c r="AA1414" s="1" t="n"/>
      <c r="AB1414" s="1" t="n"/>
      <c r="AC1414" s="1" t="n"/>
      <c r="AD1414" s="1" t="n"/>
      <c r="AE1414" s="1" t="n"/>
    </row>
    <row r="1415" ht="42" customHeight="1">
      <c r="A1415" s="14">
        <f>IFERROR(__xludf.DUMMYFUNCTION("""COMPUTED_VALUE"""),45181)</f>
        <v/>
      </c>
      <c r="B1415" s="1">
        <f>IFERROR(__xludf.DUMMYFUNCTION("""COMPUTED_VALUE"""),"ORG_2382")</f>
        <v/>
      </c>
      <c r="C1415" s="1">
        <f>IFERROR(__xludf.DUMMYFUNCTION("""COMPUTED_VALUE"""),TRUE)</f>
        <v/>
      </c>
      <c r="D1415" s="1">
        <f>IFERROR(__xludf.DUMMYFUNCTION("""COMPUTED_VALUE"""),"tekman")</f>
        <v/>
      </c>
      <c r="E1415" s="15">
        <f>IFERROR(__xludf.DUMMYFUNCTION("""COMPUTED_VALUE"""),"https://www.tekmaneducation.com/")</f>
        <v/>
      </c>
      <c r="F1415" s="1">
        <f>IFERROR(__xludf.DUMMYFUNCTION("""COMPUTED_VALUE"""),"Specialists in the didactics of mathematics and languages. 
tekman Education has a transversal team of pedagogues, teachers, engineers, philologists, mathematicians, editors, proofreaders, communicators, designers, creatives, area delegates...
A great t"&amp;"eam at the service of pedagogical innovation understood as a driver of educational change with the main objective of responding to the specific needs of teachers and students today.")</f>
        <v/>
      </c>
      <c r="G1415" s="1">
        <f>IFERROR(__xludf.DUMMYFUNCTION("""COMPUTED_VALUE"""),"I'm not part of any EdTech association")</f>
        <v/>
      </c>
      <c r="H1415" s="1" t="n"/>
      <c r="I1415" s="1">
        <f>IFERROR(__xludf.DUMMYFUNCTION("""COMPUTED_VALUE"""),"info@tekmaneducation.com")</f>
        <v/>
      </c>
      <c r="J1415" s="1">
        <f>IFERROR(__xludf.DUMMYFUNCTION("""COMPUTED_VALUE"""),"+34 900 833 805")</f>
        <v/>
      </c>
      <c r="K1415" s="1">
        <f>IFERROR(__xludf.DUMMYFUNCTION("""COMPUTED_VALUE"""),"Barcelona")</f>
        <v/>
      </c>
      <c r="L1415" s="1">
        <f>IFERROR(__xludf.DUMMYFUNCTION("""COMPUTED_VALUE"""),"Spain")</f>
        <v/>
      </c>
      <c r="M1415" s="1">
        <f>IFERROR(__xludf.DUMMYFUNCTION("""COMPUTED_VALUE"""),"Andorra, Spain")</f>
        <v/>
      </c>
      <c r="N1415" s="1">
        <f>IFERROR(__xludf.DUMMYFUNCTION("""COMPUTED_VALUE"""),"100+")</f>
        <v/>
      </c>
      <c r="O1415" s="1">
        <f>IFERROR(__xludf.DUMMYFUNCTION("""COMPUTED_VALUE"""),"Business to Schools")</f>
        <v/>
      </c>
      <c r="P1415" s="1">
        <f>IFERROR(__xludf.DUMMYFUNCTION("""COMPUTED_VALUE"""),"Early childhood development (0-5 years), Primary Education, Secondary Education")</f>
        <v/>
      </c>
      <c r="Q1415" s="1">
        <f>IFERROR(__xludf.DUMMYFUNCTION("""COMPUTED_VALUE"""),"Teacher interfacing")</f>
        <v/>
      </c>
      <c r="R1415" s="1">
        <f>IFERROR(__xludf.DUMMYFUNCTION("""COMPUTED_VALUE"""),"@tekmaneducation")</f>
        <v/>
      </c>
      <c r="S1415" s="1">
        <f>IFERROR(__xludf.DUMMYFUNCTION("""COMPUTED_VALUE"""),"@tekmaneducation")</f>
        <v/>
      </c>
      <c r="T1415" s="15">
        <f>IFERROR(__xludf.DUMMYFUNCTION("""COMPUTED_VALUE"""),"https://www.linkedin.com/company/tekman-education")</f>
        <v/>
      </c>
      <c r="U1415" s="1">
        <f>IFERROR(__xludf.DUMMYFUNCTION("""COMPUTED_VALUE"""),"EMAT - ONMAT - INSPIRA - LUDILETRAS - SUPERLETRAS - AJEDREZ EN EL AULA")</f>
        <v/>
      </c>
      <c r="V1415" s="1">
        <f>IFERROR(__xludf.DUMMYFUNCTION("""COMPUTED_VALUE"""),"Specialists in the didactics of mathematics and languages. 
tekman Education has a transversal team of pedagogues, teachers, engineers, philologists, mathematicians, editors, proofreaders, communicators, designers, creatives, area delegates...
A great t"&amp;"eam at the service of pedagogical innovation understood as a driver of educational change with the main objective of responding to the specific needs of teachers and students today.")</f>
        <v/>
      </c>
      <c r="W1415" s="1" t="n"/>
      <c r="X1415" s="1" t="n"/>
      <c r="Y1415" s="15">
        <f>IFERROR(__xludf.DUMMYFUNCTION("""COMPUTED_VALUE"""),"https://drive.google.com/uc?export=view&amp;id=1sT-_S4FRxtWXjYZD5pSJ8-jyK2fLb8O7")</f>
        <v/>
      </c>
      <c r="Z1415" s="1">
        <f>IFERROR(__xludf.DUMMYFUNCTION("""COMPUTED_VALUE"""),"Unverified")</f>
        <v/>
      </c>
      <c r="AA1415" s="1" t="n"/>
      <c r="AB1415" s="1" t="n"/>
      <c r="AC1415" s="1" t="n"/>
      <c r="AD1415" s="1" t="n"/>
      <c r="AE1415" s="1" t="n"/>
    </row>
    <row r="1416" ht="42" customHeight="1">
      <c r="A1416" s="14">
        <f>IFERROR(__xludf.DUMMYFUNCTION("""COMPUTED_VALUE"""),45181)</f>
        <v/>
      </c>
      <c r="B1416" s="1">
        <f>IFERROR(__xludf.DUMMYFUNCTION("""COMPUTED_VALUE"""),"ORG_1025")</f>
        <v/>
      </c>
      <c r="C1416" s="1">
        <f>IFERROR(__xludf.DUMMYFUNCTION("""COMPUTED_VALUE"""),TRUE)</f>
        <v/>
      </c>
      <c r="D1416" s="1">
        <f>IFERROR(__xludf.DUMMYFUNCTION("""COMPUTED_VALUE"""),"Academic Routeplanner")</f>
        <v/>
      </c>
      <c r="E1416" s="15">
        <f>IFERROR(__xludf.DUMMYFUNCTION("""COMPUTED_VALUE"""),"https://academicrouteplanner.com/")</f>
        <v/>
      </c>
      <c r="F1416" s="1">
        <f>IFERROR(__xludf.DUMMYFUNCTION("""COMPUTED_VALUE"""),"Student Flow Services for Higher Education.
We give you creative solutions on the basis of surprising analysis.
You will profit from our deep knowledge on what is actually happening when teaching takes place. We look at your students, your teachers, you"&amp;"r organisation, the regulations, the performance rates, and everything else that is working – and contra-working – in your educational institute.
We will do whatever it takes to make your educational institute able for the best possible performance.")</f>
        <v/>
      </c>
      <c r="G1416" s="1">
        <f>IFERROR(__xludf.DUMMYFUNCTION("""COMPUTED_VALUE"""),"Dutch EdTech")</f>
        <v/>
      </c>
      <c r="H1416" s="1">
        <f>IFERROR(__xludf.DUMMYFUNCTION("""COMPUTED_VALUE"""),"English, Dutch")</f>
        <v/>
      </c>
      <c r="I1416" s="1">
        <f>IFERROR(__xludf.DUMMYFUNCTION("""COMPUTED_VALUE"""),"info@academicrouteplanner.nl")</f>
        <v/>
      </c>
      <c r="J1416" s="1" t="n"/>
      <c r="K1416" s="1">
        <f>IFERROR(__xludf.DUMMYFUNCTION("""COMPUTED_VALUE"""),"Delft")</f>
        <v/>
      </c>
      <c r="L1416" s="1">
        <f>IFERROR(__xludf.DUMMYFUNCTION("""COMPUTED_VALUE"""),"The Netherlands")</f>
        <v/>
      </c>
      <c r="M1416" s="1">
        <f>IFERROR(__xludf.DUMMYFUNCTION("""COMPUTED_VALUE"""),"Netherlands")</f>
        <v/>
      </c>
      <c r="N1416" s="1">
        <f>IFERROR(__xludf.DUMMYFUNCTION("""COMPUTED_VALUE"""),"0 to 2")</f>
        <v/>
      </c>
      <c r="O1416" s="1">
        <f>IFERROR(__xludf.DUMMYFUNCTION("""COMPUTED_VALUE"""),"Business to Business")</f>
        <v/>
      </c>
      <c r="P1416" s="1">
        <f>IFERROR(__xludf.DUMMYFUNCTION("""COMPUTED_VALUE"""),"Vocational Education and Training (VET), Higher Education")</f>
        <v/>
      </c>
      <c r="Q1416" s="1">
        <f>IFERROR(__xludf.DUMMYFUNCTION("""COMPUTED_VALUE"""),"Teacher interfacing, System/Administrative")</f>
        <v/>
      </c>
      <c r="R1416" s="1" t="n"/>
      <c r="S1416" s="1" t="n"/>
      <c r="T1416" s="1" t="n"/>
      <c r="U1416" s="1">
        <f>IFERROR(__xludf.DUMMYFUNCTION("""COMPUTED_VALUE"""),"Academic Routeplanner")</f>
        <v/>
      </c>
      <c r="V1416" s="1">
        <f>IFERROR(__xludf.DUMMYFUNCTION("""COMPUTED_VALUE"""),"Enable Your Students To Plan Their Academic Route!
The Academic Routeplanner® enables your Students to gain Insights in their Personal Academic Route by Playing with their Options and Professional Choices offered by your Schools. Use of the Solution Save"&amp;"s 30-50% of Time for Student Counsellors in Planning Counselling Consultations and Unlock Valuable New Data and Forecasts for Management and Education Logistics.")</f>
        <v/>
      </c>
      <c r="W1416" s="1" t="n"/>
      <c r="X1416" s="1" t="n"/>
      <c r="Y1416" s="15">
        <f>IFERROR(__xludf.DUMMYFUNCTION("""COMPUTED_VALUE"""),"https://drive.google.com/uc?export=view&amp;id=1ePDqr8rU1cldb5f6A06ge_uWfctBBXMF")</f>
        <v/>
      </c>
      <c r="Z1416" s="1">
        <f>IFERROR(__xludf.DUMMYFUNCTION("""COMPUTED_VALUE"""),"Unverified")</f>
        <v/>
      </c>
      <c r="AA1416" s="1" t="n"/>
      <c r="AB1416" s="1" t="n"/>
      <c r="AC1416" s="1" t="n"/>
      <c r="AD1416" s="1" t="n"/>
      <c r="AE1416" s="1" t="n"/>
    </row>
    <row r="1417" ht="42" customHeight="1">
      <c r="A1417" s="14">
        <f>IFERROR(__xludf.DUMMYFUNCTION("""COMPUTED_VALUE"""),45181)</f>
        <v/>
      </c>
      <c r="B1417" s="1">
        <f>IFERROR(__xludf.DUMMYFUNCTION("""COMPUTED_VALUE"""),"ORG_1117")</f>
        <v/>
      </c>
      <c r="C1417" s="1">
        <f>IFERROR(__xludf.DUMMYFUNCTION("""COMPUTED_VALUE"""),TRUE)</f>
        <v/>
      </c>
      <c r="D1417" s="1">
        <f>IFERROR(__xludf.DUMMYFUNCTION("""COMPUTED_VALUE"""),"Atlantic Devices")</f>
        <v/>
      </c>
      <c r="E1417" s="15">
        <f>IFERROR(__xludf.DUMMYFUNCTION("""COMPUTED_VALUE"""),"https://www.atlanticdevices.com/")</f>
        <v/>
      </c>
      <c r="F1417" s="1">
        <f>IFERROR(__xludf.DUMMYFUNCTION("""COMPUTED_VALUE"""),"Desde su creación en el año 1992, ATLANTIC DEVICES ha sido durante casi 30 años,
punto de referencia para las tecnologías de la imagen digital en el mercado español
e internacional.
Nuestra actividad en la división audiovisual para aula interactiva y ent"&amp;"orno corporativo
ha conseguido gran relevancia, tomando importancia al tiempo que las metodologías
del aprendizaje colaborativo se implantaban en el sector educativo y el del teletrabajo
en el entorno empresarial. 
Hemos sido pioneros con las pizarras po"&amp;"rtátiles de Mimio, y con los sistemas multitáctiles como Newline o e-Blackboard.
En 2014 iniciamos una nueva línea de cartelería digital en constante evolución,
desde equipos con displays LCD interactivos hasta las gigantescas pantallas LED
para exterior"&amp;"es.
Mantenemos activos canales de exportación para todas las zonas EMEA Y LATAM,
con representación estable para dar respuesta a un mercado en crecimiento.")</f>
        <v/>
      </c>
      <c r="G1417" s="1">
        <f>IFERROR(__xludf.DUMMYFUNCTION("""COMPUTED_VALUE"""),"EduTech Cluster Spain")</f>
        <v/>
      </c>
      <c r="H1417" s="1" t="n"/>
      <c r="I1417" s="1">
        <f>IFERROR(__xludf.DUMMYFUNCTION("""COMPUTED_VALUE"""),"info@atlanticdevices.com")</f>
        <v/>
      </c>
      <c r="J1417" s="1">
        <f>IFERROR(__xludf.DUMMYFUNCTION("""COMPUTED_VALUE"""),"+34938040702")</f>
        <v/>
      </c>
      <c r="K1417" s="1">
        <f>IFERROR(__xludf.DUMMYFUNCTION("""COMPUTED_VALUE"""),"Òdena, Barcelona")</f>
        <v/>
      </c>
      <c r="L1417" s="1">
        <f>IFERROR(__xludf.DUMMYFUNCTION("""COMPUTED_VALUE"""),"Spain")</f>
        <v/>
      </c>
      <c r="M1417" s="1">
        <f>IFERROR(__xludf.DUMMYFUNCTION("""COMPUTED_VALUE"""),"Belgium, France, Hungary, Italy, Latvia, Romania, Spain, Switzerland")</f>
        <v/>
      </c>
      <c r="N1417" s="1">
        <f>IFERROR(__xludf.DUMMYFUNCTION("""COMPUTED_VALUE"""),"11 to 50")</f>
        <v/>
      </c>
      <c r="O1417" s="1">
        <f>IFERROR(__xludf.DUMMYFUNCTION("""COMPUTED_VALUE"""),"Business to Business")</f>
        <v/>
      </c>
      <c r="P1417" s="1">
        <f>IFERROR(__xludf.DUMMYFUNCTION("""COMPUTED_VALUE"""),"Early childhood development (0-5 years), Primary Education, Secondary Education, Higher Education, Corporate Training, Lifelong learning/Adult education")</f>
        <v/>
      </c>
      <c r="Q1417" s="1">
        <f>IFERROR(__xludf.DUMMYFUNCTION("""COMPUTED_VALUE"""),"System/Administrative, Student interfacing, Teacher interfacing")</f>
        <v/>
      </c>
      <c r="R1417" s="15">
        <f>IFERROR(__xludf.DUMMYFUNCTION("""COMPUTED_VALUE"""),"https://www.instagram.com/atlanticdevices/")</f>
        <v/>
      </c>
      <c r="S1417" s="15">
        <f>IFERROR(__xludf.DUMMYFUNCTION("""COMPUTED_VALUE"""),"https://twitter.com/AtlanticDevices")</f>
        <v/>
      </c>
      <c r="T1417" s="15">
        <f>IFERROR(__xludf.DUMMYFUNCTION("""COMPUTED_VALUE"""),"https://www.linkedin.com/company/1026890/admin/")</f>
        <v/>
      </c>
      <c r="U1417" s="1">
        <f>IFERROR(__xludf.DUMMYFUNCTION("""COMPUTED_VALUE"""),"E-BLACKBOARD 86"" 4 M DC860NH G4 ANDROID 8.0")</f>
        <v/>
      </c>
      <c r="V1417" s="1">
        <f>IFERROR(__xludf.DUMMYFUNCTION("""COMPUTED_VALUE"""),"4th Generation of e-Blackboard; an integrated combination of black glass slate and capacitive multi-touch HD screen, all in a single compact panel. It allows, then, both writing with liquid chalk and the use of digital technologies during the class or pre"&amp;"sentation.
Unlike other interactive displays, the e-Blackboard's capacitive panel is made of photoelectric glass, which is highly resistant, anti-scratching, waterproof and harmless to vision. In addition, this device conducts light efficiently for perfe"&amp;"ct legibility from any angle thanks to its Optical Bonding technology.
It can also include an integrated OPS, which allows you to work with the capacitive multi-touch unit without the need to connect cables or external computers.
It should be noted that"&amp;" the interactive display can be frozen and turned off at any time through a gesture combination, so that a fully practicable smooth black board can also be used for writing with chalk. Dustless chalk, liquid chalk or marker strokes can coexist with the wo"&amp;"rk on the display and be easily erased with a perfectly clean finish.
With the e-Blackboard you can teach in the traditional way and interactively in the same workspace.
Features:
- Screen size: 86""
- Aspect ratio: 16:9
- Brightness: 450cd/m2
- Panel r"&amp;"esolution: 3840 x 2160
- Contrast ratio: 4000:1
- Response time: 8ms
- Overall dimensions: 4000 x 1250 x 70
- Touch points: 20 points
- Panels: 1 central LCD
- Multiple input and output ports
- Android integrated as standard
- Integrated speakers.")</f>
        <v/>
      </c>
      <c r="W1417" s="1">
        <f>IFERROR(__xludf.DUMMYFUNCTION("""COMPUTED_VALUE"""),"UNICABBY 32H TABLET UNIVERSAL / LAPTOP / CHROMEBOOK TROLLEY")</f>
        <v/>
      </c>
      <c r="X1417" s="1">
        <f>IFERROR(__xludf.DUMMYFUNCTION("""COMPUTED_VALUE"""),"Robust and safe cabinet for loading and storing 32 units. 
Allows accommodation of all Tablets including iPad, Android, Kindle Fire and others.
- Stores and charges 32 Chromebooks, tablets or laptops up to 14"", all with a small footprint.
- Specially de"&amp;"signed shelf with integrated cable management.
- Unique molded cable clips keep cables secured at 5 points.
- All the innovative features of LapCabby solutions with the added flexibility of connecting a universal range of devices.
- Portholes that feed ca"&amp;"bles from the rear power compartment to the front of the unit, and pockets to store AC adapters.
- Tested to the highest health and safety standards and delivered fully assembled with a lifetime warranty.
- The maximum storage area per device in UniCabby "&amp;"is 250mm deep.")</f>
        <v/>
      </c>
      <c r="Y1417" s="15">
        <f>IFERROR(__xludf.DUMMYFUNCTION("""COMPUTED_VALUE"""),"https://drive.google.com/uc?export=view&amp;id=1R8wB57vDL7CWaFCFpRI5PbCp69Fn4sWk")</f>
        <v/>
      </c>
      <c r="Z1417" s="1">
        <f>IFERROR(__xludf.DUMMYFUNCTION("""COMPUTED_VALUE"""),"Unverified")</f>
        <v/>
      </c>
      <c r="AA1417" s="1" t="n"/>
      <c r="AB1417" s="1" t="n"/>
      <c r="AC1417" s="1" t="n"/>
      <c r="AD1417" s="1" t="n"/>
      <c r="AE1417" s="1" t="n"/>
    </row>
    <row r="1418" ht="42" customHeight="1">
      <c r="A1418" s="14">
        <f>IFERROR(__xludf.DUMMYFUNCTION("""COMPUTED_VALUE"""),45181)</f>
        <v/>
      </c>
      <c r="B1418" s="1">
        <f>IFERROR(__xludf.DUMMYFUNCTION("""COMPUTED_VALUE"""),"ORG_1134")</f>
        <v/>
      </c>
      <c r="C1418" s="1">
        <f>IFERROR(__xludf.DUMMYFUNCTION("""COMPUTED_VALUE"""),TRUE)</f>
        <v/>
      </c>
      <c r="D1418" s="1">
        <f>IFERROR(__xludf.DUMMYFUNCTION("""COMPUTED_VALUE"""),"Babbu")</f>
        <v/>
      </c>
      <c r="E1418" s="15">
        <f>IFERROR(__xludf.DUMMYFUNCTION("""COMPUTED_VALUE"""),"www.babbu.co.uk")</f>
        <v/>
      </c>
      <c r="F1418" s="1">
        <f>IFERROR(__xludf.DUMMYFUNCTION("""COMPUTED_VALUE"""),"An award-winning online learning platform, powered by AI, designed to empower parents and nurture children in the crucial early years.")</f>
        <v/>
      </c>
      <c r="G1418" s="1">
        <f>IFERROR(__xludf.DUMMYFUNCTION("""COMPUTED_VALUE"""),"I'm not part of any EdTech association")</f>
        <v/>
      </c>
      <c r="H1418" s="1" t="n"/>
      <c r="I1418" s="1">
        <f>IFERROR(__xludf.DUMMYFUNCTION("""COMPUTED_VALUE"""),"charlie@babbu.co.uk")</f>
        <v/>
      </c>
      <c r="J1418" s="1">
        <f>IFERROR(__xludf.DUMMYFUNCTION("""COMPUTED_VALUE"""),"+447553723990")</f>
        <v/>
      </c>
      <c r="K1418" s="1">
        <f>IFERROR(__xludf.DUMMYFUNCTION("""COMPUTED_VALUE"""),"London")</f>
        <v/>
      </c>
      <c r="L1418" s="1">
        <f>IFERROR(__xludf.DUMMYFUNCTION("""COMPUTED_VALUE"""),"United Kingdom")</f>
        <v/>
      </c>
      <c r="M1418" s="1">
        <f>IFERROR(__xludf.DUMMYFUNCTION("""COMPUTED_VALUE"""),"United Kingdom")</f>
        <v/>
      </c>
      <c r="N1418" s="1">
        <f>IFERROR(__xludf.DUMMYFUNCTION("""COMPUTED_VALUE"""),"3 to 5")</f>
        <v/>
      </c>
      <c r="O1418" s="1">
        <f>IFERROR(__xludf.DUMMYFUNCTION("""COMPUTED_VALUE"""),"Business to Business")</f>
        <v/>
      </c>
      <c r="P1418" s="1">
        <f>IFERROR(__xludf.DUMMYFUNCTION("""COMPUTED_VALUE"""),"Early childhood development (0-5 years)")</f>
        <v/>
      </c>
      <c r="Q1418" s="1">
        <f>IFERROR(__xludf.DUMMYFUNCTION("""COMPUTED_VALUE"""),"System/Administrative")</f>
        <v/>
      </c>
      <c r="R1418" s="1" t="n"/>
      <c r="S1418" s="1" t="n"/>
      <c r="T1418" s="1" t="n"/>
      <c r="U1418" s="1">
        <f>IFERROR(__xludf.DUMMYFUNCTION("""COMPUTED_VALUE"""),"Babbu")</f>
        <v/>
      </c>
      <c r="V1418" s="1" t="n"/>
      <c r="W1418" s="1" t="n"/>
      <c r="X1418" s="1" t="n"/>
      <c r="Y1418" s="15">
        <f>IFERROR(__xludf.DUMMYFUNCTION("""COMPUTED_VALUE"""),"https://drive.google.com/uc?export=view&amp;id=1_nlNi-HeOsNsnpOokZUdfwQpqxdrzB0i")</f>
        <v/>
      </c>
      <c r="Z1418" s="1">
        <f>IFERROR(__xludf.DUMMYFUNCTION("""COMPUTED_VALUE"""),"Unverified")</f>
        <v/>
      </c>
      <c r="AA1418" s="1" t="n"/>
      <c r="AB1418" s="1" t="n"/>
      <c r="AC1418" s="1" t="n"/>
      <c r="AD1418" s="1" t="n"/>
      <c r="AE1418" s="1" t="n"/>
    </row>
    <row r="1419" ht="42" customHeight="1">
      <c r="A1419" s="14">
        <f>IFERROR(__xludf.DUMMYFUNCTION("""COMPUTED_VALUE"""),45181)</f>
        <v/>
      </c>
      <c r="B1419" s="1">
        <f>IFERROR(__xludf.DUMMYFUNCTION("""COMPUTED_VALUE"""),"ORG_1202")</f>
        <v/>
      </c>
      <c r="C1419" s="1">
        <f>IFERROR(__xludf.DUMMYFUNCTION("""COMPUTED_VALUE"""),TRUE)</f>
        <v/>
      </c>
      <c r="D1419" s="1">
        <f>IFERROR(__xludf.DUMMYFUNCTION("""COMPUTED_VALUE"""),"bSmart Labs")</f>
        <v/>
      </c>
      <c r="E1419" s="15">
        <f>IFERROR(__xludf.DUMMYFUNCTION("""COMPUTED_VALUE"""),"www.bsmartlabs.com")</f>
        <v/>
      </c>
      <c r="F1419" s="1">
        <f>IFERROR(__xludf.DUMMYFUNCTION("""COMPUTED_VALUE"""),"We have created the first educational ecosystem for teaching and learning in Italy, later white-labelled in many different countries. Designed to provide schools, teachers, students and families with educational services and content, bSmart is a platform "&amp;"rich in resources and tools to make learning and teaching in the digital world an effective, simple and innovative experience.
LIBRARY: In a single library, thousands of resources to be personalised and used directly on both bSmart and third party LMS and"&amp;" available on any device, online and offline.
TOOLS: Tools to create content: notes, vocal notes, maps, tests, lessons and presentations.
VIRTUAL CLASSROOM: With our collaboration environments and tools teachers manage learning events and calendars, share"&amp;" content within the class and send personal messages.
ONLINE TUTORING AND COACHING: Expert tutors available for personal and focused support via videoconference and chat on a handy online platform.")</f>
        <v/>
      </c>
      <c r="G1419" s="1">
        <f>IFERROR(__xludf.DUMMYFUNCTION("""COMPUTED_VALUE"""),"I'm not part of any EdTech association, EdTech Italia")</f>
        <v/>
      </c>
      <c r="H1419" s="1" t="n"/>
      <c r="I1419" s="1">
        <f>IFERROR(__xludf.DUMMYFUNCTION("""COMPUTED_VALUE"""),"info@bsmart.it")</f>
        <v/>
      </c>
      <c r="J1419" s="1" t="n"/>
      <c r="K1419" s="1">
        <f>IFERROR(__xludf.DUMMYFUNCTION("""COMPUTED_VALUE"""),"VAREDO")</f>
        <v/>
      </c>
      <c r="L1419" s="1">
        <f>IFERROR(__xludf.DUMMYFUNCTION("""COMPUTED_VALUE"""),"Italy")</f>
        <v/>
      </c>
      <c r="M141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419" s="1">
        <f>IFERROR(__xludf.DUMMYFUNCTION("""COMPUTED_VALUE"""),"11 to 50")</f>
        <v/>
      </c>
      <c r="O1419" s="1">
        <f>IFERROR(__xludf.DUMMYFUNCTION("""COMPUTED_VALUE"""),"Business to Business")</f>
        <v/>
      </c>
      <c r="P1419" s="1">
        <f>IFERROR(__xludf.DUMMYFUNCTION("""COMPUTED_VALUE"""),"Primary Education, Secondary Education, Higher Education")</f>
        <v/>
      </c>
      <c r="Q1419" s="1">
        <f>IFERROR(__xludf.DUMMYFUNCTION("""COMPUTED_VALUE"""),"System/Administrative, Student interfacing, Teacher interfacing")</f>
        <v/>
      </c>
      <c r="R1419" s="1" t="n"/>
      <c r="S1419" s="1" t="n"/>
      <c r="T1419" s="1" t="n"/>
      <c r="U1419" s="1" t="n"/>
      <c r="V1419" s="1" t="n"/>
      <c r="W1419" s="1" t="n"/>
      <c r="X1419" s="1" t="n"/>
      <c r="Y1419" s="15">
        <f>IFERROR(__xludf.DUMMYFUNCTION("""COMPUTED_VALUE"""),"https://drive.google.com/uc?export=view&amp;id=1AnYa065fnserEze0s9ml1AUPJmi2phTQ")</f>
        <v/>
      </c>
      <c r="Z1419" s="1">
        <f>IFERROR(__xludf.DUMMYFUNCTION("""COMPUTED_VALUE"""),"Unverified")</f>
        <v/>
      </c>
      <c r="AA1419" s="1" t="n"/>
      <c r="AB1419" s="1" t="n"/>
      <c r="AC1419" s="1" t="n"/>
      <c r="AD1419" s="1" t="n"/>
      <c r="AE1419" s="1" t="n"/>
    </row>
    <row r="1420" ht="42" customHeight="1">
      <c r="A1420" s="14">
        <f>IFERROR(__xludf.DUMMYFUNCTION("""COMPUTED_VALUE"""),45181)</f>
        <v/>
      </c>
      <c r="B1420" s="1">
        <f>IFERROR(__xludf.DUMMYFUNCTION("""COMPUTED_VALUE"""),"ORG_1228")</f>
        <v/>
      </c>
      <c r="C1420" s="1">
        <f>IFERROR(__xludf.DUMMYFUNCTION("""COMPUTED_VALUE"""),TRUE)</f>
        <v/>
      </c>
      <c r="D1420" s="1">
        <f>IFERROR(__xludf.DUMMYFUNCTION("""COMPUTED_VALUE"""),"Chalkboard Education")</f>
        <v/>
      </c>
      <c r="E1420" s="15">
        <f>IFERROR(__xludf.DUMMYFUNCTION("""COMPUTED_VALUE"""),"https://www.chalkboard.education/")</f>
        <v/>
      </c>
      <c r="F1420" s="1">
        <f>IFERROR(__xludf.DUMMYFUNCTION("""COMPUTED_VALUE"""),"Remote learning management system tailored for field staff and isolated learners. Leverage SMS and offline technologies to roll out training programs and measure your impact seamlessly.")</f>
        <v/>
      </c>
      <c r="G1420" s="1">
        <f>IFERROR(__xludf.DUMMYFUNCTION("""COMPUTED_VALUE"""),"EdTech France")</f>
        <v/>
      </c>
      <c r="H1420" s="1" t="n"/>
      <c r="I1420" s="1">
        <f>IFERROR(__xludf.DUMMYFUNCTION("""COMPUTED_VALUE"""),"hello@chalkboard.education")</f>
        <v/>
      </c>
      <c r="J1420" s="1" t="n"/>
      <c r="K1420" s="1">
        <f>IFERROR(__xludf.DUMMYFUNCTION("""COMPUTED_VALUE"""),"PARIS")</f>
        <v/>
      </c>
      <c r="L1420" s="1">
        <f>IFERROR(__xludf.DUMMYFUNCTION("""COMPUTED_VALUE"""),"France")</f>
        <v/>
      </c>
      <c r="M1420" s="1">
        <f>IFERROR(__xludf.DUMMYFUNCTION("""COMPUTED_VALUE"""),"France, Switzerland, United Kingdom")</f>
        <v/>
      </c>
      <c r="N1420" s="1">
        <f>IFERROR(__xludf.DUMMYFUNCTION("""COMPUTED_VALUE"""),"11 to 50")</f>
        <v/>
      </c>
      <c r="O1420" s="1">
        <f>IFERROR(__xludf.DUMMYFUNCTION("""COMPUTED_VALUE"""),"Business to Business")</f>
        <v/>
      </c>
      <c r="P1420" s="1">
        <f>IFERROR(__xludf.DUMMYFUNCTION("""COMPUTED_VALUE"""),"Higher Education, Corporate Training, Lifelong learning/Adult education")</f>
        <v/>
      </c>
      <c r="Q1420" s="1">
        <f>IFERROR(__xludf.DUMMYFUNCTION("""COMPUTED_VALUE"""),"System/Administrative")</f>
        <v/>
      </c>
      <c r="R1420" s="1" t="n"/>
      <c r="S1420" s="15">
        <f>IFERROR(__xludf.DUMMYFUNCTION("""COMPUTED_VALUE"""),"https://twitter.com/TeamChalkboard")</f>
        <v/>
      </c>
      <c r="T1420" s="15">
        <f>IFERROR(__xludf.DUMMYFUNCTION("""COMPUTED_VALUE"""),"https://www.linkedin.com/company/chalkboard-education/")</f>
        <v/>
      </c>
      <c r="U1420" s="1">
        <f>IFERROR(__xludf.DUMMYFUNCTION("""COMPUTED_VALUE"""),"Chalkboard Education Dashboard")</f>
        <v/>
      </c>
      <c r="V1420" s="1">
        <f>IFERROR(__xludf.DUMMYFUNCTION("""COMPUTED_VALUE"""),"Learning Management System (LMS) to create rich content with ease and make it available to all your learners anywhere in the World, without the Internet. Track and measure progress KPIs automatically and report on your performance in a few clicks.")</f>
        <v/>
      </c>
      <c r="W1420" s="1">
        <f>IFERROR(__xludf.DUMMYFUNCTION("""COMPUTED_VALUE"""),"Chalkboard Education Universal App")</f>
        <v/>
      </c>
      <c r="X1420" s="1">
        <f>IFERROR(__xludf.DUMMYFUNCTION("""COMPUTED_VALUE"""),"Our unique mobile and web application make your training materials available to all learners on an easy-to-use, lightweight, self-installing app that works on any device and without the Internet.")</f>
        <v/>
      </c>
      <c r="Y1420" s="15">
        <f>IFERROR(__xludf.DUMMYFUNCTION("""COMPUTED_VALUE"""),"https://drive.google.com/uc?export=view&amp;id=14q5GQkHObB8spjFVbRHkcLHvSUEW5PjZ")</f>
        <v/>
      </c>
      <c r="Z1420" s="1">
        <f>IFERROR(__xludf.DUMMYFUNCTION("""COMPUTED_VALUE"""),"Unverified")</f>
        <v/>
      </c>
      <c r="AA1420" s="1" t="n"/>
      <c r="AB1420" s="1" t="n"/>
      <c r="AC1420" s="1" t="n"/>
      <c r="AD1420" s="1" t="n"/>
      <c r="AE1420" s="1" t="n"/>
    </row>
    <row r="1421" ht="42" customHeight="1">
      <c r="A1421" s="14">
        <f>IFERROR(__xludf.DUMMYFUNCTION("""COMPUTED_VALUE"""),45181)</f>
        <v/>
      </c>
      <c r="B1421" s="1">
        <f>IFERROR(__xludf.DUMMYFUNCTION("""COMPUTED_VALUE"""),"ORG_1255")</f>
        <v/>
      </c>
      <c r="C1421" s="1">
        <f>IFERROR(__xludf.DUMMYFUNCTION("""COMPUTED_VALUE"""),TRUE)</f>
        <v/>
      </c>
      <c r="D1421" s="1">
        <f>IFERROR(__xludf.DUMMYFUNCTION("""COMPUTED_VALUE"""),"Classtime")</f>
        <v/>
      </c>
      <c r="E1421" s="15">
        <f>IFERROR(__xludf.DUMMYFUNCTION("""COMPUTED_VALUE"""),"www.classtime.com")</f>
        <v/>
      </c>
      <c r="F1421" s="1">
        <f>IFERROR(__xludf.DUMMYFUNCTION("""COMPUTED_VALUE"""),"Classtime is a web-based platform for formative &amp; summative assessments and collaborative challenges. The interaction between teacher and student is increased, transparency of learning progress is clearer, correction work for teachers is reduced.")</f>
        <v/>
      </c>
      <c r="G1421" s="1">
        <f>IFERROR(__xludf.DUMMYFUNCTION("""COMPUTED_VALUE"""),"Swiss EdTech Collider")</f>
        <v/>
      </c>
      <c r="H1421" s="1" t="n"/>
      <c r="I1421" s="1">
        <f>IFERROR(__xludf.DUMMYFUNCTION("""COMPUTED_VALUE"""),"jonas@classtime.com")</f>
        <v/>
      </c>
      <c r="J1421" s="1">
        <f>IFERROR(__xludf.DUMMYFUNCTION("""COMPUTED_VALUE"""),"0041 79 729 17 25")</f>
        <v/>
      </c>
      <c r="K1421" s="1">
        <f>IFERROR(__xludf.DUMMYFUNCTION("""COMPUTED_VALUE"""),"Wiesenstrasse 10 A")</f>
        <v/>
      </c>
      <c r="L1421" s="1">
        <f>IFERROR(__xludf.DUMMYFUNCTION("""COMPUTED_VALUE"""),"Switzerland")</f>
        <v/>
      </c>
      <c r="M1421" s="1">
        <f>IFERROR(__xludf.DUMMYFUNCTION("""COMPUTED_VALUE"""),"Croatia, Estonia, France, Germany, Netherlands, Spain, Switzerland, Ukraine")</f>
        <v/>
      </c>
      <c r="N1421" s="1">
        <f>IFERROR(__xludf.DUMMYFUNCTION("""COMPUTED_VALUE"""),"11 to 50")</f>
        <v/>
      </c>
      <c r="O1421" s="1">
        <f>IFERROR(__xludf.DUMMYFUNCTION("""COMPUTED_VALUE"""),"Business to Business")</f>
        <v/>
      </c>
      <c r="P1421" s="1">
        <f>IFERROR(__xludf.DUMMYFUNCTION("""COMPUTED_VALUE"""),"Primary Education, Secondary Education, Higher Education")</f>
        <v/>
      </c>
      <c r="Q1421" s="1">
        <f>IFERROR(__xludf.DUMMYFUNCTION("""COMPUTED_VALUE"""),"Student interfacing, Teacher interfacing")</f>
        <v/>
      </c>
      <c r="R1421" s="15">
        <f>IFERROR(__xludf.DUMMYFUNCTION("""COMPUTED_VALUE"""),"https://www.instagram.com/classtimecom/")</f>
        <v/>
      </c>
      <c r="S1421" s="15">
        <f>IFERROR(__xludf.DUMMYFUNCTION("""COMPUTED_VALUE"""),"https://twitter.com/classtimecom")</f>
        <v/>
      </c>
      <c r="T1421" s="15">
        <f>IFERROR(__xludf.DUMMYFUNCTION("""COMPUTED_VALUE"""),"https://www.linkedin.com/company/classtime/mycompany/verification/?viewAsMember=true")</f>
        <v/>
      </c>
      <c r="U1421" s="1">
        <f>IFERROR(__xludf.DUMMYFUNCTION("""COMPUTED_VALUE"""),"Classtime")</f>
        <v/>
      </c>
      <c r="V1421" s="1">
        <f>IFERROR(__xludf.DUMMYFUNCTION("""COMPUTED_VALUE"""),"Classtime is a web-based platform for formative &amp; summative assessments and collaborative challenges. The interaction between teacher and student is increased, transparency of learning progress is clearer, correction work for teachers is reduced.")</f>
        <v/>
      </c>
      <c r="W1421" s="1" t="n"/>
      <c r="X1421" s="1" t="n"/>
      <c r="Y1421" s="15">
        <f>IFERROR(__xludf.DUMMYFUNCTION("""COMPUTED_VALUE"""),"https://drive.google.com/uc?export=view&amp;id=1nR39oqfyoWty5RxWbkqMqjp3B9m3NBkc")</f>
        <v/>
      </c>
      <c r="Z1421" s="1">
        <f>IFERROR(__xludf.DUMMYFUNCTION("""COMPUTED_VALUE"""),"Unverified")</f>
        <v/>
      </c>
      <c r="AA1421" s="1" t="n"/>
      <c r="AB1421" s="1" t="n"/>
      <c r="AC1421" s="1" t="n"/>
      <c r="AD1421" s="1" t="n"/>
      <c r="AE1421" s="1" t="n"/>
    </row>
    <row r="1422" ht="42" customHeight="1">
      <c r="A1422" s="14">
        <f>IFERROR(__xludf.DUMMYFUNCTION("""COMPUTED_VALUE"""),45181)</f>
        <v/>
      </c>
      <c r="B1422" s="1">
        <f>IFERROR(__xludf.DUMMYFUNCTION("""COMPUTED_VALUE"""),"ORG_1267")</f>
        <v/>
      </c>
      <c r="C1422" s="1">
        <f>IFERROR(__xludf.DUMMYFUNCTION("""COMPUTED_VALUE"""),TRUE)</f>
        <v/>
      </c>
      <c r="D1422" s="1">
        <f>IFERROR(__xludf.DUMMYFUNCTION("""COMPUTED_VALUE"""),"Code School Finland")</f>
        <v/>
      </c>
      <c r="E1422" s="15">
        <f>IFERROR(__xludf.DUMMYFUNCTION("""COMPUTED_VALUE"""),"www.codeschool.fi")</f>
        <v/>
      </c>
      <c r="F1422" s="1">
        <f>IFERROR(__xludf.DUMMYFUNCTION("""COMPUTED_VALUE"""),"Code School Finland helps teachers and schools to teach coding, robotics and AI in a way that promotes the development of the 21st century skills. We improve student learning and support teachers' professional development.
Our curriculum and teaching mat"&amp;"erials are based on academic research and Finnish education model. We align with the learning objectives of international and national curricula globally.
With our help all teachers - even those with no computer science background - can start teaching te"&amp;"chnology and future skills in K-12.")</f>
        <v/>
      </c>
      <c r="G1422" s="1">
        <f>IFERROR(__xludf.DUMMYFUNCTION("""COMPUTED_VALUE"""),"EdTech Finland")</f>
        <v/>
      </c>
      <c r="H1422" s="1" t="n"/>
      <c r="I1422" s="1">
        <f>IFERROR(__xludf.DUMMYFUNCTION("""COMPUTED_VALUE"""),"kaisu@codeschool.fi")</f>
        <v/>
      </c>
      <c r="J1422" s="1">
        <f>IFERROR(__xludf.DUMMYFUNCTION("""COMPUTED_VALUE"""),"+358 44 2411 024")</f>
        <v/>
      </c>
      <c r="K1422" s="1">
        <f>IFERROR(__xludf.DUMMYFUNCTION("""COMPUTED_VALUE"""),"OULU")</f>
        <v/>
      </c>
      <c r="L1422" s="1">
        <f>IFERROR(__xludf.DUMMYFUNCTION("""COMPUTED_VALUE"""),"Finland")</f>
        <v/>
      </c>
      <c r="M1422" s="1">
        <f>IFERROR(__xludf.DUMMYFUNCTION("""COMPUTED_VALUE"""),"Austria, Belgium, Denmark, Estonia, Finland, France, Germany, Greece, Ireland, Italy, Netherlands, Norway, Poland, Portugal, Spain, Sweden, Switzerland, Turkey, United Kingdom")</f>
        <v/>
      </c>
      <c r="N1422" s="1">
        <f>IFERROR(__xludf.DUMMYFUNCTION("""COMPUTED_VALUE"""),"0 to 10")</f>
        <v/>
      </c>
      <c r="O1422" s="1">
        <f>IFERROR(__xludf.DUMMYFUNCTION("""COMPUTED_VALUE"""),"Business to Business")</f>
        <v/>
      </c>
      <c r="P1422" s="1">
        <f>IFERROR(__xludf.DUMMYFUNCTION("""COMPUTED_VALUE"""),"Primary Education, Secondary Education")</f>
        <v/>
      </c>
      <c r="Q1422" s="1">
        <f>IFERROR(__xludf.DUMMYFUNCTION("""COMPUTED_VALUE"""),"Teacher interfacing, System/Administrative")</f>
        <v/>
      </c>
      <c r="R1422" s="1">
        <f>IFERROR(__xludf.DUMMYFUNCTION("""COMPUTED_VALUE"""),"@codeschoolfinland")</f>
        <v/>
      </c>
      <c r="S1422" s="1">
        <f>IFERROR(__xludf.DUMMYFUNCTION("""COMPUTED_VALUE"""),"@codeschoolfi")</f>
        <v/>
      </c>
      <c r="T1422" s="15">
        <f>IFERROR(__xludf.DUMMYFUNCTION("""COMPUTED_VALUE"""),"https://www.linkedin.com/company/codeschoolfinland/")</f>
        <v/>
      </c>
      <c r="U1422" s="1">
        <f>IFERROR(__xludf.DUMMYFUNCTION("""COMPUTED_VALUE"""),"Teachease")</f>
        <v/>
      </c>
      <c r="V1422" s="1">
        <f>IFERROR(__xludf.DUMMYFUNCTION("""COMPUTED_VALUE"""),"Teachease service is a turnkey solution for schools to expand teaching digital skills, coding, robotics and AI effectively. Teachease combines Finnish pedagogical excellence, teaching materials and teacher training for digital skills according to your sch"&amp;"ool’s needs. Teachease helps schools and teachers to provide engaging, project-based learning. 
Teachease provides a digital skills program with a set of lesson plans, hands-on activities and cross-curricular projects for coding, robotics and AI. We make"&amp;" sure all teachers can teach digital skills from preschool to high school.")</f>
        <v/>
      </c>
      <c r="W1422" s="1">
        <f>IFERROR(__xludf.DUMMYFUNCTION("""COMPUTED_VALUE"""),"Online courses")</f>
        <v/>
      </c>
      <c r="X1422" s="1">
        <f>IFERROR(__xludf.DUMMYFUNCTION("""COMPUTED_VALUE"""),"Code School Finland online courses help K-12 teachers to provide engaging, project-based learning on coding and AI. With the help of self-paced online courses, downloadable lesson plans and teaching materials and a support forum with peers and Code School"&amp;" certified instructors, any teacher - even one without any computer science knowledge - can start teaching coding easily and safely.
Our courses have been designed for K-12 teachers to teach digital skills with Design-based project learning model. Based "&amp;"on project-based learning model (PBL), this approach of teaching promotes innovation, creativity and sharing information. It drives students to learn more and to become creative problem-solvers. They learn to think creatively and succeed no matter what th"&amp;"e future brings.")</f>
        <v/>
      </c>
      <c r="Y1422" s="15">
        <f>IFERROR(__xludf.DUMMYFUNCTION("""COMPUTED_VALUE"""),"https://drive.google.com/uc?export=view&amp;id=1gs6lHJKYDepBwXxzYj68682CfV15AfFS")</f>
        <v/>
      </c>
      <c r="Z1422" s="1">
        <f>IFERROR(__xludf.DUMMYFUNCTION("""COMPUTED_VALUE"""),"Unverified")</f>
        <v/>
      </c>
      <c r="AA1422" s="1" t="n"/>
      <c r="AB1422" s="1" t="n"/>
      <c r="AC1422" s="1" t="n"/>
      <c r="AD1422" s="1" t="n"/>
      <c r="AE1422" s="1" t="n"/>
    </row>
    <row r="1423" ht="42" customHeight="1">
      <c r="A1423" s="14">
        <f>IFERROR(__xludf.DUMMYFUNCTION("""COMPUTED_VALUE"""),45181)</f>
        <v/>
      </c>
      <c r="B1423" s="1">
        <f>IFERROR(__xludf.DUMMYFUNCTION("""COMPUTED_VALUE"""),"ORG_1300")</f>
        <v/>
      </c>
      <c r="C1423" s="1">
        <f>IFERROR(__xludf.DUMMYFUNCTION("""COMPUTED_VALUE"""),TRUE)</f>
        <v/>
      </c>
      <c r="D1423" s="1">
        <f>IFERROR(__xludf.DUMMYFUNCTION("""COMPUTED_VALUE"""),"Corporate Learning + Change GmbH")</f>
        <v/>
      </c>
      <c r="E1423" s="15">
        <f>IFERROR(__xludf.DUMMYFUNCTION("""COMPUTED_VALUE"""),"www.clc-learning.de")</f>
        <v/>
      </c>
      <c r="F1423" s="1">
        <f>IFERROR(__xludf.DUMMYFUNCTION("""COMPUTED_VALUE"""),"CLC - Corporate Learning + Change GmbH with 11 colleagues was founded by Dr. Katja Bett and Josef Buschbacher. We have the goal to take people and organizations, which we see as our customers, on the way into the digital world and enable them to use new o"&amp;"pportunities.
We also accompany people who want to pursue their goals on the second educational path or from labor market and company-related contexts and provide them with comprehensive support.
Through our work, we enable people and organizations to le"&amp;"arn more focused and faster than their competitors, giving them a sustainable competitive advantage. Innovative learning in a digital world is learning on demand, learning independent of time and place, learning with fun, learning as an event, learning in"&amp;" informal structures, learning at the workplace.")</f>
        <v/>
      </c>
      <c r="G1423" s="1">
        <f>IFERROR(__xludf.DUMMYFUNCTION("""COMPUTED_VALUE"""),"I'm not part of any EdTech association")</f>
        <v/>
      </c>
      <c r="H1423" s="1" t="n"/>
      <c r="I1423" s="1">
        <f>IFERROR(__xludf.DUMMYFUNCTION("""COMPUTED_VALUE"""),"info@clc-learning.de")</f>
        <v/>
      </c>
      <c r="J1423" s="1">
        <f>IFERROR(__xludf.DUMMYFUNCTION("""COMPUTED_VALUE"""),"+491702174494")</f>
        <v/>
      </c>
      <c r="K1423" s="1">
        <f>IFERROR(__xludf.DUMMYFUNCTION("""COMPUTED_VALUE"""),"Stuttgart")</f>
        <v/>
      </c>
      <c r="L1423" s="1">
        <f>IFERROR(__xludf.DUMMYFUNCTION("""COMPUTED_VALUE"""),"Germany")</f>
        <v/>
      </c>
      <c r="M1423" s="1">
        <f>IFERROR(__xludf.DUMMYFUNCTION("""COMPUTED_VALUE"""),"Austria, Finland, Germany, Italy, Portugal, Switzerland")</f>
        <v/>
      </c>
      <c r="N1423" s="1">
        <f>IFERROR(__xludf.DUMMYFUNCTION("""COMPUTED_VALUE"""),"11 to 50")</f>
        <v/>
      </c>
      <c r="O1423" s="1">
        <f>IFERROR(__xludf.DUMMYFUNCTION("""COMPUTED_VALUE"""),"Business to Business")</f>
        <v/>
      </c>
      <c r="P1423" s="1">
        <f>IFERROR(__xludf.DUMMYFUNCTION("""COMPUTED_VALUE"""),"Higher Education, Corporate Training, Lifelong learning/Adult education")</f>
        <v/>
      </c>
      <c r="Q1423" s="1">
        <f>IFERROR(__xludf.DUMMYFUNCTION("""COMPUTED_VALUE"""),"System/Administrative")</f>
        <v/>
      </c>
      <c r="R1423" s="1" t="n"/>
      <c r="S1423" s="1" t="n"/>
      <c r="T1423" s="1" t="n"/>
      <c r="U1423" s="1" t="n"/>
      <c r="V1423" s="1" t="n"/>
      <c r="W1423" s="1" t="n"/>
      <c r="X1423" s="1" t="n"/>
      <c r="Y1423" s="15">
        <f>IFERROR(__xludf.DUMMYFUNCTION("""COMPUTED_VALUE"""),"https://drive.google.com/uc?export=view&amp;id=1MQhH0BwAL92G4hg-R4GYCupwI8wMaiuX")</f>
        <v/>
      </c>
      <c r="Z1423" s="1">
        <f>IFERROR(__xludf.DUMMYFUNCTION("""COMPUTED_VALUE"""),"Unverified")</f>
        <v/>
      </c>
      <c r="AA1423" s="1" t="n"/>
      <c r="AB1423" s="1" t="n"/>
      <c r="AC1423" s="1" t="n"/>
      <c r="AD1423" s="1" t="n"/>
      <c r="AE1423" s="1" t="n"/>
    </row>
    <row r="1424" ht="42" customHeight="1">
      <c r="A1424" s="14">
        <f>IFERROR(__xludf.DUMMYFUNCTION("""COMPUTED_VALUE"""),45181)</f>
        <v/>
      </c>
      <c r="B1424" s="1">
        <f>IFERROR(__xludf.DUMMYFUNCTION("""COMPUTED_VALUE"""),"ORG_1343")</f>
        <v/>
      </c>
      <c r="C1424" s="1">
        <f>IFERROR(__xludf.DUMMYFUNCTION("""COMPUTED_VALUE"""),TRUE)</f>
        <v/>
      </c>
      <c r="D1424" s="1">
        <f>IFERROR(__xludf.DUMMYFUNCTION("""COMPUTED_VALUE"""),"DialogueTrainer")</f>
        <v/>
      </c>
      <c r="E1424" s="15">
        <f>IFERROR(__xludf.DUMMYFUNCTION("""COMPUTED_VALUE"""),"www.dialoguetrainer.com")</f>
        <v/>
      </c>
      <c r="F1424" s="1">
        <f>IFERROR(__xludf.DUMMYFUNCTION("""COMPUTED_VALUE"""),"As a spin off of Utrecht University, we develop interactive online communication simulations since 2013 following the DialogueTrainer method: a 5-step process in which difficult situations from the (future) workplace are translated into conversations with"&amp;" virtual training actors.
In the research phase, we determine which method or situation the simulation should focus on:
1. In the research phase, we determine which method or situation the simulation should focus on;
2. Determine the best-practices invo"&amp;"lved;
3. The learning goals and objectives of the players;
4. Develop and validate the interactive online scenarios before using and improving it in practice.
5. Improve the scenarios in practice based on data, player feedback, trainer/teacher feedback an"&amp;"d management feedback and effects in real life.")</f>
        <v/>
      </c>
      <c r="G1424" s="1">
        <f>IFERROR(__xludf.DUMMYFUNCTION("""COMPUTED_VALUE"""),"I'm not part of any EdTech association")</f>
        <v/>
      </c>
      <c r="H1424" s="1" t="n"/>
      <c r="I1424" s="1">
        <f>IFERROR(__xludf.DUMMYFUNCTION("""COMPUTED_VALUE"""),"info@dialouetrainer.com")</f>
        <v/>
      </c>
      <c r="J1424" s="1">
        <f>IFERROR(__xludf.DUMMYFUNCTION("""COMPUTED_VALUE"""),"+31 30 227 0340")</f>
        <v/>
      </c>
      <c r="K1424" s="1">
        <f>IFERROR(__xludf.DUMMYFUNCTION("""COMPUTED_VALUE"""),"UTRECHT")</f>
        <v/>
      </c>
      <c r="L1424" s="1">
        <f>IFERROR(__xludf.DUMMYFUNCTION("""COMPUTED_VALUE"""),"The Netherlands")</f>
        <v/>
      </c>
      <c r="M1424" s="1">
        <f>IFERROR(__xludf.DUMMYFUNCTION("""COMPUTED_VALUE"""),"Belgium, France, Germany, Netherlands, Sweden, Turkey, United Kingdom")</f>
        <v/>
      </c>
      <c r="N1424" s="1">
        <f>IFERROR(__xludf.DUMMYFUNCTION("""COMPUTED_VALUE"""),"11 to 50")</f>
        <v/>
      </c>
      <c r="O1424" s="1">
        <f>IFERROR(__xludf.DUMMYFUNCTION("""COMPUTED_VALUE"""),"Business to Business")</f>
        <v/>
      </c>
      <c r="P1424" s="1">
        <f>IFERROR(__xludf.DUMMYFUNCTION("""COMPUTED_VALUE"""),"Primary Education, Secondary Education, Higher Education, Corporate Training, Lifelong learning/Adult education")</f>
        <v/>
      </c>
      <c r="Q1424" s="1">
        <f>IFERROR(__xludf.DUMMYFUNCTION("""COMPUTED_VALUE"""),"Student interfacing, Teacher interfacing, System/Administrative")</f>
        <v/>
      </c>
      <c r="R1424" s="1" t="n"/>
      <c r="S1424" s="1" t="n"/>
      <c r="T1424" s="1" t="n"/>
      <c r="U1424" s="1" t="n"/>
      <c r="V1424" s="1" t="n"/>
      <c r="W1424" s="1" t="n"/>
      <c r="X1424" s="1" t="n"/>
      <c r="Y1424" s="15">
        <f>IFERROR(__xludf.DUMMYFUNCTION("""COMPUTED_VALUE"""),"https://drive.google.com/uc?export=view&amp;id=1fbbzEf-0XNnqB1hRYxvrq2HgVCWqxSjK")</f>
        <v/>
      </c>
      <c r="Z1424" s="1">
        <f>IFERROR(__xludf.DUMMYFUNCTION("""COMPUTED_VALUE"""),"Unverified")</f>
        <v/>
      </c>
      <c r="AA1424" s="1" t="n"/>
      <c r="AB1424" s="1" t="n"/>
      <c r="AC1424" s="1" t="n"/>
      <c r="AD1424" s="1" t="n"/>
      <c r="AE1424" s="1" t="n"/>
    </row>
    <row r="1425" ht="42" customHeight="1">
      <c r="A1425" s="14">
        <f>IFERROR(__xludf.DUMMYFUNCTION("""COMPUTED_VALUE"""),45181)</f>
        <v/>
      </c>
      <c r="B1425" s="1">
        <f>IFERROR(__xludf.DUMMYFUNCTION("""COMPUTED_VALUE"""),"ORG_1361")</f>
        <v/>
      </c>
      <c r="C1425" s="1">
        <f>IFERROR(__xludf.DUMMYFUNCTION("""COMPUTED_VALUE"""),TRUE)</f>
        <v/>
      </c>
      <c r="D1425" s="1">
        <f>IFERROR(__xludf.DUMMYFUNCTION("""COMPUTED_VALUE"""),"Digital Pioneers")</f>
        <v/>
      </c>
      <c r="E1425" s="15">
        <f>IFERROR(__xludf.DUMMYFUNCTION("""COMPUTED_VALUE"""),"https://www.digitalpioneers.co")</f>
        <v/>
      </c>
      <c r="F1425" s="1">
        <f>IFERROR(__xludf.DUMMYFUNCTION("""COMPUTED_VALUE"""),"Learning Community to bring European Mittelstand together with the digital economy and get ""been there, done that"" advice.")</f>
        <v/>
      </c>
      <c r="G1425" s="1">
        <f>IFERROR(__xludf.DUMMYFUNCTION("""COMPUTED_VALUE"""),"I'm not part of any EdTech association")</f>
        <v/>
      </c>
      <c r="H1425" s="1" t="n"/>
      <c r="I1425" s="1">
        <f>IFERROR(__xludf.DUMMYFUNCTION("""COMPUTED_VALUE"""),"ke@digitalpioneers.co")</f>
        <v/>
      </c>
      <c r="J1425" s="1" t="n"/>
      <c r="K1425" s="1">
        <f>IFERROR(__xludf.DUMMYFUNCTION("""COMPUTED_VALUE"""),"Berlin")</f>
        <v/>
      </c>
      <c r="L1425" s="1">
        <f>IFERROR(__xludf.DUMMYFUNCTION("""COMPUTED_VALUE"""),"Germany")</f>
        <v/>
      </c>
      <c r="M1425" s="1">
        <f>IFERROR(__xludf.DUMMYFUNCTION("""COMPUTED_VALUE"""),"Germany")</f>
        <v/>
      </c>
      <c r="N1425" s="1">
        <f>IFERROR(__xludf.DUMMYFUNCTION("""COMPUTED_VALUE"""),"0 to 10")</f>
        <v/>
      </c>
      <c r="O1425" s="1">
        <f>IFERROR(__xludf.DUMMYFUNCTION("""COMPUTED_VALUE"""),"Business to Business")</f>
        <v/>
      </c>
      <c r="P1425" s="1">
        <f>IFERROR(__xludf.DUMMYFUNCTION("""COMPUTED_VALUE"""),"Corporate Training")</f>
        <v/>
      </c>
      <c r="Q1425" s="1">
        <f>IFERROR(__xludf.DUMMYFUNCTION("""COMPUTED_VALUE"""),"System/Administrative")</f>
        <v/>
      </c>
      <c r="R1425" s="1" t="n"/>
      <c r="S1425" s="1" t="n"/>
      <c r="T1425" s="1" t="n"/>
      <c r="U1425" s="1" t="n"/>
      <c r="V1425" s="1" t="n"/>
      <c r="W1425" s="1" t="n"/>
      <c r="X1425" s="1" t="n"/>
      <c r="Y1425" s="15">
        <f>IFERROR(__xludf.DUMMYFUNCTION("""COMPUTED_VALUE"""),"https://drive.google.com/uc?export=view&amp;id=15C0KNOwjPLBWydHyYP3jwCZoGyTzG-OW")</f>
        <v/>
      </c>
      <c r="Z1425" s="1">
        <f>IFERROR(__xludf.DUMMYFUNCTION("""COMPUTED_VALUE"""),"Unverified")</f>
        <v/>
      </c>
      <c r="AA1425" s="1" t="n"/>
      <c r="AB1425" s="1" t="n"/>
      <c r="AC1425" s="1" t="n"/>
      <c r="AD1425" s="1" t="n"/>
      <c r="AE1425" s="1" t="n"/>
    </row>
    <row r="1426" ht="42" customHeight="1">
      <c r="A1426" s="14">
        <f>IFERROR(__xludf.DUMMYFUNCTION("""COMPUTED_VALUE"""),45181)</f>
        <v/>
      </c>
      <c r="B1426" s="1">
        <f>IFERROR(__xludf.DUMMYFUNCTION("""COMPUTED_VALUE"""),"ORG_1391")</f>
        <v/>
      </c>
      <c r="C1426" s="1">
        <f>IFERROR(__xludf.DUMMYFUNCTION("""COMPUTED_VALUE"""),TRUE)</f>
        <v/>
      </c>
      <c r="D1426" s="1">
        <f>IFERROR(__xludf.DUMMYFUNCTION("""COMPUTED_VALUE"""),"Easy Education")</f>
        <v/>
      </c>
      <c r="E1426" s="15">
        <f>IFERROR(__xludf.DUMMYFUNCTION("""COMPUTED_VALUE"""),"www.easyeducation.se")</f>
        <v/>
      </c>
      <c r="F1426" s="1">
        <f>IFERROR(__xludf.DUMMYFUNCTION("""COMPUTED_VALUE"""),"Easy Education offers a digital study platform that gathers digital course literature for students in higher education to make this cheaper, more accessible and more individualised. We digitize, distribute &amp; visualize all course content on the same platfo"&amp;"rm, under the same interactive interface creating a Spotify for course literature.")</f>
        <v/>
      </c>
      <c r="G1426" s="1">
        <f>IFERROR(__xludf.DUMMYFUNCTION("""COMPUTED_VALUE"""),"Swedish EdTech Industry")</f>
        <v/>
      </c>
      <c r="H1426" s="1" t="n"/>
      <c r="I1426" s="1">
        <f>IFERROR(__xludf.DUMMYFUNCTION("""COMPUTED_VALUE"""),"info@easyeducation.se")</f>
        <v/>
      </c>
      <c r="J1426" s="1" t="n"/>
      <c r="K1426" s="1">
        <f>IFERROR(__xludf.DUMMYFUNCTION("""COMPUTED_VALUE"""),"GOTHENBURG")</f>
        <v/>
      </c>
      <c r="L1426" s="1">
        <f>IFERROR(__xludf.DUMMYFUNCTION("""COMPUTED_VALUE"""),"Sweden")</f>
        <v/>
      </c>
      <c r="M1426" s="1">
        <f>IFERROR(__xludf.DUMMYFUNCTION("""COMPUTED_VALUE"""),"Sweden")</f>
        <v/>
      </c>
      <c r="N1426" s="1">
        <f>IFERROR(__xludf.DUMMYFUNCTION("""COMPUTED_VALUE"""),"0 to 10")</f>
        <v/>
      </c>
      <c r="O1426" s="1">
        <f>IFERROR(__xludf.DUMMYFUNCTION("""COMPUTED_VALUE"""),"Business to Business")</f>
        <v/>
      </c>
      <c r="P1426" s="1">
        <f>IFERROR(__xludf.DUMMYFUNCTION("""COMPUTED_VALUE"""),"Higher Education, Corporate Training")</f>
        <v/>
      </c>
      <c r="Q1426" s="1">
        <f>IFERROR(__xludf.DUMMYFUNCTION("""COMPUTED_VALUE"""),"Student interfacing")</f>
        <v/>
      </c>
      <c r="R1426" s="1" t="n"/>
      <c r="S1426" s="1" t="n"/>
      <c r="T1426" s="15">
        <f>IFERROR(__xludf.DUMMYFUNCTION("""COMPUTED_VALUE"""),"https://www.linkedin.com/company/easy-education-sweden-ab/?viewAsMember=true")</f>
        <v/>
      </c>
      <c r="U1426" s="1">
        <f>IFERROR(__xludf.DUMMYFUNCTION("""COMPUTED_VALUE"""),"Easy Education")</f>
        <v/>
      </c>
      <c r="V1426" s="1">
        <f>IFERROR(__xludf.DUMMYFUNCTION("""COMPUTED_VALUE"""),"Easy Education offers students, lecturers and education providers in higher education a digital study platform and enables a digital and interactive delivery of course content. On the platform, users can cheaper and easier get access to their course liter"&amp;"ature and further study with a wide variety of smart digital study tools to help improve their studies.")</f>
        <v/>
      </c>
      <c r="W1426" s="1" t="n"/>
      <c r="X1426" s="1" t="n"/>
      <c r="Y1426" s="15">
        <f>IFERROR(__xludf.DUMMYFUNCTION("""COMPUTED_VALUE"""),"https://drive.google.com/uc?export=view&amp;id=11XC3qZjGpnOlJgeoShDG6Wb9CqxDOshn")</f>
        <v/>
      </c>
      <c r="Z1426" s="1">
        <f>IFERROR(__xludf.DUMMYFUNCTION("""COMPUTED_VALUE"""),"Unverified")</f>
        <v/>
      </c>
      <c r="AA1426" s="1" t="n"/>
      <c r="AB1426" s="1" t="n"/>
      <c r="AC1426" s="1" t="n"/>
      <c r="AD1426" s="1" t="n"/>
      <c r="AE1426" s="1" t="n"/>
    </row>
    <row r="1427" ht="42" customHeight="1">
      <c r="A1427" s="14">
        <f>IFERROR(__xludf.DUMMYFUNCTION("""COMPUTED_VALUE"""),45181)</f>
        <v/>
      </c>
      <c r="B1427" s="1">
        <f>IFERROR(__xludf.DUMMYFUNCTION("""COMPUTED_VALUE"""),"ORG_1402")</f>
        <v/>
      </c>
      <c r="C1427" s="1">
        <f>IFERROR(__xludf.DUMMYFUNCTION("""COMPUTED_VALUE"""),TRUE)</f>
        <v/>
      </c>
      <c r="D1427" s="1">
        <f>IFERROR(__xludf.DUMMYFUNCTION("""COMPUTED_VALUE"""),"EDDS")</f>
        <v/>
      </c>
      <c r="E1427" s="15">
        <f>IFERROR(__xludf.DUMMYFUNCTION("""COMPUTED_VALUE"""),"www.edds-education.org")</f>
        <v/>
      </c>
      <c r="F1427" s="1">
        <f>IFERROR(__xludf.DUMMYFUNCTION("""COMPUTED_VALUE"""),"EDDS is a provider of confidential audit and evidence-led/based consultancy services to users and providers of education technology. We are backed by a consortium of world-leading academics, national research institutes, educators, education systems, comm"&amp;"unicators and technologists and are part of Etoile Partners Ltd, a London based geopolitical consultancy. We facilitate the transfer of knowledge and best practice among industry partners and guide edtech companies in the pursuit of excellence in their pr"&amp;"oducts.  
We are focused on the issues faced by parents, educators and education systems from schools to school districts and universities involving children’s and young people’s data and how the edtech sector can be made to perform in their best intere"&amp;"sts.
Bluntly put, children are not able to give informed consent for the use of their data, yet the educational technology sector is becoming integrated into education systems without any real understanding of the potential societal and systemic risks t"&amp;"hat might pose to them.  
Education systems perceive there is a risk, but have no clear idea of how big or how far that risk goes, nor how to control, measure or monitor it. Parents and schools have almost no visibility of the dangers.
That is where E"&amp;"DDS comes in.
We are at the cutting edge of research into how children’s and young people’s data is being used or misused. We help both providers and users of edtech with advice, consultancy, evaluation and auditing services. We allow education systems "&amp;"to see clearly the dangers of using uncertified and unvalidated edtech products, while helping edtech providers with confidential audits, digital certification and roadmaps on how they can improve their data usage to comply with procurement rules and regu"&amp;"lations already in place and coming down the track.")</f>
        <v/>
      </c>
      <c r="G1427" s="1">
        <f>IFERROR(__xludf.DUMMYFUNCTION("""COMPUTED_VALUE"""),"I'm not part of any EdTech association")</f>
        <v/>
      </c>
      <c r="H1427" s="1" t="n"/>
      <c r="I1427" s="1">
        <f>IFERROR(__xludf.DUMMYFUNCTION("""COMPUTED_VALUE"""),"veli@edds-education.org")</f>
        <v/>
      </c>
      <c r="J1427" s="1" t="n"/>
      <c r="K1427" s="1">
        <f>IFERROR(__xludf.DUMMYFUNCTION("""COMPUTED_VALUE"""),"London")</f>
        <v/>
      </c>
      <c r="L1427" s="1">
        <f>IFERROR(__xludf.DUMMYFUNCTION("""COMPUTED_VALUE"""),"United Kingdom")</f>
        <v/>
      </c>
      <c r="M1427" s="1">
        <f>IFERROR(__xludf.DUMMYFUNCTION("""COMPUTED_VALUE"""),"United Kingdom")</f>
        <v/>
      </c>
      <c r="N1427" s="1">
        <f>IFERROR(__xludf.DUMMYFUNCTION("""COMPUTED_VALUE"""),"0 to 10")</f>
        <v/>
      </c>
      <c r="O1427" s="1">
        <f>IFERROR(__xludf.DUMMYFUNCTION("""COMPUTED_VALUE"""),"Business to Business")</f>
        <v/>
      </c>
      <c r="P1427" s="1">
        <f>IFERROR(__xludf.DUMMYFUNCTION("""COMPUTED_VALUE"""),"Early childhood development (0-5 years), Primary Education, Secondary Education, Higher Education, Corporate Training")</f>
        <v/>
      </c>
      <c r="Q1427" s="1">
        <f>IFERROR(__xludf.DUMMYFUNCTION("""COMPUTED_VALUE"""),"System/Administrative")</f>
        <v/>
      </c>
      <c r="R1427" s="1" t="n"/>
      <c r="S1427" s="1" t="n"/>
      <c r="T1427" s="1" t="n"/>
      <c r="U1427" s="1" t="n"/>
      <c r="V1427" s="1" t="n"/>
      <c r="W1427" s="1" t="n"/>
      <c r="X1427" s="1" t="n"/>
      <c r="Y1427" s="15">
        <f>IFERROR(__xludf.DUMMYFUNCTION("""COMPUTED_VALUE"""),"https://drive.google.com/uc?export=view&amp;id=1vuDdsLuyNRiinUt3mhCkgHEUgzWR3nN9")</f>
        <v/>
      </c>
      <c r="Z1427" s="1">
        <f>IFERROR(__xludf.DUMMYFUNCTION("""COMPUTED_VALUE"""),"Unverified")</f>
        <v/>
      </c>
      <c r="AA1427" s="1" t="n"/>
      <c r="AB1427" s="1" t="n"/>
      <c r="AC1427" s="1" t="n"/>
      <c r="AD1427" s="1" t="n"/>
      <c r="AE1427" s="1" t="n"/>
    </row>
    <row r="1428" ht="42" customHeight="1">
      <c r="A1428" s="14">
        <f>IFERROR(__xludf.DUMMYFUNCTION("""COMPUTED_VALUE"""),45181)</f>
        <v/>
      </c>
      <c r="B1428" s="1">
        <f>IFERROR(__xludf.DUMMYFUNCTION("""COMPUTED_VALUE"""),"ORG_1420")</f>
        <v/>
      </c>
      <c r="C1428" s="1">
        <f>IFERROR(__xludf.DUMMYFUNCTION("""COMPUTED_VALUE"""),TRUE)</f>
        <v/>
      </c>
      <c r="D1428" s="1">
        <f>IFERROR(__xludf.DUMMYFUNCTION("""COMPUTED_VALUE"""),"Edu-Suite™")</f>
        <v/>
      </c>
      <c r="E1428" s="15">
        <f>IFERROR(__xludf.DUMMYFUNCTION("""COMPUTED_VALUE"""),"www.edu-suite.com")</f>
        <v/>
      </c>
      <c r="F1428" s="1">
        <f>IFERROR(__xludf.DUMMYFUNCTION("""COMPUTED_VALUE"""),"Edu-Suite is a complete package that contains all the relevant tools and functionalities needed to develop, publish and distribute a digital teaching method. As a result, with Edu-Suite, the all-in-one edtech solution, every publisher and school is ready "&amp;"for the future and the education of today!
With this SaaS solution you can easily digitize existing or develop new teaching methods. All tools, services and support are available to publish, distribute and exploit it! For example, the a.i.-based ProLearn "&amp;"technology embedded within the CMS part of Edu-Suite makes it possible to develop adaptive and personal learning pathways.")</f>
        <v/>
      </c>
      <c r="G1428" s="1">
        <f>IFERROR(__xludf.DUMMYFUNCTION("""COMPUTED_VALUE"""),"Dutch EdTech")</f>
        <v/>
      </c>
      <c r="H1428" s="1">
        <f>IFERROR(__xludf.DUMMYFUNCTION("""COMPUTED_VALUE"""),"Dutch, English")</f>
        <v/>
      </c>
      <c r="I1428" s="1">
        <f>IFERROR(__xludf.DUMMYFUNCTION("""COMPUTED_VALUE"""),"info@edu-suite.com")</f>
        <v/>
      </c>
      <c r="J1428" s="1" t="n"/>
      <c r="K1428" s="1">
        <f>IFERROR(__xludf.DUMMYFUNCTION("""COMPUTED_VALUE"""),"Heerenveen")</f>
        <v/>
      </c>
      <c r="L1428" s="1">
        <f>IFERROR(__xludf.DUMMYFUNCTION("""COMPUTED_VALUE"""),"The Netherlands")</f>
        <v/>
      </c>
      <c r="M1428" s="1">
        <f>IFERROR(__xludf.DUMMYFUNCTION("""COMPUTED_VALUE"""),"Belgium, Netherlands, United Kingdom")</f>
        <v/>
      </c>
      <c r="N1428" s="1">
        <f>IFERROR(__xludf.DUMMYFUNCTION("""COMPUTED_VALUE"""),"11 to 50")</f>
        <v/>
      </c>
      <c r="O1428" s="1">
        <f>IFERROR(__xludf.DUMMYFUNCTION("""COMPUTED_VALUE"""),"Business to Business")</f>
        <v/>
      </c>
      <c r="P1428" s="1">
        <f>IFERROR(__xludf.DUMMYFUNCTION("""COMPUTED_VALUE"""),"Primary Education, Secondary Education, Corporate Training, Lifelong learning/Adult education, Vocational Education and Training (VET), Higher Education")</f>
        <v/>
      </c>
      <c r="Q1428" s="1">
        <f>IFERROR(__xludf.DUMMYFUNCTION("""COMPUTED_VALUE"""),"Student interfacing, Teacher interfacing, System/Administrative")</f>
        <v/>
      </c>
      <c r="R1428" s="15">
        <f>IFERROR(__xludf.DUMMYFUNCTION("""COMPUTED_VALUE"""),"https://www.instagram.com/edu_suite_/")</f>
        <v/>
      </c>
      <c r="S1428" s="1" t="n"/>
      <c r="T1428" s="15">
        <f>IFERROR(__xludf.DUMMYFUNCTION("""COMPUTED_VALUE"""),"https://www.linkedin.com/company/edu-suite/?viewAsMember=true")</f>
        <v/>
      </c>
      <c r="U1428" s="1">
        <f>IFERROR(__xludf.DUMMYFUNCTION("""COMPUTED_VALUE"""),"Edu-Suite™")</f>
        <v/>
      </c>
      <c r="V1428" s="1">
        <f>IFERROR(__xludf.DUMMYFUNCTION("""COMPUTED_VALUE"""),"Edu-Suite is a complete SaaS sollution that contains all the relevant tools and functionalities needed to develop, publish and distribute digital educational content. As a result, with Edu-Suite, the all-in-one edtech solution, every educational publisher"&amp;" and school is ready for the future and the education standards of today and tomorrow!")</f>
        <v/>
      </c>
      <c r="W1428" s="1" t="n"/>
      <c r="X1428" s="1" t="n"/>
      <c r="Y1428" s="15">
        <f>IFERROR(__xludf.DUMMYFUNCTION("""COMPUTED_VALUE"""),"https://drive.google.com/uc?export=view&amp;id=1ZOmfUKQ-hetRm1Nh7NP7vEvWQ2SmmLQt")</f>
        <v/>
      </c>
      <c r="Z1428" s="1">
        <f>IFERROR(__xludf.DUMMYFUNCTION("""COMPUTED_VALUE"""),"Unverified")</f>
        <v/>
      </c>
      <c r="AA1428" s="1" t="n"/>
      <c r="AB1428" s="1" t="n"/>
      <c r="AC1428" s="1" t="n"/>
      <c r="AD1428" s="1" t="n"/>
      <c r="AE1428" s="1" t="n"/>
    </row>
    <row r="1429" ht="42" customHeight="1">
      <c r="A1429" s="14">
        <f>IFERROR(__xludf.DUMMYFUNCTION("""COMPUTED_VALUE"""),45181)</f>
        <v/>
      </c>
      <c r="B1429" s="1">
        <f>IFERROR(__xludf.DUMMYFUNCTION("""COMPUTED_VALUE"""),"ORG_1426")</f>
        <v/>
      </c>
      <c r="C1429" s="1">
        <f>IFERROR(__xludf.DUMMYFUNCTION("""COMPUTED_VALUE"""),TRUE)</f>
        <v/>
      </c>
      <c r="D1429" s="1">
        <f>IFERROR(__xludf.DUMMYFUNCTION("""COMPUTED_VALUE"""),"Educaplay")</f>
        <v/>
      </c>
      <c r="E1429" s="15">
        <f>IFERROR(__xludf.DUMMYFUNCTION("""COMPUTED_VALUE"""),"https://www.educaplay.com")</f>
        <v/>
      </c>
      <c r="F1429" s="1">
        <f>IFERROR(__xludf.DUMMYFUNCTION("""COMPUTED_VALUE"""),"Make and share your own educational games easily, fast and for free.
Unscramble Words, Video Quiz, Fill in the Blanks, Wordsearch, Crossword, Test, Memory and 10 more different types of games to create with just a few clicks and no programming.
Make the"&amp;"m from scratch or duplicate any of the 5 million activities to create your own version from it.
Share the game link to your players, embed it on your website, or create a Challenge to share games in groups.
Save the scores and performance of your player"&amp;"s without them needing to sign in or provide any personal data.
Integrate your games into Google Classroom, Microsoft Teams, Moodle, Canvas, or other similar platforms and automatically save the scores there.")</f>
        <v/>
      </c>
      <c r="G1429" s="1">
        <f>IFERROR(__xludf.DUMMYFUNCTION("""COMPUTED_VALUE"""),"I'm not part of any EdTech association")</f>
        <v/>
      </c>
      <c r="H1429" s="1" t="n"/>
      <c r="I1429" s="1">
        <f>IFERROR(__xludf.DUMMYFUNCTION("""COMPUTED_VALUE"""),"support@educaplay.com")</f>
        <v/>
      </c>
      <c r="J1429" s="1" t="n"/>
      <c r="K1429" s="1">
        <f>IFERROR(__xludf.DUMMYFUNCTION("""COMPUTED_VALUE"""),"Logroño")</f>
        <v/>
      </c>
      <c r="L1429" s="1">
        <f>IFERROR(__xludf.DUMMYFUNCTION("""COMPUTED_VALUE"""),"Spain")</f>
        <v/>
      </c>
      <c r="M1429" s="1">
        <f>IFERROR(__xludf.DUMMYFUNCTION("""COMPUTED_VALUE"""),"Andorra, Austria, Belgium, Cyprus, Czechia, Estonia, Finland, France, Germany, Greece, Iceland, Ireland, Italy, Netherlands, Norway, Poland, Portugal, Slovenia, Spain, Sweden, Switzerland, Turkey, United Kingdom")</f>
        <v/>
      </c>
      <c r="N1429" s="1">
        <f>IFERROR(__xludf.DUMMYFUNCTION("""COMPUTED_VALUE"""),"0 to 10")</f>
        <v/>
      </c>
      <c r="O1429" s="1">
        <f>IFERROR(__xludf.DUMMYFUNCTION("""COMPUTED_VALUE"""),"Business to Business")</f>
        <v/>
      </c>
      <c r="P1429" s="1">
        <f>IFERROR(__xludf.DUMMYFUNCTION("""COMPUTED_VALUE"""),"Early childhood development (0-5 years), Primary Education, Secondary Education, Higher Education, Corporate Training, Lifelong learning/Adult education")</f>
        <v/>
      </c>
      <c r="Q1429" s="1">
        <f>IFERROR(__xludf.DUMMYFUNCTION("""COMPUTED_VALUE"""),"Student interfacing, Teacher interfacing, System/Administrative")</f>
        <v/>
      </c>
      <c r="R1429" s="1" t="n"/>
      <c r="S1429" s="1" t="n"/>
      <c r="T1429" s="1" t="n"/>
      <c r="U1429" s="1" t="n"/>
      <c r="V1429" s="1" t="n"/>
      <c r="W1429" s="1" t="n"/>
      <c r="X1429" s="1" t="n"/>
      <c r="Y1429" s="15">
        <f>IFERROR(__xludf.DUMMYFUNCTION("""COMPUTED_VALUE"""),"https://drive.google.com/uc?export=view&amp;id=1USZTeSaV-qGDNpk43W1IT_dafUK2zgzo")</f>
        <v/>
      </c>
      <c r="Z1429" s="1">
        <f>IFERROR(__xludf.DUMMYFUNCTION("""COMPUTED_VALUE"""),"Unverified")</f>
        <v/>
      </c>
      <c r="AA1429" s="1" t="n"/>
      <c r="AB1429" s="1" t="n"/>
      <c r="AC1429" s="1" t="n"/>
      <c r="AD1429" s="1" t="n"/>
      <c r="AE1429" s="1" t="n"/>
    </row>
    <row r="1430" ht="42" customHeight="1">
      <c r="A1430" s="14">
        <f>IFERROR(__xludf.DUMMYFUNCTION("""COMPUTED_VALUE"""),45181)</f>
        <v/>
      </c>
      <c r="B1430" s="1">
        <f>IFERROR(__xludf.DUMMYFUNCTION("""COMPUTED_VALUE"""),"ORG_1439")</f>
        <v/>
      </c>
      <c r="C1430" s="1">
        <f>IFERROR(__xludf.DUMMYFUNCTION("""COMPUTED_VALUE"""),TRUE)</f>
        <v/>
      </c>
      <c r="D1430" s="1">
        <f>IFERROR(__xludf.DUMMYFUNCTION("""COMPUTED_VALUE"""),"eduGamiTec")</f>
        <v/>
      </c>
      <c r="E1430" s="15">
        <f>IFERROR(__xludf.DUMMYFUNCTION("""COMPUTED_VALUE"""),"https://edugamitec.com/")</f>
        <v/>
      </c>
      <c r="F1430" s="1">
        <f>IFERROR(__xludf.DUMMYFUNCTION("""COMPUTED_VALUE"""),"At EduGamiTec, our aim is to combine education and games in a personalised way to create an immersive yet fun learning environment. 
Training materials in a variety of content and formats can be easily and quickly imported into our system and automaticall"&amp;"y presented in the video game of the learner's choice. 
Our solution Gamtred based on our proprietary technology aimed to bring a flexible, fast, and personalized game-based learning solution for corporates to increase engagement and efficacy in their dig"&amp;"ital training. 
The multi-level analytic system collects insides of the learner’s performance, but also the success of the curriculum and overall results at team or company level.")</f>
        <v/>
      </c>
      <c r="G1430" s="1">
        <f>IFERROR(__xludf.DUMMYFUNCTION("""COMPUTED_VALUE"""),"I'm not part of any EdTech association")</f>
        <v/>
      </c>
      <c r="H1430" s="1" t="n"/>
      <c r="I1430" s="1">
        <f>IFERROR(__xludf.DUMMYFUNCTION("""COMPUTED_VALUE"""),"gyorgyi.szakmar@outlook.com")</f>
        <v/>
      </c>
      <c r="J1430" s="1">
        <f>IFERROR(__xludf.DUMMYFUNCTION("""COMPUTED_VALUE"""),"+352661479264")</f>
        <v/>
      </c>
      <c r="K1430" s="1">
        <f>IFERROR(__xludf.DUMMYFUNCTION("""COMPUTED_VALUE"""),"Esch-sur-Alzette")</f>
        <v/>
      </c>
      <c r="L1430" s="1">
        <f>IFERROR(__xludf.DUMMYFUNCTION("""COMPUTED_VALUE"""),"Luxembourg")</f>
        <v/>
      </c>
      <c r="M1430" s="1">
        <f>IFERROR(__xludf.DUMMYFUNCTION("""COMPUTED_VALUE"""),"France, Germany, Hungary, Luxembourg, Norway, Turkey, United Kingdom")</f>
        <v/>
      </c>
      <c r="N1430" s="1">
        <f>IFERROR(__xludf.DUMMYFUNCTION("""COMPUTED_VALUE"""),"0 to 10")</f>
        <v/>
      </c>
      <c r="O1430" s="1">
        <f>IFERROR(__xludf.DUMMYFUNCTION("""COMPUTED_VALUE"""),"Business to Business")</f>
        <v/>
      </c>
      <c r="P1430" s="1">
        <f>IFERROR(__xludf.DUMMYFUNCTION("""COMPUTED_VALUE"""),"Corporate Training")</f>
        <v/>
      </c>
      <c r="Q1430" s="1">
        <f>IFERROR(__xludf.DUMMYFUNCTION("""COMPUTED_VALUE"""),"Teacher interfacing, System/Administrative")</f>
        <v/>
      </c>
      <c r="R1430" s="1" t="n"/>
      <c r="S1430" s="1" t="n"/>
      <c r="T1430" s="1" t="n"/>
      <c r="U1430" s="1" t="n"/>
      <c r="V1430" s="1" t="n"/>
      <c r="W1430" s="1" t="n"/>
      <c r="X1430" s="1" t="n"/>
      <c r="Y1430" s="15">
        <f>IFERROR(__xludf.DUMMYFUNCTION("""COMPUTED_VALUE"""),"https://drive.google.com/uc?export=view&amp;id=1lqUpw_gwVqF-BM0G93ANz22xd7a_dNmE")</f>
        <v/>
      </c>
      <c r="Z1430" s="1">
        <f>IFERROR(__xludf.DUMMYFUNCTION("""COMPUTED_VALUE"""),"Unverified")</f>
        <v/>
      </c>
      <c r="AA1430" s="1" t="n"/>
      <c r="AB1430" s="1" t="n"/>
      <c r="AC1430" s="1" t="n"/>
      <c r="AD1430" s="1" t="n"/>
      <c r="AE1430" s="1" t="n"/>
    </row>
    <row r="1431" ht="42" customHeight="1">
      <c r="A1431" s="14">
        <f>IFERROR(__xludf.DUMMYFUNCTION("""COMPUTED_VALUE"""),45181)</f>
        <v/>
      </c>
      <c r="B1431" s="1">
        <f>IFERROR(__xludf.DUMMYFUNCTION("""COMPUTED_VALUE"""),"ORG_1450")</f>
        <v/>
      </c>
      <c r="C1431" s="1">
        <f>IFERROR(__xludf.DUMMYFUNCTION("""COMPUTED_VALUE"""),TRUE)</f>
        <v/>
      </c>
      <c r="D1431" s="1">
        <f>IFERROR(__xludf.DUMMYFUNCTION("""COMPUTED_VALUE"""),"Edumentors")</f>
        <v/>
      </c>
      <c r="E1431" s="15">
        <f>IFERROR(__xludf.DUMMYFUNCTION("""COMPUTED_VALUE"""),"https://edumentors.co.uk")</f>
        <v/>
      </c>
      <c r="F1431" s="1">
        <f>IFERROR(__xludf.DUMMYFUNCTION("""COMPUTED_VALUE"""),"Edumentors.co.uk is an online tutoring marketplace with a mission to fill the growing learning gap through personalised tutoring approach. Millions of students around the world are falling behind in school or need some support to push themselves to succes"&amp;"s. Edumentors was created around the idea to help each student succeed and unlock their full potential with the help of role model tutors from the world's best universities.")</f>
        <v/>
      </c>
      <c r="G1431" s="1">
        <f>IFERROR(__xludf.DUMMYFUNCTION("""COMPUTED_VALUE"""),"I'm not part of any EdTech association")</f>
        <v/>
      </c>
      <c r="H1431" s="1">
        <f>IFERROR(__xludf.DUMMYFUNCTION("""COMPUTED_VALUE"""),"English")</f>
        <v/>
      </c>
      <c r="I1431" s="1">
        <f>IFERROR(__xludf.DUMMYFUNCTION("""COMPUTED_VALUE"""),"info@edumentors.co.uk")</f>
        <v/>
      </c>
      <c r="J1431" s="1">
        <f>IFERROR(__xludf.DUMMYFUNCTION("""COMPUTED_VALUE"""),"+44 7915247509")</f>
        <v/>
      </c>
      <c r="K1431" s="1">
        <f>IFERROR(__xludf.DUMMYFUNCTION("""COMPUTED_VALUE"""),"London")</f>
        <v/>
      </c>
      <c r="L1431" s="1">
        <f>IFERROR(__xludf.DUMMYFUNCTION("""COMPUTED_VALUE"""),"United Kingdom")</f>
        <v/>
      </c>
      <c r="M1431" s="1">
        <f>IFERROR(__xludf.DUMMYFUNCTION("""COMPUTED_VALUE"""),"Austria, Denmark, Georgia, Germany, Greece, Hungary, Italy, Luxembourg, Poland, Portugal, Spain, Sweden, United Kingdom")</f>
        <v/>
      </c>
      <c r="N1431" s="1">
        <f>IFERROR(__xludf.DUMMYFUNCTION("""COMPUTED_VALUE"""),"11 to 50")</f>
        <v/>
      </c>
      <c r="O1431" s="1">
        <f>IFERROR(__xludf.DUMMYFUNCTION("""COMPUTED_VALUE"""),"Business to Business")</f>
        <v/>
      </c>
      <c r="P1431" s="1">
        <f>IFERROR(__xludf.DUMMYFUNCTION("""COMPUTED_VALUE"""),"Primary Education, Secondary Education")</f>
        <v/>
      </c>
      <c r="Q1431" s="1">
        <f>IFERROR(__xludf.DUMMYFUNCTION("""COMPUTED_VALUE"""),"System/Administrative, Student interfacing")</f>
        <v/>
      </c>
      <c r="R1431" s="15">
        <f>IFERROR(__xludf.DUMMYFUNCTION("""COMPUTED_VALUE"""),"https://www.instagram.com/edumentors.co.uk/")</f>
        <v/>
      </c>
      <c r="S1431" s="15">
        <f>IFERROR(__xludf.DUMMYFUNCTION("""COMPUTED_VALUE"""),"https://twitter.com/TEdumentors")</f>
        <v/>
      </c>
      <c r="T1431" s="15">
        <f>IFERROR(__xludf.DUMMYFUNCTION("""COMPUTED_VALUE"""),"https://www.linkedin.com/company/edumentorsuk/")</f>
        <v/>
      </c>
      <c r="U1431" s="1">
        <f>IFERROR(__xludf.DUMMYFUNCTION("""COMPUTED_VALUE"""),"Online Tutoring")</f>
        <v/>
      </c>
      <c r="V1431" s="1">
        <f>IFERROR(__xludf.DUMMYFUNCTION("""COMPUTED_VALUE"""),"Edumentors provides a wide range of subject-specific tutoring sessions delivered by expert tutors from prestigious universities. Our platform is tailored to meet the unique needs of individual students, offering personalised learning experiences that boos"&amp;"t confidence and improve academic performance. Through Edumentors, students can access one-on-one tutoring, study resources, exam preparation materials, and guidance on university applications. We are committed to helping students reach their full potenti"&amp;"al and achieve their educational goals.")</f>
        <v/>
      </c>
      <c r="W1431" s="1" t="n"/>
      <c r="X1431" s="1" t="n"/>
      <c r="Y1431" s="15">
        <f>IFERROR(__xludf.DUMMYFUNCTION("""COMPUTED_VALUE"""),"https://drive.google.com/uc?export=view&amp;id=1TIPhJjPN6yGSisiG0DCFpVEi9KIHuZ5b")</f>
        <v/>
      </c>
      <c r="Z1431" s="1">
        <f>IFERROR(__xludf.DUMMYFUNCTION("""COMPUTED_VALUE"""),"Unverified")</f>
        <v/>
      </c>
      <c r="AA1431" s="1" t="n"/>
      <c r="AB1431" s="1" t="n"/>
      <c r="AC1431" s="1" t="n"/>
      <c r="AD1431" s="1" t="n"/>
      <c r="AE1431" s="1" t="n"/>
    </row>
    <row r="1432" ht="42" customHeight="1">
      <c r="A1432" s="14">
        <f>IFERROR(__xludf.DUMMYFUNCTION("""COMPUTED_VALUE"""),45181)</f>
        <v/>
      </c>
      <c r="B1432" s="1">
        <f>IFERROR(__xludf.DUMMYFUNCTION("""COMPUTED_VALUE"""),"ORG_1478")</f>
        <v/>
      </c>
      <c r="C1432" s="1">
        <f>IFERROR(__xludf.DUMMYFUNCTION("""COMPUTED_VALUE"""),TRUE)</f>
        <v/>
      </c>
      <c r="D1432" s="1">
        <f>IFERROR(__xludf.DUMMYFUNCTION("""COMPUTED_VALUE"""),"eKidz.eu")</f>
        <v/>
      </c>
      <c r="E1432" s="15">
        <f>IFERROR(__xludf.DUMMYFUNCTION("""COMPUTED_VALUE"""),"https://www.ekidz.eu")</f>
        <v/>
      </c>
      <c r="F1432" s="1">
        <f>IFERROR(__xludf.DUMMYFUNCTION("""COMPUTED_VALUE"""),"eKidz democratises language education for each child, providing a personalized educational experience for both in classrooms and at home.
With eKidz educators are creating a personalized language experience for every student by identifying and addressing"&amp;" his or her individual needs. We offer a cohesive levelled reading program employing 21st century technology with all of its capacities (AI, audio support, visual animation, etc.) in English, Spanish, German and Ukrainian. We enable synchronization of K-6"&amp;" literacy instructions in first/second language and bilingual programs for school districts and individual schools. With our mobile solution educators and administrators provide support for talent development and at-risk students in multiple languages.
e"&amp;"Kidz.eu addresses the need to transform the concept of learning-teaching from a mere act of memorization to self-learning, to acquire knowledge under the guidance of the teacher and with the support of digital resources.")</f>
        <v/>
      </c>
      <c r="G1432" s="1">
        <f>IFERROR(__xludf.DUMMYFUNCTION("""COMPUTED_VALUE"""),"I'm not part of any EdTech association")</f>
        <v/>
      </c>
      <c r="H1432" s="1" t="n"/>
      <c r="I1432" s="1">
        <f>IFERROR(__xludf.DUMMYFUNCTION("""COMPUTED_VALUE"""),"info@ekidz.eu")</f>
        <v/>
      </c>
      <c r="J1432" s="1">
        <f>IFERROR(__xludf.DUMMYFUNCTION("""COMPUTED_VALUE"""),"0049 (0)89 20940905")</f>
        <v/>
      </c>
      <c r="K1432" s="1">
        <f>IFERROR(__xludf.DUMMYFUNCTION("""COMPUTED_VALUE"""),"MUNICH")</f>
        <v/>
      </c>
      <c r="L1432" s="1">
        <f>IFERROR(__xludf.DUMMYFUNCTION("""COMPUTED_VALUE"""),"Germany")</f>
        <v/>
      </c>
      <c r="M1432" s="1">
        <f>IFERROR(__xludf.DUMMYFUNCTION("""COMPUTED_VALUE"""),"Austria, Germany, Luxembourg, Poland, Portugal, Spain, Sweden, Switzerland, Ukraine, United Kingdom")</f>
        <v/>
      </c>
      <c r="N1432" s="1">
        <f>IFERROR(__xludf.DUMMYFUNCTION("""COMPUTED_VALUE"""),"11 to 50")</f>
        <v/>
      </c>
      <c r="O1432" s="1">
        <f>IFERROR(__xludf.DUMMYFUNCTION("""COMPUTED_VALUE"""),"Business to Business, Business to Consumer")</f>
        <v/>
      </c>
      <c r="P1432" s="1">
        <f>IFERROR(__xludf.DUMMYFUNCTION("""COMPUTED_VALUE"""),"Primary Education, Secondary Education")</f>
        <v/>
      </c>
      <c r="Q1432" s="1">
        <f>IFERROR(__xludf.DUMMYFUNCTION("""COMPUTED_VALUE"""),"System/Administrative, Student interfacing, Teacher interfacing")</f>
        <v/>
      </c>
      <c r="R1432" s="15">
        <f>IFERROR(__xludf.DUMMYFUNCTION("""COMPUTED_VALUE"""),"https://www.instagram.com/ekidz.eu/")</f>
        <v/>
      </c>
      <c r="S1432" s="15">
        <f>IFERROR(__xludf.DUMMYFUNCTION("""COMPUTED_VALUE"""),"https://twitter.com/eKidz_eu")</f>
        <v/>
      </c>
      <c r="T1432" s="15">
        <f>IFERROR(__xludf.DUMMYFUNCTION("""COMPUTED_VALUE"""),"https://www.linkedin.com/company/17961410/admin/")</f>
        <v/>
      </c>
      <c r="U1432" s="1">
        <f>IFERROR(__xludf.DUMMYFUNCTION("""COMPUTED_VALUE"""),"eKidz.eu app - Personalised language education for schools")</f>
        <v/>
      </c>
      <c r="V1432" s="1">
        <f>IFERROR(__xludf.DUMMYFUNCTION("""COMPUTED_VALUE"""),"eKidz.eu is a language learning application for beginners through to more advanced school learners (K-6) in English, Spanish, German and Ukrainian.
eKidz.eu was developed with the individual child in mind: to develop and evaluate reading, listening, spea"&amp;"king and comprehension skills at the child’s individual pace and level, meeting the individual’s need in the classroom and remotely. eKidz embraces all elements of language learning through the traditional method of storytelling while harnessing the ubiqu"&amp;"ity of electronics.")</f>
        <v/>
      </c>
      <c r="W1432" s="1">
        <f>IFERROR(__xludf.DUMMYFUNCTION("""COMPUTED_VALUE"""),"eKidz.eu app - Languages made easy for families")</f>
        <v/>
      </c>
      <c r="X1432" s="1">
        <f>IFERROR(__xludf.DUMMYFUNCTION("""COMPUTED_VALUE"""),"eKidz.eu is the app of choice for families to provide support in reading and language learning for children aged 5+.
Carefully created by an acclaimed team of renowned children's authors and top-notch speech therapists, eKidz.eu helps young readers learn"&amp;" languages proficiently with books, companion reading exercises, narration in karaoke-style, storytelling activities and more. Beginner readers engage in a playful way to develop their foundational skills in four key areas of language proficiency: reading"&amp;" fluency, reading comprehension, pronunciation and intonation.")</f>
        <v/>
      </c>
      <c r="Y1432" s="15">
        <f>IFERROR(__xludf.DUMMYFUNCTION("""COMPUTED_VALUE"""),"https://drive.google.com/uc?export=view&amp;id=1GDSlTxv2_UqA8HQbwfG8hs0L1OdjHRwl")</f>
        <v/>
      </c>
      <c r="Z1432" s="1">
        <f>IFERROR(__xludf.DUMMYFUNCTION("""COMPUTED_VALUE"""),"Unverified")</f>
        <v/>
      </c>
      <c r="AA1432" s="1" t="n"/>
      <c r="AB1432" s="1" t="n"/>
      <c r="AC1432" s="1" t="n"/>
      <c r="AD1432" s="1" t="n"/>
      <c r="AE1432" s="1" t="n"/>
    </row>
    <row r="1433" ht="42" customHeight="1">
      <c r="A1433" s="14">
        <f>IFERROR(__xludf.DUMMYFUNCTION("""COMPUTED_VALUE"""),45181)</f>
        <v/>
      </c>
      <c r="B1433" s="1">
        <f>IFERROR(__xludf.DUMMYFUNCTION("""COMPUTED_VALUE"""),"ORG_1499")</f>
        <v/>
      </c>
      <c r="C1433" s="1">
        <f>IFERROR(__xludf.DUMMYFUNCTION("""COMPUTED_VALUE"""),TRUE)</f>
        <v/>
      </c>
      <c r="D1433" s="1">
        <f>IFERROR(__xludf.DUMMYFUNCTION("""COMPUTED_VALUE"""),"Enlight Ed")</f>
        <v/>
      </c>
      <c r="E1433" s="15">
        <f>IFERROR(__xludf.DUMMYFUNCTION("""COMPUTED_VALUE"""),"https://enlighted.app/")</f>
        <v/>
      </c>
      <c r="F1433" s="1">
        <f>IFERROR(__xludf.DUMMYFUNCTION("""COMPUTED_VALUE"""),"Enlight Ed's digital platform turns exercise solving into a conversation. It enables teachers to support students better with their learning gaps in their first year of higher education and reduce the risks of dropping out.")</f>
        <v/>
      </c>
      <c r="G1433" s="1">
        <f>IFERROR(__xludf.DUMMYFUNCTION("""COMPUTED_VALUE"""),"I'm not part of any EdTech association")</f>
        <v/>
      </c>
      <c r="H1433" s="1" t="n"/>
      <c r="I1433" s="1">
        <f>IFERROR(__xludf.DUMMYFUNCTION("""COMPUTED_VALUE"""),"sartou@enlighted.app")</f>
        <v/>
      </c>
      <c r="J1433" s="1">
        <f>IFERROR(__xludf.DUMMYFUNCTION("""COMPUTED_VALUE"""),"+31616493522")</f>
        <v/>
      </c>
      <c r="K1433" s="1">
        <f>IFERROR(__xludf.DUMMYFUNCTION("""COMPUTED_VALUE"""),"Amstelveen")</f>
        <v/>
      </c>
      <c r="L1433" s="1">
        <f>IFERROR(__xludf.DUMMYFUNCTION("""COMPUTED_VALUE"""),"The Netherlands")</f>
        <v/>
      </c>
      <c r="M1433" s="1">
        <f>IFERROR(__xludf.DUMMYFUNCTION("""COMPUTED_VALUE"""),"Belgium, Netherlands, United Kingdom")</f>
        <v/>
      </c>
      <c r="N1433" s="1">
        <f>IFERROR(__xludf.DUMMYFUNCTION("""COMPUTED_VALUE"""),"0 to 10")</f>
        <v/>
      </c>
      <c r="O1433" s="1">
        <f>IFERROR(__xludf.DUMMYFUNCTION("""COMPUTED_VALUE"""),"Business to Business, Business to Consumer")</f>
        <v/>
      </c>
      <c r="P1433" s="1">
        <f>IFERROR(__xludf.DUMMYFUNCTION("""COMPUTED_VALUE"""),"Higher Education")</f>
        <v/>
      </c>
      <c r="Q1433" s="1">
        <f>IFERROR(__xludf.DUMMYFUNCTION("""COMPUTED_VALUE"""),"Teacher interfacing, System/Administrative")</f>
        <v/>
      </c>
      <c r="R1433" s="1" t="n"/>
      <c r="S1433" s="1" t="n"/>
      <c r="T1433" s="1" t="n"/>
      <c r="U1433" s="1" t="n"/>
      <c r="V1433" s="1" t="n"/>
      <c r="W1433" s="1" t="n"/>
      <c r="X1433" s="1" t="n"/>
      <c r="Y1433" s="15">
        <f>IFERROR(__xludf.DUMMYFUNCTION("""COMPUTED_VALUE"""),"https://drive.google.com/uc?export=view&amp;id=1Tvo__8cEngfyPIdylpneeTwrGRLdjog9")</f>
        <v/>
      </c>
      <c r="Z1433" s="1">
        <f>IFERROR(__xludf.DUMMYFUNCTION("""COMPUTED_VALUE"""),"Unverified")</f>
        <v/>
      </c>
      <c r="AA1433" s="1" t="n"/>
      <c r="AB1433" s="1" t="n"/>
      <c r="AC1433" s="1" t="n"/>
      <c r="AD1433" s="1" t="n"/>
      <c r="AE1433" s="1" t="n"/>
    </row>
    <row r="1434" ht="42" customHeight="1">
      <c r="A1434" s="14">
        <f>IFERROR(__xludf.DUMMYFUNCTION("""COMPUTED_VALUE"""),45181)</f>
        <v/>
      </c>
      <c r="B1434" s="1">
        <f>IFERROR(__xludf.DUMMYFUNCTION("""COMPUTED_VALUE"""),"ORG_1532")</f>
        <v/>
      </c>
      <c r="C1434" s="1">
        <f>IFERROR(__xludf.DUMMYFUNCTION("""COMPUTED_VALUE"""),TRUE)</f>
        <v/>
      </c>
      <c r="D1434" s="1">
        <f>IFERROR(__xludf.DUMMYFUNCTION("""COMPUTED_VALUE"""),"Evrlearn")</f>
        <v/>
      </c>
      <c r="E1434" s="15">
        <f>IFERROR(__xludf.DUMMYFUNCTION("""COMPUTED_VALUE"""),"https://www.evrlearn.ch/")</f>
        <v/>
      </c>
      <c r="F1434" s="1">
        <f>IFERROR(__xludf.DUMMYFUNCTION("""COMPUTED_VALUE"""),"Evrlearn is a mission-driven startup focused on building products to enable millions of people in leading a self-determined career and achieving their dreams. We got started on a long journey in building a new Circular Skill Economy to unlock the individu"&amp;"al potential of millions of people, connecting them with the jobs they love and with the upskilling opportunities they trust for building their skills.")</f>
        <v/>
      </c>
      <c r="G1434" s="1">
        <f>IFERROR(__xludf.DUMMYFUNCTION("""COMPUTED_VALUE"""),"I'm not part of any EdTech association")</f>
        <v/>
      </c>
      <c r="H1434" s="1" t="n"/>
      <c r="I1434" s="1">
        <f>IFERROR(__xludf.DUMMYFUNCTION("""COMPUTED_VALUE"""),"felix@evrlearn.com")</f>
        <v/>
      </c>
      <c r="J1434" s="1">
        <f>IFERROR(__xludf.DUMMYFUNCTION("""COMPUTED_VALUE"""),"+41 79 155 8000")</f>
        <v/>
      </c>
      <c r="K1434" s="1">
        <f>IFERROR(__xludf.DUMMYFUNCTION("""COMPUTED_VALUE"""),"ZURICH")</f>
        <v/>
      </c>
      <c r="L1434" s="1">
        <f>IFERROR(__xludf.DUMMYFUNCTION("""COMPUTED_VALUE"""),"Switzerland")</f>
        <v/>
      </c>
      <c r="M1434" s="1">
        <f>IFERROR(__xludf.DUMMYFUNCTION("""COMPUTED_VALUE"""),"Germany, Switzerland")</f>
        <v/>
      </c>
      <c r="N1434" s="1">
        <f>IFERROR(__xludf.DUMMYFUNCTION("""COMPUTED_VALUE"""),"0 to 10")</f>
        <v/>
      </c>
      <c r="O1434" s="1">
        <f>IFERROR(__xludf.DUMMYFUNCTION("""COMPUTED_VALUE"""),"Business to Business, Business to Consumer")</f>
        <v/>
      </c>
      <c r="P1434" s="1">
        <f>IFERROR(__xludf.DUMMYFUNCTION("""COMPUTED_VALUE"""),"Corporate Training, Lifelong learning/Adult education")</f>
        <v/>
      </c>
      <c r="Q1434" s="1">
        <f>IFERROR(__xludf.DUMMYFUNCTION("""COMPUTED_VALUE"""),"Teacher interfacing, Student interfacing, System/Administrative")</f>
        <v/>
      </c>
      <c r="R1434" s="1" t="n"/>
      <c r="S1434" s="1" t="n"/>
      <c r="T1434" s="1" t="n"/>
      <c r="U1434" s="1" t="n"/>
      <c r="V1434" s="1" t="n"/>
      <c r="W1434" s="1" t="n"/>
      <c r="X1434" s="1" t="n"/>
      <c r="Y1434" s="15">
        <f>IFERROR(__xludf.DUMMYFUNCTION("""COMPUTED_VALUE"""),"https://drive.google.com/uc?export=view&amp;id=1dMugZR0fP8uORhsyOBfLBnYwn1Li_eL6")</f>
        <v/>
      </c>
      <c r="Z1434" s="1">
        <f>IFERROR(__xludf.DUMMYFUNCTION("""COMPUTED_VALUE"""),"Unverified")</f>
        <v/>
      </c>
      <c r="AA1434" s="1" t="n"/>
      <c r="AB1434" s="1" t="n"/>
      <c r="AC1434" s="1" t="n"/>
      <c r="AD1434" s="1" t="n"/>
      <c r="AE1434" s="1" t="n"/>
    </row>
    <row r="1435" ht="42" customHeight="1">
      <c r="A1435" s="14">
        <f>IFERROR(__xludf.DUMMYFUNCTION("""COMPUTED_VALUE"""),45181)</f>
        <v/>
      </c>
      <c r="B1435" s="1">
        <f>IFERROR(__xludf.DUMMYFUNCTION("""COMPUTED_VALUE"""),"ORG_1536")</f>
        <v/>
      </c>
      <c r="C1435" s="1">
        <f>IFERROR(__xludf.DUMMYFUNCTION("""COMPUTED_VALUE"""),TRUE)</f>
        <v/>
      </c>
      <c r="D1435" s="15">
        <f>IFERROR(__xludf.DUMMYFUNCTION("""COMPUTED_VALUE"""),"Exam.net")</f>
        <v/>
      </c>
      <c r="E1435" s="15">
        <f>IFERROR(__xludf.DUMMYFUNCTION("""COMPUTED_VALUE"""),"https://exam.net/")</f>
        <v/>
      </c>
      <c r="F1435" s="1">
        <f>IFERROR(__xludf.DUMMYFUNCTION("""COMPUTED_VALUE"""),"Exam.net is a platform for conducting secure digital exams. Created by teachers who understand the realities of the classroom, the platform is user friendly and intuitive. Exam.net is used by schools and universities in more than 100 countries all over th"&amp;"e world, both to conduct national examinations and regular exams and assignments.")</f>
        <v/>
      </c>
      <c r="G1435" s="1">
        <f>IFERROR(__xludf.DUMMYFUNCTION("""COMPUTED_VALUE"""),"I'm not part of any EdTech association")</f>
        <v/>
      </c>
      <c r="H1435" s="1" t="n"/>
      <c r="I1435" s="1">
        <f>IFERROR(__xludf.DUMMYFUNCTION("""COMPUTED_VALUE"""),"info@exam.net")</f>
        <v/>
      </c>
      <c r="J1435" s="1" t="n"/>
      <c r="K1435" s="1">
        <f>IFERROR(__xludf.DUMMYFUNCTION("""COMPUTED_VALUE"""),"DANDERYD")</f>
        <v/>
      </c>
      <c r="L1435" s="1">
        <f>IFERROR(__xludf.DUMMYFUNCTION("""COMPUTED_VALUE"""),"Sweden")</f>
        <v/>
      </c>
      <c r="M1435" s="1">
        <f>IFERROR(__xludf.DUMMYFUNCTION("""COMPUTED_VALUE"""),"Albania, Andorra, Austria, Belgium, Bosnia and Herzegovina, Bulgaria, Croatia, Czechia, Denmark, Estonia, Finland, France, Georgia, Germany, Greece, Hungary, Ireland, Italy, Kazakhstan, Latvia, Liechtenstein, Lithuania, Luxembourg, Malta, North Macedonia,"&amp;" Poland, Portugal, Romania, Serbia, Slovakia, Slovenia, Spain, Sweden, Switzerland, Turkey, Ukraine, United Kingdom")</f>
        <v/>
      </c>
      <c r="N1435" s="1">
        <f>IFERROR(__xludf.DUMMYFUNCTION("""COMPUTED_VALUE"""),"11 to 50")</f>
        <v/>
      </c>
      <c r="O1435" s="1">
        <f>IFERROR(__xludf.DUMMYFUNCTION("""COMPUTED_VALUE"""),"Business to Business, Business to Consumer")</f>
        <v/>
      </c>
      <c r="P1435" s="1">
        <f>IFERROR(__xludf.DUMMYFUNCTION("""COMPUTED_VALUE"""),"Primary Education, Secondary Education, Higher Education")</f>
        <v/>
      </c>
      <c r="Q1435" s="1">
        <f>IFERROR(__xludf.DUMMYFUNCTION("""COMPUTED_VALUE"""),"Teacher interfacing")</f>
        <v/>
      </c>
      <c r="R1435" s="1" t="n"/>
      <c r="S1435" s="1" t="n"/>
      <c r="T1435" s="1" t="n"/>
      <c r="U1435" s="1" t="n"/>
      <c r="V1435" s="1" t="n"/>
      <c r="W1435" s="1" t="n"/>
      <c r="X1435" s="1" t="n"/>
      <c r="Y1435" s="15">
        <f>IFERROR(__xludf.DUMMYFUNCTION("""COMPUTED_VALUE"""),"https://drive.google.com/uc?export=view&amp;id=1r4zx5Dt9TBtRxJGSWVGP3dhERXMiabIL")</f>
        <v/>
      </c>
      <c r="Z1435" s="1">
        <f>IFERROR(__xludf.DUMMYFUNCTION("""COMPUTED_VALUE"""),"Unverified")</f>
        <v/>
      </c>
      <c r="AA1435" s="1" t="n"/>
      <c r="AB1435" s="1" t="n"/>
      <c r="AC1435" s="1" t="n"/>
      <c r="AD1435" s="1" t="n"/>
      <c r="AE1435" s="1" t="n"/>
    </row>
    <row r="1436" ht="42" customHeight="1">
      <c r="A1436" s="14">
        <f>IFERROR(__xludf.DUMMYFUNCTION("""COMPUTED_VALUE"""),45181)</f>
        <v/>
      </c>
      <c r="B1436" s="1">
        <f>IFERROR(__xludf.DUMMYFUNCTION("""COMPUTED_VALUE"""),"ORG_1540")</f>
        <v/>
      </c>
      <c r="C1436" s="1">
        <f>IFERROR(__xludf.DUMMYFUNCTION("""COMPUTED_VALUE"""),TRUE)</f>
        <v/>
      </c>
      <c r="D1436" s="15">
        <f>IFERROR(__xludf.DUMMYFUNCTION("""COMPUTED_VALUE"""),"eximiatutor.com")</f>
        <v/>
      </c>
      <c r="E1436" s="1">
        <f>IFERROR(__xludf.DUMMYFUNCTION("""COMPUTED_VALUE"""),"eximniatutor.com and eximia.fi")</f>
        <v/>
      </c>
      <c r="F1436" s="1">
        <f>IFERROR(__xludf.DUMMYFUNCTION("""COMPUTED_VALUE"""),"Eximia has over 20 years organised prepping courses and private tutoring in Finland. We started to combine Finnish pedagogic knowhow (well known from our PISA results) and technology. Our goal was develop learning solution to help students to reach the be"&amp;"st grades ever. The innovation Eximiatutor is AI based learning soft ware. Eximiatutor's key advantage is the AI based task revision system. Exmiatutor.com service makes automatic revision of the essay (text) and Math tasks (like teacher). Instant and rig"&amp;"ht timing feedback enhance student's grades and business model cuts the costs. Eximiatutor.com is capable to understand 10 languages.")</f>
        <v/>
      </c>
      <c r="G1436" s="1">
        <f>IFERROR(__xludf.DUMMYFUNCTION("""COMPUTED_VALUE"""),"EdTech Finland")</f>
        <v/>
      </c>
      <c r="H1436" s="1" t="n"/>
      <c r="I1436" s="1">
        <f>IFERROR(__xludf.DUMMYFUNCTION("""COMPUTED_VALUE"""),"pasi.petaja@eximia.fi")</f>
        <v/>
      </c>
      <c r="J1436" s="1">
        <f>IFERROR(__xludf.DUMMYFUNCTION("""COMPUTED_VALUE"""),"+358400766725")</f>
        <v/>
      </c>
      <c r="K1436" s="1">
        <f>IFERROR(__xludf.DUMMYFUNCTION("""COMPUTED_VALUE"""),"Helsinki")</f>
        <v/>
      </c>
      <c r="L1436" s="1">
        <f>IFERROR(__xludf.DUMMYFUNCTION("""COMPUTED_VALUE"""),"Finland")</f>
        <v/>
      </c>
      <c r="M1436" s="1">
        <f>IFERROR(__xludf.DUMMYFUNCTION("""COMPUTED_VALUE"""),"Finland, Latvia, Netherlands, Spain, United Kingdom")</f>
        <v/>
      </c>
      <c r="N1436" s="1">
        <f>IFERROR(__xludf.DUMMYFUNCTION("""COMPUTED_VALUE"""),"0 to 10")</f>
        <v/>
      </c>
      <c r="O1436" s="1">
        <f>IFERROR(__xludf.DUMMYFUNCTION("""COMPUTED_VALUE"""),"Business to Business, Business to Consumer, Business to Government")</f>
        <v/>
      </c>
      <c r="P1436" s="1">
        <f>IFERROR(__xludf.DUMMYFUNCTION("""COMPUTED_VALUE"""),"Secondary Education, Higher Education, Corporate Training")</f>
        <v/>
      </c>
      <c r="Q1436" s="1">
        <f>IFERROR(__xludf.DUMMYFUNCTION("""COMPUTED_VALUE"""),"System/Administrative, Student interfacing, Teacher interfacing")</f>
        <v/>
      </c>
      <c r="R1436" s="15">
        <f>IFERROR(__xludf.DUMMYFUNCTION("""COMPUTED_VALUE"""),"https://www.instagram.com/valmennustiimi_eximia/channel/?hl=fi")</f>
        <v/>
      </c>
      <c r="S1436" s="1">
        <f>IFERROR(__xludf.DUMMYFUNCTION("""COMPUTED_VALUE"""),"Valmennustiimi Eximia Oy")</f>
        <v/>
      </c>
      <c r="T1436" s="15">
        <f>IFERROR(__xludf.DUMMYFUNCTION("""COMPUTED_VALUE"""),"https://www.linkedin.com/company/valmennustiimi-eximia/mycompany/?viewAsMember=true")</f>
        <v/>
      </c>
      <c r="U1436" s="15">
        <f>IFERROR(__xludf.DUMMYFUNCTION("""COMPUTED_VALUE"""),"eximiatutor.com")</f>
        <v/>
      </c>
      <c r="V1436" s="1">
        <f>IFERROR(__xludf.DUMMYFUNCTION("""COMPUTED_VALUE"""),"Eximiatutor.com is as SaaS model working AI based learning and tutoring service. Solution makes automatic revision of the essay (text) and Math tasks (like teacher). Instant and right timing feedback enhance student's grades and business model cuts the co"&amp;"sts, so the price is reasonable cheap. 
Eximiatutor.com customer segments:
1.) (B2C) K-12 students and other students (universities, adults)
2.) (B2B) Companies, education institutes, HR business 
Eximiatutor offers at first stage 1.) ready-made conten"&amp;"t and 2.) Company's own content. We offer High School tutoring and courses in main western languages.
In the second stage open platform as SaaS model will be launched.")</f>
        <v/>
      </c>
      <c r="W1436" s="1" t="n"/>
      <c r="X1436" s="1" t="n"/>
      <c r="Y1436" s="1" t="n"/>
      <c r="Z1436" s="1">
        <f>IFERROR(__xludf.DUMMYFUNCTION("""COMPUTED_VALUE"""),"Unverified")</f>
        <v/>
      </c>
      <c r="AA1436" s="1" t="n"/>
      <c r="AB1436" s="1" t="n"/>
      <c r="AC1436" s="1" t="n"/>
      <c r="AD1436" s="1" t="n"/>
      <c r="AE1436" s="1" t="n"/>
    </row>
    <row r="1437" ht="42" customHeight="1">
      <c r="A1437" s="14">
        <f>IFERROR(__xludf.DUMMYFUNCTION("""COMPUTED_VALUE"""),45181)</f>
        <v/>
      </c>
      <c r="B1437" s="1">
        <f>IFERROR(__xludf.DUMMYFUNCTION("""COMPUTED_VALUE"""),"ORG_1559")</f>
        <v/>
      </c>
      <c r="C1437" s="1">
        <f>IFERROR(__xludf.DUMMYFUNCTION("""COMPUTED_VALUE"""),TRUE)</f>
        <v/>
      </c>
      <c r="D1437" s="1">
        <f>IFERROR(__xludf.DUMMYFUNCTION("""COMPUTED_VALUE"""),"FeedbackFruits")</f>
        <v/>
      </c>
      <c r="E1437" s="15">
        <f>IFERROR(__xludf.DUMMYFUNCTION("""COMPUTED_VALUE"""),"https://feedbackfruits.com")</f>
        <v/>
      </c>
      <c r="F1437" s="1">
        <f>IFERROR(__xludf.DUMMYFUNCTION("""COMPUTED_VALUE"""),"FeedbackFruits is an edtech company based in Amsterdam, whose mission is to help foster a generation of critical and empathic thinkers through education. Working together with over 100 leading universities, FeedbackFruits co-creates pedagogical tooling so"&amp;" teachers can implement world class learning experiences with 1% of the original workload. This LMS-integrated tool suite encompasses a wide range of engaging learning activities from self &amp; peer assessment to team-based learning.
The tools are now used "&amp;"by universities in Europe and worldwide such as TU Delft, MITx, the Wharton School and Deakin University. From its partnership with Microsoft to becoming a winner at the Reimagine Education Awards, FeedbackFruits has been fulfilling its mission to drive p"&amp;"edagogical innovation.")</f>
        <v/>
      </c>
      <c r="G1437" s="1">
        <f>IFERROR(__xludf.DUMMYFUNCTION("""COMPUTED_VALUE"""),"Dutch EdTech")</f>
        <v/>
      </c>
      <c r="H1437" s="1" t="n"/>
      <c r="I1437" s="1">
        <f>IFERROR(__xludf.DUMMYFUNCTION("""COMPUTED_VALUE"""),"we@feedbackfruits.com")</f>
        <v/>
      </c>
      <c r="J1437" s="1" t="n"/>
      <c r="K1437" s="1">
        <f>IFERROR(__xludf.DUMMYFUNCTION("""COMPUTED_VALUE"""),"Amsterdam")</f>
        <v/>
      </c>
      <c r="L1437" s="1">
        <f>IFERROR(__xludf.DUMMYFUNCTION("""COMPUTED_VALUE"""),"The Netherlands")</f>
        <v/>
      </c>
      <c r="M1437" s="1">
        <f>IFERROR(__xludf.DUMMYFUNCTION("""COMPUTED_VALUE"""),"Belgium, France, Germany, Iceland, Ireland, Italy, Netherlands, Norway, Portugal, Spain, Sweden, United Kingdom")</f>
        <v/>
      </c>
      <c r="N1437" s="1">
        <f>IFERROR(__xludf.DUMMYFUNCTION("""COMPUTED_VALUE"""),"51 to 100")</f>
        <v/>
      </c>
      <c r="O1437" s="1">
        <f>IFERROR(__xludf.DUMMYFUNCTION("""COMPUTED_VALUE"""),"Business to Business, Business to Consumer, Business to Government, Business to Schools")</f>
        <v/>
      </c>
      <c r="P1437" s="1">
        <f>IFERROR(__xludf.DUMMYFUNCTION("""COMPUTED_VALUE"""),"Higher Education")</f>
        <v/>
      </c>
      <c r="Q1437" s="1">
        <f>IFERROR(__xludf.DUMMYFUNCTION("""COMPUTED_VALUE"""),"Teacher interfacing, System/Administrative")</f>
        <v/>
      </c>
      <c r="R1437" s="15">
        <f>IFERROR(__xludf.DUMMYFUNCTION("""COMPUTED_VALUE"""),"https://www.instagram.com/feedbackfruits")</f>
        <v/>
      </c>
      <c r="S1437" s="15">
        <f>IFERROR(__xludf.DUMMYFUNCTION("""COMPUTED_VALUE"""),"https://www.twitter.com/feedbackfruits")</f>
        <v/>
      </c>
      <c r="T1437" s="15">
        <f>IFERROR(__xludf.DUMMYFUNCTION("""COMPUTED_VALUE"""),"https://www.linkedin.com/company/feedbackfruits")</f>
        <v/>
      </c>
      <c r="U1437" s="1">
        <f>IFERROR(__xludf.DUMMYFUNCTION("""COMPUTED_VALUE"""),"FeedbackFruits Tool Suite")</f>
        <v/>
      </c>
      <c r="V1437" s="1">
        <f>IFERROR(__xludf.DUMMYFUNCTION("""COMPUTED_VALUE"""),"FeedbackFruits Tool Suite helps educators design engaging courses with learning activities such as peer assessment, team based learning, interactive study material and online discussions in a scalable and flexible manner. The suite integrates into Learnin"&amp;"g Management Systems such as Canvas and Brightspace to keep assignments organised and ensure easy access for teachers and students.")</f>
        <v/>
      </c>
      <c r="W1437" s="1" t="n"/>
      <c r="X1437" s="1" t="n"/>
      <c r="Y1437" s="15">
        <f>IFERROR(__xludf.DUMMYFUNCTION("""COMPUTED_VALUE"""),"https://drive.google.com/uc?export=view&amp;id=1zJTM2wgDxCMGc2Slc2310Q3G4OE7rsFo")</f>
        <v/>
      </c>
      <c r="Z1437" s="1">
        <f>IFERROR(__xludf.DUMMYFUNCTION("""COMPUTED_VALUE"""),"Unverified")</f>
        <v/>
      </c>
      <c r="AA1437" s="1" t="n"/>
      <c r="AB1437" s="1" t="n"/>
      <c r="AC1437" s="1" t="n"/>
      <c r="AD1437" s="1" t="n"/>
      <c r="AE1437" s="1" t="n"/>
    </row>
    <row r="1438" ht="42" customHeight="1">
      <c r="A1438" s="14">
        <f>IFERROR(__xludf.DUMMYFUNCTION("""COMPUTED_VALUE"""),45181)</f>
        <v/>
      </c>
      <c r="B1438" s="1">
        <f>IFERROR(__xludf.DUMMYFUNCTION("""COMPUTED_VALUE"""),"ORG_1593")</f>
        <v/>
      </c>
      <c r="C1438" s="1">
        <f>IFERROR(__xludf.DUMMYFUNCTION("""COMPUTED_VALUE"""),TRUE)</f>
        <v/>
      </c>
      <c r="D1438" s="1">
        <f>IFERROR(__xludf.DUMMYFUNCTION("""COMPUTED_VALUE"""),"FunniFin")</f>
        <v/>
      </c>
      <c r="E1438" s="15">
        <f>IFERROR(__xludf.DUMMYFUNCTION("""COMPUTED_VALUE"""),"https://www.funnifin.com/")</f>
        <v/>
      </c>
      <c r="F1438" s="1">
        <f>IFERROR(__xludf.DUMMYFUNCTION("""COMPUTED_VALUE"""),"Financial education tool as a service for financial institutions, fintech companies and banks. FunniFin improves your client's financial literacy and enhance customer loyalty.
FunniFin is also your trusted financial wellness platform, dedicated to empowe"&amp;"ring employees to make informed and confident financial choices. We collaborate closely with employers to address the number one concern that employees bring to the workplace: their financial well-being.
Our mission is to make financial education funny a"&amp;"nd accessible for everyone.")</f>
        <v/>
      </c>
      <c r="G1438" s="1">
        <f>IFERROR(__xludf.DUMMYFUNCTION("""COMPUTED_VALUE"""),"EdTech Italia")</f>
        <v/>
      </c>
      <c r="H1438" s="1">
        <f>IFERROR(__xludf.DUMMYFUNCTION("""COMPUTED_VALUE"""),"Italian, English")</f>
        <v/>
      </c>
      <c r="I1438" s="1">
        <f>IFERROR(__xludf.DUMMYFUNCTION("""COMPUTED_VALUE"""),"leonardo.capotosto@funnifin.com")</f>
        <v/>
      </c>
      <c r="J1438" s="1">
        <f>IFERROR(__xludf.DUMMYFUNCTION("""COMPUTED_VALUE"""),"+393891608303")</f>
        <v/>
      </c>
      <c r="K1438" s="1">
        <f>IFERROR(__xludf.DUMMYFUNCTION("""COMPUTED_VALUE"""),"FLORENCE")</f>
        <v/>
      </c>
      <c r="L1438" s="1">
        <f>IFERROR(__xludf.DUMMYFUNCTION("""COMPUTED_VALUE"""),"Italy")</f>
        <v/>
      </c>
      <c r="M1438" s="1">
        <f>IFERROR(__xludf.DUMMYFUNCTION("""COMPUTED_VALUE"""),"Denmark, Finland, Italy, Sweden, United Kingdom")</f>
        <v/>
      </c>
      <c r="N1438" s="1">
        <f>IFERROR(__xludf.DUMMYFUNCTION("""COMPUTED_VALUE"""),"3 to 5")</f>
        <v/>
      </c>
      <c r="O1438" s="1">
        <f>IFERROR(__xludf.DUMMYFUNCTION("""COMPUTED_VALUE"""),"Business to Business, Business to Consumer, Business to Government, Business to Schools")</f>
        <v/>
      </c>
      <c r="P1438" s="1">
        <f>IFERROR(__xludf.DUMMYFUNCTION("""COMPUTED_VALUE"""),"Corporate Training, Lifelong learning/Adult education")</f>
        <v/>
      </c>
      <c r="Q1438" s="1">
        <f>IFERROR(__xludf.DUMMYFUNCTION("""COMPUTED_VALUE"""),"System/Administrative")</f>
        <v/>
      </c>
      <c r="R1438" s="15">
        <f>IFERROR(__xludf.DUMMYFUNCTION("""COMPUTED_VALUE"""),"https://instagram.com/funnifin_app?igshid=MzRlODBiNWFlZA==")</f>
        <v/>
      </c>
      <c r="S1438" s="1" t="n"/>
      <c r="T1438" s="15">
        <f>IFERROR(__xludf.DUMMYFUNCTION("""COMPUTED_VALUE"""),"https://www.linkedin.com/company/funnifin/?viewAsMember=true")</f>
        <v/>
      </c>
      <c r="U1438" s="1">
        <f>IFERROR(__xludf.DUMMYFUNCTION("""COMPUTED_VALUE"""),"FunniFin")</f>
        <v/>
      </c>
      <c r="V1438" s="1">
        <f>IFERROR(__xludf.DUMMYFUNCTION("""COMPUTED_VALUE"""),"Financial education tool as a service for financial institutions, fintech companies and banks. FunniFin improves your client's financial literacy and enhance customer loyalty.
FunniFin is also your trusted financial wellness platform, dedicated to empowe"&amp;"ring employees to make informed and confident financial choices. We collaborate closely with employers to address the number one concern that employees bring to the workplace: their financial well-being.
Our mission is to make financial education funny a"&amp;"nd accessible for everyone.")</f>
        <v/>
      </c>
      <c r="W1438" s="1" t="n"/>
      <c r="X1438" s="1" t="n"/>
      <c r="Y1438" s="15">
        <f>IFERROR(__xludf.DUMMYFUNCTION("""COMPUTED_VALUE"""),"https://drive.google.com/uc?export=view&amp;id=1teAsuFWEpm3Uk29BFk140S5AigUEdQBU")</f>
        <v/>
      </c>
      <c r="Z1438" s="1">
        <f>IFERROR(__xludf.DUMMYFUNCTION("""COMPUTED_VALUE"""),"Unverified")</f>
        <v/>
      </c>
      <c r="AA1438" s="1" t="n"/>
      <c r="AB1438" s="1" t="n"/>
      <c r="AC1438" s="1" t="n"/>
      <c r="AD1438" s="1" t="n"/>
      <c r="AE1438" s="1" t="n"/>
    </row>
    <row r="1439" ht="42" customHeight="1">
      <c r="A1439" s="14">
        <f>IFERROR(__xludf.DUMMYFUNCTION("""COMPUTED_VALUE"""),45181)</f>
        <v/>
      </c>
      <c r="B1439" s="1">
        <f>IFERROR(__xludf.DUMMYFUNCTION("""COMPUTED_VALUE"""),"ORG_1615")</f>
        <v/>
      </c>
      <c r="C1439" s="1">
        <f>IFERROR(__xludf.DUMMYFUNCTION("""COMPUTED_VALUE"""),TRUE)</f>
        <v/>
      </c>
      <c r="D1439" s="1">
        <f>IFERROR(__xludf.DUMMYFUNCTION("""COMPUTED_VALUE"""),"Genially")</f>
        <v/>
      </c>
      <c r="E1439" s="15">
        <f>IFERROR(__xludf.DUMMYFUNCTION("""COMPUTED_VALUE"""),"https://genially.com?utm_source=EuropeanEdtechAllianceMap&amp;utm_medium=web&amp;utm_campaign=EdTechMap")</f>
        <v/>
      </c>
      <c r="F1439" s="1">
        <f>IFERROR(__xludf.DUMMYFUNCTION("""COMPUTED_VALUE"""),"Genially is an online tool for creating digital content, which anyone can use to make presentations, infographics, gamifications, images, and other content interactive. It's simple and free.
Genially's aim is clear; we want everyone to be able to communic"&amp;"ate effectively and keep their audience on its toes while reaching a whole new level and creating content they didn't know they were capable of making.
Our mission is to enable anyone to create content that's astonishing, visual, and interactive. That's w"&amp;"hy we want interactive content to be the new standard. Our content formats aren't just presentations or infographics; they're geniallys.")</f>
        <v/>
      </c>
      <c r="G1439" s="1">
        <f>IFERROR(__xludf.DUMMYFUNCTION("""COMPUTED_VALUE"""),"EdTech France")</f>
        <v/>
      </c>
      <c r="H1439" s="1" t="n"/>
      <c r="I1439" s="1">
        <f>IFERROR(__xludf.DUMMYFUNCTION("""COMPUTED_VALUE"""),"info@genially.com")</f>
        <v/>
      </c>
      <c r="J1439" s="1" t="n"/>
      <c r="K1439" s="1">
        <f>IFERROR(__xludf.DUMMYFUNCTION("""COMPUTED_VALUE"""),"CORDOBA")</f>
        <v/>
      </c>
      <c r="L1439" s="1">
        <f>IFERROR(__xludf.DUMMYFUNCTION("""COMPUTED_VALUE"""),"Spain")</f>
        <v/>
      </c>
      <c r="M143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439" s="1">
        <f>IFERROR(__xludf.DUMMYFUNCTION("""COMPUTED_VALUE"""),"100+")</f>
        <v/>
      </c>
      <c r="O1439" s="1">
        <f>IFERROR(__xludf.DUMMYFUNCTION("""COMPUTED_VALUE"""),"Business to Business, Business to Consumer, Business to Government, Business to Schools")</f>
        <v/>
      </c>
      <c r="P1439" s="1">
        <f>IFERROR(__xludf.DUMMYFUNCTION("""COMPUTED_VALUE"""),"Primary Education, Secondary Education, Higher Education, Corporate Training, Lifelong learning/Adult education")</f>
        <v/>
      </c>
      <c r="Q1439" s="1">
        <f>IFERROR(__xludf.DUMMYFUNCTION("""COMPUTED_VALUE"""),"Student interfacing, Teacher interfacing, System/Administrative")</f>
        <v/>
      </c>
      <c r="R1439" s="15">
        <f>IFERROR(__xludf.DUMMYFUNCTION("""COMPUTED_VALUE"""),"https://www.instagram.com/genially_official/")</f>
        <v/>
      </c>
      <c r="S1439" s="15">
        <f>IFERROR(__xludf.DUMMYFUNCTION("""COMPUTED_VALUE"""),"https://twitter.com/genially")</f>
        <v/>
      </c>
      <c r="T1439" s="15">
        <f>IFERROR(__xludf.DUMMYFUNCTION("""COMPUTED_VALUE"""),"https://www.linkedin.com/company/geniallyofficial/")</f>
        <v/>
      </c>
      <c r="U1439" s="1">
        <f>IFERROR(__xludf.DUMMYFUNCTION("""COMPUTED_VALUE"""),"Genially")</f>
        <v/>
      </c>
      <c r="V1439" s="1">
        <f>IFERROR(__xludf.DUMMYFUNCTION("""COMPUTED_VALUE"""),"Genially is an online tool for creating digital content, which anyone can use to make presentations, infographics, gamifications, images, and other content interactive. It's simple and free.")</f>
        <v/>
      </c>
      <c r="W1439" s="1" t="n"/>
      <c r="X1439" s="1" t="n"/>
      <c r="Y1439" s="15">
        <f>IFERROR(__xludf.DUMMYFUNCTION("""COMPUTED_VALUE"""),"https://drive.google.com/uc?export=view&amp;id=1ItOWzrqzN816-Lt2ezVugBj7CswsK9fD")</f>
        <v/>
      </c>
      <c r="Z1439" s="1">
        <f>IFERROR(__xludf.DUMMYFUNCTION("""COMPUTED_VALUE"""),"Unverified")</f>
        <v/>
      </c>
      <c r="AA1439" s="1" t="n"/>
      <c r="AB1439" s="1" t="n"/>
      <c r="AC1439" s="1" t="n"/>
      <c r="AD1439" s="1" t="n"/>
      <c r="AE1439" s="1" t="n"/>
    </row>
    <row r="1440" ht="42" customHeight="1">
      <c r="A1440" s="14">
        <f>IFERROR(__xludf.DUMMYFUNCTION("""COMPUTED_VALUE"""),45181)</f>
        <v/>
      </c>
      <c r="B1440" s="1">
        <f>IFERROR(__xludf.DUMMYFUNCTION("""COMPUTED_VALUE"""),"ORG_1623")</f>
        <v/>
      </c>
      <c r="C1440" s="1">
        <f>IFERROR(__xludf.DUMMYFUNCTION("""COMPUTED_VALUE"""),TRUE)</f>
        <v/>
      </c>
      <c r="D1440" s="1">
        <f>IFERROR(__xludf.DUMMYFUNCTION("""COMPUTED_VALUE"""),"Ginntech")</f>
        <v/>
      </c>
      <c r="E1440" s="15">
        <f>IFERROR(__xludf.DUMMYFUNCTION("""COMPUTED_VALUE"""),"https://ginntech.com/")</f>
        <v/>
      </c>
      <c r="F1440" s="1">
        <f>IFERROR(__xludf.DUMMYFUNCTION("""COMPUTED_VALUE"""),"Ginntech is a Norwegian ed-tech company. We develop user-friendly, powerful, and smart digital solutions to colleges, universities and vocational schools. Our expertise lies within collaboration solutions and support for process flow at educational instit"&amp;"utions.
Our main solutions are:
- Eudutorium, our Curriculum Management system. It is a SAAS solution to meet the quality challenges in course design, development and approval processes and outcomes! Intelligent workflows allow people with different obj"&amp;"ectives and skillsets to work together seamlessly, and with great efficiency. Edutorium is designed to create a maintenance-free, robustly structured, searchable catalogue of all course descriptions, study plans and materials for archiving and live use
-"&amp;" Mimir, our platform for data collection and data analysis! We have developed different MIMIR application, including our advanced curriculum portal, MIRL (Mimir Insight Reading List)
We tailor system support for work processes and digital workflow for al"&amp;"l educational institutions.")</f>
        <v/>
      </c>
      <c r="G1440" s="1">
        <f>IFERROR(__xludf.DUMMYFUNCTION("""COMPUTED_VALUE"""),"I'm not part of any EdTech association")</f>
        <v/>
      </c>
      <c r="H1440" s="1" t="n"/>
      <c r="I1440" s="1">
        <f>IFERROR(__xludf.DUMMYFUNCTION("""COMPUTED_VALUE"""),"svein@ginntech.no")</f>
        <v/>
      </c>
      <c r="J1440" s="1">
        <f>IFERROR(__xludf.DUMMYFUNCTION("""COMPUTED_VALUE"""),"+47 90666864")</f>
        <v/>
      </c>
      <c r="K1440" s="1">
        <f>IFERROR(__xludf.DUMMYFUNCTION("""COMPUTED_VALUE"""),"TRONDHEIM")</f>
        <v/>
      </c>
      <c r="L1440" s="1">
        <f>IFERROR(__xludf.DUMMYFUNCTION("""COMPUTED_VALUE"""),"Norway")</f>
        <v/>
      </c>
      <c r="M1440" s="1">
        <f>IFERROR(__xludf.DUMMYFUNCTION("""COMPUTED_VALUE"""),"Norway")</f>
        <v/>
      </c>
      <c r="N1440" s="1">
        <f>IFERROR(__xludf.DUMMYFUNCTION("""COMPUTED_VALUE"""),"0 to 10")</f>
        <v/>
      </c>
      <c r="O1440" s="1">
        <f>IFERROR(__xludf.DUMMYFUNCTION("""COMPUTED_VALUE"""),"Business to Business, Business to Consumer, Business to Government, Business to Schools")</f>
        <v/>
      </c>
      <c r="P1440" s="1">
        <f>IFERROR(__xludf.DUMMYFUNCTION("""COMPUTED_VALUE"""),"Higher Education")</f>
        <v/>
      </c>
      <c r="Q1440" s="1">
        <f>IFERROR(__xludf.DUMMYFUNCTION("""COMPUTED_VALUE"""),"System/Administrative")</f>
        <v/>
      </c>
      <c r="R1440" s="1" t="n"/>
      <c r="S1440" s="1" t="n"/>
      <c r="T1440" s="1" t="n"/>
      <c r="U1440" s="1" t="n"/>
      <c r="V1440" s="1" t="n"/>
      <c r="W1440" s="1" t="n"/>
      <c r="X1440" s="1" t="n"/>
      <c r="Y1440" s="15">
        <f>IFERROR(__xludf.DUMMYFUNCTION("""COMPUTED_VALUE"""),"https://drive.google.com/uc?export=view&amp;id=1xTlyWrmVQp73geQm72KLEsNfMyc4yEMt")</f>
        <v/>
      </c>
      <c r="Z1440" s="1">
        <f>IFERROR(__xludf.DUMMYFUNCTION("""COMPUTED_VALUE"""),"Unverified")</f>
        <v/>
      </c>
      <c r="AA1440" s="1" t="n"/>
      <c r="AB1440" s="1" t="n"/>
      <c r="AC1440" s="1" t="n"/>
      <c r="AD1440" s="1" t="n"/>
      <c r="AE1440" s="1" t="n"/>
    </row>
    <row r="1441" ht="42" customHeight="1">
      <c r="A1441" s="14">
        <f>IFERROR(__xludf.DUMMYFUNCTION("""COMPUTED_VALUE"""),45181)</f>
        <v/>
      </c>
      <c r="B1441" s="1">
        <f>IFERROR(__xludf.DUMMYFUNCTION("""COMPUTED_VALUE"""),"ORG_1631")</f>
        <v/>
      </c>
      <c r="C1441" s="1">
        <f>IFERROR(__xludf.DUMMYFUNCTION("""COMPUTED_VALUE"""),TRUE)</f>
        <v/>
      </c>
      <c r="D1441" s="1">
        <f>IFERROR(__xludf.DUMMYFUNCTION("""COMPUTED_VALUE"""),"go4clic")</f>
        <v/>
      </c>
      <c r="E1441" s="15">
        <f>IFERROR(__xludf.DUMMYFUNCTION("""COMPUTED_VALUE"""),"www.go4clic.com")</f>
        <v/>
      </c>
      <c r="F1441" s="1">
        <f>IFERROR(__xludf.DUMMYFUNCTION("""COMPUTED_VALUE"""),"go4clic is the 1st social learning platform that improves training performance, achieving + 95% engagement.
We have identified the power of proposing to participants to solve challenges in a collaborative way, generating community and networking. We simp"&amp;"lify gamification so that teachers can innovate and achieve better results in their training. 
We have an intuitive interface that increases user participation and promotes team values through group deliveries.")</f>
        <v/>
      </c>
      <c r="G1441" s="1">
        <f>IFERROR(__xludf.DUMMYFUNCTION("""COMPUTED_VALUE"""),"I'm not part of any EdTech association")</f>
        <v/>
      </c>
      <c r="H1441" s="1" t="n"/>
      <c r="I1441" s="1">
        <f>IFERROR(__xludf.DUMMYFUNCTION("""COMPUTED_VALUE"""),"hello@go4clic.com")</f>
        <v/>
      </c>
      <c r="J1441" s="1" t="n"/>
      <c r="K1441" s="1">
        <f>IFERROR(__xludf.DUMMYFUNCTION("""COMPUTED_VALUE"""),"Barcelona")</f>
        <v/>
      </c>
      <c r="L1441" s="1">
        <f>IFERROR(__xludf.DUMMYFUNCTION("""COMPUTED_VALUE"""),"Spain")</f>
        <v/>
      </c>
      <c r="M1441" s="1">
        <f>IFERROR(__xludf.DUMMYFUNCTION("""COMPUTED_VALUE"""),"Denmark, France, Germany, Hungary, Italy, Netherlands, Romania, Spain, United Kingdom")</f>
        <v/>
      </c>
      <c r="N1441" s="1">
        <f>IFERROR(__xludf.DUMMYFUNCTION("""COMPUTED_VALUE"""),"0 to 10")</f>
        <v/>
      </c>
      <c r="O1441" s="1">
        <f>IFERROR(__xludf.DUMMYFUNCTION("""COMPUTED_VALUE"""),"Business to Business, Business to Consumer, Business to Government, Business to Schools")</f>
        <v/>
      </c>
      <c r="P1441" s="1">
        <f>IFERROR(__xludf.DUMMYFUNCTION("""COMPUTED_VALUE"""),"Higher Education, Corporate Training, Lifelong learning/Adult education")</f>
        <v/>
      </c>
      <c r="Q1441" s="1">
        <f>IFERROR(__xludf.DUMMYFUNCTION("""COMPUTED_VALUE"""),"Teacher interfacing, Student interfacing, System/Administrative")</f>
        <v/>
      </c>
      <c r="R1441" s="1" t="n"/>
      <c r="S1441" s="1" t="n"/>
      <c r="T1441" s="1" t="n"/>
      <c r="U1441" s="1" t="n"/>
      <c r="V1441" s="1" t="n"/>
      <c r="W1441" s="1" t="n"/>
      <c r="X1441" s="1" t="n"/>
      <c r="Y1441" s="15">
        <f>IFERROR(__xludf.DUMMYFUNCTION("""COMPUTED_VALUE"""),"https://drive.google.com/uc?export=view&amp;id=1ENjkokpe4MYR0tJlreJ8UMynWgPy-yK9")</f>
        <v/>
      </c>
      <c r="Z1441" s="1">
        <f>IFERROR(__xludf.DUMMYFUNCTION("""COMPUTED_VALUE"""),"Unverified")</f>
        <v/>
      </c>
      <c r="AA1441" s="1" t="n"/>
      <c r="AB1441" s="1" t="n"/>
      <c r="AC1441" s="1" t="n"/>
      <c r="AD1441" s="1" t="n"/>
      <c r="AE1441" s="1" t="n"/>
    </row>
    <row r="1442" ht="42" customHeight="1">
      <c r="A1442" s="14">
        <f>IFERROR(__xludf.DUMMYFUNCTION("""COMPUTED_VALUE"""),45181)</f>
        <v/>
      </c>
      <c r="B1442" s="1">
        <f>IFERROR(__xludf.DUMMYFUNCTION("""COMPUTED_VALUE"""),"ORG_1648")</f>
        <v/>
      </c>
      <c r="C1442" s="1">
        <f>IFERROR(__xludf.DUMMYFUNCTION("""COMPUTED_VALUE"""),TRUE)</f>
        <v/>
      </c>
      <c r="D1442" s="1">
        <f>IFERROR(__xludf.DUMMYFUNCTION("""COMPUTED_VALUE"""),"Growth Road")</f>
        <v/>
      </c>
      <c r="E1442" s="15">
        <f>IFERROR(__xludf.DUMMYFUNCTION("""COMPUTED_VALUE"""),"https://www.growthroad.org/")</f>
        <v/>
      </c>
      <c r="F1442" s="1">
        <f>IFERROR(__xludf.DUMMYFUNCTION("""COMPUTED_VALUE"""),"The new era of vocational orientation. Growth Road is a vocational guidance platform guided by artificial intelligence. We guide young people from 16 to 22 years old to discover themselves and find their desired higher education.
Our method is based on m"&amp;"icro-video pills to deliver the content and we define their profile using our artificial intelligence and machine learning algorithms.
Our method is not limited to asking just fixed questions. At GR we believe that vocational guidance should be personali"&amp;"sed and that it should be a process of self-discovery and maturity. For this, we do not use a static form of questions, but a system that adapts to the evolution of the student.")</f>
        <v/>
      </c>
      <c r="G1442" s="1">
        <f>IFERROR(__xludf.DUMMYFUNCTION("""COMPUTED_VALUE"""),"I'm not part of any EdTech association")</f>
        <v/>
      </c>
      <c r="H1442" s="1" t="n"/>
      <c r="I1442" s="1">
        <f>IFERROR(__xludf.DUMMYFUNCTION("""COMPUTED_VALUE"""),"nicopardina@gmail.com")</f>
        <v/>
      </c>
      <c r="J1442" s="1">
        <f>IFERROR(__xludf.DUMMYFUNCTION("""COMPUTED_VALUE"""),"646647063")</f>
        <v/>
      </c>
      <c r="K1442" s="1">
        <f>IFERROR(__xludf.DUMMYFUNCTION("""COMPUTED_VALUE"""),"Madrid")</f>
        <v/>
      </c>
      <c r="L1442" s="1">
        <f>IFERROR(__xludf.DUMMYFUNCTION("""COMPUTED_VALUE"""),"Spain")</f>
        <v/>
      </c>
      <c r="M1442" s="1">
        <f>IFERROR(__xludf.DUMMYFUNCTION("""COMPUTED_VALUE"""),"Spain")</f>
        <v/>
      </c>
      <c r="N1442" s="1">
        <f>IFERROR(__xludf.DUMMYFUNCTION("""COMPUTED_VALUE"""),"11 to 50")</f>
        <v/>
      </c>
      <c r="O1442" s="1">
        <f>IFERROR(__xludf.DUMMYFUNCTION("""COMPUTED_VALUE"""),"Business to Business, Business to Consumer, Business to Government, Business to Schools")</f>
        <v/>
      </c>
      <c r="P1442" s="1">
        <f>IFERROR(__xludf.DUMMYFUNCTION("""COMPUTED_VALUE"""),"Secondary Education, Higher Education")</f>
        <v/>
      </c>
      <c r="Q1442" s="1">
        <f>IFERROR(__xludf.DUMMYFUNCTION("""COMPUTED_VALUE"""),"System/Administrative, Student interfacing")</f>
        <v/>
      </c>
      <c r="R1442" s="1" t="n"/>
      <c r="S1442" s="1" t="n"/>
      <c r="T1442" s="1" t="n"/>
      <c r="U1442" s="1" t="n"/>
      <c r="V1442" s="1" t="n"/>
      <c r="W1442" s="1" t="n"/>
      <c r="X1442" s="1" t="n"/>
      <c r="Y1442" s="15">
        <f>IFERROR(__xludf.DUMMYFUNCTION("""COMPUTED_VALUE"""),"https://drive.google.com/uc?export=view&amp;id=1R267LQA-4rFGbFVLj4B_iP_z2QGxp3II")</f>
        <v/>
      </c>
      <c r="Z1442" s="1">
        <f>IFERROR(__xludf.DUMMYFUNCTION("""COMPUTED_VALUE"""),"Unverified")</f>
        <v/>
      </c>
      <c r="AA1442" s="1" t="n"/>
      <c r="AB1442" s="1" t="n"/>
      <c r="AC1442" s="1" t="n"/>
      <c r="AD1442" s="1" t="n"/>
      <c r="AE1442" s="1" t="n"/>
    </row>
    <row r="1443" ht="42" customHeight="1">
      <c r="A1443" s="14">
        <f>IFERROR(__xludf.DUMMYFUNCTION("""COMPUTED_VALUE"""),45181)</f>
        <v/>
      </c>
      <c r="B1443" s="1">
        <f>IFERROR(__xludf.DUMMYFUNCTION("""COMPUTED_VALUE"""),"ORG_1668")</f>
        <v/>
      </c>
      <c r="C1443" s="1">
        <f>IFERROR(__xludf.DUMMYFUNCTION("""COMPUTED_VALUE"""),TRUE)</f>
        <v/>
      </c>
      <c r="D1443" s="1">
        <f>IFERROR(__xludf.DUMMYFUNCTION("""COMPUTED_VALUE"""),"Health Innovation Academy")</f>
        <v/>
      </c>
      <c r="E1443" s="15">
        <f>IFERROR(__xludf.DUMMYFUNCTION("""COMPUTED_VALUE"""),"https://www.healthinnovationacademy.com/home-en")</f>
        <v/>
      </c>
      <c r="F1443" s="1">
        <f>IFERROR(__xludf.DUMMYFUNCTION("""COMPUTED_VALUE"""),"Health Innovation Academy is an education company based in Finland. We create digital education tools and content to help health and social care teams improve their 21st century competence.")</f>
        <v/>
      </c>
      <c r="G1443" s="1">
        <f>IFERROR(__xludf.DUMMYFUNCTION("""COMPUTED_VALUE"""),"I'm not part of any EdTech association")</f>
        <v/>
      </c>
      <c r="H1443" s="1" t="n"/>
      <c r="I1443" s="1">
        <f>IFERROR(__xludf.DUMMYFUNCTION("""COMPUTED_VALUE"""),"eeva.hia@gmail.com")</f>
        <v/>
      </c>
      <c r="J1443" s="1">
        <f>IFERROR(__xludf.DUMMYFUNCTION("""COMPUTED_VALUE"""),"+ 358 40 5886237")</f>
        <v/>
      </c>
      <c r="K1443" s="1">
        <f>IFERROR(__xludf.DUMMYFUNCTION("""COMPUTED_VALUE"""),"Oulu")</f>
        <v/>
      </c>
      <c r="L1443" s="1">
        <f>IFERROR(__xludf.DUMMYFUNCTION("""COMPUTED_VALUE"""),"Finland")</f>
        <v/>
      </c>
      <c r="M1443" s="1">
        <f>IFERROR(__xludf.DUMMYFUNCTION("""COMPUTED_VALUE"""),"Estonia, Finland, Lithuania, Sweden")</f>
        <v/>
      </c>
      <c r="N1443" s="1">
        <f>IFERROR(__xludf.DUMMYFUNCTION("""COMPUTED_VALUE"""),"0 to 10")</f>
        <v/>
      </c>
      <c r="O1443" s="1">
        <f>IFERROR(__xludf.DUMMYFUNCTION("""COMPUTED_VALUE"""),"Business to Business, Business to Consumer, Business to Government, Business to Schools")</f>
        <v/>
      </c>
      <c r="P1443" s="1">
        <f>IFERROR(__xludf.DUMMYFUNCTION("""COMPUTED_VALUE"""),"Corporate Training, Lifelong learning/Adult education")</f>
        <v/>
      </c>
      <c r="Q1443" s="1">
        <f>IFERROR(__xludf.DUMMYFUNCTION("""COMPUTED_VALUE"""),"System/Administrative")</f>
        <v/>
      </c>
      <c r="R1443" s="1" t="n"/>
      <c r="S1443" s="1" t="n"/>
      <c r="T1443" s="1" t="n"/>
      <c r="U1443" s="1" t="n"/>
      <c r="V1443" s="1" t="n"/>
      <c r="W1443" s="1" t="n"/>
      <c r="X1443" s="1" t="n"/>
      <c r="Y1443" s="15">
        <f>IFERROR(__xludf.DUMMYFUNCTION("""COMPUTED_VALUE"""),"https://drive.google.com/uc?export=view&amp;id=1Ytwl4rIf7A4GqxIaDgRdN1NDJnsEyIPv")</f>
        <v/>
      </c>
      <c r="Z1443" s="1">
        <f>IFERROR(__xludf.DUMMYFUNCTION("""COMPUTED_VALUE"""),"Unverified")</f>
        <v/>
      </c>
      <c r="AA1443" s="1" t="n"/>
      <c r="AB1443" s="1" t="n"/>
      <c r="AC1443" s="1" t="n"/>
      <c r="AD1443" s="1" t="n"/>
      <c r="AE1443" s="1" t="n"/>
    </row>
    <row r="1444" ht="42" customHeight="1">
      <c r="A1444" s="14">
        <f>IFERROR(__xludf.DUMMYFUNCTION("""COMPUTED_VALUE"""),45181)</f>
        <v/>
      </c>
      <c r="B1444" s="1">
        <f>IFERROR(__xludf.DUMMYFUNCTION("""COMPUTED_VALUE"""),"ORG_1714")</f>
        <v/>
      </c>
      <c r="C1444" s="1">
        <f>IFERROR(__xludf.DUMMYFUNCTION("""COMPUTED_VALUE"""),TRUE)</f>
        <v/>
      </c>
      <c r="D1444" s="1">
        <f>IFERROR(__xludf.DUMMYFUNCTION("""COMPUTED_VALUE"""),"imedu")</f>
        <v/>
      </c>
      <c r="E1444" s="15">
        <f>IFERROR(__xludf.DUMMYFUNCTION("""COMPUTED_VALUE"""),"https://imedu.io")</f>
        <v/>
      </c>
      <c r="F1444" s="1">
        <f>IFERROR(__xludf.DUMMYFUNCTION("""COMPUTED_VALUE"""),"imedu provides a platform to create online classes ‘in the metaverse’, enabling educators worldwide to invite their students in an interactive, engaging and virtual learning environment. Using existing templates and lesson plans, you easily set up your ow"&amp;"n 3D learning space like a museum visit, role-play exercise or moon exploration. 
Our goal is to improve remote and online education, by enabling educators to activate students, offer better (remote) social interactions, and provide more engaging and con"&amp;"textual learning environments to increase the overall learning effect.")</f>
        <v/>
      </c>
      <c r="G1444" s="1">
        <f>IFERROR(__xludf.DUMMYFUNCTION("""COMPUTED_VALUE"""),"Dutch EdTech")</f>
        <v/>
      </c>
      <c r="H1444" s="1" t="n"/>
      <c r="I1444" s="1">
        <f>IFERROR(__xludf.DUMMYFUNCTION("""COMPUTED_VALUE"""),"hello@imedu.io")</f>
        <v/>
      </c>
      <c r="J1444" s="1">
        <f>IFERROR(__xludf.DUMMYFUNCTION("""COMPUTED_VALUE"""),"+31 85 401 1073")</f>
        <v/>
      </c>
      <c r="K1444" s="1">
        <f>IFERROR(__xludf.DUMMYFUNCTION("""COMPUTED_VALUE"""),"AMSTERDAM")</f>
        <v/>
      </c>
      <c r="L1444" s="1">
        <f>IFERROR(__xludf.DUMMYFUNCTION("""COMPUTED_VALUE"""),"The Netherlands")</f>
        <v/>
      </c>
      <c r="M1444" s="1">
        <f>IFERROR(__xludf.DUMMYFUNCTION("""COMPUTED_VALUE"""),"Netherlands")</f>
        <v/>
      </c>
      <c r="N1444" s="1">
        <f>IFERROR(__xludf.DUMMYFUNCTION("""COMPUTED_VALUE"""),"0 to 10")</f>
        <v/>
      </c>
      <c r="O1444" s="1">
        <f>IFERROR(__xludf.DUMMYFUNCTION("""COMPUTED_VALUE"""),"Business to Business, Business to Consumer, Business to Schools")</f>
        <v/>
      </c>
      <c r="P1444" s="1">
        <f>IFERROR(__xludf.DUMMYFUNCTION("""COMPUTED_VALUE"""),"Primary Education, Secondary Education, Higher Education, Corporate Training")</f>
        <v/>
      </c>
      <c r="Q1444" s="1">
        <f>IFERROR(__xludf.DUMMYFUNCTION("""COMPUTED_VALUE"""),"Teacher interfacing, System/Administrative")</f>
        <v/>
      </c>
      <c r="R1444" s="1" t="n"/>
      <c r="S1444" s="1">
        <f>IFERROR(__xludf.DUMMYFUNCTION("""COMPUTED_VALUE"""),"@imedu_io")</f>
        <v/>
      </c>
      <c r="T1444" s="15">
        <f>IFERROR(__xludf.DUMMYFUNCTION("""COMPUTED_VALUE"""),"https://www.linkedin.com/company/imedu")</f>
        <v/>
      </c>
      <c r="U1444" s="1">
        <f>IFERROR(__xludf.DUMMYFUNCTION("""COMPUTED_VALUE"""),"imedu")</f>
        <v/>
      </c>
      <c r="V1444" s="1">
        <f>IFERROR(__xludf.DUMMYFUNCTION("""COMPUTED_VALUE"""),"imedu provides a platform to create online classes ‘in the metaverse’, enabling educators worldwide to invite their students in an interactive, engaging and virtual learning environment. Using existing templates and lesson plans, you easily set up your ow"&amp;"n 3D learning space like a museum visit, role-play exercise or moon exploration. To customize your experience, you simply add panels with existing learning materials and links. Each world is accessible in a browser on your laptop or phone, and can be shar"&amp;"ed with others.")</f>
        <v/>
      </c>
      <c r="W1444" s="1" t="n"/>
      <c r="X1444" s="1" t="n"/>
      <c r="Y1444" s="15">
        <f>IFERROR(__xludf.DUMMYFUNCTION("""COMPUTED_VALUE"""),"https://drive.google.com/uc?export=view&amp;id=1PkcolxNXpA_Dx2BWLb18ZcFtqfmjMRqh")</f>
        <v/>
      </c>
      <c r="Z1444" s="1">
        <f>IFERROR(__xludf.DUMMYFUNCTION("""COMPUTED_VALUE"""),"Unverified")</f>
        <v/>
      </c>
      <c r="AA1444" s="1" t="n"/>
      <c r="AB1444" s="1" t="n"/>
      <c r="AC1444" s="1" t="n"/>
      <c r="AD1444" s="1" t="n"/>
      <c r="AE1444" s="1" t="n"/>
    </row>
    <row r="1445" ht="42" customHeight="1">
      <c r="A1445" s="14">
        <f>IFERROR(__xludf.DUMMYFUNCTION("""COMPUTED_VALUE"""),45181)</f>
        <v/>
      </c>
      <c r="B1445" s="1">
        <f>IFERROR(__xludf.DUMMYFUNCTION("""COMPUTED_VALUE"""),"ORG_1756")</f>
        <v/>
      </c>
      <c r="C1445" s="1">
        <f>IFERROR(__xludf.DUMMYFUNCTION("""COMPUTED_VALUE"""),TRUE)</f>
        <v/>
      </c>
      <c r="D1445" s="1">
        <f>IFERROR(__xludf.DUMMYFUNCTION("""COMPUTED_VALUE"""),"Jicki-Sprachduschen")</f>
        <v/>
      </c>
      <c r="E1445" s="15">
        <f>IFERROR(__xludf.DUMMYFUNCTION("""COMPUTED_VALUE"""),"www.jicki.de")</f>
        <v/>
      </c>
      <c r="F1445" s="1">
        <f>IFERROR(__xludf.DUMMYFUNCTION("""COMPUTED_VALUE"""),"Jicki app - language learning by listening. Just put on your headphones, start the Jicki app and off you go. During sports, in the car, on the train or in the evening on the couch. Learn languages anytime and anywhere.
Jicki GmbH is based in Freiburg (Ger"&amp;"many), and the current 12-member team develops the app with a lot of love.")</f>
        <v/>
      </c>
      <c r="G1445" s="1">
        <f>IFERROR(__xludf.DUMMYFUNCTION("""COMPUTED_VALUE"""),"EDUvation")</f>
        <v/>
      </c>
      <c r="H1445" s="1" t="n"/>
      <c r="I1445" s="1">
        <f>IFERROR(__xludf.DUMMYFUNCTION("""COMPUTED_VALUE"""),"info@jicki.de")</f>
        <v/>
      </c>
      <c r="J1445" s="1" t="n"/>
      <c r="K1445" s="1">
        <f>IFERROR(__xludf.DUMMYFUNCTION("""COMPUTED_VALUE"""),"Freiburg im Breisgau")</f>
        <v/>
      </c>
      <c r="L1445" s="1">
        <f>IFERROR(__xludf.DUMMYFUNCTION("""COMPUTED_VALUE"""),"Germany")</f>
        <v/>
      </c>
      <c r="M1445" s="1">
        <f>IFERROR(__xludf.DUMMYFUNCTION("""COMPUTED_VALUE"""),"Austria, Germany, Switzerland, Ukraine")</f>
        <v/>
      </c>
      <c r="N1445" s="1">
        <f>IFERROR(__xludf.DUMMYFUNCTION("""COMPUTED_VALUE"""),"11 to 50")</f>
        <v/>
      </c>
      <c r="O1445" s="1">
        <f>IFERROR(__xludf.DUMMYFUNCTION("""COMPUTED_VALUE"""),"Business to Business, Business to Consumer, Business to Schools")</f>
        <v/>
      </c>
      <c r="P1445" s="1">
        <f>IFERROR(__xludf.DUMMYFUNCTION("""COMPUTED_VALUE"""),"Primary Education, Secondary Education, Higher Education, Corporate Training, Lifelong learning/Adult education")</f>
        <v/>
      </c>
      <c r="Q1445" s="1">
        <f>IFERROR(__xludf.DUMMYFUNCTION("""COMPUTED_VALUE"""),"System/Administrative, Student interfacing")</f>
        <v/>
      </c>
      <c r="R1445" s="1" t="n"/>
      <c r="S1445" s="1" t="n"/>
      <c r="T1445" s="1" t="n"/>
      <c r="U1445" s="1" t="n"/>
      <c r="V1445" s="1" t="n"/>
      <c r="W1445" s="1" t="n"/>
      <c r="X1445" s="1" t="n"/>
      <c r="Y1445" s="15">
        <f>IFERROR(__xludf.DUMMYFUNCTION("""COMPUTED_VALUE"""),"https://drive.google.com/uc?export=view&amp;id=1RUoE2kDYdk6IJCNsGpLonkx_2hi7q8QM")</f>
        <v/>
      </c>
      <c r="Z1445" s="1">
        <f>IFERROR(__xludf.DUMMYFUNCTION("""COMPUTED_VALUE"""),"Unverified")</f>
        <v/>
      </c>
      <c r="AA1445" s="1" t="n"/>
      <c r="AB1445" s="1" t="n"/>
      <c r="AC1445" s="1" t="n"/>
      <c r="AD1445" s="1" t="n"/>
      <c r="AE1445" s="1" t="n"/>
    </row>
    <row r="1446" ht="42" customHeight="1">
      <c r="A1446" s="14">
        <f>IFERROR(__xludf.DUMMYFUNCTION("""COMPUTED_VALUE"""),45181)</f>
        <v/>
      </c>
      <c r="B1446" s="1">
        <f>IFERROR(__xludf.DUMMYFUNCTION("""COMPUTED_VALUE"""),"ORG_1766")</f>
        <v/>
      </c>
      <c r="C1446" s="1">
        <f>IFERROR(__xludf.DUMMYFUNCTION("""COMPUTED_VALUE"""),TRUE)</f>
        <v/>
      </c>
      <c r="D1446" s="1">
        <f>IFERROR(__xludf.DUMMYFUNCTION("""COMPUTED_VALUE"""),"KE-Learning: Research Analytics Courses")</f>
        <v/>
      </c>
      <c r="E1446" s="15">
        <f>IFERROR(__xludf.DUMMYFUNCTION("""COMPUTED_VALUE"""),"https://www.kondeor.at/de/portfolio/aus-und-weiterbildung/marktforschungskurse/")</f>
        <v/>
      </c>
      <c r="F1446" s="1">
        <f>IFERROR(__xludf.DUMMYFUNCTION("""COMPUTED_VALUE"""),"Kondeor provides the market knowledge that is essential for sound decision-making. In doing so, we primarily rely on primary collected data and their comprehensive analysis - also using state-of-the-art statistical methods.
Particularly in the field of to"&amp;"urism research, we repeatedly devote ourselves to problems that are close to basic tourism research.
Our many years of experience with projects and with academic market research training also form the basis for our online market research courses.")</f>
        <v/>
      </c>
      <c r="G1446" s="1">
        <f>IFERROR(__xludf.DUMMYFUNCTION("""COMPUTED_VALUE"""),"EdTech Austria")</f>
        <v/>
      </c>
      <c r="H1446" s="1" t="n"/>
      <c r="I1446" s="1">
        <f>IFERROR(__xludf.DUMMYFUNCTION("""COMPUTED_VALUE"""),"kelearning@kondeor.at")</f>
        <v/>
      </c>
      <c r="J1446" s="1">
        <f>IFERROR(__xludf.DUMMYFUNCTION("""COMPUTED_VALUE"""),"+43 6225 28112")</f>
        <v/>
      </c>
      <c r="K1446" s="1">
        <f>IFERROR(__xludf.DUMMYFUNCTION("""COMPUTED_VALUE"""),"EUGENDORF")</f>
        <v/>
      </c>
      <c r="L1446" s="1">
        <f>IFERROR(__xludf.DUMMYFUNCTION("""COMPUTED_VALUE"""),"Austria")</f>
        <v/>
      </c>
      <c r="M1446" s="1">
        <f>IFERROR(__xludf.DUMMYFUNCTION("""COMPUTED_VALUE"""),"Austria, Germany, Italy, Switzerland")</f>
        <v/>
      </c>
      <c r="N1446" s="1">
        <f>IFERROR(__xludf.DUMMYFUNCTION("""COMPUTED_VALUE"""),"0 to 10")</f>
        <v/>
      </c>
      <c r="O1446" s="1">
        <f>IFERROR(__xludf.DUMMYFUNCTION("""COMPUTED_VALUE"""),"Business to Business, Business to Consumer, Business to Schools")</f>
        <v/>
      </c>
      <c r="P1446" s="1">
        <f>IFERROR(__xludf.DUMMYFUNCTION("""COMPUTED_VALUE"""),"Higher Education, Corporate Training, Lifelong learning/Adult education")</f>
        <v/>
      </c>
      <c r="Q1446" s="1">
        <f>IFERROR(__xludf.DUMMYFUNCTION("""COMPUTED_VALUE"""),"Student interfacing, Teacher interfacing, System/Administrative")</f>
        <v/>
      </c>
      <c r="R1446" s="1" t="n"/>
      <c r="S1446" s="15">
        <f>IFERROR(__xludf.DUMMYFUNCTION("""COMPUTED_VALUE"""),"https://twitter.com/kondeor")</f>
        <v/>
      </c>
      <c r="T1446" s="15">
        <f>IFERROR(__xludf.DUMMYFUNCTION("""COMPUTED_VALUE"""),"https://www.linkedin.com/in/kepplinger/")</f>
        <v/>
      </c>
      <c r="U1446" s="1">
        <f>IFERROR(__xludf.DUMMYFUNCTION("""COMPUTED_VALUE"""),"Research Analytics Courses")</f>
        <v/>
      </c>
      <c r="V1446" s="1">
        <f>IFERROR(__xludf.DUMMYFUNCTION("""COMPUTED_VALUE"""),"KE-Learning offers online courses on the subject of market research. These are used as part of training courses, seminars and courses in companies and organizations as well as courses at universities. In addition, there is a Research Analytics certificate"&amp;" course and a Research Analytics self-study course.")</f>
        <v/>
      </c>
      <c r="W1446" s="1" t="n"/>
      <c r="X1446" s="1" t="n"/>
      <c r="Y1446" s="15">
        <f>IFERROR(__xludf.DUMMYFUNCTION("""COMPUTED_VALUE"""),"https://drive.google.com/uc?export=view&amp;id=15aecDF6p63MQgQjoKim1fmM6NOrLqap7")</f>
        <v/>
      </c>
      <c r="Z1446" s="1">
        <f>IFERROR(__xludf.DUMMYFUNCTION("""COMPUTED_VALUE"""),"Unverified")</f>
        <v/>
      </c>
      <c r="AA1446" s="1" t="n"/>
      <c r="AB1446" s="1" t="n"/>
      <c r="AC1446" s="1" t="n"/>
      <c r="AD1446" s="1" t="n"/>
      <c r="AE1446" s="1" t="n"/>
    </row>
    <row r="1447" ht="42" customHeight="1">
      <c r="A1447" s="14">
        <f>IFERROR(__xludf.DUMMYFUNCTION("""COMPUTED_VALUE"""),45181)</f>
        <v/>
      </c>
      <c r="B1447" s="1">
        <f>IFERROR(__xludf.DUMMYFUNCTION("""COMPUTED_VALUE"""),"ORG_1767")</f>
        <v/>
      </c>
      <c r="C1447" s="1">
        <f>IFERROR(__xludf.DUMMYFUNCTION("""COMPUTED_VALUE"""),TRUE)</f>
        <v/>
      </c>
      <c r="D1447" s="1">
        <f>IFERROR(__xludf.DUMMYFUNCTION("""COMPUTED_VALUE"""),"Kendir Studios")</f>
        <v/>
      </c>
      <c r="E1447" s="15">
        <f>IFERROR(__xludf.DUMMYFUNCTION("""COMPUTED_VALUE"""),"https://www.kendirstudios.org")</f>
        <v/>
      </c>
      <c r="F1447" s="1">
        <f>IFERROR(__xludf.DUMMYFUNCTION("""COMPUTED_VALUE"""),"Current digital educational solutions provide weak-to-none connections between the physical school, teaching methodologies, real life situations and the way students learn. Simultaneously, decades of such solutions have left teachers unable to visualize o"&amp;"r accept a more inclusive way of teaching and learning, and educational technology companies focusing on cyclical and technically inefficient methodologies.
Therefore, we chose to break barriers and mindsets by designing and developing solutions that grad"&amp;"ually but continuously change the status quo of education until the much needed revolutionary innovation is achieved. For such, we must explore the digital adventure/rpg game as the best tool for interaction, immersion, inclusion, fun and motivation, and "&amp;"related concepts, such as 3D digital learning environments, scenarios, the use of narrative, storytelling, worldbuilding and exploring evermore immersion. Our first game Liber Domus, for math/science 6th grade (full curricular spectrum) is in active testi"&amp;"ng with current results demonstrating students learning faster, more motivated, more focused and engaged, both while using it in the classroom and when learning at home.")</f>
        <v/>
      </c>
      <c r="G1447" s="1">
        <f>IFERROR(__xludf.DUMMYFUNCTION("""COMPUTED_VALUE"""),"I'm not part of any EdTech association")</f>
        <v/>
      </c>
      <c r="H1447" s="1" t="n"/>
      <c r="I1447" s="1">
        <f>IFERROR(__xludf.DUMMYFUNCTION("""COMPUTED_VALUE"""),"eduardonunes@kendirstudios.org")</f>
        <v/>
      </c>
      <c r="J1447" s="1">
        <f>IFERROR(__xludf.DUMMYFUNCTION("""COMPUTED_VALUE"""),"351910978666")</f>
        <v/>
      </c>
      <c r="K1447" s="1">
        <f>IFERROR(__xludf.DUMMYFUNCTION("""COMPUTED_VALUE"""),"VILA NOVA DE GAIA")</f>
        <v/>
      </c>
      <c r="L1447" s="1">
        <f>IFERROR(__xludf.DUMMYFUNCTION("""COMPUTED_VALUE"""),"Portugal")</f>
        <v/>
      </c>
      <c r="M1447" s="1">
        <f>IFERROR(__xludf.DUMMYFUNCTION("""COMPUTED_VALUE"""),"Portugal")</f>
        <v/>
      </c>
      <c r="N1447" s="1">
        <f>IFERROR(__xludf.DUMMYFUNCTION("""COMPUTED_VALUE"""),"0 to 10")</f>
        <v/>
      </c>
      <c r="O1447" s="1">
        <f>IFERROR(__xludf.DUMMYFUNCTION("""COMPUTED_VALUE"""),"Business to Business, Business to Consumer, Business to Schools")</f>
        <v/>
      </c>
      <c r="P1447" s="1">
        <f>IFERROR(__xludf.DUMMYFUNCTION("""COMPUTED_VALUE"""),"Primary Education")</f>
        <v/>
      </c>
      <c r="Q1447" s="1">
        <f>IFERROR(__xludf.DUMMYFUNCTION("""COMPUTED_VALUE"""),"System/Administrative, Teacher interfacing")</f>
        <v/>
      </c>
      <c r="R1447" s="1" t="n"/>
      <c r="S1447" s="1" t="n"/>
      <c r="T1447" s="1" t="n"/>
      <c r="U1447" s="1" t="n"/>
      <c r="V1447" s="1" t="n"/>
      <c r="W1447" s="1" t="n"/>
      <c r="X1447" s="1" t="n"/>
      <c r="Y1447" s="15">
        <f>IFERROR(__xludf.DUMMYFUNCTION("""COMPUTED_VALUE"""),"https://drive.google.com/uc?export=view&amp;id=13PwNUObND0mQGoJRqKChaAD5plhH_9JM")</f>
        <v/>
      </c>
      <c r="Z1447" s="1">
        <f>IFERROR(__xludf.DUMMYFUNCTION("""COMPUTED_VALUE"""),"Unverified")</f>
        <v/>
      </c>
      <c r="AA1447" s="1" t="n"/>
      <c r="AB1447" s="1" t="n"/>
      <c r="AC1447" s="1" t="n"/>
      <c r="AD1447" s="1" t="n"/>
      <c r="AE1447" s="1" t="n"/>
    </row>
    <row r="1448" ht="42" customHeight="1">
      <c r="A1448" s="14">
        <f>IFERROR(__xludf.DUMMYFUNCTION("""COMPUTED_VALUE"""),45181)</f>
        <v/>
      </c>
      <c r="B1448" s="1">
        <f>IFERROR(__xludf.DUMMYFUNCTION("""COMPUTED_VALUE"""),"ORG_1814")</f>
        <v/>
      </c>
      <c r="C1448" s="1">
        <f>IFERROR(__xludf.DUMMYFUNCTION("""COMPUTED_VALUE"""),TRUE)</f>
        <v/>
      </c>
      <c r="D1448" s="1">
        <f>IFERROR(__xludf.DUMMYFUNCTION("""COMPUTED_VALUE"""),"LäroMedia Bokhandel Örebro AB")</f>
        <v/>
      </c>
      <c r="E1448" s="15">
        <f>IFERROR(__xludf.DUMMYFUNCTION("""COMPUTED_VALUE"""),"www.laromedia.se")</f>
        <v/>
      </c>
      <c r="F1448" s="1">
        <f>IFERROR(__xludf.DUMMYFUNCTION("""COMPUTED_VALUE"""),"LäroMedia supplies supplies schools with analog and digital school resources in Sweden. We are a distributor foremost, but also active in the work to standardize and ease the use of digital school resources. 
We list millions of products and coordinate de"&amp;"liveries from over 5000 suppliers enabling schools to order in from one place and get one delivery, no matter the format of the product.")</f>
        <v/>
      </c>
      <c r="G1448" s="1">
        <f>IFERROR(__xludf.DUMMYFUNCTION("""COMPUTED_VALUE"""),"I'm not part of any EdTech association")</f>
        <v/>
      </c>
      <c r="H1448" s="1" t="n"/>
      <c r="I1448" s="1">
        <f>IFERROR(__xludf.DUMMYFUNCTION("""COMPUTED_VALUE"""),"andreas.galistel@laromedia.se")</f>
        <v/>
      </c>
      <c r="J1448" s="1">
        <f>IFERROR(__xludf.DUMMYFUNCTION("""COMPUTED_VALUE"""),"+4619206925")</f>
        <v/>
      </c>
      <c r="K1448" s="1">
        <f>IFERROR(__xludf.DUMMYFUNCTION("""COMPUTED_VALUE"""),"ÖREBRO")</f>
        <v/>
      </c>
      <c r="L1448" s="1">
        <f>IFERROR(__xludf.DUMMYFUNCTION("""COMPUTED_VALUE"""),"Sweden")</f>
        <v/>
      </c>
      <c r="M1448" s="1">
        <f>IFERROR(__xludf.DUMMYFUNCTION("""COMPUTED_VALUE"""),"Sweden")</f>
        <v/>
      </c>
      <c r="N1448" s="1">
        <f>IFERROR(__xludf.DUMMYFUNCTION("""COMPUTED_VALUE"""),"11 to 50")</f>
        <v/>
      </c>
      <c r="O1448" s="1">
        <f>IFERROR(__xludf.DUMMYFUNCTION("""COMPUTED_VALUE"""),"Business to Business, Business to Consumer, Business to Schools")</f>
        <v/>
      </c>
      <c r="P1448" s="1">
        <f>IFERROR(__xludf.DUMMYFUNCTION("""COMPUTED_VALUE"""),"Early childhood development (0-5 years), Primary Education, Secondary Education, Higher Education")</f>
        <v/>
      </c>
      <c r="Q1448" s="1">
        <f>IFERROR(__xludf.DUMMYFUNCTION("""COMPUTED_VALUE"""),"Teacher interfacing, Student interfacing, System/Administrative")</f>
        <v/>
      </c>
      <c r="R1448" s="1" t="n"/>
      <c r="S1448" s="1" t="n"/>
      <c r="T1448" s="1" t="n"/>
      <c r="U1448" s="1" t="n"/>
      <c r="V1448" s="1" t="n"/>
      <c r="W1448" s="1" t="n"/>
      <c r="X1448" s="1" t="n"/>
      <c r="Y1448" s="15">
        <f>IFERROR(__xludf.DUMMYFUNCTION("""COMPUTED_VALUE"""),"https://drive.google.com/uc?export=view&amp;id=1q4JmcEeiDB2q1L0fvsX94iiqUqgSmjsO")</f>
        <v/>
      </c>
      <c r="Z1448" s="1">
        <f>IFERROR(__xludf.DUMMYFUNCTION("""COMPUTED_VALUE"""),"Unverified")</f>
        <v/>
      </c>
      <c r="AA1448" s="1" t="n"/>
      <c r="AB1448" s="1" t="n"/>
      <c r="AC1448" s="1" t="n"/>
      <c r="AD1448" s="1" t="n"/>
      <c r="AE1448" s="1" t="n"/>
    </row>
    <row r="1449" ht="42" customHeight="1">
      <c r="A1449" s="14">
        <f>IFERROR(__xludf.DUMMYFUNCTION("""COMPUTED_VALUE"""),45181)</f>
        <v/>
      </c>
      <c r="B1449" s="1">
        <f>IFERROR(__xludf.DUMMYFUNCTION("""COMPUTED_VALUE"""),"ORG_1884")</f>
        <v/>
      </c>
      <c r="C1449" s="1">
        <f>IFERROR(__xludf.DUMMYFUNCTION("""COMPUTED_VALUE"""),TRUE)</f>
        <v/>
      </c>
      <c r="D1449" s="1">
        <f>IFERROR(__xludf.DUMMYFUNCTION("""COMPUTED_VALUE"""),"Lingua Attack")</f>
        <v/>
      </c>
      <c r="E1449" s="15">
        <f>IFERROR(__xludf.DUMMYFUNCTION("""COMPUTED_VALUE"""),"lingua-attack.com")</f>
        <v/>
      </c>
      <c r="F1449" s="1">
        <f>IFERROR(__xludf.DUMMYFUNCTION("""COMPUTED_VALUE"""),"Stream Languages! 
Created by media and video game specialists, together with teachers and cognitive science experts, the Lingua Attack web platform and mobile applications innovate in foreign language learning with entertaining and effective pedagogy. W"&amp;"ith a range of short, authentic videos and a gamified experience, Lingua Attack engages learners of all levels for real progress over time.
Over one million learners have already embraced Lingua Attack in hundreds of schools, universities, training cente"&amp;"rs, and institutions. Key customers can distribute the platform under their own brand.
Lingua Attack features 6 learning languages: English, French, Spanish, German, Portuguese, and Chinese. With 26 interface and translations languages, the platform is d"&amp;"esigned for learners around the world!")</f>
        <v/>
      </c>
      <c r="G1449" s="1">
        <f>IFERROR(__xludf.DUMMYFUNCTION("""COMPUTED_VALUE"""),"AFINEF, EdTech France")</f>
        <v/>
      </c>
      <c r="H1449" s="1" t="n"/>
      <c r="I1449" s="1">
        <f>IFERROR(__xludf.DUMMYFUNCTION("""COMPUTED_VALUE"""),"frederic.tibout@lingua-attack.com")</f>
        <v/>
      </c>
      <c r="J1449" s="1" t="n"/>
      <c r="K1449" s="1">
        <f>IFERROR(__xludf.DUMMYFUNCTION("""COMPUTED_VALUE"""),"PARIS")</f>
        <v/>
      </c>
      <c r="L1449" s="1">
        <f>IFERROR(__xludf.DUMMYFUNCTION("""COMPUTED_VALUE"""),"France")</f>
        <v/>
      </c>
      <c r="M1449" s="1">
        <f>IFERROR(__xludf.DUMMYFUNCTION("""COMPUTED_VALUE"""),"Czechia, France, Hungary, Poland, Romania, Spain, Turkey, United Kingdom")</f>
        <v/>
      </c>
      <c r="N1449" s="1">
        <f>IFERROR(__xludf.DUMMYFUNCTION("""COMPUTED_VALUE"""),"11 to 50")</f>
        <v/>
      </c>
      <c r="O1449" s="1">
        <f>IFERROR(__xludf.DUMMYFUNCTION("""COMPUTED_VALUE"""),"Business to Business, Business to Consumer, Business to Schools")</f>
        <v/>
      </c>
      <c r="P1449" s="1">
        <f>IFERROR(__xludf.DUMMYFUNCTION("""COMPUTED_VALUE"""),"Secondary Education, Higher Education, Corporate Training")</f>
        <v/>
      </c>
      <c r="Q1449" s="1">
        <f>IFERROR(__xludf.DUMMYFUNCTION("""COMPUTED_VALUE"""),"Student interfacing, Teacher interfacing, System/Administrative")</f>
        <v/>
      </c>
      <c r="R1449" s="1" t="n"/>
      <c r="S1449" s="1" t="n"/>
      <c r="T1449" s="15">
        <f>IFERROR(__xludf.DUMMYFUNCTION("""COMPUTED_VALUE"""),"https://www.linkedin.com/company/lingua-attack/")</f>
        <v/>
      </c>
      <c r="U1449" s="1">
        <f>IFERROR(__xludf.DUMMYFUNCTION("""COMPUTED_VALUE"""),"Lingua Attack")</f>
        <v/>
      </c>
      <c r="V1449" s="1">
        <f>IFERROR(__xludf.DUMMYFUNCTION("""COMPUTED_VALUE"""),"We disrupt language learning by creating online learning experiences based on entertainment content: clips from movies and TV series, music videos, television news items, and games. A flexible, globalised, and scalable multi-language platform, continuousl"&amp;"y updated with fresh content, is at the heart of a B2B business for schools, corporate training, and governmental organisations promoting lifetime learning.")</f>
        <v/>
      </c>
      <c r="W1449" s="1" t="n"/>
      <c r="X1449" s="1" t="n"/>
      <c r="Y1449" s="15">
        <f>IFERROR(__xludf.DUMMYFUNCTION("""COMPUTED_VALUE"""),"https://drive.google.com/uc?export=view&amp;id=1srh1zwB-21F_sdzJtB1lH18eUecucIuz")</f>
        <v/>
      </c>
      <c r="Z1449" s="1">
        <f>IFERROR(__xludf.DUMMYFUNCTION("""COMPUTED_VALUE"""),"Unverified")</f>
        <v/>
      </c>
      <c r="AA1449" s="1" t="n"/>
      <c r="AB1449" s="1" t="n"/>
      <c r="AC1449" s="1" t="n"/>
      <c r="AD1449" s="1" t="n"/>
      <c r="AE1449" s="1" t="n"/>
    </row>
    <row r="1450" ht="42" customHeight="1">
      <c r="A1450" s="14">
        <f>IFERROR(__xludf.DUMMYFUNCTION("""COMPUTED_VALUE"""),45181)</f>
        <v/>
      </c>
      <c r="B1450" s="1">
        <f>IFERROR(__xludf.DUMMYFUNCTION("""COMPUTED_VALUE"""),"ORG_1885")</f>
        <v/>
      </c>
      <c r="C1450" s="1">
        <f>IFERROR(__xludf.DUMMYFUNCTION("""COMPUTED_VALUE"""),TRUE)</f>
        <v/>
      </c>
      <c r="D1450" s="1">
        <f>IFERROR(__xludf.DUMMYFUNCTION("""COMPUTED_VALUE"""),"Linguaphone France")</f>
        <v/>
      </c>
      <c r="E1450" s="15">
        <f>IFERROR(__xludf.DUMMYFUNCTION("""COMPUTED_VALUE"""),"www.linguaphone.fr")</f>
        <v/>
      </c>
      <c r="F1450" s="1">
        <f>IFERROR(__xludf.DUMMYFUNCTION("""COMPUTED_VALUE"""),"Linguaphone is the French leader in the field of language training for professional purposes. For 50 years, Linguaphone has produced ambitious and effective training solutions for its corporate clients from all sectors of the economy.
Its aim is to empowe"&amp;"r companies and their personel to perform in the ever-more demanding international environment.
Our custom-built online platform enables a versatile and dynamic approach by combining the best of technology and human expertise.")</f>
        <v/>
      </c>
      <c r="G1450" s="1">
        <f>IFERROR(__xludf.DUMMYFUNCTION("""COMPUTED_VALUE"""),"EdTech France")</f>
        <v/>
      </c>
      <c r="H1450" s="1" t="n"/>
      <c r="I1450" s="1">
        <f>IFERROR(__xludf.DUMMYFUNCTION("""COMPUTED_VALUE"""),"sfranco@linguaphone.fr")</f>
        <v/>
      </c>
      <c r="J1450" s="1">
        <f>IFERROR(__xludf.DUMMYFUNCTION("""COMPUTED_VALUE"""),"+33 1 47 78 45 80")</f>
        <v/>
      </c>
      <c r="K1450" s="1">
        <f>IFERROR(__xludf.DUMMYFUNCTION("""COMPUTED_VALUE"""),"PARIS")</f>
        <v/>
      </c>
      <c r="L1450" s="1">
        <f>IFERROR(__xludf.DUMMYFUNCTION("""COMPUTED_VALUE"""),"France")</f>
        <v/>
      </c>
      <c r="M1450" s="1">
        <f>IFERROR(__xludf.DUMMYFUNCTION("""COMPUTED_VALUE"""),"France")</f>
        <v/>
      </c>
      <c r="N1450" s="1">
        <f>IFERROR(__xludf.DUMMYFUNCTION("""COMPUTED_VALUE"""),"100+")</f>
        <v/>
      </c>
      <c r="O1450" s="1">
        <f>IFERROR(__xludf.DUMMYFUNCTION("""COMPUTED_VALUE"""),"Business to Business, Business to Government")</f>
        <v/>
      </c>
      <c r="P1450" s="1">
        <f>IFERROR(__xludf.DUMMYFUNCTION("""COMPUTED_VALUE"""),"Higher Education, Corporate Training, Lifelong learning/Adult education")</f>
        <v/>
      </c>
      <c r="Q1450" s="1">
        <f>IFERROR(__xludf.DUMMYFUNCTION("""COMPUTED_VALUE"""),"Student interfacing, Teacher interfacing, System/Administrative")</f>
        <v/>
      </c>
      <c r="R1450" s="1" t="n"/>
      <c r="S1450" s="1" t="n"/>
      <c r="T1450" s="15">
        <f>IFERROR(__xludf.DUMMYFUNCTION("""COMPUTED_VALUE"""),"https://www.linkedin.com/company/linguaphone-france")</f>
        <v/>
      </c>
      <c r="U1450" s="1">
        <f>IFERROR(__xludf.DUMMYFUNCTION("""COMPUTED_VALUE"""),"Skill Express")</f>
        <v/>
      </c>
      <c r="V1450" s="1">
        <f>IFERROR(__xludf.DUMMYFUNCTION("""COMPUTED_VALUE"""),"Skills-based targeted learning aimed at professionals, requiring high level competences in communicating in a challenging international environment.
Specialized language learning modules combine live training with carefully curated online content to addre"&amp;"ss each learner's specific needs.
Available in all major european languages.")</f>
        <v/>
      </c>
      <c r="W1450" s="1" t="n"/>
      <c r="X1450" s="1" t="n"/>
      <c r="Y1450" s="15">
        <f>IFERROR(__xludf.DUMMYFUNCTION("""COMPUTED_VALUE"""),"https://drive.google.com/uc?export=view&amp;id=1fQm6YxvQ-DCsRZiwFjw18xmSOJV5_TmL")</f>
        <v/>
      </c>
      <c r="Z1450" s="1">
        <f>IFERROR(__xludf.DUMMYFUNCTION("""COMPUTED_VALUE"""),"Unverified")</f>
        <v/>
      </c>
      <c r="AA1450" s="1" t="n"/>
      <c r="AB1450" s="1" t="n"/>
      <c r="AC1450" s="1" t="n"/>
      <c r="AD1450" s="1" t="n"/>
      <c r="AE1450" s="1" t="n"/>
    </row>
    <row r="1451" ht="42" customHeight="1">
      <c r="A1451" s="14">
        <f>IFERROR(__xludf.DUMMYFUNCTION("""COMPUTED_VALUE"""),45181)</f>
        <v/>
      </c>
      <c r="B1451" s="1">
        <f>IFERROR(__xludf.DUMMYFUNCTION("""COMPUTED_VALUE"""),"ORG_1916")</f>
        <v/>
      </c>
      <c r="C1451" s="1">
        <f>IFERROR(__xludf.DUMMYFUNCTION("""COMPUTED_VALUE"""),TRUE)</f>
        <v/>
      </c>
      <c r="D1451" s="1">
        <f>IFERROR(__xludf.DUMMYFUNCTION("""COMPUTED_VALUE"""),"MapiBlocks")</f>
        <v/>
      </c>
      <c r="E1451" s="15">
        <f>IFERROR(__xludf.DUMMYFUNCTION("""COMPUTED_VALUE"""),"https://www.mapiblocks.com/")</f>
        <v/>
      </c>
      <c r="F1451" s="1">
        <f>IFERROR(__xludf.DUMMYFUNCTION("""COMPUTED_VALUE"""),"MapiBlocks is a platform for K12 students to learn STEM by using satellite data. It is a platform that adapts completely to the needs of the teachers and their learning methodology, as well as adapting to the evolution and level of the students in order t"&amp;"o ensure their progress. 
MapiBlocks gives access to the same resources as a NASA engineer and connects the concepts with the real world. 
Imagine learning to code with more than 40 petabytes of data, studying machine learning, understanding the evoluti"&amp;"on of the world since the 70s, monitoring a volcanic eruption in real time, analyzing geometry or probability thanks to satellites... With MapiBlocks you can do all this and much more!")</f>
        <v/>
      </c>
      <c r="G1451" s="1">
        <f>IFERROR(__xludf.DUMMYFUNCTION("""COMPUTED_VALUE"""),"I'm not part of any EdTech association")</f>
        <v/>
      </c>
      <c r="H1451" s="1" t="n"/>
      <c r="I1451" s="1">
        <f>IFERROR(__xludf.DUMMYFUNCTION("""COMPUTED_VALUE"""),"info@mapiblocks.com")</f>
        <v/>
      </c>
      <c r="J1451" s="1">
        <f>IFERROR(__xludf.DUMMYFUNCTION("""COMPUTED_VALUE"""),"+34655260701")</f>
        <v/>
      </c>
      <c r="K1451" s="1">
        <f>IFERROR(__xludf.DUMMYFUNCTION("""COMPUTED_VALUE"""),"Málaga")</f>
        <v/>
      </c>
      <c r="L1451" s="1">
        <f>IFERROR(__xludf.DUMMYFUNCTION("""COMPUTED_VALUE"""),"Spain")</f>
        <v/>
      </c>
      <c r="M1451" s="1">
        <f>IFERROR(__xludf.DUMMYFUNCTION("""COMPUTED_VALUE"""),"Italy, Spain")</f>
        <v/>
      </c>
      <c r="N1451" s="1">
        <f>IFERROR(__xludf.DUMMYFUNCTION("""COMPUTED_VALUE"""),"0 to 10")</f>
        <v/>
      </c>
      <c r="O1451" s="1">
        <f>IFERROR(__xludf.DUMMYFUNCTION("""COMPUTED_VALUE"""),"Business to Business, Business to Government")</f>
        <v/>
      </c>
      <c r="P1451" s="1">
        <f>IFERROR(__xludf.DUMMYFUNCTION("""COMPUTED_VALUE"""),"Primary Education, Secondary Education")</f>
        <v/>
      </c>
      <c r="Q1451" s="1">
        <f>IFERROR(__xludf.DUMMYFUNCTION("""COMPUTED_VALUE"""),"Student interfacing, Teacher interfacing")</f>
        <v/>
      </c>
      <c r="R1451" s="1" t="n"/>
      <c r="S1451" s="1" t="n"/>
      <c r="T1451" s="1" t="n"/>
      <c r="U1451" s="1" t="n"/>
      <c r="V1451" s="1" t="n"/>
      <c r="W1451" s="1" t="n"/>
      <c r="X1451" s="1" t="n"/>
      <c r="Y1451" s="15">
        <f>IFERROR(__xludf.DUMMYFUNCTION("""COMPUTED_VALUE"""),"https://drive.google.com/uc?export=view&amp;id=1JLFoOueAh46f8GUOFccVCBqoThKJqjg2")</f>
        <v/>
      </c>
      <c r="Z1451" s="1">
        <f>IFERROR(__xludf.DUMMYFUNCTION("""COMPUTED_VALUE"""),"Unverified")</f>
        <v/>
      </c>
      <c r="AA1451" s="1" t="n"/>
      <c r="AB1451" s="1" t="n"/>
      <c r="AC1451" s="1" t="n"/>
      <c r="AD1451" s="1" t="n"/>
      <c r="AE1451" s="1" t="n"/>
    </row>
    <row r="1452" ht="42" customHeight="1">
      <c r="A1452" s="14">
        <f>IFERROR(__xludf.DUMMYFUNCTION("""COMPUTED_VALUE"""),45181)</f>
        <v/>
      </c>
      <c r="B1452" s="1">
        <f>IFERROR(__xludf.DUMMYFUNCTION("""COMPUTED_VALUE"""),"ORG_1923")</f>
        <v/>
      </c>
      <c r="C1452" s="1">
        <f>IFERROR(__xludf.DUMMYFUNCTION("""COMPUTED_VALUE"""),TRUE)</f>
        <v/>
      </c>
      <c r="D1452" s="1">
        <f>IFERROR(__xludf.DUMMYFUNCTION("""COMPUTED_VALUE"""),"Master Challenge")</f>
        <v/>
      </c>
      <c r="E1452" s="15">
        <f>IFERROR(__xludf.DUMMYFUNCTION("""COMPUTED_VALUE"""),"https://masterchallenge.me/")</f>
        <v/>
      </c>
      <c r="F1452" s="1">
        <f>IFERROR(__xludf.DUMMYFUNCTION("""COMPUTED_VALUE"""),"Master Challenge aims to further close the gap between education and practice. We help university lecturers to easily integrate real-life company challenges into their courses. Our platform streamlines the process of recruiting, matching, and coordinating"&amp;" courses with real-life challenges.")</f>
        <v/>
      </c>
      <c r="G1452" s="1">
        <f>IFERROR(__xludf.DUMMYFUNCTION("""COMPUTED_VALUE"""),"I'm not part of any EdTech association")</f>
        <v/>
      </c>
      <c r="H1452" s="1" t="n"/>
      <c r="I1452" s="1">
        <f>IFERROR(__xludf.DUMMYFUNCTION("""COMPUTED_VALUE"""),"info@masterchallenge.me")</f>
        <v/>
      </c>
      <c r="J1452" s="1">
        <f>IFERROR(__xludf.DUMMYFUNCTION("""COMPUTED_VALUE"""),"+31622090699")</f>
        <v/>
      </c>
      <c r="K1452" s="1">
        <f>IFERROR(__xludf.DUMMYFUNCTION("""COMPUTED_VALUE"""),"Amsterdam")</f>
        <v/>
      </c>
      <c r="L1452" s="1">
        <f>IFERROR(__xludf.DUMMYFUNCTION("""COMPUTED_VALUE"""),"The Netherlands")</f>
        <v/>
      </c>
      <c r="M1452" s="1">
        <f>IFERROR(__xludf.DUMMYFUNCTION("""COMPUTED_VALUE"""),"Netherlands")</f>
        <v/>
      </c>
      <c r="N1452" s="1">
        <f>IFERROR(__xludf.DUMMYFUNCTION("""COMPUTED_VALUE"""),"0 to 10")</f>
        <v/>
      </c>
      <c r="O1452" s="1">
        <f>IFERROR(__xludf.DUMMYFUNCTION("""COMPUTED_VALUE"""),"Business to Business, Business to Government, Business to Schools")</f>
        <v/>
      </c>
      <c r="P1452" s="1">
        <f>IFERROR(__xludf.DUMMYFUNCTION("""COMPUTED_VALUE"""),"Higher Education, Lifelong learning/Adult education")</f>
        <v/>
      </c>
      <c r="Q1452" s="1">
        <f>IFERROR(__xludf.DUMMYFUNCTION("""COMPUTED_VALUE"""),"Student interfacing, Teacher interfacing, System/Administrative")</f>
        <v/>
      </c>
      <c r="R1452" s="1" t="n"/>
      <c r="S1452" s="1" t="n"/>
      <c r="T1452" s="1" t="n"/>
      <c r="U1452" s="1" t="n"/>
      <c r="V1452" s="1" t="n"/>
      <c r="W1452" s="1" t="n"/>
      <c r="X1452" s="1" t="n"/>
      <c r="Y1452" s="15">
        <f>IFERROR(__xludf.DUMMYFUNCTION("""COMPUTED_VALUE"""),"https://drive.google.com/uc?export=view&amp;id=1L9zOfzbeIMzLAon3SOpqgLeGAapOmrfq")</f>
        <v/>
      </c>
      <c r="Z1452" s="1">
        <f>IFERROR(__xludf.DUMMYFUNCTION("""COMPUTED_VALUE"""),"Unverified")</f>
        <v/>
      </c>
      <c r="AA1452" s="1" t="n"/>
      <c r="AB1452" s="1" t="n"/>
      <c r="AC1452" s="1" t="n"/>
      <c r="AD1452" s="1" t="n"/>
      <c r="AE1452" s="1" t="n"/>
    </row>
    <row r="1453" ht="42" customHeight="1">
      <c r="A1453" s="14">
        <f>IFERROR(__xludf.DUMMYFUNCTION("""COMPUTED_VALUE"""),45181)</f>
        <v/>
      </c>
      <c r="B1453" s="1">
        <f>IFERROR(__xludf.DUMMYFUNCTION("""COMPUTED_VALUE"""),"ORG_1950")</f>
        <v/>
      </c>
      <c r="C1453" s="1">
        <f>IFERROR(__xludf.DUMMYFUNCTION("""COMPUTED_VALUE"""),TRUE)</f>
        <v/>
      </c>
      <c r="D1453" s="1">
        <f>IFERROR(__xludf.DUMMYFUNCTION("""COMPUTED_VALUE"""),"MentalUP Educational Games")</f>
        <v/>
      </c>
      <c r="E1453" s="15">
        <f>IFERROR(__xludf.DUMMYFUNCTION("""COMPUTED_VALUE"""),"https://www.mentalup.co")</f>
        <v/>
      </c>
      <c r="F1453" s="1">
        <f>IFERROR(__xludf.DUMMYFUNCTION("""COMPUTED_VALUE"""),"MentalUp provides brain-training games and fitness exercises within its own educational platform which can be accessible by mobile apps and web application. There are +150 scientific and gamified brain training exercises and +200 animated fitness exercise"&amp;"s that have all been developed by educators, neuroscientists, and game developers. Thanks to the scientific-educational games of MentalUp, parents can keep their children's mental and physical ability top and to stay sane in a fun way. As of today, more t"&amp;"han 15M children from 120 countries are using MentalUP.")</f>
        <v/>
      </c>
      <c r="G1453" s="1">
        <f>IFERROR(__xludf.DUMMYFUNCTION("""COMPUTED_VALUE"""),"SuperCharger Ventures")</f>
        <v/>
      </c>
      <c r="H1453" s="1">
        <f>IFERROR(__xludf.DUMMYFUNCTION("""COMPUTED_VALUE"""),"English, German, Spanish, Portuguese, Turkish")</f>
        <v/>
      </c>
      <c r="I1453" s="1">
        <f>IFERROR(__xludf.DUMMYFUNCTION("""COMPUTED_VALUE"""),"basar@mentalup.co")</f>
        <v/>
      </c>
      <c r="J1453" s="1">
        <f>IFERROR(__xludf.DUMMYFUNCTION("""COMPUTED_VALUE"""),"+905070472000")</f>
        <v/>
      </c>
      <c r="K1453" s="1">
        <f>IFERROR(__xludf.DUMMYFUNCTION("""COMPUTED_VALUE"""),"London")</f>
        <v/>
      </c>
      <c r="L1453" s="1">
        <f>IFERROR(__xludf.DUMMYFUNCTION("""COMPUTED_VALUE"""),"United Kingdom")</f>
        <v/>
      </c>
      <c r="M1453" s="1">
        <f>IFERROR(__xludf.DUMMYFUNCTION("""COMPUTED_VALUE"""),"Austria, Azerbaijan, Belarus, Belgium, Bosnia and Herzegovina, Bulgaria, Croatia, Czechia, Denmark, Estonia, Finland, Germany, Greece, Hungary, Ireland, Italy, Latvia, Lithuania, Luxembourg, Malta, Moldova, Netherlands, Norway, Poland, Portugal, Romania, "&amp;"Russia, Serbia, Slovakia, Slovenia, Spain, Sweden, Switzerland, Turkey, Ukraine, United Kingdom")</f>
        <v/>
      </c>
      <c r="N1453" s="1">
        <f>IFERROR(__xludf.DUMMYFUNCTION("""COMPUTED_VALUE"""),"11 to 50")</f>
        <v/>
      </c>
      <c r="O1453" s="1">
        <f>IFERROR(__xludf.DUMMYFUNCTION("""COMPUTED_VALUE"""),"Business to Business, Business to Government, Business to Schools")</f>
        <v/>
      </c>
      <c r="P1453" s="1">
        <f>IFERROR(__xludf.DUMMYFUNCTION("""COMPUTED_VALUE"""),"Early childhood development (0-5 years), Primary Education")</f>
        <v/>
      </c>
      <c r="Q1453" s="1">
        <f>IFERROR(__xludf.DUMMYFUNCTION("""COMPUTED_VALUE"""),"System/Administrative, Student interfacing, Teacher interfacing")</f>
        <v/>
      </c>
      <c r="R1453" s="1" t="n"/>
      <c r="S1453" s="1" t="n"/>
      <c r="T1453" s="1" t="n"/>
      <c r="U1453" s="1" t="n"/>
      <c r="V1453" s="1" t="n"/>
      <c r="W1453" s="1" t="n"/>
      <c r="X1453" s="1" t="n"/>
      <c r="Y1453" s="15">
        <f>IFERROR(__xludf.DUMMYFUNCTION("""COMPUTED_VALUE"""),"https://drive.google.com/uc?export=view&amp;id=1jGBP8RYZMnAxJ-soARIsaan7-14PRCt5")</f>
        <v/>
      </c>
      <c r="Z1453" s="1">
        <f>IFERROR(__xludf.DUMMYFUNCTION("""COMPUTED_VALUE"""),"Unverified")</f>
        <v/>
      </c>
      <c r="AA1453" s="1" t="n"/>
      <c r="AB1453" s="1" t="n"/>
      <c r="AC1453" s="1" t="n"/>
      <c r="AD1453" s="1" t="n"/>
      <c r="AE1453" s="1" t="n"/>
    </row>
    <row r="1454" ht="42" customHeight="1">
      <c r="A1454" s="14">
        <f>IFERROR(__xludf.DUMMYFUNCTION("""COMPUTED_VALUE"""),45181)</f>
        <v/>
      </c>
      <c r="B1454" s="1">
        <f>IFERROR(__xludf.DUMMYFUNCTION("""COMPUTED_VALUE"""),"ORG_2036")</f>
        <v/>
      </c>
      <c r="C1454" s="1">
        <f>IFERROR(__xludf.DUMMYFUNCTION("""COMPUTED_VALUE"""),TRUE)</f>
        <v/>
      </c>
      <c r="D1454" s="1">
        <f>IFERROR(__xludf.DUMMYFUNCTION("""COMPUTED_VALUE"""),"nextus")</f>
        <v/>
      </c>
      <c r="E1454" s="15">
        <f>IFERROR(__xludf.DUMMYFUNCTION("""COMPUTED_VALUE"""),"https://nextus.global/en")</f>
        <v/>
      </c>
      <c r="F1454" s="1">
        <f>IFERROR(__xludf.DUMMYFUNCTION("""COMPUTED_VALUE"""),"Nextus Social Learning (NSL) is a newly established company 100% owned by 
Planeta Med, S.L.U. 
Planeta Med is a private audiovisual production, distribution, training and management company which focuses on the documentary field. Founded by Joan Gonzále"&amp;"z in 1996 and based in Barcelona, Spain. 
After three years developing the educational platform nextus, Nextus Social Learning S.L.U. is created to scale up the project and accomplish the short-term objectives and long-term goals.")</f>
        <v/>
      </c>
      <c r="G1454" s="1">
        <f>IFERROR(__xludf.DUMMYFUNCTION("""COMPUTED_VALUE"""),"EduTech Cluster Spain")</f>
        <v/>
      </c>
      <c r="H1454" s="1" t="n"/>
      <c r="I1454" s="1">
        <f>IFERROR(__xludf.DUMMYFUNCTION("""COMPUTED_VALUE"""),"jgonzalez@nextus.global")</f>
        <v/>
      </c>
      <c r="J1454" s="1">
        <f>IFERROR(__xludf.DUMMYFUNCTION("""COMPUTED_VALUE"""),"+34 93 452 46 18")</f>
        <v/>
      </c>
      <c r="K1454" s="1">
        <f>IFERROR(__xludf.DUMMYFUNCTION("""COMPUTED_VALUE"""),"BARCELONA")</f>
        <v/>
      </c>
      <c r="L1454" s="1">
        <f>IFERROR(__xludf.DUMMYFUNCTION("""COMPUTED_VALUE"""),"Spain")</f>
        <v/>
      </c>
      <c r="M1454" s="1">
        <f>IFERROR(__xludf.DUMMYFUNCTION("""COMPUTED_VALUE"""),"Germany, Greece, Spain")</f>
        <v/>
      </c>
      <c r="N1454" s="1">
        <f>IFERROR(__xludf.DUMMYFUNCTION("""COMPUTED_VALUE"""),"0 to 10")</f>
        <v/>
      </c>
      <c r="O1454" s="1">
        <f>IFERROR(__xludf.DUMMYFUNCTION("""COMPUTED_VALUE"""),"Business to Business, Business to Government, Business to Schools")</f>
        <v/>
      </c>
      <c r="P1454" s="1">
        <f>IFERROR(__xludf.DUMMYFUNCTION("""COMPUTED_VALUE"""),"Secondary Education, Higher Education")</f>
        <v/>
      </c>
      <c r="Q1454" s="1">
        <f>IFERROR(__xludf.DUMMYFUNCTION("""COMPUTED_VALUE"""),"Student interfacing, Teacher interfacing")</f>
        <v/>
      </c>
      <c r="R1454" s="15">
        <f>IFERROR(__xludf.DUMMYFUNCTION("""COMPUTED_VALUE"""),"https://www.instagram.com/nextus_glob/")</f>
        <v/>
      </c>
      <c r="S1454" s="15">
        <f>IFERROR(__xludf.DUMMYFUNCTION("""COMPUTED_VALUE"""),"https://twitter.com/nextus_global")</f>
        <v/>
      </c>
      <c r="T1454" s="15">
        <f>IFERROR(__xludf.DUMMYFUNCTION("""COMPUTED_VALUE"""),"https://www.linkedin.com/company/nextusglobal")</f>
        <v/>
      </c>
      <c r="U1454" s="1">
        <f>IFERROR(__xludf.DUMMYFUNCTION("""COMPUTED_VALUE"""),"nextus")</f>
        <v/>
      </c>
      <c r="V1454" s="1">
        <f>IFERROR(__xludf.DUMMYFUNCTION("""COMPUTED_VALUE"""),"nextus emerges as an online platform that highlights and uses quality documentary films to bring audiovisuals into the world of education, fostering a critical spirit among young digital natives, facilitating teacher-student interaction and opening new pa"&amp;"ths towards 21st century education. Our aim is to promote the use of documentaries as a systematic resource in the educational process.")</f>
        <v/>
      </c>
      <c r="W1454" s="1" t="n"/>
      <c r="X1454" s="1" t="n"/>
      <c r="Y1454" s="15">
        <f>IFERROR(__xludf.DUMMYFUNCTION("""COMPUTED_VALUE"""),"https://drive.google.com/uc?export=view&amp;id=15sXLk9yDs64Zjr-oZi2z63zawKzG0_Vq")</f>
        <v/>
      </c>
      <c r="Z1454" s="1">
        <f>IFERROR(__xludf.DUMMYFUNCTION("""COMPUTED_VALUE"""),"Unverified")</f>
        <v/>
      </c>
      <c r="AA1454" s="1" t="n"/>
      <c r="AB1454" s="1" t="n"/>
      <c r="AC1454" s="1" t="n"/>
      <c r="AD1454" s="1" t="n"/>
      <c r="AE1454" s="1" t="n"/>
    </row>
    <row r="1455" ht="42" customHeight="1">
      <c r="A1455" s="14">
        <f>IFERROR(__xludf.DUMMYFUNCTION("""COMPUTED_VALUE"""),45181)</f>
        <v/>
      </c>
      <c r="B1455" s="1">
        <f>IFERROR(__xludf.DUMMYFUNCTION("""COMPUTED_VALUE"""),"ORG_2066")</f>
        <v/>
      </c>
      <c r="C1455" s="1">
        <f>IFERROR(__xludf.DUMMYFUNCTION("""COMPUTED_VALUE"""),TRUE)</f>
        <v/>
      </c>
      <c r="D1455" s="1">
        <f>IFERROR(__xludf.DUMMYFUNCTION("""COMPUTED_VALUE"""),"Online Academy")</f>
        <v/>
      </c>
      <c r="E1455" s="15">
        <f>IFERROR(__xludf.DUMMYFUNCTION("""COMPUTED_VALUE"""),"https://www.onlineacademy.nl/")</f>
        <v/>
      </c>
      <c r="F1455" s="1">
        <f>IFERROR(__xludf.DUMMYFUNCTION("""COMPUTED_VALUE"""),"Online Academy offers companies an online learning platform with more than 400 online courses. These courses help people to continue to develop and learn. For example, the e-learning has interfaces with their own industry, a completely new field or on a p"&amp;"ersonal level in only ten minutes a day. In this way we contribute to the possibility that everyone can (continue) learning for a lifetime with the optimal learning efficiency, even though someone works full-time.")</f>
        <v/>
      </c>
      <c r="G1455" s="1">
        <f>IFERROR(__xludf.DUMMYFUNCTION("""COMPUTED_VALUE"""),"Dutch EdTech")</f>
        <v/>
      </c>
      <c r="H1455" s="1" t="n"/>
      <c r="I1455" s="1">
        <f>IFERROR(__xludf.DUMMYFUNCTION("""COMPUTED_VALUE"""),"info@onlineacademy.nl")</f>
        <v/>
      </c>
      <c r="J1455" s="1">
        <f>IFERROR(__xludf.DUMMYFUNCTION("""COMPUTED_VALUE"""),"+31 (0)35 - 75 06 178")</f>
        <v/>
      </c>
      <c r="K1455" s="1">
        <f>IFERROR(__xludf.DUMMYFUNCTION("""COMPUTED_VALUE"""),"HILVERSUM")</f>
        <v/>
      </c>
      <c r="L1455" s="1">
        <f>IFERROR(__xludf.DUMMYFUNCTION("""COMPUTED_VALUE"""),"The Netherlands")</f>
        <v/>
      </c>
      <c r="M1455" s="1">
        <f>IFERROR(__xludf.DUMMYFUNCTION("""COMPUTED_VALUE"""),"Belgium, Netherlands, United Kingdom")</f>
        <v/>
      </c>
      <c r="N1455" s="1">
        <f>IFERROR(__xludf.DUMMYFUNCTION("""COMPUTED_VALUE"""),"11 to 50")</f>
        <v/>
      </c>
      <c r="O1455" s="1">
        <f>IFERROR(__xludf.DUMMYFUNCTION("""COMPUTED_VALUE"""),"Business to Business, Business to Government, Business to Schools")</f>
        <v/>
      </c>
      <c r="P1455" s="1">
        <f>IFERROR(__xludf.DUMMYFUNCTION("""COMPUTED_VALUE"""),"Corporate Training, Lifelong learning/Adult education")</f>
        <v/>
      </c>
      <c r="Q1455" s="1">
        <f>IFERROR(__xludf.DUMMYFUNCTION("""COMPUTED_VALUE"""),"System/Administrative")</f>
        <v/>
      </c>
      <c r="R1455" s="1" t="n"/>
      <c r="S1455" s="1" t="n"/>
      <c r="T1455" s="15">
        <f>IFERROR(__xludf.DUMMYFUNCTION("""COMPUTED_VALUE"""),"https://www.linkedin.com/school/onlineacademy")</f>
        <v/>
      </c>
      <c r="U1455" s="1">
        <f>IFERROR(__xludf.DUMMYFUNCTION("""COMPUTED_VALUE"""),"Online Learning Platform")</f>
        <v/>
      </c>
      <c r="V1455" s="1">
        <f>IFERROR(__xludf.DUMMYFUNCTION("""COMPUTED_VALUE"""),"Online Academy offers more than 400 training courses (including e-learning, webinars, learning paths and podcasts) via its online platform. Employees and employers use this on a daily basis and without obligation. After successfully completing the trainin"&amp;"g, the participants are awarded certificates, which prove the time and energy invested. In this way, the employee becomes more valuable in terms of knowledge and skills. By dividing the training into blocks of only ten minutes a day, the workload is low, "&amp;"but the learning efficiency is very high – also because the participant is challenged to apply what has been learned directly in his or her own practice.")</f>
        <v/>
      </c>
      <c r="W1455" s="1" t="n"/>
      <c r="X1455" s="1" t="n"/>
      <c r="Y1455" s="15">
        <f>IFERROR(__xludf.DUMMYFUNCTION("""COMPUTED_VALUE"""),"https://drive.google.com/uc?export=view&amp;id=1iIdA7xUkMvfR7pRlyWbpCJ2fsgNsQTNU")</f>
        <v/>
      </c>
      <c r="Z1455" s="1">
        <f>IFERROR(__xludf.DUMMYFUNCTION("""COMPUTED_VALUE"""),"Unverified")</f>
        <v/>
      </c>
      <c r="AA1455" s="1" t="n"/>
      <c r="AB1455" s="1" t="n"/>
      <c r="AC1455" s="1" t="n"/>
      <c r="AD1455" s="1" t="n"/>
      <c r="AE1455" s="1" t="n"/>
    </row>
    <row r="1456" ht="42" customHeight="1">
      <c r="A1456" s="14">
        <f>IFERROR(__xludf.DUMMYFUNCTION("""COMPUTED_VALUE"""),45181)</f>
        <v/>
      </c>
      <c r="B1456" s="1">
        <f>IFERROR(__xludf.DUMMYFUNCTION("""COMPUTED_VALUE"""),"ORG_2074")</f>
        <v/>
      </c>
      <c r="C1456" s="1">
        <f>IFERROR(__xludf.DUMMYFUNCTION("""COMPUTED_VALUE"""),TRUE)</f>
        <v/>
      </c>
      <c r="D1456" s="1">
        <f>IFERROR(__xludf.DUMMYFUNCTION("""COMPUTED_VALUE"""),"OpenSkool")</f>
        <v/>
      </c>
      <c r="E1456" s="15">
        <f>IFERROR(__xludf.DUMMYFUNCTION("""COMPUTED_VALUE"""),"https://openskool.be")</f>
        <v/>
      </c>
      <c r="F1456" s="1">
        <f>IFERROR(__xludf.DUMMYFUNCTION("""COMPUTED_VALUE"""),"OpenSkool wants to change education permanently. We do this by breaking down barriers and eliminating red tape. It is an open data platform and modular ecosystem where lifelong learning, connection and security are central.")</f>
        <v/>
      </c>
      <c r="G1456" s="1">
        <f>IFERROR(__xludf.DUMMYFUNCTION("""COMPUTED_VALUE"""),"I'm not part of any EdTech association")</f>
        <v/>
      </c>
      <c r="H1456" s="1" t="n"/>
      <c r="I1456" s="1">
        <f>IFERROR(__xludf.DUMMYFUNCTION("""COMPUTED_VALUE"""),"peter@openskool.be")</f>
        <v/>
      </c>
      <c r="J1456" s="1" t="n"/>
      <c r="K1456" s="1">
        <f>IFERROR(__xludf.DUMMYFUNCTION("""COMPUTED_VALUE"""),"Brussel")</f>
        <v/>
      </c>
      <c r="L1456" s="1">
        <f>IFERROR(__xludf.DUMMYFUNCTION("""COMPUTED_VALUE"""),"Belgium")</f>
        <v/>
      </c>
      <c r="M1456" s="1">
        <f>IFERROR(__xludf.DUMMYFUNCTION("""COMPUTED_VALUE"""),"Belgium, France, Netherlands")</f>
        <v/>
      </c>
      <c r="N1456" s="1">
        <f>IFERROR(__xludf.DUMMYFUNCTION("""COMPUTED_VALUE"""),"0 to 10")</f>
        <v/>
      </c>
      <c r="O1456" s="1">
        <f>IFERROR(__xludf.DUMMYFUNCTION("""COMPUTED_VALUE"""),"Business to Business, Business to Government, Business to Schools")</f>
        <v/>
      </c>
      <c r="P1456" s="1">
        <f>IFERROR(__xludf.DUMMYFUNCTION("""COMPUTED_VALUE"""),"Primary Education, Secondary Education, Higher Education, Corporate Training, Lifelong learning/Adult education")</f>
        <v/>
      </c>
      <c r="Q1456" s="1">
        <f>IFERROR(__xludf.DUMMYFUNCTION("""COMPUTED_VALUE"""),"System/Administrative, Student interfacing, Teacher interfacing")</f>
        <v/>
      </c>
      <c r="R1456" s="1" t="n"/>
      <c r="S1456" s="1" t="n"/>
      <c r="T1456" s="1" t="n"/>
      <c r="U1456" s="1" t="n"/>
      <c r="V1456" s="1" t="n"/>
      <c r="W1456" s="1" t="n"/>
      <c r="X1456" s="1" t="n"/>
      <c r="Y1456" s="15">
        <f>IFERROR(__xludf.DUMMYFUNCTION("""COMPUTED_VALUE"""),"https://drive.google.com/uc?export=view&amp;id=1uY-WcQt4KctZXyYgOe9t58FzzYy3MnQT")</f>
        <v/>
      </c>
      <c r="Z1456" s="1">
        <f>IFERROR(__xludf.DUMMYFUNCTION("""COMPUTED_VALUE"""),"Unverified")</f>
        <v/>
      </c>
      <c r="AA1456" s="1" t="n"/>
      <c r="AB1456" s="1" t="n"/>
      <c r="AC1456" s="1" t="n"/>
      <c r="AD1456" s="1" t="n"/>
      <c r="AE1456" s="1" t="n"/>
    </row>
    <row r="1457" ht="42" customHeight="1">
      <c r="A1457" s="14">
        <f>IFERROR(__xludf.DUMMYFUNCTION("""COMPUTED_VALUE"""),45181)</f>
        <v/>
      </c>
      <c r="B1457" s="1">
        <f>IFERROR(__xludf.DUMMYFUNCTION("""COMPUTED_VALUE"""),"ORG_2081")</f>
        <v/>
      </c>
      <c r="C1457" s="1">
        <f>IFERROR(__xludf.DUMMYFUNCTION("""COMPUTED_VALUE"""),TRUE)</f>
        <v/>
      </c>
      <c r="D1457" s="1">
        <f>IFERROR(__xludf.DUMMYFUNCTION("""COMPUTED_VALUE"""),"ovos")</f>
        <v/>
      </c>
      <c r="E1457" s="15">
        <f>IFERROR(__xludf.DUMMYFUNCTION("""COMPUTED_VALUE"""),"https://ovos.at/en/")</f>
        <v/>
      </c>
      <c r="F1457" s="1">
        <f>IFERROR(__xludf.DUMMYFUNCTION("""COMPUTED_VALUE"""),"The Vienna-based studio ovos uses game technology and design to create playful experiences that both engage &amp; educate users. Ever since we started, we have been convinced that having fun is the best way for people to learn. 
Ovos was founded in 2004 and "&amp;"creates training applications, Serious Games and gamified online services.")</f>
        <v/>
      </c>
      <c r="G1457" s="1">
        <f>IFERROR(__xludf.DUMMYFUNCTION("""COMPUTED_VALUE"""),"EdTech Austria")</f>
        <v/>
      </c>
      <c r="H1457" s="1" t="n"/>
      <c r="I1457" s="1">
        <f>IFERROR(__xludf.DUMMYFUNCTION("""COMPUTED_VALUE"""),"office@ovos.at")</f>
        <v/>
      </c>
      <c r="J1457" s="1">
        <f>IFERROR(__xludf.DUMMYFUNCTION("""COMPUTED_VALUE"""),"+43189033890")</f>
        <v/>
      </c>
      <c r="K1457" s="1">
        <f>IFERROR(__xludf.DUMMYFUNCTION("""COMPUTED_VALUE"""),"Vienna")</f>
        <v/>
      </c>
      <c r="L1457" s="1">
        <f>IFERROR(__xludf.DUMMYFUNCTION("""COMPUTED_VALUE"""),"Austria")</f>
        <v/>
      </c>
      <c r="M1457" s="1">
        <f>IFERROR(__xludf.DUMMYFUNCTION("""COMPUTED_VALUE"""),"Austria, Germany, Switzerland")</f>
        <v/>
      </c>
      <c r="N1457" s="1">
        <f>IFERROR(__xludf.DUMMYFUNCTION("""COMPUTED_VALUE"""),"11 to 50")</f>
        <v/>
      </c>
      <c r="O1457" s="1">
        <f>IFERROR(__xludf.DUMMYFUNCTION("""COMPUTED_VALUE"""),"Business to Business, Business to Government, Business to Schools")</f>
        <v/>
      </c>
      <c r="P1457" s="1">
        <f>IFERROR(__xludf.DUMMYFUNCTION("""COMPUTED_VALUE"""),"Secondary Education, Higher Education, Corporate Training, Lifelong learning/Adult education")</f>
        <v/>
      </c>
      <c r="Q1457" s="1">
        <f>IFERROR(__xludf.DUMMYFUNCTION("""COMPUTED_VALUE"""),"System/Administrative")</f>
        <v/>
      </c>
      <c r="R1457" s="1" t="n"/>
      <c r="S1457" s="1" t="n"/>
      <c r="T1457" s="1" t="n"/>
      <c r="U1457" s="1" t="n"/>
      <c r="V1457" s="1" t="n"/>
      <c r="W1457" s="1" t="n"/>
      <c r="X1457" s="1" t="n"/>
      <c r="Y1457" s="15">
        <f>IFERROR(__xludf.DUMMYFUNCTION("""COMPUTED_VALUE"""),"https://drive.google.com/uc?export=view&amp;id=149yM4qSBX5oPD2QRBAL05Cjxn5LY4Aqg")</f>
        <v/>
      </c>
      <c r="Z1457" s="1">
        <f>IFERROR(__xludf.DUMMYFUNCTION("""COMPUTED_VALUE"""),"Unverified")</f>
        <v/>
      </c>
      <c r="AA1457" s="1" t="n"/>
      <c r="AB1457" s="1" t="n"/>
      <c r="AC1457" s="1" t="n"/>
      <c r="AD1457" s="1" t="n"/>
      <c r="AE1457" s="1" t="n"/>
    </row>
    <row r="1458" ht="42" customHeight="1">
      <c r="A1458" s="14">
        <f>IFERROR(__xludf.DUMMYFUNCTION("""COMPUTED_VALUE"""),45181)</f>
        <v/>
      </c>
      <c r="B1458" s="1">
        <f>IFERROR(__xludf.DUMMYFUNCTION("""COMPUTED_VALUE"""),"ORG_2110")</f>
        <v/>
      </c>
      <c r="C1458" s="1">
        <f>IFERROR(__xludf.DUMMYFUNCTION("""COMPUTED_VALUE"""),TRUE)</f>
        <v/>
      </c>
      <c r="D1458" s="1">
        <f>IFERROR(__xludf.DUMMYFUNCTION("""COMPUTED_VALUE"""),"PLAY IT")</f>
        <v/>
      </c>
      <c r="E1458" s="15">
        <f>IFERROR(__xludf.DUMMYFUNCTION("""COMPUTED_VALUE"""),"www.playit.training")</f>
        <v/>
      </c>
      <c r="F1458" s="1">
        <f>IFERROR(__xludf.DUMMYFUNCTION("""COMPUTED_VALUE"""),"Play it: the number 1 game-based learning platform
Learning games take corporate training to a higher level. Play It uses simulations to improve the knowledge and skills of your team. So that you get the most out of efficiency and motivation. We offer sta"&amp;"ndardized and tailored experiences on mobile, web and VR.
Game-based learning works! Studies show the power of the Play It Platform. Your staff learn:
* four times faster
* 30% more efficient
* with 1000 times more fun
Solutions:
* Play it First: game-b"&amp;"ased onboarding
* Play it Safe: game-based occupational health and safety training
* Play it Secure: game-based cybersecurity and GDPR training
* Play it Ahead: game-based leadership training
* Play it Creator: build your own games")</f>
        <v/>
      </c>
      <c r="G1458" s="1">
        <f>IFERROR(__xludf.DUMMYFUNCTION("""COMPUTED_VALUE"""),"I'm not part of any EdTech association")</f>
        <v/>
      </c>
      <c r="H1458" s="1" t="n"/>
      <c r="I1458" s="1">
        <f>IFERROR(__xludf.DUMMYFUNCTION("""COMPUTED_VALUE"""),"lisa@playit.training")</f>
        <v/>
      </c>
      <c r="J1458" s="1">
        <f>IFERROR(__xludf.DUMMYFUNCTION("""COMPUTED_VALUE"""),"+32 (0) 56 59 12 88")</f>
        <v/>
      </c>
      <c r="K1458" s="1">
        <f>IFERROR(__xludf.DUMMYFUNCTION("""COMPUTED_VALUE"""),"KORTRIJK")</f>
        <v/>
      </c>
      <c r="L1458" s="1">
        <f>IFERROR(__xludf.DUMMYFUNCTION("""COMPUTED_VALUE"""),"Belgium")</f>
        <v/>
      </c>
      <c r="M1458" s="1">
        <f>IFERROR(__xludf.DUMMYFUNCTION("""COMPUTED_VALUE"""),"Belgium, Bulgaria, Croatia, Czechia, Denmark, Estonia, Finland, France, Germany, Greece, Hungary, Ireland, Italy, Luxembourg, Netherlands, Norway, Poland, Portugal, Slovakia, Slovenia, Spain, Sweden, Switzerland, Turkey, United Kingdom")</f>
        <v/>
      </c>
      <c r="N1458" s="1">
        <f>IFERROR(__xludf.DUMMYFUNCTION("""COMPUTED_VALUE"""),"11 to 50")</f>
        <v/>
      </c>
      <c r="O1458" s="1">
        <f>IFERROR(__xludf.DUMMYFUNCTION("""COMPUTED_VALUE"""),"Business to Business, Business to Government, Business to Schools")</f>
        <v/>
      </c>
      <c r="P1458" s="1">
        <f>IFERROR(__xludf.DUMMYFUNCTION("""COMPUTED_VALUE"""),"Higher Education, Corporate Training, Lifelong learning/Adult education")</f>
        <v/>
      </c>
      <c r="Q1458" s="1">
        <f>IFERROR(__xludf.DUMMYFUNCTION("""COMPUTED_VALUE"""),"Teacher interfacing, Student interfacing, System/Administrative")</f>
        <v/>
      </c>
      <c r="R1458" s="1" t="n"/>
      <c r="S1458" s="1">
        <f>IFERROR(__xludf.DUMMYFUNCTION("""COMPUTED_VALUE"""),"@Playitsafelearn")</f>
        <v/>
      </c>
      <c r="T1458" s="15">
        <f>IFERROR(__xludf.DUMMYFUNCTION("""COMPUTED_VALUE"""),"https://www.linkedin.com/company/playitsafe")</f>
        <v/>
      </c>
      <c r="U1458" s="1">
        <f>IFERROR(__xludf.DUMMYFUNCTION("""COMPUTED_VALUE"""),"Play it Safe")</f>
        <v/>
      </c>
      <c r="V1458" s="1">
        <f>IFERROR(__xludf.DUMMYFUNCTION("""COMPUTED_VALUE"""),"Play It Safe: game-based occupational health and safety training
Safety in the workplace deserves appropriate attention. First aid training, fire, internal traffic, general safety, ergonomics, psychosocial well-being or hygiene, and more… a Play It Safe g"&amp;"ame presents it interactively and effectively. This ensures you improve the safety of your workplace in no time at all:
First aid
Hygiene
Fire prevention and fire safety
Safe working (general safety)
Ergonomics
Psychosocial support
Internal traffic")</f>
        <v/>
      </c>
      <c r="W1458" s="1">
        <f>IFERROR(__xludf.DUMMYFUNCTION("""COMPUTED_VALUE"""),"Play it Secure")</f>
        <v/>
      </c>
      <c r="X1458" s="1">
        <f>IFERROR(__xludf.DUMMYFUNCTION("""COMPUTED_VALUE"""),"Play It Secure: game-based Cybersecurity and GDPR courses
Data protection and cybersecurity are hot topics. These are probably also high on the agenda in your company. It is a complex subject and a decent cyber security course is hard to find. Fortunately"&amp;", simulations for GDPR training offer an alternative that motivates and works:
GDPR
phishing
passwords
e-crime
removable media")</f>
        <v/>
      </c>
      <c r="Y1458" s="15">
        <f>IFERROR(__xludf.DUMMYFUNCTION("""COMPUTED_VALUE"""),"https://drive.google.com/uc?export=view&amp;id=13Ch-wtltvzv2sEl8hcl_zphtSoy7-Qfl")</f>
        <v/>
      </c>
      <c r="Z1458" s="1">
        <f>IFERROR(__xludf.DUMMYFUNCTION("""COMPUTED_VALUE"""),"Unverified")</f>
        <v/>
      </c>
      <c r="AA1458" s="1" t="n"/>
      <c r="AB1458" s="1" t="n"/>
      <c r="AC1458" s="1" t="n"/>
      <c r="AD1458" s="1" t="n"/>
      <c r="AE1458" s="1" t="n"/>
    </row>
    <row r="1459" ht="42" customHeight="1">
      <c r="A1459" s="14">
        <f>IFERROR(__xludf.DUMMYFUNCTION("""COMPUTED_VALUE"""),45181)</f>
        <v/>
      </c>
      <c r="B1459" s="1">
        <f>IFERROR(__xludf.DUMMYFUNCTION("""COMPUTED_VALUE"""),"ORG_2147")</f>
        <v/>
      </c>
      <c r="C1459" s="1">
        <f>IFERROR(__xludf.DUMMYFUNCTION("""COMPUTED_VALUE"""),TRUE)</f>
        <v/>
      </c>
      <c r="D1459" s="1">
        <f>IFERROR(__xludf.DUMMYFUNCTION("""COMPUTED_VALUE"""),"QUIZCO GMBH")</f>
        <v/>
      </c>
      <c r="E1459" s="15">
        <f>IFERROR(__xludf.DUMMYFUNCTION("""COMPUTED_VALUE"""),"https://quizco.de/")</f>
        <v/>
      </c>
      <c r="F1459" s="1">
        <f>IFERROR(__xludf.DUMMYFUNCTION("""COMPUTED_VALUE"""),"We revolutionise learning with the help of Artificial Intelligence creating innovative learning approaches with digital content that adapts to the requirements of education providers and companies at any time! Our AI-based Content-Processor generates new "&amp;"derivatives and digital learning units such as quizzes and flashcards from existing text documents. This saves valuable time and resources. With our learning management system knowlab, we
provide access to an innovative and unique digital learning interfa"&amp;"ce, which can also be customised to meet specific learning requirements. Join us and discover the future of learning with QuizCo!")</f>
        <v/>
      </c>
      <c r="G1459" s="1">
        <f>IFERROR(__xludf.DUMMYFUNCTION("""COMPUTED_VALUE"""),"I'm not part of any EdTech association")</f>
        <v/>
      </c>
      <c r="H1459" s="1" t="n"/>
      <c r="I1459" s="1">
        <f>IFERROR(__xludf.DUMMYFUNCTION("""COMPUTED_VALUE"""),"torsten@quizco.de")</f>
        <v/>
      </c>
      <c r="J1459" s="1">
        <f>IFERROR(__xludf.DUMMYFUNCTION("""COMPUTED_VALUE"""),"+49 151 27036545")</f>
        <v/>
      </c>
      <c r="K1459" s="1">
        <f>IFERROR(__xludf.DUMMYFUNCTION("""COMPUTED_VALUE"""),"Dortmund")</f>
        <v/>
      </c>
      <c r="L1459" s="1">
        <f>IFERROR(__xludf.DUMMYFUNCTION("""COMPUTED_VALUE"""),"Germany")</f>
        <v/>
      </c>
      <c r="M1459" s="1">
        <f>IFERROR(__xludf.DUMMYFUNCTION("""COMPUTED_VALUE"""),"Germany")</f>
        <v/>
      </c>
      <c r="N1459" s="1">
        <f>IFERROR(__xludf.DUMMYFUNCTION("""COMPUTED_VALUE"""),"0 to 10")</f>
        <v/>
      </c>
      <c r="O1459" s="1">
        <f>IFERROR(__xludf.DUMMYFUNCTION("""COMPUTED_VALUE"""),"Business to Business, Business to Schools")</f>
        <v/>
      </c>
      <c r="P1459" s="1">
        <f>IFERROR(__xludf.DUMMYFUNCTION("""COMPUTED_VALUE"""),"Secondary Education, Higher Education, Corporate Training, Lifelong learning/Adult education")</f>
        <v/>
      </c>
      <c r="Q1459" s="1">
        <f>IFERROR(__xludf.DUMMYFUNCTION("""COMPUTED_VALUE"""),"Student interfacing, Teacher interfacing, System/Administrative")</f>
        <v/>
      </c>
      <c r="R1459" s="1" t="n"/>
      <c r="S1459" s="1" t="n"/>
      <c r="T1459" s="1" t="n"/>
      <c r="U1459" s="1" t="n"/>
      <c r="V1459" s="1" t="n"/>
      <c r="W1459" s="1" t="n"/>
      <c r="X1459" s="1" t="n"/>
      <c r="Y1459" s="15">
        <f>IFERROR(__xludf.DUMMYFUNCTION("""COMPUTED_VALUE"""),"https://drive.google.com/uc?export=view&amp;id=1VotAlKN_fdF5VfUNLn5O9-L0I1klWNGi")</f>
        <v/>
      </c>
      <c r="Z1459" s="1">
        <f>IFERROR(__xludf.DUMMYFUNCTION("""COMPUTED_VALUE"""),"Unverified")</f>
        <v/>
      </c>
      <c r="AA1459" s="1" t="n"/>
      <c r="AB1459" s="1" t="n"/>
      <c r="AC1459" s="1" t="n"/>
      <c r="AD1459" s="1" t="n"/>
      <c r="AE1459" s="1" t="n"/>
    </row>
    <row r="1460" ht="42" customHeight="1">
      <c r="A1460" s="14">
        <f>IFERROR(__xludf.DUMMYFUNCTION("""COMPUTED_VALUE"""),45181)</f>
        <v/>
      </c>
      <c r="B1460" s="1">
        <f>IFERROR(__xludf.DUMMYFUNCTION("""COMPUTED_VALUE"""),"ORG_2150")</f>
        <v/>
      </c>
      <c r="C1460" s="1">
        <f>IFERROR(__xludf.DUMMYFUNCTION("""COMPUTED_VALUE"""),TRUE)</f>
        <v/>
      </c>
      <c r="D1460" s="1">
        <f>IFERROR(__xludf.DUMMYFUNCTION("""COMPUTED_VALUE"""),"quofox")</f>
        <v/>
      </c>
      <c r="E1460" s="15">
        <f>IFERROR(__xludf.DUMMYFUNCTION("""COMPUTED_VALUE"""),"www.quofox.com")</f>
        <v/>
      </c>
      <c r="F1460" s="1">
        <f>IFERROR(__xludf.DUMMYFUNCTION("""COMPUTED_VALUE"""),"quofox built one of the first marketplace solutions (Content Hub) that provides more than 10,000 third-party learning contents to its users. The 'Content Hub' contains more than 700 vendors that offer training services in many different learning formats a"&amp;"nd languages, e. g. presence training, podcasts, video courses, exams or webbased trainings and many more.
All public-offered learning contents can easily be published in client specific learning portals based on the quofox Learning Suite technology as a"&amp;"n on-demand service. This combination of an intuitive and interactive learning platform and the highly integrated marketplace and its contents makes quofox a unique opportunity for implemanting and encouraging digital learning in small and medium-sized bu"&amp;"sinesses (SMB).
The quofox Learning Suite supports any company internal und external training processes from planning, structuring, executing to evaluating training activities. Learning paths and learning groups features enables course execution in succe"&amp;"ssion, interactive communication and knowledge exchange between asigned learning participants.Defined company administrators as well as company-specific suppliers can provide and adjust learning contents immediately. With an customizable reporting tool em"&amp;"ployees learning activities can be steered and controlled. The Learning Suite uses maintained company structures for learning content visibility, approval processes and notification features as well as purchasing and invoicing handling.")</f>
        <v/>
      </c>
      <c r="G1460" s="1">
        <f>IFERROR(__xludf.DUMMYFUNCTION("""COMPUTED_VALUE"""),"I'm not part of any EdTech association")</f>
        <v/>
      </c>
      <c r="H1460" s="1" t="n"/>
      <c r="I1460" s="1">
        <f>IFERROR(__xludf.DUMMYFUNCTION("""COMPUTED_VALUE"""),"mail@support.quofox.com")</f>
        <v/>
      </c>
      <c r="J1460" s="1">
        <f>IFERROR(__xludf.DUMMYFUNCTION("""COMPUTED_VALUE"""),"+49 (0)30 549 092 345")</f>
        <v/>
      </c>
      <c r="K1460" s="1">
        <f>IFERROR(__xludf.DUMMYFUNCTION("""COMPUTED_VALUE"""),"Berlin")</f>
        <v/>
      </c>
      <c r="L1460" s="1">
        <f>IFERROR(__xludf.DUMMYFUNCTION("""COMPUTED_VALUE"""),"Germany")</f>
        <v/>
      </c>
      <c r="M1460"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San Marino, Serbia, Slovakia, Slovenia, Spain, Sweden, Switzerland, Turkey, Ukraine, United Kingdom")</f>
        <v/>
      </c>
      <c r="N1460" s="1">
        <f>IFERROR(__xludf.DUMMYFUNCTION("""COMPUTED_VALUE"""),"11 to 50")</f>
        <v/>
      </c>
      <c r="O1460" s="1">
        <f>IFERROR(__xludf.DUMMYFUNCTION("""COMPUTED_VALUE"""),"Business to Business, Business to Schools")</f>
        <v/>
      </c>
      <c r="P1460" s="1">
        <f>IFERROR(__xludf.DUMMYFUNCTION("""COMPUTED_VALUE"""),"Corporate Training")</f>
        <v/>
      </c>
      <c r="Q1460" s="1">
        <f>IFERROR(__xludf.DUMMYFUNCTION("""COMPUTED_VALUE"""),"System/Administrative")</f>
        <v/>
      </c>
      <c r="R1460" s="1" t="n"/>
      <c r="S1460" s="1" t="n"/>
      <c r="T1460" s="1" t="n"/>
      <c r="U1460" s="1" t="n"/>
      <c r="V1460" s="1" t="n"/>
      <c r="W1460" s="1" t="n"/>
      <c r="X1460" s="1" t="n"/>
      <c r="Y1460" s="15">
        <f>IFERROR(__xludf.DUMMYFUNCTION("""COMPUTED_VALUE"""),"https://drive.google.com/uc?export=view&amp;id=1UaCY2OOs6xc26pw9Oq_Oz-q-F-eve03X")</f>
        <v/>
      </c>
      <c r="Z1460" s="1">
        <f>IFERROR(__xludf.DUMMYFUNCTION("""COMPUTED_VALUE"""),"Unverified")</f>
        <v/>
      </c>
      <c r="AA1460" s="1" t="n"/>
      <c r="AB1460" s="1" t="n"/>
      <c r="AC1460" s="1" t="n"/>
      <c r="AD1460" s="1" t="n"/>
      <c r="AE1460" s="1" t="n"/>
    </row>
    <row r="1461" ht="42" customHeight="1">
      <c r="A1461" s="14">
        <f>IFERROR(__xludf.DUMMYFUNCTION("""COMPUTED_VALUE"""),45181)</f>
        <v/>
      </c>
      <c r="B1461" s="1">
        <f>IFERROR(__xludf.DUMMYFUNCTION("""COMPUTED_VALUE"""),"ORG_2161")</f>
        <v/>
      </c>
      <c r="C1461" s="1">
        <f>IFERROR(__xludf.DUMMYFUNCTION("""COMPUTED_VALUE"""),TRUE)</f>
        <v/>
      </c>
      <c r="D1461" s="1">
        <f>IFERROR(__xludf.DUMMYFUNCTION("""COMPUTED_VALUE"""),"Reactored language learning platform")</f>
        <v/>
      </c>
      <c r="E1461" s="15">
        <f>IFERROR(__xludf.DUMMYFUNCTION("""COMPUTED_VALUE"""),"Https://reactored.com/ai-la-material-creation-tool/")</f>
        <v/>
      </c>
      <c r="F1461" s="1">
        <f>IFERROR(__xludf.DUMMYFUNCTION("""COMPUTED_VALUE"""),"Reactored is a comprehensive teaching and learning solution for languages. With our easy-to-use and secure tool, teachers can teach effectively on all devices. Create your lessons with the help of AI or search &amp; modify interactive tasks from our growing l"&amp;"esson database of 20 languages. We take care of the assessments and grading part so that teachers can focus on their actual job better.")</f>
        <v/>
      </c>
      <c r="G1461" s="1">
        <f>IFERROR(__xludf.DUMMYFUNCTION("""COMPUTED_VALUE"""),"EdTech Finland, xEdu")</f>
        <v/>
      </c>
      <c r="H1461" s="1">
        <f>IFERROR(__xludf.DUMMYFUNCTION("""COMPUTED_VALUE"""),"English, Russian, Finnish, Swedish, French, German")</f>
        <v/>
      </c>
      <c r="I1461" s="1">
        <f>IFERROR(__xludf.DUMMYFUNCTION("""COMPUTED_VALUE"""),"kari.savolainen@reactored.com")</f>
        <v/>
      </c>
      <c r="J1461" s="1">
        <f>IFERROR(__xludf.DUMMYFUNCTION("""COMPUTED_VALUE"""),"+358405370375")</f>
        <v/>
      </c>
      <c r="K1461" s="1">
        <f>IFERROR(__xludf.DUMMYFUNCTION("""COMPUTED_VALUE"""),"Järvenpää")</f>
        <v/>
      </c>
      <c r="L1461" s="1">
        <f>IFERROR(__xludf.DUMMYFUNCTION("""COMPUTED_VALUE"""),"Finland")</f>
        <v/>
      </c>
      <c r="M1461" s="1">
        <f>IFERROR(__xludf.DUMMYFUNCTION("""COMPUTED_VALUE"""),"Finland, France, Germany, Romania, Russia")</f>
        <v/>
      </c>
      <c r="N1461" s="1">
        <f>IFERROR(__xludf.DUMMYFUNCTION("""COMPUTED_VALUE"""),"3 to 5")</f>
        <v/>
      </c>
      <c r="O1461" s="1">
        <f>IFERROR(__xludf.DUMMYFUNCTION("""COMPUTED_VALUE"""),"Business to Business, Business to Schools")</f>
        <v/>
      </c>
      <c r="P1461" s="1">
        <f>IFERROR(__xludf.DUMMYFUNCTION("""COMPUTED_VALUE"""),"Primary Education, Secondary Education, Corporate Training, Lifelong learning/Adult education, Vocational Education and Training (VET), Higher Education")</f>
        <v/>
      </c>
      <c r="Q1461" s="1">
        <f>IFERROR(__xludf.DUMMYFUNCTION("""COMPUTED_VALUE"""),"Teacher interfacing, System/Administrative, Student interfacing")</f>
        <v/>
      </c>
      <c r="R1461" s="15">
        <f>IFERROR(__xludf.DUMMYFUNCTION("""COMPUTED_VALUE"""),"https://www.instagram.com/reactoredcom/?hl=fi")</f>
        <v/>
      </c>
      <c r="S1461" s="15">
        <f>IFERROR(__xludf.DUMMYFUNCTION("""COMPUTED_VALUE"""),"https://twitter.com/reactoredcom")</f>
        <v/>
      </c>
      <c r="T1461" s="15">
        <f>IFERROR(__xludf.DUMMYFUNCTION("""COMPUTED_VALUE"""),"https://www.linkedin.com/company/reactored")</f>
        <v/>
      </c>
      <c r="U1461" s="1">
        <f>IFERROR(__xludf.DUMMYFUNCTION("""COMPUTED_VALUE"""),"Reactored classroom")</f>
        <v/>
      </c>
      <c r="V1461" s="1">
        <f>IFERROR(__xludf.DUMMYFUNCTION("""COMPUTED_VALUE"""),"Morst popular license type for new users. It allows 1 teacher user and 100 students to use the solution for 12 months.")</f>
        <v/>
      </c>
      <c r="W1461" s="1">
        <f>IFERROR(__xludf.DUMMYFUNCTION("""COMPUTED_VALUE"""),"Reactored School")</f>
        <v/>
      </c>
      <c r="X1461" s="1">
        <f>IFERROR(__xludf.DUMMYFUNCTION("""COMPUTED_VALUE"""),"Allows the schools to join into the school account. Collaborate with other teachers, create groups and lessons and exams that can be used with other colleagues.")</f>
        <v/>
      </c>
      <c r="Y1461" s="15">
        <f>IFERROR(__xludf.DUMMYFUNCTION("""COMPUTED_VALUE"""),"https://drive.google.com/uc?export=view&amp;id=1DWYjoUOP_g6fmJ0dXHhK85a0l9wwZvIB")</f>
        <v/>
      </c>
      <c r="Z1461" s="1">
        <f>IFERROR(__xludf.DUMMYFUNCTION("""COMPUTED_VALUE"""),"Unverified")</f>
        <v/>
      </c>
      <c r="AA1461" s="1" t="n"/>
      <c r="AB1461" s="1" t="n"/>
      <c r="AC1461" s="1" t="n"/>
      <c r="AD1461" s="1" t="n"/>
      <c r="AE1461" s="1" t="n"/>
    </row>
    <row r="1462" ht="42" customHeight="1">
      <c r="A1462" s="14">
        <f>IFERROR(__xludf.DUMMYFUNCTION("""COMPUTED_VALUE"""),45181)</f>
        <v/>
      </c>
      <c r="B1462" s="1">
        <f>IFERROR(__xludf.DUMMYFUNCTION("""COMPUTED_VALUE"""),"ORG_2184")</f>
        <v/>
      </c>
      <c r="C1462" s="1">
        <f>IFERROR(__xludf.DUMMYFUNCTION("""COMPUTED_VALUE"""),TRUE)</f>
        <v/>
      </c>
      <c r="D1462" s="1">
        <f>IFERROR(__xludf.DUMMYFUNCTION("""COMPUTED_VALUE"""),"Rimud")</f>
        <v/>
      </c>
      <c r="E1462" s="15">
        <f>IFERROR(__xludf.DUMMYFUNCTION("""COMPUTED_VALUE"""),"https://rimud.com")</f>
        <v/>
      </c>
      <c r="F1462" s="1">
        <f>IFERROR(__xludf.DUMMYFUNCTION("""COMPUTED_VALUE"""),"Rimud is a suite of educational products. This is a series of video games that are provided as a resource for professionals (speech therapist, teacher, etc.). The professional, through a dashboard, personalizes the content of these games in less than 10 s"&amp;"econds. In this way, the teacher gets personalized and inclusive training.
In addition, it allows you to create your own content, vocabulary, images and sounds. The sounds can be recorded with the therapist's own voice or can be chosen to be generated by"&amp;" Rimud using artificial intelligence.
Rimud already has more than 3,000 users from Spain and LATAM.
In 2021 it was the winner of the national prize for accessible education and obtained European funding to provide it with artificial intelligence. This a"&amp;"rtificial intelligence will propose activities to therapists based on the results obtained from the exercises.")</f>
        <v/>
      </c>
      <c r="G1462" s="1">
        <f>IFERROR(__xludf.DUMMYFUNCTION("""COMPUTED_VALUE"""),"SEK Lab")</f>
        <v/>
      </c>
      <c r="H1462" s="1" t="n"/>
      <c r="I1462" s="1" t="n"/>
      <c r="J1462" s="1" t="n"/>
      <c r="K1462" s="1">
        <f>IFERROR(__xludf.DUMMYFUNCTION("""COMPUTED_VALUE"""),"Málaga")</f>
        <v/>
      </c>
      <c r="L1462" s="1">
        <f>IFERROR(__xludf.DUMMYFUNCTION("""COMPUTED_VALUE"""),"Spain")</f>
        <v/>
      </c>
      <c r="M1462" s="1">
        <f>IFERROR(__xludf.DUMMYFUNCTION("""COMPUTED_VALUE"""),"Spain")</f>
        <v/>
      </c>
      <c r="N1462" s="1">
        <f>IFERROR(__xludf.DUMMYFUNCTION("""COMPUTED_VALUE"""),"0 to 10")</f>
        <v/>
      </c>
      <c r="O1462" s="1">
        <f>IFERROR(__xludf.DUMMYFUNCTION("""COMPUTED_VALUE"""),"Business to Business, Business to Schools")</f>
        <v/>
      </c>
      <c r="P1462" s="1">
        <f>IFERROR(__xludf.DUMMYFUNCTION("""COMPUTED_VALUE"""),"Early childhood development (0-5 years), Primary Education")</f>
        <v/>
      </c>
      <c r="Q1462" s="1">
        <f>IFERROR(__xludf.DUMMYFUNCTION("""COMPUTED_VALUE"""),"Student interfacing")</f>
        <v/>
      </c>
      <c r="R1462" s="1" t="n"/>
      <c r="S1462" s="1" t="n"/>
      <c r="T1462" s="1" t="n"/>
      <c r="U1462" s="1">
        <f>IFERROR(__xludf.DUMMYFUNCTION("""COMPUTED_VALUE"""),"Rimud")</f>
        <v/>
      </c>
      <c r="V1462" s="1">
        <f>IFERROR(__xludf.DUMMYFUNCTION("""COMPUTED_VALUE"""),"Rimud is a suite of educational products. This is a series of video games that are provided as a resource for professionals (speech therapist, teacher, etc.). The professional, through a dashboard, personalizes the content of these games in less than 10 s"&amp;"econds. In this way, the teacher gets personalized and inclusive training.")</f>
        <v/>
      </c>
      <c r="W1462" s="1" t="n"/>
      <c r="X1462" s="1" t="n"/>
      <c r="Y1462" s="15">
        <f>IFERROR(__xludf.DUMMYFUNCTION("""COMPUTED_VALUE"""),"https://drive.google.com/uc?export=view&amp;id=1QAO8BT1DX9V9Fv3GSZint0jbCj2Hq4-0")</f>
        <v/>
      </c>
      <c r="Z1462" s="1">
        <f>IFERROR(__xludf.DUMMYFUNCTION("""COMPUTED_VALUE"""),"Unverified")</f>
        <v/>
      </c>
      <c r="AA1462" s="1" t="n"/>
      <c r="AB1462" s="1" t="n"/>
      <c r="AC1462" s="1" t="n"/>
      <c r="AD1462" s="1" t="n"/>
      <c r="AE1462" s="1" t="n"/>
    </row>
    <row r="1463" ht="42" customHeight="1">
      <c r="A1463" s="14">
        <f>IFERROR(__xludf.DUMMYFUNCTION("""COMPUTED_VALUE"""),45181)</f>
        <v/>
      </c>
      <c r="B1463" s="1">
        <f>IFERROR(__xludf.DUMMYFUNCTION("""COMPUTED_VALUE"""),"ORG_2211")</f>
        <v/>
      </c>
      <c r="C1463" s="1">
        <f>IFERROR(__xludf.DUMMYFUNCTION("""COMPUTED_VALUE"""),TRUE)</f>
        <v/>
      </c>
      <c r="D1463" s="1">
        <f>IFERROR(__xludf.DUMMYFUNCTION("""COMPUTED_VALUE"""),"Schoolr")</f>
        <v/>
      </c>
      <c r="E1463" s="15">
        <f>IFERROR(__xludf.DUMMYFUNCTION("""COMPUTED_VALUE"""),"https://schoolr.net/it")</f>
        <v/>
      </c>
      <c r="F1463" s="1">
        <f>IFERROR(__xludf.DUMMYFUNCTION("""COMPUTED_VALUE"""),"Schoolr is an online teaching platform for conducting live lessons and courses from quality and selected tutors to all students, from elementary schools to university. To date, we have over 5,000 qualified tutors and over 20,000 students.")</f>
        <v/>
      </c>
      <c r="G1463" s="1">
        <f>IFERROR(__xludf.DUMMYFUNCTION("""COMPUTED_VALUE"""),"EdTech Italia")</f>
        <v/>
      </c>
      <c r="H1463" s="1" t="n"/>
      <c r="I1463" s="1">
        <f>IFERROR(__xludf.DUMMYFUNCTION("""COMPUTED_VALUE"""),"cristiano.scarapucci@schoolr.net")</f>
        <v/>
      </c>
      <c r="J1463" s="1">
        <f>IFERROR(__xludf.DUMMYFUNCTION("""COMPUTED_VALUE"""),"+393332325627")</f>
        <v/>
      </c>
      <c r="K1463" s="1">
        <f>IFERROR(__xludf.DUMMYFUNCTION("""COMPUTED_VALUE"""),"Firenze")</f>
        <v/>
      </c>
      <c r="L1463" s="1">
        <f>IFERROR(__xludf.DUMMYFUNCTION("""COMPUTED_VALUE"""),"Italy")</f>
        <v/>
      </c>
      <c r="M1463" s="1">
        <f>IFERROR(__xludf.DUMMYFUNCTION("""COMPUTED_VALUE"""),"Italy")</f>
        <v/>
      </c>
      <c r="N1463" s="1">
        <f>IFERROR(__xludf.DUMMYFUNCTION("""COMPUTED_VALUE"""),"0 to 10")</f>
        <v/>
      </c>
      <c r="O1463" s="1">
        <f>IFERROR(__xludf.DUMMYFUNCTION("""COMPUTED_VALUE"""),"Business to Consumer")</f>
        <v/>
      </c>
      <c r="P1463" s="1">
        <f>IFERROR(__xludf.DUMMYFUNCTION("""COMPUTED_VALUE"""),"Primary Education, Secondary Education, Higher Education")</f>
        <v/>
      </c>
      <c r="Q1463" s="1">
        <f>IFERROR(__xludf.DUMMYFUNCTION("""COMPUTED_VALUE"""),"System/Administrative, Student interfacing, Teacher interfacing")</f>
        <v/>
      </c>
      <c r="R1463" s="15">
        <f>IFERROR(__xludf.DUMMYFUNCTION("""COMPUTED_VALUE"""),"https://www.instagram.com/schoolrhq/")</f>
        <v/>
      </c>
      <c r="S1463" s="15">
        <f>IFERROR(__xludf.DUMMYFUNCTION("""COMPUTED_VALUE"""),"https://twitter.com/SchoolrHQ")</f>
        <v/>
      </c>
      <c r="T1463" s="15">
        <f>IFERROR(__xludf.DUMMYFUNCTION("""COMPUTED_VALUE"""),"https://www.linkedin.com/company/schoolr/")</f>
        <v/>
      </c>
      <c r="U1463" s="1">
        <f>IFERROR(__xludf.DUMMYFUNCTION("""COMPUTED_VALUE"""),"Schoolr Lesson")</f>
        <v/>
      </c>
      <c r="V1463" s="1">
        <f>IFERROR(__xludf.DUMMYFUNCTION("""COMPUTED_VALUE"""),"Online lessons with qualified tutors.")</f>
        <v/>
      </c>
      <c r="W1463" s="1">
        <f>IFERROR(__xludf.DUMMYFUNCTION("""COMPUTED_VALUE"""),"Schoolr Program")</f>
        <v/>
      </c>
      <c r="X1463" s="1">
        <f>IFERROR(__xludf.DUMMYFUNCTION("""COMPUTED_VALUE"""),"Dedicated online courses and specific and personalized programs for each individual student.")</f>
        <v/>
      </c>
      <c r="Y1463" s="15">
        <f>IFERROR(__xludf.DUMMYFUNCTION("""COMPUTED_VALUE"""),"https://drive.google.com/uc?export=view&amp;id=10HfIkY9FC-lenOAg1xioEJ7rHrOkyjlV")</f>
        <v/>
      </c>
      <c r="Z1463" s="1">
        <f>IFERROR(__xludf.DUMMYFUNCTION("""COMPUTED_VALUE"""),"Unverified")</f>
        <v/>
      </c>
      <c r="AA1463" s="1" t="n"/>
      <c r="AB1463" s="1" t="n"/>
      <c r="AC1463" s="1" t="n"/>
      <c r="AD1463" s="1" t="n"/>
      <c r="AE1463" s="1" t="n"/>
    </row>
    <row r="1464" ht="42" customHeight="1">
      <c r="A1464" s="14">
        <f>IFERROR(__xludf.DUMMYFUNCTION("""COMPUTED_VALUE"""),45181)</f>
        <v/>
      </c>
      <c r="B1464" s="1">
        <f>IFERROR(__xludf.DUMMYFUNCTION("""COMPUTED_VALUE"""),"ORG_2230")</f>
        <v/>
      </c>
      <c r="C1464" s="1">
        <f>IFERROR(__xludf.DUMMYFUNCTION("""COMPUTED_VALUE"""),TRUE)</f>
        <v/>
      </c>
      <c r="D1464" s="1">
        <f>IFERROR(__xludf.DUMMYFUNCTION("""COMPUTED_VALUE"""),"Seppo")</f>
        <v/>
      </c>
      <c r="E1464" s="15">
        <f>IFERROR(__xludf.DUMMYFUNCTION("""COMPUTED_VALUE"""),"https://seppo.io/")</f>
        <v/>
      </c>
      <c r="F1464" s="1">
        <f>IFERROR(__xludf.DUMMYFUNCTION("""COMPUTED_VALUE"""),"Corporations don´t learn. People do. 
We design fresh and inspiring ways to teach, learn and achieve.
Corporations can benefit from personalized learning, achievement, and motivation. That´s why learning games for corporate use must be designed to keep th"&amp;"e individual in the center. That´s why we design our games the way we do.")</f>
        <v/>
      </c>
      <c r="G1464" s="1">
        <f>IFERROR(__xludf.DUMMYFUNCTION("""COMPUTED_VALUE"""),"EdTech Finland")</f>
        <v/>
      </c>
      <c r="H1464" s="1" t="n"/>
      <c r="I1464" s="1">
        <f>IFERROR(__xludf.DUMMYFUNCTION("""COMPUTED_VALUE"""),"info@seppo.io")</f>
        <v/>
      </c>
      <c r="J1464" s="1">
        <f>IFERROR(__xludf.DUMMYFUNCTION("""COMPUTED_VALUE"""),"+358505318044")</f>
        <v/>
      </c>
      <c r="K1464" s="1">
        <f>IFERROR(__xludf.DUMMYFUNCTION("""COMPUTED_VALUE"""),"Helsinki")</f>
        <v/>
      </c>
      <c r="L1464" s="1">
        <f>IFERROR(__xludf.DUMMYFUNCTION("""COMPUTED_VALUE"""),"Finland")</f>
        <v/>
      </c>
      <c r="M1464" s="1">
        <f>IFERROR(__xludf.DUMMYFUNCTION("""COMPUTED_VALUE"""),"Austria, Belgium, Estonia, Finland, Germany, Greece, Hungary, Latvia, Lithuania, Malta, Netherlands, Norway, Poland, Romania, Spain, Sweden, United Kingdom")</f>
        <v/>
      </c>
      <c r="N1464" s="1">
        <f>IFERROR(__xludf.DUMMYFUNCTION("""COMPUTED_VALUE"""),"11 to 50")</f>
        <v/>
      </c>
      <c r="O1464" s="1">
        <f>IFERROR(__xludf.DUMMYFUNCTION("""COMPUTED_VALUE"""),"Business to Consumer")</f>
        <v/>
      </c>
      <c r="P1464" s="1">
        <f>IFERROR(__xludf.DUMMYFUNCTION("""COMPUTED_VALUE"""),"Primary Education, Secondary Education, Higher Education, Corporate Training, Lifelong learning/Adult education")</f>
        <v/>
      </c>
      <c r="Q1464" s="1">
        <f>IFERROR(__xludf.DUMMYFUNCTION("""COMPUTED_VALUE"""),"Teacher interfacing, System/Administrative")</f>
        <v/>
      </c>
      <c r="R1464" s="1">
        <f>IFERROR(__xludf.DUMMYFUNCTION("""COMPUTED_VALUE"""),"seppoio")</f>
        <v/>
      </c>
      <c r="S1464" s="15">
        <f>IFERROR(__xludf.DUMMYFUNCTION("""COMPUTED_VALUE"""),"Seppo.io")</f>
        <v/>
      </c>
      <c r="T1464" s="15">
        <f>IFERROR(__xludf.DUMMYFUNCTION("""COMPUTED_VALUE"""),"https://www.linkedin.com/company/seppo")</f>
        <v/>
      </c>
      <c r="U1464" s="1">
        <f>IFERROR(__xludf.DUMMYFUNCTION("""COMPUTED_VALUE"""),"Seppo")</f>
        <v/>
      </c>
      <c r="V1464" s="1">
        <f>IFERROR(__xludf.DUMMYFUNCTION("""COMPUTED_VALUE"""),"Our product is an easy-to-use tool to turn existing learning materials into interactive games. Seppo is a full gamification platform for any trainer or teacher to create games without any special IT skills needed. Our main target customers are Training an"&amp;"d professional services companies.")</f>
        <v/>
      </c>
      <c r="W1464" s="1" t="n"/>
      <c r="X1464" s="1" t="n"/>
      <c r="Y1464" s="15">
        <f>IFERROR(__xludf.DUMMYFUNCTION("""COMPUTED_VALUE"""),"https://drive.google.com/uc?export=view&amp;id=1p1G6ywGxGOfd9WLu5YCsDHt0FWywNQLF")</f>
        <v/>
      </c>
      <c r="Z1464" s="1">
        <f>IFERROR(__xludf.DUMMYFUNCTION("""COMPUTED_VALUE"""),"Unverified")</f>
        <v/>
      </c>
      <c r="AA1464" s="1" t="n"/>
      <c r="AB1464" s="1" t="n"/>
      <c r="AC1464" s="1" t="n"/>
      <c r="AD1464" s="1" t="n"/>
      <c r="AE1464" s="1" t="n"/>
    </row>
    <row r="1465" ht="42" customHeight="1">
      <c r="A1465" s="14">
        <f>IFERROR(__xludf.DUMMYFUNCTION("""COMPUTED_VALUE"""),45181)</f>
        <v/>
      </c>
      <c r="B1465" s="1">
        <f>IFERROR(__xludf.DUMMYFUNCTION("""COMPUTED_VALUE"""),"ORG_2266")</f>
        <v/>
      </c>
      <c r="C1465" s="1">
        <f>IFERROR(__xludf.DUMMYFUNCTION("""COMPUTED_VALUE"""),TRUE)</f>
        <v/>
      </c>
      <c r="D1465" s="1">
        <f>IFERROR(__xludf.DUMMYFUNCTION("""COMPUTED_VALUE"""),"Skoledu Math")</f>
        <v/>
      </c>
      <c r="E1465" s="15">
        <f>IFERROR(__xludf.DUMMYFUNCTION("""COMPUTED_VALUE"""),"www.skoledu.dk")</f>
        <v/>
      </c>
      <c r="F1465" s="1">
        <f>IFERROR(__xludf.DUMMYFUNCTION("""COMPUTED_VALUE"""),"Skoledu is an online interactive math curriculum for grades 0-10.")</f>
        <v/>
      </c>
      <c r="G1465" s="1">
        <f>IFERROR(__xludf.DUMMYFUNCTION("""COMPUTED_VALUE"""),"EdTech Denmark")</f>
        <v/>
      </c>
      <c r="H1465" s="1" t="n"/>
      <c r="I1465" s="1">
        <f>IFERROR(__xludf.DUMMYFUNCTION("""COMPUTED_VALUE"""),"lasse@skoledu.dk")</f>
        <v/>
      </c>
      <c r="J1465" s="1">
        <f>IFERROR(__xludf.DUMMYFUNCTION("""COMPUTED_VALUE"""),"+45 77 55 55 77")</f>
        <v/>
      </c>
      <c r="K1465" s="1">
        <f>IFERROR(__xludf.DUMMYFUNCTION("""COMPUTED_VALUE"""),"Aabyhoj")</f>
        <v/>
      </c>
      <c r="L1465" s="1">
        <f>IFERROR(__xludf.DUMMYFUNCTION("""COMPUTED_VALUE"""),"Denmark")</f>
        <v/>
      </c>
      <c r="M1465" s="1">
        <f>IFERROR(__xludf.DUMMYFUNCTION("""COMPUTED_VALUE"""),"Denmark")</f>
        <v/>
      </c>
      <c r="N1465" s="1">
        <f>IFERROR(__xludf.DUMMYFUNCTION("""COMPUTED_VALUE"""),"0 to 10")</f>
        <v/>
      </c>
      <c r="O1465" s="1">
        <f>IFERROR(__xludf.DUMMYFUNCTION("""COMPUTED_VALUE"""),"Business to Consumer")</f>
        <v/>
      </c>
      <c r="P1465" s="1">
        <f>IFERROR(__xludf.DUMMYFUNCTION("""COMPUTED_VALUE"""),"Primary Education, Secondary Education")</f>
        <v/>
      </c>
      <c r="Q1465" s="1">
        <f>IFERROR(__xludf.DUMMYFUNCTION("""COMPUTED_VALUE"""),"Student interfacing, Teacher interfacing")</f>
        <v/>
      </c>
      <c r="R1465" s="1" t="n"/>
      <c r="S1465" s="1" t="n"/>
      <c r="T1465" s="1" t="n"/>
      <c r="U1465" s="1">
        <f>IFERROR(__xludf.DUMMYFUNCTION("""COMPUTED_VALUE"""),"Skoledu Math")</f>
        <v/>
      </c>
      <c r="V1465" s="1">
        <f>IFERROR(__xludf.DUMMYFUNCTION("""COMPUTED_VALUE"""),"Skoledu is an online interactive math curriculum for grades 0-10.")</f>
        <v/>
      </c>
      <c r="W1465" s="1" t="n"/>
      <c r="X1465" s="1" t="n"/>
      <c r="Y1465" s="15">
        <f>IFERROR(__xludf.DUMMYFUNCTION("""COMPUTED_VALUE"""),"https://drive.google.com/uc?export=view&amp;id=1P833_KJPmmF9-WiTfnL4hchDBMZNhbTD")</f>
        <v/>
      </c>
      <c r="Z1465" s="1">
        <f>IFERROR(__xludf.DUMMYFUNCTION("""COMPUTED_VALUE"""),"Unverified")</f>
        <v/>
      </c>
      <c r="AA1465" s="1" t="n"/>
      <c r="AB1465" s="1" t="n"/>
      <c r="AC1465" s="1" t="n"/>
      <c r="AD1465" s="1" t="n"/>
      <c r="AE1465" s="1" t="n"/>
    </row>
    <row r="1466" ht="42" customHeight="1">
      <c r="A1466" s="14">
        <f>IFERROR(__xludf.DUMMYFUNCTION("""COMPUTED_VALUE"""),45181)</f>
        <v/>
      </c>
      <c r="B1466" s="1">
        <f>IFERROR(__xludf.DUMMYFUNCTION("""COMPUTED_VALUE"""),"ORG_2284")</f>
        <v/>
      </c>
      <c r="C1466" s="1">
        <f>IFERROR(__xludf.DUMMYFUNCTION("""COMPUTED_VALUE"""),TRUE)</f>
        <v/>
      </c>
      <c r="D1466" s="1">
        <f>IFERROR(__xludf.DUMMYFUNCTION("""COMPUTED_VALUE"""),"Snabbfoting")</f>
        <v/>
      </c>
      <c r="E1466" s="15">
        <f>IFERROR(__xludf.DUMMYFUNCTION("""COMPUTED_VALUE"""),"www.snabbfoting.com")</f>
        <v/>
      </c>
      <c r="F1466" s="1">
        <f>IFERROR(__xludf.DUMMYFUNCTION("""COMPUTED_VALUE"""),"We create a brighter future with a culture of modern digital learning.
Snabbfoting is building the learning of the future for organizations that want to be a workplace everyone wants to be a part of. We help organizations that are evolving and improving,"&amp;" seeking new and agile ways of working.
We equip decision-makers and leaders to make better decisions, build value, and accelerate learning. We serve customers in the Nordics, Europe, and the USA.")</f>
        <v/>
      </c>
      <c r="G1466" s="1">
        <f>IFERROR(__xludf.DUMMYFUNCTION("""COMPUTED_VALUE"""),"I'm not part of any EdTech association")</f>
        <v/>
      </c>
      <c r="H1466" s="1">
        <f>IFERROR(__xludf.DUMMYFUNCTION("""COMPUTED_VALUE"""),"English, Swedish")</f>
        <v/>
      </c>
      <c r="I1466" s="1">
        <f>IFERROR(__xludf.DUMMYFUNCTION("""COMPUTED_VALUE"""),"hej@snabbfoting.se")</f>
        <v/>
      </c>
      <c r="J1466" s="1">
        <f>IFERROR(__xludf.DUMMYFUNCTION("""COMPUTED_VALUE"""),"+46 8 515 107 20")</f>
        <v/>
      </c>
      <c r="K1466" s="1">
        <f>IFERROR(__xludf.DUMMYFUNCTION("""COMPUTED_VALUE"""),"STOCKHOLM")</f>
        <v/>
      </c>
      <c r="L1466" s="1">
        <f>IFERROR(__xludf.DUMMYFUNCTION("""COMPUTED_VALUE"""),"Sweden")</f>
        <v/>
      </c>
      <c r="M1466" s="1">
        <f>IFERROR(__xludf.DUMMYFUNCTION("""COMPUTED_VALUE"""),"Belgium, Denmark, Ireland, Sweden")</f>
        <v/>
      </c>
      <c r="N1466" s="1">
        <f>IFERROR(__xludf.DUMMYFUNCTION("""COMPUTED_VALUE"""),"0 to 2")</f>
        <v/>
      </c>
      <c r="O1466" s="1">
        <f>IFERROR(__xludf.DUMMYFUNCTION("""COMPUTED_VALUE"""),"Business to Consumer")</f>
        <v/>
      </c>
      <c r="P1466" s="1">
        <f>IFERROR(__xludf.DUMMYFUNCTION("""COMPUTED_VALUE"""),"Corporate Training, Lifelong learning/Adult education")</f>
        <v/>
      </c>
      <c r="Q1466" s="1">
        <f>IFERROR(__xludf.DUMMYFUNCTION("""COMPUTED_VALUE"""),"System/Administrative, Student interfacing")</f>
        <v/>
      </c>
      <c r="R1466" s="15">
        <f>IFERROR(__xludf.DUMMYFUNCTION("""COMPUTED_VALUE"""),"https://www.instagram.com/snabbfoting/")</f>
        <v/>
      </c>
      <c r="S1466" s="1" t="n"/>
      <c r="T1466" s="15">
        <f>IFERROR(__xludf.DUMMYFUNCTION("""COMPUTED_VALUE"""),"https://www.linkedin.com/company/snabbfoting")</f>
        <v/>
      </c>
      <c r="U1466" s="1">
        <f>IFERROR(__xludf.DUMMYFUNCTION("""COMPUTED_VALUE"""),"Edtech and HR-tech shortlist")</f>
        <v/>
      </c>
      <c r="V1466" s="1">
        <f>IFERROR(__xludf.DUMMYFUNCTION("""COMPUTED_VALUE"""),"Implement a solution faster with expert advice on software strategy. We’ll map out which platform fits your organization’s needs.")</f>
        <v/>
      </c>
      <c r="W1466" s="1">
        <f>IFERROR(__xludf.DUMMYFUNCTION("""COMPUTED_VALUE"""),"Workshops")</f>
        <v/>
      </c>
      <c r="X1466" s="1">
        <f>IFERROR(__xludf.DUMMYFUNCTION("""COMPUTED_VALUE"""),"Decision-makers and leaders need to ask better questions. Our workshops and assessments can be a catalyst for change.
L&amp;D &amp; HR can get an outside-in perspective and reach competency in fewer days, at a lower cost. We plan, co-design, and implement learni"&amp;"ng and content production.")</f>
        <v/>
      </c>
      <c r="Y1466" s="1" t="n"/>
      <c r="Z1466" s="1">
        <f>IFERROR(__xludf.DUMMYFUNCTION("""COMPUTED_VALUE"""),"Unverified")</f>
        <v/>
      </c>
      <c r="AA1466" s="1" t="n"/>
      <c r="AB1466" s="1" t="n"/>
      <c r="AC1466" s="1" t="n"/>
      <c r="AD1466" s="1" t="n"/>
      <c r="AE1466" s="1" t="n"/>
    </row>
    <row r="1467" ht="42" customHeight="1">
      <c r="A1467" s="14">
        <f>IFERROR(__xludf.DUMMYFUNCTION("""COMPUTED_VALUE"""),45181)</f>
        <v/>
      </c>
      <c r="B1467" s="1">
        <f>IFERROR(__xludf.DUMMYFUNCTION("""COMPUTED_VALUE"""),"ORG_2316")</f>
        <v/>
      </c>
      <c r="C1467" s="1">
        <f>IFERROR(__xludf.DUMMYFUNCTION("""COMPUTED_VALUE"""),TRUE)</f>
        <v/>
      </c>
      <c r="D1467" s="1">
        <f>IFERROR(__xludf.DUMMYFUNCTION("""COMPUTED_VALUE"""),"Squla")</f>
        <v/>
      </c>
      <c r="E1467" s="15">
        <f>IFERROR(__xludf.DUMMYFUNCTION("""COMPUTED_VALUE"""),"www.squla.nl")</f>
        <v/>
      </c>
      <c r="F1467" s="1">
        <f>IFERROR(__xludf.DUMMYFUNCTION("""COMPUTED_VALUE"""),"Squla is the leading gamified educational platform for primary school children in the Netherlands. The product is available for families via a subscription model.")</f>
        <v/>
      </c>
      <c r="G1467" s="1">
        <f>IFERROR(__xludf.DUMMYFUNCTION("""COMPUTED_VALUE"""),"I'm not part of any EdTech association")</f>
        <v/>
      </c>
      <c r="H1467" s="1" t="n"/>
      <c r="I1467" s="1">
        <f>IFERROR(__xludf.DUMMYFUNCTION("""COMPUTED_VALUE"""),"peter@squla.nl")</f>
        <v/>
      </c>
      <c r="J1467" s="1">
        <f>IFERROR(__xludf.DUMMYFUNCTION("""COMPUTED_VALUE"""),"+31 (0)20 846 9709")</f>
        <v/>
      </c>
      <c r="K1467" s="1">
        <f>IFERROR(__xludf.DUMMYFUNCTION("""COMPUTED_VALUE"""),"AMSTERDAM")</f>
        <v/>
      </c>
      <c r="L1467" s="1">
        <f>IFERROR(__xludf.DUMMYFUNCTION("""COMPUTED_VALUE"""),"The Netherlands")</f>
        <v/>
      </c>
      <c r="M1467" s="1">
        <f>IFERROR(__xludf.DUMMYFUNCTION("""COMPUTED_VALUE"""),"Germany, Poland")</f>
        <v/>
      </c>
      <c r="N1467" s="1">
        <f>IFERROR(__xludf.DUMMYFUNCTION("""COMPUTED_VALUE"""),"51 to 100")</f>
        <v/>
      </c>
      <c r="O1467" s="1">
        <f>IFERROR(__xludf.DUMMYFUNCTION("""COMPUTED_VALUE"""),"Business to Consumer")</f>
        <v/>
      </c>
      <c r="P1467" s="1">
        <f>IFERROR(__xludf.DUMMYFUNCTION("""COMPUTED_VALUE"""),"Primary Education")</f>
        <v/>
      </c>
      <c r="Q1467" s="1">
        <f>IFERROR(__xludf.DUMMYFUNCTION("""COMPUTED_VALUE"""),"System/Administrative, Student interfacing")</f>
        <v/>
      </c>
      <c r="R1467" s="1" t="n"/>
      <c r="S1467" s="1" t="n"/>
      <c r="T1467" s="1" t="n"/>
      <c r="U1467" s="1" t="n"/>
      <c r="V1467" s="1" t="n"/>
      <c r="W1467" s="1" t="n"/>
      <c r="X1467" s="1" t="n"/>
      <c r="Y1467" s="15">
        <f>IFERROR(__xludf.DUMMYFUNCTION("""COMPUTED_VALUE"""),"https://drive.google.com/uc?export=view&amp;id=1AXssrq2h0C-kIWHUW6mEuaAzZkg5ieGz")</f>
        <v/>
      </c>
      <c r="Z1467" s="1">
        <f>IFERROR(__xludf.DUMMYFUNCTION("""COMPUTED_VALUE"""),"Unverified")</f>
        <v/>
      </c>
      <c r="AA1467" s="1" t="n"/>
      <c r="AB1467" s="1" t="n"/>
      <c r="AC1467" s="1" t="n"/>
      <c r="AD1467" s="1" t="n"/>
      <c r="AE1467" s="1" t="n"/>
    </row>
    <row r="1468" ht="42" customHeight="1">
      <c r="A1468" s="14">
        <f>IFERROR(__xludf.DUMMYFUNCTION("""COMPUTED_VALUE"""),45181)</f>
        <v/>
      </c>
      <c r="B1468" s="1">
        <f>IFERROR(__xludf.DUMMYFUNCTION("""COMPUTED_VALUE"""),"ORG_2357")</f>
        <v/>
      </c>
      <c r="C1468" s="1">
        <f>IFERROR(__xludf.DUMMYFUNCTION("""COMPUTED_VALUE"""),TRUE)</f>
        <v/>
      </c>
      <c r="D1468" s="1">
        <f>IFERROR(__xludf.DUMMYFUNCTION("""COMPUTED_VALUE"""),"SYLVA")</f>
        <v/>
      </c>
      <c r="E1468" s="15">
        <f>IFERROR(__xludf.DUMMYFUNCTION("""COMPUTED_VALUE"""),"https://www.sylva.ac/")</f>
        <v/>
      </c>
      <c r="F1468" s="1">
        <f>IFERROR(__xludf.DUMMYFUNCTION("""COMPUTED_VALUE"""),"SYLVA is an all-in-one online learning and assessment platform that solves the tradeoff between quality and scalability in education for universities, schools, and publishers. The core of SYLVA is its powerful e-assessment and true interactivity. In addit"&amp;"ion to the automatic evaluation of various possible question types (e.g. open-ended &amp; interactive questions, handwritten answers), SYLVA provides individual feedback in order to optimize the learning process. The innovative evaluation algorithm is support"&amp;"ed by AI technologies such as natural language processing and machine learning as well as the use of real-life data. SYLVA is used at leading universities, schools, and publishers, either standalone or integrated into an LMS.")</f>
        <v/>
      </c>
      <c r="G1468" s="1">
        <f>IFERROR(__xludf.DUMMYFUNCTION("""COMPUTED_VALUE"""),"Swiss EdTech Collider")</f>
        <v/>
      </c>
      <c r="H1468" s="1" t="n"/>
      <c r="I1468" s="1">
        <f>IFERROR(__xludf.DUMMYFUNCTION("""COMPUTED_VALUE"""),"hello@sylva.ac")</f>
        <v/>
      </c>
      <c r="J1468" s="1" t="n"/>
      <c r="K1468" s="1">
        <f>IFERROR(__xludf.DUMMYFUNCTION("""COMPUTED_VALUE"""),"SCHLIEREN")</f>
        <v/>
      </c>
      <c r="L1468" s="1">
        <f>IFERROR(__xludf.DUMMYFUNCTION("""COMPUTED_VALUE"""),"Switzerland")</f>
        <v/>
      </c>
      <c r="M1468" s="1">
        <f>IFERROR(__xludf.DUMMYFUNCTION("""COMPUTED_VALUE"""),"Germany, Greece, Switzerland")</f>
        <v/>
      </c>
      <c r="N1468" s="1">
        <f>IFERROR(__xludf.DUMMYFUNCTION("""COMPUTED_VALUE"""),"0 to 10")</f>
        <v/>
      </c>
      <c r="O1468" s="1">
        <f>IFERROR(__xludf.DUMMYFUNCTION("""COMPUTED_VALUE"""),"Business to Consumer, Business to Government, Business to Schools")</f>
        <v/>
      </c>
      <c r="P1468" s="1">
        <f>IFERROR(__xludf.DUMMYFUNCTION("""COMPUTED_VALUE"""),"Higher Education, Corporate Training, Lifelong learning/Adult education")</f>
        <v/>
      </c>
      <c r="Q1468" s="1">
        <f>IFERROR(__xludf.DUMMYFUNCTION("""COMPUTED_VALUE"""),"Student interfacing, Teacher interfacing, System/Administrative")</f>
        <v/>
      </c>
      <c r="R1468" s="1" t="n"/>
      <c r="S1468" s="1" t="n"/>
      <c r="T1468" s="15">
        <f>IFERROR(__xludf.DUMMYFUNCTION("""COMPUTED_VALUE"""),"https://www.linkedin.com/company/sylva-education")</f>
        <v/>
      </c>
      <c r="U1468" s="1">
        <f>IFERROR(__xludf.DUMMYFUNCTION("""COMPUTED_VALUE"""),"SYLVA")</f>
        <v/>
      </c>
      <c r="V1468" s="1">
        <f>IFERROR(__xludf.DUMMYFUNCTION("""COMPUTED_VALUE"""),"SYLVA solves the tradeoff between quality and scalability with its all-in-one education platform for universities, schools, and publishers. SYLVA focuses on powerful e-assessment and interactive modules, enabling automatic grading but yet individual feedb"&amp;"ack for any type of exercise - powered by AI technologies like Natural Language Processing and Machine Learning.")</f>
        <v/>
      </c>
      <c r="W1468" s="1" t="n"/>
      <c r="X1468" s="1" t="n"/>
      <c r="Y1468" s="15">
        <f>IFERROR(__xludf.DUMMYFUNCTION("""COMPUTED_VALUE"""),"https://drive.google.com/uc?export=view&amp;id=1IKhOJxR1Vn7EU4srf04yBuQPJ9lbC-YZ")</f>
        <v/>
      </c>
      <c r="Z1468" s="1">
        <f>IFERROR(__xludf.DUMMYFUNCTION("""COMPUTED_VALUE"""),"Unverified")</f>
        <v/>
      </c>
      <c r="AA1468" s="1" t="n"/>
      <c r="AB1468" s="1" t="n"/>
      <c r="AC1468" s="1" t="n"/>
      <c r="AD1468" s="1" t="n"/>
      <c r="AE1468" s="1" t="n"/>
    </row>
    <row r="1469" ht="42" customHeight="1">
      <c r="A1469" s="14">
        <f>IFERROR(__xludf.DUMMYFUNCTION("""COMPUTED_VALUE"""),45181)</f>
        <v/>
      </c>
      <c r="B1469" s="1">
        <f>IFERROR(__xludf.DUMMYFUNCTION("""COMPUTED_VALUE"""),"ORG_2375")</f>
        <v/>
      </c>
      <c r="C1469" s="1">
        <f>IFERROR(__xludf.DUMMYFUNCTION("""COMPUTED_VALUE"""),TRUE)</f>
        <v/>
      </c>
      <c r="D1469" s="1">
        <f>IFERROR(__xludf.DUMMYFUNCTION("""COMPUTED_VALUE"""),"TeachRemote")</f>
        <v/>
      </c>
      <c r="E1469" s="15">
        <f>IFERROR(__xludf.DUMMYFUNCTION("""COMPUTED_VALUE"""),"https://www.teachremote.ch")</f>
        <v/>
      </c>
      <c r="F1469" s="1">
        <f>IFERROR(__xludf.DUMMYFUNCTION("""COMPUTED_VALUE"""),"TeachRemote is an online tutoring platform that allows customers (students/tutors) to use our patented OnlineDeskSharing-Method (ODS). The ODS recreates the real side-by-side learning experience by online means and makes online tutoring possible as if you"&amp;" were learning side-by-side around a desk. The users see thereby what the other write on a piece of paper while online session using their physical learning materials such as pen, paper, rulers and a pair of compasses. The only tools they need are a mobil"&amp;"e phone, a phoneholder and our free apps.")</f>
        <v/>
      </c>
      <c r="G1469" s="1">
        <f>IFERROR(__xludf.DUMMYFUNCTION("""COMPUTED_VALUE"""),"Swiss EdTech Collider")</f>
        <v/>
      </c>
      <c r="H1469" s="1" t="n"/>
      <c r="I1469" s="1">
        <f>IFERROR(__xludf.DUMMYFUNCTION("""COMPUTED_VALUE"""),"metin.goek@teachremote.ch")</f>
        <v/>
      </c>
      <c r="J1469" s="1">
        <f>IFERROR(__xludf.DUMMYFUNCTION("""COMPUTED_VALUE"""),"+41764547583")</f>
        <v/>
      </c>
      <c r="K1469" s="1">
        <f>IFERROR(__xludf.DUMMYFUNCTION("""COMPUTED_VALUE"""),"AEUGST AM ALBIS")</f>
        <v/>
      </c>
      <c r="L1469" s="1">
        <f>IFERROR(__xludf.DUMMYFUNCTION("""COMPUTED_VALUE"""),"Switzerland")</f>
        <v/>
      </c>
      <c r="M1469" s="1">
        <f>IFERROR(__xludf.DUMMYFUNCTION("""COMPUTED_VALUE"""),"Switzerland")</f>
        <v/>
      </c>
      <c r="N1469" s="1">
        <f>IFERROR(__xludf.DUMMYFUNCTION("""COMPUTED_VALUE"""),"0 to 10")</f>
        <v/>
      </c>
      <c r="O1469" s="1">
        <f>IFERROR(__xludf.DUMMYFUNCTION("""COMPUTED_VALUE"""),"Business to Consumer, Business to Government, Business to Schools")</f>
        <v/>
      </c>
      <c r="P1469" s="1">
        <f>IFERROR(__xludf.DUMMYFUNCTION("""COMPUTED_VALUE"""),"Secondary Education, Higher Education, Lifelong learning/Adult education")</f>
        <v/>
      </c>
      <c r="Q1469" s="1">
        <f>IFERROR(__xludf.DUMMYFUNCTION("""COMPUTED_VALUE"""),"System/Administrative, Student interfacing, Teacher interfacing")</f>
        <v/>
      </c>
      <c r="R1469" s="1" t="n"/>
      <c r="S1469" s="15">
        <f>IFERROR(__xludf.DUMMYFUNCTION("""COMPUTED_VALUE"""),"https://twitter.com/teachremote?s=20")</f>
        <v/>
      </c>
      <c r="T1469" s="15">
        <f>IFERROR(__xludf.DUMMYFUNCTION("""COMPUTED_VALUE"""),"https://www.linkedin.com/in/teach-remote/")</f>
        <v/>
      </c>
      <c r="U1469" s="1">
        <f>IFERROR(__xludf.DUMMYFUNCTION("""COMPUTED_VALUE"""),"App ""teachremote""")</f>
        <v/>
      </c>
      <c r="V1469" s="1">
        <f>IFERROR(__xludf.DUMMYFUNCTION("""COMPUTED_VALUE"""),"Our App can be downloaded from Appstore (IOS) and GooglePlayStore (Android) free of charge. You can see on the app who is available at that moment and start immediadetely a text chat or videochat with your tutor, just in time or scheduled session for late"&amp;"r.")</f>
        <v/>
      </c>
      <c r="W1469" s="1">
        <f>IFERROR(__xludf.DUMMYFUNCTION("""COMPUTED_VALUE"""),"Phoneholder")</f>
        <v/>
      </c>
      <c r="X1469" s="1">
        <f>IFERROR(__xludf.DUMMYFUNCTION("""COMPUTED_VALUE"""),"You can buy our phoneholder via our website or you can use our DIY-Template from our website free of charge.")</f>
        <v/>
      </c>
      <c r="Y1469" s="15">
        <f>IFERROR(__xludf.DUMMYFUNCTION("""COMPUTED_VALUE"""),"https://drive.google.com/uc?export=view&amp;id=1tbhYSMRBCY-NhVZSwg2bXQzDz-gdSdTs")</f>
        <v/>
      </c>
      <c r="Z1469" s="1">
        <f>IFERROR(__xludf.DUMMYFUNCTION("""COMPUTED_VALUE"""),"Unverified")</f>
        <v/>
      </c>
      <c r="AA1469" s="1" t="n"/>
      <c r="AB1469" s="1" t="n"/>
      <c r="AC1469" s="1" t="n"/>
      <c r="AD1469" s="1" t="n"/>
      <c r="AE1469" s="1" t="n"/>
    </row>
    <row r="1470" ht="42" customHeight="1">
      <c r="A1470" s="14">
        <f>IFERROR(__xludf.DUMMYFUNCTION("""COMPUTED_VALUE"""),45181)</f>
        <v/>
      </c>
      <c r="B1470" s="1">
        <f>IFERROR(__xludf.DUMMYFUNCTION("""COMPUTED_VALUE"""),"ORG_2381")</f>
        <v/>
      </c>
      <c r="C1470" s="1">
        <f>IFERROR(__xludf.DUMMYFUNCTION("""COMPUTED_VALUE"""),TRUE)</f>
        <v/>
      </c>
      <c r="D1470" s="1">
        <f>IFERROR(__xludf.DUMMYFUNCTION("""COMPUTED_VALUE"""),"Teenit")</f>
        <v/>
      </c>
      <c r="E1470" s="15">
        <f>IFERROR(__xludf.DUMMYFUNCTION("""COMPUTED_VALUE"""),"https://teenit.app/")</f>
        <v/>
      </c>
      <c r="F1470" s="1">
        <f>IFERROR(__xludf.DUMMYFUNCTION("""COMPUTED_VALUE"""),"We are Teenit - a financial education app for teenagers with smart budgeting features and insights based on real banking data. No additional cards or accounts - use your trusted bank!
We are helping kids to develop healthy financial habits in a cashless w"&amp;"orld and prevent financial issues in adulthood. Our age-tailored data insights, videos, and interactive quizzes successfully engage teenagers in building up knowledge based on their financial behavior and prepare them for challenges ahead. Specially desig"&amp;"ned educational modules and timely insights assure that teenagers remain continuously engaged and rewarded for their academic effort. 
Teenit uses custom flows and data algorithms based on bank APIs (38 in the UK only). It allows for seamless and secure c"&amp;"onnection via parent’s authorization, leaving teenager’s data safely at the financial institution and immediately drawing insightful conclusions that are passed to the app safely and securely.
Teenit - financial education revolution at your fingertips!")</f>
        <v/>
      </c>
      <c r="G1470" s="1">
        <f>IFERROR(__xludf.DUMMYFUNCTION("""COMPUTED_VALUE"""),"Dutch EdTech")</f>
        <v/>
      </c>
      <c r="H1470" s="1" t="n"/>
      <c r="I1470" s="1">
        <f>IFERROR(__xludf.DUMMYFUNCTION("""COMPUTED_VALUE"""),"contact@teenit.app")</f>
        <v/>
      </c>
      <c r="J1470" s="1" t="n"/>
      <c r="K1470" s="1">
        <f>IFERROR(__xludf.DUMMYFUNCTION("""COMPUTED_VALUE"""),"Amsterdam")</f>
        <v/>
      </c>
      <c r="L1470" s="1">
        <f>IFERROR(__xludf.DUMMYFUNCTION("""COMPUTED_VALUE"""),"The Netherlands")</f>
        <v/>
      </c>
      <c r="M1470" s="1">
        <f>IFERROR(__xludf.DUMMYFUNCTION("""COMPUTED_VALUE"""),"Netherlands")</f>
        <v/>
      </c>
      <c r="N1470" s="1">
        <f>IFERROR(__xludf.DUMMYFUNCTION("""COMPUTED_VALUE"""),"0 to 10")</f>
        <v/>
      </c>
      <c r="O1470" s="1">
        <f>IFERROR(__xludf.DUMMYFUNCTION("""COMPUTED_VALUE"""),"Business to Consumer, Business to Government, Business to Schools")</f>
        <v/>
      </c>
      <c r="P1470" s="1">
        <f>IFERROR(__xludf.DUMMYFUNCTION("""COMPUTED_VALUE"""),"Secondary Education")</f>
        <v/>
      </c>
      <c r="Q1470" s="1">
        <f>IFERROR(__xludf.DUMMYFUNCTION("""COMPUTED_VALUE"""),"System/Administrative, Student interfacing")</f>
        <v/>
      </c>
      <c r="R1470" s="1" t="n"/>
      <c r="S1470" s="1" t="n"/>
      <c r="T1470" s="15">
        <f>IFERROR(__xludf.DUMMYFUNCTION("""COMPUTED_VALUE"""),"https://www.linkedin.com/company/74991718/")</f>
        <v/>
      </c>
      <c r="U1470" s="1">
        <f>IFERROR(__xludf.DUMMYFUNCTION("""COMPUTED_VALUE"""),"Teenit app")</f>
        <v/>
      </c>
      <c r="V1470" s="1">
        <f>IFERROR(__xludf.DUMMYFUNCTION("""COMPUTED_VALUE"""),"A financial education app for teenagers with smart budgeting features and insights based on real banking data. No additional cards or accounts - use your trusted bank!")</f>
        <v/>
      </c>
      <c r="W1470" s="1" t="n"/>
      <c r="X1470" s="1" t="n"/>
      <c r="Y1470" s="15">
        <f>IFERROR(__xludf.DUMMYFUNCTION("""COMPUTED_VALUE"""),"https://drive.google.com/uc?export=view&amp;id=18ZIYf9ZH3CzDZiyytiQ_hU9hDoeTjYfW")</f>
        <v/>
      </c>
      <c r="Z1470" s="1">
        <f>IFERROR(__xludf.DUMMYFUNCTION("""COMPUTED_VALUE"""),"Unverified")</f>
        <v/>
      </c>
      <c r="AA1470" s="1" t="n"/>
      <c r="AB1470" s="1" t="n"/>
      <c r="AC1470" s="1" t="n"/>
      <c r="AD1470" s="1" t="n"/>
      <c r="AE1470" s="1" t="n"/>
    </row>
    <row r="1471" ht="42" customHeight="1">
      <c r="A1471" s="14">
        <f>IFERROR(__xludf.DUMMYFUNCTION("""COMPUTED_VALUE"""),45181)</f>
        <v/>
      </c>
      <c r="B1471" s="1">
        <f>IFERROR(__xludf.DUMMYFUNCTION("""COMPUTED_VALUE"""),"ORG_2402")</f>
        <v/>
      </c>
      <c r="C1471" s="1">
        <f>IFERROR(__xludf.DUMMYFUNCTION("""COMPUTED_VALUE"""),TRUE)</f>
        <v/>
      </c>
      <c r="D1471" s="1">
        <f>IFERROR(__xludf.DUMMYFUNCTION("""COMPUTED_VALUE"""),"The Rent Company")</f>
        <v/>
      </c>
      <c r="E1471" s="15">
        <f>IFERROR(__xludf.DUMMYFUNCTION("""COMPUTED_VALUE"""),"http://www.rentcompany.be")</f>
        <v/>
      </c>
      <c r="F1471" s="1">
        <f>IFERROR(__xludf.DUMMYFUNCTION("""COMPUTED_VALUE"""),"The Rent Company enables digital learning for pupils and teachers throughout education by offering the Easy4u all-in-one subscription.
The Easy4u subscription gives students with a Chromebook or laptop from The Rent Company access to the electronic learn"&amp;"ing environment and digital learning methods for a limited monthly fee. Software, service and insurance are included in the subscription, providing complete peace of mind for pupils, parents and teachers.")</f>
        <v/>
      </c>
      <c r="G1471" s="1">
        <f>IFERROR(__xludf.DUMMYFUNCTION("""COMPUTED_VALUE"""),"I'm not part of any EdTech association")</f>
        <v/>
      </c>
      <c r="H1471" s="1" t="n"/>
      <c r="I1471" s="1">
        <f>IFERROR(__xludf.DUMMYFUNCTION("""COMPUTED_VALUE"""),"support@rentcompany.be")</f>
        <v/>
      </c>
      <c r="J1471" s="1">
        <f>IFERROR(__xludf.DUMMYFUNCTION("""COMPUTED_VALUE"""),"+3225889641")</f>
        <v/>
      </c>
      <c r="K1471" s="1">
        <f>IFERROR(__xludf.DUMMYFUNCTION("""COMPUTED_VALUE"""),"s Hertogenbosch")</f>
        <v/>
      </c>
      <c r="L1471" s="1">
        <f>IFERROR(__xludf.DUMMYFUNCTION("""COMPUTED_VALUE"""),"The Netherlands")</f>
        <v/>
      </c>
      <c r="M1471" s="1">
        <f>IFERROR(__xludf.DUMMYFUNCTION("""COMPUTED_VALUE"""),"Belgium, Netherlands, United Kingdom")</f>
        <v/>
      </c>
      <c r="N1471" s="1">
        <f>IFERROR(__xludf.DUMMYFUNCTION("""COMPUTED_VALUE"""),"100+")</f>
        <v/>
      </c>
      <c r="O1471" s="1">
        <f>IFERROR(__xludf.DUMMYFUNCTION("""COMPUTED_VALUE"""),"Business to Consumer, Business to Schools")</f>
        <v/>
      </c>
      <c r="P1471" s="1">
        <f>IFERROR(__xludf.DUMMYFUNCTION("""COMPUTED_VALUE"""),"Primary Education, Secondary Education, Higher Education")</f>
        <v/>
      </c>
      <c r="Q1471" s="1">
        <f>IFERROR(__xludf.DUMMYFUNCTION("""COMPUTED_VALUE"""),"System/Administrative, Student interfacing, Teacher interfacing")</f>
        <v/>
      </c>
      <c r="R1471" s="1" t="n"/>
      <c r="S1471" s="1" t="n"/>
      <c r="T1471" s="1" t="n"/>
      <c r="U1471" s="1" t="n"/>
      <c r="V1471" s="1" t="n"/>
      <c r="W1471" s="1" t="n"/>
      <c r="X1471" s="1" t="n"/>
      <c r="Y1471" s="15">
        <f>IFERROR(__xludf.DUMMYFUNCTION("""COMPUTED_VALUE"""),"https://drive.google.com/uc?export=view&amp;id=1v3aUVV6BldpdEGy1SqY0Fjn0XuuNH4sl")</f>
        <v/>
      </c>
      <c r="Z1471" s="1">
        <f>IFERROR(__xludf.DUMMYFUNCTION("""COMPUTED_VALUE"""),"Unverified")</f>
        <v/>
      </c>
      <c r="AA1471" s="1" t="n"/>
      <c r="AB1471" s="1" t="n"/>
      <c r="AC1471" s="1" t="n"/>
      <c r="AD1471" s="1" t="n"/>
      <c r="AE1471" s="1" t="n"/>
    </row>
    <row r="1472" ht="42" customHeight="1">
      <c r="A1472" s="14">
        <f>IFERROR(__xludf.DUMMYFUNCTION("""COMPUTED_VALUE"""),45181)</f>
        <v/>
      </c>
      <c r="B1472" s="1">
        <f>IFERROR(__xludf.DUMMYFUNCTION("""COMPUTED_VALUE"""),"ORG_2434")</f>
        <v/>
      </c>
      <c r="C1472" s="1">
        <f>IFERROR(__xludf.DUMMYFUNCTION("""COMPUTED_VALUE"""),TRUE)</f>
        <v/>
      </c>
      <c r="D1472" s="1">
        <f>IFERROR(__xludf.DUMMYFUNCTION("""COMPUTED_VALUE"""),"TRUE Original")</f>
        <v/>
      </c>
      <c r="E1472" s="15">
        <f>IFERROR(__xludf.DUMMYFUNCTION("""COMPUTED_VALUE"""),"https://trueoriginal.com/")</f>
        <v/>
      </c>
      <c r="F1472" s="1">
        <f>IFERROR(__xludf.DUMMYFUNCTION("""COMPUTED_VALUE"""),"TRUE Original let organisations upgrade all important papers and pdf's
to a new digital standard; documents which cannot be lost, destroyed or falsified.
A smooth way to issue and store beautiful, blockchain-secured diplomas, certificate, awards and more.")</f>
        <v/>
      </c>
      <c r="G1472" s="1">
        <f>IFERROR(__xludf.DUMMYFUNCTION("""COMPUTED_VALUE"""),"I'm not part of any EdTech association")</f>
        <v/>
      </c>
      <c r="H1472" s="1">
        <f>IFERROR(__xludf.DUMMYFUNCTION("""COMPUTED_VALUE"""),"English, Swedish, Spanish")</f>
        <v/>
      </c>
      <c r="I1472" s="1">
        <f>IFERROR(__xludf.DUMMYFUNCTION("""COMPUTED_VALUE"""),"patrik@trueoriginal.com")</f>
        <v/>
      </c>
      <c r="J1472" s="1">
        <f>IFERROR(__xludf.DUMMYFUNCTION("""COMPUTED_VALUE"""),"+46729429734")</f>
        <v/>
      </c>
      <c r="K1472" s="1">
        <f>IFERROR(__xludf.DUMMYFUNCTION("""COMPUTED_VALUE"""),"STOCKHOLM")</f>
        <v/>
      </c>
      <c r="L1472" s="1">
        <f>IFERROR(__xludf.DUMMYFUNCTION("""COMPUTED_VALUE"""),"Sweden")</f>
        <v/>
      </c>
      <c r="M1472" s="1">
        <f>IFERROR(__xludf.DUMMYFUNCTION("""COMPUTED_VALUE"""),"Austria, Belgium, Denmark, Estonia, Finland, France, Georgia, Germany, Iceland, Ireland, Netherlands, Norway, Poland, Spain, Sweden, Switzerland, United Kingdom")</f>
        <v/>
      </c>
      <c r="N1472" s="1">
        <f>IFERROR(__xludf.DUMMYFUNCTION("""COMPUTED_VALUE"""),"6 to 10")</f>
        <v/>
      </c>
      <c r="O1472" s="1">
        <f>IFERROR(__xludf.DUMMYFUNCTION("""COMPUTED_VALUE"""),"Business to Consumer, Business to Schools")</f>
        <v/>
      </c>
      <c r="P1472" s="1">
        <f>IFERROR(__xludf.DUMMYFUNCTION("""COMPUTED_VALUE"""),"Corporate Training, Lifelong learning/Adult education, Vocational Education and Training (VET), Higher Education")</f>
        <v/>
      </c>
      <c r="Q1472" s="1">
        <f>IFERROR(__xludf.DUMMYFUNCTION("""COMPUTED_VALUE"""),"System/Administrative, Student interfacing")</f>
        <v/>
      </c>
      <c r="R1472" s="15">
        <f>IFERROR(__xludf.DUMMYFUNCTION("""COMPUTED_VALUE"""),"https://www.instagram.com/truedocuments/")</f>
        <v/>
      </c>
      <c r="S1472" s="15">
        <f>IFERROR(__xludf.DUMMYFUNCTION("""COMPUTED_VALUE"""),"https://twitter.com/TrueDocuments")</f>
        <v/>
      </c>
      <c r="T1472" s="15">
        <f>IFERROR(__xludf.DUMMYFUNCTION("""COMPUTED_VALUE"""),"https://www.linkedin.com/company/37549025/")</f>
        <v/>
      </c>
      <c r="U1472" s="1">
        <f>IFERROR(__xludf.DUMMYFUNCTION("""COMPUTED_VALUE"""),"TRUE original documents")</f>
        <v/>
      </c>
      <c r="V1472" s="1">
        <f>IFERROR(__xludf.DUMMYFUNCTION("""COMPUTED_VALUE"""),"TRUE documents are blockchain secured digital originals. 
Organisations use TRUE's platform to issue certificates and diplomas which look amazing, are smart, secure -and better for the environment.
Save time, money and resources with documents and crede"&amp;"ntials that can’t be lost or falsified.")</f>
        <v/>
      </c>
      <c r="W1472" s="1">
        <f>IFERROR(__xludf.DUMMYFUNCTION("""COMPUTED_VALUE"""),"Credentialing")</f>
        <v/>
      </c>
      <c r="X1472" s="1">
        <f>IFERROR(__xludf.DUMMYFUNCTION("""COMPUTED_VALUE"""),"Manage every aspect of your Diplomas and Certificates.
Create, send and store in one smooth action.")</f>
        <v/>
      </c>
      <c r="Y1472" s="15">
        <f>IFERROR(__xludf.DUMMYFUNCTION("""COMPUTED_VALUE"""),"https://drive.google.com/uc?export=view&amp;id=1Hp6dlsWPf6xPtqF8gi9OWhaeb8qK-a28")</f>
        <v/>
      </c>
      <c r="Z1472" s="1">
        <f>IFERROR(__xludf.DUMMYFUNCTION("""COMPUTED_VALUE"""),"Unverified")</f>
        <v/>
      </c>
      <c r="AA1472" s="1" t="n"/>
      <c r="AB1472" s="1" t="n"/>
      <c r="AC1472" s="1" t="n"/>
      <c r="AD1472" s="1" t="n"/>
      <c r="AE1472" s="1" t="n"/>
    </row>
    <row r="1473" ht="42" customHeight="1">
      <c r="A1473" s="14">
        <f>IFERROR(__xludf.DUMMYFUNCTION("""COMPUTED_VALUE"""),45181)</f>
        <v/>
      </c>
      <c r="B1473" s="1">
        <f>IFERROR(__xludf.DUMMYFUNCTION("""COMPUTED_VALUE"""),"ORG_2454")</f>
        <v/>
      </c>
      <c r="C1473" s="1">
        <f>IFERROR(__xludf.DUMMYFUNCTION("""COMPUTED_VALUE"""),TRUE)</f>
        <v/>
      </c>
      <c r="D1473" s="1">
        <f>IFERROR(__xludf.DUMMYFUNCTION("""COMPUTED_VALUE"""),"Uchronic")</f>
        <v/>
      </c>
      <c r="E1473" s="15">
        <f>IFERROR(__xludf.DUMMYFUNCTION("""COMPUTED_VALUE"""),"https://uchronic.ch")</f>
        <v/>
      </c>
      <c r="F1473" s="1">
        <f>IFERROR(__xludf.DUMMYFUNCTION("""COMPUTED_VALUE"""),"We provide an IT solution to match personal experience and skillsbases, including Quality and project management.
We propose a swiss robust, ergonomic and easy to use application for compagnies which are not able to develop and maintain their own solution"&amp;".
The solution helps people to strongly proove or develop their skills by their own and support compagnies which are engaged in a new business conception as participatory governance.
In training field, it support the actual trend of skills development and"&amp;" offers the possibility to involve people in real projects.
in validation of acquired experience, it provides a numeric solution to make it easy for all actors.
In reintegration field, it allows people to understand their professional level and helps thei"&amp;"r orientation.
In Quality management, it allows to mount easily a living management system, ISO 9001 compliant, as well as support flat governance development based on process and transparency.
We integrate customers as partners and co-develops the applic"&amp;"ation in order to match their needs.
In our Saas solution, we propose environment for compagnies which are totally customizable, in a way the solution is adapted to the company reality not the inverse.
We have a complete respectfulness of personal data th"&amp;"at people file in our application.")</f>
        <v/>
      </c>
      <c r="G1473" s="1">
        <f>IFERROR(__xludf.DUMMYFUNCTION("""COMPUTED_VALUE"""),"Swiss EdTech Collider")</f>
        <v/>
      </c>
      <c r="H1473" s="1">
        <f>IFERROR(__xludf.DUMMYFUNCTION("""COMPUTED_VALUE"""),"French")</f>
        <v/>
      </c>
      <c r="I1473" s="1">
        <f>IFERROR(__xludf.DUMMYFUNCTION("""COMPUTED_VALUE"""),"contact@uchronic.ch")</f>
        <v/>
      </c>
      <c r="J1473" s="1">
        <f>IFERROR(__xludf.DUMMYFUNCTION("""COMPUTED_VALUE"""),"+41223037244")</f>
        <v/>
      </c>
      <c r="K1473" s="1">
        <f>IFERROR(__xludf.DUMMYFUNCTION("""COMPUTED_VALUE"""),"GENEVA")</f>
        <v/>
      </c>
      <c r="L1473" s="1">
        <f>IFERROR(__xludf.DUMMYFUNCTION("""COMPUTED_VALUE"""),"Switzerland")</f>
        <v/>
      </c>
      <c r="M1473" s="1">
        <f>IFERROR(__xludf.DUMMYFUNCTION("""COMPUTED_VALUE"""),"Switzerland")</f>
        <v/>
      </c>
      <c r="N1473" s="1">
        <f>IFERROR(__xludf.DUMMYFUNCTION("""COMPUTED_VALUE"""),"3 to 5")</f>
        <v/>
      </c>
      <c r="O1473" s="1">
        <f>IFERROR(__xludf.DUMMYFUNCTION("""COMPUTED_VALUE"""),"Business to Government, Business to Schools")</f>
        <v/>
      </c>
      <c r="P1473" s="1">
        <f>IFERROR(__xludf.DUMMYFUNCTION("""COMPUTED_VALUE"""),"Secondary Education, Corporate Training, Lifelong learning/Adult education, Vocational Education and Training (VET), Higher Education")</f>
        <v/>
      </c>
      <c r="Q1473" s="1">
        <f>IFERROR(__xludf.DUMMYFUNCTION("""COMPUTED_VALUE"""),"Teacher interfacing, System/Administrative")</f>
        <v/>
      </c>
      <c r="R1473" s="15">
        <f>IFERROR(__xludf.DUMMYFUNCTION("""COMPUTED_VALUE"""),"https://www.instagram.com/uchronic.geneve/")</f>
        <v/>
      </c>
      <c r="S1473" s="1" t="n"/>
      <c r="T1473" s="15">
        <f>IFERROR(__xludf.DUMMYFUNCTION("""COMPUTED_VALUE"""),"https://www.linkedin.com/company/uchronicsarl")</f>
        <v/>
      </c>
      <c r="U1473" s="1">
        <f>IFERROR(__xludf.DUMMYFUNCTION("""COMPUTED_VALUE"""),"Uscope")</f>
        <v/>
      </c>
      <c r="V1473" s="1">
        <f>IFERROR(__xludf.DUMMYFUNCTION("""COMPUTED_VALUE"""),"Uscope is a SAAS solution, including many tolls helping people to explicite their skills, make them valuable and useful for their company.
It's used in many different fields such as:
1. Transformation of the way to train people (based on skills developme"&amp;"nt) - on regular and continuous training
2. Need to proove the skills level of employees more and more asked on Quality standards
3. Need to help employees to evolve in the flat structure
4. Need to support structure which help people on reintegration or "&amp;"professional transition to understand who they are and what they can do
Uscope include:
- eportfolio
- Skills database (&gt;3000 skills)
- Skillsbasse creation
- Interaction tools between portfolio users and trainers
- PMO tools
- Process and documents mana"&amp;"gement tools
- Stakeholders following")</f>
        <v/>
      </c>
      <c r="W1473" s="1" t="n"/>
      <c r="X1473" s="1" t="n"/>
      <c r="Y1473" s="15">
        <f>IFERROR(__xludf.DUMMYFUNCTION("""COMPUTED_VALUE"""),"https://drive.google.com/uc?export=view&amp;id=1haAf6-SyxjdUsiKU2YJNX8RM0vwZ5maL")</f>
        <v/>
      </c>
      <c r="Z1473" s="1">
        <f>IFERROR(__xludf.DUMMYFUNCTION("""COMPUTED_VALUE"""),"Unverified")</f>
        <v/>
      </c>
      <c r="AA1473" s="1" t="n"/>
      <c r="AB1473" s="1" t="n"/>
      <c r="AC1473" s="1" t="n"/>
      <c r="AD1473" s="1" t="n"/>
      <c r="AE1473" s="1" t="n"/>
    </row>
    <row r="1474" ht="42" customHeight="1">
      <c r="A1474" s="14">
        <f>IFERROR(__xludf.DUMMYFUNCTION("""COMPUTED_VALUE"""),45181)</f>
        <v/>
      </c>
      <c r="B1474" s="1">
        <f>IFERROR(__xludf.DUMMYFUNCTION("""COMPUTED_VALUE"""),"ORG_2473")</f>
        <v/>
      </c>
      <c r="C1474" s="1">
        <f>IFERROR(__xludf.DUMMYFUNCTION("""COMPUTED_VALUE"""),TRUE)</f>
        <v/>
      </c>
      <c r="D1474" s="1">
        <f>IFERROR(__xludf.DUMMYFUNCTION("""COMPUTED_VALUE"""),"UpGrowz Software")</f>
        <v/>
      </c>
      <c r="E1474" s="15">
        <f>IFERROR(__xludf.DUMMYFUNCTION("""COMPUTED_VALUE"""),"https://www.upgrowz.com/")</f>
        <v/>
      </c>
      <c r="F1474" s="1">
        <f>IFERROR(__xludf.DUMMYFUNCTION("""COMPUTED_VALUE"""),"UpGrowz is a technological solution that aims to help people make the most optimal decision in their training based on which skills are the most demanded in the current labor market. Our mission is to connect the educational world with the labor market in"&amp;" a real way thanks to the use of big data and artificial intelligence.")</f>
        <v/>
      </c>
      <c r="G1474" s="1">
        <f>IFERROR(__xludf.DUMMYFUNCTION("""COMPUTED_VALUE"""),"I'm not part of any EdTech association")</f>
        <v/>
      </c>
      <c r="H1474" s="1" t="n"/>
      <c r="I1474" s="1">
        <f>IFERROR(__xludf.DUMMYFUNCTION("""COMPUTED_VALUE"""),"megea@upgrowz.com")</f>
        <v/>
      </c>
      <c r="J1474" s="1">
        <f>IFERROR(__xludf.DUMMYFUNCTION("""COMPUTED_VALUE"""),"+34653423009")</f>
        <v/>
      </c>
      <c r="K1474" s="1">
        <f>IFERROR(__xludf.DUMMYFUNCTION("""COMPUTED_VALUE"""),"MÁLAGA")</f>
        <v/>
      </c>
      <c r="L1474" s="1">
        <f>IFERROR(__xludf.DUMMYFUNCTION("""COMPUTED_VALUE"""),"Spain")</f>
        <v/>
      </c>
      <c r="M1474" s="1">
        <f>IFERROR(__xludf.DUMMYFUNCTION("""COMPUTED_VALUE"""),"Spain")</f>
        <v/>
      </c>
      <c r="N1474" s="1">
        <f>IFERROR(__xludf.DUMMYFUNCTION("""COMPUTED_VALUE"""),"0 to 10")</f>
        <v/>
      </c>
      <c r="O1474" s="1">
        <f>IFERROR(__xludf.DUMMYFUNCTION("""COMPUTED_VALUE"""),"Business to Government, Business to Schools")</f>
        <v/>
      </c>
      <c r="P1474" s="1">
        <f>IFERROR(__xludf.DUMMYFUNCTION("""COMPUTED_VALUE"""),"Higher Education, Corporate Training, Lifelong learning/Adult education")</f>
        <v/>
      </c>
      <c r="Q1474" s="1">
        <f>IFERROR(__xludf.DUMMYFUNCTION("""COMPUTED_VALUE"""),"Teacher interfacing, Student interfacing, System/Administrative")</f>
        <v/>
      </c>
      <c r="R1474" s="1" t="n"/>
      <c r="S1474" s="1" t="n"/>
      <c r="T1474" s="1" t="n"/>
      <c r="U1474" s="1" t="n"/>
      <c r="V1474" s="1" t="n"/>
      <c r="W1474" s="1" t="n"/>
      <c r="X1474" s="1" t="n"/>
      <c r="Y1474" s="15">
        <f>IFERROR(__xludf.DUMMYFUNCTION("""COMPUTED_VALUE"""),"https://drive.google.com/uc?export=view&amp;id=1Kv5BTo0NOQBzTzrcR1_EFXZFdI3ww_MH")</f>
        <v/>
      </c>
      <c r="Z1474" s="1">
        <f>IFERROR(__xludf.DUMMYFUNCTION("""COMPUTED_VALUE"""),"Unverified")</f>
        <v/>
      </c>
      <c r="AA1474" s="1" t="n"/>
      <c r="AB1474" s="1" t="n"/>
      <c r="AC1474" s="1" t="n"/>
      <c r="AD1474" s="1" t="n"/>
      <c r="AE1474" s="1" t="n"/>
    </row>
    <row r="1475" ht="42" customHeight="1">
      <c r="A1475" s="14">
        <f>IFERROR(__xludf.DUMMYFUNCTION("""COMPUTED_VALUE"""),45181)</f>
        <v/>
      </c>
      <c r="B1475" s="1">
        <f>IFERROR(__xludf.DUMMYFUNCTION("""COMPUTED_VALUE"""),"ORG_2490")</f>
        <v/>
      </c>
      <c r="C1475" s="1">
        <f>IFERROR(__xludf.DUMMYFUNCTION("""COMPUTED_VALUE"""),TRUE)</f>
        <v/>
      </c>
      <c r="D1475" s="1">
        <f>IFERROR(__xludf.DUMMYFUNCTION("""COMPUTED_VALUE"""),"VideoBit")</f>
        <v/>
      </c>
      <c r="E1475" s="15">
        <f>IFERROR(__xludf.DUMMYFUNCTION("""COMPUTED_VALUE"""),"https://videobit.io/")</f>
        <v/>
      </c>
      <c r="F1475" s="1">
        <f>IFERROR(__xludf.DUMMYFUNCTION("""COMPUTED_VALUE"""),"VideoBit is a video chat app helping language teachers to record and exchange videos with their students. It helps with a conversation, speaking, and listening practice enabling users to participate where and when they want.")</f>
        <v/>
      </c>
      <c r="G1475" s="1">
        <f>IFERROR(__xludf.DUMMYFUNCTION("""COMPUTED_VALUE"""),"I'm not part of any EdTech association")</f>
        <v/>
      </c>
      <c r="H1475" s="1">
        <f>IFERROR(__xludf.DUMMYFUNCTION("""COMPUTED_VALUE"""),"English")</f>
        <v/>
      </c>
      <c r="I1475" s="1">
        <f>IFERROR(__xludf.DUMMYFUNCTION("""COMPUTED_VALUE"""),"kalvis@tautapp.co")</f>
        <v/>
      </c>
      <c r="J1475" s="1">
        <f>IFERROR(__xludf.DUMMYFUNCTION("""COMPUTED_VALUE"""),"+37129237113")</f>
        <v/>
      </c>
      <c r="K1475" s="1">
        <f>IFERROR(__xludf.DUMMYFUNCTION("""COMPUTED_VALUE"""),"Tallinn")</f>
        <v/>
      </c>
      <c r="L1475" s="1">
        <f>IFERROR(__xludf.DUMMYFUNCTION("""COMPUTED_VALUE"""),"Estonia")</f>
        <v/>
      </c>
      <c r="M1475" s="1">
        <f>IFERROR(__xludf.DUMMYFUNCTION("""COMPUTED_VALUE"""),"Estonia, Germany, Greece, Latvia, Spain")</f>
        <v/>
      </c>
      <c r="N1475" s="1">
        <f>IFERROR(__xludf.DUMMYFUNCTION("""COMPUTED_VALUE"""),"0 to 2")</f>
        <v/>
      </c>
      <c r="O1475" s="1">
        <f>IFERROR(__xludf.DUMMYFUNCTION("""COMPUTED_VALUE"""),"Business to Government, Business to Schools")</f>
        <v/>
      </c>
      <c r="P1475" s="1">
        <f>IFERROR(__xludf.DUMMYFUNCTION("""COMPUTED_VALUE"""),"Secondary Education, Corporate Training")</f>
        <v/>
      </c>
      <c r="Q1475" s="1">
        <f>IFERROR(__xludf.DUMMYFUNCTION("""COMPUTED_VALUE"""),"Teacher interfacing")</f>
        <v/>
      </c>
      <c r="R1475" s="1" t="n"/>
      <c r="S1475" s="1" t="n"/>
      <c r="T1475" s="15">
        <f>IFERROR(__xludf.DUMMYFUNCTION("""COMPUTED_VALUE"""),"https://www.linkedin.com/company/videobit")</f>
        <v/>
      </c>
      <c r="U1475" s="1">
        <f>IFERROR(__xludf.DUMMYFUNCTION("""COMPUTED_VALUE"""),"VideoBit")</f>
        <v/>
      </c>
      <c r="V1475" s="1">
        <f>IFERROR(__xludf.DUMMYFUNCTION("""COMPUTED_VALUE"""),"Simple video recording and sharing for remote learning")</f>
        <v/>
      </c>
      <c r="W1475" s="1" t="n"/>
      <c r="X1475" s="1" t="n"/>
      <c r="Y1475" s="15">
        <f>IFERROR(__xludf.DUMMYFUNCTION("""COMPUTED_VALUE"""),"https://drive.google.com/uc?export=view&amp;id=1AGSL3grrb1zF7lt5ju-NsVHIZJd8Xltd")</f>
        <v/>
      </c>
      <c r="Z1475" s="1">
        <f>IFERROR(__xludf.DUMMYFUNCTION("""COMPUTED_VALUE"""),"Unverified")</f>
        <v/>
      </c>
      <c r="AA1475" s="1" t="n"/>
      <c r="AB1475" s="1" t="n"/>
      <c r="AC1475" s="1" t="n"/>
      <c r="AD1475" s="1" t="n"/>
      <c r="AE1475" s="1" t="n"/>
    </row>
    <row r="1476" ht="42" customHeight="1">
      <c r="A1476" s="14">
        <f>IFERROR(__xludf.DUMMYFUNCTION("""COMPUTED_VALUE"""),45181)</f>
        <v/>
      </c>
      <c r="B1476" s="1">
        <f>IFERROR(__xludf.DUMMYFUNCTION("""COMPUTED_VALUE"""),"ORG_2520")</f>
        <v/>
      </c>
      <c r="C1476" s="1">
        <f>IFERROR(__xludf.DUMMYFUNCTION("""COMPUTED_VALUE"""),TRUE)</f>
        <v/>
      </c>
      <c r="D1476" s="1">
        <f>IFERROR(__xludf.DUMMYFUNCTION("""COMPUTED_VALUE"""),"Weco Play")</f>
        <v/>
      </c>
      <c r="E1476" s="15">
        <f>IFERROR(__xludf.DUMMYFUNCTION("""COMPUTED_VALUE"""),"wecoplay.com")</f>
        <v/>
      </c>
      <c r="F1476" s="1">
        <f>IFERROR(__xludf.DUMMYFUNCTION("""COMPUTED_VALUE"""),"Weco Play is a collection of learning games and activities for large interactive screens. They are designed to enable several children to play and learn together. By using a shared device it can motivate learning, facilitate communication and collaboratio"&amp;"n. The Weco Play platform includes a range of different learning games, from a math race, to drawing through block programming, a book creator and many other activities.")</f>
        <v/>
      </c>
      <c r="G1476" s="1">
        <f>IFERROR(__xludf.DUMMYFUNCTION("""COMPUTED_VALUE"""),"EdTech Denmark")</f>
        <v/>
      </c>
      <c r="H1476" s="1" t="n"/>
      <c r="I1476" s="1">
        <f>IFERROR(__xludf.DUMMYFUNCTION("""COMPUTED_VALUE"""),"hello@wecoplay.com")</f>
        <v/>
      </c>
      <c r="J1476" s="1">
        <f>IFERROR(__xludf.DUMMYFUNCTION("""COMPUTED_VALUE"""),"+45 93930072")</f>
        <v/>
      </c>
      <c r="K1476" s="1">
        <f>IFERROR(__xludf.DUMMYFUNCTION("""COMPUTED_VALUE"""),"BRABRAND")</f>
        <v/>
      </c>
      <c r="L1476" s="1">
        <f>IFERROR(__xludf.DUMMYFUNCTION("""COMPUTED_VALUE"""),"Denmark")</f>
        <v/>
      </c>
      <c r="M1476" s="1">
        <f>IFERROR(__xludf.DUMMYFUNCTION("""COMPUTED_VALUE"""),"Belgium, Denmark, Finland, Germany, Netherlands, Norway, Sweden, United Kingdom")</f>
        <v/>
      </c>
      <c r="N1476" s="1">
        <f>IFERROR(__xludf.DUMMYFUNCTION("""COMPUTED_VALUE"""),"0 to 10")</f>
        <v/>
      </c>
      <c r="O1476" s="1">
        <f>IFERROR(__xludf.DUMMYFUNCTION("""COMPUTED_VALUE"""),"Business to Schools")</f>
        <v/>
      </c>
      <c r="P1476" s="1">
        <f>IFERROR(__xludf.DUMMYFUNCTION("""COMPUTED_VALUE"""),"Early childhood development (0-5 years), Primary Education")</f>
        <v/>
      </c>
      <c r="Q1476" s="1">
        <f>IFERROR(__xludf.DUMMYFUNCTION("""COMPUTED_VALUE"""),"Student interfacing")</f>
        <v/>
      </c>
      <c r="R1476" s="1" t="n"/>
      <c r="S1476" s="1" t="n"/>
      <c r="T1476" s="15">
        <f>IFERROR(__xludf.DUMMYFUNCTION("""COMPUTED_VALUE"""),"https://www.linkedin.com/company/wecoplay/")</f>
        <v/>
      </c>
      <c r="U1476" s="1">
        <f>IFERROR(__xludf.DUMMYFUNCTION("""COMPUTED_VALUE"""),"Weco Play")</f>
        <v/>
      </c>
      <c r="V1476" s="1">
        <f>IFERROR(__xludf.DUMMYFUNCTION("""COMPUTED_VALUE"""),"Weco Play is a collection of learning games and activities for large interactive screens. They are designed to enable several children to play and learn together. By using a shared device it can motivate learning, facilitate communication and collaboratio"&amp;"n. The Weco Play platform includes a range of different learning games, from a math race, to drawing through block programming, a book creator and many other activities.")</f>
        <v/>
      </c>
      <c r="W1476" s="1" t="n"/>
      <c r="X1476" s="1" t="n"/>
      <c r="Y1476" s="15">
        <f>IFERROR(__xludf.DUMMYFUNCTION("""COMPUTED_VALUE"""),"https://drive.google.com/uc?export=view&amp;id=1IxYDWHRgK-yvLdtAnOy9tTGbnsjvxWg5")</f>
        <v/>
      </c>
      <c r="Z1476" s="1">
        <f>IFERROR(__xludf.DUMMYFUNCTION("""COMPUTED_VALUE"""),"Unverified")</f>
        <v/>
      </c>
      <c r="AA1476" s="1" t="n"/>
      <c r="AB1476" s="1" t="n"/>
      <c r="AC1476" s="1" t="n"/>
      <c r="AD1476" s="1" t="n"/>
      <c r="AE1476" s="1" t="n"/>
    </row>
    <row r="1477" ht="42" customHeight="1">
      <c r="A1477" s="14">
        <f>IFERROR(__xludf.DUMMYFUNCTION("""COMPUTED_VALUE"""),45181)</f>
        <v/>
      </c>
      <c r="B1477" s="1">
        <f>IFERROR(__xludf.DUMMYFUNCTION("""COMPUTED_VALUE"""),"ORG_2542")</f>
        <v/>
      </c>
      <c r="C1477" s="1">
        <f>IFERROR(__xludf.DUMMYFUNCTION("""COMPUTED_VALUE"""),TRUE)</f>
        <v/>
      </c>
      <c r="D1477" s="1">
        <f>IFERROR(__xludf.DUMMYFUNCTION("""COMPUTED_VALUE"""),"WiXar")</f>
        <v/>
      </c>
      <c r="E1477" s="15">
        <f>IFERROR(__xludf.DUMMYFUNCTION("""COMPUTED_VALUE"""),"https://www.wixar.io/")</f>
        <v/>
      </c>
      <c r="F1477" s="1">
        <f>IFERROR(__xludf.DUMMYFUNCTION("""COMPUTED_VALUE"""),"WiXar is the first collaborative platform for Immersive Learning.
It is the must-have solution that allows you to create immersive experiences on your own. No need to be an expert, the tool is no-code and intuitive! 
Whether you have 10 users or 50,000,"&amp;" both the cloud and your WiXar LMS adapt in real time for a smooth and scalable experience.
Not to mention the collaborative mode! 
Immersing several people in real time creates a sense of presence that fosters engagement. All the features are there: ava"&amp;"tars expressing emotions, live multi-platform access, and meeting rooms!
Even training course designers can work together in the WiXar Creative Studio live from anywhere in the world.
The goal: allowing you to create virtual reality experiences quickly a"&amp;"nd efficiently. 
Our secret: automated scenarios and gamification, which allows you to create your experiences in minutes in spatial computing.
WiXar unveils human potential through emotion")</f>
        <v/>
      </c>
      <c r="G1477" s="1">
        <f>IFERROR(__xludf.DUMMYFUNCTION("""COMPUTED_VALUE"""),"EdTech France")</f>
        <v/>
      </c>
      <c r="H1477" s="1" t="n"/>
      <c r="I1477" s="1">
        <f>IFERROR(__xludf.DUMMYFUNCTION("""COMPUTED_VALUE"""),"info@wixar.io")</f>
        <v/>
      </c>
      <c r="J1477" s="1">
        <f>IFERROR(__xludf.DUMMYFUNCTION("""COMPUTED_VALUE"""),"+33143381775")</f>
        <v/>
      </c>
      <c r="K1477" s="1">
        <f>IFERROR(__xludf.DUMMYFUNCTION("""COMPUTED_VALUE"""),"AIX-EN-PROVENCE")</f>
        <v/>
      </c>
      <c r="L1477" s="1">
        <f>IFERROR(__xludf.DUMMYFUNCTION("""COMPUTED_VALUE"""),"France")</f>
        <v/>
      </c>
      <c r="M1477" s="1">
        <f>IFERROR(__xludf.DUMMYFUNCTION("""COMPUTED_VALUE"""),"France")</f>
        <v/>
      </c>
      <c r="N1477" s="1">
        <f>IFERROR(__xludf.DUMMYFUNCTION("""COMPUTED_VALUE"""),"0 to 10")</f>
        <v/>
      </c>
      <c r="O1477" s="1">
        <f>IFERROR(__xludf.DUMMYFUNCTION("""COMPUTED_VALUE"""),"Business to Schools")</f>
        <v/>
      </c>
      <c r="P1477" s="1">
        <f>IFERROR(__xludf.DUMMYFUNCTION("""COMPUTED_VALUE"""),"Higher Education, Corporate Training, Lifelong learning/Adult education")</f>
        <v/>
      </c>
      <c r="Q1477" s="1">
        <f>IFERROR(__xludf.DUMMYFUNCTION("""COMPUTED_VALUE"""),"Teacher interfacing, Student interfacing, System/Administrative")</f>
        <v/>
      </c>
      <c r="R1477" s="15">
        <f>IFERROR(__xludf.DUMMYFUNCTION("""COMPUTED_VALUE"""),"https://www.instagram.com/wixar360/")</f>
        <v/>
      </c>
      <c r="S1477" s="15">
        <f>IFERROR(__xludf.DUMMYFUNCTION("""COMPUTED_VALUE"""),"https://twitter.com/WiXar360")</f>
        <v/>
      </c>
      <c r="T1477" s="15">
        <f>IFERROR(__xludf.DUMMYFUNCTION("""COMPUTED_VALUE"""),"https://www.linkedin.com/company/wixar")</f>
        <v/>
      </c>
      <c r="U1477" s="1">
        <f>IFERROR(__xludf.DUMMYFUNCTION("""COMPUTED_VALUE"""),"WiXar")</f>
        <v/>
      </c>
      <c r="V1477" s="1">
        <f>IFERROR(__xludf.DUMMYFUNCTION("""COMPUTED_VALUE"""),"Create immersive experiences with WiXar, the ultimate authoring tool. Designing your project becomes child's play:
•	Get started with a large of templates
•	Import your 360° media into the VR Studio
•	Script your content by adding interactions
•	Publish "&amp;"the experience &amp; invite users
Track their progress and interact with them during the experience! You can create your experience while wearing the virtual reality headset. Save time by seeing the rendering in real time!")</f>
        <v/>
      </c>
      <c r="W1477" s="1" t="n"/>
      <c r="X1477" s="1" t="n"/>
      <c r="Y1477" s="15">
        <f>IFERROR(__xludf.DUMMYFUNCTION("""COMPUTED_VALUE"""),"https://drive.google.com/uc?export=view&amp;id=1RzbLMc7JnxU4pxFCgq9ZAZ-8WWYRm4rh")</f>
        <v/>
      </c>
      <c r="Z1477" s="1">
        <f>IFERROR(__xludf.DUMMYFUNCTION("""COMPUTED_VALUE"""),"Unverified")</f>
        <v/>
      </c>
      <c r="AA1477" s="1" t="n"/>
      <c r="AB1477" s="1" t="n"/>
      <c r="AC1477" s="1" t="n"/>
      <c r="AD1477" s="1" t="n"/>
      <c r="AE1477" s="1" t="n"/>
    </row>
    <row r="1478" ht="42" customHeight="1">
      <c r="A1478" s="14">
        <f>IFERROR(__xludf.DUMMYFUNCTION("""COMPUTED_VALUE"""),45181)</f>
        <v/>
      </c>
      <c r="B1478" s="1">
        <f>IFERROR(__xludf.DUMMYFUNCTION("""COMPUTED_VALUE"""),"ORG_2548")</f>
        <v/>
      </c>
      <c r="C1478" s="1">
        <f>IFERROR(__xludf.DUMMYFUNCTION("""COMPUTED_VALUE"""),TRUE)</f>
        <v/>
      </c>
      <c r="D1478" s="1">
        <f>IFERROR(__xludf.DUMMYFUNCTION("""COMPUTED_VALUE"""),"Workademy")</f>
        <v/>
      </c>
      <c r="E1478" s="15">
        <f>IFERROR(__xludf.DUMMYFUNCTION("""COMPUTED_VALUE"""),"https://theworkademy.com/")</f>
        <v/>
      </c>
      <c r="F1478" s="1">
        <f>IFERROR(__xludf.DUMMYFUNCTION("""COMPUTED_VALUE"""),"Workademy is developing a cloud- and subscription-based learning platform to help growing businesses scale the knowledge of any employee to the whole organization with a smart course builder based on a didactical approach.")</f>
        <v/>
      </c>
      <c r="G1478" s="1">
        <f>IFERROR(__xludf.DUMMYFUNCTION("""COMPUTED_VALUE"""),"EDUvation")</f>
        <v/>
      </c>
      <c r="H1478" s="1" t="n"/>
      <c r="I1478" s="1">
        <f>IFERROR(__xludf.DUMMYFUNCTION("""COMPUTED_VALUE"""),"olga.filipova@theworkademy.com")</f>
        <v/>
      </c>
      <c r="J1478" s="1">
        <f>IFERROR(__xludf.DUMMYFUNCTION("""COMPUTED_VALUE"""),"+4917635863091")</f>
        <v/>
      </c>
      <c r="K1478" s="1">
        <f>IFERROR(__xludf.DUMMYFUNCTION("""COMPUTED_VALUE"""),"BERLIN")</f>
        <v/>
      </c>
      <c r="L1478" s="1">
        <f>IFERROR(__xludf.DUMMYFUNCTION("""COMPUTED_VALUE"""),"Germany")</f>
        <v/>
      </c>
      <c r="M1478" s="1">
        <f>IFERROR(__xludf.DUMMYFUNCTION("""COMPUTED_VALUE"""),"Austria, Germany, Portugal, Sweden, Ukraine")</f>
        <v/>
      </c>
      <c r="N1478" s="1">
        <f>IFERROR(__xludf.DUMMYFUNCTION("""COMPUTED_VALUE"""),"0 to 10")</f>
        <v/>
      </c>
      <c r="O1478" s="1">
        <f>IFERROR(__xludf.DUMMYFUNCTION("""COMPUTED_VALUE"""),"Business to Schools")</f>
        <v/>
      </c>
      <c r="P1478" s="1">
        <f>IFERROR(__xludf.DUMMYFUNCTION("""COMPUTED_VALUE"""),"Corporate Training, Lifelong learning/Adult education")</f>
        <v/>
      </c>
      <c r="Q1478" s="1">
        <f>IFERROR(__xludf.DUMMYFUNCTION("""COMPUTED_VALUE"""),"Student interfacing, System/Administrative")</f>
        <v/>
      </c>
      <c r="R1478" s="1" t="n"/>
      <c r="S1478" s="1" t="n"/>
      <c r="T1478" s="1" t="n"/>
      <c r="U1478" s="1" t="n"/>
      <c r="V1478" s="1" t="n"/>
      <c r="W1478" s="1" t="n"/>
      <c r="X1478" s="1" t="n"/>
      <c r="Y1478" s="15">
        <f>IFERROR(__xludf.DUMMYFUNCTION("""COMPUTED_VALUE"""),"https://drive.google.com/uc?export=view&amp;id=1syQPPcsf4Z4jDM07FG6AwpRrbKit7qZj")</f>
        <v/>
      </c>
      <c r="Z1478" s="1">
        <f>IFERROR(__xludf.DUMMYFUNCTION("""COMPUTED_VALUE"""),"Unverified")</f>
        <v/>
      </c>
      <c r="AA1478" s="1" t="n"/>
      <c r="AB1478" s="1" t="n"/>
      <c r="AC1478" s="1" t="n"/>
      <c r="AD1478" s="1" t="n"/>
      <c r="AE1478" s="1" t="n"/>
    </row>
    <row r="1479" ht="42" customHeight="1">
      <c r="A1479" s="14">
        <f>IFERROR(__xludf.DUMMYFUNCTION("""COMPUTED_VALUE"""),45181)</f>
        <v/>
      </c>
      <c r="B1479" s="1">
        <f>IFERROR(__xludf.DUMMYFUNCTION("""COMPUTED_VALUE"""),"ORG_1057")</f>
        <v/>
      </c>
      <c r="C1479" s="1">
        <f>IFERROR(__xludf.DUMMYFUNCTION("""COMPUTED_VALUE"""),TRUE)</f>
        <v/>
      </c>
      <c r="D1479" s="1">
        <f>IFERROR(__xludf.DUMMYFUNCTION("""COMPUTED_VALUE"""),"Alteredu")</f>
        <v/>
      </c>
      <c r="E1479" s="15">
        <f>IFERROR(__xludf.DUMMYFUNCTION("""COMPUTED_VALUE"""),"www.alteredu.it")</f>
        <v/>
      </c>
      <c r="F1479" s="1">
        <f>IFERROR(__xludf.DUMMYFUNCTION("""COMPUTED_VALUE"""),"The First and Largest platform of online certified courses in Italy.
When trying to buy a book people usually look for it on Amazon, knowing they can find that book on it, isn't it? 
Well, we want that when they need a certified online course, they know t"&amp;"hat on Alteredu they can find it and, moreover, if they are not set yet with a specific idea, we can help them!
Our goal is for Alteredu to become the #1 reference platform for certified online courses in Italy (and not only).")</f>
        <v/>
      </c>
      <c r="G1479" s="1">
        <f>IFERROR(__xludf.DUMMYFUNCTION("""COMPUTED_VALUE"""),"EdTech Italia")</f>
        <v/>
      </c>
      <c r="H1479" s="1" t="n"/>
      <c r="I1479" s="1">
        <f>IFERROR(__xludf.DUMMYFUNCTION("""COMPUTED_VALUE"""),"info@alteredu.it")</f>
        <v/>
      </c>
      <c r="J1479" s="1">
        <f>IFERROR(__xludf.DUMMYFUNCTION("""COMPUTED_VALUE"""),"3515244215")</f>
        <v/>
      </c>
      <c r="K1479" s="1">
        <f>IFERROR(__xludf.DUMMYFUNCTION("""COMPUTED_VALUE"""),"TERRANOVA DA SIBARI")</f>
        <v/>
      </c>
      <c r="L1479" s="1">
        <f>IFERROR(__xludf.DUMMYFUNCTION("""COMPUTED_VALUE"""),"Italy")</f>
        <v/>
      </c>
      <c r="M1479" s="1">
        <f>IFERROR(__xludf.DUMMYFUNCTION("""COMPUTED_VALUE"""),"Italy")</f>
        <v/>
      </c>
      <c r="N1479" s="1">
        <f>IFERROR(__xludf.DUMMYFUNCTION("""COMPUTED_VALUE"""),"11 to 50")</f>
        <v/>
      </c>
      <c r="O1479" s="1">
        <f>IFERROR(__xludf.DUMMYFUNCTION("""COMPUTED_VALUE"""),"Business to Business")</f>
        <v/>
      </c>
      <c r="P1479" s="1">
        <f>IFERROR(__xludf.DUMMYFUNCTION("""COMPUTED_VALUE"""),"Corporate Training, Lifelong learning/Adult education")</f>
        <v/>
      </c>
      <c r="Q1479" s="1">
        <f>IFERROR(__xludf.DUMMYFUNCTION("""COMPUTED_VALUE"""),"Teacher interfacing, System/Administrative, Student interfacing")</f>
        <v/>
      </c>
      <c r="R1479" s="15">
        <f>IFERROR(__xludf.DUMMYFUNCTION("""COMPUTED_VALUE"""),"https://www.instagram.com/alteredu.it/")</f>
        <v/>
      </c>
      <c r="S1479" s="1" t="n"/>
      <c r="T1479" s="15">
        <f>IFERROR(__xludf.DUMMYFUNCTION("""COMPUTED_VALUE"""),"https://www.linkedin.com/company/alteredu")</f>
        <v/>
      </c>
      <c r="U1479" s="1">
        <f>IFERROR(__xludf.DUMMYFUNCTION("""COMPUTED_VALUE"""),"Certified Courses")</f>
        <v/>
      </c>
      <c r="V1479" s="1">
        <f>IFERROR(__xludf.DUMMYFUNCTION("""COMPUTED_VALUE"""),"More than 600 online certified courses on www.alteredu.it")</f>
        <v/>
      </c>
      <c r="W1479" s="1" t="n"/>
      <c r="X1479" s="1" t="n"/>
      <c r="Y1479" s="15">
        <f>IFERROR(__xludf.DUMMYFUNCTION("""COMPUTED_VALUE"""),"https://drive.google.com/uc?export=view&amp;id=1bmUU4AfeT64l2Rq26L3nxHbTkPZKKnBP")</f>
        <v/>
      </c>
      <c r="Z1479" s="1">
        <f>IFERROR(__xludf.DUMMYFUNCTION("""COMPUTED_VALUE"""),"Unverified")</f>
        <v/>
      </c>
      <c r="AA1479" s="1" t="n"/>
      <c r="AB1479" s="1" t="n"/>
      <c r="AC1479" s="1" t="n"/>
      <c r="AD1479" s="1" t="n"/>
      <c r="AE1479" s="1" t="n"/>
    </row>
    <row r="1480" ht="42" customHeight="1">
      <c r="A1480" s="14">
        <f>IFERROR(__xludf.DUMMYFUNCTION("""COMPUTED_VALUE"""),45181)</f>
        <v/>
      </c>
      <c r="B1480" s="1">
        <f>IFERROR(__xludf.DUMMYFUNCTION("""COMPUTED_VALUE"""),"ORG_1065")</f>
        <v/>
      </c>
      <c r="C1480" s="1">
        <f>IFERROR(__xludf.DUMMYFUNCTION("""COMPUTED_VALUE"""),TRUE)</f>
        <v/>
      </c>
      <c r="D1480" s="1">
        <f>IFERROR(__xludf.DUMMYFUNCTION("""COMPUTED_VALUE"""),"Alumne")</f>
        <v/>
      </c>
      <c r="E1480" s="15">
        <f>IFERROR(__xludf.DUMMYFUNCTION("""COMPUTED_VALUE"""),"https://alumnelms.com/")</f>
        <v/>
      </c>
      <c r="F1480" s="1">
        <f>IFERROR(__xludf.DUMMYFUNCTION("""COMPUTED_VALUE"""),"Alumne is a technology company that helps other companies to deploy their continuous training platforms for employees. Is the SMEs, Statups and Scaleups leader training platform.")</f>
        <v/>
      </c>
      <c r="G1480" s="1">
        <f>IFERROR(__xludf.DUMMYFUNCTION("""COMPUTED_VALUE"""),"SEK Lab")</f>
        <v/>
      </c>
      <c r="H1480" s="1">
        <f>IFERROR(__xludf.DUMMYFUNCTION("""COMPUTED_VALUE"""),"Spanish, English")</f>
        <v/>
      </c>
      <c r="I1480" s="1">
        <f>IFERROR(__xludf.DUMMYFUNCTION("""COMPUTED_VALUE"""),"info@alumn-e.com")</f>
        <v/>
      </c>
      <c r="J1480" s="1">
        <f>IFERROR(__xludf.DUMMYFUNCTION("""COMPUTED_VALUE"""),"+34 916364230")</f>
        <v/>
      </c>
      <c r="K1480" s="1">
        <f>IFERROR(__xludf.DUMMYFUNCTION("""COMPUTED_VALUE"""),"Las Rozas de Madrid")</f>
        <v/>
      </c>
      <c r="L1480" s="1">
        <f>IFERROR(__xludf.DUMMYFUNCTION("""COMPUTED_VALUE"""),"Spain")</f>
        <v/>
      </c>
      <c r="M1480" s="1">
        <f>IFERROR(__xludf.DUMMYFUNCTION("""COMPUTED_VALUE"""),"Spain")</f>
        <v/>
      </c>
      <c r="N1480" s="1">
        <f>IFERROR(__xludf.DUMMYFUNCTION("""COMPUTED_VALUE"""),"11 to 50")</f>
        <v/>
      </c>
      <c r="O1480" s="1">
        <f>IFERROR(__xludf.DUMMYFUNCTION("""COMPUTED_VALUE"""),"Business to Business")</f>
        <v/>
      </c>
      <c r="P1480" s="1">
        <f>IFERROR(__xludf.DUMMYFUNCTION("""COMPUTED_VALUE"""),"Corporate Training, Lifelong learning/Adult education")</f>
        <v/>
      </c>
      <c r="Q1480" s="1">
        <f>IFERROR(__xludf.DUMMYFUNCTION("""COMPUTED_VALUE"""),"System/Administrative")</f>
        <v/>
      </c>
      <c r="R1480" s="1" t="n"/>
      <c r="S1480" s="15">
        <f>IFERROR(__xludf.DUMMYFUNCTION("""COMPUTED_VALUE"""),"https://twitter.com/alumneelearning")</f>
        <v/>
      </c>
      <c r="T1480" s="15">
        <f>IFERROR(__xludf.DUMMYFUNCTION("""COMPUTED_VALUE"""),"https://www.linkedin.com/company/alumneelearning/")</f>
        <v/>
      </c>
      <c r="U1480" s="1">
        <f>IFERROR(__xludf.DUMMYFUNCTION("""COMPUTED_VALUE"""),"Alumne LMS")</f>
        <v/>
      </c>
      <c r="V1480" s="1">
        <f>IFERROR(__xludf.DUMMYFUNCTION("""COMPUTED_VALUE"""),"Alumne LMS is a simple, innovative and cheap online training platform. It allows any company, institution, university or school to deploy an online training platform in minutes. Powered by artificial intelligence and different gamification tools, Alumne L"&amp;"MS offers an effective formula to create innovative digital learning experiences.")</f>
        <v/>
      </c>
      <c r="W1480" s="1" t="n"/>
      <c r="X1480" s="1" t="n"/>
      <c r="Y1480" s="15">
        <f>IFERROR(__xludf.DUMMYFUNCTION("""COMPUTED_VALUE"""),"https://drive.google.com/uc?export=view&amp;id=1qvOYvCGScY7oQtnk9qg2GLDet42ATM2k")</f>
        <v/>
      </c>
      <c r="Z1480" s="1">
        <f>IFERROR(__xludf.DUMMYFUNCTION("""COMPUTED_VALUE"""),"Unverified")</f>
        <v/>
      </c>
      <c r="AA1480" s="1" t="n"/>
      <c r="AB1480" s="1" t="n"/>
      <c r="AC1480" s="1" t="n"/>
      <c r="AD1480" s="1" t="n"/>
      <c r="AE1480" s="1" t="n"/>
    </row>
    <row r="1481" ht="42" customHeight="1">
      <c r="A1481" s="14">
        <f>IFERROR(__xludf.DUMMYFUNCTION("""COMPUTED_VALUE"""),45181)</f>
        <v/>
      </c>
      <c r="B1481" s="1">
        <f>IFERROR(__xludf.DUMMYFUNCTION("""COMPUTED_VALUE"""),"ORG_1114")</f>
        <v/>
      </c>
      <c r="C1481" s="1">
        <f>IFERROR(__xludf.DUMMYFUNCTION("""COMPUTED_VALUE"""),TRUE)</f>
        <v/>
      </c>
      <c r="D1481" s="1">
        <f>IFERROR(__xludf.DUMMYFUNCTION("""COMPUTED_VALUE"""),"Atea Sverige AB")</f>
        <v/>
      </c>
      <c r="E1481" s="15">
        <f>IFERROR(__xludf.DUMMYFUNCTION("""COMPUTED_VALUE"""),"https://www.atea.se/digitalisering-i-skolan/")</f>
        <v/>
      </c>
      <c r="F1481" s="1">
        <f>IFERROR(__xludf.DUMMYFUNCTION("""COMPUTED_VALUE"""),"Atea is the market leader in IT infrastructure for businesses and public-sector organizations in Europe’s Nordic and Baltic regions.
With more than 7,500 employees located in 85 offices across seven countries —Norway, Sweden, Denmark, Finland, Lithuania,"&amp;" Latvia and Estonia — Atea combines a unique breadth of competence in IT infrastructure with a powerful local presence in each market we serve.
Atea offers a full range of hardware and software from the world’s top technology companies. Our team of speci"&amp;"alist consultants has technical certifications and system integration skills to design, implement and operate solutions for even the most complex IT requirements. As a result, we help customers solve problems and get maximum productivity from their IT inv"&amp;"estments.
A dedicated team works with skills and technology for the school and lifelong learning for companies")</f>
        <v/>
      </c>
      <c r="G1481" s="1">
        <f>IFERROR(__xludf.DUMMYFUNCTION("""COMPUTED_VALUE"""),"Swedish EdTech Industry")</f>
        <v/>
      </c>
      <c r="H1481" s="1" t="n"/>
      <c r="I1481" s="1">
        <f>IFERROR(__xludf.DUMMYFUNCTION("""COMPUTED_VALUE"""),"mattias.mattsson@atea.se")</f>
        <v/>
      </c>
      <c r="J1481" s="1">
        <f>IFERROR(__xludf.DUMMYFUNCTION("""COMPUTED_VALUE"""),"+468477 47 00")</f>
        <v/>
      </c>
      <c r="K1481" s="1">
        <f>IFERROR(__xludf.DUMMYFUNCTION("""COMPUTED_VALUE"""),"KISTA")</f>
        <v/>
      </c>
      <c r="L1481" s="1">
        <f>IFERROR(__xludf.DUMMYFUNCTION("""COMPUTED_VALUE"""),"Sweden")</f>
        <v/>
      </c>
      <c r="M1481" s="1">
        <f>IFERROR(__xludf.DUMMYFUNCTION("""COMPUTED_VALUE"""),"Denmark, Estonia, Finland, Latvia, Lithuania, Norway, Sweden")</f>
        <v/>
      </c>
      <c r="N1481" s="1">
        <f>IFERROR(__xludf.DUMMYFUNCTION("""COMPUTED_VALUE"""),"500+")</f>
        <v/>
      </c>
      <c r="O1481" s="1">
        <f>IFERROR(__xludf.DUMMYFUNCTION("""COMPUTED_VALUE"""),"Business to Business")</f>
        <v/>
      </c>
      <c r="P1481" s="1">
        <f>IFERROR(__xludf.DUMMYFUNCTION("""COMPUTED_VALUE"""),"Early childhood development (0-5 years)")</f>
        <v/>
      </c>
      <c r="Q1481" s="1">
        <f>IFERROR(__xludf.DUMMYFUNCTION("""COMPUTED_VALUE"""),"Student interfacing, Teacher interfacing, System/Administrative")</f>
        <v/>
      </c>
      <c r="R1481" s="15">
        <f>IFERROR(__xludf.DUMMYFUNCTION("""COMPUTED_VALUE"""),"https://www.instagram.com/atea_skola/")</f>
        <v/>
      </c>
      <c r="S1481" s="1">
        <f>IFERROR(__xludf.DUMMYFUNCTION("""COMPUTED_VALUE"""),"Atea Sverige AB")</f>
        <v/>
      </c>
      <c r="T1481" s="15">
        <f>IFERROR(__xludf.DUMMYFUNCTION("""COMPUTED_VALUE"""),"https://www.linkedin.com/company/atea-sverige/")</f>
        <v/>
      </c>
      <c r="U1481" s="1">
        <f>IFERROR(__xludf.DUMMYFUNCTION("""COMPUTED_VALUE"""),"Hardware")</f>
        <v/>
      </c>
      <c r="V1481" s="1">
        <f>IFERROR(__xludf.DUMMYFUNCTION("""COMPUTED_VALUE"""),"We are resellers of the hardware that the school needs to support digitalisation")</f>
        <v/>
      </c>
      <c r="W1481" s="1">
        <f>IFERROR(__xludf.DUMMYFUNCTION("""COMPUTED_VALUE"""),"Software")</f>
        <v/>
      </c>
      <c r="X1481" s="1">
        <f>IFERROR(__xludf.DUMMYFUNCTION("""COMPUTED_VALUE"""),"We are resellers of software so that the school can collaborate, communicate and share content. We also resell device management software.")</f>
        <v/>
      </c>
      <c r="Y1481" s="15">
        <f>IFERROR(__xludf.DUMMYFUNCTION("""COMPUTED_VALUE"""),"https://drive.google.com/uc?export=view&amp;id=1f-dNT9meTB5j-0SsbDqSckMqQcVubXeo")</f>
        <v/>
      </c>
      <c r="Z1481" s="1">
        <f>IFERROR(__xludf.DUMMYFUNCTION("""COMPUTED_VALUE"""),"Unverified")</f>
        <v/>
      </c>
      <c r="AA1481" s="1" t="n"/>
      <c r="AB1481" s="1" t="n"/>
      <c r="AC1481" s="1" t="n"/>
      <c r="AD1481" s="1" t="n"/>
      <c r="AE1481" s="1" t="n"/>
    </row>
    <row r="1482" ht="42" customHeight="1">
      <c r="A1482" s="14">
        <f>IFERROR(__xludf.DUMMYFUNCTION("""COMPUTED_VALUE"""),45181)</f>
        <v/>
      </c>
      <c r="B1482" s="1">
        <f>IFERROR(__xludf.DUMMYFUNCTION("""COMPUTED_VALUE"""),"ORG_1138")</f>
        <v/>
      </c>
      <c r="C1482" s="1">
        <f>IFERROR(__xludf.DUMMYFUNCTION("""COMPUTED_VALUE"""),TRUE)</f>
        <v/>
      </c>
      <c r="D1482" s="1">
        <f>IFERROR(__xludf.DUMMYFUNCTION("""COMPUTED_VALUE"""),"BatOnRoute")</f>
        <v/>
      </c>
      <c r="E1482" s="15">
        <f>IFERROR(__xludf.DUMMYFUNCTION("""COMPUTED_VALUE"""),"https://batonroute.com/en/")</f>
        <v/>
      </c>
      <c r="F1482" s="1">
        <f>IFERROR(__xludf.DUMMYFUNCTION("""COMPUTED_VALUE"""),"BatOnRoute is the most dynamic and easy-to-use management software for school bus routes. Optimising the information flow between educational centres and parents, it enables the effective and safe management of school transportation.
Without installing d"&amp;"evices or changing your buses, it allows a better management for schools and more security and peace of mind for Parents with real time information on their phone.
It consists of 3 elements: a web platform for the school and two apps – for the Parents an"&amp;"d the Drivers. 
It has already been implemented in more than 500 entities. It manages more than 5000 routes on a daily basis. 
Apart from the school bus, it can also be used on the walking school bus and also riding to school on the bike.")</f>
        <v/>
      </c>
      <c r="G1482" s="1">
        <f>IFERROR(__xludf.DUMMYFUNCTION("""COMPUTED_VALUE"""),"I'm not part of any EdTech association")</f>
        <v/>
      </c>
      <c r="H1482" s="1" t="n"/>
      <c r="I1482" s="1">
        <f>IFERROR(__xludf.DUMMYFUNCTION("""COMPUTED_VALUE"""),"joaquin.prieto@nunsys.com")</f>
        <v/>
      </c>
      <c r="J1482" s="1">
        <f>IFERROR(__xludf.DUMMYFUNCTION("""COMPUTED_VALUE"""),"+34960500631")</f>
        <v/>
      </c>
      <c r="K1482" s="1">
        <f>IFERROR(__xludf.DUMMYFUNCTION("""COMPUTED_VALUE"""),"PATERNA")</f>
        <v/>
      </c>
      <c r="L1482" s="1">
        <f>IFERROR(__xludf.DUMMYFUNCTION("""COMPUTED_VALUE"""),"Spain")</f>
        <v/>
      </c>
      <c r="M1482" s="1">
        <f>IFERROR(__xludf.DUMMYFUNCTION("""COMPUTED_VALUE"""),"Albania, Andorra, Bulgaria, Italy, Kazakhstan, Poland, Portugal, Romania, Spain, United Kingdom")</f>
        <v/>
      </c>
      <c r="N1482" s="1">
        <f>IFERROR(__xludf.DUMMYFUNCTION("""COMPUTED_VALUE"""),"500+")</f>
        <v/>
      </c>
      <c r="O1482" s="1">
        <f>IFERROR(__xludf.DUMMYFUNCTION("""COMPUTED_VALUE"""),"Business to Business")</f>
        <v/>
      </c>
      <c r="P1482" s="1">
        <f>IFERROR(__xludf.DUMMYFUNCTION("""COMPUTED_VALUE"""),"Early childhood development (0-5 years), Primary Education, Secondary Education, Higher Education")</f>
        <v/>
      </c>
      <c r="Q1482" s="1">
        <f>IFERROR(__xludf.DUMMYFUNCTION("""COMPUTED_VALUE"""),"System/Administrative, Student interfacing")</f>
        <v/>
      </c>
      <c r="R1482" s="1" t="n"/>
      <c r="S1482" s="1" t="n"/>
      <c r="T1482" s="1" t="n"/>
      <c r="U1482" s="1" t="n"/>
      <c r="V1482" s="1" t="n"/>
      <c r="W1482" s="1" t="n"/>
      <c r="X1482" s="1" t="n"/>
      <c r="Y1482" s="15">
        <f>IFERROR(__xludf.DUMMYFUNCTION("""COMPUTED_VALUE"""),"https://drive.google.com/uc?export=view&amp;id=1ltkX9NQcR_doiTboT2H1jG-0kz3mopQf")</f>
        <v/>
      </c>
      <c r="Z1482" s="1">
        <f>IFERROR(__xludf.DUMMYFUNCTION("""COMPUTED_VALUE"""),"Unverified")</f>
        <v/>
      </c>
      <c r="AA1482" s="1" t="n"/>
      <c r="AB1482" s="1" t="n"/>
      <c r="AC1482" s="1" t="n"/>
      <c r="AD1482" s="1" t="n"/>
      <c r="AE1482" s="1" t="n"/>
    </row>
    <row r="1483" ht="42" customHeight="1">
      <c r="A1483" s="14">
        <f>IFERROR(__xludf.DUMMYFUNCTION("""COMPUTED_VALUE"""),45181)</f>
        <v/>
      </c>
      <c r="B1483" s="1">
        <f>IFERROR(__xludf.DUMMYFUNCTION("""COMPUTED_VALUE"""),"ORG_1140")</f>
        <v/>
      </c>
      <c r="C1483" s="1">
        <f>IFERROR(__xludf.DUMMYFUNCTION("""COMPUTED_VALUE"""),TRUE)</f>
        <v/>
      </c>
      <c r="D1483" s="1">
        <f>IFERROR(__xludf.DUMMYFUNCTION("""COMPUTED_VALUE"""),"Be-skiller")</f>
        <v/>
      </c>
      <c r="E1483" s="15">
        <f>IFERROR(__xludf.DUMMYFUNCTION("""COMPUTED_VALUE"""),"https://be-skiller.com")</f>
        <v/>
      </c>
      <c r="F1483" s="1">
        <f>IFERROR(__xludf.DUMMYFUNCTION("""COMPUTED_VALUE"""),"Be-skiller is a company focused on hybrid and virtual training.
We work with multinational companies training their teams of internal trainers, as well as their managers, in soft-skills such as leadership, impact communication, learnability and other.")</f>
        <v/>
      </c>
      <c r="G1483" s="1">
        <f>IFERROR(__xludf.DUMMYFUNCTION("""COMPUTED_VALUE"""),"I'm not part of any EdTech association")</f>
        <v/>
      </c>
      <c r="H1483" s="1" t="n"/>
      <c r="I1483" s="1">
        <f>IFERROR(__xludf.DUMMYFUNCTION("""COMPUTED_VALUE"""),"info@be-skiller.com")</f>
        <v/>
      </c>
      <c r="J1483" s="1">
        <f>IFERROR(__xludf.DUMMYFUNCTION("""COMPUTED_VALUE"""),"+34617634699")</f>
        <v/>
      </c>
      <c r="K1483" s="1">
        <f>IFERROR(__xludf.DUMMYFUNCTION("""COMPUTED_VALUE"""),"Barcelona")</f>
        <v/>
      </c>
      <c r="L1483" s="1">
        <f>IFERROR(__xludf.DUMMYFUNCTION("""COMPUTED_VALUE"""),"Spain")</f>
        <v/>
      </c>
      <c r="M1483" s="1">
        <f>IFERROR(__xludf.DUMMYFUNCTION("""COMPUTED_VALUE"""),"Andorra, France, Italy, Portugal, Spain, United Kingdom")</f>
        <v/>
      </c>
      <c r="N1483" s="1">
        <f>IFERROR(__xludf.DUMMYFUNCTION("""COMPUTED_VALUE"""),"0 to 10")</f>
        <v/>
      </c>
      <c r="O1483" s="1">
        <f>IFERROR(__xludf.DUMMYFUNCTION("""COMPUTED_VALUE"""),"Business to Business")</f>
        <v/>
      </c>
      <c r="P1483" s="1">
        <f>IFERROR(__xludf.DUMMYFUNCTION("""COMPUTED_VALUE"""),"Corporate Training, Lifelong learning/Adult education")</f>
        <v/>
      </c>
      <c r="Q1483" s="1">
        <f>IFERROR(__xludf.DUMMYFUNCTION("""COMPUTED_VALUE"""),"Teacher interfacing, Student interfacing, System/Administrative")</f>
        <v/>
      </c>
      <c r="R1483" s="1" t="n"/>
      <c r="S1483" s="1" t="n"/>
      <c r="T1483" s="1" t="n"/>
      <c r="U1483" s="1" t="n"/>
      <c r="V1483" s="1" t="n"/>
      <c r="W1483" s="1" t="n"/>
      <c r="X1483" s="1" t="n"/>
      <c r="Y1483" s="15">
        <f>IFERROR(__xludf.DUMMYFUNCTION("""COMPUTED_VALUE"""),"https://drive.google.com/uc?export=view&amp;id=16yqCsgbQk5a5Tk8U1K6wQl0V4fNMdb5_")</f>
        <v/>
      </c>
      <c r="Z1483" s="1">
        <f>IFERROR(__xludf.DUMMYFUNCTION("""COMPUTED_VALUE"""),"Unverified")</f>
        <v/>
      </c>
      <c r="AA1483" s="1" t="n"/>
      <c r="AB1483" s="1" t="n"/>
      <c r="AC1483" s="1" t="n"/>
      <c r="AD1483" s="1" t="n"/>
      <c r="AE1483" s="1" t="n"/>
    </row>
    <row r="1484" ht="42" customHeight="1">
      <c r="A1484" s="14">
        <f>IFERROR(__xludf.DUMMYFUNCTION("""COMPUTED_VALUE"""),45181)</f>
        <v/>
      </c>
      <c r="B1484" s="1">
        <f>IFERROR(__xludf.DUMMYFUNCTION("""COMPUTED_VALUE"""),"ORG_1167")</f>
        <v/>
      </c>
      <c r="C1484" s="1">
        <f>IFERROR(__xludf.DUMMYFUNCTION("""COMPUTED_VALUE"""),TRUE)</f>
        <v/>
      </c>
      <c r="D1484" s="1">
        <f>IFERROR(__xludf.DUMMYFUNCTION("""COMPUTED_VALUE"""),"BioProfe")</f>
        <v/>
      </c>
      <c r="E1484" s="15">
        <f>IFERROR(__xludf.DUMMYFUNCTION("""COMPUTED_VALUE"""),"https://bioprofe.com")</f>
        <v/>
      </c>
      <c r="F1484" s="1">
        <f>IFERROR(__xludf.DUMMYFUNCTION("""COMPUTED_VALUE"""),"BioProfe: educational software for science exams, to create and solve self-correcting exams of any kind, especially Chemistry, Physics, and Mathematics.
BioProfe can improve the educational quality to any School, Institute or University, especially in Ma"&amp;"ths, Physics, and Chemistry, and now including a proctoring system to be able to remotely monitor the student while taking the exam.
What makes BioProfe unique is its formula editor. With BioProfe is possible to put unknowns inside the Mathematical or Ch"&amp;"emical formulas, and inside the text paragraphs. In this way the student can interact with the formulas to solve them.")</f>
        <v/>
      </c>
      <c r="G1484" s="1">
        <f>IFERROR(__xludf.DUMMYFUNCTION("""COMPUTED_VALUE"""),"EduTech Cluster Spain")</f>
        <v/>
      </c>
      <c r="H1484" s="1" t="n"/>
      <c r="I1484" s="1">
        <f>IFERROR(__xludf.DUMMYFUNCTION("""COMPUTED_VALUE"""),"carlos.moreno@bioprofe.com")</f>
        <v/>
      </c>
      <c r="J1484" s="1">
        <f>IFERROR(__xludf.DUMMYFUNCTION("""COMPUTED_VALUE"""),"+34652438761")</f>
        <v/>
      </c>
      <c r="K1484" s="1">
        <f>IFERROR(__xludf.DUMMYFUNCTION("""COMPUTED_VALUE"""),"MADRID")</f>
        <v/>
      </c>
      <c r="L1484" s="1">
        <f>IFERROR(__xludf.DUMMYFUNCTION("""COMPUTED_VALUE"""),"Spain")</f>
        <v/>
      </c>
      <c r="M1484" s="1">
        <f>IFERROR(__xludf.DUMMYFUNCTION("""COMPUTED_VALUE"""),"Spain")</f>
        <v/>
      </c>
      <c r="N1484" s="1">
        <f>IFERROR(__xludf.DUMMYFUNCTION("""COMPUTED_VALUE"""),"0 to 10")</f>
        <v/>
      </c>
      <c r="O1484" s="1">
        <f>IFERROR(__xludf.DUMMYFUNCTION("""COMPUTED_VALUE"""),"Business to Business")</f>
        <v/>
      </c>
      <c r="P1484" s="1">
        <f>IFERROR(__xludf.DUMMYFUNCTION("""COMPUTED_VALUE"""),"Primary Education, Secondary Education, Higher Education, Corporate Training, Lifelong learning/Adult education")</f>
        <v/>
      </c>
      <c r="Q1484" s="1">
        <f>IFERROR(__xludf.DUMMYFUNCTION("""COMPUTED_VALUE"""),"Student interfacing, Teacher interfacing, System/Administrative")</f>
        <v/>
      </c>
      <c r="R1484" s="1">
        <f>IFERROR(__xludf.DUMMYFUNCTION("""COMPUTED_VALUE"""),"SIOEDUC SOCIEDAD LIMITADA")</f>
        <v/>
      </c>
      <c r="S1484" s="1">
        <f>IFERROR(__xludf.DUMMYFUNCTION("""COMPUTED_VALUE"""),"SIOEDUC SOCIEDAD LIMITADA")</f>
        <v/>
      </c>
      <c r="T1484" s="15">
        <f>IFERROR(__xludf.DUMMYFUNCTION("""COMPUTED_VALUE"""),"https://www.linkedin.com/company/bioprofe")</f>
        <v/>
      </c>
      <c r="U1484" s="1">
        <f>IFERROR(__xludf.DUMMYFUNCTION("""COMPUTED_VALUE"""),"BioProfe")</f>
        <v/>
      </c>
      <c r="V1484" s="1">
        <f>IFERROR(__xludf.DUMMYFUNCTION("""COMPUTED_VALUE"""),"BioProfe consists of three applications:
1. BioProfe Creator
2. BioProfe Reader 3. BioProfe Corrector BioProfe CREATOR is a tool for teachers that allow them to generate exercises and exams to be sent to their students. The exercises can contain text, tes"&amp;"t questions, mathematical and chemical formulas with unknowns inside, graphics, images, audios, and videos.
BioProfe READER is an app that allows students to solve the exercises using a tablet (iPads, Android and Windows) or computer. Once the exam is fin"&amp;"ished, the student can send it back very easily, just pressing a link button.
BioProfe CORRECTOR allows the teachers open the exams that contain the answers given by the students and see the report, check the failures exercise by exercise and also see the"&amp;" statistics on their progress.")</f>
        <v/>
      </c>
      <c r="W1484" s="1">
        <f>IFERROR(__xludf.DUMMYFUNCTION("""COMPUTED_VALUE"""),"BioProfepedia")</f>
        <v/>
      </c>
      <c r="X1484" s="1">
        <f>IFERROR(__xludf.DUMMYFUNCTION("""COMPUTED_VALUE"""),"A huge exams store (General knowledge, Maths, Physics and Chemistry) accessible to students to learn or review knowledge.
Using the app BioProfe READER, the students can access to BioProfepedia to download these exams and solve them in their tablets or c"&amp;"omputers.")</f>
        <v/>
      </c>
      <c r="Y1484" s="15">
        <f>IFERROR(__xludf.DUMMYFUNCTION("""COMPUTED_VALUE"""),"https://drive.google.com/uc?export=view&amp;id=1FF_kCQ2iRJvoo91Hly1RWppIEaZU9Cqn")</f>
        <v/>
      </c>
      <c r="Z1484" s="1">
        <f>IFERROR(__xludf.DUMMYFUNCTION("""COMPUTED_VALUE"""),"Unverified")</f>
        <v/>
      </c>
      <c r="AA1484" s="1" t="n"/>
      <c r="AB1484" s="1" t="n"/>
      <c r="AC1484" s="1" t="n"/>
      <c r="AD1484" s="1" t="n"/>
      <c r="AE1484" s="1" t="n"/>
    </row>
    <row r="1485" ht="42" customHeight="1">
      <c r="A1485" s="14">
        <f>IFERROR(__xludf.DUMMYFUNCTION("""COMPUTED_VALUE"""),45181)</f>
        <v/>
      </c>
      <c r="B1485" s="1">
        <f>IFERROR(__xludf.DUMMYFUNCTION("""COMPUTED_VALUE"""),"ORG_1214")</f>
        <v/>
      </c>
      <c r="C1485" s="1">
        <f>IFERROR(__xludf.DUMMYFUNCTION("""COMPUTED_VALUE"""),TRUE)</f>
        <v/>
      </c>
      <c r="D1485" s="1">
        <f>IFERROR(__xludf.DUMMYFUNCTION("""COMPUTED_VALUE"""),"Canal Numérique des Savoirs")</f>
        <v/>
      </c>
      <c r="E1485" s="15">
        <f>IFERROR(__xludf.DUMMYFUNCTION("""COMPUTED_VALUE"""),"https://www.cns-edu.com/")</f>
        <v/>
      </c>
      <c r="F1485" s="1">
        <f>IFERROR(__xludf.DUMMYFUNCTION("""COMPUTED_VALUE"""),"Creation, publication, dissemination and distribution of educational resources (digital textbooks from primary to secondary levels) and interactive services (adaptive learning) along with educational platforms, compliant with the national curriculum set b"&amp;"y Ministry of National Education. Digital support and training, e-parenthood, adaptive learning.")</f>
        <v/>
      </c>
      <c r="G1485" s="1">
        <f>IFERROR(__xludf.DUMMYFUNCTION("""COMPUTED_VALUE"""),"AFINEF")</f>
        <v/>
      </c>
      <c r="H1485" s="1" t="n"/>
      <c r="I1485" s="1">
        <f>IFERROR(__xludf.DUMMYFUNCTION("""COMPUTED_VALUE"""),"contact@cns-edu.fr")</f>
        <v/>
      </c>
      <c r="J1485" s="1">
        <f>IFERROR(__xludf.DUMMYFUNCTION("""COMPUTED_VALUE"""),"33153552649")</f>
        <v/>
      </c>
      <c r="K1485" s="1">
        <f>IFERROR(__xludf.DUMMYFUNCTION("""COMPUTED_VALUE"""),"PARIS")</f>
        <v/>
      </c>
      <c r="L1485" s="1">
        <f>IFERROR(__xludf.DUMMYFUNCTION("""COMPUTED_VALUE"""),"France")</f>
        <v/>
      </c>
      <c r="M1485" s="1">
        <f>IFERROR(__xludf.DUMMYFUNCTION("""COMPUTED_VALUE"""),"Belgium, France, Monaco, Switzerland")</f>
        <v/>
      </c>
      <c r="N1485" s="1">
        <f>IFERROR(__xludf.DUMMYFUNCTION("""COMPUTED_VALUE"""),"51 to 100")</f>
        <v/>
      </c>
      <c r="O1485" s="1">
        <f>IFERROR(__xludf.DUMMYFUNCTION("""COMPUTED_VALUE"""),"Business to Business, Business to Consumer")</f>
        <v/>
      </c>
      <c r="P1485" s="1">
        <f>IFERROR(__xludf.DUMMYFUNCTION("""COMPUTED_VALUE"""),"Early childhood development (0-5 years), Primary Education, Secondary Education, Higher Education, Corporate Training, Lifelong learning/Adult education")</f>
        <v/>
      </c>
      <c r="Q1485" s="1">
        <f>IFERROR(__xludf.DUMMYFUNCTION("""COMPUTED_VALUE"""),"System/Administrative, Student interfacing, Teacher interfacing")</f>
        <v/>
      </c>
      <c r="R1485" s="1" t="n"/>
      <c r="S1485" s="1">
        <f>IFERROR(__xludf.DUMMYFUNCTION("""COMPUTED_VALUE"""),"@CNS_SavoirsNum")</f>
        <v/>
      </c>
      <c r="T1485" s="1" t="n"/>
      <c r="U1485" s="1">
        <f>IFERROR(__xludf.DUMMYFUNCTION("""COMPUTED_VALUE"""),"TD Lab - Biblio Exos")</f>
        <v/>
      </c>
      <c r="V1485" s="1">
        <f>IFERROR(__xludf.DUMMYFUNCTION("""COMPUTED_VALUE"""),"Interactive exercises platform designed for taylored learning. Both customised learning paths and personnal learning paths are on display, so as to make learning an enjoyable experience")</f>
        <v/>
      </c>
      <c r="W1485" s="1">
        <f>IFERROR(__xludf.DUMMYFUNCTION("""COMPUTED_VALUE"""),"i-Manuel 2.0")</f>
        <v/>
      </c>
      <c r="X1485" s="1">
        <f>IFERROR(__xludf.DUMMYFUNCTION("""COMPUTED_VALUE"""),"interactive textbooks platform specially designed for vocationnal pupils and teachers. This tool allows customised learning paths ands strong interactions between pupils and teachers")</f>
        <v/>
      </c>
      <c r="Y1485" s="15">
        <f>IFERROR(__xludf.DUMMYFUNCTION("""COMPUTED_VALUE"""),"https://drive.google.com/uc?export=view&amp;id=14SDVazfE5ddoJ9U-32V9w4sI-r57_sRo")</f>
        <v/>
      </c>
      <c r="Z1485" s="1">
        <f>IFERROR(__xludf.DUMMYFUNCTION("""COMPUTED_VALUE"""),"Unverified")</f>
        <v/>
      </c>
      <c r="AA1485" s="1" t="n"/>
      <c r="AB1485" s="1" t="n"/>
      <c r="AC1485" s="1" t="n"/>
      <c r="AD1485" s="1" t="n"/>
      <c r="AE1485" s="1" t="n"/>
    </row>
    <row r="1486" ht="42" customHeight="1">
      <c r="A1486" s="14">
        <f>IFERROR(__xludf.DUMMYFUNCTION("""COMPUTED_VALUE"""),45181)</f>
        <v/>
      </c>
      <c r="B1486" s="1">
        <f>IFERROR(__xludf.DUMMYFUNCTION("""COMPUTED_VALUE"""),"ORG_1238")</f>
        <v/>
      </c>
      <c r="C1486" s="1">
        <f>IFERROR(__xludf.DUMMYFUNCTION("""COMPUTED_VALUE"""),TRUE)</f>
        <v/>
      </c>
      <c r="D1486" s="1">
        <f>IFERROR(__xludf.DUMMYFUNCTION("""COMPUTED_VALUE"""),"CIFRA EDUCACION")</f>
        <v/>
      </c>
      <c r="E1486" s="15">
        <f>IFERROR(__xludf.DUMMYFUNCTION("""COMPUTED_VALUE"""),"https://www.cifraeducacion.com")</f>
        <v/>
      </c>
      <c r="F1486" s="1">
        <f>IFERROR(__xludf.DUMMYFUNCTION("""COMPUTED_VALUE"""),"CIFRA EDUCACION is a software development company specialized on Education. Its product is a SMS (School Management System) called CIFRA for the comprehensive Management of educational centers and Communication between the educational community of these c"&amp;"enters. It includes solutions for the academic, administrative and economic management, all in a single ecosystem. It is a very intuitive and friendly platform that helps its use and is accompanied by an app that works with push notifications so that comm"&amp;"unication is online.")</f>
        <v/>
      </c>
      <c r="G1486" s="1">
        <f>IFERROR(__xludf.DUMMYFUNCTION("""COMPUTED_VALUE"""),"I'm not part of any EdTech association")</f>
        <v/>
      </c>
      <c r="H1486" s="1" t="n"/>
      <c r="I1486" s="1">
        <f>IFERROR(__xludf.DUMMYFUNCTION("""COMPUTED_VALUE"""),"alejandro.trigos@cifraeducacion.com")</f>
        <v/>
      </c>
      <c r="J1486" s="1">
        <f>IFERROR(__xludf.DUMMYFUNCTION("""COMPUTED_VALUE"""),"+34 942 30 11 30")</f>
        <v/>
      </c>
      <c r="K1486" s="1">
        <f>IFERROR(__xludf.DUMMYFUNCTION("""COMPUTED_VALUE"""),"SANTANDER")</f>
        <v/>
      </c>
      <c r="L1486" s="1">
        <f>IFERROR(__xludf.DUMMYFUNCTION("""COMPUTED_VALUE"""),"Spain")</f>
        <v/>
      </c>
      <c r="M1486" s="1">
        <f>IFERROR(__xludf.DUMMYFUNCTION("""COMPUTED_VALUE"""),"Spain")</f>
        <v/>
      </c>
      <c r="N1486" s="1">
        <f>IFERROR(__xludf.DUMMYFUNCTION("""COMPUTED_VALUE"""),"0 to 10")</f>
        <v/>
      </c>
      <c r="O1486" s="1">
        <f>IFERROR(__xludf.DUMMYFUNCTION("""COMPUTED_VALUE"""),"Business to Business, Business to Consumer")</f>
        <v/>
      </c>
      <c r="P1486" s="1">
        <f>IFERROR(__xludf.DUMMYFUNCTION("""COMPUTED_VALUE"""),"Early childhood development (0-5 years), Primary Education, Secondary Education, Higher Education")</f>
        <v/>
      </c>
      <c r="Q1486" s="1">
        <f>IFERROR(__xludf.DUMMYFUNCTION("""COMPUTED_VALUE"""),"System/Administrative, Student interfacing, Teacher interfacing")</f>
        <v/>
      </c>
      <c r="R1486" s="1" t="n"/>
      <c r="S1486" s="1" t="n"/>
      <c r="T1486" s="1" t="n"/>
      <c r="U1486" s="1" t="n"/>
      <c r="V1486" s="1" t="n"/>
      <c r="W1486" s="1" t="n"/>
      <c r="X1486" s="1" t="n"/>
      <c r="Y1486" s="15">
        <f>IFERROR(__xludf.DUMMYFUNCTION("""COMPUTED_VALUE"""),"https://drive.google.com/uc?export=view&amp;id=1hpzgWAWbWoJZpu04Ot3F1dlyxwq9lJrm")</f>
        <v/>
      </c>
      <c r="Z1486" s="1">
        <f>IFERROR(__xludf.DUMMYFUNCTION("""COMPUTED_VALUE"""),"Unverified")</f>
        <v/>
      </c>
      <c r="AA1486" s="1" t="n"/>
      <c r="AB1486" s="1" t="n"/>
      <c r="AC1486" s="1" t="n"/>
      <c r="AD1486" s="1" t="n"/>
      <c r="AE1486" s="1" t="n"/>
    </row>
    <row r="1487" ht="42" customHeight="1">
      <c r="A1487" s="14">
        <f>IFERROR(__xludf.DUMMYFUNCTION("""COMPUTED_VALUE"""),45181)</f>
        <v/>
      </c>
      <c r="B1487" s="1">
        <f>IFERROR(__xludf.DUMMYFUNCTION("""COMPUTED_VALUE"""),"ORG_1446")</f>
        <v/>
      </c>
      <c r="C1487" s="1">
        <f>IFERROR(__xludf.DUMMYFUNCTION("""COMPUTED_VALUE"""),TRUE)</f>
        <v/>
      </c>
      <c r="D1487" s="1">
        <f>IFERROR(__xludf.DUMMYFUNCTION("""COMPUTED_VALUE"""),"Édulib")</f>
        <v/>
      </c>
      <c r="E1487" s="15">
        <f>IFERROR(__xludf.DUMMYFUNCTION("""COMPUTED_VALUE"""),"https://www.edulib.fr/")</f>
        <v/>
      </c>
      <c r="F1487" s="1">
        <f>IFERROR(__xludf.DUMMYFUNCTION("""COMPUTED_VALUE"""),"Édulib is the distributor of digital ressources from Belin Éducation, Magnard, Delagrave, Vuibert, BPI and the publisher of the application Lib Manuels. Edulib offers to education professionals more than 800 references, from elementary to higher education"&amp;" in all disciplines, accessible via ENT (GAR compatible), on PC, flash drive or tablet.")</f>
        <v/>
      </c>
      <c r="G1487" s="1">
        <f>IFERROR(__xludf.DUMMYFUNCTION("""COMPUTED_VALUE"""),"AFINEF")</f>
        <v/>
      </c>
      <c r="H1487" s="1" t="n"/>
      <c r="I1487" s="1">
        <f>IFERROR(__xludf.DUMMYFUNCTION("""COMPUTED_VALUE"""),"support@edulib.fr")</f>
        <v/>
      </c>
      <c r="J1487" s="1">
        <f>IFERROR(__xludf.DUMMYFUNCTION("""COMPUTED_VALUE"""),"+33 (0)1 78 96 99 84")</f>
        <v/>
      </c>
      <c r="K1487" s="1">
        <f>IFERROR(__xludf.DUMMYFUNCTION("""COMPUTED_VALUE"""),"PARIS")</f>
        <v/>
      </c>
      <c r="L1487" s="1">
        <f>IFERROR(__xludf.DUMMYFUNCTION("""COMPUTED_VALUE"""),"France")</f>
        <v/>
      </c>
      <c r="M1487" s="1">
        <f>IFERROR(__xludf.DUMMYFUNCTION("""COMPUTED_VALUE"""),"Belgium, France, Luxembourg, Monaco")</f>
        <v/>
      </c>
      <c r="N1487" s="1">
        <f>IFERROR(__xludf.DUMMYFUNCTION("""COMPUTED_VALUE"""),"11 to 50")</f>
        <v/>
      </c>
      <c r="O1487" s="1">
        <f>IFERROR(__xludf.DUMMYFUNCTION("""COMPUTED_VALUE"""),"Business to Business, Business to Consumer")</f>
        <v/>
      </c>
      <c r="P1487" s="1">
        <f>IFERROR(__xludf.DUMMYFUNCTION("""COMPUTED_VALUE"""),"Primary Education, Secondary Education, Higher Education")</f>
        <v/>
      </c>
      <c r="Q1487" s="1">
        <f>IFERROR(__xludf.DUMMYFUNCTION("""COMPUTED_VALUE"""),"System/Administrative, Student interfacing, Teacher interfacing")</f>
        <v/>
      </c>
      <c r="R1487" s="1" t="n"/>
      <c r="S1487" s="1" t="n"/>
      <c r="T1487" s="1" t="n"/>
      <c r="U1487" s="1" t="n"/>
      <c r="V1487" s="1" t="n"/>
      <c r="W1487" s="1" t="n"/>
      <c r="X1487" s="1" t="n"/>
      <c r="Y1487" s="15">
        <f>IFERROR(__xludf.DUMMYFUNCTION("""COMPUTED_VALUE"""),"https://drive.google.com/uc?export=view&amp;id=1Zty4eoxgO4vUxWIOUvksJg747t-Z9LIn")</f>
        <v/>
      </c>
      <c r="Z1487" s="1">
        <f>IFERROR(__xludf.DUMMYFUNCTION("""COMPUTED_VALUE"""),"Unverified")</f>
        <v/>
      </c>
      <c r="AA1487" s="1" t="n"/>
      <c r="AB1487" s="1" t="n"/>
      <c r="AC1487" s="1" t="n"/>
      <c r="AD1487" s="1" t="n"/>
      <c r="AE1487" s="1" t="n"/>
    </row>
    <row r="1488" ht="42" customHeight="1">
      <c r="A1488" s="14">
        <f>IFERROR(__xludf.DUMMYFUNCTION("""COMPUTED_VALUE"""),45181)</f>
        <v/>
      </c>
      <c r="B1488" s="1">
        <f>IFERROR(__xludf.DUMMYFUNCTION("""COMPUTED_VALUE"""),"ORG_1519")</f>
        <v/>
      </c>
      <c r="C1488" s="1">
        <f>IFERROR(__xludf.DUMMYFUNCTION("""COMPUTED_VALUE"""),TRUE)</f>
        <v/>
      </c>
      <c r="D1488" s="1">
        <f>IFERROR(__xludf.DUMMYFUNCTION("""COMPUTED_VALUE"""),"eTrivium")</f>
        <v/>
      </c>
      <c r="E1488" s="15">
        <f>IFERROR(__xludf.DUMMYFUNCTION("""COMPUTED_VALUE"""),"www.etrivium.es")</f>
        <v/>
      </c>
      <c r="F1488" s="1">
        <f>IFERROR(__xludf.DUMMYFUNCTION("""COMPUTED_VALUE"""),"eTrivium is a company dedicated to the development of elearning content adapted to the learning culture of organizations. 
Its 360º methodology integrates processes, people and technology through technopedagogical design and the creation of fully customi"&amp;"zed elearning content.")</f>
        <v/>
      </c>
      <c r="G1488" s="1">
        <f>IFERROR(__xludf.DUMMYFUNCTION("""COMPUTED_VALUE"""),"I'm not part of any EdTech association")</f>
        <v/>
      </c>
      <c r="H1488" s="1" t="n"/>
      <c r="I1488" s="1">
        <f>IFERROR(__xludf.DUMMYFUNCTION("""COMPUTED_VALUE"""),"adcando@etrivium.es")</f>
        <v/>
      </c>
      <c r="J1488" s="1">
        <f>IFERROR(__xludf.DUMMYFUNCTION("""COMPUTED_VALUE"""),"+346851618779")</f>
        <v/>
      </c>
      <c r="K1488" s="1">
        <f>IFERROR(__xludf.DUMMYFUNCTION("""COMPUTED_VALUE"""),"MADRID")</f>
        <v/>
      </c>
      <c r="L1488" s="1">
        <f>IFERROR(__xludf.DUMMYFUNCTION("""COMPUTED_VALUE"""),"Spain")</f>
        <v/>
      </c>
      <c r="M1488" s="1">
        <f>IFERROR(__xludf.DUMMYFUNCTION("""COMPUTED_VALUE"""),"Spain")</f>
        <v/>
      </c>
      <c r="N1488" s="1">
        <f>IFERROR(__xludf.DUMMYFUNCTION("""COMPUTED_VALUE"""),"0 to 10")</f>
        <v/>
      </c>
      <c r="O1488" s="1">
        <f>IFERROR(__xludf.DUMMYFUNCTION("""COMPUTED_VALUE"""),"Business to Business, Business to Consumer, Business to Government")</f>
        <v/>
      </c>
      <c r="P1488" s="1">
        <f>IFERROR(__xludf.DUMMYFUNCTION("""COMPUTED_VALUE"""),"Higher Education, Corporate Training, Lifelong learning/Adult education")</f>
        <v/>
      </c>
      <c r="Q1488" s="1">
        <f>IFERROR(__xludf.DUMMYFUNCTION("""COMPUTED_VALUE"""),"Teacher interfacing, Student interfacing, System/Administrative")</f>
        <v/>
      </c>
      <c r="R1488" s="1" t="n"/>
      <c r="S1488" s="1" t="n"/>
      <c r="T1488" s="1" t="n"/>
      <c r="U1488" s="1" t="n"/>
      <c r="V1488" s="1" t="n"/>
      <c r="W1488" s="1" t="n"/>
      <c r="X1488" s="1" t="n"/>
      <c r="Y1488" s="15">
        <f>IFERROR(__xludf.DUMMYFUNCTION("""COMPUTED_VALUE"""),"https://drive.google.com/uc?export=view&amp;id=1Nd9ed9C5yEtOPAt2RLC0K1FGYI7aFGz7")</f>
        <v/>
      </c>
      <c r="Z1488" s="1">
        <f>IFERROR(__xludf.DUMMYFUNCTION("""COMPUTED_VALUE"""),"Unverified")</f>
        <v/>
      </c>
      <c r="AA1488" s="1" t="n"/>
      <c r="AB1488" s="1" t="n"/>
      <c r="AC1488" s="1" t="n"/>
      <c r="AD1488" s="1" t="n"/>
      <c r="AE1488" s="1" t="n"/>
    </row>
    <row r="1489" ht="42" customHeight="1">
      <c r="A1489" s="14">
        <f>IFERROR(__xludf.DUMMYFUNCTION("""COMPUTED_VALUE"""),45181)</f>
        <v/>
      </c>
      <c r="B1489" s="1">
        <f>IFERROR(__xludf.DUMMYFUNCTION("""COMPUTED_VALUE"""),"ORG_1573")</f>
        <v/>
      </c>
      <c r="C1489" s="1">
        <f>IFERROR(__xludf.DUMMYFUNCTION("""COMPUTED_VALUE"""),TRUE)</f>
        <v/>
      </c>
      <c r="D1489" s="1">
        <f>IFERROR(__xludf.DUMMYFUNCTION("""COMPUTED_VALUE"""),"For a Better World")</f>
        <v/>
      </c>
      <c r="E1489" s="15">
        <f>IFERROR(__xludf.DUMMYFUNCTION("""COMPUTED_VALUE"""),"https://www.forabetterworld.es/")</f>
        <v/>
      </c>
      <c r="F1489" s="1">
        <f>IFERROR(__xludf.DUMMYFUNCTION("""COMPUTED_VALUE"""),"We help employees and their Companies to measure and to improve their mental health and soft skills through an interactive solution and great influencers")</f>
        <v/>
      </c>
      <c r="G1489" s="1">
        <f>IFERROR(__xludf.DUMMYFUNCTION("""COMPUTED_VALUE"""),"I'm not part of any EdTech association")</f>
        <v/>
      </c>
      <c r="H1489" s="1" t="n"/>
      <c r="I1489" s="1">
        <f>IFERROR(__xludf.DUMMYFUNCTION("""COMPUTED_VALUE"""),"pedro@forabetterworld.es")</f>
        <v/>
      </c>
      <c r="J1489" s="1">
        <f>IFERROR(__xludf.DUMMYFUNCTION("""COMPUTED_VALUE"""),"+34675579768")</f>
        <v/>
      </c>
      <c r="K1489" s="1">
        <f>IFERROR(__xludf.DUMMYFUNCTION("""COMPUTED_VALUE"""),"TORRELODONES")</f>
        <v/>
      </c>
      <c r="L1489" s="1">
        <f>IFERROR(__xludf.DUMMYFUNCTION("""COMPUTED_VALUE"""),"Spain")</f>
        <v/>
      </c>
      <c r="M1489" s="1">
        <f>IFERROR(__xludf.DUMMYFUNCTION("""COMPUTED_VALUE"""),"Spain")</f>
        <v/>
      </c>
      <c r="N1489" s="1">
        <f>IFERROR(__xludf.DUMMYFUNCTION("""COMPUTED_VALUE"""),"0 to 10")</f>
        <v/>
      </c>
      <c r="O1489" s="1">
        <f>IFERROR(__xludf.DUMMYFUNCTION("""COMPUTED_VALUE"""),"Business to Business, Business to Consumer, Business to Government, Business to Schools")</f>
        <v/>
      </c>
      <c r="P1489" s="1">
        <f>IFERROR(__xludf.DUMMYFUNCTION("""COMPUTED_VALUE"""),"Corporate Training, Lifelong learning/Adult education")</f>
        <v/>
      </c>
      <c r="Q1489" s="1">
        <f>IFERROR(__xludf.DUMMYFUNCTION("""COMPUTED_VALUE"""),"Student interfacing, System/Administrative")</f>
        <v/>
      </c>
      <c r="R1489" s="1" t="n"/>
      <c r="S1489" s="1" t="n"/>
      <c r="T1489" s="1" t="n"/>
      <c r="U1489" s="1" t="n"/>
      <c r="V1489" s="1" t="n"/>
      <c r="W1489" s="1" t="n"/>
      <c r="X1489" s="1" t="n"/>
      <c r="Y1489" s="15">
        <f>IFERROR(__xludf.DUMMYFUNCTION("""COMPUTED_VALUE"""),"https://drive.google.com/uc?export=view&amp;id=1dKlWE6998UG98nASQ2hZ00BezZpRZKF8")</f>
        <v/>
      </c>
      <c r="Z1489" s="1">
        <f>IFERROR(__xludf.DUMMYFUNCTION("""COMPUTED_VALUE"""),"Unverified")</f>
        <v/>
      </c>
      <c r="AA1489" s="1" t="n"/>
      <c r="AB1489" s="1" t="n"/>
      <c r="AC1489" s="1" t="n"/>
      <c r="AD1489" s="1" t="n"/>
      <c r="AE1489" s="1" t="n"/>
    </row>
    <row r="1490" ht="42" customHeight="1">
      <c r="A1490" s="14">
        <f>IFERROR(__xludf.DUMMYFUNCTION("""COMPUTED_VALUE"""),45181)</f>
        <v/>
      </c>
      <c r="B1490" s="1">
        <f>IFERROR(__xludf.DUMMYFUNCTION("""COMPUTED_VALUE"""),"ORG_1666")</f>
        <v/>
      </c>
      <c r="C1490" s="1">
        <f>IFERROR(__xludf.DUMMYFUNCTION("""COMPUTED_VALUE"""),TRUE)</f>
        <v/>
      </c>
      <c r="D1490" s="1">
        <f>IFERROR(__xludf.DUMMYFUNCTION("""COMPUTED_VALUE"""),"Hazu")</f>
        <v/>
      </c>
      <c r="E1490" s="15">
        <f>IFERROR(__xludf.DUMMYFUNCTION("""COMPUTED_VALUE"""),"https://www.hazu.io")</f>
        <v/>
      </c>
      <c r="F1490" s="1">
        <f>IFERROR(__xludf.DUMMYFUNCTION("""COMPUTED_VALUE"""),"Hazu is a company that provides a platform for businesses, organizations, and educational institutions to create their own digital world. The platform is visual and organized in a simple interface. Data in Hazu is structured and semantic, making it ideal "&amp;"for training AI and machine learning. The company was founded in 2016 in Silicon Valley and has a subsidiary in Switzerland.")</f>
        <v/>
      </c>
      <c r="G1490" s="1">
        <f>IFERROR(__xludf.DUMMYFUNCTION("""COMPUTED_VALUE"""),"Swiss EdTech Collider")</f>
        <v/>
      </c>
      <c r="H1490" s="1" t="n"/>
      <c r="I1490" s="1">
        <f>IFERROR(__xludf.DUMMYFUNCTION("""COMPUTED_VALUE"""),"info@hazu.io")</f>
        <v/>
      </c>
      <c r="J1490" s="1" t="n"/>
      <c r="K1490" s="1">
        <f>IFERROR(__xludf.DUMMYFUNCTION("""COMPUTED_VALUE"""),"VISP")</f>
        <v/>
      </c>
      <c r="L1490" s="1">
        <f>IFERROR(__xludf.DUMMYFUNCTION("""COMPUTED_VALUE"""),"Switzerland")</f>
        <v/>
      </c>
      <c r="M1490" s="1">
        <f>IFERROR(__xludf.DUMMYFUNCTION("""COMPUTED_VALUE"""),"Austria, Denmark, Finland, Germany, Norway, Sweden, Switzerland")</f>
        <v/>
      </c>
      <c r="N1490" s="1">
        <f>IFERROR(__xludf.DUMMYFUNCTION("""COMPUTED_VALUE"""),"0 to 10")</f>
        <v/>
      </c>
      <c r="O1490" s="1">
        <f>IFERROR(__xludf.DUMMYFUNCTION("""COMPUTED_VALUE"""),"Business to Business, Business to Consumer, Business to Government, Business to Schools")</f>
        <v/>
      </c>
      <c r="P1490" s="1">
        <f>IFERROR(__xludf.DUMMYFUNCTION("""COMPUTED_VALUE"""),"Early childhood development (0-5 years), Primary Education, Secondary Education, Higher Education, Corporate Training, Lifelong learning/Adult education")</f>
        <v/>
      </c>
      <c r="Q1490" s="1">
        <f>IFERROR(__xludf.DUMMYFUNCTION("""COMPUTED_VALUE"""),"System/Administrative, Student interfacing, Teacher interfacing")</f>
        <v/>
      </c>
      <c r="R1490" s="1" t="n"/>
      <c r="S1490" s="1" t="n"/>
      <c r="T1490" s="15">
        <f>IFERROR(__xludf.DUMMYFUNCTION("""COMPUTED_VALUE"""),"https://www.linkedin.com/company/hazu")</f>
        <v/>
      </c>
      <c r="U1490" s="1">
        <f>IFERROR(__xludf.DUMMYFUNCTION("""COMPUTED_VALUE"""),"Hazu")</f>
        <v/>
      </c>
      <c r="V1490" s="1">
        <f>IFERROR(__xludf.DUMMYFUNCTION("""COMPUTED_VALUE"""),"Hazu is a Smart Cloud that gives students, teachers and parents the power to do anything they want in the digital world. Our visual building blocks make creating and sharing content a joy! With a simple click, information can be viewed as a mind map, pres"&amp;"entation, table, calendar, geo map, Kanban board or even in Virtual Reality. This makes Hazu perfect for highly innovative teachers and educational institutions that want to teach in a modern way, without being limited by technology or having to manage ma"&amp;"ny different tools.")</f>
        <v/>
      </c>
      <c r="W1490" s="1" t="n"/>
      <c r="X1490" s="1" t="n"/>
      <c r="Y1490" s="15">
        <f>IFERROR(__xludf.DUMMYFUNCTION("""COMPUTED_VALUE"""),"https://drive.google.com/uc?export=view&amp;id=1uvFzUGUxKkvHALoAF2gsmtT3oj5RS0je")</f>
        <v/>
      </c>
      <c r="Z1490" s="1">
        <f>IFERROR(__xludf.DUMMYFUNCTION("""COMPUTED_VALUE"""),"Unverified")</f>
        <v/>
      </c>
      <c r="AA1490" s="1" t="n"/>
      <c r="AB1490" s="1" t="n"/>
      <c r="AC1490" s="1" t="n"/>
      <c r="AD1490" s="1" t="n"/>
      <c r="AE1490" s="1" t="n"/>
    </row>
    <row r="1491" ht="42" customHeight="1">
      <c r="A1491" s="14">
        <f>IFERROR(__xludf.DUMMYFUNCTION("""COMPUTED_VALUE"""),45181)</f>
        <v/>
      </c>
      <c r="B1491" s="1">
        <f>IFERROR(__xludf.DUMMYFUNCTION("""COMPUTED_VALUE"""),"ORG_1781")</f>
        <v/>
      </c>
      <c r="C1491" s="1">
        <f>IFERROR(__xludf.DUMMYFUNCTION("""COMPUTED_VALUE"""),TRUE)</f>
        <v/>
      </c>
      <c r="D1491" s="1">
        <f>IFERROR(__xludf.DUMMYFUNCTION("""COMPUTED_VALUE"""),"Kjuicer")</f>
        <v/>
      </c>
      <c r="E1491" s="15">
        <f>IFERROR(__xludf.DUMMYFUNCTION("""COMPUTED_VALUE"""),"https://kjuicer.com")</f>
        <v/>
      </c>
      <c r="F1491" s="1">
        <f>IFERROR(__xludf.DUMMYFUNCTION("""COMPUTED_VALUE"""),"Doubling learning speed and creating texts that can be read and explored up to 10 time faster.")</f>
        <v/>
      </c>
      <c r="G1491" s="1">
        <f>IFERROR(__xludf.DUMMYFUNCTION("""COMPUTED_VALUE"""),"EdTech Italia")</f>
        <v/>
      </c>
      <c r="H1491" s="1" t="n"/>
      <c r="I1491" s="1">
        <f>IFERROR(__xludf.DUMMYFUNCTION("""COMPUTED_VALUE"""),"about@kjuicer.com")</f>
        <v/>
      </c>
      <c r="J1491" s="1">
        <f>IFERROR(__xludf.DUMMYFUNCTION("""COMPUTED_VALUE"""),"+39 02 8716 9736")</f>
        <v/>
      </c>
      <c r="K1491" s="1">
        <f>IFERROR(__xludf.DUMMYFUNCTION("""COMPUTED_VALUE"""),"Milan")</f>
        <v/>
      </c>
      <c r="L1491" s="1">
        <f>IFERROR(__xludf.DUMMYFUNCTION("""COMPUTED_VALUE"""),"Italy")</f>
        <v/>
      </c>
      <c r="M1491" s="1">
        <f>IFERROR(__xludf.DUMMYFUNCTION("""COMPUTED_VALUE"""),"Italy")</f>
        <v/>
      </c>
      <c r="N1491" s="1">
        <f>IFERROR(__xludf.DUMMYFUNCTION("""COMPUTED_VALUE"""),"0 to 10")</f>
        <v/>
      </c>
      <c r="O1491" s="1">
        <f>IFERROR(__xludf.DUMMYFUNCTION("""COMPUTED_VALUE"""),"Business to Business, Business to Consumer, Business to Government, Business to Schools")</f>
        <v/>
      </c>
      <c r="P1491" s="1">
        <f>IFERROR(__xludf.DUMMYFUNCTION("""COMPUTED_VALUE"""),"Secondary Education, Higher Education, Corporate Training, Lifelong learning/Adult education")</f>
        <v/>
      </c>
      <c r="Q1491" s="1">
        <f>IFERROR(__xludf.DUMMYFUNCTION("""COMPUTED_VALUE"""),"Student interfacing, Teacher interfacing, System/Administrative")</f>
        <v/>
      </c>
      <c r="R1491" s="1" t="n"/>
      <c r="S1491" s="15">
        <f>IFERROR(__xludf.DUMMYFUNCTION("""COMPUTED_VALUE"""),"https://twitter.com/KnowledgeJuicer")</f>
        <v/>
      </c>
      <c r="T1491" s="15">
        <f>IFERROR(__xludf.DUMMYFUNCTION("""COMPUTED_VALUE"""),"https://www.linkedin.com/company/10288288")</f>
        <v/>
      </c>
      <c r="U1491" s="1">
        <f>IFERROR(__xludf.DUMMYFUNCTION("""COMPUTED_VALUE"""),"Kjuicer")</f>
        <v/>
      </c>
      <c r="V1491" s="1">
        <f>IFERROR(__xludf.DUMMYFUNCTION("""COMPUTED_VALUE"""),"With Kjuicer:
- Students can learn twice as fast from their digital texts,
- Teachers and institutions can offer up to 5 times more content to their audiences.")</f>
        <v/>
      </c>
      <c r="W1491" s="1" t="n"/>
      <c r="X1491" s="1" t="n"/>
      <c r="Y1491" s="15">
        <f>IFERROR(__xludf.DUMMYFUNCTION("""COMPUTED_VALUE"""),"https://drive.google.com/uc?export=view&amp;id=1iHy94ihTeZQeW_yBVB8Z5GHtJ2mYB9wc")</f>
        <v/>
      </c>
      <c r="Z1491" s="1">
        <f>IFERROR(__xludf.DUMMYFUNCTION("""COMPUTED_VALUE"""),"Unverified")</f>
        <v/>
      </c>
      <c r="AA1491" s="1" t="n"/>
      <c r="AB1491" s="1" t="n"/>
      <c r="AC1491" s="1" t="n"/>
      <c r="AD1491" s="1" t="n"/>
      <c r="AE1491" s="1" t="n"/>
    </row>
    <row r="1492" ht="42" customHeight="1">
      <c r="A1492" s="14">
        <f>IFERROR(__xludf.DUMMYFUNCTION("""COMPUTED_VALUE"""),45181)</f>
        <v/>
      </c>
      <c r="B1492" s="1">
        <f>IFERROR(__xludf.DUMMYFUNCTION("""COMPUTED_VALUE"""),"ORG_1848")</f>
        <v/>
      </c>
      <c r="C1492" s="1">
        <f>IFERROR(__xludf.DUMMYFUNCTION("""COMPUTED_VALUE"""),TRUE)</f>
        <v/>
      </c>
      <c r="D1492" s="1">
        <f>IFERROR(__xludf.DUMMYFUNCTION("""COMPUTED_VALUE"""),"Legiland")</f>
        <v/>
      </c>
      <c r="E1492" s="15">
        <f>IFERROR(__xludf.DUMMYFUNCTION("""COMPUTED_VALUE"""),"https://legiland.club/")</f>
        <v/>
      </c>
      <c r="F1492" s="1">
        <f>IFERROR(__xludf.DUMMYFUNCTION("""COMPUTED_VALUE"""),"Legiland is a digital platform designed to encourage kids (6 to 16 years) to read and improve their reading comprehension by means of edutainment strategies. This platform offers a reward for reading books and understanding what is being read. Legiland is"&amp;" a tool available to school teachers and parents which allows them to monitor and assess students' reading comprehension.")</f>
        <v/>
      </c>
      <c r="G1492" s="1">
        <f>IFERROR(__xludf.DUMMYFUNCTION("""COMPUTED_VALUE"""),"I'm not part of any EdTech association")</f>
        <v/>
      </c>
      <c r="H1492" s="1" t="n"/>
      <c r="I1492" s="1">
        <f>IFERROR(__xludf.DUMMYFUNCTION("""COMPUTED_VALUE"""),"info@legiland.club")</f>
        <v/>
      </c>
      <c r="J1492" s="1" t="n"/>
      <c r="K1492" s="1">
        <f>IFERROR(__xludf.DUMMYFUNCTION("""COMPUTED_VALUE"""),"BARCELONA")</f>
        <v/>
      </c>
      <c r="L1492" s="1">
        <f>IFERROR(__xludf.DUMMYFUNCTION("""COMPUTED_VALUE"""),"Spain")</f>
        <v/>
      </c>
      <c r="M1492" s="1">
        <f>IFERROR(__xludf.DUMMYFUNCTION("""COMPUTED_VALUE"""),"Spain")</f>
        <v/>
      </c>
      <c r="N1492" s="1">
        <f>IFERROR(__xludf.DUMMYFUNCTION("""COMPUTED_VALUE"""),"0 to 10")</f>
        <v/>
      </c>
      <c r="O1492" s="1">
        <f>IFERROR(__xludf.DUMMYFUNCTION("""COMPUTED_VALUE"""),"Business to Business, Business to Consumer, Business to Government, Business to Schools")</f>
        <v/>
      </c>
      <c r="P1492" s="1">
        <f>IFERROR(__xludf.DUMMYFUNCTION("""COMPUTED_VALUE"""),"Primary Education, Secondary Education")</f>
        <v/>
      </c>
      <c r="Q1492" s="1">
        <f>IFERROR(__xludf.DUMMYFUNCTION("""COMPUTED_VALUE"""),"System/Administrative, Student interfacing, Teacher interfacing")</f>
        <v/>
      </c>
      <c r="R1492" s="1" t="n"/>
      <c r="S1492" s="1" t="n"/>
      <c r="T1492" s="1" t="n"/>
      <c r="U1492" s="1" t="n"/>
      <c r="V1492" s="1" t="n"/>
      <c r="W1492" s="1" t="n"/>
      <c r="X1492" s="1" t="n"/>
      <c r="Y1492" s="15">
        <f>IFERROR(__xludf.DUMMYFUNCTION("""COMPUTED_VALUE"""),"https://drive.google.com/uc?export=view&amp;id=1P4-lWlL6mBUUR0-d195aIhMLWHju0Fz1")</f>
        <v/>
      </c>
      <c r="Z1492" s="1">
        <f>IFERROR(__xludf.DUMMYFUNCTION("""COMPUTED_VALUE"""),"Unverified")</f>
        <v/>
      </c>
      <c r="AA1492" s="1" t="n"/>
      <c r="AB1492" s="1" t="n"/>
      <c r="AC1492" s="1" t="n"/>
      <c r="AD1492" s="1" t="n"/>
      <c r="AE1492" s="1" t="n"/>
    </row>
    <row r="1493" ht="42" customHeight="1">
      <c r="A1493" s="14">
        <f>IFERROR(__xludf.DUMMYFUNCTION("""COMPUTED_VALUE"""),45181)</f>
        <v/>
      </c>
      <c r="B1493" s="1">
        <f>IFERROR(__xludf.DUMMYFUNCTION("""COMPUTED_VALUE"""),"ORG_1909")</f>
        <v/>
      </c>
      <c r="C1493" s="1">
        <f>IFERROR(__xludf.DUMMYFUNCTION("""COMPUTED_VALUE"""),TRUE)</f>
        <v/>
      </c>
      <c r="D1493" s="1">
        <f>IFERROR(__xludf.DUMMYFUNCTION("""COMPUTED_VALUE"""),"Maker Camp")</f>
        <v/>
      </c>
      <c r="E1493" s="15">
        <f>IFERROR(__xludf.DUMMYFUNCTION("""COMPUTED_VALUE"""),"https://www.makercamp.it")</f>
        <v/>
      </c>
      <c r="F1493" s="1">
        <f>IFERROR(__xludf.DUMMYFUNCTION("""COMPUTED_VALUE"""),"The company Maker Camp is strongly specialized in the enhancement of the skills of the XXI century - ability to solve complex problems, critical thinking, creativity, collaboration with others - through the use of new technologies and in particular of edu"&amp;"cational video games, integrating everything with the ""analog"" tradition.
It is the promoter of national and international contests for cultural and institutional places with which it involves the school population and the educating community with a vi"&amp;"ew to participation from the grass roots to the cultural contents themselves and, also through elements of gamification, promotes the territory of interest.")</f>
        <v/>
      </c>
      <c r="G1493" s="1">
        <f>IFERROR(__xludf.DUMMYFUNCTION("""COMPUTED_VALUE"""),"I'm not part of any EdTech association")</f>
        <v/>
      </c>
      <c r="H1493" s="1" t="n"/>
      <c r="I1493" s="1">
        <f>IFERROR(__xludf.DUMMYFUNCTION("""COMPUTED_VALUE"""),"makercamp@makercamp.it")</f>
        <v/>
      </c>
      <c r="J1493" s="1" t="n"/>
      <c r="K1493" s="1">
        <f>IFERROR(__xludf.DUMMYFUNCTION("""COMPUTED_VALUE"""),"APRILIA")</f>
        <v/>
      </c>
      <c r="L1493" s="1">
        <f>IFERROR(__xludf.DUMMYFUNCTION("""COMPUTED_VALUE"""),"Italy")</f>
        <v/>
      </c>
      <c r="M1493" s="1">
        <f>IFERROR(__xludf.DUMMYFUNCTION("""COMPUTED_VALUE"""),"Italy")</f>
        <v/>
      </c>
      <c r="N1493" s="1">
        <f>IFERROR(__xludf.DUMMYFUNCTION("""COMPUTED_VALUE"""),"0 to 10")</f>
        <v/>
      </c>
      <c r="O1493" s="1">
        <f>IFERROR(__xludf.DUMMYFUNCTION("""COMPUTED_VALUE"""),"Business to Business, Business to Consumer, Business to Schools")</f>
        <v/>
      </c>
      <c r="P1493" s="1">
        <f>IFERROR(__xludf.DUMMYFUNCTION("""COMPUTED_VALUE"""),"Primary Education, Secondary Education, Higher Education, Corporate Training, Lifelong learning/Adult education")</f>
        <v/>
      </c>
      <c r="Q1493" s="1">
        <f>IFERROR(__xludf.DUMMYFUNCTION("""COMPUTED_VALUE"""),"System/Administrative, Student interfacing, Teacher interfacing")</f>
        <v/>
      </c>
      <c r="R1493" s="1" t="n"/>
      <c r="S1493" s="1" t="n"/>
      <c r="T1493" s="1" t="n"/>
      <c r="U1493" s="1" t="n"/>
      <c r="V1493" s="1" t="n"/>
      <c r="W1493" s="1" t="n"/>
      <c r="X1493" s="1" t="n"/>
      <c r="Y1493" s="15">
        <f>IFERROR(__xludf.DUMMYFUNCTION("""COMPUTED_VALUE"""),"https://drive.google.com/uc?export=view&amp;id=1L1-YzOVHTOMSWyQWcZ0daqekwbk2-aQG")</f>
        <v/>
      </c>
      <c r="Z1493" s="1">
        <f>IFERROR(__xludf.DUMMYFUNCTION("""COMPUTED_VALUE"""),"Unverified")</f>
        <v/>
      </c>
      <c r="AA1493" s="1" t="n"/>
      <c r="AB1493" s="1" t="n"/>
      <c r="AC1493" s="1" t="n"/>
      <c r="AD1493" s="1" t="n"/>
      <c r="AE1493" s="1" t="n"/>
    </row>
    <row r="1494" ht="42" customHeight="1">
      <c r="A1494" s="14">
        <f>IFERROR(__xludf.DUMMYFUNCTION("""COMPUTED_VALUE"""),45181)</f>
        <v/>
      </c>
      <c r="B1494" s="1">
        <f>IFERROR(__xludf.DUMMYFUNCTION("""COMPUTED_VALUE"""),"ORG_1961")</f>
        <v/>
      </c>
      <c r="C1494" s="1">
        <f>IFERROR(__xludf.DUMMYFUNCTION("""COMPUTED_VALUE"""),TRUE)</f>
        <v/>
      </c>
      <c r="D1494" s="1">
        <f>IFERROR(__xludf.DUMMYFUNCTION("""COMPUTED_VALUE"""),"Micole")</f>
        <v/>
      </c>
      <c r="E1494" s="15">
        <f>IFERROR(__xludf.DUMMYFUNCTION("""COMPUTED_VALUE"""),"https://www.micole.net/")</f>
        <v/>
      </c>
      <c r="F1494" s="1">
        <f>IFERROR(__xludf.DUMMYFUNCTION("""COMPUTED_VALUE"""),"We build the global one stop-shop for families and schools")</f>
        <v/>
      </c>
      <c r="G1494" s="1">
        <f>IFERROR(__xludf.DUMMYFUNCTION("""COMPUTED_VALUE"""),"SEK Lab")</f>
        <v/>
      </c>
      <c r="H1494" s="1" t="n"/>
      <c r="I1494" s="1">
        <f>IFERROR(__xludf.DUMMYFUNCTION("""COMPUTED_VALUE"""),"info@micole.net")</f>
        <v/>
      </c>
      <c r="J1494" s="1">
        <f>IFERROR(__xludf.DUMMYFUNCTION("""COMPUTED_VALUE"""),"+ 34 686090966")</f>
        <v/>
      </c>
      <c r="K1494" s="1">
        <f>IFERROR(__xludf.DUMMYFUNCTION("""COMPUTED_VALUE"""),"MADRID")</f>
        <v/>
      </c>
      <c r="L1494" s="1">
        <f>IFERROR(__xludf.DUMMYFUNCTION("""COMPUTED_VALUE"""),"Spain")</f>
        <v/>
      </c>
      <c r="M1494" s="1">
        <f>IFERROR(__xludf.DUMMYFUNCTION("""COMPUTED_VALUE"""),"Spain")</f>
        <v/>
      </c>
      <c r="N1494" s="1">
        <f>IFERROR(__xludf.DUMMYFUNCTION("""COMPUTED_VALUE"""),"0 to 10")</f>
        <v/>
      </c>
      <c r="O1494" s="1">
        <f>IFERROR(__xludf.DUMMYFUNCTION("""COMPUTED_VALUE"""),"Business to Business, Business to Consumer, Business to Schools")</f>
        <v/>
      </c>
      <c r="P1494" s="1">
        <f>IFERROR(__xludf.DUMMYFUNCTION("""COMPUTED_VALUE"""),"Early childhood development (0-5 years), Primary Education, Secondary Education, Higher Education")</f>
        <v/>
      </c>
      <c r="Q1494" s="1">
        <f>IFERROR(__xludf.DUMMYFUNCTION("""COMPUTED_VALUE"""),"System/Administrative, Student interfacing")</f>
        <v/>
      </c>
      <c r="R1494" s="15">
        <f>IFERROR(__xludf.DUMMYFUNCTION("""COMPUTED_VALUE"""),"https://www.instagram.com/micoleoficial/")</f>
        <v/>
      </c>
      <c r="S1494" s="1" t="n"/>
      <c r="T1494" s="15">
        <f>IFERROR(__xludf.DUMMYFUNCTION("""COMPUTED_VALUE"""),"https://www.linkedin.com/company/micole")</f>
        <v/>
      </c>
      <c r="U1494" s="1">
        <f>IFERROR(__xludf.DUMMYFUNCTION("""COMPUTED_VALUE"""),"Micole: school search platform")</f>
        <v/>
      </c>
      <c r="V1494" s="1">
        <f>IFERROR(__xludf.DUMMYFUNCTION("""COMPUTED_VALUE"""),"Families use our platform to find the best school for their children from the 30K+ public and private schools in Spain (yet). 
Schools use our platform to showcase themselves and to meet their future students.")</f>
        <v/>
      </c>
      <c r="W1494" s="1" t="n"/>
      <c r="X1494" s="1" t="n"/>
      <c r="Y1494" s="15">
        <f>IFERROR(__xludf.DUMMYFUNCTION("""COMPUTED_VALUE"""),"https://drive.google.com/uc?export=view&amp;id=1S5IOCUyYAgAYRQabwWLvULfLjDIZRfRm")</f>
        <v/>
      </c>
      <c r="Z1494" s="1">
        <f>IFERROR(__xludf.DUMMYFUNCTION("""COMPUTED_VALUE"""),"Unverified")</f>
        <v/>
      </c>
      <c r="AA1494" s="1" t="n"/>
      <c r="AB1494" s="1" t="n"/>
      <c r="AC1494" s="1" t="n"/>
      <c r="AD1494" s="1" t="n"/>
      <c r="AE1494" s="1" t="n"/>
    </row>
    <row r="1495" ht="42" customHeight="1">
      <c r="A1495" s="14">
        <f>IFERROR(__xludf.DUMMYFUNCTION("""COMPUTED_VALUE"""),45181)</f>
        <v/>
      </c>
      <c r="B1495" s="1">
        <f>IFERROR(__xludf.DUMMYFUNCTION("""COMPUTED_VALUE"""),"ORG_1964")</f>
        <v/>
      </c>
      <c r="C1495" s="1">
        <f>IFERROR(__xludf.DUMMYFUNCTION("""COMPUTED_VALUE"""),TRUE)</f>
        <v/>
      </c>
      <c r="D1495" s="1">
        <f>IFERROR(__xludf.DUMMYFUNCTION("""COMPUTED_VALUE"""),"MIL Educación")</f>
        <v/>
      </c>
      <c r="E1495" s="15">
        <f>IFERROR(__xludf.DUMMYFUNCTION("""COMPUTED_VALUE"""),"www.mil-edu.es")</f>
        <v/>
      </c>
      <c r="F1495" s="1">
        <f>IFERROR(__xludf.DUMMYFUNCTION("""COMPUTED_VALUE"""),"Especialists in media literacy. We provide training (courses and workshops) on fake news, advertising and audiovisual to childs and teenagers to strengthen their critical thinking.")</f>
        <v/>
      </c>
      <c r="G1495" s="1">
        <f>IFERROR(__xludf.DUMMYFUNCTION("""COMPUTED_VALUE"""),"I'm not part of any EdTech association")</f>
        <v/>
      </c>
      <c r="H1495" s="1" t="n"/>
      <c r="I1495" s="1">
        <f>IFERROR(__xludf.DUMMYFUNCTION("""COMPUTED_VALUE"""),"hola@mil-edu.es")</f>
        <v/>
      </c>
      <c r="J1495" s="1">
        <f>IFERROR(__xludf.DUMMYFUNCTION("""COMPUTED_VALUE"""),"+ 34 649 43 83 83")</f>
        <v/>
      </c>
      <c r="K1495" s="1">
        <f>IFERROR(__xludf.DUMMYFUNCTION("""COMPUTED_VALUE"""),"MADRID")</f>
        <v/>
      </c>
      <c r="L1495" s="1">
        <f>IFERROR(__xludf.DUMMYFUNCTION("""COMPUTED_VALUE"""),"Spain")</f>
        <v/>
      </c>
      <c r="M1495" s="1">
        <f>IFERROR(__xludf.DUMMYFUNCTION("""COMPUTED_VALUE"""),"Spain")</f>
        <v/>
      </c>
      <c r="N1495" s="1">
        <f>IFERROR(__xludf.DUMMYFUNCTION("""COMPUTED_VALUE"""),"0 to 10")</f>
        <v/>
      </c>
      <c r="O1495" s="1">
        <f>IFERROR(__xludf.DUMMYFUNCTION("""COMPUTED_VALUE"""),"Business to Business, Business to Consumer, Business to Schools")</f>
        <v/>
      </c>
      <c r="P1495" s="1">
        <f>IFERROR(__xludf.DUMMYFUNCTION("""COMPUTED_VALUE"""),"Primary Education, Secondary Education, Corporate Training, Lifelong learning/Adult education")</f>
        <v/>
      </c>
      <c r="Q1495" s="1">
        <f>IFERROR(__xludf.DUMMYFUNCTION("""COMPUTED_VALUE"""),"Student interfacing, Teacher interfacing, System/Administrative")</f>
        <v/>
      </c>
      <c r="R1495" s="1" t="n"/>
      <c r="S1495" s="1" t="n"/>
      <c r="T1495" s="1" t="n"/>
      <c r="U1495" s="1" t="n"/>
      <c r="V1495" s="1" t="n"/>
      <c r="W1495" s="1" t="n"/>
      <c r="X1495" s="1" t="n"/>
      <c r="Y1495" s="15">
        <f>IFERROR(__xludf.DUMMYFUNCTION("""COMPUTED_VALUE"""),"https://drive.google.com/uc?export=view&amp;id=1Fi5KfX9sXAA7Q_TP84huK4UyOh3uu11K")</f>
        <v/>
      </c>
      <c r="Z1495" s="1">
        <f>IFERROR(__xludf.DUMMYFUNCTION("""COMPUTED_VALUE"""),"Unverified")</f>
        <v/>
      </c>
      <c r="AA1495" s="1" t="n"/>
      <c r="AB1495" s="1" t="n"/>
      <c r="AC1495" s="1" t="n"/>
      <c r="AD1495" s="1" t="n"/>
      <c r="AE1495" s="1" t="n"/>
    </row>
    <row r="1496" ht="42" customHeight="1">
      <c r="A1496" s="14">
        <f>IFERROR(__xludf.DUMMYFUNCTION("""COMPUTED_VALUE"""),45181)</f>
        <v/>
      </c>
      <c r="B1496" s="1">
        <f>IFERROR(__xludf.DUMMYFUNCTION("""COMPUTED_VALUE"""),"ORG_2124")</f>
        <v/>
      </c>
      <c r="C1496" s="1">
        <f>IFERROR(__xludf.DUMMYFUNCTION("""COMPUTED_VALUE"""),TRUE)</f>
        <v/>
      </c>
      <c r="D1496" s="1">
        <f>IFERROR(__xludf.DUMMYFUNCTION("""COMPUTED_VALUE"""),"Professor Film")</f>
        <v/>
      </c>
      <c r="E1496" s="15">
        <f>IFERROR(__xludf.DUMMYFUNCTION("""COMPUTED_VALUE"""),"www.professorfilm.eu")</f>
        <v/>
      </c>
      <c r="F1496" s="1">
        <f>IFERROR(__xludf.DUMMYFUNCTION("""COMPUTED_VALUE"""),"Professor film is a production company that specializes in educational video content. 
​
Thanks to our experience in the audiovisual field and our pedagogical knowledge,
we are able to solve the audiovisual, educational and communicative needs of our clie"&amp;"nts while conforming to the current needs of consumers in the digital era.")</f>
        <v/>
      </c>
      <c r="G1496" s="1">
        <f>IFERROR(__xludf.DUMMYFUNCTION("""COMPUTED_VALUE"""),"I'm not part of any EdTech association")</f>
        <v/>
      </c>
      <c r="H1496" s="1" t="n"/>
      <c r="I1496" s="1">
        <f>IFERROR(__xludf.DUMMYFUNCTION("""COMPUTED_VALUE"""),"hello@professorfilm.eu")</f>
        <v/>
      </c>
      <c r="J1496" s="1" t="n"/>
      <c r="K1496" s="1">
        <f>IFERROR(__xludf.DUMMYFUNCTION("""COMPUTED_VALUE"""),"BARCELONA")</f>
        <v/>
      </c>
      <c r="L1496" s="1">
        <f>IFERROR(__xludf.DUMMYFUNCTION("""COMPUTED_VALUE"""),"Spain")</f>
        <v/>
      </c>
      <c r="M1496" s="1">
        <f>IFERROR(__xludf.DUMMYFUNCTION("""COMPUTED_VALUE"""),"Austria, Germany, Netherlands, Spain, United Kingdom")</f>
        <v/>
      </c>
      <c r="N1496" s="1">
        <f>IFERROR(__xludf.DUMMYFUNCTION("""COMPUTED_VALUE"""),"0 to 10")</f>
        <v/>
      </c>
      <c r="O1496" s="1">
        <f>IFERROR(__xludf.DUMMYFUNCTION("""COMPUTED_VALUE"""),"Business to Business, Business to Government")</f>
        <v/>
      </c>
      <c r="P1496" s="1">
        <f>IFERROR(__xludf.DUMMYFUNCTION("""COMPUTED_VALUE"""),"Primary Education, Secondary Education, Higher Education, Corporate Training")</f>
        <v/>
      </c>
      <c r="Q1496" s="1">
        <f>IFERROR(__xludf.DUMMYFUNCTION("""COMPUTED_VALUE"""),"System/Administrative")</f>
        <v/>
      </c>
      <c r="R1496" s="1" t="n"/>
      <c r="S1496" s="1" t="n"/>
      <c r="T1496" s="1" t="n"/>
      <c r="U1496" s="1" t="n"/>
      <c r="V1496" s="1" t="n"/>
      <c r="W1496" s="1" t="n"/>
      <c r="X1496" s="1" t="n"/>
      <c r="Y1496" s="15">
        <f>IFERROR(__xludf.DUMMYFUNCTION("""COMPUTED_VALUE"""),"https://drive.google.com/uc?export=view&amp;id=1wFMPtDowA1IpyMcLckUsHMETf_DOCQ8B")</f>
        <v/>
      </c>
      <c r="Z1496" s="1">
        <f>IFERROR(__xludf.DUMMYFUNCTION("""COMPUTED_VALUE"""),"Unverified")</f>
        <v/>
      </c>
      <c r="AA1496" s="1" t="n"/>
      <c r="AB1496" s="1" t="n"/>
      <c r="AC1496" s="1" t="n"/>
      <c r="AD1496" s="1" t="n"/>
      <c r="AE1496" s="1" t="n"/>
    </row>
    <row r="1497" ht="42" customHeight="1">
      <c r="A1497" s="14">
        <f>IFERROR(__xludf.DUMMYFUNCTION("""COMPUTED_VALUE"""),45181)</f>
        <v/>
      </c>
      <c r="B1497" s="1">
        <f>IFERROR(__xludf.DUMMYFUNCTION("""COMPUTED_VALUE"""),"ORG_2226")</f>
        <v/>
      </c>
      <c r="C1497" s="1">
        <f>IFERROR(__xludf.DUMMYFUNCTION("""COMPUTED_VALUE"""),TRUE)</f>
        <v/>
      </c>
      <c r="D1497" s="1">
        <f>IFERROR(__xludf.DUMMYFUNCTION("""COMPUTED_VALUE"""),"Seidor Edication Business Unit")</f>
        <v/>
      </c>
      <c r="E1497" s="15">
        <f>IFERROR(__xludf.DUMMYFUNCTION("""COMPUTED_VALUE"""),"https://www.seidor.com/es-es/industrias/educacion")</f>
        <v/>
      </c>
      <c r="F1497" s="1">
        <f>IFERROR(__xludf.DUMMYFUNCTION("""COMPUTED_VALUE"""),"Seidor is a technology consultancy that offers a comprehensive portfolio of innovation solutions and services, customer experience, ERP, analytics, employee experience, cloud, workplace and cybersecurity. With a turnover of 468 million euros in the 2020 f"&amp;"inancial year and a workforce made up of more than 6,000 highly qualified professionals, Seidor has a direct presence in 39 countries in Europe, Latin America, the United States, the Middle East, Africa and Asia, providing services to more than 8,000 cust"&amp;"omers. The consultancy is a partner of the main technological leaders; among which SAP, Microsoft, IBM and Adobe stand out.
Since 2015, Seidor strategically decided to build a specific value proposition for the education sector and, furthermore, in a glob"&amp;"al way and not only in Spain. Today, the practice of Education is present in Spain, Italy, Peru, Ecuador, Colombia and Chile, with a global proposal that ranges from the implementation of academic and teaching management solutions, to solutions that impro"&amp;"ve teaching and learning processes. .")</f>
        <v/>
      </c>
      <c r="G1497" s="1">
        <f>IFERROR(__xludf.DUMMYFUNCTION("""COMPUTED_VALUE"""),"EduTech Cluster Spain")</f>
        <v/>
      </c>
      <c r="H1497" s="1" t="n"/>
      <c r="I1497" s="1">
        <f>IFERROR(__xludf.DUMMYFUNCTION("""COMPUTED_VALUE"""),"bborrell@seidor.com")</f>
        <v/>
      </c>
      <c r="J1497" s="1" t="n"/>
      <c r="K1497" s="1">
        <f>IFERROR(__xludf.DUMMYFUNCTION("""COMPUTED_VALUE"""),"BARCELONA")</f>
        <v/>
      </c>
      <c r="L1497" s="1">
        <f>IFERROR(__xludf.DUMMYFUNCTION("""COMPUTED_VALUE"""),"Spain")</f>
        <v/>
      </c>
      <c r="M1497" s="1">
        <f>IFERROR(__xludf.DUMMYFUNCTION("""COMPUTED_VALUE"""),"Andorra, Italy, Portugal, Spain")</f>
        <v/>
      </c>
      <c r="N1497" s="1">
        <f>IFERROR(__xludf.DUMMYFUNCTION("""COMPUTED_VALUE"""),"500+")</f>
        <v/>
      </c>
      <c r="O1497" s="1">
        <f>IFERROR(__xludf.DUMMYFUNCTION("""COMPUTED_VALUE"""),"Business to Business, Business to Government, Business to Schools")</f>
        <v/>
      </c>
      <c r="P1497" s="1">
        <f>IFERROR(__xludf.DUMMYFUNCTION("""COMPUTED_VALUE"""),"Higher Education, Corporate Training")</f>
        <v/>
      </c>
      <c r="Q1497" s="1">
        <f>IFERROR(__xludf.DUMMYFUNCTION("""COMPUTED_VALUE"""),"Teacher interfacing, Student interfacing, System/Administrative")</f>
        <v/>
      </c>
      <c r="R1497" s="1" t="n"/>
      <c r="S1497" s="1">
        <f>IFERROR(__xludf.DUMMYFUNCTION("""COMPUTED_VALUE"""),"@Seidor")</f>
        <v/>
      </c>
      <c r="T1497" s="15">
        <f>IFERROR(__xludf.DUMMYFUNCTION("""COMPUTED_VALUE"""),"https://www.linkedin.com/company/seidor/mycompany/verification/")</f>
        <v/>
      </c>
      <c r="U1497" s="1">
        <f>IFERROR(__xludf.DUMMYFUNCTION("""COMPUTED_VALUE"""),"LMS experts")</f>
        <v/>
      </c>
      <c r="V1497" s="1">
        <f>IFERROR(__xludf.DUMMYFUNCTION("""COMPUTED_VALUE"""),"We are Blackboard Partner, OpenLMS partner and moodle experts. We also as SAP Partner, are experts on implementing SAP Lirmos as LMS")</f>
        <v/>
      </c>
      <c r="W1497" s="1">
        <f>IFERROR(__xludf.DUMMYFUNCTION("""COMPUTED_VALUE"""),"Student Lyfe Cycle Management")</f>
        <v/>
      </c>
      <c r="X1497" s="1">
        <f>IFERROR(__xludf.DUMMYFUNCTION("""COMPUTED_VALUE"""),"As a big background and knowledge about student lyfe cycle Management processes, we are capable of building systems from Scrath as well as Implementing different kind of Solutions for different kind of customers. As Blackboard Partners, we have the possib"&amp;"ilty to implement Anthology solutions as one of the market leaders and also available to implement The Classlie Education solution as one of the edtech with most future.")</f>
        <v/>
      </c>
      <c r="Y1497" s="15">
        <f>IFERROR(__xludf.DUMMYFUNCTION("""COMPUTED_VALUE"""),"https://drive.google.com/uc?export=view&amp;id=1VzIVXhrczyEw2JMDGU-8KmMuWHDD9NGx")</f>
        <v/>
      </c>
      <c r="Z1497" s="1">
        <f>IFERROR(__xludf.DUMMYFUNCTION("""COMPUTED_VALUE"""),"Unverified")</f>
        <v/>
      </c>
      <c r="AA1497" s="1" t="n"/>
      <c r="AB1497" s="1" t="n"/>
      <c r="AC1497" s="1" t="n"/>
      <c r="AD1497" s="1" t="n"/>
      <c r="AE1497" s="1" t="n"/>
    </row>
    <row r="1498" ht="42" customHeight="1">
      <c r="A1498" s="14">
        <f>IFERROR(__xludf.DUMMYFUNCTION("""COMPUTED_VALUE"""),45181)</f>
        <v/>
      </c>
      <c r="B1498" s="1">
        <f>IFERROR(__xludf.DUMMYFUNCTION("""COMPUTED_VALUE"""),"ORG_2331")</f>
        <v/>
      </c>
      <c r="C1498" s="1">
        <f>IFERROR(__xludf.DUMMYFUNCTION("""COMPUTED_VALUE"""),TRUE)</f>
        <v/>
      </c>
      <c r="D1498" s="1">
        <f>IFERROR(__xludf.DUMMYFUNCTION("""COMPUTED_VALUE"""),"Student Success")</f>
        <v/>
      </c>
      <c r="E1498" s="1">
        <f>IFERROR(__xludf.DUMMYFUNCTION("""COMPUTED_VALUE"""),"studentsuccess.app")</f>
        <v/>
      </c>
      <c r="F1498" s="1">
        <f>IFERROR(__xludf.DUMMYFUNCTION("""COMPUTED_VALUE"""),"Business Intelligence and prediction to help personalise education")</f>
        <v/>
      </c>
      <c r="G1498" s="1">
        <f>IFERROR(__xludf.DUMMYFUNCTION("""COMPUTED_VALUE"""),"I'm not part of any EdTech association")</f>
        <v/>
      </c>
      <c r="H1498" s="1" t="n"/>
      <c r="I1498" s="1">
        <f>IFERROR(__xludf.DUMMYFUNCTION("""COMPUTED_VALUE"""),"info@studentsuccess.app")</f>
        <v/>
      </c>
      <c r="J1498" s="1" t="n"/>
      <c r="K1498" s="1">
        <f>IFERROR(__xludf.DUMMYFUNCTION("""COMPUTED_VALUE"""),"SEVILLA")</f>
        <v/>
      </c>
      <c r="L1498" s="1">
        <f>IFERROR(__xludf.DUMMYFUNCTION("""COMPUTED_VALUE"""),"Spain")</f>
        <v/>
      </c>
      <c r="M1498" s="1">
        <f>IFERROR(__xludf.DUMMYFUNCTION("""COMPUTED_VALUE"""),"Bulgaria, Finland, Ireland, Poland, Spain, Sweden, United Kingdom")</f>
        <v/>
      </c>
      <c r="N1498" s="1">
        <f>IFERROR(__xludf.DUMMYFUNCTION("""COMPUTED_VALUE"""),"0 to 10")</f>
        <v/>
      </c>
      <c r="O1498" s="1">
        <f>IFERROR(__xludf.DUMMYFUNCTION("""COMPUTED_VALUE"""),"Business to Business, Business to Government, Business to Schools")</f>
        <v/>
      </c>
      <c r="P1498" s="1">
        <f>IFERROR(__xludf.DUMMYFUNCTION("""COMPUTED_VALUE"""),"Primary Education, Secondary Education, Higher Education, Corporate Training")</f>
        <v/>
      </c>
      <c r="Q1498" s="1">
        <f>IFERROR(__xludf.DUMMYFUNCTION("""COMPUTED_VALUE"""),"System/Administrative, Student interfacing, Teacher interfacing")</f>
        <v/>
      </c>
      <c r="R1498" s="1" t="n"/>
      <c r="S1498" s="1">
        <f>IFERROR(__xludf.DUMMYFUNCTION("""COMPUTED_VALUE"""),"@SSuccess_Data")</f>
        <v/>
      </c>
      <c r="T1498" s="15">
        <f>IFERROR(__xludf.DUMMYFUNCTION("""COMPUTED_VALUE"""),"https://www.linkedin.com/company/studentsuccessapp/")</f>
        <v/>
      </c>
      <c r="U1498" s="1">
        <f>IFERROR(__xludf.DUMMYFUNCTION("""COMPUTED_VALUE"""),"Student Success")</f>
        <v/>
      </c>
      <c r="V1498" s="1">
        <f>IFERROR(__xludf.DUMMYFUNCTION("""COMPUTED_VALUE"""),"Student Success is a SaaS providing Business Intelligence and prediction using behavioural data generated in the digital platforms. We provide managers, teachers, parents and students with the necessary evidence to make informed decisions.")</f>
        <v/>
      </c>
      <c r="W1498" s="1" t="n"/>
      <c r="X1498" s="1" t="n"/>
      <c r="Y1498" s="15">
        <f>IFERROR(__xludf.DUMMYFUNCTION("""COMPUTED_VALUE"""),"https://drive.google.com/uc?export=view&amp;id=1kSqDPn_fn-Q9DU2lGr6A4wu0WCCYGtZc")</f>
        <v/>
      </c>
      <c r="Z1498" s="1">
        <f>IFERROR(__xludf.DUMMYFUNCTION("""COMPUTED_VALUE"""),"Unverified")</f>
        <v/>
      </c>
      <c r="AA1498" s="1" t="n"/>
      <c r="AB1498" s="1" t="n"/>
      <c r="AC1498" s="1" t="n"/>
      <c r="AD1498" s="1" t="n"/>
      <c r="AE1498" s="1" t="n"/>
    </row>
    <row r="1499" ht="42" customHeight="1">
      <c r="A1499" s="14">
        <f>IFERROR(__xludf.DUMMYFUNCTION("""COMPUTED_VALUE"""),45181)</f>
        <v/>
      </c>
      <c r="B1499" s="1">
        <f>IFERROR(__xludf.DUMMYFUNCTION("""COMPUTED_VALUE"""),"ORG_2362")</f>
        <v/>
      </c>
      <c r="C1499" s="1">
        <f>IFERROR(__xludf.DUMMYFUNCTION("""COMPUTED_VALUE"""),TRUE)</f>
        <v/>
      </c>
      <c r="D1499" s="1">
        <f>IFERROR(__xludf.DUMMYFUNCTION("""COMPUTED_VALUE"""),"Systematic")</f>
        <v/>
      </c>
      <c r="E1499" s="15">
        <f>IFERROR(__xludf.DUMMYFUNCTION("""COMPUTED_VALUE"""),"systematic.com/sverige")</f>
        <v/>
      </c>
      <c r="F1499" s="1">
        <f>IFERROR(__xludf.DUMMYFUNCTION("""COMPUTED_VALUE"""),"Systematic is Denmark's largest privately owned software company. Our solutions are used in areas such as the defence industry, the police, the emergency services, public administration as well as the health, utility and educational sectors.
Technologica"&amp;"l development never stands still - nor do we at Systematic. We provide advanced solutions in six core business areas: Library &amp; Learning, Digitalisation, Healthcare, Defence, Intelligence &amp; National Security and Renewables &amp; Utilities.
Even though our cu"&amp;"stomers are widely represented within many different areas, what we do is actually very specific. We see it as our task to make the complex simple, to further develop the solutions that our customers already know and trust, and to do everything just a lit"&amp;"tle bit better – while constantly challenging existing workflows and technologies.")</f>
        <v/>
      </c>
      <c r="G1499" s="1">
        <f>IFERROR(__xludf.DUMMYFUNCTION("""COMPUTED_VALUE"""),"I'm not part of any EdTech association")</f>
        <v/>
      </c>
      <c r="H1499" s="1" t="n"/>
      <c r="I1499" s="1">
        <f>IFERROR(__xludf.DUMMYFUNCTION("""COMPUTED_VALUE"""),"pernilla.wikman@systematic.com")</f>
        <v/>
      </c>
      <c r="J1499" s="1">
        <f>IFERROR(__xludf.DUMMYFUNCTION("""COMPUTED_VALUE"""),"+46 702166577")</f>
        <v/>
      </c>
      <c r="K1499" s="1">
        <f>IFERROR(__xludf.DUMMYFUNCTION("""COMPUTED_VALUE"""),"AARHUS")</f>
        <v/>
      </c>
      <c r="L1499" s="1">
        <f>IFERROR(__xludf.DUMMYFUNCTION("""COMPUTED_VALUE"""),"Denmark")</f>
        <v/>
      </c>
      <c r="M1499" s="1">
        <f>IFERROR(__xludf.DUMMYFUNCTION("""COMPUTED_VALUE"""),"Denmark, Estonia, Finland, Germany, Sweden, United Kingdom")</f>
        <v/>
      </c>
      <c r="N1499" s="1">
        <f>IFERROR(__xludf.DUMMYFUNCTION("""COMPUTED_VALUE"""),"500+")</f>
        <v/>
      </c>
      <c r="O1499" s="1">
        <f>IFERROR(__xludf.DUMMYFUNCTION("""COMPUTED_VALUE"""),"Business to Business, Business to Schools")</f>
        <v/>
      </c>
      <c r="P1499" s="1">
        <f>IFERROR(__xludf.DUMMYFUNCTION("""COMPUTED_VALUE"""),"Early childhood development (0-5 years), Primary Education, Secondary Education, Lifelong learning/Adult education")</f>
        <v/>
      </c>
      <c r="Q1499" s="1">
        <f>IFERROR(__xludf.DUMMYFUNCTION("""COMPUTED_VALUE"""),"Student interfacing, Teacher interfacing")</f>
        <v/>
      </c>
      <c r="R1499" s="1" t="n"/>
      <c r="S1499" s="15">
        <f>IFERROR(__xludf.DUMMYFUNCTION("""COMPUTED_VALUE"""),"https://twitter.com/SystematicGroup")</f>
        <v/>
      </c>
      <c r="T1499" s="15">
        <f>IFERROR(__xludf.DUMMYFUNCTION("""COMPUTED_VALUE"""),"https://www.linkedin.com/company/systematic/")</f>
        <v/>
      </c>
      <c r="U1499" s="1">
        <f>IFERROR(__xludf.DUMMYFUNCTION("""COMPUTED_VALUE"""),"Cicero")</f>
        <v/>
      </c>
      <c r="V1499" s="1">
        <f>IFERROR(__xludf.DUMMYFUNCTION("""COMPUTED_VALUE"""),"Cicero is a user-friendly school library system, adapted for preschool age to high school. Cicero makes the school library accessible and easy for students to both search, borrow and return all kinds of media. The librarien can easy add both physical and "&amp;"digital books as well as other media. Cicero helps students to easy find the right book and find the pleasure in reading. 
Cicero is a well-proven, reliable and user-friendly system, which is continuously developed to meet the needs of our schools.")</f>
        <v/>
      </c>
      <c r="W1499" s="1" t="n"/>
      <c r="X1499" s="1" t="n"/>
      <c r="Y1499" s="15">
        <f>IFERROR(__xludf.DUMMYFUNCTION("""COMPUTED_VALUE"""),"https://drive.google.com/uc?export=view&amp;id=1Z8c4wyb7v8522EdFeTIhWmugJNN5UDUR")</f>
        <v/>
      </c>
      <c r="Z1499" s="1">
        <f>IFERROR(__xludf.DUMMYFUNCTION("""COMPUTED_VALUE"""),"Unverified")</f>
        <v/>
      </c>
      <c r="AA1499" s="1" t="n"/>
      <c r="AB1499" s="1" t="n"/>
      <c r="AC1499" s="1" t="n"/>
      <c r="AD1499" s="1" t="n"/>
      <c r="AE1499" s="1" t="n"/>
    </row>
    <row r="1500" ht="42" customHeight="1">
      <c r="A1500" s="14">
        <f>IFERROR(__xludf.DUMMYFUNCTION("""COMPUTED_VALUE"""),45181)</f>
        <v/>
      </c>
      <c r="B1500" s="1">
        <f>IFERROR(__xludf.DUMMYFUNCTION("""COMPUTED_VALUE"""),"ORG_2368")</f>
        <v/>
      </c>
      <c r="C1500" s="1">
        <f>IFERROR(__xludf.DUMMYFUNCTION("""COMPUTED_VALUE"""),TRUE)</f>
        <v/>
      </c>
      <c r="D1500" s="1">
        <f>IFERROR(__xludf.DUMMYFUNCTION("""COMPUTED_VALUE"""),"Talky")</f>
        <v/>
      </c>
      <c r="E1500" s="15">
        <f>IFERROR(__xludf.DUMMYFUNCTION("""COMPUTED_VALUE"""),"https://www.talky-app.com/")</f>
        <v/>
      </c>
      <c r="F1500" s="1">
        <f>IFERROR(__xludf.DUMMYFUNCTION("""COMPUTED_VALUE"""),"Talky is an innovative, AI-based language learning course designed specifically for children. With Talky, learners can not only acquire new language skills but also prepare for official exams. This game-based application immerses learners in a fictional w"&amp;"orld where they can progress only by using the newly acquired language knowledge. The use of AI ensures personalized learning experiences, and voice recognition technology is integrated within the game to enhance the language acquisition process. The gami"&amp;"fication of the learning experience, coupled with a visually appealing layout, fun games, and transparent progress tracking, ensures high levels of motivation among learners. Talky's community features and meaningful content further enhance the learning e"&amp;"xperience. This adaptable game can be easily customized to cater to different languages, making it a versatile language learning solution for children. With Talky, children can learn a new language while having fun and interacting with the game, making la"&amp;"nguage acquisition an enjoyable process.")</f>
        <v/>
      </c>
      <c r="G1500" s="1">
        <f>IFERROR(__xludf.DUMMYFUNCTION("""COMPUTED_VALUE"""),"I'm not part of any EdTech association")</f>
        <v/>
      </c>
      <c r="H1500" s="1" t="n"/>
      <c r="I1500" s="1">
        <f>IFERROR(__xludf.DUMMYFUNCTION("""COMPUTED_VALUE"""),"claudia@talky-app.com")</f>
        <v/>
      </c>
      <c r="J1500" s="1" t="n"/>
      <c r="K1500" s="1">
        <f>IFERROR(__xludf.DUMMYFUNCTION("""COMPUTED_VALUE"""),"BERLIN")</f>
        <v/>
      </c>
      <c r="L1500" s="1">
        <f>IFERROR(__xludf.DUMMYFUNCTION("""COMPUTED_VALUE"""),"Germany")</f>
        <v/>
      </c>
      <c r="M1500" s="1">
        <f>IFERROR(__xludf.DUMMYFUNCTION("""COMPUTED_VALUE"""),"Germany, Spain")</f>
        <v/>
      </c>
      <c r="N1500" s="1">
        <f>IFERROR(__xludf.DUMMYFUNCTION("""COMPUTED_VALUE"""),"0 to 10")</f>
        <v/>
      </c>
      <c r="O1500" s="1">
        <f>IFERROR(__xludf.DUMMYFUNCTION("""COMPUTED_VALUE"""),"Business to Consumer")</f>
        <v/>
      </c>
      <c r="P1500" s="1">
        <f>IFERROR(__xludf.DUMMYFUNCTION("""COMPUTED_VALUE"""),"Primary Education, Secondary Education")</f>
        <v/>
      </c>
      <c r="Q1500" s="1">
        <f>IFERROR(__xludf.DUMMYFUNCTION("""COMPUTED_VALUE"""),"System/Administrative, Student interfacing, Teacher interfacing")</f>
        <v/>
      </c>
      <c r="R1500" s="1" t="n"/>
      <c r="S1500" s="1" t="n"/>
      <c r="T1500" s="1" t="n"/>
      <c r="U1500" s="1" t="n"/>
      <c r="V1500" s="1" t="n"/>
      <c r="W1500" s="1" t="n"/>
      <c r="X1500" s="1" t="n"/>
      <c r="Y1500" s="15">
        <f>IFERROR(__xludf.DUMMYFUNCTION("""COMPUTED_VALUE"""),"https://drive.google.com/uc?export=view&amp;id=1bbLWaQlGZO7_PH9s4PaloX9UKWyt6R5d")</f>
        <v/>
      </c>
      <c r="Z1500" s="1">
        <f>IFERROR(__xludf.DUMMYFUNCTION("""COMPUTED_VALUE"""),"Unverified")</f>
        <v/>
      </c>
      <c r="AA1500" s="1" t="n"/>
      <c r="AB1500" s="1" t="n"/>
      <c r="AC1500" s="1" t="n"/>
      <c r="AD1500" s="1" t="n"/>
      <c r="AE1500" s="1" t="n"/>
    </row>
    <row r="1501" ht="42" customHeight="1">
      <c r="A1501" s="14">
        <f>IFERROR(__xludf.DUMMYFUNCTION("""COMPUTED_VALUE"""),45181)</f>
        <v/>
      </c>
      <c r="B1501" s="1">
        <f>IFERROR(__xludf.DUMMYFUNCTION("""COMPUTED_VALUE"""),"ORG_2407")</f>
        <v/>
      </c>
      <c r="C1501" s="1">
        <f>IFERROR(__xludf.DUMMYFUNCTION("""COMPUTED_VALUE"""),TRUE)</f>
        <v/>
      </c>
      <c r="D1501" s="1">
        <f>IFERROR(__xludf.DUMMYFUNCTION("""COMPUTED_VALUE"""),"ThePower Business School")</f>
        <v/>
      </c>
      <c r="E1501" s="15">
        <f>IFERROR(__xludf.DUMMYFUNCTION("""COMPUTED_VALUE"""),"thepowermba.com")</f>
        <v/>
      </c>
      <c r="F1501" s="1">
        <f>IFERROR(__xludf.DUMMYFUNCTION("""COMPUTED_VALUE"""),"ThePower Business School is an online digital business school with a disruptive micro-learning methodology (15-min classes), taught by world-renowned entrepreneurs and experts, for a fraction of the cost of a traditional business school.
Many individuals"&amp;" and businesses from across the world, of all sizes and sectors, are already taking advantage of our programs to expand their transversal business and digital marketing skills.")</f>
        <v/>
      </c>
      <c r="G1501" s="1">
        <f>IFERROR(__xludf.DUMMYFUNCTION("""COMPUTED_VALUE"""),"I'm not part of any EdTech association")</f>
        <v/>
      </c>
      <c r="H1501" s="1" t="n"/>
      <c r="I1501" s="1">
        <f>IFERROR(__xludf.DUMMYFUNCTION("""COMPUTED_VALUE"""),"hello@thepowermba.com")</f>
        <v/>
      </c>
      <c r="J1501" s="1" t="n"/>
      <c r="K1501" s="1">
        <f>IFERROR(__xludf.DUMMYFUNCTION("""COMPUTED_VALUE"""),"MADRID")</f>
        <v/>
      </c>
      <c r="L1501" s="1">
        <f>IFERROR(__xludf.DUMMYFUNCTION("""COMPUTED_VALUE"""),"Spain")</f>
        <v/>
      </c>
      <c r="M1501" s="1">
        <f>IFERROR(__xludf.DUMMYFUNCTION("""COMPUTED_VALUE"""),"Belgium, Denmark, Finland, France, Germany, Ireland, Italy, Netherlands, Norway, Poland, Portugal, Romania, Spain, Sweden, Switzerland, United Kingdom")</f>
        <v/>
      </c>
      <c r="N1501" s="1">
        <f>IFERROR(__xludf.DUMMYFUNCTION("""COMPUTED_VALUE"""),"100+")</f>
        <v/>
      </c>
      <c r="O1501" s="1">
        <f>IFERROR(__xludf.DUMMYFUNCTION("""COMPUTED_VALUE"""),"Business to Consumer")</f>
        <v/>
      </c>
      <c r="P1501" s="1">
        <f>IFERROR(__xludf.DUMMYFUNCTION("""COMPUTED_VALUE"""),"Higher Education, Corporate Training, Lifelong learning/Adult education")</f>
        <v/>
      </c>
      <c r="Q1501" s="1">
        <f>IFERROR(__xludf.DUMMYFUNCTION("""COMPUTED_VALUE"""),"Student interfacing, System/Administrative")</f>
        <v/>
      </c>
      <c r="R1501" s="1" t="n"/>
      <c r="S1501" s="1" t="n"/>
      <c r="T1501" s="1" t="n"/>
      <c r="U1501" s="1" t="n"/>
      <c r="V1501" s="1" t="n"/>
      <c r="W1501" s="1" t="n"/>
      <c r="X1501" s="1" t="n"/>
      <c r="Y1501" s="1" t="n"/>
      <c r="Z1501" s="1">
        <f>IFERROR(__xludf.DUMMYFUNCTION("""COMPUTED_VALUE"""),"Unverified")</f>
        <v/>
      </c>
      <c r="AA1501" s="1" t="n"/>
      <c r="AB1501" s="1" t="n"/>
      <c r="AC1501" s="1" t="n"/>
      <c r="AD1501" s="1" t="n"/>
      <c r="AE1501" s="1" t="n"/>
    </row>
    <row r="1502" ht="42" customHeight="1">
      <c r="A1502" s="14">
        <f>IFERROR(__xludf.DUMMYFUNCTION("""COMPUTED_VALUE"""),45181)</f>
        <v/>
      </c>
      <c r="B1502" s="1">
        <f>IFERROR(__xludf.DUMMYFUNCTION("""COMPUTED_VALUE"""),"ORG_2411")</f>
        <v/>
      </c>
      <c r="C1502" s="1">
        <f>IFERROR(__xludf.DUMMYFUNCTION("""COMPUTED_VALUE"""),TRUE)</f>
        <v/>
      </c>
      <c r="D1502" s="1">
        <f>IFERROR(__xludf.DUMMYFUNCTION("""COMPUTED_VALUE"""),"Tietoevry")</f>
        <v/>
      </c>
      <c r="E1502" s="15">
        <f>IFERROR(__xludf.DUMMYFUNCTION("""COMPUTED_VALUE"""),"tietoevry.com")</f>
        <v/>
      </c>
      <c r="F1502" s="1">
        <f>IFERROR(__xludf.DUMMYFUNCTION("""COMPUTED_VALUE"""),"Seamless digital tools save time and help schools focus on the most important part – bringing first-class learning to the young. Tietoevry develops and supplies schools with these innovative and well-designed tools and services. Our solutions are reliable"&amp;" and secure, simplifying your everyday life for schools.")</f>
        <v/>
      </c>
      <c r="G1502" s="1">
        <f>IFERROR(__xludf.DUMMYFUNCTION("""COMPUTED_VALUE"""),"Swedish EdTech Industry")</f>
        <v/>
      </c>
      <c r="H1502" s="1" t="n"/>
      <c r="I1502" s="1" t="n"/>
      <c r="J1502" s="1" t="n"/>
      <c r="K1502" s="1">
        <f>IFERROR(__xludf.DUMMYFUNCTION("""COMPUTED_VALUE"""),"Espoo")</f>
        <v/>
      </c>
      <c r="L1502" s="1">
        <f>IFERROR(__xludf.DUMMYFUNCTION("""COMPUTED_VALUE"""),"Finland")</f>
        <v/>
      </c>
      <c r="M1502" s="1">
        <f>IFERROR(__xludf.DUMMYFUNCTION("""COMPUTED_VALUE"""),"Finland, Norway, Sweden")</f>
        <v/>
      </c>
      <c r="N1502" s="1">
        <f>IFERROR(__xludf.DUMMYFUNCTION("""COMPUTED_VALUE"""),"500+")</f>
        <v/>
      </c>
      <c r="O1502" s="1">
        <f>IFERROR(__xludf.DUMMYFUNCTION("""COMPUTED_VALUE"""),"Business to Consumer")</f>
        <v/>
      </c>
      <c r="P1502" s="1">
        <f>IFERROR(__xludf.DUMMYFUNCTION("""COMPUTED_VALUE"""),"Primary Education, Secondary Education")</f>
        <v/>
      </c>
      <c r="Q1502" s="1">
        <f>IFERROR(__xludf.DUMMYFUNCTION("""COMPUTED_VALUE"""),"Teacher interfacing, System/Administrative")</f>
        <v/>
      </c>
      <c r="R1502" s="1" t="n"/>
      <c r="S1502" s="1" t="n"/>
      <c r="T1502" s="15">
        <f>IFERROR(__xludf.DUMMYFUNCTION("""COMPUTED_VALUE"""),"https://www.linkedin.com/company/tietoevry")</f>
        <v/>
      </c>
      <c r="U1502" s="1">
        <f>IFERROR(__xludf.DUMMYFUNCTION("""COMPUTED_VALUE"""),"Edlevo")</f>
        <v/>
      </c>
      <c r="V1502" s="1">
        <f>IFERROR(__xludf.DUMMYFUNCTION("""COMPUTED_VALUE"""),"Our school digitalisation platform offers municipalities everything from the base setup of a child and student register to various functionalities. We want to support teachers and school administrations by enabling intuitive and easy handling of absence a"&amp;"nd presence, follow-up on regarding assessments and grades – all compliant with e-services and apps for guardians and students. On top of that we offer a broad range of API:s, supporting various kinds of integrations and analytics solutions that help scho"&amp;"ol management get an instant view of the everyday status. We want you to be able to simplify your everyday life.")</f>
        <v/>
      </c>
      <c r="W1502" s="1" t="n"/>
      <c r="X1502" s="1" t="n"/>
      <c r="Y1502" s="15">
        <f>IFERROR(__xludf.DUMMYFUNCTION("""COMPUTED_VALUE"""),"https://drive.google.com/uc?export=view&amp;id=1-EbNcCFHwSzb_NpxNpwCAhRZTcDNyzxm")</f>
        <v/>
      </c>
      <c r="Z1502" s="1">
        <f>IFERROR(__xludf.DUMMYFUNCTION("""COMPUTED_VALUE"""),"Unverified")</f>
        <v/>
      </c>
      <c r="AA1502" s="1" t="n"/>
      <c r="AB1502" s="1" t="n"/>
      <c r="AC1502" s="1" t="n"/>
      <c r="AD1502" s="1" t="n"/>
      <c r="AE1502" s="1" t="n"/>
    </row>
    <row r="1503" ht="42" customHeight="1">
      <c r="A1503" s="14">
        <f>IFERROR(__xludf.DUMMYFUNCTION("""COMPUTED_VALUE"""),45181)</f>
        <v/>
      </c>
      <c r="B1503" s="1">
        <f>IFERROR(__xludf.DUMMYFUNCTION("""COMPUTED_VALUE"""),"ORG_2426")</f>
        <v/>
      </c>
      <c r="C1503" s="1">
        <f>IFERROR(__xludf.DUMMYFUNCTION("""COMPUTED_VALUE"""),TRUE)</f>
        <v/>
      </c>
      <c r="D1503" s="1">
        <f>IFERROR(__xludf.DUMMYFUNCTION("""COMPUTED_VALUE"""),"Tracker Apps")</f>
        <v/>
      </c>
      <c r="E1503" s="15">
        <f>IFERROR(__xludf.DUMMYFUNCTION("""COMPUTED_VALUE"""),"www.tracker-apps.com")</f>
        <v/>
      </c>
      <c r="F1503" s="1">
        <f>IFERROR(__xludf.DUMMYFUNCTION("""COMPUTED_VALUE"""),"Tracker Solutions creates apps to help you track their learning journey from secondary school through to your first job. Our apps apply health &amp; fitness tracking principles to tracking learning. We use gamification and goal setting to motivate and celebra"&amp;"te everyone's learning achievements in skills, qualifications and personal attributes.")</f>
        <v/>
      </c>
      <c r="G1503" s="1">
        <f>IFERROR(__xludf.DUMMYFUNCTION("""COMPUTED_VALUE"""),"Swiss EdTech Collider")</f>
        <v/>
      </c>
      <c r="H1503" s="1" t="n"/>
      <c r="I1503" s="1">
        <f>IFERROR(__xludf.DUMMYFUNCTION("""COMPUTED_VALUE"""),"info@tracker-apps.com")</f>
        <v/>
      </c>
      <c r="J1503" s="1" t="n"/>
      <c r="K1503" s="1">
        <f>IFERROR(__xludf.DUMMYFUNCTION("""COMPUTED_VALUE"""),"Bottmingen")</f>
        <v/>
      </c>
      <c r="L1503" s="1">
        <f>IFERROR(__xludf.DUMMYFUNCTION("""COMPUTED_VALUE"""),"Switzerland")</f>
        <v/>
      </c>
      <c r="M1503" s="1">
        <f>IFERROR(__xludf.DUMMYFUNCTION("""COMPUTED_VALUE"""),"Denmark, Finland, Montenegro, Netherlands, Switzerland, United Kingdom")</f>
        <v/>
      </c>
      <c r="N1503" s="1">
        <f>IFERROR(__xludf.DUMMYFUNCTION("""COMPUTED_VALUE"""),"0 to 10")</f>
        <v/>
      </c>
      <c r="O1503" s="1">
        <f>IFERROR(__xludf.DUMMYFUNCTION("""COMPUTED_VALUE"""),"Business to Consumer, Business to Schools")</f>
        <v/>
      </c>
      <c r="P1503" s="1">
        <f>IFERROR(__xludf.DUMMYFUNCTION("""COMPUTED_VALUE"""),"Secondary Education, Higher Education, Lifelong learning/Adult education")</f>
        <v/>
      </c>
      <c r="Q1503" s="1">
        <f>IFERROR(__xludf.DUMMYFUNCTION("""COMPUTED_VALUE"""),"Student interfacing, Teacher interfacing")</f>
        <v/>
      </c>
      <c r="R1503" s="1">
        <f>IFERROR(__xludf.DUMMYFUNCTION("""COMPUTED_VALUE"""),"@trackerapps")</f>
        <v/>
      </c>
      <c r="S1503" s="1" t="n"/>
      <c r="T1503" s="15">
        <f>IFERROR(__xludf.DUMMYFUNCTION("""COMPUTED_VALUE"""),"https://www.linkedin.com/company/trackerapps/")</f>
        <v/>
      </c>
      <c r="U1503" s="1">
        <f>IFERROR(__xludf.DUMMYFUNCTION("""COMPUTED_VALUE"""),"CredsPo")</f>
        <v/>
      </c>
      <c r="V1503" s="1">
        <f>IFERROR(__xludf.DUMMYFUNCTION("""COMPUTED_VALUE"""),"CredsPo is a digital portfolio app that allows you to record all your learning experiences in one place.")</f>
        <v/>
      </c>
      <c r="W1503" s="1">
        <f>IFERROR(__xludf.DUMMYFUNCTION("""COMPUTED_VALUE"""),"Service Tracker")</f>
        <v/>
      </c>
      <c r="X1503" s="1">
        <f>IFERROR(__xludf.DUMMYFUNCTION("""COMPUTED_VALUE"""),"Service Tracker guides students through the 5 stages of service learning, allowing them to plan, record and reflect on their experiences.")</f>
        <v/>
      </c>
      <c r="Y1503" s="15">
        <f>IFERROR(__xludf.DUMMYFUNCTION("""COMPUTED_VALUE"""),"https://drive.google.com/uc?export=view&amp;id=1bIENNpUnO9giupb46Y4QZUNtTBKd3KHS")</f>
        <v/>
      </c>
      <c r="Z1503" s="1">
        <f>IFERROR(__xludf.DUMMYFUNCTION("""COMPUTED_VALUE"""),"Unverified")</f>
        <v/>
      </c>
      <c r="AA1503" s="1" t="n"/>
      <c r="AB1503" s="1" t="n"/>
      <c r="AC1503" s="1" t="n"/>
      <c r="AD1503" s="1" t="n"/>
      <c r="AE1503" s="1" t="n"/>
    </row>
    <row r="1504" ht="42" customHeight="1">
      <c r="A1504" s="14">
        <f>IFERROR(__xludf.DUMMYFUNCTION("""COMPUTED_VALUE"""),45181)</f>
        <v/>
      </c>
      <c r="B1504" s="1">
        <f>IFERROR(__xludf.DUMMYFUNCTION("""COMPUTED_VALUE"""),"ORG_2453")</f>
        <v/>
      </c>
      <c r="C1504" s="1">
        <f>IFERROR(__xludf.DUMMYFUNCTION("""COMPUTED_VALUE"""),TRUE)</f>
        <v/>
      </c>
      <c r="D1504" s="1">
        <f>IFERROR(__xludf.DUMMYFUNCTION("""COMPUTED_VALUE"""),"Ucademy")</f>
        <v/>
      </c>
      <c r="E1504" s="15">
        <f>IFERROR(__xludf.DUMMYFUNCTION("""COMPUTED_VALUE"""),"https://ucademy.es")</f>
        <v/>
      </c>
      <c r="F1504" s="1">
        <f>IFERROR(__xludf.DUMMYFUNCTION("""COMPUTED_VALUE"""),"Ucademy is the online academy that revolutionizes the way students prepare for any official exam, maximizing the chances of passing and creating a 100% personalized study environment for each student.")</f>
        <v/>
      </c>
      <c r="G1504" s="1">
        <f>IFERROR(__xludf.DUMMYFUNCTION("""COMPUTED_VALUE"""),"I'm not part of any EdTech association")</f>
        <v/>
      </c>
      <c r="H1504" s="1" t="n"/>
      <c r="I1504" s="1">
        <f>IFERROR(__xludf.DUMMYFUNCTION("""COMPUTED_VALUE"""),"ramiro@ucademy.es")</f>
        <v/>
      </c>
      <c r="J1504" s="1">
        <f>IFERROR(__xludf.DUMMYFUNCTION("""COMPUTED_VALUE"""),"+34671169624")</f>
        <v/>
      </c>
      <c r="K1504" s="1">
        <f>IFERROR(__xludf.DUMMYFUNCTION("""COMPUTED_VALUE"""),"Madrid")</f>
        <v/>
      </c>
      <c r="L1504" s="1">
        <f>IFERROR(__xludf.DUMMYFUNCTION("""COMPUTED_VALUE"""),"Spain")</f>
        <v/>
      </c>
      <c r="M1504" s="1">
        <f>IFERROR(__xludf.DUMMYFUNCTION("""COMPUTED_VALUE"""),"Spain")</f>
        <v/>
      </c>
      <c r="N1504" s="1">
        <f>IFERROR(__xludf.DUMMYFUNCTION("""COMPUTED_VALUE"""),"0 to 10")</f>
        <v/>
      </c>
      <c r="O1504" s="1">
        <f>IFERROR(__xludf.DUMMYFUNCTION("""COMPUTED_VALUE"""),"Business to Government, Business to Schools")</f>
        <v/>
      </c>
      <c r="P1504" s="1">
        <f>IFERROR(__xludf.DUMMYFUNCTION("""COMPUTED_VALUE"""),"Higher Education")</f>
        <v/>
      </c>
      <c r="Q1504" s="1">
        <f>IFERROR(__xludf.DUMMYFUNCTION("""COMPUTED_VALUE"""),"System/Administrative, Student interfacing")</f>
        <v/>
      </c>
      <c r="R1504" s="1" t="n"/>
      <c r="S1504" s="1" t="n"/>
      <c r="T1504" s="1" t="n"/>
      <c r="U1504" s="1" t="n"/>
      <c r="V1504" s="1" t="n"/>
      <c r="W1504" s="1" t="n"/>
      <c r="X1504" s="1" t="n"/>
      <c r="Y1504" s="15">
        <f>IFERROR(__xludf.DUMMYFUNCTION("""COMPUTED_VALUE"""),"https://drive.google.com/uc?export=view&amp;id=1lnuKVdhfvGKvlDX1qOFWcWBuscPDnpt3")</f>
        <v/>
      </c>
      <c r="Z1504" s="1">
        <f>IFERROR(__xludf.DUMMYFUNCTION("""COMPUTED_VALUE"""),"Unverified")</f>
        <v/>
      </c>
      <c r="AA1504" s="1" t="n"/>
      <c r="AB1504" s="1" t="n"/>
      <c r="AC1504" s="1" t="n"/>
      <c r="AD1504" s="1" t="n"/>
      <c r="AE1504" s="1" t="n"/>
    </row>
    <row r="1505" ht="42" customHeight="1">
      <c r="A1505" s="14">
        <f>IFERROR(__xludf.DUMMYFUNCTION("""COMPUTED_VALUE"""),45181)</f>
        <v/>
      </c>
      <c r="B1505" s="1">
        <f>IFERROR(__xludf.DUMMYFUNCTION("""COMPUTED_VALUE"""),"ORG_2539")</f>
        <v/>
      </c>
      <c r="C1505" s="1">
        <f>IFERROR(__xludf.DUMMYFUNCTION("""COMPUTED_VALUE"""),TRUE)</f>
        <v/>
      </c>
      <c r="D1505" s="1">
        <f>IFERROR(__xludf.DUMMYFUNCTION("""COMPUTED_VALUE"""),"Wisepath Srl")</f>
        <v/>
      </c>
      <c r="E1505" s="15">
        <f>IFERROR(__xludf.DUMMYFUNCTION("""COMPUTED_VALUE"""),"https://www.wisepath.ai/")</f>
        <v/>
      </c>
      <c r="F1505" s="1">
        <f>IFERROR(__xludf.DUMMYFUNCTION("""COMPUTED_VALUE"""),"Wisepath is a Human Centric AI Platform for Soft-Skills Development")</f>
        <v/>
      </c>
      <c r="G1505" s="1">
        <f>IFERROR(__xludf.DUMMYFUNCTION("""COMPUTED_VALUE"""),"I'm not part of any EdTech association")</f>
        <v/>
      </c>
      <c r="H1505" s="1" t="n"/>
      <c r="I1505" s="1">
        <f>IFERROR(__xludf.DUMMYFUNCTION("""COMPUTED_VALUE"""),"alessandra.mura@wisepath.ai")</f>
        <v/>
      </c>
      <c r="J1505" s="1">
        <f>IFERROR(__xludf.DUMMYFUNCTION("""COMPUTED_VALUE"""),"+39-3357925316")</f>
        <v/>
      </c>
      <c r="K1505" s="1">
        <f>IFERROR(__xludf.DUMMYFUNCTION("""COMPUTED_VALUE"""),"Rovereto")</f>
        <v/>
      </c>
      <c r="L1505" s="1">
        <f>IFERROR(__xludf.DUMMYFUNCTION("""COMPUTED_VALUE"""),"Italy")</f>
        <v/>
      </c>
      <c r="M1505" s="1">
        <f>IFERROR(__xludf.DUMMYFUNCTION("""COMPUTED_VALUE"""),"Italy")</f>
        <v/>
      </c>
      <c r="N1505" s="1">
        <f>IFERROR(__xludf.DUMMYFUNCTION("""COMPUTED_VALUE"""),"0 to 10")</f>
        <v/>
      </c>
      <c r="O1505" s="1">
        <f>IFERROR(__xludf.DUMMYFUNCTION("""COMPUTED_VALUE"""),"Business to Government, Business to Schools")</f>
        <v/>
      </c>
      <c r="P1505" s="1">
        <f>IFERROR(__xludf.DUMMYFUNCTION("""COMPUTED_VALUE"""),"Higher Education, Corporate Training")</f>
        <v/>
      </c>
      <c r="Q1505" s="1">
        <f>IFERROR(__xludf.DUMMYFUNCTION("""COMPUTED_VALUE"""),"Student interfacing, System/Administrative")</f>
        <v/>
      </c>
      <c r="R1505" s="1" t="n"/>
      <c r="S1505" s="1" t="n"/>
      <c r="T1505" s="15">
        <f>IFERROR(__xludf.DUMMYFUNCTION("""COMPUTED_VALUE"""),"https://www.linkedin.com/company/79811623/admin/")</f>
        <v/>
      </c>
      <c r="U1505" s="1">
        <f>IFERROR(__xludf.DUMMYFUNCTION("""COMPUTED_VALUE"""),"Wisepath V1")</f>
        <v/>
      </c>
      <c r="V1505" s="1">
        <f>IFERROR(__xludf.DUMMYFUNCTION("""COMPUTED_VALUE"""),"- 18-29yo, following the continuum of students &amp; professionals to be upskilled
- Wisepath Cycle: Discover (Assessment tools) - Plan (define professional objectives) - Learn (access to contents) - Connect (use our social network to allow a 3 level interact"&amp;"ion: peer-tp-peer, expert, mentors.
- Fill the gap of like-skills, which impact twice the hard-skills in career paths.")</f>
        <v/>
      </c>
      <c r="W1505" s="1" t="n"/>
      <c r="X1505" s="1" t="n"/>
      <c r="Y1505" s="15">
        <f>IFERROR(__xludf.DUMMYFUNCTION("""COMPUTED_VALUE"""),"https://drive.google.com/uc?export=view&amp;id=1SciQqwd3YGqSf_PAKBCu6Ao_ZYyUZDPK")</f>
        <v/>
      </c>
      <c r="Z1505" s="1">
        <f>IFERROR(__xludf.DUMMYFUNCTION("""COMPUTED_VALUE"""),"Unverified")</f>
        <v/>
      </c>
      <c r="AA1505" s="1" t="n"/>
      <c r="AB1505" s="1" t="n"/>
      <c r="AC1505" s="1" t="n"/>
      <c r="AD1505" s="1" t="n"/>
      <c r="AE1505" s="1" t="n"/>
    </row>
    <row r="1506" ht="42" customHeight="1">
      <c r="A1506" s="14">
        <f>IFERROR(__xludf.DUMMYFUNCTION("""COMPUTED_VALUE"""),45181)</f>
        <v/>
      </c>
      <c r="B1506" s="1">
        <f>IFERROR(__xludf.DUMMYFUNCTION("""COMPUTED_VALUE"""),"ORG_2568")</f>
        <v/>
      </c>
      <c r="C1506" s="1">
        <f>IFERROR(__xludf.DUMMYFUNCTION("""COMPUTED_VALUE"""),TRUE)</f>
        <v/>
      </c>
      <c r="D1506" s="1">
        <f>IFERROR(__xludf.DUMMYFUNCTION("""COMPUTED_VALUE"""),"YourStep")</f>
        <v/>
      </c>
      <c r="E1506" s="15">
        <f>IFERROR(__xludf.DUMMYFUNCTION("""COMPUTED_VALUE"""),"https://www.yourstep.ai/")</f>
        <v/>
      </c>
      <c r="F1506" s="1">
        <f>IFERROR(__xludf.DUMMYFUNCTION("""COMPUTED_VALUE"""),"The first cloud platform that provides school students with a personalized academic, emotional and university guidance.
Acknowledging that it is complicated and costly for schools to provide a personalized guidance to each student individually, YourStep "&amp;"on an automated manner guides the student with a smart calendar throughout their full school learning experience. 
Synchronized to the school's LMS, and supported by AI, the software proposes and recommends a detailed learning plan based to the student's"&amp;" learning pace, risk of subject failure, interests, state of mind and much more. 
YourStep also tracks and analyzes student's learning progress and displays it to the teacher on an intuitive and unique platform. Allowing them to cluster their students by"&amp;" innovative variables as motivation or effort.")</f>
        <v/>
      </c>
      <c r="G1506" s="1">
        <f>IFERROR(__xludf.DUMMYFUNCTION("""COMPUTED_VALUE"""),"I'm not part of any EdTech association")</f>
        <v/>
      </c>
      <c r="H1506" s="1" t="n"/>
      <c r="I1506" s="1" t="n"/>
      <c r="J1506" s="1" t="n"/>
      <c r="K1506" s="1">
        <f>IFERROR(__xludf.DUMMYFUNCTION("""COMPUTED_VALUE"""),"Madrid")</f>
        <v/>
      </c>
      <c r="L1506" s="1">
        <f>IFERROR(__xludf.DUMMYFUNCTION("""COMPUTED_VALUE"""),"Spain")</f>
        <v/>
      </c>
      <c r="M1506" s="1">
        <f>IFERROR(__xludf.DUMMYFUNCTION("""COMPUTED_VALUE"""),"Spain")</f>
        <v/>
      </c>
      <c r="N1506" s="1">
        <f>IFERROR(__xludf.DUMMYFUNCTION("""COMPUTED_VALUE"""),"0 to 10")</f>
        <v/>
      </c>
      <c r="O1506" s="1">
        <f>IFERROR(__xludf.DUMMYFUNCTION("""COMPUTED_VALUE"""),"Business to Schools, Business to Consumer, Business to Government")</f>
        <v/>
      </c>
      <c r="P1506" s="1">
        <f>IFERROR(__xludf.DUMMYFUNCTION("""COMPUTED_VALUE"""),"Primary Education, Secondary Education")</f>
        <v/>
      </c>
      <c r="Q1506" s="1">
        <f>IFERROR(__xludf.DUMMYFUNCTION("""COMPUTED_VALUE"""),"System/Administrative, Student interfacing, Teacher interfacing")</f>
        <v/>
      </c>
      <c r="R1506" s="1" t="n"/>
      <c r="S1506" s="1" t="n"/>
      <c r="T1506" s="1" t="n"/>
      <c r="U1506" s="1" t="n"/>
      <c r="V1506" s="1" t="n"/>
      <c r="W1506" s="1" t="n"/>
      <c r="X1506" s="1" t="n"/>
      <c r="Y1506" s="15">
        <f>IFERROR(__xludf.DUMMYFUNCTION("""COMPUTED_VALUE"""),"https://drive.google.com/uc?export=view&amp;id=1ZEN0-h3BgttKje0kFyAkga-GjFAk1wDJ")</f>
        <v/>
      </c>
      <c r="Z1506" s="1">
        <f>IFERROR(__xludf.DUMMYFUNCTION("""COMPUTED_VALUE"""),"Unverified")</f>
        <v/>
      </c>
      <c r="AA1506" s="1" t="n"/>
      <c r="AB1506" s="1" t="n"/>
      <c r="AC1506" s="1" t="n"/>
      <c r="AD1506" s="1" t="n"/>
      <c r="AE1506" s="1" t="n"/>
    </row>
    <row r="1507" ht="42" customHeight="1">
      <c r="A1507" s="14">
        <f>IFERROR(__xludf.DUMMYFUNCTION("""COMPUTED_VALUE"""),45181)</f>
        <v/>
      </c>
      <c r="B1507" s="1">
        <f>IFERROR(__xludf.DUMMYFUNCTION("""COMPUTED_VALUE"""),"ORG_1006")</f>
        <v/>
      </c>
      <c r="C1507" s="1">
        <f>IFERROR(__xludf.DUMMYFUNCTION("""COMPUTED_VALUE"""),TRUE)</f>
        <v/>
      </c>
      <c r="D1507" s="1">
        <f>IFERROR(__xludf.DUMMYFUNCTION("""COMPUTED_VALUE"""),"1to1 Progress")</f>
        <v/>
      </c>
      <c r="E1507" s="15">
        <f>IFERROR(__xludf.DUMMYFUNCTION("""COMPUTED_VALUE"""),"https://1to1progress.fr/")</f>
        <v/>
      </c>
      <c r="F1507" s="1">
        <f>IFERROR(__xludf.DUMMYFUNCTION("""COMPUTED_VALUE"""),"1to1PROGRESS, a foreign language training organisation, currently offers its services throughout Europe to companies needing to improve the language skills of their employees. Our young and dynamic team is growing and is looking for new collaborators to t"&amp;"ake on new projects.")</f>
        <v/>
      </c>
      <c r="G1507" s="1">
        <f>IFERROR(__xludf.DUMMYFUNCTION("""COMPUTED_VALUE"""),"EdTech France")</f>
        <v/>
      </c>
      <c r="H1507" s="1" t="n"/>
      <c r="I1507" s="1" t="n"/>
      <c r="J1507" s="1" t="n"/>
      <c r="K1507" s="1">
        <f>IFERROR(__xludf.DUMMYFUNCTION("""COMPUTED_VALUE"""),"Avenue des Hauts Grigneux à Bihorel")</f>
        <v/>
      </c>
      <c r="L1507" s="1">
        <f>IFERROR(__xludf.DUMMYFUNCTION("""COMPUTED_VALUE"""),"France")</f>
        <v/>
      </c>
      <c r="M1507" s="1">
        <f>IFERROR(__xludf.DUMMYFUNCTION("""COMPUTED_VALUE"""),"Belgium, France, Germany, Italy, Luxembourg, Netherlands, Portugal, Spain, Turkey, United Kingdom")</f>
        <v/>
      </c>
      <c r="N1507" s="1">
        <f>IFERROR(__xludf.DUMMYFUNCTION("""COMPUTED_VALUE"""),"11 to 50")</f>
        <v/>
      </c>
      <c r="O1507" s="1">
        <f>IFERROR(__xludf.DUMMYFUNCTION("""COMPUTED_VALUE"""),"Business to Business")</f>
        <v/>
      </c>
      <c r="P1507" s="1">
        <f>IFERROR(__xludf.DUMMYFUNCTION("""COMPUTED_VALUE"""),"Primary Education, Secondary Education, Corporate Training, Lifelong learning/Adult education")</f>
        <v/>
      </c>
      <c r="Q1507" s="1">
        <f>IFERROR(__xludf.DUMMYFUNCTION("""COMPUTED_VALUE"""),"System/Administrative, Student interfacing, Teacher interfacing")</f>
        <v/>
      </c>
      <c r="R1507" s="1" t="n"/>
      <c r="S1507" s="1" t="n"/>
      <c r="T1507" s="15">
        <f>IFERROR(__xludf.DUMMYFUNCTION("""COMPUTED_VALUE"""),"https://fr.linkedin.com/company/1to1progress")</f>
        <v/>
      </c>
      <c r="U1507" s="1">
        <f>IFERROR(__xludf.DUMMYFUNCTION("""COMPUTED_VALUE"""),"Adult continuing education (language)")</f>
        <v/>
      </c>
      <c r="V1507" s="1">
        <f>IFERROR(__xludf.DUMMYFUNCTION("""COMPUTED_VALUE"""),"1to1PROGRESS, a foreign language training organisation, currently offers its services throughout Europe to companies needing to improve the language skills of their employees. Our young and dynamic team is growing and is looking for new collaborators to t"&amp;"ake on new projects.")</f>
        <v/>
      </c>
      <c r="W1507" s="1" t="n"/>
      <c r="X1507" s="1" t="n"/>
      <c r="Y1507" s="15">
        <f>IFERROR(__xludf.DUMMYFUNCTION("""COMPUTED_VALUE"""),"https://drive.google.com/uc?export=view&amp;id=1h2ZgRt6qY-A_4AHdskLkIaHQrlIxsV9y")</f>
        <v/>
      </c>
      <c r="Z1507" s="1">
        <f>IFERROR(__xludf.DUMMYFUNCTION("""COMPUTED_VALUE"""),"Unverified")</f>
        <v/>
      </c>
      <c r="AA1507" s="1" t="n"/>
      <c r="AB1507" s="1" t="n"/>
      <c r="AC1507" s="1" t="n"/>
      <c r="AD1507" s="1" t="n"/>
      <c r="AE1507" s="1" t="n"/>
    </row>
    <row r="1508" ht="42" customHeight="1">
      <c r="A1508" s="14">
        <f>IFERROR(__xludf.DUMMYFUNCTION("""COMPUTED_VALUE"""),45181)</f>
        <v/>
      </c>
      <c r="B1508" s="1">
        <f>IFERROR(__xludf.DUMMYFUNCTION("""COMPUTED_VALUE"""),"ORG_1123")</f>
        <v/>
      </c>
      <c r="C1508" s="1">
        <f>IFERROR(__xludf.DUMMYFUNCTION("""COMPUTED_VALUE"""),TRUE)</f>
        <v/>
      </c>
      <c r="D1508" s="1">
        <f>IFERROR(__xludf.DUMMYFUNCTION("""COMPUTED_VALUE"""),"Aula STEAM")</f>
        <v/>
      </c>
      <c r="E1508" s="15">
        <f>IFERROR(__xludf.DUMMYFUNCTION("""COMPUTED_VALUE"""),"https://aulasteam.com/")</f>
        <v/>
      </c>
      <c r="F1508" s="1">
        <f>IFERROR(__xludf.DUMMYFUNCTION("""COMPUTED_VALUE"""),"In 2013, I started to promote in Spain the project Aula STEAM  a pioneering initiative in the field of educational technology that aims to integrate the emerging field of textiles and electronics (e-textiles) within the Spanish educational system. Special"&amp;"ly, with the goal to show new cultural practices of digital literacy that provides new educational options for the inclusion of minority audiences – such as women and girls – who otherwise would have not get attracted to STEM fields.")</f>
        <v/>
      </c>
      <c r="G1508" s="1">
        <f>IFERROR(__xludf.DUMMYFUNCTION("""COMPUTED_VALUE"""),"I'm not part of any EdTech association")</f>
        <v/>
      </c>
      <c r="H1508" s="1" t="n"/>
      <c r="I1508" s="1">
        <f>IFERROR(__xludf.DUMMYFUNCTION("""COMPUTED_VALUE"""),"espacio.aulasteam@gmail.com")</f>
        <v/>
      </c>
      <c r="J1508" s="1" t="n"/>
      <c r="K1508" s="1">
        <f>IFERROR(__xludf.DUMMYFUNCTION("""COMPUTED_VALUE"""),"Cangas")</f>
        <v/>
      </c>
      <c r="L1508" s="1">
        <f>IFERROR(__xludf.DUMMYFUNCTION("""COMPUTED_VALUE"""),"Spain")</f>
        <v/>
      </c>
      <c r="M1508" s="1">
        <f>IFERROR(__xludf.DUMMYFUNCTION("""COMPUTED_VALUE"""),"Spain")</f>
        <v/>
      </c>
      <c r="N1508" s="1">
        <f>IFERROR(__xludf.DUMMYFUNCTION("""COMPUTED_VALUE"""),"0 to 10")</f>
        <v/>
      </c>
      <c r="O1508" s="1">
        <f>IFERROR(__xludf.DUMMYFUNCTION("""COMPUTED_VALUE"""),"Business to Business")</f>
        <v/>
      </c>
      <c r="P1508" s="1">
        <f>IFERROR(__xludf.DUMMYFUNCTION("""COMPUTED_VALUE"""),"Primary Education, Secondary Education, Higher Education, Corporate Training")</f>
        <v/>
      </c>
      <c r="Q1508" s="1">
        <f>IFERROR(__xludf.DUMMYFUNCTION("""COMPUTED_VALUE"""),"Student interfacing, Teacher interfacing")</f>
        <v/>
      </c>
      <c r="R1508" s="1" t="n"/>
      <c r="S1508" s="1" t="n"/>
      <c r="T1508" s="1" t="n"/>
      <c r="U1508" s="1" t="n"/>
      <c r="V1508" s="1" t="n"/>
      <c r="W1508" s="1" t="n"/>
      <c r="X1508" s="1" t="n"/>
      <c r="Y1508" s="15">
        <f>IFERROR(__xludf.DUMMYFUNCTION("""COMPUTED_VALUE"""),"https://drive.google.com/uc?export=view&amp;id=1e3CM-y6mNhzmnWuVKYZGkZ1lIZfomlAy")</f>
        <v/>
      </c>
      <c r="Z1508" s="1">
        <f>IFERROR(__xludf.DUMMYFUNCTION("""COMPUTED_VALUE"""),"Unverified")</f>
        <v/>
      </c>
      <c r="AA1508" s="1" t="n"/>
      <c r="AB1508" s="1" t="n"/>
      <c r="AC1508" s="1" t="n"/>
      <c r="AD1508" s="1" t="n"/>
      <c r="AE1508" s="1" t="n"/>
    </row>
    <row r="1509" ht="42" customHeight="1">
      <c r="A1509" s="14">
        <f>IFERROR(__xludf.DUMMYFUNCTION("""COMPUTED_VALUE"""),45181)</f>
        <v/>
      </c>
      <c r="B1509" s="1">
        <f>IFERROR(__xludf.DUMMYFUNCTION("""COMPUTED_VALUE"""),"ORG_1158")</f>
        <v/>
      </c>
      <c r="C1509" s="1">
        <f>IFERROR(__xludf.DUMMYFUNCTION("""COMPUTED_VALUE"""),TRUE)</f>
        <v/>
      </c>
      <c r="D1509" s="1">
        <f>IFERROR(__xludf.DUMMYFUNCTION("""COMPUTED_VALUE"""),"beUnicoos")</f>
        <v/>
      </c>
      <c r="E1509" s="15">
        <f>IFERROR(__xludf.DUMMYFUNCTION("""COMPUTED_VALUE"""),"https://www.beunicoos.com/")</f>
        <v/>
      </c>
      <c r="F1509" s="1">
        <f>IFERROR(__xludf.DUMMYFUNCTION("""COMPUTED_VALUE"""),"beUnicoos is an educational platform which aims to be the reference and the meeting point of other educational initiatives. beUnicoos offers videos for free, linked from different sources, of different academical subjects and organized in an easy way to t"&amp;"he users (students, teachers, educational institutions, families). 
Around these free videos, there are different layers of tools and resources to step up the knowledge of our users. These tools (solved exercises, gamification, virtual classes, online cl"&amp;"asses, etc) are for premium users in a subscription mode.
beUnicoos is helping millions of students across the Globe. Mainly in Latam and Spain. Our own content strengthens their work studying and solving exams.
We have also implemented similar solution"&amp;" as beUnicoos in some Universities and other academical institutions, where they have organized the internal knowledge in the same way with our help. In addition, we have taught professors how to make these video pills of 5 minutes to beef up the knowledg"&amp;"e of their students after classes.")</f>
        <v/>
      </c>
      <c r="G1509" s="1">
        <f>IFERROR(__xludf.DUMMYFUNCTION("""COMPUTED_VALUE"""),"I'm not part of any EdTech association")</f>
        <v/>
      </c>
      <c r="H1509" s="1" t="n"/>
      <c r="I1509" s="1">
        <f>IFERROR(__xludf.DUMMYFUNCTION("""COMPUTED_VALUE"""),"contacto@beunicoos.com")</f>
        <v/>
      </c>
      <c r="J1509" s="1" t="n"/>
      <c r="K1509" s="1">
        <f>IFERROR(__xludf.DUMMYFUNCTION("""COMPUTED_VALUE"""),"VELILLA DE SAN ANTONIO")</f>
        <v/>
      </c>
      <c r="L1509" s="1">
        <f>IFERROR(__xludf.DUMMYFUNCTION("""COMPUTED_VALUE"""),"Spain")</f>
        <v/>
      </c>
      <c r="M150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509" s="1">
        <f>IFERROR(__xludf.DUMMYFUNCTION("""COMPUTED_VALUE"""),"0 to 10")</f>
        <v/>
      </c>
      <c r="O1509" s="1">
        <f>IFERROR(__xludf.DUMMYFUNCTION("""COMPUTED_VALUE"""),"Business to Business, Business to Consumer")</f>
        <v/>
      </c>
      <c r="P1509" s="1">
        <f>IFERROR(__xludf.DUMMYFUNCTION("""COMPUTED_VALUE"""),"Early childhood development (0-5 years), Primary Education, Secondary Education, Higher Education, Lifelong learning/Adult education")</f>
        <v/>
      </c>
      <c r="Q1509" s="1">
        <f>IFERROR(__xludf.DUMMYFUNCTION("""COMPUTED_VALUE"""),"System/Administrative, Student interfacing, Teacher interfacing")</f>
        <v/>
      </c>
      <c r="R1509" s="1" t="n"/>
      <c r="S1509" s="1" t="n"/>
      <c r="T1509" s="1" t="n"/>
      <c r="U1509" s="1" t="n"/>
      <c r="V1509" s="1" t="n"/>
      <c r="W1509" s="1" t="n"/>
      <c r="X1509" s="1" t="n"/>
      <c r="Y1509" s="15">
        <f>IFERROR(__xludf.DUMMYFUNCTION("""COMPUTED_VALUE"""),"https://drive.google.com/uc?export=view&amp;id=18WUxnxQhTvwoSwJxM54qKdNKxpNXkpnN")</f>
        <v/>
      </c>
      <c r="Z1509" s="1">
        <f>IFERROR(__xludf.DUMMYFUNCTION("""COMPUTED_VALUE"""),"Unverified")</f>
        <v/>
      </c>
      <c r="AA1509" s="1" t="n"/>
      <c r="AB1509" s="1" t="n"/>
      <c r="AC1509" s="1" t="n"/>
      <c r="AD1509" s="1" t="n"/>
      <c r="AE1509" s="1" t="n"/>
    </row>
    <row r="1510" ht="42" customHeight="1">
      <c r="A1510" s="14">
        <f>IFERROR(__xludf.DUMMYFUNCTION("""COMPUTED_VALUE"""),45181)</f>
        <v/>
      </c>
      <c r="B1510" s="1">
        <f>IFERROR(__xludf.DUMMYFUNCTION("""COMPUTED_VALUE"""),"ORG_1518")</f>
        <v/>
      </c>
      <c r="C1510" s="1">
        <f>IFERROR(__xludf.DUMMYFUNCTION("""COMPUTED_VALUE"""),TRUE)</f>
        <v/>
      </c>
      <c r="D1510" s="1">
        <f>IFERROR(__xludf.DUMMYFUNCTION("""COMPUTED_VALUE"""),"Ethafa")</f>
        <v/>
      </c>
      <c r="E1510" s="15">
        <f>IFERROR(__xludf.DUMMYFUNCTION("""COMPUTED_VALUE"""),"www.ethafa.com")</f>
        <v/>
      </c>
      <c r="F1510" s="1">
        <f>IFERROR(__xludf.DUMMYFUNCTION("""COMPUTED_VALUE"""),"Ethafa develops products, experiences, and educational programs to support children aged 9-12 to learn about electronics through an Arduino-based kit and storytelling. The Steammians kit by Ethafa guides young children in exploring the world of sensors an"&amp;"d actuators through the stories of funny aliens.")</f>
        <v/>
      </c>
      <c r="G1510" s="1">
        <f>IFERROR(__xludf.DUMMYFUNCTION("""COMPUTED_VALUE"""),"Swiss EdTech Collider")</f>
        <v/>
      </c>
      <c r="H1510" s="1" t="n"/>
      <c r="I1510" s="1">
        <f>IFERROR(__xludf.DUMMYFUNCTION("""COMPUTED_VALUE"""),"info@ethafa.com")</f>
        <v/>
      </c>
      <c r="J1510" s="1" t="n"/>
      <c r="K1510" s="1">
        <f>IFERROR(__xludf.DUMMYFUNCTION("""COMPUTED_VALUE"""),"Mendrisio")</f>
        <v/>
      </c>
      <c r="L1510" s="1">
        <f>IFERROR(__xludf.DUMMYFUNCTION("""COMPUTED_VALUE"""),"Switzerland")</f>
        <v/>
      </c>
      <c r="M1510" s="1">
        <f>IFERROR(__xludf.DUMMYFUNCTION("""COMPUTED_VALUE"""),"Switzerland")</f>
        <v/>
      </c>
      <c r="N1510" s="1">
        <f>IFERROR(__xludf.DUMMYFUNCTION("""COMPUTED_VALUE"""),"0 to 10")</f>
        <v/>
      </c>
      <c r="O1510" s="1">
        <f>IFERROR(__xludf.DUMMYFUNCTION("""COMPUTED_VALUE"""),"Business to Business, Business to Consumer")</f>
        <v/>
      </c>
      <c r="P1510" s="1">
        <f>IFERROR(__xludf.DUMMYFUNCTION("""COMPUTED_VALUE"""),"Primary Education")</f>
        <v/>
      </c>
      <c r="Q1510" s="1">
        <f>IFERROR(__xludf.DUMMYFUNCTION("""COMPUTED_VALUE"""),"System/Administrative, Student interfacing, Teacher interfacing")</f>
        <v/>
      </c>
      <c r="R1510" s="1">
        <f>IFERROR(__xludf.DUMMYFUNCTION("""COMPUTED_VALUE"""),"@ethafakit")</f>
        <v/>
      </c>
      <c r="S1510" s="15">
        <f>IFERROR(__xludf.DUMMYFUNCTION("""COMPUTED_VALUE"""),"https://twitter.com/ethafakit")</f>
        <v/>
      </c>
      <c r="T1510" s="15">
        <f>IFERROR(__xludf.DUMMYFUNCTION("""COMPUTED_VALUE"""),"https://www.linkedin.com/company/38148290/admin/")</f>
        <v/>
      </c>
      <c r="U1510" s="1">
        <f>IFERROR(__xludf.DUMMYFUNCTION("""COMPUTED_VALUE"""),"Steammians Kit")</f>
        <v/>
      </c>
      <c r="V1510" s="1">
        <f>IFERROR(__xludf.DUMMYFUNCTION("""COMPUTED_VALUE"""),"The kit introduces the world of electronics to children aged 10–12 through playful interactive stories, and through an approach based on gender neutrality and cultural inclusion. It consists of a physical kit that embodies 5 programmable characters: the S"&amp;"teammians. The children can assemble the kit and then use it to interact with the tablet application that proposes challenges requiring problem-solving skills.")</f>
        <v/>
      </c>
      <c r="W1510" s="1" t="n"/>
      <c r="X1510" s="1" t="n"/>
      <c r="Y1510" s="15">
        <f>IFERROR(__xludf.DUMMYFUNCTION("""COMPUTED_VALUE"""),"https://drive.google.com/uc?export=view&amp;id=1j0ccBGU1Mc9rNJRSM3c_RMj5zsRK0IHW")</f>
        <v/>
      </c>
      <c r="Z1510" s="1">
        <f>IFERROR(__xludf.DUMMYFUNCTION("""COMPUTED_VALUE"""),"Unverified")</f>
        <v/>
      </c>
      <c r="AA1510" s="1" t="n"/>
      <c r="AB1510" s="1" t="n"/>
      <c r="AC1510" s="1" t="n"/>
      <c r="AD1510" s="1" t="n"/>
      <c r="AE1510" s="1" t="n"/>
    </row>
    <row r="1511" ht="42" customHeight="1">
      <c r="A1511" s="14">
        <f>IFERROR(__xludf.DUMMYFUNCTION("""COMPUTED_VALUE"""),45181)</f>
        <v/>
      </c>
      <c r="B1511" s="1">
        <f>IFERROR(__xludf.DUMMYFUNCTION("""COMPUTED_VALUE"""),"ORG_1526")</f>
        <v/>
      </c>
      <c r="C1511" s="1">
        <f>IFERROR(__xludf.DUMMYFUNCTION("""COMPUTED_VALUE"""),TRUE)</f>
        <v/>
      </c>
      <c r="D1511" s="1">
        <f>IFERROR(__xludf.DUMMYFUNCTION("""COMPUTED_VALUE"""),"Eventful AB")</f>
        <v/>
      </c>
      <c r="E1511" s="15">
        <f>IFERROR(__xludf.DUMMYFUNCTION("""COMPUTED_VALUE"""),"https://www.eventful.se/")</f>
        <v/>
      </c>
      <c r="F1511" s="1">
        <f>IFERROR(__xludf.DUMMYFUNCTION("""COMPUTED_VALUE"""),"Eventful excellence in system integrations for Microsoft 365 and Google Workspace in Sweden. We are Bringing systems together in a Google, Microsoft or hybrid ecosystem. Eventful is a comprehensive supplier for the modern workplace. We supply units, licen"&amp;"ses, device management in addition to integrations and identification. Eventful excels in Single-Sign On, MFA and help schools ready for Swedish Digital National exams.")</f>
        <v/>
      </c>
      <c r="G1511" s="1">
        <f>IFERROR(__xludf.DUMMYFUNCTION("""COMPUTED_VALUE"""),"Swedish EdTech Industry")</f>
        <v/>
      </c>
      <c r="H1511" s="1">
        <f>IFERROR(__xludf.DUMMYFUNCTION("""COMPUTED_VALUE"""),"Swedish, English")</f>
        <v/>
      </c>
      <c r="I1511" s="1">
        <f>IFERROR(__xludf.DUMMYFUNCTION("""COMPUTED_VALUE"""),"patrik.eide@eventful.se")</f>
        <v/>
      </c>
      <c r="J1511" s="1">
        <f>IFERROR(__xludf.DUMMYFUNCTION("""COMPUTED_VALUE"""),"+46709980243")</f>
        <v/>
      </c>
      <c r="K1511" s="1">
        <f>IFERROR(__xludf.DUMMYFUNCTION("""COMPUTED_VALUE"""),"ENKÖPING")</f>
        <v/>
      </c>
      <c r="L1511" s="1">
        <f>IFERROR(__xludf.DUMMYFUNCTION("""COMPUTED_VALUE"""),"Sweden")</f>
        <v/>
      </c>
      <c r="M1511" s="1">
        <f>IFERROR(__xludf.DUMMYFUNCTION("""COMPUTED_VALUE"""),"Sweden")</f>
        <v/>
      </c>
      <c r="N1511" s="1">
        <f>IFERROR(__xludf.DUMMYFUNCTION("""COMPUTED_VALUE"""),"11 to 50")</f>
        <v/>
      </c>
      <c r="O1511" s="1">
        <f>IFERROR(__xludf.DUMMYFUNCTION("""COMPUTED_VALUE"""),"Business to Business, Business to Consumer, Business to Government, Business to Schools")</f>
        <v/>
      </c>
      <c r="P1511" s="1">
        <f>IFERROR(__xludf.DUMMYFUNCTION("""COMPUTED_VALUE"""),"Early childhood development (0-5 years), Primary Education, Secondary Education, Corporate Training, Lifelong learning/Adult education, Vocational Education and Training (VET), Higher Education")</f>
        <v/>
      </c>
      <c r="Q1511" s="1">
        <f>IFERROR(__xludf.DUMMYFUNCTION("""COMPUTED_VALUE"""),"System/Administrative")</f>
        <v/>
      </c>
      <c r="R1511" s="1">
        <f>IFERROR(__xludf.DUMMYFUNCTION("""COMPUTED_VALUE"""),"eventful_ab")</f>
        <v/>
      </c>
      <c r="S1511" s="1" t="n"/>
      <c r="T1511" s="15">
        <f>IFERROR(__xludf.DUMMYFUNCTION("""COMPUTED_VALUE"""),"https://www.linkedin.com/company/eventful-ab")</f>
        <v/>
      </c>
      <c r="U1511" s="1">
        <f>IFERROR(__xludf.DUMMYFUNCTION("""COMPUTED_VALUE"""),"Eventful TeamSynk skola")</f>
        <v/>
      </c>
      <c r="V1511" s="1">
        <f>IFERROR(__xludf.DUMMYFUNCTION("""COMPUTED_VALUE"""),"Eventful TeamSynk skola connects school systems, which leads to the organization being able to enter school information in a ""master system"" and thus avoid putting time and effort into entering the same information in several different school systems.
"&amp;"TeamSynk skola uses Flowsync (Eventfuls sync engine) and connects the student information system, (SIS), with various services such as Microsoft's School Data Sync and other school services. The sync aims to increase data quality, comply with GDPR by redu"&amp;"cing manual data handling, it creates and populates Microsoft Teams.
Correct data in the right place when you need it!")</f>
        <v/>
      </c>
      <c r="W1511" s="1">
        <f>IFERROR(__xludf.DUMMYFUNCTION("""COMPUTED_VALUE"""),"Google ClassroomSynk")</f>
        <v/>
      </c>
      <c r="X1511" s="1">
        <f>IFERROR(__xludf.DUMMYFUNCTION("""COMPUTED_VALUE"""),"Eventful ClassroomSynk, connects school systems, which leads to the organization being able to enter school information in a ""master system"" and thus avoid putting time and effort into entering the same information in several different school systems.
"&amp;"Eventful ClassroomSynk uses Flowsync (Eventfuls sync engine) and connects the student information system, (SIS), with various services such as Google Classroom and other school services. The sync aims to increase data quality, comply with GDPR by reducing"&amp;" manual data handling, it creates and populates Google Classroom.")</f>
        <v/>
      </c>
      <c r="Y1511" s="15">
        <f>IFERROR(__xludf.DUMMYFUNCTION("""COMPUTED_VALUE"""),"https://drive.google.com/uc?export=view&amp;id=1t8NOBcYHZUCax5OgnSJebxH_dI2l4Rbg")</f>
        <v/>
      </c>
      <c r="Z1511" s="1">
        <f>IFERROR(__xludf.DUMMYFUNCTION("""COMPUTED_VALUE"""),"Unverified")</f>
        <v/>
      </c>
      <c r="AA1511" s="1" t="n"/>
      <c r="AB1511" s="1" t="n"/>
      <c r="AC1511" s="1" t="n"/>
      <c r="AD1511" s="1" t="n"/>
      <c r="AE1511" s="1" t="n"/>
    </row>
    <row r="1512" ht="42" customHeight="1">
      <c r="A1512" s="14">
        <f>IFERROR(__xludf.DUMMYFUNCTION("""COMPUTED_VALUE"""),45181)</f>
        <v/>
      </c>
      <c r="B1512" s="1">
        <f>IFERROR(__xludf.DUMMYFUNCTION("""COMPUTED_VALUE"""),"ORG_1586")</f>
        <v/>
      </c>
      <c r="C1512" s="1">
        <f>IFERROR(__xludf.DUMMYFUNCTION("""COMPUTED_VALUE"""),TRUE)</f>
        <v/>
      </c>
      <c r="D1512" s="1">
        <f>IFERROR(__xludf.DUMMYFUNCTION("""COMPUTED_VALUE"""),"Friendbase")</f>
        <v/>
      </c>
      <c r="E1512" s="15">
        <f>IFERROR(__xludf.DUMMYFUNCTION("""COMPUTED_VALUE"""),"www.friendbase.com")</f>
        <v/>
      </c>
      <c r="F1512" s="1">
        <f>IFERROR(__xludf.DUMMYFUNCTION("""COMPUTED_VALUE"""),"Friendbase is a virtual world for teens where they can make friends, play games and learn.")</f>
        <v/>
      </c>
      <c r="G1512" s="1" t="n"/>
      <c r="H1512" s="1" t="n"/>
      <c r="I1512" s="1">
        <f>IFERROR(__xludf.DUMMYFUNCTION("""COMPUTED_VALUE"""),"info@friendbase.com")</f>
        <v/>
      </c>
      <c r="J1512" s="1">
        <f>IFERROR(__xludf.DUMMYFUNCTION("""COMPUTED_VALUE"""),"n/a")</f>
        <v/>
      </c>
      <c r="K1512" s="1">
        <f>IFERROR(__xludf.DUMMYFUNCTION("""COMPUTED_VALUE"""),"GOTHENBURG")</f>
        <v/>
      </c>
      <c r="L1512" s="1">
        <f>IFERROR(__xludf.DUMMYFUNCTION("""COMPUTED_VALUE"""),"Sweden")</f>
        <v/>
      </c>
      <c r="M1512" s="1">
        <f>IFERROR(__xludf.DUMMYFUNCTION("""COMPUTED_VALUE"""),"Austria, Belgium, Bulgaria, Denmark, Estonia, Finland, France, Germany, Greece, Hungary, Ireland, Italy, Luxembourg, Netherlands, Norway, Poland, Portugal, Romania, Spain, Sweden, Switzerland, Turkey, United Kingdom")</f>
        <v/>
      </c>
      <c r="N1512" s="1">
        <f>IFERROR(__xludf.DUMMYFUNCTION("""COMPUTED_VALUE"""),"11 to 50")</f>
        <v/>
      </c>
      <c r="O1512" s="1">
        <f>IFERROR(__xludf.DUMMYFUNCTION("""COMPUTED_VALUE"""),"Business to Business, Business to Consumer, Business to Government, Business to Schools")</f>
        <v/>
      </c>
      <c r="P1512" s="1">
        <f>IFERROR(__xludf.DUMMYFUNCTION("""COMPUTED_VALUE"""),"Secondary Education, Lifelong learning/Adult education")</f>
        <v/>
      </c>
      <c r="Q1512" s="1">
        <f>IFERROR(__xludf.DUMMYFUNCTION("""COMPUTED_VALUE"""),"Student interfacing")</f>
        <v/>
      </c>
      <c r="R1512" s="15">
        <f>IFERROR(__xludf.DUMMYFUNCTION("""COMPUTED_VALUE"""),"https://instagram.com/friendbase.official")</f>
        <v/>
      </c>
      <c r="S1512" s="1">
        <f>IFERROR(__xludf.DUMMYFUNCTION("""COMPUTED_VALUE"""),"n/a")</f>
        <v/>
      </c>
      <c r="T1512" s="15">
        <f>IFERROR(__xludf.DUMMYFUNCTION("""COMPUTED_VALUE"""),"https://www.linkedin.com/company/friendbase-ab/")</f>
        <v/>
      </c>
      <c r="U1512" s="1">
        <f>IFERROR(__xludf.DUMMYFUNCTION("""COMPUTED_VALUE"""),"Friendbase Virtual World")</f>
        <v/>
      </c>
      <c r="V1512" s="1">
        <f>IFERROR(__xludf.DUMMYFUNCTION("""COMPUTED_VALUE"""),"Friendbase is a virtual world where teens can make friends, play games and learn through our in game quiz.")</f>
        <v/>
      </c>
      <c r="W1512" s="1" t="n"/>
      <c r="X1512" s="1" t="n"/>
      <c r="Y1512" s="15">
        <f>IFERROR(__xludf.DUMMYFUNCTION("""COMPUTED_VALUE"""),"https://drive.google.com/uc?export=view&amp;id=1EqWvpbJojOr4-HOabS10_go69bu4byuf")</f>
        <v/>
      </c>
      <c r="Z1512" s="1">
        <f>IFERROR(__xludf.DUMMYFUNCTION("""COMPUTED_VALUE"""),"Unverified")</f>
        <v/>
      </c>
      <c r="AA1512" s="1" t="n"/>
      <c r="AB1512" s="1" t="n"/>
      <c r="AC1512" s="1" t="n"/>
      <c r="AD1512" s="1" t="n"/>
      <c r="AE1512" s="1" t="n"/>
    </row>
    <row r="1513" ht="42" customHeight="1">
      <c r="A1513" s="14">
        <f>IFERROR(__xludf.DUMMYFUNCTION("""COMPUTED_VALUE"""),45181)</f>
        <v/>
      </c>
      <c r="B1513" s="1">
        <f>IFERROR(__xludf.DUMMYFUNCTION("""COMPUTED_VALUE"""),"ORG_1659")</f>
        <v/>
      </c>
      <c r="C1513" s="1">
        <f>IFERROR(__xludf.DUMMYFUNCTION("""COMPUTED_VALUE"""),TRUE)</f>
        <v/>
      </c>
      <c r="D1513" s="1">
        <f>IFERROR(__xludf.DUMMYFUNCTION("""COMPUTED_VALUE"""),"hackrocks")</f>
        <v/>
      </c>
      <c r="E1513" s="15">
        <f>IFERROR(__xludf.DUMMYFUNCTION("""COMPUTED_VALUE"""),"https://hackrocks.com")</f>
        <v/>
      </c>
      <c r="F1513" s="1">
        <f>IFERROR(__xludf.DUMMYFUNCTION("""COMPUTED_VALUE"""),"Cyber Security Learning Platform where students are able to train Cyber Security techniques in safe environments to level up their skills in this world where Cyber Security experts are highly demanded.")</f>
        <v/>
      </c>
      <c r="G1513" s="1">
        <f>IFERROR(__xludf.DUMMYFUNCTION("""COMPUTED_VALUE"""),"I'm not part of any EdTech association")</f>
        <v/>
      </c>
      <c r="H1513" s="1" t="n"/>
      <c r="I1513" s="1">
        <f>IFERROR(__xludf.DUMMYFUNCTION("""COMPUTED_VALUE"""),"hello@hackrocks.com")</f>
        <v/>
      </c>
      <c r="J1513" s="1" t="n"/>
      <c r="K1513" s="1">
        <f>IFERROR(__xludf.DUMMYFUNCTION("""COMPUTED_VALUE"""),"Madrid")</f>
        <v/>
      </c>
      <c r="L1513" s="1">
        <f>IFERROR(__xludf.DUMMYFUNCTION("""COMPUTED_VALUE"""),"Spain")</f>
        <v/>
      </c>
      <c r="M1513" s="1">
        <f>IFERROR(__xludf.DUMMYFUNCTION("""COMPUTED_VALUE"""),"Spain")</f>
        <v/>
      </c>
      <c r="N1513" s="1">
        <f>IFERROR(__xludf.DUMMYFUNCTION("""COMPUTED_VALUE"""),"0 to 10")</f>
        <v/>
      </c>
      <c r="O1513" s="1">
        <f>IFERROR(__xludf.DUMMYFUNCTION("""COMPUTED_VALUE"""),"Business to Business, Business to Consumer, Business to Government, Business to Schools")</f>
        <v/>
      </c>
      <c r="P1513" s="1">
        <f>IFERROR(__xludf.DUMMYFUNCTION("""COMPUTED_VALUE"""),"Secondary Education, Higher Education, Corporate Training, Lifelong learning/Adult education")</f>
        <v/>
      </c>
      <c r="Q1513" s="1">
        <f>IFERROR(__xludf.DUMMYFUNCTION("""COMPUTED_VALUE"""),"Student interfacing, Teacher interfacing, System/Administrative")</f>
        <v/>
      </c>
      <c r="R1513" s="1" t="n"/>
      <c r="S1513" s="1" t="n"/>
      <c r="T1513" s="1" t="n"/>
      <c r="U1513" s="1" t="n"/>
      <c r="V1513" s="1" t="n"/>
      <c r="W1513" s="1" t="n"/>
      <c r="X1513" s="1" t="n"/>
      <c r="Y1513" s="15">
        <f>IFERROR(__xludf.DUMMYFUNCTION("""COMPUTED_VALUE"""),"https://drive.google.com/uc?export=view&amp;id=1lbCroNa_vVFrL638ElmpzH8V2-F4jNO1")</f>
        <v/>
      </c>
      <c r="Z1513" s="1">
        <f>IFERROR(__xludf.DUMMYFUNCTION("""COMPUTED_VALUE"""),"Unverified")</f>
        <v/>
      </c>
      <c r="AA1513" s="1" t="n"/>
      <c r="AB1513" s="1" t="n"/>
      <c r="AC1513" s="1" t="n"/>
      <c r="AD1513" s="1" t="n"/>
      <c r="AE1513" s="1" t="n"/>
    </row>
    <row r="1514" ht="42" customHeight="1">
      <c r="A1514" s="14">
        <f>IFERROR(__xludf.DUMMYFUNCTION("""COMPUTED_VALUE"""),45181)</f>
        <v/>
      </c>
      <c r="B1514" s="1">
        <f>IFERROR(__xludf.DUMMYFUNCTION("""COMPUTED_VALUE"""),"ORG_1709")</f>
        <v/>
      </c>
      <c r="C1514" s="1">
        <f>IFERROR(__xludf.DUMMYFUNCTION("""COMPUTED_VALUE"""),TRUE)</f>
        <v/>
      </c>
      <c r="D1514" s="1">
        <f>IFERROR(__xludf.DUMMYFUNCTION("""COMPUTED_VALUE"""),"iKurius")</f>
        <v/>
      </c>
      <c r="E1514" s="15">
        <f>IFERROR(__xludf.DUMMYFUNCTION("""COMPUTED_VALUE"""),"www.ikurius.com")</f>
        <v/>
      </c>
      <c r="F1514" s="1">
        <f>IFERROR(__xludf.DUMMYFUNCTION("""COMPUTED_VALUE"""),"iKurius is a platform that offers Educational Inmersive Experiences in Virtual Reality 360 (it is a mix of a Game-Movie-Trip) in a TOURIST METAVERSE in the format of a film series.")</f>
        <v/>
      </c>
      <c r="G1514" s="1">
        <f>IFERROR(__xludf.DUMMYFUNCTION("""COMPUTED_VALUE"""),"I'm not part of any EdTech association")</f>
        <v/>
      </c>
      <c r="H1514" s="1" t="n"/>
      <c r="I1514" s="1">
        <f>IFERROR(__xludf.DUMMYFUNCTION("""COMPUTED_VALUE"""),"info@ikurius.com")</f>
        <v/>
      </c>
      <c r="J1514" s="1">
        <f>IFERROR(__xludf.DUMMYFUNCTION("""COMPUTED_VALUE"""),"+34607390092")</f>
        <v/>
      </c>
      <c r="K1514" s="1">
        <f>IFERROR(__xludf.DUMMYFUNCTION("""COMPUTED_VALUE"""),"SANT CUGAT DEL VALLES")</f>
        <v/>
      </c>
      <c r="L1514" s="1">
        <f>IFERROR(__xludf.DUMMYFUNCTION("""COMPUTED_VALUE"""),"Spain")</f>
        <v/>
      </c>
      <c r="M1514" s="1">
        <f>IFERROR(__xludf.DUMMYFUNCTION("""COMPUTED_VALUE"""),"Spain")</f>
        <v/>
      </c>
      <c r="N1514" s="1">
        <f>IFERROR(__xludf.DUMMYFUNCTION("""COMPUTED_VALUE"""),"0 to 10")</f>
        <v/>
      </c>
      <c r="O1514" s="1">
        <f>IFERROR(__xludf.DUMMYFUNCTION("""COMPUTED_VALUE"""),"Business to Business, Business to Consumer, Business to Schools")</f>
        <v/>
      </c>
      <c r="P1514" s="1">
        <f>IFERROR(__xludf.DUMMYFUNCTION("""COMPUTED_VALUE"""),"Secondary Education")</f>
        <v/>
      </c>
      <c r="Q1514" s="1">
        <f>IFERROR(__xludf.DUMMYFUNCTION("""COMPUTED_VALUE"""),"Teacher interfacing")</f>
        <v/>
      </c>
      <c r="R1514" s="1" t="n"/>
      <c r="S1514" s="1" t="n"/>
      <c r="T1514" s="1" t="n"/>
      <c r="U1514" s="1" t="n"/>
      <c r="V1514" s="1" t="n"/>
      <c r="W1514" s="1" t="n"/>
      <c r="X1514" s="1" t="n"/>
      <c r="Y1514" s="15">
        <f>IFERROR(__xludf.DUMMYFUNCTION("""COMPUTED_VALUE"""),"https://drive.google.com/uc?export=view&amp;id=1UfVeizSejTh_Cz2yTKrkHbXsWu_t-kFD")</f>
        <v/>
      </c>
      <c r="Z1514" s="1">
        <f>IFERROR(__xludf.DUMMYFUNCTION("""COMPUTED_VALUE"""),"Unverified")</f>
        <v/>
      </c>
      <c r="AA1514" s="1" t="n"/>
      <c r="AB1514" s="1" t="n"/>
      <c r="AC1514" s="1" t="n"/>
      <c r="AD1514" s="1" t="n"/>
      <c r="AE1514" s="1" t="n"/>
    </row>
    <row r="1515" ht="42" customHeight="1">
      <c r="A1515" s="14">
        <f>IFERROR(__xludf.DUMMYFUNCTION("""COMPUTED_VALUE"""),45181)</f>
        <v/>
      </c>
      <c r="B1515" s="1">
        <f>IFERROR(__xludf.DUMMYFUNCTION("""COMPUTED_VALUE"""),"ORG_1728")</f>
        <v/>
      </c>
      <c r="C1515" s="1">
        <f>IFERROR(__xludf.DUMMYFUNCTION("""COMPUTED_VALUE"""),TRUE)</f>
        <v/>
      </c>
      <c r="D1515" s="1">
        <f>IFERROR(__xludf.DUMMYFUNCTION("""COMPUTED_VALUE"""),"Inspera")</f>
        <v/>
      </c>
      <c r="E1515" s="15">
        <f>IFERROR(__xludf.DUMMYFUNCTION("""COMPUTED_VALUE"""),"https://www.inspera.com")</f>
        <v/>
      </c>
      <c r="F1515" s="1">
        <f>IFERROR(__xludf.DUMMYFUNCTION("""COMPUTED_VALUE"""),"We help you transition to digital assessment
Inspera supports your organisation’s entire examination cycle. Plan, design, deliver and mark assessments seamlessly – onsite or remotely.")</f>
        <v/>
      </c>
      <c r="G1515" s="1" t="n"/>
      <c r="H1515" s="1" t="n"/>
      <c r="I1515" s="1">
        <f>IFERROR(__xludf.DUMMYFUNCTION("""COMPUTED_VALUE"""),"kim.waldgrave@inspera.no")</f>
        <v/>
      </c>
      <c r="J1515" s="1">
        <f>IFERROR(__xludf.DUMMYFUNCTION("""COMPUTED_VALUE"""),"+47 23 24 51 00")</f>
        <v/>
      </c>
      <c r="K1515" s="1">
        <f>IFERROR(__xludf.DUMMYFUNCTION("""COMPUTED_VALUE"""),"Oslo")</f>
        <v/>
      </c>
      <c r="L1515" s="1">
        <f>IFERROR(__xludf.DUMMYFUNCTION("""COMPUTED_VALUE"""),"Norway")</f>
        <v/>
      </c>
      <c r="M1515" s="1">
        <f>IFERROR(__xludf.DUMMYFUNCTION("""COMPUTED_VALUE"""),"Austria, Estonia, Finland, France, Germany, Iceland, Ireland, Netherlands, Norway, Poland, Portugal, Romania, Spain, Sweden, Switzerland, Ukraine, United Kingdom")</f>
        <v/>
      </c>
      <c r="N1515" s="1">
        <f>IFERROR(__xludf.DUMMYFUNCTION("""COMPUTED_VALUE"""),"100+")</f>
        <v/>
      </c>
      <c r="O1515" s="1">
        <f>IFERROR(__xludf.DUMMYFUNCTION("""COMPUTED_VALUE"""),"Business to Business, Business to Government")</f>
        <v/>
      </c>
      <c r="P1515" s="1">
        <f>IFERROR(__xludf.DUMMYFUNCTION("""COMPUTED_VALUE"""),"Primary Education, Secondary Education, Higher Education, Corporate Training, Lifelong learning/Adult education")</f>
        <v/>
      </c>
      <c r="Q1515" s="1">
        <f>IFERROR(__xludf.DUMMYFUNCTION("""COMPUTED_VALUE"""),"Teacher interfacing")</f>
        <v/>
      </c>
      <c r="R1515" s="1" t="n"/>
      <c r="S1515" s="1" t="n"/>
      <c r="T1515" s="15">
        <f>IFERROR(__xludf.DUMMYFUNCTION("""COMPUTED_VALUE"""),"https://www.linkedin.com/company/inspera/mycompany/verification/")</f>
        <v/>
      </c>
      <c r="U1515" s="1">
        <f>IFERROR(__xludf.DUMMYFUNCTION("""COMPUTED_VALUE"""),"Inspera Assessment")</f>
        <v/>
      </c>
      <c r="V1515" s="1">
        <f>IFERROR(__xludf.DUMMYFUNCTION("""COMPUTED_VALUE"""),"Our core platform. Inspera Assessment is a cloud-based assessment platform that supports your organisation's digital examination cycle entirely on-screen.")</f>
        <v/>
      </c>
      <c r="W1515" s="1">
        <f>IFERROR(__xludf.DUMMYFUNCTION("""COMPUTED_VALUE"""),"Inspera Examportal")</f>
        <v/>
      </c>
      <c r="X1515" s="1">
        <f>IFERROR(__xludf.DUMMYFUNCTION("""COMPUTED_VALUE"""),"With the fully integrated Inspera Lockdown Browser, you can
balance privacy and security while benefiting from strong remote capabilities.")</f>
        <v/>
      </c>
      <c r="Y1515" s="15">
        <f>IFERROR(__xludf.DUMMYFUNCTION("""COMPUTED_VALUE"""),"https://drive.google.com/uc?export=view&amp;id=12JBGKFla4CfMtQ6gahyPpeCVHcvUhI1n")</f>
        <v/>
      </c>
      <c r="Z1515" s="1">
        <f>IFERROR(__xludf.DUMMYFUNCTION("""COMPUTED_VALUE"""),"Unverified")</f>
        <v/>
      </c>
      <c r="AA1515" s="1" t="n"/>
      <c r="AB1515" s="1" t="n"/>
      <c r="AC1515" s="1" t="n"/>
      <c r="AD1515" s="1" t="n"/>
      <c r="AE1515" s="1" t="n"/>
    </row>
    <row r="1516" ht="42" customHeight="1">
      <c r="A1516" s="14">
        <f>IFERROR(__xludf.DUMMYFUNCTION("""COMPUTED_VALUE"""),45181)</f>
        <v/>
      </c>
      <c r="B1516" s="1">
        <f>IFERROR(__xludf.DUMMYFUNCTION("""COMPUTED_VALUE"""),"ORG_1731")</f>
        <v/>
      </c>
      <c r="C1516" s="1">
        <f>IFERROR(__xludf.DUMMYFUNCTION("""COMPUTED_VALUE"""),TRUE)</f>
        <v/>
      </c>
      <c r="D1516" s="1">
        <f>IFERROR(__xludf.DUMMYFUNCTION("""COMPUTED_VALUE"""),"INTERMATIA")</f>
        <v/>
      </c>
      <c r="E1516" s="15">
        <f>IFERROR(__xludf.DUMMYFUNCTION("""COMPUTED_VALUE"""),"https://www.intermatia.com")</f>
        <v/>
      </c>
      <c r="F1516" s="1">
        <f>IFERROR(__xludf.DUMMYFUNCTION("""COMPUTED_VALUE"""),"Herramienta online de ejercicios interactivos de matemáticas dirigidos tanto a centros educativos de Secundaria y Bachillerato como a familias. Cuenta con miles de ejercicios adaptados a los diferentes niveles educativos que se generan de forma automática"&amp;" y se corrigen solos mostrando la resolución correcta de forma detallada. Sus colecciones y prácticas permiten al profesor realizar evaluaciones adaptadas al alumno obteniendo un informe detallado.
Adaptada a ordenadores, tabletas, dispositivos móviles y "&amp;"pizarras digitales, interMatia facilita a profesores y padres seguir de cerca el progreso de los alumnos gracias a sus gráficas de seguimiento individual o grupal.
Con una interfaz atractiva y un editor de fórmulas que funciona como una calculadora cientí"&amp;"fica, el alumno puede expresar de forma natural las soluciones a ejercicios de su nivel. La resolución de ejercicios se presenta de forma similar a un juego, con un marcador de puntuación y con niveles que los alumnos deben ir superando.")</f>
        <v/>
      </c>
      <c r="G1516" s="1">
        <f>IFERROR(__xludf.DUMMYFUNCTION("""COMPUTED_VALUE"""),"I'm not part of any EdTech association")</f>
        <v/>
      </c>
      <c r="H1516" s="1" t="n"/>
      <c r="I1516" s="1">
        <f>IFERROR(__xludf.DUMMYFUNCTION("""COMPUTED_VALUE"""),"olga.delaiglesia@intermatia.com")</f>
        <v/>
      </c>
      <c r="J1516" s="1">
        <f>IFERROR(__xludf.DUMMYFUNCTION("""COMPUTED_VALUE"""),"+34 609683499")</f>
        <v/>
      </c>
      <c r="K1516" s="1">
        <f>IFERROR(__xludf.DUMMYFUNCTION("""COMPUTED_VALUE"""),"Sevilla")</f>
        <v/>
      </c>
      <c r="L1516" s="1">
        <f>IFERROR(__xludf.DUMMYFUNCTION("""COMPUTED_VALUE"""),"Spain")</f>
        <v/>
      </c>
      <c r="M1516" s="1">
        <f>IFERROR(__xludf.DUMMYFUNCTION("""COMPUTED_VALUE"""),"Spain")</f>
        <v/>
      </c>
      <c r="N1516" s="1">
        <f>IFERROR(__xludf.DUMMYFUNCTION("""COMPUTED_VALUE"""),"0 to 10")</f>
        <v/>
      </c>
      <c r="O1516" s="1">
        <f>IFERROR(__xludf.DUMMYFUNCTION("""COMPUTED_VALUE"""),"Business to Business, Business to Government")</f>
        <v/>
      </c>
      <c r="P1516" s="1">
        <f>IFERROR(__xludf.DUMMYFUNCTION("""COMPUTED_VALUE"""),"Secondary Education")</f>
        <v/>
      </c>
      <c r="Q1516" s="1">
        <f>IFERROR(__xludf.DUMMYFUNCTION("""COMPUTED_VALUE"""),"System/Administrative, Student interfacing, Teacher interfacing")</f>
        <v/>
      </c>
      <c r="R1516" s="1" t="n"/>
      <c r="S1516" s="1" t="n"/>
      <c r="T1516" s="1" t="n"/>
      <c r="U1516" s="1" t="n"/>
      <c r="V1516" s="1" t="n"/>
      <c r="W1516" s="1" t="n"/>
      <c r="X1516" s="1" t="n"/>
      <c r="Y1516" s="15">
        <f>IFERROR(__xludf.DUMMYFUNCTION("""COMPUTED_VALUE"""),"https://drive.google.com/uc?export=view&amp;id=1jEkm6rbgbElk0RItewx0nqlYYbIVLWLI")</f>
        <v/>
      </c>
      <c r="Z1516" s="1">
        <f>IFERROR(__xludf.DUMMYFUNCTION("""COMPUTED_VALUE"""),"Unverified")</f>
        <v/>
      </c>
      <c r="AA1516" s="1" t="n"/>
      <c r="AB1516" s="1" t="n"/>
      <c r="AC1516" s="1" t="n"/>
      <c r="AD1516" s="1" t="n"/>
      <c r="AE1516" s="1" t="n"/>
    </row>
    <row r="1517" ht="42" customHeight="1">
      <c r="A1517" s="14">
        <f>IFERROR(__xludf.DUMMYFUNCTION("""COMPUTED_VALUE"""),45181)</f>
        <v/>
      </c>
      <c r="B1517" s="1">
        <f>IFERROR(__xludf.DUMMYFUNCTION("""COMPUTED_VALUE"""),"ORG_1760")</f>
        <v/>
      </c>
      <c r="C1517" s="1">
        <f>IFERROR(__xludf.DUMMYFUNCTION("""COMPUTED_VALUE"""),TRUE)</f>
        <v/>
      </c>
      <c r="D1517" s="1">
        <f>IFERROR(__xludf.DUMMYFUNCTION("""COMPUTED_VALUE"""),"jvsp")</f>
        <v/>
      </c>
      <c r="E1517" s="15">
        <f>IFERROR(__xludf.DUMMYFUNCTION("""COMPUTED_VALUE"""),"www.jvsp.io")</f>
        <v/>
      </c>
      <c r="F1517" s="1">
        <f>IFERROR(__xludf.DUMMYFUNCTION("""COMPUTED_VALUE"""),"jvsp is an attractive, robust, easy to use, mobile and affordable E-Learning Platform.
A platform that helps achieve collaborative learning, where learners feel like logging in and chatting and administrators are able to build their learning environments "&amp;"quickly and easily.")</f>
        <v/>
      </c>
      <c r="G1517" s="1">
        <f>IFERROR(__xludf.DUMMYFUNCTION("""COMPUTED_VALUE"""),"I'm not part of any EdTech association")</f>
        <v/>
      </c>
      <c r="H1517" s="1" t="n"/>
      <c r="I1517" s="1">
        <f>IFERROR(__xludf.DUMMYFUNCTION("""COMPUTED_VALUE"""),"pablo@jvsphq.com")</f>
        <v/>
      </c>
      <c r="J1517" s="1">
        <f>IFERROR(__xludf.DUMMYFUNCTION("""COMPUTED_VALUE"""),"+34655955718")</f>
        <v/>
      </c>
      <c r="K1517" s="1">
        <f>IFERROR(__xludf.DUMMYFUNCTION("""COMPUTED_VALUE"""),"Madrid")</f>
        <v/>
      </c>
      <c r="L1517" s="1">
        <f>IFERROR(__xludf.DUMMYFUNCTION("""COMPUTED_VALUE"""),"Spain")</f>
        <v/>
      </c>
      <c r="M1517" s="1">
        <f>IFERROR(__xludf.DUMMYFUNCTION("""COMPUTED_VALUE"""),"Albania, Andorra, Armenia, Austria, Azerbaijan, Belgium, Bosnia and Herzegovina, Bulgaria, Croatia, Cyprus, Czechia, Denmark, Estonia, Finland, France, Georgia, Germany, Greece, Hungary, Iceland, Ireland, Italy, Kosovo, Latvia, Liechtenstein, Lithuania, L"&amp;"uxembourg, Malta, Moldova, Monaco, Montenegro, Netherlands, North Macedonia, Norway, Poland, Portugal, Romania, San Marino, Serbia, Slovakia, Slovenia, Spain, Sweden, Switzerland, Turkey, Ukraine, United Kingdom")</f>
        <v/>
      </c>
      <c r="N1517" s="1">
        <f>IFERROR(__xludf.DUMMYFUNCTION("""COMPUTED_VALUE"""),"0 to 10")</f>
        <v/>
      </c>
      <c r="O1517" s="1">
        <f>IFERROR(__xludf.DUMMYFUNCTION("""COMPUTED_VALUE"""),"Business to Business, Business to Government")</f>
        <v/>
      </c>
      <c r="P1517" s="1">
        <f>IFERROR(__xludf.DUMMYFUNCTION("""COMPUTED_VALUE"""),"Corporate Training")</f>
        <v/>
      </c>
      <c r="Q1517" s="1">
        <f>IFERROR(__xludf.DUMMYFUNCTION("""COMPUTED_VALUE"""),"Teacher interfacing, Student interfacing, System/Administrative")</f>
        <v/>
      </c>
      <c r="R1517" s="1" t="n"/>
      <c r="S1517" s="1" t="n"/>
      <c r="T1517" s="1" t="n"/>
      <c r="U1517" s="1" t="n"/>
      <c r="V1517" s="1" t="n"/>
      <c r="W1517" s="1" t="n"/>
      <c r="X1517" s="1" t="n"/>
      <c r="Y1517" s="15">
        <f>IFERROR(__xludf.DUMMYFUNCTION("""COMPUTED_VALUE"""),"https://drive.google.com/uc?export=view&amp;id=1D1XsV6F3U7A6J7aSzM9bXpRnXJ1MfyNJ")</f>
        <v/>
      </c>
      <c r="Z1517" s="1">
        <f>IFERROR(__xludf.DUMMYFUNCTION("""COMPUTED_VALUE"""),"Unverified")</f>
        <v/>
      </c>
      <c r="AA1517" s="1" t="n"/>
      <c r="AB1517" s="1" t="n"/>
      <c r="AC1517" s="1" t="n"/>
      <c r="AD1517" s="1" t="n"/>
      <c r="AE1517" s="1" t="n"/>
    </row>
    <row r="1518" ht="42" customHeight="1">
      <c r="A1518" s="14">
        <f>IFERROR(__xludf.DUMMYFUNCTION("""COMPUTED_VALUE"""),45181)</f>
        <v/>
      </c>
      <c r="B1518" s="1">
        <f>IFERROR(__xludf.DUMMYFUNCTION("""COMPUTED_VALUE"""),"ORG_1807")</f>
        <v/>
      </c>
      <c r="C1518" s="1">
        <f>IFERROR(__xludf.DUMMYFUNCTION("""COMPUTED_VALUE"""),TRUE)</f>
        <v/>
      </c>
      <c r="D1518" s="1">
        <f>IFERROR(__xludf.DUMMYFUNCTION("""COMPUTED_VALUE"""),"LabsLand")</f>
        <v/>
      </c>
      <c r="E1518" s="15">
        <f>IFERROR(__xludf.DUMMYFUNCTION("""COMPUTED_VALUE"""),"https://labsland.com")</f>
        <v/>
      </c>
      <c r="F1518" s="1">
        <f>IFERROR(__xludf.DUMMYFUNCTION("""COMPUTED_VALUE"""),"LabsLand is an EdTech company. We provide remote access to real educational laboratory equipment, like those that are used already for their practices, but through the Internet. Our goal is to improve and to democratise STEAM education of all levels, incl"&amp;"uding schools and universities. With our technologies, students can access those physically real laboratories using only their browser, anytime and anywhere. We work with universities around the world and collaborate with them to create and deploy them, p"&amp;"romoting a global network of shared laboratories.")</f>
        <v/>
      </c>
      <c r="G1518" s="1">
        <f>IFERROR(__xludf.DUMMYFUNCTION("""COMPUTED_VALUE"""),"I'm not part of any EdTech association")</f>
        <v/>
      </c>
      <c r="H1518" s="1" t="n"/>
      <c r="I1518" s="1">
        <f>IFERROR(__xludf.DUMMYFUNCTION("""COMPUTED_VALUE"""),"contact@labsland.com")</f>
        <v/>
      </c>
      <c r="J1518" s="1">
        <f>IFERROR(__xludf.DUMMYFUNCTION("""COMPUTED_VALUE"""),"+34 613 01 40 64")</f>
        <v/>
      </c>
      <c r="K1518" s="1">
        <f>IFERROR(__xludf.DUMMYFUNCTION("""COMPUTED_VALUE"""),"Bilbao")</f>
        <v/>
      </c>
      <c r="L1518" s="1">
        <f>IFERROR(__xludf.DUMMYFUNCTION("""COMPUTED_VALUE"""),"Spain")</f>
        <v/>
      </c>
      <c r="M1518" s="1">
        <f>IFERROR(__xludf.DUMMYFUNCTION("""COMPUTED_VALUE"""),"Germany, Italy, Spain")</f>
        <v/>
      </c>
      <c r="N1518" s="1">
        <f>IFERROR(__xludf.DUMMYFUNCTION("""COMPUTED_VALUE"""),"0 to 10")</f>
        <v/>
      </c>
      <c r="O1518" s="1">
        <f>IFERROR(__xludf.DUMMYFUNCTION("""COMPUTED_VALUE"""),"Business to Business, Business to Government, Business to Schools")</f>
        <v/>
      </c>
      <c r="P1518" s="1">
        <f>IFERROR(__xludf.DUMMYFUNCTION("""COMPUTED_VALUE"""),"Secondary Education, Higher Education, Corporate Training")</f>
        <v/>
      </c>
      <c r="Q1518" s="1">
        <f>IFERROR(__xludf.DUMMYFUNCTION("""COMPUTED_VALUE"""),"Teacher interfacing, System/Administrative")</f>
        <v/>
      </c>
      <c r="R1518" s="1" t="n"/>
      <c r="S1518" s="1" t="n"/>
      <c r="T1518" s="1" t="n"/>
      <c r="U1518" s="1" t="n"/>
      <c r="V1518" s="1" t="n"/>
      <c r="W1518" s="1" t="n"/>
      <c r="X1518" s="1" t="n"/>
      <c r="Y1518" s="15">
        <f>IFERROR(__xludf.DUMMYFUNCTION("""COMPUTED_VALUE"""),"https://drive.google.com/uc?export=view&amp;id=1pGYfGSnBWbO09DrPvqgNwxXSoRPjVGnB")</f>
        <v/>
      </c>
      <c r="Z1518" s="1">
        <f>IFERROR(__xludf.DUMMYFUNCTION("""COMPUTED_VALUE"""),"Unverified")</f>
        <v/>
      </c>
      <c r="AA1518" s="1" t="n"/>
      <c r="AB1518" s="1" t="n"/>
      <c r="AC1518" s="1" t="n"/>
      <c r="AD1518" s="1" t="n"/>
      <c r="AE1518" s="1" t="n"/>
    </row>
    <row r="1519" ht="42" customHeight="1">
      <c r="A1519" s="14">
        <f>IFERROR(__xludf.DUMMYFUNCTION("""COMPUTED_VALUE"""),45181)</f>
        <v/>
      </c>
      <c r="B1519" s="1">
        <f>IFERROR(__xludf.DUMMYFUNCTION("""COMPUTED_VALUE"""),"ORG_1830")</f>
        <v/>
      </c>
      <c r="C1519" s="1">
        <f>IFERROR(__xludf.DUMMYFUNCTION("""COMPUTED_VALUE"""),TRUE)</f>
        <v/>
      </c>
      <c r="D1519" s="1">
        <f>IFERROR(__xludf.DUMMYFUNCTION("""COMPUTED_VALUE"""),"Learnetic SA")</f>
        <v/>
      </c>
      <c r="E1519" s="15">
        <f>IFERROR(__xludf.DUMMYFUNCTION("""COMPUTED_VALUE"""),"learnetic.com")</f>
        <v/>
      </c>
      <c r="F1519" s="1">
        <f>IFERROR(__xludf.DUMMYFUNCTION("""COMPUTED_VALUE"""),"We help educational publishers, digital disruptors and ministries of education implement their technology-driven ePublishing projects and strategies.
By providing solutions at almost every stage of ePublishing processes, we offer a complete suite of Auth"&amp;"oring Tools, eLearning &amp; Delivery Platforms, eContent Development Services and ready-made, highly interactive Educational eContent Packages that are WCAG-compliant.")</f>
        <v/>
      </c>
      <c r="G1519" s="1">
        <f>IFERROR(__xludf.DUMMYFUNCTION("""COMPUTED_VALUE"""),"EdTech Poland")</f>
        <v/>
      </c>
      <c r="H1519" s="1" t="n"/>
      <c r="I1519" s="1">
        <f>IFERROR(__xludf.DUMMYFUNCTION("""COMPUTED_VALUE"""),"office@learnetic.com")</f>
        <v/>
      </c>
      <c r="J1519" s="1">
        <f>IFERROR(__xludf.DUMMYFUNCTION("""COMPUTED_VALUE"""),"004858 7647500")</f>
        <v/>
      </c>
      <c r="K1519" s="1">
        <f>IFERROR(__xludf.DUMMYFUNCTION("""COMPUTED_VALUE"""),"GDANSK")</f>
        <v/>
      </c>
      <c r="L1519" s="1">
        <f>IFERROR(__xludf.DUMMYFUNCTION("""COMPUTED_VALUE"""),"Poland")</f>
        <v/>
      </c>
      <c r="M1519" s="1">
        <f>IFERROR(__xludf.DUMMYFUNCTION("""COMPUTED_VALUE"""),"Bulgaria, Croatia, Czechia, Finland, France, Georgia, Germany, Greece, Ireland, Italy, Kazakhstan, Lithuania, North Macedonia, Norway, Poland, Portugal, Romania, Serbia, Slovakia, Slovenia, Spain, Turkey, Ukraine")</f>
        <v/>
      </c>
      <c r="N1519" s="1">
        <f>IFERROR(__xludf.DUMMYFUNCTION("""COMPUTED_VALUE"""),"100+")</f>
        <v/>
      </c>
      <c r="O1519" s="1">
        <f>IFERROR(__xludf.DUMMYFUNCTION("""COMPUTED_VALUE"""),"Business to Business, Business to Government, Business to Schools")</f>
        <v/>
      </c>
      <c r="P1519" s="1">
        <f>IFERROR(__xludf.DUMMYFUNCTION("""COMPUTED_VALUE"""),"Early childhood development (0-5 years), Primary Education, Secondary Education")</f>
        <v/>
      </c>
      <c r="Q1519" s="1">
        <f>IFERROR(__xludf.DUMMYFUNCTION("""COMPUTED_VALUE"""),"System/Administrative")</f>
        <v/>
      </c>
      <c r="R1519" s="1" t="n"/>
      <c r="S1519" s="1" t="n"/>
      <c r="T1519" s="15">
        <f>IFERROR(__xludf.DUMMYFUNCTION("""COMPUTED_VALUE"""),"https://www.linkedin.com/company/learnetic")</f>
        <v/>
      </c>
      <c r="U1519" s="1">
        <f>IFERROR(__xludf.DUMMYFUNCTION("""COMPUTED_VALUE"""),"Ready-made content")</f>
        <v/>
      </c>
      <c r="V1519" s="1">
        <f>IFERROR(__xludf.DUMMYFUNCTION("""COMPUTED_VALUE"""),"We offer a ready suite of eContent packages in different subjects, including Special Educational Needs courseware and the world-largest and most comprehensive Digital Math &amp; Science K-12 Curriculum comprising highly interactive digital lessons and Learnin"&amp;"g Objects. We develop and extend our products according to the constantly increasing demands of business partners and to the latest technologies available for the end users of our products at home and in school environments.")</f>
        <v/>
      </c>
      <c r="W1519" s="1">
        <f>IFERROR(__xludf.DUMMYFUNCTION("""COMPUTED_VALUE"""),"mAuthor - Authoring Tool")</f>
        <v/>
      </c>
      <c r="X1519" s="1">
        <f>IFERROR(__xludf.DUMMYFUNCTION("""COMPUTED_VALUE"""),"mAuthor - an authoring tool, which is a cloud-based eDevelopment Platform designed for the specific needs of K-12 educational publishers. It’s an award-winning solution, proven by renowned publishers. mAuthor is a tool for creating interactive educational"&amp;" content, digitizing textbooks, and designing modern, accessible education. It provides all tools to create WCAG-compliant materials.")</f>
        <v/>
      </c>
      <c r="Y1519" s="15">
        <f>IFERROR(__xludf.DUMMYFUNCTION("""COMPUTED_VALUE"""),"https://drive.google.com/uc?export=view&amp;id=10-cWWf6p64z0dCc7L3Lq7nKABUZE85Io")</f>
        <v/>
      </c>
      <c r="Z1519" s="1">
        <f>IFERROR(__xludf.DUMMYFUNCTION("""COMPUTED_VALUE"""),"Unverified")</f>
        <v/>
      </c>
      <c r="AA1519" s="1" t="n"/>
      <c r="AB1519" s="1" t="n"/>
      <c r="AC1519" s="1" t="n"/>
      <c r="AD1519" s="1" t="n"/>
      <c r="AE1519" s="1" t="n"/>
    </row>
    <row r="1520" ht="42" customHeight="1">
      <c r="A1520" s="14">
        <f>IFERROR(__xludf.DUMMYFUNCTION("""COMPUTED_VALUE"""),45181)</f>
        <v/>
      </c>
      <c r="B1520" s="1">
        <f>IFERROR(__xludf.DUMMYFUNCTION("""COMPUTED_VALUE"""),"ORG_1849")</f>
        <v/>
      </c>
      <c r="C1520" s="1">
        <f>IFERROR(__xludf.DUMMYFUNCTION("""COMPUTED_VALUE"""),TRUE)</f>
        <v/>
      </c>
      <c r="D1520" s="1">
        <f>IFERROR(__xludf.DUMMYFUNCTION("""COMPUTED_VALUE"""),"LEIAL TECHNOLOGIES")</f>
        <v/>
      </c>
      <c r="E1520" s="15">
        <f>IFERROR(__xludf.DUMMYFUNCTION("""COMPUTED_VALUE"""),"https://www.leialtechnologies.com/")</f>
        <v/>
      </c>
      <c r="F1520" s="1">
        <f>IFERROR(__xludf.DUMMYFUNCTION("""COMPUTED_VALUE"""),"LEIAL is born with the solid commitment to bring to the market the means and tools required to give the best and most complete training in industrial robotics. We want to put our products within reach of any training centre, of any student. We want to tea"&amp;"r down the barriers created by the lack of adequate tools in the education market, hindering the study of this technology, hindering the study of a standard.
LEIAL is born to become that standard.")</f>
        <v/>
      </c>
      <c r="G1520" s="1">
        <f>IFERROR(__xludf.DUMMYFUNCTION("""COMPUTED_VALUE"""),"I'm not part of any EdTech association")</f>
        <v/>
      </c>
      <c r="H1520" s="1" t="n"/>
      <c r="I1520" s="1">
        <f>IFERROR(__xludf.DUMMYFUNCTION("""COMPUTED_VALUE"""),"info@leialtechnologies.com")</f>
        <v/>
      </c>
      <c r="J1520" s="1">
        <f>IFERROR(__xludf.DUMMYFUNCTION("""COMPUTED_VALUE"""),"+34 688 75 69 56")</f>
        <v/>
      </c>
      <c r="K1520" s="1">
        <f>IFERROR(__xludf.DUMMYFUNCTION("""COMPUTED_VALUE"""),"NOAIN")</f>
        <v/>
      </c>
      <c r="L1520" s="1">
        <f>IFERROR(__xludf.DUMMYFUNCTION("""COMPUTED_VALUE"""),"Spain")</f>
        <v/>
      </c>
      <c r="M1520" s="1">
        <f>IFERROR(__xludf.DUMMYFUNCTION("""COMPUTED_VALUE"""),"Spain")</f>
        <v/>
      </c>
      <c r="N1520" s="1">
        <f>IFERROR(__xludf.DUMMYFUNCTION("""COMPUTED_VALUE"""),"0 to 10")</f>
        <v/>
      </c>
      <c r="O1520" s="1">
        <f>IFERROR(__xludf.DUMMYFUNCTION("""COMPUTED_VALUE"""),"Business to Business, Business to Government, Business to Schools")</f>
        <v/>
      </c>
      <c r="P1520" s="1">
        <f>IFERROR(__xludf.DUMMYFUNCTION("""COMPUTED_VALUE"""),"Higher Education, Corporate Training")</f>
        <v/>
      </c>
      <c r="Q1520" s="1">
        <f>IFERROR(__xludf.DUMMYFUNCTION("""COMPUTED_VALUE"""),"Teacher interfacing, Student interfacing, System/Administrative")</f>
        <v/>
      </c>
      <c r="R1520" s="1" t="n"/>
      <c r="S1520" s="1" t="n"/>
      <c r="T1520" s="1" t="n"/>
      <c r="U1520" s="1" t="n"/>
      <c r="V1520" s="1" t="n"/>
      <c r="W1520" s="1" t="n"/>
      <c r="X1520" s="1" t="n"/>
      <c r="Y1520" s="15">
        <f>IFERROR(__xludf.DUMMYFUNCTION("""COMPUTED_VALUE"""),"https://drive.google.com/uc?export=view&amp;id=1jXVc3cvQPrmw3c-hTXD68WYawMa_n6Bx")</f>
        <v/>
      </c>
      <c r="Z1520" s="1">
        <f>IFERROR(__xludf.DUMMYFUNCTION("""COMPUTED_VALUE"""),"Unverified")</f>
        <v/>
      </c>
      <c r="AA1520" s="1" t="n"/>
      <c r="AB1520" s="1" t="n"/>
      <c r="AC1520" s="1" t="n"/>
      <c r="AD1520" s="1" t="n"/>
      <c r="AE1520" s="1" t="n"/>
    </row>
    <row r="1521" ht="42" customHeight="1">
      <c r="A1521" s="14">
        <f>IFERROR(__xludf.DUMMYFUNCTION("""COMPUTED_VALUE"""),45181)</f>
        <v/>
      </c>
      <c r="B1521" s="1">
        <f>IFERROR(__xludf.DUMMYFUNCTION("""COMPUTED_VALUE"""),"ORG_1921")</f>
        <v/>
      </c>
      <c r="C1521" s="1">
        <f>IFERROR(__xludf.DUMMYFUNCTION("""COMPUTED_VALUE"""),TRUE)</f>
        <v/>
      </c>
      <c r="D1521" s="1">
        <f>IFERROR(__xludf.DUMMYFUNCTION("""COMPUTED_VALUE"""),"MasQueLearning")</f>
        <v/>
      </c>
      <c r="E1521" s="15">
        <f>IFERROR(__xludf.DUMMYFUNCTION("""COMPUTED_VALUE"""),"masquelearning.com")</f>
        <v/>
      </c>
      <c r="F1521" s="1">
        <f>IFERROR(__xludf.DUMMYFUNCTION("""COMPUTED_VALUE"""),"We have been revolutionizing traditional projects into memorable experiences for companies, institutions and city councils for more than 10 years through disruptive methodologies such as Gamification, Storytelling and Design Thinking.")</f>
        <v/>
      </c>
      <c r="G1521" s="1">
        <f>IFERROR(__xludf.DUMMYFUNCTION("""COMPUTED_VALUE"""),"I'm not part of any EdTech association")</f>
        <v/>
      </c>
      <c r="H1521" s="1">
        <f>IFERROR(__xludf.DUMMYFUNCTION("""COMPUTED_VALUE"""),"Spanish, English, French, German, Italian, Catalan")</f>
        <v/>
      </c>
      <c r="I1521" s="1">
        <f>IFERROR(__xludf.DUMMYFUNCTION("""COMPUTED_VALUE"""),"contactacon@masquelearning.com")</f>
        <v/>
      </c>
      <c r="J1521" s="1" t="n"/>
      <c r="K1521" s="1">
        <f>IFERROR(__xludf.DUMMYFUNCTION("""COMPUTED_VALUE"""),"Hospitalet de Llobregat")</f>
        <v/>
      </c>
      <c r="L1521" s="1">
        <f>IFERROR(__xludf.DUMMYFUNCTION("""COMPUTED_VALUE"""),"Spain")</f>
        <v/>
      </c>
      <c r="M1521" s="1">
        <f>IFERROR(__xludf.DUMMYFUNCTION("""COMPUTED_VALUE"""),"Andorra, Belgium, Denmark, Finland, France, Germany, Ireland, Italy, Liechtenstein, Luxembourg, Monaco, Netherlands, Norway, Portugal, San Marino, Spain, Sweden, Switzerland, United Kingdom")</f>
        <v/>
      </c>
      <c r="N1521" s="1">
        <f>IFERROR(__xludf.DUMMYFUNCTION("""COMPUTED_VALUE"""),"3 to 5")</f>
        <v/>
      </c>
      <c r="O1521" s="1">
        <f>IFERROR(__xludf.DUMMYFUNCTION("""COMPUTED_VALUE"""),"Business to Business, Business to Government, Business to Schools")</f>
        <v/>
      </c>
      <c r="P1521" s="1">
        <f>IFERROR(__xludf.DUMMYFUNCTION("""COMPUTED_VALUE"""),"Secondary Education, Corporate Training, Lifelong learning/Adult education, Vocational Education and Training (VET), Higher Education")</f>
        <v/>
      </c>
      <c r="Q1521" s="1">
        <f>IFERROR(__xludf.DUMMYFUNCTION("""COMPUTED_VALUE"""),"Student interfacing, System/Administrative")</f>
        <v/>
      </c>
      <c r="R1521" s="15">
        <f>IFERROR(__xludf.DUMMYFUNCTION("""COMPUTED_VALUE"""),"https://www.instagram.com/masquelearning/?hl=es")</f>
        <v/>
      </c>
      <c r="S1521" s="15">
        <f>IFERROR(__xludf.DUMMYFUNCTION("""COMPUTED_VALUE"""),"https://twitter.com/MasQueLearning")</f>
        <v/>
      </c>
      <c r="T1521" s="15">
        <f>IFERROR(__xludf.DUMMYFUNCTION("""COMPUTED_VALUE"""),"https://es.linkedin.com/company/mqlplay")</f>
        <v/>
      </c>
      <c r="U1521" s="1">
        <f>IFERROR(__xludf.DUMMYFUNCTION("""COMPUTED_VALUE"""),"Digital experiences")</f>
        <v/>
      </c>
      <c r="V1521" s="1">
        <f>IFERROR(__xludf.DUMMYFUNCTION("""COMPUTED_VALUE"""),"We design incredible digital experiences: Game-Learnings, Minigames and gamified platforms. Connect with your audience in an epic, different and fun way. Measure, quantify the actions of your users and optimize your results.")</f>
        <v/>
      </c>
      <c r="W1521" s="1">
        <f>IFERROR(__xludf.DUMMYFUNCTION("""COMPUTED_VALUE"""),"Gamification consulting")</f>
        <v/>
      </c>
      <c r="X1521" s="1">
        <f>IFERROR(__xludf.DUMMYFUNCTION("""COMPUTED_VALUE"""),"Execute with simplicity and impact. Make the complex easy with our experts as your ally. We are a multidisciplinary team that will accompany you to design a project from scratch with a fresh and innovative approach, focusing on results.
Transform the capa"&amp;"bilities of your collaborators. Lead change through agility, innovation, collaboration and technology as part of your daily life.
Improve your sales Engage, build loyalty and transform your end customer's experience with gamification and storytelling. Get"&amp;" your results.
Evolve your way of communicating. Connect with all generations and remove demotivation. Memorable narratives for routine processes: On-Boarding, internal communication campaign, work environment and online and in-person facilitation.
Learn "&amp;"to innovate. Connect and think outside the box. Experts in teaching workshops on Gamification Design, Design Thinking, Lego® Serious Play®, Tejeredes, Sirkona, among others.")</f>
        <v/>
      </c>
      <c r="Y1521" s="15">
        <f>IFERROR(__xludf.DUMMYFUNCTION("""COMPUTED_VALUE"""),"https://drive.google.com/uc?export=view&amp;id=1D7vaiwp4PWexcF_2EBUHmlqv54u8PMpH")</f>
        <v/>
      </c>
      <c r="Z1521" s="1">
        <f>IFERROR(__xludf.DUMMYFUNCTION("""COMPUTED_VALUE"""),"Unverified")</f>
        <v/>
      </c>
      <c r="AA1521" s="1" t="n"/>
      <c r="AB1521" s="1" t="n"/>
      <c r="AC1521" s="1" t="n"/>
      <c r="AD1521" s="1" t="n"/>
      <c r="AE1521" s="1" t="n"/>
    </row>
    <row r="1522" ht="42" customHeight="1">
      <c r="A1522" s="14">
        <f>IFERROR(__xludf.DUMMYFUNCTION("""COMPUTED_VALUE"""),45181)</f>
        <v/>
      </c>
      <c r="B1522" s="1">
        <f>IFERROR(__xludf.DUMMYFUNCTION("""COMPUTED_VALUE"""),"ORG_2149")</f>
        <v/>
      </c>
      <c r="C1522" s="1">
        <f>IFERROR(__xludf.DUMMYFUNCTION("""COMPUTED_VALUE"""),TRUE)</f>
        <v/>
      </c>
      <c r="D1522" s="1">
        <f>IFERROR(__xludf.DUMMYFUNCTION("""COMPUTED_VALUE"""),"Quodus")</f>
        <v/>
      </c>
      <c r="E1522" s="15">
        <f>IFERROR(__xludf.DUMMYFUNCTION("""COMPUTED_VALUE"""),"https://quodus.ai")</f>
        <v/>
      </c>
      <c r="F1522" s="1">
        <f>IFERROR(__xludf.DUMMYFUNCTION("""COMPUTED_VALUE"""),"Quodus is smart campus solution that helps education make the most of the space they occupy.
Quodus is a software solution that harvests data from spaces using computer vision and multi-parametric sensing to combine this data with the planned use to help"&amp;" our clients improve their productivity and space efficiency, to reduce running costs and avoid unneeded investments in new building construction.
Quodus has two different use cases: A) Scheduled use spaces, where space occupancy and planning is optimiz"&amp;"ed and B) Free use spaces, where user experience is enhanced with real time occupancy information.")</f>
        <v/>
      </c>
      <c r="G1522" s="1">
        <f>IFERROR(__xludf.DUMMYFUNCTION("""COMPUTED_VALUE"""),"SEK Lab")</f>
        <v/>
      </c>
      <c r="H1522" s="1" t="n"/>
      <c r="I1522" s="1" t="n"/>
      <c r="J1522" s="1">
        <f>IFERROR(__xludf.DUMMYFUNCTION("""COMPUTED_VALUE"""),"+34 910 606 363")</f>
        <v/>
      </c>
      <c r="K1522" s="1">
        <f>IFERROR(__xludf.DUMMYFUNCTION("""COMPUTED_VALUE"""),"Sevilla")</f>
        <v/>
      </c>
      <c r="L1522" s="1">
        <f>IFERROR(__xludf.DUMMYFUNCTION("""COMPUTED_VALUE"""),"Spain")</f>
        <v/>
      </c>
      <c r="M1522" s="1">
        <f>IFERROR(__xludf.DUMMYFUNCTION("""COMPUTED_VALUE"""),"Spain, United Kingdom")</f>
        <v/>
      </c>
      <c r="N1522" s="1">
        <f>IFERROR(__xludf.DUMMYFUNCTION("""COMPUTED_VALUE"""),"0 to 10")</f>
        <v/>
      </c>
      <c r="O1522" s="1">
        <f>IFERROR(__xludf.DUMMYFUNCTION("""COMPUTED_VALUE"""),"Business to Business, Business to Schools")</f>
        <v/>
      </c>
      <c r="P1522" s="1">
        <f>IFERROR(__xludf.DUMMYFUNCTION("""COMPUTED_VALUE"""),"Higher Education, Corporate Training")</f>
        <v/>
      </c>
      <c r="Q1522" s="1">
        <f>IFERROR(__xludf.DUMMYFUNCTION("""COMPUTED_VALUE"""),"System/Administrative")</f>
        <v/>
      </c>
      <c r="R1522" s="1" t="n"/>
      <c r="S1522" s="1" t="n"/>
      <c r="T1522" s="1" t="n"/>
      <c r="U1522" s="1">
        <f>IFERROR(__xludf.DUMMYFUNCTION("""COMPUTED_VALUE"""),"Quodus Planned")</f>
        <v/>
      </c>
      <c r="V1522" s="1">
        <f>IFERROR(__xludf.DUMMYFUNCTION("""COMPUTED_VALUE"""),"Quodus Planned monitors educational spaces harvesting real time data and combining it with with the existing scheduling software.
This solution highlights space use inefficiencies and detects any difference between planned and executed activity.
With Qu"&amp;"odus Planned, education institutions make the most of the space they occupy, increase their productivity and are more energy-efficient.")</f>
        <v/>
      </c>
      <c r="W1522" s="1">
        <f>IFERROR(__xludf.DUMMYFUNCTION("""COMPUTED_VALUE"""),"Quodus Study")</f>
        <v/>
      </c>
      <c r="X1522" s="1">
        <f>IFERROR(__xludf.DUMMYFUNCTION("""COMPUTED_VALUE"""),"Quodus Study helps enhance user experience in study rooms, libraries, cafes etc. 
Users (mostly students) see seat by seat occupancy that is obtained with Deep learning algorithms that evaluate the occupancy of the desks. The users know before leaving th"&amp;"eir homes the absolute occupancy of the place they want to study at and they know, once they are at the place seat-by-seat desk occupancy and desk surface occupancy monitoring, detecting occupation with personal belongings (laptop, bag, etc.)")</f>
        <v/>
      </c>
      <c r="Y1522" s="15">
        <f>IFERROR(__xludf.DUMMYFUNCTION("""COMPUTED_VALUE"""),"https://drive.google.com/uc?export=view&amp;id=1Nij2ibAzNi8pUTJLIEzH953hcsVRMfn2")</f>
        <v/>
      </c>
      <c r="Z1522" s="1">
        <f>IFERROR(__xludf.DUMMYFUNCTION("""COMPUTED_VALUE"""),"Unverified")</f>
        <v/>
      </c>
      <c r="AA1522" s="1" t="n"/>
      <c r="AB1522" s="1" t="n"/>
      <c r="AC1522" s="1" t="n"/>
      <c r="AD1522" s="1" t="n"/>
      <c r="AE1522" s="1" t="n"/>
    </row>
    <row r="1523" ht="42" customHeight="1">
      <c r="A1523" s="14">
        <f>IFERROR(__xludf.DUMMYFUNCTION("""COMPUTED_VALUE"""),45181)</f>
        <v/>
      </c>
      <c r="B1523" s="1">
        <f>IFERROR(__xludf.DUMMYFUNCTION("""COMPUTED_VALUE"""),"ORG_2158")</f>
        <v/>
      </c>
      <c r="C1523" s="1">
        <f>IFERROR(__xludf.DUMMYFUNCTION("""COMPUTED_VALUE"""),TRUE)</f>
        <v/>
      </c>
      <c r="D1523" s="1">
        <f>IFERROR(__xludf.DUMMYFUNCTION("""COMPUTED_VALUE"""),"Rbean")</f>
        <v/>
      </c>
      <c r="E1523" s="15">
        <f>IFERROR(__xludf.DUMMYFUNCTION("""COMPUTED_VALUE"""),"https://rbean.io")</f>
        <v/>
      </c>
      <c r="F1523" s="1">
        <f>IFERROR(__xludf.DUMMYFUNCTION("""COMPUTED_VALUE"""),"We are a pedagogy-driven company. We offer a student-centered LMS, we licence transformative tech courses to vocational schools, and we provide consulting in innovative pedagogies to schools &amp; training centers.")</f>
        <v/>
      </c>
      <c r="G1523" s="1">
        <f>IFERROR(__xludf.DUMMYFUNCTION("""COMPUTED_VALUE"""),"EdTech France")</f>
        <v/>
      </c>
      <c r="H1523" s="1" t="n"/>
      <c r="I1523" s="1">
        <f>IFERROR(__xludf.DUMMYFUNCTION("""COMPUTED_VALUE"""),"contact@rbean.io")</f>
        <v/>
      </c>
      <c r="J1523" s="1" t="n"/>
      <c r="K1523" s="1">
        <f>IFERROR(__xludf.DUMMYFUNCTION("""COMPUTED_VALUE"""),"PARIS")</f>
        <v/>
      </c>
      <c r="L1523" s="1">
        <f>IFERROR(__xludf.DUMMYFUNCTION("""COMPUTED_VALUE"""),"France")</f>
        <v/>
      </c>
      <c r="M1523" s="1">
        <f>IFERROR(__xludf.DUMMYFUNCTION("""COMPUTED_VALUE"""),"France")</f>
        <v/>
      </c>
      <c r="N1523" s="1">
        <f>IFERROR(__xludf.DUMMYFUNCTION("""COMPUTED_VALUE"""),"0 to 10")</f>
        <v/>
      </c>
      <c r="O1523" s="1">
        <f>IFERROR(__xludf.DUMMYFUNCTION("""COMPUTED_VALUE"""),"Business to Business, Business to Schools")</f>
        <v/>
      </c>
      <c r="P1523" s="1">
        <f>IFERROR(__xludf.DUMMYFUNCTION("""COMPUTED_VALUE"""),"Higher Education, Corporate Training")</f>
        <v/>
      </c>
      <c r="Q1523" s="1">
        <f>IFERROR(__xludf.DUMMYFUNCTION("""COMPUTED_VALUE"""),"Student interfacing, Teacher interfacing, System/Administrative")</f>
        <v/>
      </c>
      <c r="R1523" s="1" t="n"/>
      <c r="S1523" s="1" t="n"/>
      <c r="T1523" s="15">
        <f>IFERROR(__xludf.DUMMYFUNCTION("""COMPUTED_VALUE"""),"https://www.linkedin.com/company/30967711/")</f>
        <v/>
      </c>
      <c r="U1523" s="1">
        <f>IFERROR(__xludf.DUMMYFUNCTION("""COMPUTED_VALUE"""),"RbeanLMS")</f>
        <v/>
      </c>
      <c r="V1523" s="1">
        <f>IFERROR(__xludf.DUMMYFUNCTION("""COMPUTED_VALUE"""),"We have built a learning platform that communicates the right messages about learning. It supports innovative pedagogical practices (project-based learning, peer learning, development of metacognition, advanced gamification) and helps educators craft and "&amp;"run engaging learning experiences.")</f>
        <v/>
      </c>
      <c r="W1523" s="1">
        <f>IFERROR(__xludf.DUMMYFUNCTION("""COMPUTED_VALUE"""),"Tech vocational programs")</f>
        <v/>
      </c>
      <c r="X1523" s="1">
        <f>IFERROR(__xludf.DUMMYFUNCTION("""COMPUTED_VALUE"""),"Rbean provides empowering tech courses (coding, digital marketing, data science), tailored to each school's needs and specific audience. The courses develop both hard and soft skills, and are deployed out-of-the-box on our platform.")</f>
        <v/>
      </c>
      <c r="Y1523" s="15">
        <f>IFERROR(__xludf.DUMMYFUNCTION("""COMPUTED_VALUE"""),"https://drive.google.com/uc?export=view&amp;id=1tFTIKiXgS7IteYSGw21rFR2mHqdgXn-n")</f>
        <v/>
      </c>
      <c r="Z1523" s="1">
        <f>IFERROR(__xludf.DUMMYFUNCTION("""COMPUTED_VALUE"""),"Unverified")</f>
        <v/>
      </c>
      <c r="AA1523" s="1" t="n"/>
      <c r="AB1523" s="1" t="n"/>
      <c r="AC1523" s="1" t="n"/>
      <c r="AD1523" s="1" t="n"/>
      <c r="AE1523" s="1" t="n"/>
    </row>
    <row r="1524" ht="42" customHeight="1">
      <c r="A1524" s="14">
        <f>IFERROR(__xludf.DUMMYFUNCTION("""COMPUTED_VALUE"""),45181)</f>
        <v/>
      </c>
      <c r="B1524" s="1">
        <f>IFERROR(__xludf.DUMMYFUNCTION("""COMPUTED_VALUE"""),"ORG_2169")</f>
        <v/>
      </c>
      <c r="C1524" s="1">
        <f>IFERROR(__xludf.DUMMYFUNCTION("""COMPUTED_VALUE"""),TRUE)</f>
        <v/>
      </c>
      <c r="D1524" s="1">
        <f>IFERROR(__xludf.DUMMYFUNCTION("""COMPUTED_VALUE"""),"Reconcept")</f>
        <v/>
      </c>
      <c r="E1524" s="15">
        <f>IFERROR(__xludf.DUMMYFUNCTION("""COMPUTED_VALUE"""),"https://reconcept.nl")</f>
        <v/>
      </c>
      <c r="F1524" s="1">
        <f>IFERROR(__xludf.DUMMYFUNCTION("""COMPUTED_VALUE"""),"Reconcept is a state of the art skills and development portfolio for higher education and medical education. It is used by more than half of all medical students in The Netherlands and provides a tailored experience for students.
Reconcept Portfolio is u"&amp;"sed to collect feedback from supervisors and peers and to give validated assessments of technical and soft skills. Tools include 360 feedback, peer feedback, handing in assignments and setting personal goals.")</f>
        <v/>
      </c>
      <c r="G1524" s="1">
        <f>IFERROR(__xludf.DUMMYFUNCTION("""COMPUTED_VALUE"""),"Dutch EdTech")</f>
        <v/>
      </c>
      <c r="H1524" s="1" t="n"/>
      <c r="I1524" s="1">
        <f>IFERROR(__xludf.DUMMYFUNCTION("""COMPUTED_VALUE"""),"info@reconcept.nl")</f>
        <v/>
      </c>
      <c r="J1524" s="1" t="n"/>
      <c r="K1524" s="1">
        <f>IFERROR(__xludf.DUMMYFUNCTION("""COMPUTED_VALUE"""),"Groningen")</f>
        <v/>
      </c>
      <c r="L1524" s="1">
        <f>IFERROR(__xludf.DUMMYFUNCTION("""COMPUTED_VALUE"""),"The Netherlands")</f>
        <v/>
      </c>
      <c r="M1524" s="1">
        <f>IFERROR(__xludf.DUMMYFUNCTION("""COMPUTED_VALUE"""),"Netherlands")</f>
        <v/>
      </c>
      <c r="N1524" s="1">
        <f>IFERROR(__xludf.DUMMYFUNCTION("""COMPUTED_VALUE"""),"0 to 10")</f>
        <v/>
      </c>
      <c r="O1524" s="1">
        <f>IFERROR(__xludf.DUMMYFUNCTION("""COMPUTED_VALUE"""),"Business to Business, Business to Schools")</f>
        <v/>
      </c>
      <c r="P1524" s="1">
        <f>IFERROR(__xludf.DUMMYFUNCTION("""COMPUTED_VALUE"""),"Higher Education, Corporate Training, Lifelong learning/Adult education")</f>
        <v/>
      </c>
      <c r="Q1524" s="1">
        <f>IFERROR(__xludf.DUMMYFUNCTION("""COMPUTED_VALUE"""),"Student interfacing, Teacher interfacing, System/Administrative")</f>
        <v/>
      </c>
      <c r="R1524" s="1" t="n"/>
      <c r="S1524" s="1" t="n"/>
      <c r="T1524" s="15">
        <f>IFERROR(__xludf.DUMMYFUNCTION("""COMPUTED_VALUE"""),"https://www.linkedin.com/company/reconcept-it")</f>
        <v/>
      </c>
      <c r="U1524" s="1">
        <f>IFERROR(__xludf.DUMMYFUNCTION("""COMPUTED_VALUE"""),"Reconcept Portfolio")</f>
        <v/>
      </c>
      <c r="V1524" s="1">
        <f>IFERROR(__xludf.DUMMYFUNCTION("""COMPUTED_VALUE"""),"Reconcept is a state of the art skills and development portfolio for higher education and medical education. It is used by more than half of all medical students in The Netherlands and provides a tailored experience for students.
Reconcept Portfolio is u"&amp;"sed to collect feedback from supervisors and peers and to give validated assessments of technical and soft skills. Tools include 360 feedback, peer feedback, handing in assignments and setting personal goals.")</f>
        <v/>
      </c>
      <c r="W1524" s="1" t="n"/>
      <c r="X1524" s="1" t="n"/>
      <c r="Y1524" s="15">
        <f>IFERROR(__xludf.DUMMYFUNCTION("""COMPUTED_VALUE"""),"https://drive.google.com/uc?export=view&amp;id=1-QdWXem9dKa6dhy9DV2Ra8cDMGiDBzT4")</f>
        <v/>
      </c>
      <c r="Z1524" s="1">
        <f>IFERROR(__xludf.DUMMYFUNCTION("""COMPUTED_VALUE"""),"Unverified")</f>
        <v/>
      </c>
      <c r="AA1524" s="1" t="n"/>
      <c r="AB1524" s="1" t="n"/>
      <c r="AC1524" s="1" t="n"/>
      <c r="AD1524" s="1" t="n"/>
      <c r="AE1524" s="1" t="n"/>
    </row>
    <row r="1525" ht="42" customHeight="1">
      <c r="A1525" s="14">
        <f>IFERROR(__xludf.DUMMYFUNCTION("""COMPUTED_VALUE"""),45181)</f>
        <v/>
      </c>
      <c r="B1525" s="1">
        <f>IFERROR(__xludf.DUMMYFUNCTION("""COMPUTED_VALUE"""),"ORG_2190")</f>
        <v/>
      </c>
      <c r="C1525" s="1">
        <f>IFERROR(__xludf.DUMMYFUNCTION("""COMPUTED_VALUE"""),TRUE)</f>
        <v/>
      </c>
      <c r="D1525" s="1">
        <f>IFERROR(__xludf.DUMMYFUNCTION("""COMPUTED_VALUE"""),"Robokids")</f>
        <v/>
      </c>
      <c r="E1525" s="15">
        <f>IFERROR(__xludf.DUMMYFUNCTION("""COMPUTED_VALUE"""),"https://robokidsrobotica.com/")</f>
        <v/>
      </c>
      <c r="F1525" s="1">
        <f>IFERROR(__xludf.DUMMYFUNCTION("""COMPUTED_VALUE"""),"It is an educational company that on the basis of gamification makes it easier for students to join promoted educational projects in schools and complements/strengthens the work in terms of capabilities transversal, priority in the current educational sys"&amp;"tem.
In addition, it relieves the most frustrating common among teachers time to interact with the area technological.
Creator of tools to measure, evaluate or review knowledge through virtual escape rooms")</f>
        <v/>
      </c>
      <c r="G1525" s="1">
        <f>IFERROR(__xludf.DUMMYFUNCTION("""COMPUTED_VALUE"""),"I'm not part of any EdTech association")</f>
        <v/>
      </c>
      <c r="H1525" s="1" t="n"/>
      <c r="I1525" s="1">
        <f>IFERROR(__xludf.DUMMYFUNCTION("""COMPUTED_VALUE"""),"rafa.dorado@rbkds.com")</f>
        <v/>
      </c>
      <c r="J1525" s="1">
        <f>IFERROR(__xludf.DUMMYFUNCTION("""COMPUTED_VALUE"""),"+34 661 26 62 32")</f>
        <v/>
      </c>
      <c r="K1525" s="1">
        <f>IFERROR(__xludf.DUMMYFUNCTION("""COMPUTED_VALUE"""),"CORDOBA")</f>
        <v/>
      </c>
      <c r="L1525" s="1">
        <f>IFERROR(__xludf.DUMMYFUNCTION("""COMPUTED_VALUE"""),"Spain")</f>
        <v/>
      </c>
      <c r="M1525" s="1">
        <f>IFERROR(__xludf.DUMMYFUNCTION("""COMPUTED_VALUE"""),"Andorra, Portugal, Spain")</f>
        <v/>
      </c>
      <c r="N1525" s="1">
        <f>IFERROR(__xludf.DUMMYFUNCTION("""COMPUTED_VALUE"""),"0 to 10")</f>
        <v/>
      </c>
      <c r="O1525" s="1">
        <f>IFERROR(__xludf.DUMMYFUNCTION("""COMPUTED_VALUE"""),"Business to Consumer")</f>
        <v/>
      </c>
      <c r="P1525" s="1">
        <f>IFERROR(__xludf.DUMMYFUNCTION("""COMPUTED_VALUE"""),"Primary Education, Secondary Education, Higher Education, Corporate Training, Lifelong learning/Adult education")</f>
        <v/>
      </c>
      <c r="Q1525" s="1">
        <f>IFERROR(__xludf.DUMMYFUNCTION("""COMPUTED_VALUE"""),"System/Administrative, Student interfacing, Teacher interfacing")</f>
        <v/>
      </c>
      <c r="R1525" s="1" t="n"/>
      <c r="S1525" s="1" t="n"/>
      <c r="T1525" s="1" t="n"/>
      <c r="U1525" s="1" t="n"/>
      <c r="V1525" s="1" t="n"/>
      <c r="W1525" s="1" t="n"/>
      <c r="X1525" s="1" t="n"/>
      <c r="Y1525" s="15">
        <f>IFERROR(__xludf.DUMMYFUNCTION("""COMPUTED_VALUE"""),"https://drive.google.com/uc?export=view&amp;id=1l8Lpxo4xv8-MEcnjJ6F6ZsSk2lRevtCH")</f>
        <v/>
      </c>
      <c r="Z1525" s="1">
        <f>IFERROR(__xludf.DUMMYFUNCTION("""COMPUTED_VALUE"""),"Unverified")</f>
        <v/>
      </c>
      <c r="AA1525" s="1" t="n"/>
      <c r="AB1525" s="1" t="n"/>
      <c r="AC1525" s="1" t="n"/>
      <c r="AD1525" s="1" t="n"/>
      <c r="AE1525" s="1" t="n"/>
    </row>
    <row r="1526" ht="42" customHeight="1">
      <c r="A1526" s="14">
        <f>IFERROR(__xludf.DUMMYFUNCTION("""COMPUTED_VALUE"""),45181)</f>
        <v/>
      </c>
      <c r="B1526" s="1">
        <f>IFERROR(__xludf.DUMMYFUNCTION("""COMPUTED_VALUE"""),"ORG_2202")</f>
        <v/>
      </c>
      <c r="C1526" s="1">
        <f>IFERROR(__xludf.DUMMYFUNCTION("""COMPUTED_VALUE"""),TRUE)</f>
        <v/>
      </c>
      <c r="D1526" s="1">
        <f>IFERROR(__xludf.DUMMYFUNCTION("""COMPUTED_VALUE"""),"Royal Schedule")</f>
        <v/>
      </c>
      <c r="E1526" s="15">
        <f>IFERROR(__xludf.DUMMYFUNCTION("""COMPUTED_VALUE"""),"https://royalschedule.com/")</f>
        <v/>
      </c>
      <c r="F1526" s="1">
        <f>IFERROR(__xludf.DUMMYFUNCTION("""COMPUTED_VALUE"""),"Royal Schedule has developed an AI-based scheduling platform that can create schedules automatically. Royal Schedule is used by schools in K12 and higher education to create and maintain their schedules.
By using the Royal Schedules AI-based algorithm sc"&amp;"hools can create completed schedules in a few minutes saving the scheduler a lot of time. Furthermore, by going through millions of iterations the algorithm can optimize the schedule for the schools. This can lead to better usage of their resources and be"&amp;"tter compliance with rules and regulations.
Royal Schedule features two main products:
1. A cloud-based scheduling platform for end-users.
2. An API service that connects other products directly to the Royal Schedules scheduling algorithm.")</f>
        <v/>
      </c>
      <c r="G1526" s="1">
        <f>IFERROR(__xludf.DUMMYFUNCTION("""COMPUTED_VALUE"""),"Swedish EdTech Industry")</f>
        <v/>
      </c>
      <c r="H1526" s="1" t="n"/>
      <c r="I1526" s="1">
        <f>IFERROR(__xludf.DUMMYFUNCTION("""COMPUTED_VALUE"""),"info@royalschedule.com")</f>
        <v/>
      </c>
      <c r="J1526" s="1" t="n"/>
      <c r="K1526" s="1">
        <f>IFERROR(__xludf.DUMMYFUNCTION("""COMPUTED_VALUE"""),"STOCKHOLM")</f>
        <v/>
      </c>
      <c r="L1526" s="1">
        <f>IFERROR(__xludf.DUMMYFUNCTION("""COMPUTED_VALUE"""),"Sweden")</f>
        <v/>
      </c>
      <c r="M1526" s="1">
        <f>IFERROR(__xludf.DUMMYFUNCTION("""COMPUTED_VALUE"""),"Germany, Liechtenstein, Spain, Sweden")</f>
        <v/>
      </c>
      <c r="N1526" s="1">
        <f>IFERROR(__xludf.DUMMYFUNCTION("""COMPUTED_VALUE"""),"3 to 5")</f>
        <v/>
      </c>
      <c r="O1526" s="1">
        <f>IFERROR(__xludf.DUMMYFUNCTION("""COMPUTED_VALUE"""),"Business to Consumer, Business to Schools")</f>
        <v/>
      </c>
      <c r="P1526" s="1">
        <f>IFERROR(__xludf.DUMMYFUNCTION("""COMPUTED_VALUE"""),"Primary Education, Secondary Education")</f>
        <v/>
      </c>
      <c r="Q1526" s="1">
        <f>IFERROR(__xludf.DUMMYFUNCTION("""COMPUTED_VALUE"""),"System/Administrative")</f>
        <v/>
      </c>
      <c r="R1526" s="1" t="n"/>
      <c r="S1526" s="1" t="n"/>
      <c r="T1526" s="15">
        <f>IFERROR(__xludf.DUMMYFUNCTION("""COMPUTED_VALUE"""),"https://www.linkedin.com/company/royalschedule")</f>
        <v/>
      </c>
      <c r="U1526" s="1">
        <f>IFERROR(__xludf.DUMMYFUNCTION("""COMPUTED_VALUE"""),"Royal Schedule platform")</f>
        <v/>
      </c>
      <c r="V1526" s="1">
        <f>IFERROR(__xludf.DUMMYFUNCTION("""COMPUTED_VALUE"""),"A cloud-based scheduling platform for K12 and higher education. With the help of a smart AI, the user can create schedules automatically to save time and optimize the school's resources.")</f>
        <v/>
      </c>
      <c r="W1526" s="1">
        <f>IFERROR(__xludf.DUMMYFUNCTION("""COMPUTED_VALUE"""),"Royal Schedule API")</f>
        <v/>
      </c>
      <c r="X1526" s="1">
        <f>IFERROR(__xludf.DUMMYFUNCTION("""COMPUTED_VALUE"""),"An API service that connects other products directly to the Royal Schedules scheduling algorithm.")</f>
        <v/>
      </c>
      <c r="Y1526" s="15">
        <f>IFERROR(__xludf.DUMMYFUNCTION("""COMPUTED_VALUE"""),"https://drive.google.com/uc?export=view&amp;id=1whNpUOMWu7fdOFaS_lOl8JeOV66igEMr")</f>
        <v/>
      </c>
      <c r="Z1526" s="1">
        <f>IFERROR(__xludf.DUMMYFUNCTION("""COMPUTED_VALUE"""),"Unverified")</f>
        <v/>
      </c>
      <c r="AA1526" s="1" t="n"/>
      <c r="AB1526" s="1" t="n"/>
      <c r="AC1526" s="1" t="n"/>
      <c r="AD1526" s="1" t="n"/>
      <c r="AE1526" s="1" t="n"/>
    </row>
    <row r="1527" ht="42" customHeight="1">
      <c r="A1527" s="14">
        <f>IFERROR(__xludf.DUMMYFUNCTION("""COMPUTED_VALUE"""),45181)</f>
        <v/>
      </c>
      <c r="B1527" s="1">
        <f>IFERROR(__xludf.DUMMYFUNCTION("""COMPUTED_VALUE"""),"ORG_2300")</f>
        <v/>
      </c>
      <c r="C1527" s="1">
        <f>IFERROR(__xludf.DUMMYFUNCTION("""COMPUTED_VALUE"""),TRUE)</f>
        <v/>
      </c>
      <c r="D1527" s="1">
        <f>IFERROR(__xludf.DUMMYFUNCTION("""COMPUTED_VALUE"""),"Spacetechies")</f>
        <v/>
      </c>
      <c r="E1527" s="15">
        <f>IFERROR(__xludf.DUMMYFUNCTION("""COMPUTED_VALUE"""),"https://www.spacetechies.com/")</f>
        <v/>
      </c>
      <c r="F1527" s="1">
        <f>IFERROR(__xludf.DUMMYFUNCTION("""COMPUTED_VALUE"""),"Spacetechies is a network of training centres in digital skills such as programming, robotics, 3D printing, digital design or entrepreneurship for children from the age of five in order to facilitate employability from an early age.")</f>
        <v/>
      </c>
      <c r="G1527" s="1">
        <f>IFERROR(__xludf.DUMMYFUNCTION("""COMPUTED_VALUE"""),"I'm not part of any EdTech association")</f>
        <v/>
      </c>
      <c r="H1527" s="1" t="n"/>
      <c r="I1527" s="1">
        <f>IFERROR(__xludf.DUMMYFUNCTION("""COMPUTED_VALUE"""),"info@spacetechies.com")</f>
        <v/>
      </c>
      <c r="J1527" s="1">
        <f>IFERROR(__xludf.DUMMYFUNCTION("""COMPUTED_VALUE"""),"+34917656166")</f>
        <v/>
      </c>
      <c r="K1527" s="1">
        <f>IFERROR(__xludf.DUMMYFUNCTION("""COMPUTED_VALUE"""),"Madrid")</f>
        <v/>
      </c>
      <c r="L1527" s="1">
        <f>IFERROR(__xludf.DUMMYFUNCTION("""COMPUTED_VALUE"""),"Spain")</f>
        <v/>
      </c>
      <c r="M1527" s="1">
        <f>IFERROR(__xludf.DUMMYFUNCTION("""COMPUTED_VALUE"""),"Spain")</f>
        <v/>
      </c>
      <c r="N1527" s="1">
        <f>IFERROR(__xludf.DUMMYFUNCTION("""COMPUTED_VALUE"""),"11 to 50")</f>
        <v/>
      </c>
      <c r="O1527" s="1">
        <f>IFERROR(__xludf.DUMMYFUNCTION("""COMPUTED_VALUE"""),"Business to Consumer, Business to Schools")</f>
        <v/>
      </c>
      <c r="P1527" s="1">
        <f>IFERROR(__xludf.DUMMYFUNCTION("""COMPUTED_VALUE"""),"Primary Education, Secondary Education, Higher Education, Corporate Training, Lifelong learning/Adult education")</f>
        <v/>
      </c>
      <c r="Q1527" s="1">
        <f>IFERROR(__xludf.DUMMYFUNCTION("""COMPUTED_VALUE"""),"System/Administrative, Student interfacing, Teacher interfacing")</f>
        <v/>
      </c>
      <c r="R1527" s="1" t="n"/>
      <c r="S1527" s="1" t="n"/>
      <c r="T1527" s="1" t="n"/>
      <c r="U1527" s="1" t="n"/>
      <c r="V1527" s="1" t="n"/>
      <c r="W1527" s="1" t="n"/>
      <c r="X1527" s="1" t="n"/>
      <c r="Y1527" s="15">
        <f>IFERROR(__xludf.DUMMYFUNCTION("""COMPUTED_VALUE"""),"https://drive.google.com/uc?export=view&amp;id=1ON1eu7XSyuNfHhKcmFhjZZr1JE5nxSGf")</f>
        <v/>
      </c>
      <c r="Z1527" s="1">
        <f>IFERROR(__xludf.DUMMYFUNCTION("""COMPUTED_VALUE"""),"Unverified")</f>
        <v/>
      </c>
      <c r="AA1527" s="1" t="n"/>
      <c r="AB1527" s="1" t="n"/>
      <c r="AC1527" s="1" t="n"/>
      <c r="AD1527" s="1" t="n"/>
      <c r="AE1527" s="1" t="n"/>
    </row>
    <row r="1528" ht="42" customHeight="1">
      <c r="A1528" s="14">
        <f>IFERROR(__xludf.DUMMYFUNCTION("""COMPUTED_VALUE"""),45181)</f>
        <v/>
      </c>
      <c r="B1528" s="1">
        <f>IFERROR(__xludf.DUMMYFUNCTION("""COMPUTED_VALUE"""),"ORG_2313")</f>
        <v/>
      </c>
      <c r="C1528" s="1">
        <f>IFERROR(__xludf.DUMMYFUNCTION("""COMPUTED_VALUE"""),TRUE)</f>
        <v/>
      </c>
      <c r="D1528" s="1">
        <f>IFERROR(__xludf.DUMMYFUNCTION("""COMPUTED_VALUE"""),"Spürnasenecke GmbH")</f>
        <v/>
      </c>
      <c r="E1528" s="15">
        <f>IFERROR(__xludf.DUMMYFUNCTION("""COMPUTED_VALUE"""),"https://www.spuernasenecke.com/")</f>
        <v/>
      </c>
      <c r="F1528" s="1">
        <f>IFERROR(__xludf.DUMMYFUNCTION("""COMPUTED_VALUE"""),"The ""Spürnasenecke"" is an institution for research and experimentation with children in preschool. It includes specially developed furniture, a wide variety of research utensils from the MINT area (science, technology, engineering, and mathematics) as w"&amp;"ell as ongoing training and network meetings with the educators.
She arouses interest in STEM subjects, recognizes and promotes talent early on and supports children, to become young specialists in science, technology, engineering and mathematics.
Elli,"&amp;" the expedition squirrel, and Hansi, her rabbit friend, accompany the children on their research adventures.")</f>
        <v/>
      </c>
      <c r="G1528" s="1">
        <f>IFERROR(__xludf.DUMMYFUNCTION("""COMPUTED_VALUE"""),"I'm not part of any EdTech association")</f>
        <v/>
      </c>
      <c r="H1528" s="1" t="n"/>
      <c r="I1528" s="1">
        <f>IFERROR(__xludf.DUMMYFUNCTION("""COMPUTED_VALUE"""),"info@spuernasenecke.com")</f>
        <v/>
      </c>
      <c r="J1528" s="1">
        <f>IFERROR(__xludf.DUMMYFUNCTION("""COMPUTED_VALUE"""),"+43 680 1158309")</f>
        <v/>
      </c>
      <c r="K1528" s="1">
        <f>IFERROR(__xludf.DUMMYFUNCTION("""COMPUTED_VALUE"""),"SALZBURG")</f>
        <v/>
      </c>
      <c r="L1528" s="1">
        <f>IFERROR(__xludf.DUMMYFUNCTION("""COMPUTED_VALUE"""),"Austria")</f>
        <v/>
      </c>
      <c r="M1528" s="1">
        <f>IFERROR(__xludf.DUMMYFUNCTION("""COMPUTED_VALUE"""),"Austria, Germany, Switzerland")</f>
        <v/>
      </c>
      <c r="N1528" s="1">
        <f>IFERROR(__xludf.DUMMYFUNCTION("""COMPUTED_VALUE"""),"0 to 10")</f>
        <v/>
      </c>
      <c r="O1528" s="1">
        <f>IFERROR(__xludf.DUMMYFUNCTION("""COMPUTED_VALUE"""),"Business to Government, Business to Schools")</f>
        <v/>
      </c>
      <c r="P1528" s="1">
        <f>IFERROR(__xludf.DUMMYFUNCTION("""COMPUTED_VALUE"""),"Early childhood development (0-5 years), Primary Education")</f>
        <v/>
      </c>
      <c r="Q1528" s="1">
        <f>IFERROR(__xludf.DUMMYFUNCTION("""COMPUTED_VALUE"""),"System/Administrative")</f>
        <v/>
      </c>
      <c r="R1528" s="1" t="n"/>
      <c r="S1528" s="1" t="n"/>
      <c r="T1528" s="1" t="n"/>
      <c r="U1528" s="1" t="n"/>
      <c r="V1528" s="1" t="n"/>
      <c r="W1528" s="1" t="n"/>
      <c r="X1528" s="1" t="n"/>
      <c r="Y1528" s="1" t="n"/>
      <c r="Z1528" s="1">
        <f>IFERROR(__xludf.DUMMYFUNCTION("""COMPUTED_VALUE"""),"Unverified")</f>
        <v/>
      </c>
      <c r="AA1528" s="1" t="n"/>
      <c r="AB1528" s="1" t="n"/>
      <c r="AC1528" s="1" t="n"/>
      <c r="AD1528" s="1" t="n"/>
      <c r="AE1528" s="1" t="n"/>
    </row>
    <row r="1529" ht="42" customHeight="1">
      <c r="A1529" s="14">
        <f>IFERROR(__xludf.DUMMYFUNCTION("""COMPUTED_VALUE"""),45181)</f>
        <v/>
      </c>
      <c r="B1529" s="1">
        <f>IFERROR(__xludf.DUMMYFUNCTION("""COMPUTED_VALUE"""),"ORG_2472")</f>
        <v/>
      </c>
      <c r="C1529" s="1">
        <f>IFERROR(__xludf.DUMMYFUNCTION("""COMPUTED_VALUE"""),TRUE)</f>
        <v/>
      </c>
      <c r="D1529" s="1">
        <f>IFERROR(__xludf.DUMMYFUNCTION("""COMPUTED_VALUE"""),"Untis")</f>
        <v/>
      </c>
      <c r="E1529" s="15">
        <f>IFERROR(__xludf.DUMMYFUNCTION("""COMPUTED_VALUE"""),"www.untis.at")</f>
        <v/>
      </c>
      <c r="F1529" s="1">
        <f>IFERROR(__xludf.DUMMYFUNCTION("""COMPUTED_VALUE"""),"Untis creates timetables with the click of a button for more than 26.000 school worldwide. Among our product suite you find tools for substitution scheduling, room booking, class register, communication and many more...")</f>
        <v/>
      </c>
      <c r="G1529" s="1">
        <f>IFERROR(__xludf.DUMMYFUNCTION("""COMPUTED_VALUE"""),"I'm not part of any EdTech association")</f>
        <v/>
      </c>
      <c r="H1529" s="1" t="n"/>
      <c r="I1529" s="1">
        <f>IFERROR(__xludf.DUMMYFUNCTION("""COMPUTED_VALUE"""),"christian.gruber@untis.at")</f>
        <v/>
      </c>
      <c r="J1529" s="1">
        <f>IFERROR(__xludf.DUMMYFUNCTION("""COMPUTED_VALUE"""),"+43226662241-0")</f>
        <v/>
      </c>
      <c r="K1529" s="1">
        <f>IFERROR(__xludf.DUMMYFUNCTION("""COMPUTED_VALUE"""),"Stockerau")</f>
        <v/>
      </c>
      <c r="L1529" s="1">
        <f>IFERROR(__xludf.DUMMYFUNCTION("""COMPUTED_VALUE"""),"Austria")</f>
        <v/>
      </c>
      <c r="M1529" s="1">
        <f>IFERROR(__xludf.DUMMYFUNCTION("""COMPUTED_VALUE"""),"Austria, Belgium, Bosnia and Herzegovina, Croatia, Denmark, Estonia, Finland, Germany, Ireland, Italy, Liechtenstein, Lithuania, Luxembourg, Netherlands, Norway, Portugal, Romania, Spain, Sweden, Switzerland")</f>
        <v/>
      </c>
      <c r="N1529" s="1">
        <f>IFERROR(__xludf.DUMMYFUNCTION("""COMPUTED_VALUE"""),"100+")</f>
        <v/>
      </c>
      <c r="O1529" s="1">
        <f>IFERROR(__xludf.DUMMYFUNCTION("""COMPUTED_VALUE"""),"Business to Schools")</f>
        <v/>
      </c>
      <c r="P1529" s="1">
        <f>IFERROR(__xludf.DUMMYFUNCTION("""COMPUTED_VALUE"""),"Primary Education, Secondary Education, Higher Education")</f>
        <v/>
      </c>
      <c r="Q1529" s="1">
        <f>IFERROR(__xludf.DUMMYFUNCTION("""COMPUTED_VALUE"""),"System/Administrative, Student interfacing, Teacher interfacing")</f>
        <v/>
      </c>
      <c r="R1529" s="1" t="n"/>
      <c r="S1529" s="1" t="n"/>
      <c r="T1529" s="1" t="n"/>
      <c r="U1529" s="1" t="n"/>
      <c r="V1529" s="1" t="n"/>
      <c r="W1529" s="1" t="n"/>
      <c r="X1529" s="1" t="n"/>
      <c r="Y1529" s="15">
        <f>IFERROR(__xludf.DUMMYFUNCTION("""COMPUTED_VALUE"""),"https://drive.google.com/uc?export=view&amp;id=1tTgCwOtIBd-WISdDO0cFGJ-sdhIC5FK7")</f>
        <v/>
      </c>
      <c r="Z1529" s="1">
        <f>IFERROR(__xludf.DUMMYFUNCTION("""COMPUTED_VALUE"""),"Unverified")</f>
        <v/>
      </c>
      <c r="AA1529" s="1" t="n"/>
      <c r="AB1529" s="1" t="n"/>
      <c r="AC1529" s="1" t="n"/>
      <c r="AD1529" s="1" t="n"/>
      <c r="AE1529" s="1" t="n"/>
    </row>
    <row r="1530" ht="42" customHeight="1">
      <c r="A1530" s="14">
        <f>IFERROR(__xludf.DUMMYFUNCTION("""COMPUTED_VALUE"""),45181)</f>
        <v/>
      </c>
      <c r="B1530" s="1">
        <f>IFERROR(__xludf.DUMMYFUNCTION("""COMPUTED_VALUE"""),"ORG_2488")</f>
        <v/>
      </c>
      <c r="C1530" s="1">
        <f>IFERROR(__xludf.DUMMYFUNCTION("""COMPUTED_VALUE"""),TRUE)</f>
        <v/>
      </c>
      <c r="D1530" s="1">
        <f>IFERROR(__xludf.DUMMYFUNCTION("""COMPUTED_VALUE"""),"VIALUDO")</f>
        <v/>
      </c>
      <c r="E1530" s="15">
        <f>IFERROR(__xludf.DUMMYFUNCTION("""COMPUTED_VALUE"""),"https://www.judicia.app/")</f>
        <v/>
      </c>
      <c r="F1530" s="1">
        <f>IFERROR(__xludf.DUMMYFUNCTION("""COMPUTED_VALUE"""),"VIALUDO has the reason to make available to all through the game essential but reputed difficult to access areas such as law, finance, science, accounting..")</f>
        <v/>
      </c>
      <c r="G1530" s="1">
        <f>IFERROR(__xludf.DUMMYFUNCTION("""COMPUTED_VALUE"""),"EdTech France")</f>
        <v/>
      </c>
      <c r="H1530" s="1" t="n"/>
      <c r="I1530" s="1">
        <f>IFERROR(__xludf.DUMMYFUNCTION("""COMPUTED_VALUE"""),"contact@judicia.app")</f>
        <v/>
      </c>
      <c r="J1530" s="1">
        <f>IFERROR(__xludf.DUMMYFUNCTION("""COMPUTED_VALUE"""),"+33 7 80 96 50 85")</f>
        <v/>
      </c>
      <c r="K1530" s="1">
        <f>IFERROR(__xludf.DUMMYFUNCTION("""COMPUTED_VALUE"""),"PARIS")</f>
        <v/>
      </c>
      <c r="L1530" s="1">
        <f>IFERROR(__xludf.DUMMYFUNCTION("""COMPUTED_VALUE"""),"France")</f>
        <v/>
      </c>
      <c r="M1530" s="1">
        <f>IFERROR(__xludf.DUMMYFUNCTION("""COMPUTED_VALUE"""),"Austria, Belgium, Denmark, Finland, France, Germany, Greece, Iceland, Ireland, Italy, Liechtenstein, Luxembourg, Malta, Monaco, Netherlands, Norway, Poland, Portugal, Romania, Spain, Sweden, Switzerland, United Kingdom")</f>
        <v/>
      </c>
      <c r="N1530" s="1">
        <f>IFERROR(__xludf.DUMMYFUNCTION("""COMPUTED_VALUE"""),"0 to 10")</f>
        <v/>
      </c>
      <c r="O1530" s="1">
        <f>IFERROR(__xludf.DUMMYFUNCTION("""COMPUTED_VALUE"""),"Business to Consumer, Business to Government, Business to Schools")</f>
        <v/>
      </c>
      <c r="P1530" s="1">
        <f>IFERROR(__xludf.DUMMYFUNCTION("""COMPUTED_VALUE"""),"Secondary Education, Higher Education, Corporate Training, Lifelong learning/Adult education")</f>
        <v/>
      </c>
      <c r="Q1530" s="1">
        <f>IFERROR(__xludf.DUMMYFUNCTION("""COMPUTED_VALUE"""),"System/Administrative, Student interfacing, Teacher interfacing")</f>
        <v/>
      </c>
      <c r="R1530" s="1" t="n"/>
      <c r="S1530" s="1" t="n"/>
      <c r="T1530" s="1" t="n"/>
      <c r="U1530" s="1">
        <f>IFERROR(__xludf.DUMMYFUNCTION("""COMPUTED_VALUE"""),"JUDICIA")</f>
        <v/>
      </c>
      <c r="V1530" s="1">
        <f>IFERROR(__xludf.DUMMYFUNCTION("""COMPUTED_VALUE"""),"JUDICIA, the serious game that allows to know its rights")</f>
        <v/>
      </c>
      <c r="W1530" s="1" t="n"/>
      <c r="X1530" s="1" t="n"/>
      <c r="Y1530" s="15">
        <f>IFERROR(__xludf.DUMMYFUNCTION("""COMPUTED_VALUE"""),"https://drive.google.com/uc?export=view&amp;id=1OobHUoE1398omjrJuU_Jjy2mxrcb_GAA")</f>
        <v/>
      </c>
      <c r="Z1530" s="1">
        <f>IFERROR(__xludf.DUMMYFUNCTION("""COMPUTED_VALUE"""),"Unverified")</f>
        <v/>
      </c>
      <c r="AA1530" s="1" t="n"/>
      <c r="AB1530" s="1" t="n"/>
      <c r="AC1530" s="1" t="n"/>
      <c r="AD1530" s="1" t="n"/>
      <c r="AE1530" s="1" t="n"/>
    </row>
    <row r="1531" ht="42" customHeight="1">
      <c r="A1531" s="14">
        <f>IFERROR(__xludf.DUMMYFUNCTION("""COMPUTED_VALUE"""),45181)</f>
        <v/>
      </c>
      <c r="B1531" s="1">
        <f>IFERROR(__xludf.DUMMYFUNCTION("""COMPUTED_VALUE"""),"ORG_1016")</f>
        <v/>
      </c>
      <c r="C1531" s="1">
        <f>IFERROR(__xludf.DUMMYFUNCTION("""COMPUTED_VALUE"""),TRUE)</f>
        <v/>
      </c>
      <c r="D1531" s="1">
        <f>IFERROR(__xludf.DUMMYFUNCTION("""COMPUTED_VALUE"""),"7Speaking")</f>
        <v/>
      </c>
      <c r="E1531" s="15">
        <f>IFERROR(__xludf.DUMMYFUNCTION("""COMPUTED_VALUE"""),"https://www.7speaking.com")</f>
        <v/>
      </c>
      <c r="F1531" s="1">
        <f>IFERROR(__xludf.DUMMYFUNCTION("""COMPUTED_VALUE"""),"Founded in 2001, 7Speaking has rapidly become a leader in the distance- learning language market. 7Speaking is an innovative French blended-learning company that offers online immersion programs in English, French, Spanish, German and Italian.
We cover ev"&amp;"ery type of linguistic training: individual and group classes, e-learning, social learning, double skill training, news-based lessons, video chat… and every activity is personalized according to the level, profession, sector and interests of learners.
Our"&amp;" key figures:
+ 2000: the number of 7Speaking’s major accounts around the world,
 + 75: the number of 7Speaking’s partners on 5 continents,
 + 20: the number of countries in which 7Speaking is present
(France, Italy, Spain, Germany, Mexico, Brazil, Argent"&amp;"ina, Colombia, China, etc.)")</f>
        <v/>
      </c>
      <c r="G1531" s="1">
        <f>IFERROR(__xludf.DUMMYFUNCTION("""COMPUTED_VALUE"""),"I'm not part of any EdTech association")</f>
        <v/>
      </c>
      <c r="H1531" s="1" t="n"/>
      <c r="I1531" s="1">
        <f>IFERROR(__xludf.DUMMYFUNCTION("""COMPUTED_VALUE"""),"kevin.notelle@7speaking.com")</f>
        <v/>
      </c>
      <c r="J1531" s="1">
        <f>IFERROR(__xludf.DUMMYFUNCTION("""COMPUTED_VALUE"""),"+33 1 44 75 09 77")</f>
        <v/>
      </c>
      <c r="K1531" s="1">
        <f>IFERROR(__xludf.DUMMYFUNCTION("""COMPUTED_VALUE"""),"COURBEVOIE")</f>
        <v/>
      </c>
      <c r="L1531" s="1">
        <f>IFERROR(__xludf.DUMMYFUNCTION("""COMPUTED_VALUE"""),"France")</f>
        <v/>
      </c>
      <c r="M1531" s="1">
        <f>IFERROR(__xludf.DUMMYFUNCTION("""COMPUTED_VALUE"""),"Belgium, France, Germany, Italy, Luxembourg, Portugal, Spain, Turkey")</f>
        <v/>
      </c>
      <c r="N1531" s="1">
        <f>IFERROR(__xludf.DUMMYFUNCTION("""COMPUTED_VALUE"""),"11 to 50")</f>
        <v/>
      </c>
      <c r="O1531" s="1">
        <f>IFERROR(__xludf.DUMMYFUNCTION("""COMPUTED_VALUE"""),"Business to Business")</f>
        <v/>
      </c>
      <c r="P1531" s="1">
        <f>IFERROR(__xludf.DUMMYFUNCTION("""COMPUTED_VALUE"""),"Corporate Training, Lifelong learning/Adult education")</f>
        <v/>
      </c>
      <c r="Q1531" s="1">
        <f>IFERROR(__xludf.DUMMYFUNCTION("""COMPUTED_VALUE"""),"Teacher interfacing, Student interfacing, System/Administrative")</f>
        <v/>
      </c>
      <c r="R1531" s="1" t="n"/>
      <c r="S1531" s="1" t="n"/>
      <c r="T1531" s="1" t="n"/>
      <c r="U1531" s="1" t="n"/>
      <c r="V1531" s="1" t="n"/>
      <c r="W1531" s="1" t="n"/>
      <c r="X1531" s="1" t="n"/>
      <c r="Y1531" s="15">
        <f>IFERROR(__xludf.DUMMYFUNCTION("""COMPUTED_VALUE"""),"https://drive.google.com/uc?export=view&amp;id=1NHaUxnWKf23_Y2ZK_TjavMimWylrYNmv")</f>
        <v/>
      </c>
      <c r="Z1531" s="1">
        <f>IFERROR(__xludf.DUMMYFUNCTION("""COMPUTED_VALUE"""),"Unverified")</f>
        <v/>
      </c>
      <c r="AA1531" s="1" t="n"/>
      <c r="AB1531" s="1" t="n"/>
      <c r="AC1531" s="1" t="n"/>
      <c r="AD1531" s="1" t="n"/>
      <c r="AE1531" s="1" t="n"/>
    </row>
    <row r="1532" ht="42" customHeight="1">
      <c r="A1532" s="14">
        <f>IFERROR(__xludf.DUMMYFUNCTION("""COMPUTED_VALUE"""),45181)</f>
        <v/>
      </c>
      <c r="B1532" s="1">
        <f>IFERROR(__xludf.DUMMYFUNCTION("""COMPUTED_VALUE"""),"ORG_1283")</f>
        <v/>
      </c>
      <c r="C1532" s="1">
        <f>IFERROR(__xludf.DUMMYFUNCTION("""COMPUTED_VALUE"""),TRUE)</f>
        <v/>
      </c>
      <c r="D1532" s="1">
        <f>IFERROR(__xludf.DUMMYFUNCTION("""COMPUTED_VALUE"""),"COLORI")</f>
        <v/>
      </c>
      <c r="E1532" s="15">
        <f>IFERROR(__xludf.DUMMYFUNCTION("""COMPUTED_VALUE"""),"https://colori.education/")</f>
        <v/>
      </c>
      <c r="F1532" s="1">
        <f>IFERROR(__xludf.DUMMYFUNCTION("""COMPUTED_VALUE"""),"Created in September 2017, COLORI aims to prepare children for the technological transformations that we are experiencing today. COLORI offers activities to discover coding and technology, for children between 3-8 year old, without screens, after school o"&amp;"r during school hours. COLORI offers classes for children and training for the educational community")</f>
        <v/>
      </c>
      <c r="G1532" s="1">
        <f>IFERROR(__xludf.DUMMYFUNCTION("""COMPUTED_VALUE"""),"EdTech France")</f>
        <v/>
      </c>
      <c r="H1532" s="1" t="n"/>
      <c r="I1532" s="1">
        <f>IFERROR(__xludf.DUMMYFUNCTION("""COMPUTED_VALUE"""),"perrine@colori.education")</f>
        <v/>
      </c>
      <c r="J1532" s="1">
        <f>IFERROR(__xludf.DUMMYFUNCTION("""COMPUTED_VALUE"""),"622214548")</f>
        <v/>
      </c>
      <c r="K1532" s="1">
        <f>IFERROR(__xludf.DUMMYFUNCTION("""COMPUTED_VALUE"""),"Fontenay sous Bois")</f>
        <v/>
      </c>
      <c r="L1532" s="1">
        <f>IFERROR(__xludf.DUMMYFUNCTION("""COMPUTED_VALUE"""),"France")</f>
        <v/>
      </c>
      <c r="M1532" s="1">
        <f>IFERROR(__xludf.DUMMYFUNCTION("""COMPUTED_VALUE"""),"France")</f>
        <v/>
      </c>
      <c r="N1532" s="1">
        <f>IFERROR(__xludf.DUMMYFUNCTION("""COMPUTED_VALUE"""),"0 to 10")</f>
        <v/>
      </c>
      <c r="O1532" s="1">
        <f>IFERROR(__xludf.DUMMYFUNCTION("""COMPUTED_VALUE"""),"Business to Business, Business to Consumer, Business to Government")</f>
        <v/>
      </c>
      <c r="P1532" s="1">
        <f>IFERROR(__xludf.DUMMYFUNCTION("""COMPUTED_VALUE"""),"Primary Education, Corporate Training")</f>
        <v/>
      </c>
      <c r="Q1532" s="1">
        <f>IFERROR(__xludf.DUMMYFUNCTION("""COMPUTED_VALUE"""),"System/Administrative, Student interfacing, Teacher interfacing")</f>
        <v/>
      </c>
      <c r="R1532" s="15">
        <f>IFERROR(__xludf.DUMMYFUNCTION("""COMPUTED_VALUE"""),"https://www.instagram.com/colori.officiel/")</f>
        <v/>
      </c>
      <c r="S1532" s="15">
        <f>IFERROR(__xludf.DUMMYFUNCTION("""COMPUTED_VALUE"""),"https://twitter.com/COLORIeducation")</f>
        <v/>
      </c>
      <c r="T1532" s="15">
        <f>IFERROR(__xludf.DUMMYFUNCTION("""COMPUTED_VALUE"""),"https://www.linkedin.com/company/colori-montessori")</f>
        <v/>
      </c>
      <c r="U1532" s="1">
        <f>IFERROR(__xludf.DUMMYFUNCTION("""COMPUTED_VALUE"""),"TRAININGS &amp; CERTIFICATIONS")</f>
        <v/>
      </c>
      <c r="V1532" s="1">
        <f>IFERROR(__xludf.DUMMYFUNCTION("""COMPUTED_VALUE"""),"The training focuses on the transmission of our pedagogy, COLORI activities and computer concepts.")</f>
        <v/>
      </c>
      <c r="W1532" s="1">
        <f>IFERROR(__xludf.DUMMYFUNCTION("""COMPUTED_VALUE"""),"CLASSES")</f>
        <v/>
      </c>
      <c r="X1532" s="1">
        <f>IFERROR(__xludf.DUMMYFUNCTION("""COMPUTED_VALUE"""),"For municipalities and schools wishing to roll out after school activities. We work with fifty local councils in France.")</f>
        <v/>
      </c>
      <c r="Y1532" s="15">
        <f>IFERROR(__xludf.DUMMYFUNCTION("""COMPUTED_VALUE"""),"https://drive.google.com/uc?export=view&amp;id=1b7XVmp7dwOIwtZwFFqOBbnGrm1bkPF4D")</f>
        <v/>
      </c>
      <c r="Z1532" s="1">
        <f>IFERROR(__xludf.DUMMYFUNCTION("""COMPUTED_VALUE"""),"Unverified")</f>
        <v/>
      </c>
      <c r="AA1532" s="1" t="n"/>
      <c r="AB1532" s="1" t="n"/>
      <c r="AC1532" s="1" t="n"/>
      <c r="AD1532" s="1" t="n"/>
      <c r="AE1532" s="1" t="n"/>
    </row>
    <row r="1533" ht="42" customHeight="1">
      <c r="A1533" s="14">
        <f>IFERROR(__xludf.DUMMYFUNCTION("""COMPUTED_VALUE"""),45181)</f>
        <v/>
      </c>
      <c r="B1533" s="1">
        <f>IFERROR(__xludf.DUMMYFUNCTION("""COMPUTED_VALUE"""),"ORG_1525")</f>
        <v/>
      </c>
      <c r="C1533" s="1">
        <f>IFERROR(__xludf.DUMMYFUNCTION("""COMPUTED_VALUE"""),TRUE)</f>
        <v/>
      </c>
      <c r="D1533" s="1">
        <f>IFERROR(__xludf.DUMMYFUNCTION("""COMPUTED_VALUE"""),"Evaluo")</f>
        <v/>
      </c>
      <c r="E1533" s="15">
        <f>IFERROR(__xludf.DUMMYFUNCTION("""COMPUTED_VALUE"""),"https://evaluo.eu/")</f>
        <v/>
      </c>
      <c r="F1533" s="1">
        <f>IFERROR(__xludf.DUMMYFUNCTION("""COMPUTED_VALUE"""),"Evaluo commits to resolve organizational issues of assessment exams.
Evaluo is an online solution which ensures an optimal experience to educational institutions, from the creation of subjects throught the conduct of the tests to the marking script.
The"&amp;" solution is adaptable to almost all digital interfaces and allows educational institutions, training organizations and companies to manage the entire exams process.
In face to face, hybrid or at distance education, Evaluo reponds in many cases : entranc"&amp;"e examination, continious monitoring, certified exams, written and oral tests, ...
The solution integrates certification referentials required for graduation.")</f>
        <v/>
      </c>
      <c r="G1533" s="1">
        <f>IFERROR(__xludf.DUMMYFUNCTION("""COMPUTED_VALUE"""),"EdTech France")</f>
        <v/>
      </c>
      <c r="H1533" s="1" t="n"/>
      <c r="I1533" s="1">
        <f>IFERROR(__xludf.DUMMYFUNCTION("""COMPUTED_VALUE"""),"cedric.delatorre@evaluo.eu")</f>
        <v/>
      </c>
      <c r="J1533" s="1">
        <f>IFERROR(__xludf.DUMMYFUNCTION("""COMPUTED_VALUE"""),"758343113")</f>
        <v/>
      </c>
      <c r="K1533" s="1">
        <f>IFERROR(__xludf.DUMMYFUNCTION("""COMPUTED_VALUE"""),"PARIS")</f>
        <v/>
      </c>
      <c r="L1533" s="1">
        <f>IFERROR(__xludf.DUMMYFUNCTION("""COMPUTED_VALUE"""),"France")</f>
        <v/>
      </c>
      <c r="M1533" s="1">
        <f>IFERROR(__xludf.DUMMYFUNCTION("""COMPUTED_VALUE"""),"France")</f>
        <v/>
      </c>
      <c r="N1533" s="1">
        <f>IFERROR(__xludf.DUMMYFUNCTION("""COMPUTED_VALUE"""),"0 to 10")</f>
        <v/>
      </c>
      <c r="O1533" s="1">
        <f>IFERROR(__xludf.DUMMYFUNCTION("""COMPUTED_VALUE"""),"Business to Business, Business to Government, Business to Schools")</f>
        <v/>
      </c>
      <c r="P1533" s="1">
        <f>IFERROR(__xludf.DUMMYFUNCTION("""COMPUTED_VALUE"""),"Secondary Education, Higher Education, Corporate Training")</f>
        <v/>
      </c>
      <c r="Q1533" s="1">
        <f>IFERROR(__xludf.DUMMYFUNCTION("""COMPUTED_VALUE"""),"Student interfacing, Teacher interfacing, System/Administrative")</f>
        <v/>
      </c>
      <c r="R1533" s="1">
        <f>IFERROR(__xludf.DUMMYFUNCTION("""COMPUTED_VALUE"""),"Evaluo")</f>
        <v/>
      </c>
      <c r="S1533" s="15">
        <f>IFERROR(__xludf.DUMMYFUNCTION("""COMPUTED_VALUE"""),"https://twitter.com/evaluo20")</f>
        <v/>
      </c>
      <c r="T1533" s="15">
        <f>IFERROR(__xludf.DUMMYFUNCTION("""COMPUTED_VALUE"""),"https://www.linkedin.com/company/e-valuo/?viewAsMember=true")</f>
        <v/>
      </c>
      <c r="U1533" s="1">
        <f>IFERROR(__xludf.DUMMYFUNCTION("""COMPUTED_VALUE"""),"Evaluo Premium")</f>
        <v/>
      </c>
      <c r="V1533" s="1">
        <f>IFERROR(__xludf.DUMMYFUNCTION("""COMPUTED_VALUE"""),"Evaluo premium offers unlimited access to the main features of the application. With Premium, educational institutions have everything they need to run secure exams :
- Creation of exam topics
- Smooth student interface
- Flexible organization of exams
-"&amp;" Waiting room for students
- Monitoring room
- Chat
- Marking module
- Anti-cheating system")</f>
        <v/>
      </c>
      <c r="W1533" s="1">
        <f>IFERROR(__xludf.DUMMYFUNCTION("""COMPUTED_VALUE"""),"Evaluo Proctoring")</f>
        <v/>
      </c>
      <c r="X1533" s="1">
        <f>IFERROR(__xludf.DUMMYFUNCTION("""COMPUTED_VALUE"""),"Evaluo proctoring provides educational institutions with additional security in the organization of exams. Exams are monitored in live thanks to video surveillance by supervisors of the establishment or provided by Evaluo.
This technology allows establis"&amp;"hments to guarantee the integrity of a face-to-face or remote examination. Supervisors can add comments about students, chat with struggling students, and block cheating students.")</f>
        <v/>
      </c>
      <c r="Y1533" s="15">
        <f>IFERROR(__xludf.DUMMYFUNCTION("""COMPUTED_VALUE"""),"https://drive.google.com/uc?export=view&amp;id=14Ba0fXAI1cuNvOLDuQ_FShFSG1YeO6zR")</f>
        <v/>
      </c>
      <c r="Z1533" s="1">
        <f>IFERROR(__xludf.DUMMYFUNCTION("""COMPUTED_VALUE"""),"Unverified")</f>
        <v/>
      </c>
      <c r="AA1533" s="1" t="n"/>
      <c r="AB1533" s="1" t="n"/>
      <c r="AC1533" s="1" t="n"/>
      <c r="AD1533" s="1" t="n"/>
      <c r="AE1533" s="1" t="n"/>
    </row>
    <row r="1534" ht="42" customHeight="1">
      <c r="A1534" s="14">
        <f>IFERROR(__xludf.DUMMYFUNCTION("""COMPUTED_VALUE"""),45181)</f>
        <v/>
      </c>
      <c r="B1534" s="1">
        <f>IFERROR(__xludf.DUMMYFUNCTION("""COMPUTED_VALUE"""),"ORG_1718")</f>
        <v/>
      </c>
      <c r="C1534" s="1">
        <f>IFERROR(__xludf.DUMMYFUNCTION("""COMPUTED_VALUE"""),TRUE)</f>
        <v/>
      </c>
      <c r="D1534" s="1">
        <f>IFERROR(__xludf.DUMMYFUNCTION("""COMPUTED_VALUE"""),"Impala")</f>
        <v/>
      </c>
      <c r="E1534" s="15">
        <f>IFERROR(__xludf.DUMMYFUNCTION("""COMPUTED_VALUE"""),"impala.in")</f>
        <v/>
      </c>
      <c r="F1534" s="1">
        <f>IFERROR(__xludf.DUMMYFUNCTION("""COMPUTED_VALUE"""),"Impala aims to empower people to make conscious and coherent career decisions.")</f>
        <v/>
      </c>
      <c r="G1534" s="1">
        <f>IFERROR(__xludf.DUMMYFUNCTION("""COMPUTED_VALUE"""),"EdTech France")</f>
        <v/>
      </c>
      <c r="H1534" s="1" t="n"/>
      <c r="I1534" s="1">
        <f>IFERROR(__xludf.DUMMYFUNCTION("""COMPUTED_VALUE"""),"contact@impala.in")</f>
        <v/>
      </c>
      <c r="J1534" s="1" t="n"/>
      <c r="K1534" s="1">
        <f>IFERROR(__xludf.DUMMYFUNCTION("""COMPUTED_VALUE"""),"PARIS")</f>
        <v/>
      </c>
      <c r="L1534" s="1">
        <f>IFERROR(__xludf.DUMMYFUNCTION("""COMPUTED_VALUE"""),"France")</f>
        <v/>
      </c>
      <c r="M1534" s="1">
        <f>IFERROR(__xludf.DUMMYFUNCTION("""COMPUTED_VALUE"""),"France")</f>
        <v/>
      </c>
      <c r="N1534" s="1">
        <f>IFERROR(__xludf.DUMMYFUNCTION("""COMPUTED_VALUE"""),"11 to 50")</f>
        <v/>
      </c>
      <c r="O1534" s="1">
        <f>IFERROR(__xludf.DUMMYFUNCTION("""COMPUTED_VALUE"""),"Business to Business, Business to Schools")</f>
        <v/>
      </c>
      <c r="P1534" s="1">
        <f>IFERROR(__xludf.DUMMYFUNCTION("""COMPUTED_VALUE"""),"Secondary Education, Higher Education, Lifelong learning/Adult education")</f>
        <v/>
      </c>
      <c r="Q1534" s="1">
        <f>IFERROR(__xludf.DUMMYFUNCTION("""COMPUTED_VALUE"""),"System/Administrative, Student interfacing, Teacher interfacing")</f>
        <v/>
      </c>
      <c r="R1534" s="1" t="n"/>
      <c r="S1534" s="15">
        <f>IFERROR(__xludf.DUMMYFUNCTION("""COMPUTED_VALUE"""),"https://twitter.com/ImpalaEdu")</f>
        <v/>
      </c>
      <c r="T1534" s="15">
        <f>IFERROR(__xludf.DUMMYFUNCTION("""COMPUTED_VALUE"""),"https://www.linkedin.com/company/10779330/")</f>
        <v/>
      </c>
      <c r="U1534" s="1">
        <f>IFERROR(__xludf.DUMMYFUNCTION("""COMPUTED_VALUE"""),"Impala for schools")</f>
        <v/>
      </c>
      <c r="V1534" s="1">
        <f>IFERROR(__xludf.DUMMYFUNCTION("""COMPUTED_VALUE"""),"We're providing tools and pedagogical content helping students to find who they are, what they like and what they want to do. Moreover, we offer content, training and tools to professors to help them guide their class.")</f>
        <v/>
      </c>
      <c r="W1534" s="1" t="n"/>
      <c r="X1534" s="1" t="n"/>
      <c r="Y1534" s="15">
        <f>IFERROR(__xludf.DUMMYFUNCTION("""COMPUTED_VALUE"""),"https://drive.google.com/uc?export=view&amp;id=1yE96NIiFdV0L9XjQ05QgNUQGTPd-wZyJ")</f>
        <v/>
      </c>
      <c r="Z1534" s="1">
        <f>IFERROR(__xludf.DUMMYFUNCTION("""COMPUTED_VALUE"""),"Unverified")</f>
        <v/>
      </c>
      <c r="AA1534" s="1" t="n"/>
      <c r="AB1534" s="1" t="n"/>
      <c r="AC1534" s="1" t="n"/>
      <c r="AD1534" s="1" t="n"/>
      <c r="AE1534" s="1" t="n"/>
    </row>
    <row r="1535" ht="42" customHeight="1">
      <c r="A1535" s="14">
        <f>IFERROR(__xludf.DUMMYFUNCTION("""COMPUTED_VALUE"""),45181)</f>
        <v/>
      </c>
      <c r="B1535" s="1">
        <f>IFERROR(__xludf.DUMMYFUNCTION("""COMPUTED_VALUE"""),"ORG_1778")</f>
        <v/>
      </c>
      <c r="C1535" s="1">
        <f>IFERROR(__xludf.DUMMYFUNCTION("""COMPUTED_VALUE"""),TRUE)</f>
        <v/>
      </c>
      <c r="D1535" s="1">
        <f>IFERROR(__xludf.DUMMYFUNCTION("""COMPUTED_VALUE"""),"Kirae")</f>
        <v/>
      </c>
      <c r="E1535" s="15">
        <f>IFERROR(__xludf.DUMMYFUNCTION("""COMPUTED_VALUE"""),"https://kirae.io")</f>
        <v/>
      </c>
      <c r="F1535" s="1">
        <f>IFERROR(__xludf.DUMMYFUNCTION("""COMPUTED_VALUE"""),"We use gaming and cognitive sciences to build a sustainable Future of Work. We empower workers and future workers to face transformations by helping them to identify, train and certify soft skills.")</f>
        <v/>
      </c>
      <c r="G1535" s="1">
        <f>IFERROR(__xludf.DUMMYFUNCTION("""COMPUTED_VALUE"""),"EdTech France")</f>
        <v/>
      </c>
      <c r="H1535" s="1" t="n"/>
      <c r="I1535" s="1">
        <f>IFERROR(__xludf.DUMMYFUNCTION("""COMPUTED_VALUE"""),"contact@kirae.io")</f>
        <v/>
      </c>
      <c r="J1535" s="1" t="n"/>
      <c r="K1535" s="1">
        <f>IFERROR(__xludf.DUMMYFUNCTION("""COMPUTED_VALUE"""),"RENNES")</f>
        <v/>
      </c>
      <c r="L1535" s="1">
        <f>IFERROR(__xludf.DUMMYFUNCTION("""COMPUTED_VALUE"""),"France")</f>
        <v/>
      </c>
      <c r="M1535" s="1">
        <f>IFERROR(__xludf.DUMMYFUNCTION("""COMPUTED_VALUE"""),"France")</f>
        <v/>
      </c>
      <c r="N1535" s="1">
        <f>IFERROR(__xludf.DUMMYFUNCTION("""COMPUTED_VALUE"""),"0 to 10")</f>
        <v/>
      </c>
      <c r="O1535" s="1">
        <f>IFERROR(__xludf.DUMMYFUNCTION("""COMPUTED_VALUE"""),"Business to Consumer, Business to Government, Business to Schools")</f>
        <v/>
      </c>
      <c r="P1535" s="1">
        <f>IFERROR(__xludf.DUMMYFUNCTION("""COMPUTED_VALUE"""),"Higher Education, Corporate Training, Lifelong learning/Adult education")</f>
        <v/>
      </c>
      <c r="Q1535" s="1">
        <f>IFERROR(__xludf.DUMMYFUNCTION("""COMPUTED_VALUE"""),"Teacher interfacing, Student interfacing, System/Administrative")</f>
        <v/>
      </c>
      <c r="R1535" s="15">
        <f>IFERROR(__xludf.DUMMYFUNCTION("""COMPUTED_VALUE"""),"https://www.instagram.com/kirae.learning/")</f>
        <v/>
      </c>
      <c r="S1535" s="15">
        <f>IFERROR(__xludf.DUMMYFUNCTION("""COMPUTED_VALUE"""),"https://twitter.com/kiraelearning")</f>
        <v/>
      </c>
      <c r="T1535" s="15">
        <f>IFERROR(__xludf.DUMMYFUNCTION("""COMPUTED_VALUE"""),"https://www.linkedin.com/company/kirae/")</f>
        <v/>
      </c>
      <c r="U1535" s="1">
        <f>IFERROR(__xludf.DUMMYFUNCTION("""COMPUTED_VALUE"""),"Kirae")</f>
        <v/>
      </c>
      <c r="V1535" s="1">
        <f>IFERROR(__xludf.DUMMYFUNCTION("""COMPUTED_VALUE"""),"We design mobile games to help our users score and develop their adaptability, focus, multitasking or planning skills, and we deliver Open Badges to help them advertise for their soft skills to a manager or a recruiter.")</f>
        <v/>
      </c>
      <c r="W1535" s="1" t="n"/>
      <c r="X1535" s="1" t="n"/>
      <c r="Y1535" s="15">
        <f>IFERROR(__xludf.DUMMYFUNCTION("""COMPUTED_VALUE"""),"https://drive.google.com/uc?export=view&amp;id=1bsx5yJvwRECNfXqdsZiocslTVHdYJ9yr")</f>
        <v/>
      </c>
      <c r="Z1535" s="1">
        <f>IFERROR(__xludf.DUMMYFUNCTION("""COMPUTED_VALUE"""),"Unverified")</f>
        <v/>
      </c>
      <c r="AA1535" s="1" t="n"/>
      <c r="AB1535" s="1" t="n"/>
      <c r="AC1535" s="1" t="n"/>
      <c r="AD1535" s="1" t="n"/>
      <c r="AE1535" s="1" t="n"/>
    </row>
    <row r="1536" ht="42" customHeight="1">
      <c r="A1536" s="14">
        <f>IFERROR(__xludf.DUMMYFUNCTION("""COMPUTED_VALUE"""),45181)</f>
        <v/>
      </c>
      <c r="B1536" s="1">
        <f>IFERROR(__xludf.DUMMYFUNCTION("""COMPUTED_VALUE"""),"ORG_1787")</f>
        <v/>
      </c>
      <c r="C1536" s="1">
        <f>IFERROR(__xludf.DUMMYFUNCTION("""COMPUTED_VALUE"""),TRUE)</f>
        <v/>
      </c>
      <c r="D1536" s="1">
        <f>IFERROR(__xludf.DUMMYFUNCTION("""COMPUTED_VALUE"""),"KOKORO lingua")</f>
        <v/>
      </c>
      <c r="E1536" s="15">
        <f>IFERROR(__xludf.DUMMYFUNCTION("""COMPUTED_VALUE"""),"https://kokorolingua.com/")</f>
        <v/>
      </c>
      <c r="F1536" s="1">
        <f>IFERROR(__xludf.DUMMYFUNCTION("""COMPUTED_VALUE"""),"KOKORO lingua is an innovative foreign language teaching program for children between 3-8 years old in which, for the first time, native children are teaching their language to other children through online interactive videos. 
Children are learning in a"&amp;" joyful and emotional way and are assimilating at least 250 words and sentences in one year with a perfect accent. 
KOKORO lingua was rewarded several times: Lépine Gold Medal (Paris 2018), BETT Awards finalist (London 2019 and 2020), GESS Awards Winners"&amp;" (Dubai 2020), Cartier Women's Initiative (2023).
The method also won a tender with the French Ministry of Education.")</f>
        <v/>
      </c>
      <c r="G1536" s="1">
        <f>IFERROR(__xludf.DUMMYFUNCTION("""COMPUTED_VALUE"""),"AFINEF, EdTech France, Swiss EdTech Collider")</f>
        <v/>
      </c>
      <c r="H1536" s="1">
        <f>IFERROR(__xludf.DUMMYFUNCTION("""COMPUTED_VALUE"""),"English, French, Spanish, Italian, German, Japanese")</f>
        <v/>
      </c>
      <c r="I1536" s="1">
        <f>IFERROR(__xludf.DUMMYFUNCTION("""COMPUTED_VALUE"""),"info@kokorolingua.com")</f>
        <v/>
      </c>
      <c r="J1536" s="1">
        <f>IFERROR(__xludf.DUMMYFUNCTION("""COMPUTED_VALUE"""),"+41783229555")</f>
        <v/>
      </c>
      <c r="K1536" s="1">
        <f>IFERROR(__xludf.DUMMYFUNCTION("""COMPUTED_VALUE"""),"NEUCHATEL")</f>
        <v/>
      </c>
      <c r="L1536" s="1">
        <f>IFERROR(__xludf.DUMMYFUNCTION("""COMPUTED_VALUE"""),"Switzerland")</f>
        <v/>
      </c>
      <c r="M1536" s="1">
        <f>IFERROR(__xludf.DUMMYFUNCTION("""COMPUTED_VALUE"""),"Belgium, France, Germany, Greece, Italy, Lithuania, Luxembourg, Spain, Switzerland, Turkey")</f>
        <v/>
      </c>
      <c r="N1536" s="1">
        <f>IFERROR(__xludf.DUMMYFUNCTION("""COMPUTED_VALUE"""),"6 to 10")</f>
        <v/>
      </c>
      <c r="O1536" s="1">
        <f>IFERROR(__xludf.DUMMYFUNCTION("""COMPUTED_VALUE"""),"Business to Consumer, Business to Government, Business to Schools")</f>
        <v/>
      </c>
      <c r="P1536" s="1">
        <f>IFERROR(__xludf.DUMMYFUNCTION("""COMPUTED_VALUE"""),"Early childhood development (0-5 years), Primary Education")</f>
        <v/>
      </c>
      <c r="Q1536" s="1">
        <f>IFERROR(__xludf.DUMMYFUNCTION("""COMPUTED_VALUE"""),"System/Administrative, Student interfacing, Teacher interfacing")</f>
        <v/>
      </c>
      <c r="R1536" s="15">
        <f>IFERROR(__xludf.DUMMYFUNCTION("""COMPUTED_VALUE"""),"https://www.instagram.com/kokorolingua/")</f>
        <v/>
      </c>
      <c r="S1536" s="15">
        <f>IFERROR(__xludf.DUMMYFUNCTION("""COMPUTED_VALUE"""),"https://twitter.com/kokoro_lingua")</f>
        <v/>
      </c>
      <c r="T1536" s="15">
        <f>IFERROR(__xludf.DUMMYFUNCTION("""COMPUTED_VALUE"""),"https://www.linkedin.com/company/18446476/")</f>
        <v/>
      </c>
      <c r="U1536" s="1">
        <f>IFERROR(__xludf.DUMMYFUNCTION("""COMPUTED_VALUE"""),"KOKORO lingua - English program")</f>
        <v/>
      </c>
      <c r="V1536" s="1">
        <f>IFERROR(__xludf.DUMMYFUNCTION("""COMPUTED_VALUE"""),"12 or 24 months subscriptions for families and teachers to our platform.
12 months subscription: 52 videos + pedagogical support materials (250 words acquired with perfect accent)
24 months subscription: 104 videos + pedagogical support materials (500 wo"&amp;"rds acquired with perfect accent)")</f>
        <v/>
      </c>
      <c r="W1536" s="1">
        <f>IFERROR(__xludf.DUMMYFUNCTION("""COMPUTED_VALUE"""),"KOKORO lingua - French program")</f>
        <v/>
      </c>
      <c r="X1536" s="1">
        <f>IFERROR(__xludf.DUMMYFUNCTION("""COMPUTED_VALUE"""),"12 months subscription for families and teachers to our platform.
12 months subscription: 36 videos + pedagogical support materials (250 words acquired with perfect accent)")</f>
        <v/>
      </c>
      <c r="Y1536" s="15">
        <f>IFERROR(__xludf.DUMMYFUNCTION("""COMPUTED_VALUE"""),"https://drive.google.com/uc?export=view&amp;id=1XxNXGt-hAyt3oUc1YliLBIKxWi5q2kEl")</f>
        <v/>
      </c>
      <c r="Z1536" s="1">
        <f>IFERROR(__xludf.DUMMYFUNCTION("""COMPUTED_VALUE"""),"Unverified")</f>
        <v/>
      </c>
      <c r="AA1536" s="1" t="n"/>
      <c r="AB1536" s="1" t="n"/>
      <c r="AC1536" s="1" t="n"/>
      <c r="AD1536" s="1" t="n"/>
      <c r="AE1536" s="1" t="n"/>
    </row>
    <row r="1537" ht="42" customHeight="1">
      <c r="A1537" s="14">
        <f>IFERROR(__xludf.DUMMYFUNCTION("""COMPUTED_VALUE"""),45181)</f>
        <v/>
      </c>
      <c r="B1537" s="1">
        <f>IFERROR(__xludf.DUMMYFUNCTION("""COMPUTED_VALUE"""),"ORG_2008")</f>
        <v/>
      </c>
      <c r="C1537" s="1">
        <f>IFERROR(__xludf.DUMMYFUNCTION("""COMPUTED_VALUE"""),TRUE)</f>
        <v/>
      </c>
      <c r="D1537" s="15">
        <f>IFERROR(__xludf.DUMMYFUNCTION("""COMPUTED_VALUE"""),"Myracle.io")</f>
        <v/>
      </c>
      <c r="E1537" s="15">
        <f>IFERROR(__xludf.DUMMYFUNCTION("""COMPUTED_VALUE"""),"https://myracle.io")</f>
        <v/>
      </c>
      <c r="F1537" s="1">
        <f>IFERROR(__xludf.DUMMYFUNCTION("""COMPUTED_VALUE"""),"Transforming homes and classrooms into real-world STEM labs, empowering teenagers to do STEM with their own hands in the real world.
We make this planet-scale transformation possible with our mixed reality technology running on everyday mobile devices, w"&amp;"ith or without internet connectivity.")</f>
        <v/>
      </c>
      <c r="G1537" s="1">
        <f>IFERROR(__xludf.DUMMYFUNCTION("""COMPUTED_VALUE"""),"I'm not part of any EdTech association")</f>
        <v/>
      </c>
      <c r="H1537" s="1">
        <f>IFERROR(__xludf.DUMMYFUNCTION("""COMPUTED_VALUE"""),"English, German")</f>
        <v/>
      </c>
      <c r="I1537" s="1">
        <f>IFERROR(__xludf.DUMMYFUNCTION("""COMPUTED_VALUE"""),"welcome@myracle.io")</f>
        <v/>
      </c>
      <c r="J1537" s="1" t="n"/>
      <c r="K1537" s="1">
        <f>IFERROR(__xludf.DUMMYFUNCTION("""COMPUTED_VALUE"""),"Berlin")</f>
        <v/>
      </c>
      <c r="L1537" s="1">
        <f>IFERROR(__xludf.DUMMYFUNCTION("""COMPUTED_VALUE"""),"Germany")</f>
        <v/>
      </c>
      <c r="M1537" s="1">
        <f>IFERROR(__xludf.DUMMYFUNCTION("""COMPUTED_VALUE"""),"Germany")</f>
        <v/>
      </c>
      <c r="N1537" s="1">
        <f>IFERROR(__xludf.DUMMYFUNCTION("""COMPUTED_VALUE"""),"6 to 10")</f>
        <v/>
      </c>
      <c r="O1537" s="1">
        <f>IFERROR(__xludf.DUMMYFUNCTION("""COMPUTED_VALUE"""),"Business to Consumer, Business to Government, Business to Schools")</f>
        <v/>
      </c>
      <c r="P1537" s="1">
        <f>IFERROR(__xludf.DUMMYFUNCTION("""COMPUTED_VALUE"""),"Secondary Education, Lifelong learning/Adult education")</f>
        <v/>
      </c>
      <c r="Q1537" s="1">
        <f>IFERROR(__xludf.DUMMYFUNCTION("""COMPUTED_VALUE"""),"System/Administrative, Student interfacing, Teacher interfacing")</f>
        <v/>
      </c>
      <c r="R1537" s="1" t="n"/>
      <c r="S1537" s="1" t="n"/>
      <c r="T1537" s="1" t="n"/>
      <c r="U1537" s="1" t="n"/>
      <c r="V1537" s="1" t="n"/>
      <c r="W1537" s="1" t="n"/>
      <c r="X1537" s="1" t="n"/>
      <c r="Y1537" s="15">
        <f>IFERROR(__xludf.DUMMYFUNCTION("""COMPUTED_VALUE"""),"https://drive.google.com/uc?export=view&amp;id=1K91tzrcCUGRzk61bkCztQqhMIlKjmNiT")</f>
        <v/>
      </c>
      <c r="Z1537" s="1">
        <f>IFERROR(__xludf.DUMMYFUNCTION("""COMPUTED_VALUE"""),"Unverified")</f>
        <v/>
      </c>
      <c r="AA1537" s="1" t="n"/>
      <c r="AB1537" s="1" t="n"/>
      <c r="AC1537" s="1" t="n"/>
      <c r="AD1537" s="1" t="n"/>
      <c r="AE1537" s="1" t="n"/>
    </row>
    <row r="1538" ht="42" customHeight="1">
      <c r="A1538" s="14">
        <f>IFERROR(__xludf.DUMMYFUNCTION("""COMPUTED_VALUE"""),45181)</f>
        <v/>
      </c>
      <c r="B1538" s="1">
        <f>IFERROR(__xludf.DUMMYFUNCTION("""COMPUTED_VALUE"""),"ORG_1737")</f>
        <v/>
      </c>
      <c r="C1538" s="1">
        <f>IFERROR(__xludf.DUMMYFUNCTION("""COMPUTED_VALUE"""),TRUE)</f>
        <v/>
      </c>
      <c r="D1538" s="1">
        <f>IFERROR(__xludf.DUMMYFUNCTION("""COMPUTED_VALUE"""),"IPESLAND")</f>
        <v/>
      </c>
      <c r="E1538" s="15">
        <f>IFERROR(__xludf.DUMMYFUNCTION("""COMPUTED_VALUE"""),"www.ipesland.com")</f>
        <v/>
      </c>
      <c r="F1538" s="1">
        <f>IFERROR(__xludf.DUMMYFUNCTION("""COMPUTED_VALUE"""),"THE CHALLENGE: 
85% of the jobs of 2030 do not yet exist!
How to retain talent by renewing confidence and motivation in an increasingly complex environment? 
How to prepare teams for their evolution while ensuring their well-being? The demand for emotiona"&amp;"l intelligence (EI) skills is expected to increase sixfold over the next five years.
""In creating IPESLAND, I chose to combine my passion for neuroscience, health prevention and emotional intelligence management. Respecting one's internal ecology (emoti"&amp;"ons, motivations, and perceptions) remains a very important driver for his creative and productive performance. IPESLAND: explore I images, P thoughts (pensées in French), E emotions, S sensations to help everyone feel, learn and act in the form of a seri"&amp;"ous game."" Laurence Descamps, the founder
THE SOLUTION: 
IPESLAND offers a hybrid training in immersive learning, which favors the rise in emotional and cognitive skills thanks to a virtual reality application supervised by a certified coach. IPESLAND a"&amp;"ccompanies individuals and teams in the transition phases of the corporate life cycle from onboarding to offboarding. We address the issues of stress management, absenteeism, and turnover.
Turnkey solution to recreate the link with oneself, one's collabor"&amp;"ators, and one's clients to renew confidence and motivation and to develop emotional skills such as empathy, authenticity, flexibility, and societal awareness, which are essential to support digital changes.
OUR ADDED VALUE IN 4 POINTS: 
➡️ the virtual r"&amp;"eality application AllerVRsoi (+ 30 possible courses and 8 levels of progression): has been the subject of a scientific study and allows psychocognitive restructuring
➡️ platform that allows you to evaluate your progress through questionnaires
➡️perspecti"&amp;"ve from the coach 
➡️ an individual method entirely in remote learning")</f>
        <v/>
      </c>
      <c r="G1538" s="1">
        <f>IFERROR(__xludf.DUMMYFUNCTION("""COMPUTED_VALUE"""),"I'm not part of any EdTech association")</f>
        <v/>
      </c>
      <c r="H1538" s="1" t="n"/>
      <c r="I1538" s="1">
        <f>IFERROR(__xludf.DUMMYFUNCTION("""COMPUTED_VALUE"""),"laurencedescamps@ipesland.com")</f>
        <v/>
      </c>
      <c r="J1538" s="1">
        <f>IFERROR(__xludf.DUMMYFUNCTION("""COMPUTED_VALUE"""),"33 664441929")</f>
        <v/>
      </c>
      <c r="K1538" s="1">
        <f>IFERROR(__xludf.DUMMYFUNCTION("""COMPUTED_VALUE"""),"BOULOGNE BILLANCOURT")</f>
        <v/>
      </c>
      <c r="L1538" s="1">
        <f>IFERROR(__xludf.DUMMYFUNCTION("""COMPUTED_VALUE"""),"France")</f>
        <v/>
      </c>
      <c r="M1538" s="1">
        <f>IFERROR(__xludf.DUMMYFUNCTION("""COMPUTED_VALUE"""),"France")</f>
        <v/>
      </c>
      <c r="N1538" s="1">
        <f>IFERROR(__xludf.DUMMYFUNCTION("""COMPUTED_VALUE"""),"0 to 10")</f>
        <v/>
      </c>
      <c r="O1538" s="1">
        <f>IFERROR(__xludf.DUMMYFUNCTION("""COMPUTED_VALUE"""),"Business to Business")</f>
        <v/>
      </c>
      <c r="P1538" s="1">
        <f>IFERROR(__xludf.DUMMYFUNCTION("""COMPUTED_VALUE"""),"Corporate Training")</f>
        <v/>
      </c>
      <c r="Q1538" s="1">
        <f>IFERROR(__xludf.DUMMYFUNCTION("""COMPUTED_VALUE"""),"System/Administrative")</f>
        <v/>
      </c>
      <c r="R1538" s="1" t="n"/>
      <c r="S1538" s="1" t="n"/>
      <c r="T1538" s="1" t="n"/>
      <c r="U1538" s="1" t="n"/>
      <c r="V1538" s="1" t="n"/>
      <c r="W1538" s="1" t="n"/>
      <c r="X1538" s="1" t="n"/>
      <c r="Y1538" s="15">
        <f>IFERROR(__xludf.DUMMYFUNCTION("""COMPUTED_VALUE"""),"https://drive.google.com/uc?export=view&amp;id=1_LHB4kmfWswxuwLURNe2O4US1JyMmNEr")</f>
        <v/>
      </c>
      <c r="Z1538" s="1">
        <f>IFERROR(__xludf.DUMMYFUNCTION("""COMPUTED_VALUE"""),"Unverified")</f>
        <v/>
      </c>
      <c r="AA1538" s="1" t="n"/>
      <c r="AB1538" s="1" t="n"/>
      <c r="AC1538" s="1" t="n"/>
      <c r="AD1538" s="1" t="n"/>
      <c r="AE1538" s="1" t="n"/>
    </row>
    <row r="1539" ht="42" customHeight="1">
      <c r="A1539" s="14">
        <f>IFERROR(__xludf.DUMMYFUNCTION("""COMPUTED_VALUE"""),45181)</f>
        <v/>
      </c>
      <c r="B1539" s="1">
        <f>IFERROR(__xludf.DUMMYFUNCTION("""COMPUTED_VALUE"""),"ORG_1768")</f>
        <v/>
      </c>
      <c r="C1539" s="1">
        <f>IFERROR(__xludf.DUMMYFUNCTION("""COMPUTED_VALUE"""),TRUE)</f>
        <v/>
      </c>
      <c r="D1539" s="1">
        <f>IFERROR(__xludf.DUMMYFUNCTION("""COMPUTED_VALUE"""),"Kharty")</f>
        <v/>
      </c>
      <c r="E1539" s="15">
        <f>IFERROR(__xludf.DUMMYFUNCTION("""COMPUTED_VALUE"""),"www.kharty.com")</f>
        <v/>
      </c>
      <c r="F1539" s="1">
        <f>IFERROR(__xludf.DUMMYFUNCTION("""COMPUTED_VALUE"""),"Kharty is an educational game focused on visual learning through interactive images. Its method excels in a diverse range of subjects like geography, anatomy, science and languages.
Kharty makes it incredibly easy for teachers to gamify their own materia"&amp;"l, dramatically increasing their students’ engagement and success rate. It also provides a platform of thousands of quality content to choose from.
Students follow a clear learning path that Kharty automatically generates for each gamified material. The"&amp;"y also play games and compete with their peers, turning the learning process into a fun, social experience. Teachers are able to track progress and get precise feedback throughout, resulting in time optimization and better results.")</f>
        <v/>
      </c>
      <c r="G1539" s="1">
        <f>IFERROR(__xludf.DUMMYFUNCTION("""COMPUTED_VALUE"""),"SEK Lab")</f>
        <v/>
      </c>
      <c r="H1539" s="1" t="n"/>
      <c r="I1539" s="1">
        <f>IFERROR(__xludf.DUMMYFUNCTION("""COMPUTED_VALUE"""),"contact@kharty.com")</f>
        <v/>
      </c>
      <c r="J1539" s="1" t="n"/>
      <c r="K1539" s="1">
        <f>IFERROR(__xludf.DUMMYFUNCTION("""COMPUTED_VALUE"""),"ALMERIA")</f>
        <v/>
      </c>
      <c r="L1539" s="1">
        <f>IFERROR(__xludf.DUMMYFUNCTION("""COMPUTED_VALUE"""),"Spain")</f>
        <v/>
      </c>
      <c r="M1539" s="1">
        <f>IFERROR(__xludf.DUMMYFUNCTION("""COMPUTED_VALUE"""),"Spain, United Kingdom")</f>
        <v/>
      </c>
      <c r="N1539" s="1">
        <f>IFERROR(__xludf.DUMMYFUNCTION("""COMPUTED_VALUE"""),"0 to 10")</f>
        <v/>
      </c>
      <c r="O1539" s="1">
        <f>IFERROR(__xludf.DUMMYFUNCTION("""COMPUTED_VALUE"""),"Business to Business, Business to Consumer, Business to Schools")</f>
        <v/>
      </c>
      <c r="P1539" s="1">
        <f>IFERROR(__xludf.DUMMYFUNCTION("""COMPUTED_VALUE"""),"Primary Education, Secondary Education")</f>
        <v/>
      </c>
      <c r="Q1539" s="1">
        <f>IFERROR(__xludf.DUMMYFUNCTION("""COMPUTED_VALUE"""),"Student interfacing, Teacher interfacing")</f>
        <v/>
      </c>
      <c r="R1539" s="1">
        <f>IFERROR(__xludf.DUMMYFUNCTION("""COMPUTED_VALUE"""),"@khartyapp")</f>
        <v/>
      </c>
      <c r="S1539" s="1" t="n"/>
      <c r="T1539" s="15">
        <f>IFERROR(__xludf.DUMMYFUNCTION("""COMPUTED_VALUE"""),"https://www.linkedin.com/company/kharty")</f>
        <v/>
      </c>
      <c r="U1539" s="1">
        <f>IFERROR(__xludf.DUMMYFUNCTION("""COMPUTED_VALUE"""),"Kharty")</f>
        <v/>
      </c>
      <c r="V1539" s="1">
        <f>IFERROR(__xludf.DUMMYFUNCTION("""COMPUTED_VALUE"""),"Kharty is an educational game focused on visual learning through interactive images.
Kharty makes it incredibly easy for teachers to gamify their own material, dramatically increasing their students’ engagement and success rate. It also provides thousand"&amp;"s of quality content to choose from.
Students follow a clear learning path that Kharty automatically generates for each gamified material. They play games and compete with their peers, turning the learning process into a fun, social experience.")</f>
        <v/>
      </c>
      <c r="W1539" s="1" t="n"/>
      <c r="X1539" s="1" t="n"/>
      <c r="Y1539" s="15">
        <f>IFERROR(__xludf.DUMMYFUNCTION("""COMPUTED_VALUE"""),"https://drive.google.com/uc?export=view&amp;id=1KNKPweaMO0jPR7UpNasVC6kXyYRq2qaK")</f>
        <v/>
      </c>
      <c r="Z1539" s="1">
        <f>IFERROR(__xludf.DUMMYFUNCTION("""COMPUTED_VALUE"""),"Unverified")</f>
        <v/>
      </c>
      <c r="AA1539" s="1" t="n"/>
      <c r="AB1539" s="1" t="n"/>
      <c r="AC1539" s="1" t="n"/>
      <c r="AD1539" s="1" t="n"/>
      <c r="AE1539" s="1" t="n"/>
    </row>
    <row r="1540" ht="42" customHeight="1">
      <c r="A1540" s="14">
        <f>IFERROR(__xludf.DUMMYFUNCTION("""COMPUTED_VALUE"""),45181)</f>
        <v/>
      </c>
      <c r="B1540" s="1">
        <f>IFERROR(__xludf.DUMMYFUNCTION("""COMPUTED_VALUE"""),"ORG_1827")</f>
        <v/>
      </c>
      <c r="C1540" s="1">
        <f>IFERROR(__xludf.DUMMYFUNCTION("""COMPUTED_VALUE"""),TRUE)</f>
        <v/>
      </c>
      <c r="D1540" s="1">
        <f>IFERROR(__xludf.DUMMYFUNCTION("""COMPUTED_VALUE"""),"LearnEnjoy")</f>
        <v/>
      </c>
      <c r="E1540" s="15">
        <f>IFERROR(__xludf.DUMMYFUNCTION("""COMPUTED_VALUE"""),"www.learnenjoy.com")</f>
        <v/>
      </c>
      <c r="F1540" s="1">
        <f>IFERROR(__xludf.DUMMYFUNCTION("""COMPUTED_VALUE"""),"LearnEnjoy fights against school dropout, from the fundamental learning stages of kindergarten and first grade, right up to the 9th grade, thanks to digital tools designed for all students without exception. With a proven educational and social impact on "&amp;"thousands of students, LearnEnjoy offers digital applications and training modules which have been accompanying public policies since 2013.
Our applications, which are real tools for monitoring student progress, were developed with the support of the Mini"&amp;"stry of Education, in close collaboration with research institutes and teachers in the field. Our applications are adapted to all conditions of use : they do not require any internet connection!
We complement the use of our educational resources with dedi"&amp;"cated training modules, co-designed with teachers, educational advisors and teachers.")</f>
        <v/>
      </c>
      <c r="G1540" s="1">
        <f>IFERROR(__xludf.DUMMYFUNCTION("""COMPUTED_VALUE"""),"AFINEF, EdTech France")</f>
        <v/>
      </c>
      <c r="H1540" s="1">
        <f>IFERROR(__xludf.DUMMYFUNCTION("""COMPUTED_VALUE"""),"English, French, Italian")</f>
        <v/>
      </c>
      <c r="I1540" s="1">
        <f>IFERROR(__xludf.DUMMYFUNCTION("""COMPUTED_VALUE"""),"contact@learnenjoy.com")</f>
        <v/>
      </c>
      <c r="J1540" s="1">
        <f>IFERROR(__xludf.DUMMYFUNCTION("""COMPUTED_VALUE"""),"+33 7 82 24 13 29")</f>
        <v/>
      </c>
      <c r="K1540" s="1">
        <f>IFERROR(__xludf.DUMMYFUNCTION("""COMPUTED_VALUE"""),"LEVALLOIS-PERRET")</f>
        <v/>
      </c>
      <c r="L1540" s="1">
        <f>IFERROR(__xludf.DUMMYFUNCTION("""COMPUTED_VALUE"""),"France")</f>
        <v/>
      </c>
      <c r="M1540" s="1">
        <f>IFERROR(__xludf.DUMMYFUNCTION("""COMPUTED_VALUE"""),"Belgium, France")</f>
        <v/>
      </c>
      <c r="N1540" s="1">
        <f>IFERROR(__xludf.DUMMYFUNCTION("""COMPUTED_VALUE"""),"11 to 50")</f>
        <v/>
      </c>
      <c r="O1540" s="1">
        <f>IFERROR(__xludf.DUMMYFUNCTION("""COMPUTED_VALUE"""),"Business to Business, Business to Government, Business to Schools")</f>
        <v/>
      </c>
      <c r="P1540" s="1">
        <f>IFERROR(__xludf.DUMMYFUNCTION("""COMPUTED_VALUE"""),"Early childhood development (0-5 years)")</f>
        <v/>
      </c>
      <c r="Q1540" s="1">
        <f>IFERROR(__xludf.DUMMYFUNCTION("""COMPUTED_VALUE"""),"Student interfacing, Teacher interfacing, System/Administrative")</f>
        <v/>
      </c>
      <c r="R1540" s="1" t="n"/>
      <c r="S1540" s="15">
        <f>IFERROR(__xludf.DUMMYFUNCTION("""COMPUTED_VALUE"""),"https://twitter.com/learnenjoy")</f>
        <v/>
      </c>
      <c r="T1540" s="15">
        <f>IFERROR(__xludf.DUMMYFUNCTION("""COMPUTED_VALUE"""),"https://www.linkedin.com/company/learnenjoy/mycompany/")</f>
        <v/>
      </c>
      <c r="U1540" s="1">
        <f>IFERROR(__xludf.DUMMYFUNCTION("""COMPUTED_VALUE"""),"PreSchool")</f>
        <v/>
      </c>
      <c r="V1540" s="1">
        <f>IFERROR(__xludf.DUMMYFUNCTION("""COMPUTED_VALUE"""),"PreSchool, adapted teaching materials, is an application designed to help all pupils, without exception, from kindergarten, young or old, to access primary learning. Thanks to a fine breakdown of skills and thanks to a precise monitoring of the pupil's pr"&amp;"ogress, the application assists each pupil at his/her own pace: https://www.youtube.com/watch?v=kW-NOzqI32c")</f>
        <v/>
      </c>
      <c r="W1540" s="1">
        <f>IFERROR(__xludf.DUMMYFUNCTION("""COMPUTED_VALUE"""),"School")</f>
        <v/>
      </c>
      <c r="X1540" s="1">
        <f>IFERROR(__xludf.DUMMYFUNCTION("""COMPUTED_VALUE"""),"School, adapted teaching materials, is an application designed to help all pupils, without exception, from the first grade, young or old, to access fundamental learning. Thanks to a fine breakdown of skills and thanks to a precise monitoring of the pupil'"&amp;"s progress, the application assists each pupil at his/her own pace: https://www.youtube.com/watch?v=kW-NOzqI32c")</f>
        <v/>
      </c>
      <c r="Y1540" s="15">
        <f>IFERROR(__xludf.DUMMYFUNCTION("""COMPUTED_VALUE"""),"https://drive.google.com/uc?export=view&amp;id=1lbQk3vPTUH5MT1DgN1OpgR5RetNEKAFz")</f>
        <v/>
      </c>
      <c r="Z1540" s="1">
        <f>IFERROR(__xludf.DUMMYFUNCTION("""COMPUTED_VALUE"""),"Unverified")</f>
        <v/>
      </c>
      <c r="AA1540" s="1" t="n"/>
      <c r="AB1540" s="1" t="n"/>
      <c r="AC1540" s="1" t="n"/>
      <c r="AD1540" s="1" t="n"/>
      <c r="AE1540" s="1" t="n"/>
    </row>
    <row r="1541" ht="42" customHeight="1">
      <c r="A1541" s="14">
        <f>IFERROR(__xludf.DUMMYFUNCTION("""COMPUTED_VALUE"""),45181)</f>
        <v/>
      </c>
      <c r="B1541" s="1">
        <f>IFERROR(__xludf.DUMMYFUNCTION("""COMPUTED_VALUE"""),"ORG_2071")</f>
        <v/>
      </c>
      <c r="C1541" s="1">
        <f>IFERROR(__xludf.DUMMYFUNCTION("""COMPUTED_VALUE"""),TRUE)</f>
        <v/>
      </c>
      <c r="D1541" s="1">
        <f>IFERROR(__xludf.DUMMYFUNCTION("""COMPUTED_VALUE"""),"Open Digital Education")</f>
        <v/>
      </c>
      <c r="E1541" s="15">
        <f>IFERROR(__xludf.DUMMYFUNCTION("""COMPUTED_VALUE"""),"https://opendigitaleducation.com/index.php?lang=en")</f>
        <v/>
      </c>
      <c r="F1541" s="1">
        <f>IFERROR(__xludf.DUMMYFUNCTION("""COMPUTED_VALUE"""),"Open Digital Education is a start-up founded in 2011 by Arnaud Albou and Olivier Vigneau. After successfully launching ONE, the first educational social network designed for elementary schools, Open Digital Education went even further by creating NEO, a c"&amp;"ollaborative network designed for middle schools and high schools. 
What motivates us? Bringing together those who teach, learn, and contribute to the education of young generations. Simplifying teachers’ lives by offering a secure tool designed for coll"&amp;"aboration, communication, and creation. We work tirelessly to place students at the heart of what we do, empower them to take charge of their education, and promote their creativity and academic success.
ONE and NEO are present in 21 countries and alread"&amp;"y have nearly 9 million users!")</f>
        <v/>
      </c>
      <c r="G1541" s="1">
        <f>IFERROR(__xludf.DUMMYFUNCTION("""COMPUTED_VALUE"""),"EdTech France")</f>
        <v/>
      </c>
      <c r="H1541" s="1" t="n"/>
      <c r="I1541" s="1">
        <f>IFERROR(__xludf.DUMMYFUNCTION("""COMPUTED_VALUE"""),"arnaud.albou@opendigitaleducation.com")</f>
        <v/>
      </c>
      <c r="J1541" s="1">
        <f>IFERROR(__xludf.DUMMYFUNCTION("""COMPUTED_VALUE"""),"182635151")</f>
        <v/>
      </c>
      <c r="K1541" s="1">
        <f>IFERROR(__xludf.DUMMYFUNCTION("""COMPUTED_VALUE"""),"PARIS")</f>
        <v/>
      </c>
      <c r="L1541" s="1">
        <f>IFERROR(__xludf.DUMMYFUNCTION("""COMPUTED_VALUE"""),"France")</f>
        <v/>
      </c>
      <c r="M1541" s="1">
        <f>IFERROR(__xludf.DUMMYFUNCTION("""COMPUTED_VALUE"""),"Belgium, France, Germany, Italy, Portugal, Spain")</f>
        <v/>
      </c>
      <c r="N1541" s="1">
        <f>IFERROR(__xludf.DUMMYFUNCTION("""COMPUTED_VALUE"""),"11 to 50")</f>
        <v/>
      </c>
      <c r="O1541" s="1">
        <f>IFERROR(__xludf.DUMMYFUNCTION("""COMPUTED_VALUE"""),"Business to Business, Business to Government, Business to Schools")</f>
        <v/>
      </c>
      <c r="P1541" s="1">
        <f>IFERROR(__xludf.DUMMYFUNCTION("""COMPUTED_VALUE"""),"Primary Education, Secondary Education")</f>
        <v/>
      </c>
      <c r="Q1541" s="1">
        <f>IFERROR(__xludf.DUMMYFUNCTION("""COMPUTED_VALUE"""),"System/Administrative, Teacher interfacing")</f>
        <v/>
      </c>
      <c r="R1541" s="1">
        <f>IFERROR(__xludf.DUMMYFUNCTION("""COMPUTED_VALUE"""),"Open Digital Education")</f>
        <v/>
      </c>
      <c r="S1541" s="15">
        <f>IFERROR(__xludf.DUMMYFUNCTION("""COMPUTED_VALUE"""),"https://twitter.com/OpenDigitEduc")</f>
        <v/>
      </c>
      <c r="T1541" s="15">
        <f>IFERROR(__xludf.DUMMYFUNCTION("""COMPUTED_VALUE"""),"https://fr.linkedin.com/company/open-digital-education")</f>
        <v/>
      </c>
      <c r="U1541" s="1">
        <f>IFERROR(__xludf.DUMMYFUNCTION("""COMPUTED_VALUE"""),"ONE")</f>
        <v/>
      </c>
      <c r="V1541" s="1">
        <f>IFERROR(__xludf.DUMMYFUNCTION("""COMPUTED_VALUE"""),"ONE is the first educational social network designed for elementary schools. ONE addresses many uses: 
- Bringing the educational community together at a school or district level 
- Offering teachers a series of applications that are 100% useful, secured "&amp;"and easy to use
- Communicating with families more easily and encouraging their involvement
- Collaborating with peers, creating more captivating content")</f>
        <v/>
      </c>
      <c r="W1541" s="1">
        <f>IFERROR(__xludf.DUMMYFUNCTION("""COMPUTED_VALUE"""),"NEO")</f>
        <v/>
      </c>
      <c r="X1541" s="1">
        <f>IFERROR(__xludf.DUMMYFUNCTION("""COMPUTED_VALUE"""),"NEO is a collaborative social network designed for middle schools and high schools. It’s a secure tool designed for collaboration, communication, and creation. Teachers and students have a wide variety of tools to create all their content. They can take t"&amp;"heir collaborative projects to the next level, by organizing interactive assignments with other classes, years, or even schools.")</f>
        <v/>
      </c>
      <c r="Y1541" s="15">
        <f>IFERROR(__xludf.DUMMYFUNCTION("""COMPUTED_VALUE"""),"https://drive.google.com/uc?export=view&amp;id=1v-6iY4N9DA3hgoR68othaWTvbHHaMkTd")</f>
        <v/>
      </c>
      <c r="Z1541" s="1">
        <f>IFERROR(__xludf.DUMMYFUNCTION("""COMPUTED_VALUE"""),"Unverified")</f>
        <v/>
      </c>
      <c r="AA1541" s="1" t="n"/>
      <c r="AB1541" s="1" t="n"/>
      <c r="AC1541" s="1" t="n"/>
      <c r="AD1541" s="1" t="n"/>
      <c r="AE1541" s="1" t="n"/>
    </row>
    <row r="1542" ht="42" customHeight="1">
      <c r="A1542" s="14">
        <f>IFERROR(__xludf.DUMMYFUNCTION("""COMPUTED_VALUE"""),45181)</f>
        <v/>
      </c>
      <c r="B1542" s="1">
        <f>IFERROR(__xludf.DUMMYFUNCTION("""COMPUTED_VALUE"""),"ORG_2157")</f>
        <v/>
      </c>
      <c r="C1542" s="1">
        <f>IFERROR(__xludf.DUMMYFUNCTION("""COMPUTED_VALUE"""),TRUE)</f>
        <v/>
      </c>
      <c r="D1542" s="1">
        <f>IFERROR(__xludf.DUMMYFUNCTION("""COMPUTED_VALUE"""),"Rapidmooc")</f>
        <v/>
      </c>
      <c r="E1542" s="15">
        <f>IFERROR(__xludf.DUMMYFUNCTION("""COMPUTED_VALUE"""),"https://rapidmooc.com/")</f>
        <v/>
      </c>
      <c r="F1542" s="1">
        <f>IFERROR(__xludf.DUMMYFUNCTION("""COMPUTED_VALUE"""),"Create professional quality videos in minutes with the Rapidmooc range of self-serve all-in-one video studios!
The Rapidmooc solution is the ultimate combination of top of the range video &amp; audio equipments in slick, customizable units, powered by the Rap"&amp;"idmooc application, designed to empower any individual to record or broadcast live professional quality video, no technical expertise required, no crew needed.
Rapidmooc studios are deployed in more than 400 universities and companies around the world. O"&amp;"ur devices considerably simplify the massive production of training and communication video content, to enable a cost effective digital transformation of organizations !")</f>
        <v/>
      </c>
      <c r="G1542" s="1">
        <f>IFERROR(__xludf.DUMMYFUNCTION("""COMPUTED_VALUE"""),"EdTech France")</f>
        <v/>
      </c>
      <c r="H1542" s="1" t="n"/>
      <c r="I1542" s="1">
        <f>IFERROR(__xludf.DUMMYFUNCTION("""COMPUTED_VALUE"""),"contact@rapidmooc.com")</f>
        <v/>
      </c>
      <c r="J1542" s="1" t="n"/>
      <c r="K1542" s="1">
        <f>IFERROR(__xludf.DUMMYFUNCTION("""COMPUTED_VALUE"""),"LYON")</f>
        <v/>
      </c>
      <c r="L1542" s="1">
        <f>IFERROR(__xludf.DUMMYFUNCTION("""COMPUTED_VALUE"""),"France")</f>
        <v/>
      </c>
      <c r="M1542" s="1">
        <f>IFERROR(__xludf.DUMMYFUNCTION("""COMPUTED_VALUE"""),"Belgium, France, Germany, Italy, Spain, Sweden, Switzerland, United Kingdom")</f>
        <v/>
      </c>
      <c r="N1542" s="1">
        <f>IFERROR(__xludf.DUMMYFUNCTION("""COMPUTED_VALUE"""),"11 to 50")</f>
        <v/>
      </c>
      <c r="O1542" s="1">
        <f>IFERROR(__xludf.DUMMYFUNCTION("""COMPUTED_VALUE"""),"Business to Consumer, Business to Schools")</f>
        <v/>
      </c>
      <c r="P1542" s="1">
        <f>IFERROR(__xludf.DUMMYFUNCTION("""COMPUTED_VALUE"""),"Higher Education, Corporate Training, Lifelong learning/Adult education")</f>
        <v/>
      </c>
      <c r="Q1542" s="1">
        <f>IFERROR(__xludf.DUMMYFUNCTION("""COMPUTED_VALUE"""),"Teacher interfacing, Student interfacing, System/Administrative")</f>
        <v/>
      </c>
      <c r="R1542" s="1" t="n"/>
      <c r="S1542" s="15">
        <f>IFERROR(__xludf.DUMMYFUNCTION("""COMPUTED_VALUE"""),"https://twitter.com/rapidmooc")</f>
        <v/>
      </c>
      <c r="T1542" s="15">
        <f>IFERROR(__xludf.DUMMYFUNCTION("""COMPUTED_VALUE"""),"https://www.linkedin.com/company/rapidmooc/")</f>
        <v/>
      </c>
      <c r="U1542" s="1">
        <f>IFERROR(__xludf.DUMMYFUNCTION("""COMPUTED_VALUE"""),"Rapidmooc Pro Range")</f>
        <v/>
      </c>
      <c r="V1542" s="1">
        <f>IFERROR(__xludf.DUMMYFUNCTION("""COMPUTED_VALUE"""),"Video studio with large touchscreen (43'' or 27'') for a maximum ease of use and convenience, with multiple features (teleprompter, live videos, webmeetings, post-production)")</f>
        <v/>
      </c>
      <c r="W1542" s="1">
        <f>IFERROR(__xludf.DUMMYFUNCTION("""COMPUTED_VALUE"""),"Rapidmooc Go")</f>
        <v/>
      </c>
      <c r="X1542" s="1">
        <f>IFERROR(__xludf.DUMMYFUNCTION("""COMPUTED_VALUE"""),"Mobile video studio with a small touchscreen (12''), adaptable to any type of work environment. Frame on wheels, removable to put the top part of the device on any support.")</f>
        <v/>
      </c>
      <c r="Y1542" s="15">
        <f>IFERROR(__xludf.DUMMYFUNCTION("""COMPUTED_VALUE"""),"https://drive.google.com/uc?export=view&amp;id=1kZeQu4tt7k_ZJiH40UHm5QmTgaLwisVR")</f>
        <v/>
      </c>
      <c r="Z1542" s="1">
        <f>IFERROR(__xludf.DUMMYFUNCTION("""COMPUTED_VALUE"""),"Unverified")</f>
        <v/>
      </c>
      <c r="AA1542" s="1" t="n"/>
      <c r="AB1542" s="1" t="n"/>
      <c r="AC1542" s="1" t="n"/>
      <c r="AD1542" s="1" t="n"/>
      <c r="AE1542" s="1" t="n"/>
    </row>
    <row r="1543" ht="42" customHeight="1">
      <c r="A1543" s="14">
        <f>IFERROR(__xludf.DUMMYFUNCTION("""COMPUTED_VALUE"""),45181)</f>
        <v/>
      </c>
      <c r="B1543" s="1">
        <f>IFERROR(__xludf.DUMMYFUNCTION("""COMPUTED_VALUE"""),"ORG_2461")</f>
        <v/>
      </c>
      <c r="C1543" s="1">
        <f>IFERROR(__xludf.DUMMYFUNCTION("""COMPUTED_VALUE"""),TRUE)</f>
        <v/>
      </c>
      <c r="D1543" s="1">
        <f>IFERROR(__xludf.DUMMYFUNCTION("""COMPUTED_VALUE"""),"Unigow")</f>
        <v/>
      </c>
      <c r="E1543" s="15">
        <f>IFERROR(__xludf.DUMMYFUNCTION("""COMPUTED_VALUE"""),"https://unigow.com/")</f>
        <v/>
      </c>
      <c r="F1543" s="1">
        <f>IFERROR(__xludf.DUMMYFUNCTION("""COMPUTED_VALUE"""),"Unigow is an advising platform that helps students to find their ideal studies.")</f>
        <v/>
      </c>
      <c r="G1543" s="1">
        <f>IFERROR(__xludf.DUMMYFUNCTION("""COMPUTED_VALUE"""),"SEK Lab")</f>
        <v/>
      </c>
      <c r="H1543" s="1" t="n"/>
      <c r="I1543" s="1">
        <f>IFERROR(__xludf.DUMMYFUNCTION("""COMPUTED_VALUE"""),"equipo@unigow.com")</f>
        <v/>
      </c>
      <c r="J1543" s="1" t="n"/>
      <c r="K1543" s="1">
        <f>IFERROR(__xludf.DUMMYFUNCTION("""COMPUTED_VALUE"""),"Leganés")</f>
        <v/>
      </c>
      <c r="L1543" s="1">
        <f>IFERROR(__xludf.DUMMYFUNCTION("""COMPUTED_VALUE"""),"Spain")</f>
        <v/>
      </c>
      <c r="M1543" s="1">
        <f>IFERROR(__xludf.DUMMYFUNCTION("""COMPUTED_VALUE"""),"Spain")</f>
        <v/>
      </c>
      <c r="N1543" s="1">
        <f>IFERROR(__xludf.DUMMYFUNCTION("""COMPUTED_VALUE"""),"0 to 10")</f>
        <v/>
      </c>
      <c r="O1543" s="1">
        <f>IFERROR(__xludf.DUMMYFUNCTION("""COMPUTED_VALUE"""),"Business to Government, Business to Schools")</f>
        <v/>
      </c>
      <c r="P1543" s="1">
        <f>IFERROR(__xludf.DUMMYFUNCTION("""COMPUTED_VALUE"""),"Secondary Education, Higher Education")</f>
        <v/>
      </c>
      <c r="Q1543" s="1">
        <f>IFERROR(__xludf.DUMMYFUNCTION("""COMPUTED_VALUE"""),"System/Administrative, Student interfacing")</f>
        <v/>
      </c>
      <c r="R1543" s="1" t="n"/>
      <c r="S1543" s="1" t="n"/>
      <c r="T1543" s="1" t="n"/>
      <c r="U1543" s="1">
        <f>IFERROR(__xludf.DUMMYFUNCTION("""COMPUTED_VALUE"""),"Advising for high-schoolers")</f>
        <v/>
      </c>
      <c r="V1543" s="1">
        <f>IFERROR(__xludf.DUMMYFUNCTION("""COMPUTED_VALUE"""),"A network of students from all colleges and degrees. Get in touch with college students that are in your future degree in order to ask them all the questions that you want.")</f>
        <v/>
      </c>
      <c r="W1543" s="1" t="n"/>
      <c r="X1543" s="1" t="n"/>
      <c r="Y1543" s="15">
        <f>IFERROR(__xludf.DUMMYFUNCTION("""COMPUTED_VALUE"""),"https://drive.google.com/uc?export=view&amp;id=1GT65GYanEK3HhnNv33ZzqP1GPpZidMgd")</f>
        <v/>
      </c>
      <c r="Z1543" s="1">
        <f>IFERROR(__xludf.DUMMYFUNCTION("""COMPUTED_VALUE"""),"Unverified")</f>
        <v/>
      </c>
      <c r="AA1543" s="1" t="n"/>
      <c r="AB1543" s="1" t="n"/>
      <c r="AC1543" s="1" t="n"/>
      <c r="AD1543" s="1" t="n"/>
      <c r="AE1543" s="1" t="n"/>
    </row>
    <row r="1544" ht="42" customHeight="1">
      <c r="A1544" s="14">
        <f>IFERROR(__xludf.DUMMYFUNCTION("""COMPUTED_VALUE"""),45181)</f>
        <v/>
      </c>
      <c r="B1544" s="1">
        <f>IFERROR(__xludf.DUMMYFUNCTION("""COMPUTED_VALUE"""),"ORG_1017")</f>
        <v/>
      </c>
      <c r="C1544" s="1">
        <f>IFERROR(__xludf.DUMMYFUNCTION("""COMPUTED_VALUE"""),TRUE)</f>
        <v/>
      </c>
      <c r="D1544" s="1">
        <f>IFERROR(__xludf.DUMMYFUNCTION("""COMPUTED_VALUE"""),"8BitCADE")</f>
        <v/>
      </c>
      <c r="E1544" s="15">
        <f>IFERROR(__xludf.DUMMYFUNCTION("""COMPUTED_VALUE"""),"8bitcade.com")</f>
        <v/>
      </c>
      <c r="F1544" s="1">
        <f>IFERROR(__xludf.DUMMYFUNCTION("""COMPUTED_VALUE"""),"8BitCADE is an ED-tech startup focused on teaching through fun DIY game consoles. Users make the kits to learn in a fun and rewarding way – learning electronics &amp; programming while playing their favourite retro games!")</f>
        <v/>
      </c>
      <c r="G1544" s="1">
        <f>IFERROR(__xludf.DUMMYFUNCTION("""COMPUTED_VALUE"""),"I'm not part of any EdTech association")</f>
        <v/>
      </c>
      <c r="H1544" s="1" t="n"/>
      <c r="I1544" s="1" t="n"/>
      <c r="J1544" s="1" t="n"/>
      <c r="K1544" s="1">
        <f>IFERROR(__xludf.DUMMYFUNCTION("""COMPUTED_VALUE"""),"London")</f>
        <v/>
      </c>
      <c r="L1544" s="1">
        <f>IFERROR(__xludf.DUMMYFUNCTION("""COMPUTED_VALUE"""),"United Kingdom")</f>
        <v/>
      </c>
      <c r="M1544" s="1">
        <f>IFERROR(__xludf.DUMMYFUNCTION("""COMPUTED_VALUE"""),"Austria, Belgium, Croatia, Denmark, France, Germany, Hungary, Italy, Norway, Portugal, Russia, Spain, Sweden, United Kingdom")</f>
        <v/>
      </c>
      <c r="N1544" s="1">
        <f>IFERROR(__xludf.DUMMYFUNCTION("""COMPUTED_VALUE"""),"0 to 10")</f>
        <v/>
      </c>
      <c r="O1544" s="1">
        <f>IFERROR(__xludf.DUMMYFUNCTION("""COMPUTED_VALUE"""),"Business to Business")</f>
        <v/>
      </c>
      <c r="P1544" s="1">
        <f>IFERROR(__xludf.DUMMYFUNCTION("""COMPUTED_VALUE"""),"Secondary Education, Lifelong learning/Adult education")</f>
        <v/>
      </c>
      <c r="Q1544" s="1">
        <f>IFERROR(__xludf.DUMMYFUNCTION("""COMPUTED_VALUE"""),"System/Administrative, Student interfacing, Teacher interfacing")</f>
        <v/>
      </c>
      <c r="R1544" s="1" t="n"/>
      <c r="S1544" s="1" t="n"/>
      <c r="T1544" s="1" t="n"/>
      <c r="U1544" s="1" t="n"/>
      <c r="V1544" s="1" t="n"/>
      <c r="W1544" s="1" t="n"/>
      <c r="X1544" s="1" t="n"/>
      <c r="Y1544" s="15">
        <f>IFERROR(__xludf.DUMMYFUNCTION("""COMPUTED_VALUE"""),"https://drive.google.com/uc?export=view&amp;id=14PMhKKlBCnoendBakvE4Szwkjylmz5qj")</f>
        <v/>
      </c>
      <c r="Z1544" s="1">
        <f>IFERROR(__xludf.DUMMYFUNCTION("""COMPUTED_VALUE"""),"Unverified")</f>
        <v/>
      </c>
      <c r="AA1544" s="1" t="n"/>
      <c r="AB1544" s="1" t="n"/>
      <c r="AC1544" s="1" t="n"/>
      <c r="AD1544" s="1" t="n"/>
      <c r="AE1544" s="1" t="n"/>
    </row>
    <row r="1545" ht="42" customHeight="1">
      <c r="A1545" s="14">
        <f>IFERROR(__xludf.DUMMYFUNCTION("""COMPUTED_VALUE"""),45181)</f>
        <v/>
      </c>
      <c r="B1545" s="1">
        <f>IFERROR(__xludf.DUMMYFUNCTION("""COMPUTED_VALUE"""),"ORG_1083")</f>
        <v/>
      </c>
      <c r="C1545" s="1">
        <f>IFERROR(__xludf.DUMMYFUNCTION("""COMPUTED_VALUE"""),TRUE)</f>
        <v/>
      </c>
      <c r="D1545" s="1">
        <f>IFERROR(__xludf.DUMMYFUNCTION("""COMPUTED_VALUE"""),"Apolearn")</f>
        <v/>
      </c>
      <c r="E1545" s="15">
        <f>IFERROR(__xludf.DUMMYFUNCTION("""COMPUTED_VALUE"""),"https://apolearn.com/")</f>
        <v/>
      </c>
      <c r="F1545" s="1">
        <f>IFERROR(__xludf.DUMMYFUNCTION("""COMPUTED_VALUE"""),"Apolearn provides a social and collaborative Learning Management System that puts people at the heart of your training courses.")</f>
        <v/>
      </c>
      <c r="G1545" s="1">
        <f>IFERROR(__xludf.DUMMYFUNCTION("""COMPUTED_VALUE"""),"EdTech France")</f>
        <v/>
      </c>
      <c r="H1545" s="1" t="n"/>
      <c r="I1545" s="1">
        <f>IFERROR(__xludf.DUMMYFUNCTION("""COMPUTED_VALUE"""),"contact@apolearn.com")</f>
        <v/>
      </c>
      <c r="J1545" s="1" t="n"/>
      <c r="K1545" s="1">
        <f>IFERROR(__xludf.DUMMYFUNCTION("""COMPUTED_VALUE"""),"Saint-Ouen")</f>
        <v/>
      </c>
      <c r="L1545" s="1">
        <f>IFERROR(__xludf.DUMMYFUNCTION("""COMPUTED_VALUE"""),"France")</f>
        <v/>
      </c>
      <c r="M1545" s="1">
        <f>IFERROR(__xludf.DUMMYFUNCTION("""COMPUTED_VALUE"""),"France")</f>
        <v/>
      </c>
      <c r="N1545" s="1">
        <f>IFERROR(__xludf.DUMMYFUNCTION("""COMPUTED_VALUE"""),"11 to 50")</f>
        <v/>
      </c>
      <c r="O1545" s="1">
        <f>IFERROR(__xludf.DUMMYFUNCTION("""COMPUTED_VALUE"""),"Business to Business")</f>
        <v/>
      </c>
      <c r="P1545" s="1">
        <f>IFERROR(__xludf.DUMMYFUNCTION("""COMPUTED_VALUE"""),"Higher Education, Corporate Training, Lifelong learning/Adult education")</f>
        <v/>
      </c>
      <c r="Q1545" s="1">
        <f>IFERROR(__xludf.DUMMYFUNCTION("""COMPUTED_VALUE"""),"Teacher interfacing, System/Administrative")</f>
        <v/>
      </c>
      <c r="R1545" s="1" t="n"/>
      <c r="S1545" s="15">
        <f>IFERROR(__xludf.DUMMYFUNCTION("""COMPUTED_VALUE"""),"https://twitter.com/apolearn")</f>
        <v/>
      </c>
      <c r="T1545" s="15">
        <f>IFERROR(__xludf.DUMMYFUNCTION("""COMPUTED_VALUE"""),"https://www.linkedin.com/company/apolearn")</f>
        <v/>
      </c>
      <c r="U1545" s="1">
        <f>IFERROR(__xludf.DUMMYFUNCTION("""COMPUTED_VALUE"""),"Apolearn")</f>
        <v/>
      </c>
      <c r="V1545" s="1">
        <f>IFERROR(__xludf.DUMMYFUNCTION("""COMPUTED_VALUE"""),"Apolearn is the digital learning platform that puts people at the heart of your training courses. Our LMS provides everything you need to create and animate blended and distance courses.")</f>
        <v/>
      </c>
      <c r="W1545" s="1" t="n"/>
      <c r="X1545" s="1" t="n"/>
      <c r="Y1545" s="15">
        <f>IFERROR(__xludf.DUMMYFUNCTION("""COMPUTED_VALUE"""),"https://drive.google.com/uc?export=view&amp;id=13xT1Ii3usn9h_dHWUs7-6Zbm7EJzBnJL")</f>
        <v/>
      </c>
      <c r="Z1545" s="1">
        <f>IFERROR(__xludf.DUMMYFUNCTION("""COMPUTED_VALUE"""),"Unverified")</f>
        <v/>
      </c>
      <c r="AA1545" s="1" t="n"/>
      <c r="AB1545" s="1" t="n"/>
      <c r="AC1545" s="1" t="n"/>
      <c r="AD1545" s="1" t="n"/>
      <c r="AE1545" s="1" t="n"/>
    </row>
    <row r="1546" ht="42" customHeight="1">
      <c r="A1546" s="14">
        <f>IFERROR(__xludf.DUMMYFUNCTION("""COMPUTED_VALUE"""),45181)</f>
        <v/>
      </c>
      <c r="B1546" s="1">
        <f>IFERROR(__xludf.DUMMYFUNCTION("""COMPUTED_VALUE"""),"ORG_1102")</f>
        <v/>
      </c>
      <c r="C1546" s="1">
        <f>IFERROR(__xludf.DUMMYFUNCTION("""COMPUTED_VALUE"""),TRUE)</f>
        <v/>
      </c>
      <c r="D1546" s="1">
        <f>IFERROR(__xludf.DUMMYFUNCTION("""COMPUTED_VALUE"""),"Artivive")</f>
        <v/>
      </c>
      <c r="E1546" s="15">
        <f>IFERROR(__xludf.DUMMYFUNCTION("""COMPUTED_VALUE"""),"https://artivive.com/")</f>
        <v/>
      </c>
      <c r="F1546" s="1">
        <f>IFERROR(__xludf.DUMMYFUNCTION("""COMPUTED_VALUE"""),"Artivive is an AR tool that allows artists to create new dimensions of art by linking classical with digital art. The digital layer opens doors to a whole new world of possibilities. Artists can take visitors on a journey through time, explain what lies u"&amp;"nderneath, enhance the art with animations, or show how the artworks were made. 125,000 users are creating artworks with Artivive and are having exhibitions in 92 countries. For museums, exhibitions, galleries, and other art institutions Artivive offers a"&amp;" new and innovative way for the audience to interact with exhibitions. Visitors only have to use their smartphones or tablets in order to experience the layer of augmented reality.")</f>
        <v/>
      </c>
      <c r="G1546" s="1">
        <f>IFERROR(__xludf.DUMMYFUNCTION("""COMPUTED_VALUE"""),"EdTech Austria")</f>
        <v/>
      </c>
      <c r="H1546" s="1" t="n"/>
      <c r="I1546" s="1">
        <f>IFERROR(__xludf.DUMMYFUNCTION("""COMPUTED_VALUE"""),"ines@artivive.com")</f>
        <v/>
      </c>
      <c r="J1546" s="1">
        <f>IFERROR(__xludf.DUMMYFUNCTION("""COMPUTED_VALUE"""),"+43 (1) 23 61 68 2")</f>
        <v/>
      </c>
      <c r="K1546" s="1">
        <f>IFERROR(__xludf.DUMMYFUNCTION("""COMPUTED_VALUE"""),"Vienna")</f>
        <v/>
      </c>
      <c r="L1546" s="1">
        <f>IFERROR(__xludf.DUMMYFUNCTION("""COMPUTED_VALUE"""),"Austria")</f>
        <v/>
      </c>
      <c r="M154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546" s="1">
        <f>IFERROR(__xludf.DUMMYFUNCTION("""COMPUTED_VALUE"""),"11 to 50")</f>
        <v/>
      </c>
      <c r="O1546" s="1">
        <f>IFERROR(__xludf.DUMMYFUNCTION("""COMPUTED_VALUE"""),"Business to Business")</f>
        <v/>
      </c>
      <c r="P1546" s="1">
        <f>IFERROR(__xludf.DUMMYFUNCTION("""COMPUTED_VALUE"""),"Early childhood development (0-5 years), Primary Education, Secondary Education, Higher Education, Corporate Training, Lifelong learning/Adult education")</f>
        <v/>
      </c>
      <c r="Q1546" s="1">
        <f>IFERROR(__xludf.DUMMYFUNCTION("""COMPUTED_VALUE"""),"System/Administrative, Student interfacing, Teacher interfacing")</f>
        <v/>
      </c>
      <c r="R1546" s="15">
        <f>IFERROR(__xludf.DUMMYFUNCTION("""COMPUTED_VALUE"""),"https://www.instagram.com/artiviveapp/")</f>
        <v/>
      </c>
      <c r="S1546" s="15">
        <f>IFERROR(__xludf.DUMMYFUNCTION("""COMPUTED_VALUE"""),"https://twitter.com/ArtiviveApp")</f>
        <v/>
      </c>
      <c r="T1546" s="15">
        <f>IFERROR(__xludf.DUMMYFUNCTION("""COMPUTED_VALUE"""),"https://www.linkedin.com/company/artivive/")</f>
        <v/>
      </c>
      <c r="U1546" s="1">
        <f>IFERROR(__xludf.DUMMYFUNCTION("""COMPUTED_VALUE"""),"Artivive App")</f>
        <v/>
      </c>
      <c r="V1546" s="1">
        <f>IFERROR(__xludf.DUMMYFUNCTION("""COMPUTED_VALUE"""),"Artivive is an easy-to-use, affordable tool for creating Augmented Reality Art. Whether you are a beginner or expert, Artivive welcomes users of every artistic level.To start creating, you need register for an Artivive account. This will give you access t"&amp;"o our content management system called Bridge by Artivive.
We work with museums, galleries, festivals, and designers to present tailored solutions to individual problems. For them, Artivive provides a reliable, fast, and scalable infrastructure for the b"&amp;"est experience for their visitors, prolonging visitation time, thus increasing emotional bonding. In addition, Artivive creates digital content, organizes workshops, and proposes artists for collaborations.")</f>
        <v/>
      </c>
      <c r="W1546" s="1" t="n"/>
      <c r="X1546" s="1" t="n"/>
      <c r="Y1546" s="15">
        <f>IFERROR(__xludf.DUMMYFUNCTION("""COMPUTED_VALUE"""),"https://drive.google.com/uc?export=view&amp;id=1_-TdzL8HNcwYMRN8js9pXwwbfBa8sxXH")</f>
        <v/>
      </c>
      <c r="Z1546" s="1">
        <f>IFERROR(__xludf.DUMMYFUNCTION("""COMPUTED_VALUE"""),"Unverified")</f>
        <v/>
      </c>
      <c r="AA1546" s="1" t="n"/>
      <c r="AB1546" s="1" t="n"/>
      <c r="AC1546" s="1" t="n"/>
      <c r="AD1546" s="1" t="n"/>
      <c r="AE1546" s="1" t="n"/>
    </row>
    <row r="1547" ht="42" customHeight="1">
      <c r="A1547" s="14">
        <f>IFERROR(__xludf.DUMMYFUNCTION("""COMPUTED_VALUE"""),45181)</f>
        <v/>
      </c>
      <c r="B1547" s="1">
        <f>IFERROR(__xludf.DUMMYFUNCTION("""COMPUTED_VALUE"""),"ORG_1148")</f>
        <v/>
      </c>
      <c r="C1547" s="1">
        <f>IFERROR(__xludf.DUMMYFUNCTION("""COMPUTED_VALUE"""),TRUE)</f>
        <v/>
      </c>
      <c r="D1547" s="1">
        <f>IFERROR(__xludf.DUMMYFUNCTION("""COMPUTED_VALUE"""),"Beekee")</f>
        <v/>
      </c>
      <c r="E1547" s="15">
        <f>IFERROR(__xludf.DUMMYFUNCTION("""COMPUTED_VALUE"""),"https://beekee.ch")</f>
        <v/>
      </c>
      <c r="F1547" s="1">
        <f>IFERROR(__xludf.DUMMYFUNCTION("""COMPUTED_VALUE"""),"Reach more learners. Increase engagement. Blended digital learning anywhere – no internet needed!
At Beekee, we're dedicated to empowering learners, educators, trainers, and more with the essential tools and unrestricted access to resources to ignite lea"&amp;"rning, even in the most challenging circumstances. We firmly stand by the belief that quality education and access to training should be accessible to all, free from the constraints of unreliable internet and power interruptions.
We make this vision a re"&amp;"ality, offering you field-ready standalone tools and support to reach a broader audience, enhance engagement, and seamlessly implement blended digital learning, making learning possible, open, and accessible to everyone, no matter the circumstances")</f>
        <v/>
      </c>
      <c r="G1547" s="1">
        <f>IFERROR(__xludf.DUMMYFUNCTION("""COMPUTED_VALUE"""),"Swiss EdTech Collider")</f>
        <v/>
      </c>
      <c r="H1547" s="1">
        <f>IFERROR(__xludf.DUMMYFUNCTION("""COMPUTED_VALUE"""),"English, French, Spanish, Italian, Portuguese.")</f>
        <v/>
      </c>
      <c r="I1547" s="1">
        <f>IFERROR(__xludf.DUMMYFUNCTION("""COMPUTED_VALUE"""),"sergio.estupinan@beekee.ch")</f>
        <v/>
      </c>
      <c r="J1547" s="1" t="n"/>
      <c r="K1547" s="1">
        <f>IFERROR(__xludf.DUMMYFUNCTION("""COMPUTED_VALUE"""),"Carouge")</f>
        <v/>
      </c>
      <c r="L1547" s="1">
        <f>IFERROR(__xludf.DUMMYFUNCTION("""COMPUTED_VALUE"""),"Switzerland")</f>
        <v/>
      </c>
      <c r="M1547" s="1">
        <f>IFERROR(__xludf.DUMMYFUNCTION("""COMPUTED_VALUE"""),"France, Spain, Switzerland")</f>
        <v/>
      </c>
      <c r="N1547" s="1">
        <f>IFERROR(__xludf.DUMMYFUNCTION("""COMPUTED_VALUE"""),"6 to 10")</f>
        <v/>
      </c>
      <c r="O1547" s="1">
        <f>IFERROR(__xludf.DUMMYFUNCTION("""COMPUTED_VALUE"""),"Business to Business")</f>
        <v/>
      </c>
      <c r="P1547" s="1">
        <f>IFERROR(__xludf.DUMMYFUNCTION("""COMPUTED_VALUE"""),"Secondary Education, Corporate Training, Lifelong learning/Adult education, Vocational Education and Training (VET), Higher Education")</f>
        <v/>
      </c>
      <c r="Q1547" s="1">
        <f>IFERROR(__xludf.DUMMYFUNCTION("""COMPUTED_VALUE"""),"Teacher interfacing, System/Administrative, Student interfacing")</f>
        <v/>
      </c>
      <c r="R1547" s="1" t="n"/>
      <c r="S1547" s="15">
        <f>IFERROR(__xludf.DUMMYFUNCTION("""COMPUTED_VALUE"""),"https://twitter.com/beekee_ch")</f>
        <v/>
      </c>
      <c r="T1547" s="15">
        <f>IFERROR(__xludf.DUMMYFUNCTION("""COMPUTED_VALUE"""),"https://www.linkedin.com/company/beekee/")</f>
        <v/>
      </c>
      <c r="U1547" s="1">
        <f>IFERROR(__xludf.DUMMYFUNCTION("""COMPUTED_VALUE"""),"Beekee Box")</f>
        <v/>
      </c>
      <c r="V1547" s="1">
        <f>IFERROR(__xludf.DUMMYFUNCTION("""COMPUTED_VALUE"""),"Your pocket-sized digital classroom, empowers educators to deliver dynamic lessons anywhere - no internet needed")</f>
        <v/>
      </c>
      <c r="W1547" s="1">
        <f>IFERROR(__xludf.DUMMYFUNCTION("""COMPUTED_VALUE"""),"Beekee Hub")</f>
        <v/>
      </c>
      <c r="X1547" s="1">
        <f>IFERROR(__xludf.DUMMYFUNCTION("""COMPUTED_VALUE"""),"Transform any space into a robust digital campus, offering both offline-first learning and online possibilities via mobile data.")</f>
        <v/>
      </c>
      <c r="Y1547" s="15">
        <f>IFERROR(__xludf.DUMMYFUNCTION("""COMPUTED_VALUE"""),"https://drive.google.com/uc?export=view&amp;id=1ZfxM41Op9Ykoa9z2v1uPL3Y7bLyQI839")</f>
        <v/>
      </c>
      <c r="Z1547" s="1">
        <f>IFERROR(__xludf.DUMMYFUNCTION("""COMPUTED_VALUE"""),"Unverified")</f>
        <v/>
      </c>
      <c r="AA1547" s="1" t="n"/>
      <c r="AB1547" s="1" t="n"/>
      <c r="AC1547" s="1" t="n"/>
      <c r="AD1547" s="1" t="n"/>
      <c r="AE1547" s="1" t="n"/>
    </row>
    <row r="1548" ht="42" customHeight="1">
      <c r="A1548" s="14">
        <f>IFERROR(__xludf.DUMMYFUNCTION("""COMPUTED_VALUE"""),45181)</f>
        <v/>
      </c>
      <c r="B1548" s="1">
        <f>IFERROR(__xludf.DUMMYFUNCTION("""COMPUTED_VALUE"""),"ORG_1211")</f>
        <v/>
      </c>
      <c r="C1548" s="1">
        <f>IFERROR(__xludf.DUMMYFUNCTION("""COMPUTED_VALUE"""),TRUE)</f>
        <v/>
      </c>
      <c r="D1548" s="1">
        <f>IFERROR(__xludf.DUMMYFUNCTION("""COMPUTED_VALUE"""),"Calerga Sarl")</f>
        <v/>
      </c>
      <c r="E1548" s="15">
        <f>IFERROR(__xludf.DUMMYFUNCTION("""COMPUTED_VALUE"""),"https://calerga.com")</f>
        <v/>
      </c>
      <c r="F1548" s="1">
        <f>IFERROR(__xludf.DUMMYFUNCTION("""COMPUTED_VALUE"""),"Calerga Sarl, a Swiss company, develops and sells Sysquake, a range of software for scientific computation and visualization. It's also active in edtech. It executes consulting projects in the domains of mathematical modeling, simulation, automatic contro"&amp;"l, and educational software.")</f>
        <v/>
      </c>
      <c r="G1548" s="1">
        <f>IFERROR(__xludf.DUMMYFUNCTION("""COMPUTED_VALUE"""),"Swiss EdTech Collider")</f>
        <v/>
      </c>
      <c r="H1548" s="1" t="n"/>
      <c r="I1548" s="1">
        <f>IFERROR(__xludf.DUMMYFUNCTION("""COMPUTED_VALUE"""),"info@calerga.com")</f>
        <v/>
      </c>
      <c r="J1548" s="1" t="n"/>
      <c r="K1548" s="1">
        <f>IFERROR(__xludf.DUMMYFUNCTION("""COMPUTED_VALUE"""),"VEVEY")</f>
        <v/>
      </c>
      <c r="L1548" s="1">
        <f>IFERROR(__xludf.DUMMYFUNCTION("""COMPUTED_VALUE"""),"Switzerland")</f>
        <v/>
      </c>
      <c r="M1548" s="1">
        <f>IFERROR(__xludf.DUMMYFUNCTION("""COMPUTED_VALUE"""),"Austria, Belgium, France, Germany, Greece, Ireland, Italy, Poland, Portugal, Spain, Sweden, Switzerland, United Kingdom")</f>
        <v/>
      </c>
      <c r="N1548" s="1">
        <f>IFERROR(__xludf.DUMMYFUNCTION("""COMPUTED_VALUE"""),"0 to 10")</f>
        <v/>
      </c>
      <c r="O1548" s="1">
        <f>IFERROR(__xludf.DUMMYFUNCTION("""COMPUTED_VALUE"""),"Business to Business")</f>
        <v/>
      </c>
      <c r="P1548" s="1">
        <f>IFERROR(__xludf.DUMMYFUNCTION("""COMPUTED_VALUE"""),"Secondary Education, Higher Education, Corporate Training")</f>
        <v/>
      </c>
      <c r="Q1548" s="1">
        <f>IFERROR(__xludf.DUMMYFUNCTION("""COMPUTED_VALUE"""),"Teacher interfacing, Student interfacing, System/Administrative")</f>
        <v/>
      </c>
      <c r="R1548" s="1" t="n"/>
      <c r="S1548" s="1" t="n"/>
      <c r="T1548" s="1" t="n"/>
      <c r="U1548" s="1">
        <f>IFERROR(__xludf.DUMMYFUNCTION("""COMPUTED_VALUE"""),"Sysquake")</f>
        <v/>
      </c>
      <c r="V1548" s="1">
        <f>IFERROR(__xludf.DUMMYFUNCTION("""COMPUTED_VALUE"""),"Sysquake is innovative, powerful and flexible software for understanding systems, solving problems, and designing products. What makes it special is its unparalleled graphical interactivity.
Sysquake can be used in many areas, including automatic control"&amp;", identification of model parameters and model validation, robotics, statistics, demography and finance.
Simulation of dynamic systems can benefit greatly from Sysquake's interactivity. Parameters have often effects which are difficult to deduce intuitiv"&amp;"ely from the model or from a few static simulation graphics. With Sysquake, their manipulation reveal their role and which compromise may be obtained.
Sysquake is available as a native application for Windows, macOS and Linux, and as a web application.")</f>
        <v/>
      </c>
      <c r="W1548" s="1" t="n"/>
      <c r="X1548" s="1" t="n"/>
      <c r="Y1548" s="15">
        <f>IFERROR(__xludf.DUMMYFUNCTION("""COMPUTED_VALUE"""),"https://drive.google.com/uc?export=view&amp;id=1_5X_I5RCltPHZ5-iFP1HKKVSA3NWQ3He")</f>
        <v/>
      </c>
      <c r="Z1548" s="1">
        <f>IFERROR(__xludf.DUMMYFUNCTION("""COMPUTED_VALUE"""),"Unverified")</f>
        <v/>
      </c>
      <c r="AA1548" s="1" t="n"/>
      <c r="AB1548" s="1" t="n"/>
      <c r="AC1548" s="1" t="n"/>
      <c r="AD1548" s="1" t="n"/>
      <c r="AE1548" s="1" t="n"/>
    </row>
    <row r="1549" ht="42" customHeight="1">
      <c r="A1549" s="14">
        <f>IFERROR(__xludf.DUMMYFUNCTION("""COMPUTED_VALUE"""),45181)</f>
        <v/>
      </c>
      <c r="B1549" s="1">
        <f>IFERROR(__xludf.DUMMYFUNCTION("""COMPUTED_VALUE"""),"ORG_1379")</f>
        <v/>
      </c>
      <c r="C1549" s="1">
        <f>IFERROR(__xludf.DUMMYFUNCTION("""COMPUTED_VALUE"""),TRUE)</f>
        <v/>
      </c>
      <c r="D1549" s="1">
        <f>IFERROR(__xludf.DUMMYFUNCTION("""COMPUTED_VALUE"""),"doubleYou Kids")</f>
        <v/>
      </c>
      <c r="E1549" s="15">
        <f>IFERROR(__xludf.DUMMYFUNCTION("""COMPUTED_VALUE"""),"https://www.doubleyoukids.com")</f>
        <v/>
      </c>
      <c r="F1549" s="1">
        <f>IFERROR(__xludf.DUMMYFUNCTION("""COMPUTED_VALUE"""),"doubleYou Kids aims to create a new way to learn through vocal interactions with affective virtual characters, as fun study support for kids.
« Double » of parents or teachers, our virtual tutors are embedded in smartphone/tablet apps, to provide individu"&amp;"alized learning program through skill assessments.
Our apps engage children in playful autonomous learning out loud through vocal quizzes, 3D games and AR/VR experiences. Parents and teachers can assign homework among thousands of educational contents, th"&amp;"rough messaging or schoolwork apps, and then follow their progress.
To provide fully-embedded educational games, we’ve developed our own technology that provides the missing link between speech recognition and expressive text to speech, and third-party AP"&amp;"Is integration such as AR/VR engines.")</f>
        <v/>
      </c>
      <c r="G1549" s="1">
        <f>IFERROR(__xludf.DUMMYFUNCTION("""COMPUTED_VALUE"""),"EdTech France")</f>
        <v/>
      </c>
      <c r="H1549" s="1" t="n"/>
      <c r="I1549" s="1">
        <f>IFERROR(__xludf.DUMMYFUNCTION("""COMPUTED_VALUE"""),"didier.paris@doubleyoukids.com")</f>
        <v/>
      </c>
      <c r="J1549" s="1" t="n"/>
      <c r="K1549" s="1">
        <f>IFERROR(__xludf.DUMMYFUNCTION("""COMPUTED_VALUE"""),"Paris")</f>
        <v/>
      </c>
      <c r="L1549" s="1">
        <f>IFERROR(__xludf.DUMMYFUNCTION("""COMPUTED_VALUE"""),"France")</f>
        <v/>
      </c>
      <c r="M1549" s="1">
        <f>IFERROR(__xludf.DUMMYFUNCTION("""COMPUTED_VALUE"""),"Andorra, Belgium, Denmark, Finland, France, Ireland, Norway, Sweden, Switzerland, United Kingdom")</f>
        <v/>
      </c>
      <c r="N1549" s="1">
        <f>IFERROR(__xludf.DUMMYFUNCTION("""COMPUTED_VALUE"""),"0 to 10")</f>
        <v/>
      </c>
      <c r="O1549" s="1">
        <f>IFERROR(__xludf.DUMMYFUNCTION("""COMPUTED_VALUE"""),"Business to Business, Business to Consumer")</f>
        <v/>
      </c>
      <c r="P1549" s="1">
        <f>IFERROR(__xludf.DUMMYFUNCTION("""COMPUTED_VALUE"""),"Primary Education")</f>
        <v/>
      </c>
      <c r="Q1549" s="1">
        <f>IFERROR(__xludf.DUMMYFUNCTION("""COMPUTED_VALUE"""),"System/Administrative, Student interfacing, Teacher interfacing")</f>
        <v/>
      </c>
      <c r="R1549" s="1" t="n"/>
      <c r="S1549" s="15">
        <f>IFERROR(__xludf.DUMMYFUNCTION("""COMPUTED_VALUE"""),"https://twitter.com/DoubleyouKids")</f>
        <v/>
      </c>
      <c r="T1549" s="15">
        <f>IFERROR(__xludf.DUMMYFUNCTION("""COMPUTED_VALUE"""),"https://www.linkedin.com/company/doubleyoukids/")</f>
        <v/>
      </c>
      <c r="U1549" s="1">
        <f>IFERROR(__xludf.DUMMYFUNCTION("""COMPUTED_VALUE"""),"AppStore Math8 Leon's Vocal Games (English and French)")</f>
        <v/>
      </c>
      <c r="V1549" s="1">
        <f>IFERROR(__xludf.DUMMYFUNCTION("""COMPUTED_VALUE"""),"This app designed for kids ages 7 to 10 allows math learning while having fun with the 3D talking character « Leon ». Utilizing an initial skill assessment, Leon builds an individualized math curricula to meet each child's needs. Always encouraging, Leon "&amp;"helps by giving hints and specific lessons. Leon travels the Earth with children and helps them discover specific regions through 360° VR videos.")</f>
        <v/>
      </c>
      <c r="W1549" s="1">
        <f>IFERROR(__xludf.DUMMYFUNCTION("""COMPUTED_VALUE"""),"AppStore Math8 for School (English and French)")</f>
        <v/>
      </c>
      <c r="X1549" s="1">
        <f>IFERROR(__xludf.DUMMYFUNCTION("""COMPUTED_VALUE"""),"With Math8 for School, teachers can assign Math8 homework through the Apple « schoolwork » app. They can access to Math8’s educational content and choose from more than 1,000 games, quizzes and lessons. Children can access and play their homework through "&amp;"schoolwork app and teachers can follow their progress with a complete dashboard (statistics, figures).")</f>
        <v/>
      </c>
      <c r="Y1549" s="15">
        <f>IFERROR(__xludf.DUMMYFUNCTION("""COMPUTED_VALUE"""),"https://drive.google.com/uc?export=view&amp;id=1lx8pg1yp2BYUVOxzrIW2AgMAPn3TUTqQ")</f>
        <v/>
      </c>
      <c r="Z1549" s="1">
        <f>IFERROR(__xludf.DUMMYFUNCTION("""COMPUTED_VALUE"""),"Unverified")</f>
        <v/>
      </c>
      <c r="AA1549" s="1" t="n"/>
      <c r="AB1549" s="1" t="n"/>
      <c r="AC1549" s="1" t="n"/>
      <c r="AD1549" s="1" t="n"/>
      <c r="AE1549" s="1" t="n"/>
    </row>
    <row r="1550" ht="42" customHeight="1">
      <c r="A1550" s="14">
        <f>IFERROR(__xludf.DUMMYFUNCTION("""COMPUTED_VALUE"""),45181)</f>
        <v/>
      </c>
      <c r="B1550" s="1">
        <f>IFERROR(__xludf.DUMMYFUNCTION("""COMPUTED_VALUE"""),"ORG_1438")</f>
        <v/>
      </c>
      <c r="C1550" s="1">
        <f>IFERROR(__xludf.DUMMYFUNCTION("""COMPUTED_VALUE"""),TRUE)</f>
        <v/>
      </c>
      <c r="D1550" s="1">
        <f>IFERROR(__xludf.DUMMYFUNCTION("""COMPUTED_VALUE"""),"edufactory")</f>
        <v/>
      </c>
      <c r="E1550" s="15">
        <f>IFERROR(__xludf.DUMMYFUNCTION("""COMPUTED_VALUE"""),"www.edufactory.com")</f>
        <v/>
      </c>
      <c r="F1550" s="1">
        <f>IFERROR(__xludf.DUMMYFUNCTION("""COMPUTED_VALUE"""),"edufactory is a pioneer in tailored digital learning in France. For over 10 years, our clients have benefited from our expertise in digital learning to develop 100% personalized and innovative training programs.
Our 360° vision covers all your needs when"&amp;" you enter a digitalization process:
- Customized creation (our core business)
- Consulting and support
- Platform solutions
We are constantly looking for the most relevant technologies applied to learning. We base our expertise and pedagogy on neuroscie"&amp;"nce to offer our clients engaging and differentiating training solutions.")</f>
        <v/>
      </c>
      <c r="G1550" s="1">
        <f>IFERROR(__xludf.DUMMYFUNCTION("""COMPUTED_VALUE"""),"EdTech France")</f>
        <v/>
      </c>
      <c r="H1550" s="1" t="n"/>
      <c r="I1550" s="1">
        <f>IFERROR(__xludf.DUMMYFUNCTION("""COMPUTED_VALUE"""),"info@edufactory.com")</f>
        <v/>
      </c>
      <c r="J1550" s="1">
        <f>IFERROR(__xludf.DUMMYFUNCTION("""COMPUTED_VALUE"""),"01 43 06 02 85")</f>
        <v/>
      </c>
      <c r="K1550" s="1">
        <f>IFERROR(__xludf.DUMMYFUNCTION("""COMPUTED_VALUE"""),"Paris")</f>
        <v/>
      </c>
      <c r="L1550" s="1">
        <f>IFERROR(__xludf.DUMMYFUNCTION("""COMPUTED_VALUE"""),"France")</f>
        <v/>
      </c>
      <c r="M1550" s="1">
        <f>IFERROR(__xludf.DUMMYFUNCTION("""COMPUTED_VALUE"""),"France")</f>
        <v/>
      </c>
      <c r="N1550" s="1">
        <f>IFERROR(__xludf.DUMMYFUNCTION("""COMPUTED_VALUE"""),"11 to 50")</f>
        <v/>
      </c>
      <c r="O1550" s="1">
        <f>IFERROR(__xludf.DUMMYFUNCTION("""COMPUTED_VALUE"""),"Business to Business, Business to Consumer, Business to Government, Business to Schools")</f>
        <v/>
      </c>
      <c r="P1550" s="1">
        <f>IFERROR(__xludf.DUMMYFUNCTION("""COMPUTED_VALUE"""),"Secondary Education, Higher Education, Corporate Training, Lifelong learning/Adult education")</f>
        <v/>
      </c>
      <c r="Q1550" s="1">
        <f>IFERROR(__xludf.DUMMYFUNCTION("""COMPUTED_VALUE"""),"Student interfacing, System/Administrative")</f>
        <v/>
      </c>
      <c r="R1550" s="15">
        <f>IFERROR(__xludf.DUMMYFUNCTION("""COMPUTED_VALUE"""),"https://www.instagram.com/_edufactory/?hl=fr")</f>
        <v/>
      </c>
      <c r="S1550" s="15">
        <f>IFERROR(__xludf.DUMMYFUNCTION("""COMPUTED_VALUE"""),"https://twitter.com/_edufactory")</f>
        <v/>
      </c>
      <c r="T1550" s="15">
        <f>IFERROR(__xludf.DUMMYFUNCTION("""COMPUTED_VALUE"""),"https://www.linkedin.com/company/edufactory")</f>
        <v/>
      </c>
      <c r="U1550" s="1">
        <f>IFERROR(__xludf.DUMMYFUNCTION("""COMPUTED_VALUE"""),"Tailor-made creation")</f>
        <v/>
      </c>
      <c r="V1550" s="1">
        <f>IFERROR(__xludf.DUMMYFUNCTION("""COMPUTED_VALUE"""),"We design our modules entirely on demand:
- all topics: business gestures, technical training, soft skills, HR content, regulations
- all formats: e-learning, serious game, virtual reality, augmented reality, blended learning, video learning, motion desig"&amp;"n, simulation, micro learning, mobile learning...
- all media: computers, smartphones, tablets, VR headsets
- Graphics : 2D, 3D, actors...")</f>
        <v/>
      </c>
      <c r="W1550" s="1">
        <f>IFERROR(__xludf.DUMMYFUNCTION("""COMPUTED_VALUE"""),"Advice &amp; support")</f>
        <v/>
      </c>
      <c r="X1550" s="1">
        <f>IFERROR(__xludf.DUMMYFUNCTION("""COMPUTED_VALUE"""),"Our offer is multidisciplinary: acculturation, collaborative workshops, operational recommendations... 
A digital training solution can be delivered through strategic and pedagogical consulting. Our missions can range from a 2-hour drafting of specificat"&amp;"ions to, for example, 3 years of support for the implementation of a digitalization strategy.")</f>
        <v/>
      </c>
      <c r="Y1550" s="15">
        <f>IFERROR(__xludf.DUMMYFUNCTION("""COMPUTED_VALUE"""),"https://drive.google.com/uc?export=view&amp;id=1Cf92a3a8jsgjm5jq7fx2liJwKsWzXxB6")</f>
        <v/>
      </c>
      <c r="Z1550" s="1">
        <f>IFERROR(__xludf.DUMMYFUNCTION("""COMPUTED_VALUE"""),"Unverified")</f>
        <v/>
      </c>
      <c r="AA1550" s="1" t="n"/>
      <c r="AB1550" s="1" t="n"/>
      <c r="AC1550" s="1" t="n"/>
      <c r="AD1550" s="1" t="n"/>
      <c r="AE1550" s="1" t="n"/>
    </row>
    <row r="1551" ht="42" customHeight="1">
      <c r="A1551" s="14">
        <f>IFERROR(__xludf.DUMMYFUNCTION("""COMPUTED_VALUE"""),45181)</f>
        <v/>
      </c>
      <c r="B1551" s="1">
        <f>IFERROR(__xludf.DUMMYFUNCTION("""COMPUTED_VALUE"""),"ORG_1562")</f>
        <v/>
      </c>
      <c r="C1551" s="1">
        <f>IFERROR(__xludf.DUMMYFUNCTION("""COMPUTED_VALUE"""),TRUE)</f>
        <v/>
      </c>
      <c r="D1551" s="1">
        <f>IFERROR(__xludf.DUMMYFUNCTION("""COMPUTED_VALUE"""),"Fifty")</f>
        <v/>
      </c>
      <c r="E1551" s="15">
        <f>IFERROR(__xludf.DUMMYFUNCTION("""COMPUTED_VALUE"""),"www.fifty.do")</f>
        <v/>
      </c>
      <c r="F1551" s="1">
        <f>IFERROR(__xludf.DUMMYFUNCTION("""COMPUTED_VALUE"""),"Fifty bridges the intention-action gap in training and business transformation. Our eDoing solution enables rapid and measurable adoption of new behaviors. It combines behavioral science (nudge) and technology for use at scale. Fifty is used by companies "&amp;"such as Orange, Engie, Schneider Electric and L'Oréal on 4 major issues 
- Leadership and Management
- New ways of working
- Diversity, Inclusion and CSR
- Corporate values.
Translated with www.DeepL.com/Translator (free version)")</f>
        <v/>
      </c>
      <c r="G1551" s="1">
        <f>IFERROR(__xludf.DUMMYFUNCTION("""COMPUTED_VALUE"""),"EdTech France")</f>
        <v/>
      </c>
      <c r="H1551" s="1" t="n"/>
      <c r="I1551" s="1">
        <f>IFERROR(__xludf.DUMMYFUNCTION("""COMPUTED_VALUE"""),"clemence@fifty.do")</f>
        <v/>
      </c>
      <c r="J1551" s="1" t="n"/>
      <c r="K1551" s="1">
        <f>IFERROR(__xludf.DUMMYFUNCTION("""COMPUTED_VALUE"""),"SAINT MANDE")</f>
        <v/>
      </c>
      <c r="L1551" s="1">
        <f>IFERROR(__xludf.DUMMYFUNCTION("""COMPUTED_VALUE"""),"France")</f>
        <v/>
      </c>
      <c r="M1551" s="1">
        <f>IFERROR(__xludf.DUMMYFUNCTION("""COMPUTED_VALUE"""),"Belgium, France, Germany, Italy, Luxembourg, Monaco, Spain, United Kingdom")</f>
        <v/>
      </c>
      <c r="N1551" s="1">
        <f>IFERROR(__xludf.DUMMYFUNCTION("""COMPUTED_VALUE"""),"11 to 50")</f>
        <v/>
      </c>
      <c r="O1551" s="1">
        <f>IFERROR(__xludf.DUMMYFUNCTION("""COMPUTED_VALUE"""),"Business to Business, Business to Consumer, Business to Government, Business to Schools")</f>
        <v/>
      </c>
      <c r="P1551" s="1">
        <f>IFERROR(__xludf.DUMMYFUNCTION("""COMPUTED_VALUE"""),"Corporate Training")</f>
        <v/>
      </c>
      <c r="Q1551" s="1">
        <f>IFERROR(__xludf.DUMMYFUNCTION("""COMPUTED_VALUE"""),"System/Administrative")</f>
        <v/>
      </c>
      <c r="R1551" s="1" t="n"/>
      <c r="S1551" s="1" t="n"/>
      <c r="T1551" s="15">
        <f>IFERROR(__xludf.DUMMYFUNCTION("""COMPUTED_VALUE"""),"https://www.linkedin.com/company/fifty-edoing/")</f>
        <v/>
      </c>
      <c r="U1551" s="1">
        <f>IFERROR(__xludf.DUMMYFUNCTION("""COMPUTED_VALUE"""),"Fifty")</f>
        <v/>
      </c>
      <c r="V1551" s="1">
        <f>IFERROR(__xludf.DUMMYFUNCTION("""COMPUTED_VALUE"""),"Fifty offers an eDoing platform that combines behavioral science and technology.
It enables to :
- Translate expected behaviors into micro-actions, using our bank of proven and customizable actions
- Recommend these actions to all your employees, throug"&amp;"h our platform integrated with your existing tools
- Help your employees moving into actions thanks to nudges and social features
- Measure and manage change on a collective scale
With Fifty, anchor behaviors in a simple, empowering and measurable way.")</f>
        <v/>
      </c>
      <c r="W1551" s="1" t="n"/>
      <c r="X1551" s="1" t="n"/>
      <c r="Y1551" s="15">
        <f>IFERROR(__xludf.DUMMYFUNCTION("""COMPUTED_VALUE"""),"https://drive.google.com/uc?export=view&amp;id=1x2IVAax4UqTXsiajtvTJ-3jSJo-euwEp")</f>
        <v/>
      </c>
      <c r="Z1551" s="1">
        <f>IFERROR(__xludf.DUMMYFUNCTION("""COMPUTED_VALUE"""),"Unverified")</f>
        <v/>
      </c>
      <c r="AA1551" s="1" t="n"/>
      <c r="AB1551" s="1" t="n"/>
      <c r="AC1551" s="1" t="n"/>
      <c r="AD1551" s="1" t="n"/>
      <c r="AE1551" s="1" t="n"/>
    </row>
    <row r="1552" ht="42" customHeight="1">
      <c r="A1552" s="14">
        <f>IFERROR(__xludf.DUMMYFUNCTION("""COMPUTED_VALUE"""),45181)</f>
        <v/>
      </c>
      <c r="B1552" s="1">
        <f>IFERROR(__xludf.DUMMYFUNCTION("""COMPUTED_VALUE"""),"ORG_1671")</f>
        <v/>
      </c>
      <c r="C1552" s="1">
        <f>IFERROR(__xludf.DUMMYFUNCTION("""COMPUTED_VALUE"""),TRUE)</f>
        <v/>
      </c>
      <c r="D1552" s="1">
        <f>IFERROR(__xludf.DUMMYFUNCTION("""COMPUTED_VALUE"""),"hello RSE")</f>
        <v/>
      </c>
      <c r="E1552" s="15">
        <f>IFERROR(__xludf.DUMMYFUNCTION("""COMPUTED_VALUE"""),"https://hellorse.fr/")</f>
        <v/>
      </c>
      <c r="F1552" s="1">
        <f>IFERROR(__xludf.DUMMYFUNCTION("""COMPUTED_VALUE"""),"hello RSE is a marketplace with an impact, which offers buyers in the public and private sectors a responsible purchasing tunnel. Its algorithm highlights the most local and virtuous offers and sellers. hello RSE offers digital resources (hardware/softwar"&amp;"e) but is gradually expanding into new areas (furniture, hygiene, office supplies, etc.).
In a market traditionally driven by price, our customers confirm their interest in short circuits, as well as in companies that favour ethics and transparency, diver"&amp;"sity and respect for the environment. This is why we have decided to subscribe to the diversity charter, but also to be labelled ""Numérique Responsable 2"" by the LUCIE ecolabel. 
hello RSE offers its customers new, rental and refurbished products. It th"&amp;"us contributes to the emergence of the circular economy. 
Finally, hello RSE is an expert in its field and cultivates high standards on a daily basis for the benefit of quality customer service. Its sales teams have numerous certifications that make it un"&amp;"ique (Microsoft, Corel, Adobe and Google for Education; EdTech). hello RSE is committed to responsible, sustainable e-Commerce that reconciles economic, social and environmental performance")</f>
        <v/>
      </c>
      <c r="G1552" s="1">
        <f>IFERROR(__xludf.DUMMYFUNCTION("""COMPUTED_VALUE"""),"EdTech France")</f>
        <v/>
      </c>
      <c r="H1552" s="1" t="n"/>
      <c r="I1552" s="1">
        <f>IFERROR(__xludf.DUMMYFUNCTION("""COMPUTED_VALUE"""),"contact@hellorse.fr")</f>
        <v/>
      </c>
      <c r="J1552" s="1">
        <f>IFERROR(__xludf.DUMMYFUNCTION("""COMPUTED_VALUE"""),"05.47.74.39.00")</f>
        <v/>
      </c>
      <c r="K1552" s="1">
        <f>IFERROR(__xludf.DUMMYFUNCTION("""COMPUTED_VALUE"""),"BORDEAUX")</f>
        <v/>
      </c>
      <c r="L1552" s="1">
        <f>IFERROR(__xludf.DUMMYFUNCTION("""COMPUTED_VALUE"""),"France")</f>
        <v/>
      </c>
      <c r="M1552" s="1">
        <f>IFERROR(__xludf.DUMMYFUNCTION("""COMPUTED_VALUE"""),"Belgium, France")</f>
        <v/>
      </c>
      <c r="N1552" s="1">
        <f>IFERROR(__xludf.DUMMYFUNCTION("""COMPUTED_VALUE"""),"0 to 10")</f>
        <v/>
      </c>
      <c r="O1552" s="1">
        <f>IFERROR(__xludf.DUMMYFUNCTION("""COMPUTED_VALUE"""),"Business to Business, Business to Consumer, Business to Government, Business to Schools")</f>
        <v/>
      </c>
      <c r="P1552" s="1">
        <f>IFERROR(__xludf.DUMMYFUNCTION("""COMPUTED_VALUE"""),"Early childhood development (0-5 years), Primary Education, Secondary Education, Higher Education")</f>
        <v/>
      </c>
      <c r="Q1552" s="1">
        <f>IFERROR(__xludf.DUMMYFUNCTION("""COMPUTED_VALUE"""),"Teacher interfacing, Student interfacing, System/Administrative")</f>
        <v/>
      </c>
      <c r="R1552" s="1" t="n"/>
      <c r="S1552" s="1" t="n"/>
      <c r="T1552" s="15">
        <f>IFERROR(__xludf.DUMMYFUNCTION("""COMPUTED_VALUE"""),"https://www.linkedin.com/company/hellorse/mycompany/?viewAsMember=true")</f>
        <v/>
      </c>
      <c r="U1552" s="1">
        <f>IFERROR(__xludf.DUMMYFUNCTION("""COMPUTED_VALUE"""),"EDUCandCO")</f>
        <v/>
      </c>
      <c r="V1552" s="1">
        <f>IFERROR(__xludf.DUMMYFUNCTION("""COMPUTED_VALUE"""),"We offer packs adapted to education distributed under the name of EDUCandCO. These packages contain software (educational and entertainment software such as the EdTech) and hardware (tablets, hybrid computers). The real added value of these packs is their"&amp;" ability to cover all fields of action for schools wishing to equip their classrooms in an optimised way.")</f>
        <v/>
      </c>
      <c r="W1552" s="1">
        <f>IFERROR(__xludf.DUMMYFUNCTION("""COMPUTED_VALUE"""),"Education software")</f>
        <v/>
      </c>
      <c r="X1552" s="1">
        <f>IFERROR(__xludf.DUMMYFUNCTION("""COMPUTED_VALUE"""),"Our proposal in software and certification will equip students or employees in their activities. We distribute Adobe Education, Microsoft, Corel, Google and Edtech software. These official certifications allow thousands of users to enjoy their digital too"&amp;"ls in a more secure and appropriate way.")</f>
        <v/>
      </c>
      <c r="Y1552" s="15">
        <f>IFERROR(__xludf.DUMMYFUNCTION("""COMPUTED_VALUE"""),"https://drive.google.com/uc?export=view&amp;id=1w_aq8VOojnCK8o31ME7BdTHvAnoaEHuN")</f>
        <v/>
      </c>
      <c r="Z1552" s="1">
        <f>IFERROR(__xludf.DUMMYFUNCTION("""COMPUTED_VALUE"""),"Unverified")</f>
        <v/>
      </c>
      <c r="AA1552" s="1" t="n"/>
      <c r="AB1552" s="1" t="n"/>
      <c r="AC1552" s="1" t="n"/>
      <c r="AD1552" s="1" t="n"/>
      <c r="AE1552" s="1" t="n"/>
    </row>
    <row r="1553" ht="42" customHeight="1">
      <c r="A1553" s="14">
        <f>IFERROR(__xludf.DUMMYFUNCTION("""COMPUTED_VALUE"""),45181)</f>
        <v/>
      </c>
      <c r="B1553" s="1">
        <f>IFERROR(__xludf.DUMMYFUNCTION("""COMPUTED_VALUE"""),"ORG_1701")</f>
        <v/>
      </c>
      <c r="C1553" s="1">
        <f>IFERROR(__xludf.DUMMYFUNCTION("""COMPUTED_VALUE"""),TRUE)</f>
        <v/>
      </c>
      <c r="D1553" s="1">
        <f>IFERROR(__xludf.DUMMYFUNCTION("""COMPUTED_VALUE"""),"iamprogrez")</f>
        <v/>
      </c>
      <c r="E1553" s="15">
        <f>IFERROR(__xludf.DUMMYFUNCTION("""COMPUTED_VALUE"""),"www.iamprogrez.com")</f>
        <v/>
      </c>
      <c r="F1553" s="1">
        <f>IFERROR(__xludf.DUMMYFUNCTION("""COMPUTED_VALUE"""),"iamprogrez is a Dutch data tech company that delivers validated soft skill assessment technology for b2e, b2b &amp; b2gov. 
Our motto: “never stop growing” applies to both people and organisations. We connect our passion for both people and data through our "&amp;"technology and create endless possibilities. Our technology is fully focused on the maximum development of people by making their skills, passion and talent visible.
Our tech
•	any time, anywhere 
•	plug &amp; play
•	gamification technology (it is NOT a game"&amp;")
•	20 min assessments (max)
•	Real time data dashboards
•	SaaS")</f>
        <v/>
      </c>
      <c r="G1553" s="1" t="n"/>
      <c r="H1553" s="1" t="n"/>
      <c r="I1553" s="1">
        <f>IFERROR(__xludf.DUMMYFUNCTION("""COMPUTED_VALUE"""),"linda.frietman@iamprogrez.com")</f>
        <v/>
      </c>
      <c r="J1553" s="1">
        <f>IFERROR(__xludf.DUMMYFUNCTION("""COMPUTED_VALUE"""),"+310651110754")</f>
        <v/>
      </c>
      <c r="K1553" s="1">
        <f>IFERROR(__xludf.DUMMYFUNCTION("""COMPUTED_VALUE"""),"Den Haag")</f>
        <v/>
      </c>
      <c r="L1553" s="1">
        <f>IFERROR(__xludf.DUMMYFUNCTION("""COMPUTED_VALUE"""),"The Netherlands")</f>
        <v/>
      </c>
      <c r="M1553" s="1">
        <f>IFERROR(__xludf.DUMMYFUNCTION("""COMPUTED_VALUE"""),"Netherlands")</f>
        <v/>
      </c>
      <c r="N1553" s="1">
        <f>IFERROR(__xludf.DUMMYFUNCTION("""COMPUTED_VALUE"""),"11 to 50")</f>
        <v/>
      </c>
      <c r="O1553" s="1">
        <f>IFERROR(__xludf.DUMMYFUNCTION("""COMPUTED_VALUE"""),"Business to Business, Business to Consumer, Business to Schools")</f>
        <v/>
      </c>
      <c r="P1553" s="1">
        <f>IFERROR(__xludf.DUMMYFUNCTION("""COMPUTED_VALUE"""),"Early childhood development (0-5 years), Primary Education, Secondary Education, Corporate Training, Lifelong learning/Adult education")</f>
        <v/>
      </c>
      <c r="Q1553" s="1">
        <f>IFERROR(__xludf.DUMMYFUNCTION("""COMPUTED_VALUE"""),"System/Administrative, Student interfacing")</f>
        <v/>
      </c>
      <c r="R1553" s="1">
        <f>IFERROR(__xludf.DUMMYFUNCTION("""COMPUTED_VALUE"""),"iamprogrez")</f>
        <v/>
      </c>
      <c r="S1553" s="15">
        <f>IFERROR(__xludf.DUMMYFUNCTION("""COMPUTED_VALUE"""),"https://twitter.com/IamProgrez")</f>
        <v/>
      </c>
      <c r="T1553" s="15">
        <f>IFERROR(__xludf.DUMMYFUNCTION("""COMPUTED_VALUE"""),"https://www.linkedin.com/company/5102576/admin/")</f>
        <v/>
      </c>
      <c r="U1553" s="1">
        <f>IFERROR(__xludf.DUMMYFUNCTION("""COMPUTED_VALUE"""),"Digital soft skill assessment")</f>
        <v/>
      </c>
      <c r="V1553" s="1">
        <f>IFERROR(__xludf.DUMMYFUNCTION("""COMPUTED_VALUE"""),"validated digital soft skill assessments: 
•	better study choice
•	bridging the skill gap to the labor market
•	personalized learning 
•	career guidance 
•	up to 18.000 soft skills")</f>
        <v/>
      </c>
      <c r="W1553" s="1">
        <f>IFERROR(__xludf.DUMMYFUNCTION("""COMPUTED_VALUE"""),"Minecraft Education Skill Builder")</f>
        <v/>
      </c>
      <c r="X1553" s="1">
        <f>IFERROR(__xludf.DUMMYFUNCTION("""COMPUTED_VALUE"""),"•	building &amp; delivering Minecraft Education Worlds with an added layer (Skill Builder) to measure 21st century skills which can be connected to student learning objectives
•	facilitates gamebased learning")</f>
        <v/>
      </c>
      <c r="Y1553" s="15">
        <f>IFERROR(__xludf.DUMMYFUNCTION("""COMPUTED_VALUE"""),"https://drive.google.com/uc?export=view&amp;id=1us57gsY4-z0ACSO2K_jYut24iok0oeFi")</f>
        <v/>
      </c>
      <c r="Z1553" s="1">
        <f>IFERROR(__xludf.DUMMYFUNCTION("""COMPUTED_VALUE"""),"Unverified")</f>
        <v/>
      </c>
      <c r="AA1553" s="1" t="n"/>
      <c r="AB1553" s="1" t="n"/>
      <c r="AC1553" s="1" t="n"/>
      <c r="AD1553" s="1" t="n"/>
      <c r="AE1553" s="1" t="n"/>
    </row>
    <row r="1554" ht="42" customHeight="1">
      <c r="A1554" s="14">
        <f>IFERROR(__xludf.DUMMYFUNCTION("""COMPUTED_VALUE"""),45181)</f>
        <v/>
      </c>
      <c r="B1554" s="1">
        <f>IFERROR(__xludf.DUMMYFUNCTION("""COMPUTED_VALUE"""),"ORG_1740")</f>
        <v/>
      </c>
      <c r="C1554" s="1">
        <f>IFERROR(__xludf.DUMMYFUNCTION("""COMPUTED_VALUE"""),TRUE)</f>
        <v/>
      </c>
      <c r="D1554" s="1">
        <f>IFERROR(__xludf.DUMMYFUNCTION("""COMPUTED_VALUE"""),"ISIcrunch")</f>
        <v/>
      </c>
      <c r="E1554" s="15">
        <f>IFERROR(__xludf.DUMMYFUNCTION("""COMPUTED_VALUE"""),"https://www.isicrunch.com")</f>
        <v/>
      </c>
      <c r="F1554" s="1">
        <f>IFERROR(__xludf.DUMMYFUNCTION("""COMPUTED_VALUE"""),"ISI empowers Educational Publishers by creating interactive eTextbooks, enabling custom libraries and interactive reading.
ISI is a major player in inclusive education allowing born-accessible resources to be used by any level of DYS handicap and blind pe"&amp;"ople.
Our platforms boost productivity of eTextbooks and inclusive educational resources to be used on any device including Mobile.
Connected to many LMS, ISI products are key parts of adaptive learning processes.")</f>
        <v/>
      </c>
      <c r="G1554" s="1">
        <f>IFERROR(__xludf.DUMMYFUNCTION("""COMPUTED_VALUE"""),"EdTech France")</f>
        <v/>
      </c>
      <c r="H1554" s="1" t="n"/>
      <c r="I1554" s="1">
        <f>IFERROR(__xludf.DUMMYFUNCTION("""COMPUTED_VALUE"""),"vincent.wartelle@isicrunch.com")</f>
        <v/>
      </c>
      <c r="J1554" s="1">
        <f>IFERROR(__xludf.DUMMYFUNCTION("""COMPUTED_VALUE"""),"670077549")</f>
        <v/>
      </c>
      <c r="K1554" s="1">
        <f>IFERROR(__xludf.DUMMYFUNCTION("""COMPUTED_VALUE"""),"LES ULIS")</f>
        <v/>
      </c>
      <c r="L1554" s="1">
        <f>IFERROR(__xludf.DUMMYFUNCTION("""COMPUTED_VALUE"""),"France")</f>
        <v/>
      </c>
      <c r="M1554" s="1">
        <f>IFERROR(__xludf.DUMMYFUNCTION("""COMPUTED_VALUE"""),"Belgium, France, Netherlands, Portugal, Spain")</f>
        <v/>
      </c>
      <c r="N1554" s="1">
        <f>IFERROR(__xludf.DUMMYFUNCTION("""COMPUTED_VALUE"""),"0 to 10")</f>
        <v/>
      </c>
      <c r="O1554" s="1">
        <f>IFERROR(__xludf.DUMMYFUNCTION("""COMPUTED_VALUE"""),"Business to Business, Business to Consumer, Business to Schools")</f>
        <v/>
      </c>
      <c r="P1554" s="1">
        <f>IFERROR(__xludf.DUMMYFUNCTION("""COMPUTED_VALUE"""),"Primary Education, Secondary Education, Higher Education, Corporate Training")</f>
        <v/>
      </c>
      <c r="Q1554" s="1">
        <f>IFERROR(__xludf.DUMMYFUNCTION("""COMPUTED_VALUE"""),"System/Administrative, Student interfacing, Teacher interfacing")</f>
        <v/>
      </c>
      <c r="R1554" s="1">
        <f>IFERROR(__xludf.DUMMYFUNCTION("""COMPUTED_VALUE"""),"ISI SAS")</f>
        <v/>
      </c>
      <c r="S1554" s="15">
        <f>IFERROR(__xludf.DUMMYFUNCTION("""COMPUTED_VALUE"""),"https://twitter.com/ISIcrunch")</f>
        <v/>
      </c>
      <c r="T1554" s="15">
        <f>IFERROR(__xludf.DUMMYFUNCTION("""COMPUTED_VALUE"""),"https://www.linkedin.com/in/vincentwartelle/")</f>
        <v/>
      </c>
      <c r="U1554" s="1">
        <f>IFERROR(__xludf.DUMMYFUNCTION("""COMPUTED_VALUE"""),"ISIcrunch")</f>
        <v/>
      </c>
      <c r="V1554" s="1">
        <f>IFERROR(__xludf.DUMMYFUNCTION("""COMPUTED_VALUE"""),"ISIcrunch is the leading platform to create highly interactive eTextbooks.
Used by many educational publishers in France and internationally (Europe, Africa, Brazil, etc.)
Create, Review and Manage your production in real-time with the extensive functiona"&amp;"lities of this reference platform.
More than 3 millions pages already produced by our platform supporting the EPUB standards.")</f>
        <v/>
      </c>
      <c r="W1554" s="1">
        <f>IFERROR(__xludf.DUMMYFUNCTION("""COMPUTED_VALUE"""),"ISIaccess")</f>
        <v/>
      </c>
      <c r="X1554" s="1">
        <f>IFERROR(__xludf.DUMMYFUNCTION("""COMPUTED_VALUE"""),"Create your own custom library, from open access to secure and private connection, with an integrated Reader delivering full interactivity.
Used in French schools with the GAR connector of the Ministry of Education, supporting many other connectors such "&amp;"as LTI, Moodle Plug-In, Blackboard, ISIaccess is used all across the world.")</f>
        <v/>
      </c>
      <c r="Y1554" s="15">
        <f>IFERROR(__xludf.DUMMYFUNCTION("""COMPUTED_VALUE"""),"https://drive.google.com/uc?export=view&amp;id=1sfm4HtYWhkhcaNfO0Z8NjUlFSnGP1XDO")</f>
        <v/>
      </c>
      <c r="Z1554" s="1">
        <f>IFERROR(__xludf.DUMMYFUNCTION("""COMPUTED_VALUE"""),"Unverified")</f>
        <v/>
      </c>
      <c r="AA1554" s="1" t="n"/>
      <c r="AB1554" s="1" t="n"/>
      <c r="AC1554" s="1" t="n"/>
      <c r="AD1554" s="1" t="n"/>
      <c r="AE1554" s="1" t="n"/>
    </row>
    <row r="1555" ht="42" customHeight="1">
      <c r="A1555" s="14">
        <f>IFERROR(__xludf.DUMMYFUNCTION("""COMPUTED_VALUE"""),45181)</f>
        <v/>
      </c>
      <c r="B1555" s="1">
        <f>IFERROR(__xludf.DUMMYFUNCTION("""COMPUTED_VALUE"""),"ORG_1832")</f>
        <v/>
      </c>
      <c r="C1555" s="1">
        <f>IFERROR(__xludf.DUMMYFUNCTION("""COMPUTED_VALUE"""),TRUE)</f>
        <v/>
      </c>
      <c r="D1555" s="1">
        <f>IFERROR(__xludf.DUMMYFUNCTION("""COMPUTED_VALUE"""),"Learning Boost")</f>
        <v/>
      </c>
      <c r="E1555" s="15">
        <f>IFERROR(__xludf.DUMMYFUNCTION("""COMPUTED_VALUE"""),"https://www.learning-boost.com/")</f>
        <v/>
      </c>
      <c r="F1555" s="1">
        <f>IFERROR(__xludf.DUMMYFUNCTION("""COMPUTED_VALUE"""),"Create custom assessment surveys with Learning Boost to assess your team’s maturity on key topics and help them develop their skills")</f>
        <v/>
      </c>
      <c r="G1555" s="1">
        <f>IFERROR(__xludf.DUMMYFUNCTION("""COMPUTED_VALUE"""),"EdTech France")</f>
        <v/>
      </c>
      <c r="H1555" s="1">
        <f>IFERROR(__xludf.DUMMYFUNCTION("""COMPUTED_VALUE"""),"French, English")</f>
        <v/>
      </c>
      <c r="I1555" s="1" t="n"/>
      <c r="J1555" s="1" t="n"/>
      <c r="K1555" s="1">
        <f>IFERROR(__xludf.DUMMYFUNCTION("""COMPUTED_VALUE"""),"Paris")</f>
        <v/>
      </c>
      <c r="L1555" s="1">
        <f>IFERROR(__xludf.DUMMYFUNCTION("""COMPUTED_VALUE"""),"France")</f>
        <v/>
      </c>
      <c r="M1555" s="1">
        <f>IFERROR(__xludf.DUMMYFUNCTION("""COMPUTED_VALUE"""),"France")</f>
        <v/>
      </c>
      <c r="N1555" s="1">
        <f>IFERROR(__xludf.DUMMYFUNCTION("""COMPUTED_VALUE"""),"11 to 50")</f>
        <v/>
      </c>
      <c r="O1555" s="1">
        <f>IFERROR(__xludf.DUMMYFUNCTION("""COMPUTED_VALUE"""),"Business to Business, Business to Consumer, Business to Schools")</f>
        <v/>
      </c>
      <c r="P1555" s="1">
        <f>IFERROR(__xludf.DUMMYFUNCTION("""COMPUTED_VALUE"""),"Corporate Training")</f>
        <v/>
      </c>
      <c r="Q1555" s="1">
        <f>IFERROR(__xludf.DUMMYFUNCTION("""COMPUTED_VALUE"""),"System/Administrative")</f>
        <v/>
      </c>
      <c r="R1555" s="1" t="n"/>
      <c r="S1555" s="15">
        <f>IFERROR(__xludf.DUMMYFUNCTION("""COMPUTED_VALUE"""),"https://twitter.com/Learning_Boost")</f>
        <v/>
      </c>
      <c r="T1555" s="15">
        <f>IFERROR(__xludf.DUMMYFUNCTION("""COMPUTED_VALUE"""),"https://www.linkedin.com/showcase/learningboost/")</f>
        <v/>
      </c>
      <c r="U1555" s="1">
        <f>IFERROR(__xludf.DUMMYFUNCTION("""COMPUTED_VALUE"""),"Learning Boost")</f>
        <v/>
      </c>
      <c r="V1555" s="1">
        <f>IFERROR(__xludf.DUMMYFUNCTION("""COMPUTED_VALUE"""),"Empower your teams: help them adapt to new goals and ambitions : 
1.Measure your team members’ key skills
2. Assess the impact of training programs
3. Personalize learning paths for each team member")</f>
        <v/>
      </c>
      <c r="W1555" s="1" t="n"/>
      <c r="X1555" s="1" t="n"/>
      <c r="Y1555" s="15">
        <f>IFERROR(__xludf.DUMMYFUNCTION("""COMPUTED_VALUE"""),"https://drive.google.com/uc?export=view&amp;id=1LynT39ezg8vDMQvCO437rPsI3Z8SWH3V")</f>
        <v/>
      </c>
      <c r="Z1555" s="1">
        <f>IFERROR(__xludf.DUMMYFUNCTION("""COMPUTED_VALUE"""),"Unverified")</f>
        <v/>
      </c>
      <c r="AA1555" s="1" t="n"/>
      <c r="AB1555" s="1" t="n"/>
      <c r="AC1555" s="1" t="n"/>
      <c r="AD1555" s="1" t="n"/>
      <c r="AE1555" s="1" t="n"/>
    </row>
    <row r="1556" ht="42" customHeight="1">
      <c r="A1556" s="14">
        <f>IFERROR(__xludf.DUMMYFUNCTION("""COMPUTED_VALUE"""),45181)</f>
        <v/>
      </c>
      <c r="B1556" s="1">
        <f>IFERROR(__xludf.DUMMYFUNCTION("""COMPUTED_VALUE"""),"ORG_1897")</f>
        <v/>
      </c>
      <c r="C1556" s="1">
        <f>IFERROR(__xludf.DUMMYFUNCTION("""COMPUTED_VALUE"""),TRUE)</f>
        <v/>
      </c>
      <c r="D1556" s="1">
        <f>IFERROR(__xludf.DUMMYFUNCTION("""COMPUTED_VALUE"""),"LYNX EDUCATE")</f>
        <v/>
      </c>
      <c r="E1556" s="15">
        <f>IFERROR(__xludf.DUMMYFUNCTION("""COMPUTED_VALUE"""),"https://www.lynxeducate.com/")</f>
        <v/>
      </c>
      <c r="F1556" s="1">
        <f>IFERROR(__xludf.DUMMYFUNCTION("""COMPUTED_VALUE"""),"We make it easy for companies to train employees through certified education programs: LYNX is a digital platform that provides a broad range of certified education offerings from leading learning institutions to meet workforce development needs across Eu"&amp;"rope and the UK")</f>
        <v/>
      </c>
      <c r="G1556" s="1">
        <f>IFERROR(__xludf.DUMMYFUNCTION("""COMPUTED_VALUE"""),"EdTech France")</f>
        <v/>
      </c>
      <c r="H1556" s="1" t="n"/>
      <c r="I1556" s="1">
        <f>IFERROR(__xludf.DUMMYFUNCTION("""COMPUTED_VALUE"""),"jessie.leonard@lynxeducate.com")</f>
        <v/>
      </c>
      <c r="J1556" s="1">
        <f>IFERROR(__xludf.DUMMYFUNCTION("""COMPUTED_VALUE"""),"+33632158708")</f>
        <v/>
      </c>
      <c r="K1556" s="1">
        <f>IFERROR(__xludf.DUMMYFUNCTION("""COMPUTED_VALUE"""),"PARIS")</f>
        <v/>
      </c>
      <c r="L1556" s="1">
        <f>IFERROR(__xludf.DUMMYFUNCTION("""COMPUTED_VALUE"""),"France")</f>
        <v/>
      </c>
      <c r="M1556" s="1">
        <f>IFERROR(__xludf.DUMMYFUNCTION("""COMPUTED_VALUE"""),"France, United Kingdom")</f>
        <v/>
      </c>
      <c r="N1556" s="1">
        <f>IFERROR(__xludf.DUMMYFUNCTION("""COMPUTED_VALUE"""),"0 to 10")</f>
        <v/>
      </c>
      <c r="O1556" s="1">
        <f>IFERROR(__xludf.DUMMYFUNCTION("""COMPUTED_VALUE"""),"Business to Business, Business to Consumer, Business to Schools")</f>
        <v/>
      </c>
      <c r="P1556" s="1">
        <f>IFERROR(__xludf.DUMMYFUNCTION("""COMPUTED_VALUE"""),"Corporate Training, Lifelong learning/Adult education")</f>
        <v/>
      </c>
      <c r="Q1556" s="1">
        <f>IFERROR(__xludf.DUMMYFUNCTION("""COMPUTED_VALUE"""),"System/Administrative")</f>
        <v/>
      </c>
      <c r="R1556" s="15">
        <f>IFERROR(__xludf.DUMMYFUNCTION("""COMPUTED_VALUE"""),"https://www.instagram.com/lynxeducate/")</f>
        <v/>
      </c>
      <c r="S1556" s="15">
        <f>IFERROR(__xludf.DUMMYFUNCTION("""COMPUTED_VALUE"""),"https://twitter.com/LynxEducate")</f>
        <v/>
      </c>
      <c r="T1556" s="15">
        <f>IFERROR(__xludf.DUMMYFUNCTION("""COMPUTED_VALUE"""),"https://www.linkedin.com/company/lynxeducate/")</f>
        <v/>
      </c>
      <c r="U1556" s="1">
        <f>IFERROR(__xludf.DUMMYFUNCTION("""COMPUTED_VALUE"""),"Lynx Educate")</f>
        <v/>
      </c>
      <c r="V1556" s="1">
        <f>IFERROR(__xludf.DUMMYFUNCTION("""COMPUTED_VALUE"""),"LYNX is a digital platform that provides a broad range of certified education offerings from leading learning institutions to meet workforce development needs across Europe and the UK")</f>
        <v/>
      </c>
      <c r="W1556" s="1" t="n"/>
      <c r="X1556" s="1" t="n"/>
      <c r="Y1556" s="15">
        <f>IFERROR(__xludf.DUMMYFUNCTION("""COMPUTED_VALUE"""),"https://drive.google.com/uc?export=view&amp;id=1wU9PXCp2dSGAEvNRIuWTFQU7x8xnA32K")</f>
        <v/>
      </c>
      <c r="Z1556" s="1">
        <f>IFERROR(__xludf.DUMMYFUNCTION("""COMPUTED_VALUE"""),"Unverified")</f>
        <v/>
      </c>
      <c r="AA1556" s="1" t="n"/>
      <c r="AB1556" s="1" t="n"/>
      <c r="AC1556" s="1" t="n"/>
      <c r="AD1556" s="1" t="n"/>
      <c r="AE1556" s="1" t="n"/>
    </row>
    <row r="1557" ht="42" customHeight="1">
      <c r="A1557" s="14">
        <f>IFERROR(__xludf.DUMMYFUNCTION("""COMPUTED_VALUE"""),45181)</f>
        <v/>
      </c>
      <c r="B1557" s="1">
        <f>IFERROR(__xludf.DUMMYFUNCTION("""COMPUTED_VALUE"""),"ORG_1982")</f>
        <v/>
      </c>
      <c r="C1557" s="1">
        <f>IFERROR(__xludf.DUMMYFUNCTION("""COMPUTED_VALUE"""),TRUE)</f>
        <v/>
      </c>
      <c r="D1557" s="15">
        <f>IFERROR(__xludf.DUMMYFUNCTION("""COMPUTED_VALUE"""),"Mokosi.lt")</f>
        <v/>
      </c>
      <c r="E1557" s="15">
        <f>IFERROR(__xludf.DUMMYFUNCTION("""COMPUTED_VALUE"""),"www.mokosi.lt")</f>
        <v/>
      </c>
      <c r="F1557" s="1">
        <f>IFERROR(__xludf.DUMMYFUNCTION("""COMPUTED_VALUE"""),"Mokosi connects students with teachers for online individual or small group lessons, enabling personalized studies, as well as flexibility on date and time suitable for both parties and duration of the lessons. Mokosi enables the teacher to share their pe"&amp;"rsonal profile and sell their IP content to other teachers. As part of the lessons, teachers can share a feedback with the parents allowing them to monitor the progress of the student, as well as give their own feedback to the teacher. Mokosi supports the"&amp;" teachers with an abundance of ready made teaching courseware integrated on board the platform.")</f>
        <v/>
      </c>
      <c r="G1557" s="1">
        <f>IFERROR(__xludf.DUMMYFUNCTION("""COMPUTED_VALUE"""),"EdTech Lithuania")</f>
        <v/>
      </c>
      <c r="H1557" s="1" t="n"/>
      <c r="I1557" s="1">
        <f>IFERROR(__xludf.DUMMYFUNCTION("""COMPUTED_VALUE"""),"labas@mokosi.lt")</f>
        <v/>
      </c>
      <c r="J1557" s="1">
        <f>IFERROR(__xludf.DUMMYFUNCTION("""COMPUTED_VALUE"""),"+37065578345")</f>
        <v/>
      </c>
      <c r="K1557" s="1">
        <f>IFERROR(__xludf.DUMMYFUNCTION("""COMPUTED_VALUE"""),"Akademija")</f>
        <v/>
      </c>
      <c r="L1557" s="1">
        <f>IFERROR(__xludf.DUMMYFUNCTION("""COMPUTED_VALUE"""),"Lithuania")</f>
        <v/>
      </c>
      <c r="M1557" s="1">
        <f>IFERROR(__xludf.DUMMYFUNCTION("""COMPUTED_VALUE"""),"Albania, Lithuania, Romania")</f>
        <v/>
      </c>
      <c r="N1557" s="1">
        <f>IFERROR(__xludf.DUMMYFUNCTION("""COMPUTED_VALUE"""),"0 to 10")</f>
        <v/>
      </c>
      <c r="O1557" s="1">
        <f>IFERROR(__xludf.DUMMYFUNCTION("""COMPUTED_VALUE"""),"Business to Business, Business to Government")</f>
        <v/>
      </c>
      <c r="P1557" s="1">
        <f>IFERROR(__xludf.DUMMYFUNCTION("""COMPUTED_VALUE"""),"Secondary Education")</f>
        <v/>
      </c>
      <c r="Q1557" s="1">
        <f>IFERROR(__xludf.DUMMYFUNCTION("""COMPUTED_VALUE"""),"System/Administrative, Student interfacing, Teacher interfacing")</f>
        <v/>
      </c>
      <c r="R1557" s="15">
        <f>IFERROR(__xludf.DUMMYFUNCTION("""COMPUTED_VALUE"""),"https://www.instagram.com/mokosi.lt/")</f>
        <v/>
      </c>
      <c r="S1557" s="1" t="n"/>
      <c r="T1557" s="15">
        <f>IFERROR(__xludf.DUMMYFUNCTION("""COMPUTED_VALUE"""),"https://www.linkedin.com/search/results/all/?keywords=mokosi&amp;origin=RICH_QUERY_SUGGESTION&amp;position=0&amp;searchId=5d3a9742-42b3-415a-859d-77bcebf2982b&amp;sid=3K0")</f>
        <v/>
      </c>
      <c r="U1557" s="15">
        <f>IFERROR(__xludf.DUMMYFUNCTION("""COMPUTED_VALUE"""),"Mokosi.lt")</f>
        <v/>
      </c>
      <c r="V1557" s="1">
        <f>IFERROR(__xludf.DUMMYFUNCTION("""COMPUTED_VALUE"""),"Mokosi connects students with teachers for online individual or small group lessons, enabling personalized studies, as well as flexibility on date and time suitable for both parties and duration of the lessons. Mokosi enables the teacher to share their pe"&amp;"rsonal profile and sell their IP content to other teachers. As part of the lessons, teachers can share a feedback with the parents allowing them to monitor the progress of the student, as well as give their own feedback to the teacher. Mokosi supports the"&amp;" teachers with an abundance of ready made teaching courseware integrated on board the platform.")</f>
        <v/>
      </c>
      <c r="W1557" s="1" t="n"/>
      <c r="X1557" s="1" t="n"/>
      <c r="Y1557" s="15">
        <f>IFERROR(__xludf.DUMMYFUNCTION("""COMPUTED_VALUE"""),"https://drive.google.com/uc?export=view&amp;id=18an0fgPkiqoP-l5zPehiyE3TED94W9Wk")</f>
        <v/>
      </c>
      <c r="Z1557" s="1">
        <f>IFERROR(__xludf.DUMMYFUNCTION("""COMPUTED_VALUE"""),"Unverified")</f>
        <v/>
      </c>
      <c r="AA1557" s="1" t="n"/>
      <c r="AB1557" s="1" t="n"/>
      <c r="AC1557" s="1" t="n"/>
      <c r="AD1557" s="1" t="n"/>
      <c r="AE1557" s="1" t="n"/>
    </row>
    <row r="1558" ht="42" customHeight="1">
      <c r="A1558" s="14">
        <f>IFERROR(__xludf.DUMMYFUNCTION("""COMPUTED_VALUE"""),45181)</f>
        <v/>
      </c>
      <c r="B1558" s="1">
        <f>IFERROR(__xludf.DUMMYFUNCTION("""COMPUTED_VALUE"""),"ORG_2000")</f>
        <v/>
      </c>
      <c r="C1558" s="1">
        <f>IFERROR(__xludf.DUMMYFUNCTION("""COMPUTED_VALUE"""),TRUE)</f>
        <v/>
      </c>
      <c r="D1558" s="1">
        <f>IFERROR(__xludf.DUMMYFUNCTION("""COMPUTED_VALUE"""),"My Green Training Box")</f>
        <v/>
      </c>
      <c r="E1558" s="15">
        <f>IFERROR(__xludf.DUMMYFUNCTION("""COMPUTED_VALUE"""),"www.mygreentrainingbox.com")</f>
        <v/>
      </c>
      <c r="F1558" s="1">
        <f>IFERROR(__xludf.DUMMYFUNCTION("""COMPUTED_VALUE"""),"My Green Training Box is the 1st free access digital training streaming platform on sustainable development which focuses on several different areas: Agriculture, Ecological construction, CSR, Health, sustainable tourism, and many more.")</f>
        <v/>
      </c>
      <c r="G1558" s="1">
        <f>IFERROR(__xludf.DUMMYFUNCTION("""COMPUTED_VALUE"""),"EdTech France")</f>
        <v/>
      </c>
      <c r="H1558" s="1" t="n"/>
      <c r="I1558" s="1">
        <f>IFERROR(__xludf.DUMMYFUNCTION("""COMPUTED_VALUE"""),"contact@mygreentrainingbox.com")</f>
        <v/>
      </c>
      <c r="J1558" s="1" t="n"/>
      <c r="K1558" s="1">
        <f>IFERROR(__xludf.DUMMYFUNCTION("""COMPUTED_VALUE"""),"NAILLOUX")</f>
        <v/>
      </c>
      <c r="L1558" s="1">
        <f>IFERROR(__xludf.DUMMYFUNCTION("""COMPUTED_VALUE"""),"France")</f>
        <v/>
      </c>
      <c r="M1558" s="1">
        <f>IFERROR(__xludf.DUMMYFUNCTION("""COMPUTED_VALUE"""),"France, Turkey")</f>
        <v/>
      </c>
      <c r="N1558" s="1">
        <f>IFERROR(__xludf.DUMMYFUNCTION("""COMPUTED_VALUE"""),"0 to 10")</f>
        <v/>
      </c>
      <c r="O1558" s="1">
        <f>IFERROR(__xludf.DUMMYFUNCTION("""COMPUTED_VALUE"""),"Business to Business, Business to Government")</f>
        <v/>
      </c>
      <c r="P1558" s="1">
        <f>IFERROR(__xludf.DUMMYFUNCTION("""COMPUTED_VALUE"""),"Higher Education, Corporate Training, Lifelong learning/Adult education")</f>
        <v/>
      </c>
      <c r="Q1558" s="1">
        <f>IFERROR(__xludf.DUMMYFUNCTION("""COMPUTED_VALUE"""),"Student interfacing, Teacher interfacing, System/Administrative")</f>
        <v/>
      </c>
      <c r="R1558" s="1" t="n"/>
      <c r="S1558" s="1" t="n"/>
      <c r="T1558" s="1" t="n"/>
      <c r="U1558" s="1" t="n"/>
      <c r="V1558" s="1" t="n"/>
      <c r="W1558" s="1" t="n"/>
      <c r="X1558" s="1" t="n"/>
      <c r="Y1558" s="15">
        <f>IFERROR(__xludf.DUMMYFUNCTION("""COMPUTED_VALUE"""),"https://drive.google.com/uc?export=view&amp;id=1IGNvwyYjuTQeDJDDkA9zqH8l3l95Jv69")</f>
        <v/>
      </c>
      <c r="Z1558" s="1">
        <f>IFERROR(__xludf.DUMMYFUNCTION("""COMPUTED_VALUE"""),"Unverified")</f>
        <v/>
      </c>
      <c r="AA1558" s="1" t="n"/>
      <c r="AB1558" s="1" t="n"/>
      <c r="AC1558" s="1" t="n"/>
      <c r="AD1558" s="1" t="n"/>
      <c r="AE1558" s="1" t="n"/>
    </row>
    <row r="1559" ht="42" customHeight="1">
      <c r="A1559" s="14">
        <f>IFERROR(__xludf.DUMMYFUNCTION("""COMPUTED_VALUE"""),45181)</f>
        <v/>
      </c>
      <c r="B1559" s="1">
        <f>IFERROR(__xludf.DUMMYFUNCTION("""COMPUTED_VALUE"""),"ORG_2026")</f>
        <v/>
      </c>
      <c r="C1559" s="1">
        <f>IFERROR(__xludf.DUMMYFUNCTION("""COMPUTED_VALUE"""),TRUE)</f>
        <v/>
      </c>
      <c r="D1559" s="1">
        <f>IFERROR(__xludf.DUMMYFUNCTION("""COMPUTED_VALUE"""),"NEOCOSMO")</f>
        <v/>
      </c>
      <c r="E1559" s="15">
        <f>IFERROR(__xludf.DUMMYFUNCTION("""COMPUTED_VALUE"""),"www.neocosmo.de")</f>
        <v/>
      </c>
      <c r="F1559" s="1">
        <f>IFERROR(__xludf.DUMMYFUNCTION("""COMPUTED_VALUE"""),"NEOCOSMO is working on digital communication and learning solution. Focus is on social intranet / digital workplace solutions that are with knowledge tools and learning platforms. Clients are companies, public sector organisations and higher education ins"&amp;"titutions. The product PIIPE Workplace is an intelligent digital workplace and learning platform as well employee app.")</f>
        <v/>
      </c>
      <c r="G1559" s="1">
        <f>IFERROR(__xludf.DUMMYFUNCTION("""COMPUTED_VALUE"""),"Swiss EdTech Collider")</f>
        <v/>
      </c>
      <c r="H1559" s="1" t="n"/>
      <c r="I1559" s="1">
        <f>IFERROR(__xludf.DUMMYFUNCTION("""COMPUTED_VALUE"""),"welcome@neocosmo.de")</f>
        <v/>
      </c>
      <c r="J1559" s="1">
        <f>IFERROR(__xludf.DUMMYFUNCTION("""COMPUTED_VALUE"""),"+4968130964200")</f>
        <v/>
      </c>
      <c r="K1559" s="1">
        <f>IFERROR(__xludf.DUMMYFUNCTION("""COMPUTED_VALUE"""),"Saarbrücken")</f>
        <v/>
      </c>
      <c r="L1559" s="1">
        <f>IFERROR(__xludf.DUMMYFUNCTION("""COMPUTED_VALUE"""),"Germany")</f>
        <v/>
      </c>
      <c r="M1559" s="1">
        <f>IFERROR(__xludf.DUMMYFUNCTION("""COMPUTED_VALUE"""),"Austria, Belgium, France, Luxembourg, Netherlands, Switzerland")</f>
        <v/>
      </c>
      <c r="N1559" s="1">
        <f>IFERROR(__xludf.DUMMYFUNCTION("""COMPUTED_VALUE"""),"11 to 50")</f>
        <v/>
      </c>
      <c r="O1559" s="1">
        <f>IFERROR(__xludf.DUMMYFUNCTION("""COMPUTED_VALUE"""),"Business to Business, Business to Government, Business to Schools")</f>
        <v/>
      </c>
      <c r="P1559" s="1">
        <f>IFERROR(__xludf.DUMMYFUNCTION("""COMPUTED_VALUE"""),"Higher Education, Corporate Training, Lifelong learning/Adult education")</f>
        <v/>
      </c>
      <c r="Q1559" s="1">
        <f>IFERROR(__xludf.DUMMYFUNCTION("""COMPUTED_VALUE"""),"System/Administrative")</f>
        <v/>
      </c>
      <c r="R1559" s="1">
        <f>IFERROR(__xludf.DUMMYFUNCTION("""COMPUTED_VALUE"""),"NEOCOSMO GmbH")</f>
        <v/>
      </c>
      <c r="S1559" s="15">
        <f>IFERROR(__xludf.DUMMYFUNCTION("""COMPUTED_VALUE"""),"https://mobile.twitter.com/neocosmo_")</f>
        <v/>
      </c>
      <c r="T1559" s="15">
        <f>IFERROR(__xludf.DUMMYFUNCTION("""COMPUTED_VALUE"""),"https://www.linkedin.com/company/neocosmo")</f>
        <v/>
      </c>
      <c r="U1559" s="1">
        <f>IFERROR(__xludf.DUMMYFUNCTION("""COMPUTED_VALUE"""),"PIIPE Workplace")</f>
        <v/>
      </c>
      <c r="V1559" s="1">
        <f>IFERROR(__xludf.DUMMYFUNCTION("""COMPUTED_VALUE"""),"Intelligent social intranet platform and mobile employee app with integrated knowledge and learning functionality.")</f>
        <v/>
      </c>
      <c r="W1559" s="1">
        <f>IFERROR(__xludf.DUMMYFUNCTION("""COMPUTED_VALUE"""),"PIIPE Learning")</f>
        <v/>
      </c>
      <c r="X1559" s="1">
        <f>IFERROR(__xludf.DUMMYFUNCTION("""COMPUTED_VALUE"""),"Learning experience portal that orchestrates courses from different platforms within an intelligent, open portal to search, find, rate, share and register into courses. The platform is used e.g. as front-end portal of the AI Campus and eGov Campus in Germ"&amp;"any.")</f>
        <v/>
      </c>
      <c r="Y1559" s="15">
        <f>IFERROR(__xludf.DUMMYFUNCTION("""COMPUTED_VALUE"""),"https://drive.google.com/uc?export=view&amp;id=1ATZrm0Rq2tmemNqG1-vOmPl-MBXbAi_u")</f>
        <v/>
      </c>
      <c r="Z1559" s="1">
        <f>IFERROR(__xludf.DUMMYFUNCTION("""COMPUTED_VALUE"""),"Unverified")</f>
        <v/>
      </c>
      <c r="AA1559" s="1" t="n"/>
      <c r="AB1559" s="1" t="n"/>
      <c r="AC1559" s="1" t="n"/>
      <c r="AD1559" s="1" t="n"/>
      <c r="AE1559" s="1" t="n"/>
    </row>
    <row r="1560" ht="42" customHeight="1">
      <c r="A1560" s="14">
        <f>IFERROR(__xludf.DUMMYFUNCTION("""COMPUTED_VALUE"""),45181)</f>
        <v/>
      </c>
      <c r="B1560" s="1">
        <f>IFERROR(__xludf.DUMMYFUNCTION("""COMPUTED_VALUE"""),"ORG_2102")</f>
        <v/>
      </c>
      <c r="C1560" s="1">
        <f>IFERROR(__xludf.DUMMYFUNCTION("""COMPUTED_VALUE"""),TRUE)</f>
        <v/>
      </c>
      <c r="D1560" s="1">
        <f>IFERROR(__xludf.DUMMYFUNCTION("""COMPUTED_VALUE"""),"Ping Pong")</f>
        <v/>
      </c>
      <c r="E1560" s="15">
        <f>IFERROR(__xludf.DUMMYFUNCTION("""COMPUTED_VALUE"""),"www.pingpong.se")</f>
        <v/>
      </c>
      <c r="F1560" s="1">
        <f>IFERROR(__xludf.DUMMYFUNCTION("""COMPUTED_VALUE"""),"Ping Pong is a Swedish LMS company, focused on customers in the public sector. We help customers create a vibrant learning environment with course catalogs, course library, reports, statistics and HR-functionality with competence management.")</f>
        <v/>
      </c>
      <c r="G1560" s="1">
        <f>IFERROR(__xludf.DUMMYFUNCTION("""COMPUTED_VALUE"""),"Swedish EdTech Industry")</f>
        <v/>
      </c>
      <c r="H1560" s="1" t="n"/>
      <c r="I1560" s="1" t="n"/>
      <c r="J1560" s="1">
        <f>IFERROR(__xludf.DUMMYFUNCTION("""COMPUTED_VALUE"""),"+46 8 566 280 00")</f>
        <v/>
      </c>
      <c r="K1560" s="1">
        <f>IFERROR(__xludf.DUMMYFUNCTION("""COMPUTED_VALUE"""),"STOCKHOLM")</f>
        <v/>
      </c>
      <c r="L1560" s="1">
        <f>IFERROR(__xludf.DUMMYFUNCTION("""COMPUTED_VALUE"""),"Sweden")</f>
        <v/>
      </c>
      <c r="M1560" s="1">
        <f>IFERROR(__xludf.DUMMYFUNCTION("""COMPUTED_VALUE"""),"Sweden")</f>
        <v/>
      </c>
      <c r="N1560" s="1">
        <f>IFERROR(__xludf.DUMMYFUNCTION("""COMPUTED_VALUE"""),"11 to 50")</f>
        <v/>
      </c>
      <c r="O1560" s="1">
        <f>IFERROR(__xludf.DUMMYFUNCTION("""COMPUTED_VALUE"""),"Business to Business, Business to Government, Business to Schools")</f>
        <v/>
      </c>
      <c r="P1560" s="1">
        <f>IFERROR(__xludf.DUMMYFUNCTION("""COMPUTED_VALUE"""),"Primary Education, Secondary Education, Higher Education, Corporate Training, Lifelong learning/Adult education")</f>
        <v/>
      </c>
      <c r="Q1560" s="1">
        <f>IFERROR(__xludf.DUMMYFUNCTION("""COMPUTED_VALUE"""),"Student interfacing, System/Administrative")</f>
        <v/>
      </c>
      <c r="R1560" s="1" t="n"/>
      <c r="S1560" s="1" t="n"/>
      <c r="T1560" s="15">
        <f>IFERROR(__xludf.DUMMYFUNCTION("""COMPUTED_VALUE"""),"https://www.linkedin.com/company/ping-pong-ab/")</f>
        <v/>
      </c>
      <c r="U1560" s="1">
        <f>IFERROR(__xludf.DUMMYFUNCTION("""COMPUTED_VALUE"""),"PING PONG")</f>
        <v/>
      </c>
      <c r="V1560" s="1">
        <f>IFERROR(__xludf.DUMMYFUNCTION("""COMPUTED_VALUE"""),"We help larger entities in the public sector to organize learning. They create courses, manage their employees and make sure to educate and certify them.")</f>
        <v/>
      </c>
      <c r="W1560" s="1" t="n"/>
      <c r="X1560" s="1" t="n"/>
      <c r="Y1560" s="15">
        <f>IFERROR(__xludf.DUMMYFUNCTION("""COMPUTED_VALUE"""),"https://drive.google.com/uc?export=view&amp;id=1rIezXc_54H737IYf4NlvTIyg_lNk1bWo")</f>
        <v/>
      </c>
      <c r="Z1560" s="1">
        <f>IFERROR(__xludf.DUMMYFUNCTION("""COMPUTED_VALUE"""),"Unverified")</f>
        <v/>
      </c>
      <c r="AA1560" s="1" t="n"/>
      <c r="AB1560" s="1" t="n"/>
      <c r="AC1560" s="1" t="n"/>
      <c r="AD1560" s="1" t="n"/>
      <c r="AE1560" s="1" t="n"/>
    </row>
    <row r="1561" ht="42" customHeight="1">
      <c r="A1561" s="14">
        <f>IFERROR(__xludf.DUMMYFUNCTION("""COMPUTED_VALUE"""),45181)</f>
        <v/>
      </c>
      <c r="B1561" s="1">
        <f>IFERROR(__xludf.DUMMYFUNCTION("""COMPUTED_VALUE"""),"ORG_2111")</f>
        <v/>
      </c>
      <c r="C1561" s="1">
        <f>IFERROR(__xludf.DUMMYFUNCTION("""COMPUTED_VALUE"""),TRUE)</f>
        <v/>
      </c>
      <c r="D1561" s="1">
        <f>IFERROR(__xludf.DUMMYFUNCTION("""COMPUTED_VALUE"""),"PLUME")</f>
        <v/>
      </c>
      <c r="E1561" s="15">
        <f>IFERROR(__xludf.DUMMYFUNCTION("""COMPUTED_VALUE"""),"www.plume-app.co")</f>
        <v/>
      </c>
      <c r="F1561" s="1">
        <f>IFERROR(__xludf.DUMMYFUNCTION("""COMPUTED_VALUE"""),"Plume is an adaptive learning application to learn written expression for children and students, from 7. 
In a playful context, kids develop their ability to express themselves in different writing spaces, including free writing, stories to complete, game"&amp;"s and more. Plume is available online but can be used offline and the writings can be uploaded into the application to follow the kids's progress, in classrooms or at home.")</f>
        <v/>
      </c>
      <c r="G1561" s="1">
        <f>IFERROR(__xludf.DUMMYFUNCTION("""COMPUTED_VALUE"""),"AFINEF, EdTech France")</f>
        <v/>
      </c>
      <c r="H1561" s="1" t="n"/>
      <c r="I1561" s="1">
        <f>IFERROR(__xludf.DUMMYFUNCTION("""COMPUTED_VALUE"""),"nicolas@plume-app.co")</f>
        <v/>
      </c>
      <c r="J1561" s="1">
        <f>IFERROR(__xludf.DUMMYFUNCTION("""COMPUTED_VALUE"""),"+33189169026")</f>
        <v/>
      </c>
      <c r="K1561" s="1">
        <f>IFERROR(__xludf.DUMMYFUNCTION("""COMPUTED_VALUE"""),"SAINT OUEN")</f>
        <v/>
      </c>
      <c r="L1561" s="1">
        <f>IFERROR(__xludf.DUMMYFUNCTION("""COMPUTED_VALUE"""),"France")</f>
        <v/>
      </c>
      <c r="M1561" s="1">
        <f>IFERROR(__xludf.DUMMYFUNCTION("""COMPUTED_VALUE"""),"Belgium, France, Switzerland")</f>
        <v/>
      </c>
      <c r="N1561" s="1">
        <f>IFERROR(__xludf.DUMMYFUNCTION("""COMPUTED_VALUE"""),"11 to 50")</f>
        <v/>
      </c>
      <c r="O1561" s="1">
        <f>IFERROR(__xludf.DUMMYFUNCTION("""COMPUTED_VALUE"""),"Business to Business, Business to Government, Business to Schools")</f>
        <v/>
      </c>
      <c r="P1561" s="1">
        <f>IFERROR(__xludf.DUMMYFUNCTION("""COMPUTED_VALUE"""),"Primary Education, Secondary Education")</f>
        <v/>
      </c>
      <c r="Q1561" s="1">
        <f>IFERROR(__xludf.DUMMYFUNCTION("""COMPUTED_VALUE"""),"System/Administrative, Student interfacing, Teacher interfacing")</f>
        <v/>
      </c>
      <c r="R1561" s="15">
        <f>IFERROR(__xludf.DUMMYFUNCTION("""COMPUTED_VALUE"""),"https://www.instagram.com/plume_app")</f>
        <v/>
      </c>
      <c r="S1561" s="15">
        <f>IFERROR(__xludf.DUMMYFUNCTION("""COMPUTED_VALUE"""),"https://twitter.com/plume_app")</f>
        <v/>
      </c>
      <c r="T1561" s="15">
        <f>IFERROR(__xludf.DUMMYFUNCTION("""COMPUTED_VALUE"""),"https://www.linkedin.com/company/plume-app")</f>
        <v/>
      </c>
      <c r="U1561" s="1">
        <f>IFERROR(__xludf.DUMMYFUNCTION("""COMPUTED_VALUE"""),"Plume")</f>
        <v/>
      </c>
      <c r="V1561" s="1">
        <f>IFERROR(__xludf.DUMMYFUNCTION("""COMPUTED_VALUE"""),"Plume is a web and mobile application used, to improve writing skills of children from 7, at school or at home.")</f>
        <v/>
      </c>
      <c r="W1561" s="1" t="n"/>
      <c r="X1561" s="1" t="n"/>
      <c r="Y1561" s="15">
        <f>IFERROR(__xludf.DUMMYFUNCTION("""COMPUTED_VALUE"""),"https://drive.google.com/uc?export=view&amp;id=184wKg7zOcr7rU8Qkuu3VM2bqyXDhKln2")</f>
        <v/>
      </c>
      <c r="Z1561" s="1">
        <f>IFERROR(__xludf.DUMMYFUNCTION("""COMPUTED_VALUE"""),"Unverified")</f>
        <v/>
      </c>
      <c r="AA1561" s="1" t="n"/>
      <c r="AB1561" s="1" t="n"/>
      <c r="AC1561" s="1" t="n"/>
      <c r="AD1561" s="1" t="n"/>
      <c r="AE1561" s="1" t="n"/>
    </row>
    <row r="1562" ht="42" customHeight="1">
      <c r="A1562" s="14">
        <f>IFERROR(__xludf.DUMMYFUNCTION("""COMPUTED_VALUE"""),45181)</f>
        <v/>
      </c>
      <c r="B1562" s="1">
        <f>IFERROR(__xludf.DUMMYFUNCTION("""COMPUTED_VALUE"""),"ORG_2120")</f>
        <v/>
      </c>
      <c r="C1562" s="1">
        <f>IFERROR(__xludf.DUMMYFUNCTION("""COMPUTED_VALUE"""),TRUE)</f>
        <v/>
      </c>
      <c r="D1562" s="1">
        <f>IFERROR(__xludf.DUMMYFUNCTION("""COMPUTED_VALUE"""),"PowerZ")</f>
        <v/>
      </c>
      <c r="E1562" s="15">
        <f>IFERROR(__xludf.DUMMYFUNCTION("""COMPUTED_VALUE"""),"Https://powerz.tech")</f>
        <v/>
      </c>
      <c r="F1562" s="1">
        <f>IFERROR(__xludf.DUMMYFUNCTION("""COMPUTED_VALUE"""),"The Fortnite of education")</f>
        <v/>
      </c>
      <c r="G1562" s="1">
        <f>IFERROR(__xludf.DUMMYFUNCTION("""COMPUTED_VALUE"""),"EdTech France")</f>
        <v/>
      </c>
      <c r="H1562" s="1" t="n"/>
      <c r="I1562" s="1">
        <f>IFERROR(__xludf.DUMMYFUNCTION("""COMPUTED_VALUE"""),"adrien@powerz.tech")</f>
        <v/>
      </c>
      <c r="J1562" s="1" t="n"/>
      <c r="K1562" s="1">
        <f>IFERROR(__xludf.DUMMYFUNCTION("""COMPUTED_VALUE"""),"PARIS")</f>
        <v/>
      </c>
      <c r="L1562" s="1">
        <f>IFERROR(__xludf.DUMMYFUNCTION("""COMPUTED_VALUE"""),"France")</f>
        <v/>
      </c>
      <c r="M1562" s="1">
        <f>IFERROR(__xludf.DUMMYFUNCTION("""COMPUTED_VALUE"""),"France")</f>
        <v/>
      </c>
      <c r="N1562" s="1">
        <f>IFERROR(__xludf.DUMMYFUNCTION("""COMPUTED_VALUE"""),"11 to 50")</f>
        <v/>
      </c>
      <c r="O1562" s="1">
        <f>IFERROR(__xludf.DUMMYFUNCTION("""COMPUTED_VALUE"""),"Business to Business, Business to Schools")</f>
        <v/>
      </c>
      <c r="P1562" s="1">
        <f>IFERROR(__xludf.DUMMYFUNCTION("""COMPUTED_VALUE"""),"Primary Education")</f>
        <v/>
      </c>
      <c r="Q1562" s="1">
        <f>IFERROR(__xludf.DUMMYFUNCTION("""COMPUTED_VALUE"""),"System/Administrative, Student interfacing")</f>
        <v/>
      </c>
      <c r="R1562" s="15">
        <f>IFERROR(__xludf.DUMMYFUNCTION("""COMPUTED_VALUE"""),"https://www.instagram.com/powerz.official/")</f>
        <v/>
      </c>
      <c r="S1562" s="15">
        <f>IFERROR(__xludf.DUMMYFUNCTION("""COMPUTED_VALUE"""),"https://twitter.com/PowerZ_official")</f>
        <v/>
      </c>
      <c r="T1562" s="15">
        <f>IFERROR(__xludf.DUMMYFUNCTION("""COMPUTED_VALUE"""),"https://www.linkedin.com/company/powerz/")</f>
        <v/>
      </c>
      <c r="U1562" s="1">
        <f>IFERROR(__xludf.DUMMYFUNCTION("""COMPUTED_VALUE"""),"PowerZ")</f>
        <v/>
      </c>
      <c r="V1562" s="1">
        <f>IFERROR(__xludf.DUMMYFUNCTION("""COMPUTED_VALUE"""),"PowerZ is a true video game aiming at making children (K12) learn everything!")</f>
        <v/>
      </c>
      <c r="W1562" s="1" t="n"/>
      <c r="X1562" s="1" t="n"/>
      <c r="Y1562" s="15">
        <f>IFERROR(__xludf.DUMMYFUNCTION("""COMPUTED_VALUE"""),"https://drive.google.com/uc?export=view&amp;id=12hGQ7P-tEKOt3HPdZLVGyJ8dpkn0WXsa")</f>
        <v/>
      </c>
      <c r="Z1562" s="1">
        <f>IFERROR(__xludf.DUMMYFUNCTION("""COMPUTED_VALUE"""),"Unverified")</f>
        <v/>
      </c>
      <c r="AA1562" s="1" t="n"/>
      <c r="AB1562" s="1" t="n"/>
      <c r="AC1562" s="1" t="n"/>
      <c r="AD1562" s="1" t="n"/>
      <c r="AE1562" s="1" t="n"/>
    </row>
    <row r="1563" ht="42" customHeight="1">
      <c r="A1563" s="14">
        <f>IFERROR(__xludf.DUMMYFUNCTION("""COMPUTED_VALUE"""),45181)</f>
        <v/>
      </c>
      <c r="B1563" s="1">
        <f>IFERROR(__xludf.DUMMYFUNCTION("""COMPUTED_VALUE"""),"ORG_2175")</f>
        <v/>
      </c>
      <c r="C1563" s="1">
        <f>IFERROR(__xludf.DUMMYFUNCTION("""COMPUTED_VALUE"""),TRUE)</f>
        <v/>
      </c>
      <c r="D1563" s="1">
        <f>IFERROR(__xludf.DUMMYFUNCTION("""COMPUTED_VALUE"""),"Reflectus")</f>
        <v/>
      </c>
      <c r="E1563" s="15">
        <f>IFERROR(__xludf.DUMMYFUNCTION("""COMPUTED_VALUE"""),"www.reflectus.eu")</f>
        <v/>
      </c>
      <c r="F1563" s="1">
        <f>IFERROR(__xludf.DUMMYFUNCTION("""COMPUTED_VALUE"""),"Making systematic practice of reflection possible for learners and educators by
bringing in time saving IT solution.")</f>
        <v/>
      </c>
      <c r="G1563" s="1">
        <f>IFERROR(__xludf.DUMMYFUNCTION("""COMPUTED_VALUE"""),"SuperCharger Ventures")</f>
        <v/>
      </c>
      <c r="H1563" s="1">
        <f>IFERROR(__xludf.DUMMYFUNCTION("""COMPUTED_VALUE"""),"English, Lithuanian")</f>
        <v/>
      </c>
      <c r="I1563" s="1">
        <f>IFERROR(__xludf.DUMMYFUNCTION("""COMPUTED_VALUE"""),"info@reflectus.lt")</f>
        <v/>
      </c>
      <c r="J1563" s="1" t="n"/>
      <c r="K1563" s="1">
        <f>IFERROR(__xludf.DUMMYFUNCTION("""COMPUTED_VALUE"""),"Anyksciai")</f>
        <v/>
      </c>
      <c r="L1563" s="1">
        <f>IFERROR(__xludf.DUMMYFUNCTION("""COMPUTED_VALUE"""),"Lithuania")</f>
        <v/>
      </c>
      <c r="M1563" s="1">
        <f>IFERROR(__xludf.DUMMYFUNCTION("""COMPUTED_VALUE"""),"Lithuania")</f>
        <v/>
      </c>
      <c r="N1563" s="1">
        <f>IFERROR(__xludf.DUMMYFUNCTION("""COMPUTED_VALUE"""),"3 to 5")</f>
        <v/>
      </c>
      <c r="O1563" s="1">
        <f>IFERROR(__xludf.DUMMYFUNCTION("""COMPUTED_VALUE"""),"Business to Consumer")</f>
        <v/>
      </c>
      <c r="P1563" s="1">
        <f>IFERROR(__xludf.DUMMYFUNCTION("""COMPUTED_VALUE"""),"Primary Education, Secondary Education, Lifelong learning/Adult education")</f>
        <v/>
      </c>
      <c r="Q1563" s="1">
        <f>IFERROR(__xludf.DUMMYFUNCTION("""COMPUTED_VALUE"""),"Student interfacing, Teacher interfacing")</f>
        <v/>
      </c>
      <c r="R1563" s="15">
        <f>IFERROR(__xludf.DUMMYFUNCTION("""COMPUTED_VALUE"""),"https://www.instagram.com/reflectus.lt/")</f>
        <v/>
      </c>
      <c r="S1563" s="1" t="n"/>
      <c r="T1563" s="15">
        <f>IFERROR(__xludf.DUMMYFUNCTION("""COMPUTED_VALUE"""),"https://www.linkedin.com/company/reflectus-lt/")</f>
        <v/>
      </c>
      <c r="U1563" s="1">
        <f>IFERROR(__xludf.DUMMYFUNCTION("""COMPUTED_VALUE"""),"Reflectus")</f>
        <v/>
      </c>
      <c r="V1563" s="1">
        <f>IFERROR(__xludf.DUMMYFUNCTION("""COMPUTED_VALUE"""),"Reflectus is an online reflection system that automates, simplifies, and ensures consistent reflective practice between teacher and students.
The Reflectus system consists of two parts:
an online platform for the teachers
a mobile APP for students.
Refl"&amp;"ectus is suitable for K-12 teachers and students.")</f>
        <v/>
      </c>
      <c r="W1563" s="1" t="n"/>
      <c r="X1563" s="1" t="n"/>
      <c r="Y1563" s="15">
        <f>IFERROR(__xludf.DUMMYFUNCTION("""COMPUTED_VALUE"""),"https://drive.google.com/uc?export=view&amp;id=1t-1eurjLCjufBLFY9VGynI07XlYWkJRZ")</f>
        <v/>
      </c>
      <c r="Z1563" s="1">
        <f>IFERROR(__xludf.DUMMYFUNCTION("""COMPUTED_VALUE"""),"Unverified")</f>
        <v/>
      </c>
      <c r="AA1563" s="1" t="n"/>
      <c r="AB1563" s="1" t="n"/>
      <c r="AC1563" s="1" t="n"/>
      <c r="AD1563" s="1" t="n"/>
      <c r="AE1563" s="1" t="n"/>
    </row>
    <row r="1564" ht="42" customHeight="1">
      <c r="A1564" s="14">
        <f>IFERROR(__xludf.DUMMYFUNCTION("""COMPUTED_VALUE"""),45181)</f>
        <v/>
      </c>
      <c r="B1564" s="1">
        <f>IFERROR(__xludf.DUMMYFUNCTION("""COMPUTED_VALUE"""),"ORG_2312")</f>
        <v/>
      </c>
      <c r="C1564" s="1">
        <f>IFERROR(__xludf.DUMMYFUNCTION("""COMPUTED_VALUE"""),TRUE)</f>
        <v/>
      </c>
      <c r="D1564" s="1">
        <f>IFERROR(__xludf.DUMMYFUNCTION("""COMPUTED_VALUE"""),"sproof")</f>
        <v/>
      </c>
      <c r="E1564" s="15">
        <f>IFERROR(__xludf.DUMMYFUNCTION("""COMPUTED_VALUE"""),"https://sproof.io")</f>
        <v/>
      </c>
      <c r="F1564" s="1">
        <f>IFERROR(__xludf.DUMMYFUNCTION("""COMPUTED_VALUE"""),"Whether contracts, certificates or delivery bills – countless documents are waiting to be verified, certified or signed every day. Not only to save paper, but also to make these important processes faster and, above all, more secure, entrepreneurs Clemens"&amp;" Brunner, Fabian Knirsch and Erich Höpoldseder founded the Salzburg-based startup sproof in 2019. Their application “sproof sign” is currently used, for example, to digitally sign annual reports from schools, exam results, certificates and complete degree"&amp;"s from universities.
The tool is particularly popular for distance learning students, who can use it to obtain the final document without much hassle. Other use cases can also be found in university administration – for example, to conclude contracts wit"&amp;"h partner organizations. In addition, sproof is used to digitize and digitally sign work, internship or vocational training certificates from institutes and organizations. This contributes to sustainability and brings security to the transmission of digit"&amp;"al documents.")</f>
        <v/>
      </c>
      <c r="G1564" s="1">
        <f>IFERROR(__xludf.DUMMYFUNCTION("""COMPUTED_VALUE"""),"EdTech Austria")</f>
        <v/>
      </c>
      <c r="H1564" s="1" t="n"/>
      <c r="I1564" s="1">
        <f>IFERROR(__xludf.DUMMYFUNCTION("""COMPUTED_VALUE"""),"info@sproof.io")</f>
        <v/>
      </c>
      <c r="J1564" s="1">
        <f>IFERROR(__xludf.DUMMYFUNCTION("""COMPUTED_VALUE"""),"+43 50 423")</f>
        <v/>
      </c>
      <c r="K1564" s="1">
        <f>IFERROR(__xludf.DUMMYFUNCTION("""COMPUTED_VALUE"""),"PUCH BEI HALLEIN")</f>
        <v/>
      </c>
      <c r="L1564" s="1">
        <f>IFERROR(__xludf.DUMMYFUNCTION("""COMPUTED_VALUE"""),"Austria")</f>
        <v/>
      </c>
      <c r="M1564" s="1">
        <f>IFERROR(__xludf.DUMMYFUNCTION("""COMPUTED_VALUE"""),"Austria, Germany")</f>
        <v/>
      </c>
      <c r="N1564" s="1">
        <f>IFERROR(__xludf.DUMMYFUNCTION("""COMPUTED_VALUE"""),"11 to 50")</f>
        <v/>
      </c>
      <c r="O1564" s="1">
        <f>IFERROR(__xludf.DUMMYFUNCTION("""COMPUTED_VALUE"""),"Business to Consumer, Business to Government, Business to Schools")</f>
        <v/>
      </c>
      <c r="P1564" s="1">
        <f>IFERROR(__xludf.DUMMYFUNCTION("""COMPUTED_VALUE"""),"Secondary Education, Corporate Training, Lifelong learning/Adult education")</f>
        <v/>
      </c>
      <c r="Q1564" s="1">
        <f>IFERROR(__xludf.DUMMYFUNCTION("""COMPUTED_VALUE"""),"System/Administrative")</f>
        <v/>
      </c>
      <c r="R1564" s="1">
        <f>IFERROR(__xludf.DUMMYFUNCTION("""COMPUTED_VALUE"""),"sproof GmbH")</f>
        <v/>
      </c>
      <c r="S1564" s="1">
        <f>IFERROR(__xludf.DUMMYFUNCTION("""COMPUTED_VALUE"""),"sproof GmbH")</f>
        <v/>
      </c>
      <c r="T1564" s="15">
        <f>IFERROR(__xludf.DUMMYFUNCTION("""COMPUTED_VALUE"""),"www.linkedin.com/company/sproof")</f>
        <v/>
      </c>
      <c r="U1564" s="1">
        <f>IFERROR(__xludf.DUMMYFUNCTION("""COMPUTED_VALUE"""),"sproof sign")</f>
        <v/>
      </c>
      <c r="V1564" s="1">
        <f>IFERROR(__xludf.DUMMYFUNCTION("""COMPUTED_VALUE"""),"The cloud-based application sproof sign couldn’t be simpler: Upload a document, sign it, assign a signature, and send it on as needed. At present, it is not only growing fast, but is also developing rapidly. The mission is still clear – sproof is one the "&amp;"way to becoming Europe’s most secure digital signature. Indeed, the application meets all the prescribed requirements for legally binding digital signatures according to the current eIDAS regulation. In general, the following also applies: “Qualified digi"&amp;"tal signatures are legally equivalent to handwritten signatures. What’s more, the services are hosted via European servers, so the offerings are all also DSGVO-compliant.")</f>
        <v/>
      </c>
      <c r="W1564" s="1" t="n"/>
      <c r="X1564" s="1" t="n"/>
      <c r="Y1564" s="15">
        <f>IFERROR(__xludf.DUMMYFUNCTION("""COMPUTED_VALUE"""),"https://drive.google.com/uc?export=view&amp;id=1UOop4R32NgNdfohuWNkiWTrjzmCwUZGw")</f>
        <v/>
      </c>
      <c r="Z1564" s="1">
        <f>IFERROR(__xludf.DUMMYFUNCTION("""COMPUTED_VALUE"""),"Unverified")</f>
        <v/>
      </c>
      <c r="AA1564" s="1" t="n"/>
      <c r="AB1564" s="1" t="n"/>
      <c r="AC1564" s="1" t="n"/>
      <c r="AD1564" s="1" t="n"/>
      <c r="AE1564" s="1" t="n"/>
    </row>
    <row r="1565" ht="42" customHeight="1">
      <c r="A1565" s="14">
        <f>IFERROR(__xludf.DUMMYFUNCTION("""COMPUTED_VALUE"""),45181)</f>
        <v/>
      </c>
      <c r="B1565" s="1">
        <f>IFERROR(__xludf.DUMMYFUNCTION("""COMPUTED_VALUE"""),"ORG_2427")</f>
        <v/>
      </c>
      <c r="C1565" s="1">
        <f>IFERROR(__xludf.DUMMYFUNCTION("""COMPUTED_VALUE"""),TRUE)</f>
        <v/>
      </c>
      <c r="D1565" s="1">
        <f>IFERROR(__xludf.DUMMYFUNCTION("""COMPUTED_VALUE"""),"Traindy")</f>
        <v/>
      </c>
      <c r="E1565" s="15">
        <f>IFERROR(__xludf.DUMMYFUNCTION("""COMPUTED_VALUE"""),"http://traindy.io")</f>
        <v/>
      </c>
      <c r="F1565" s="1">
        <f>IFERROR(__xludf.DUMMYFUNCTION("""COMPUTED_VALUE"""),"Traindy is an innovative company in the domain of education and training whose DNA is rooted in research and cognitive sciences. 
It's current main offer is the Learning Coach ecosystem that aims to help individuals and organization to learn how to learn"&amp;" and that revolves around a learning companion mobile app whose goal is to develop the learner autonomy and performance.")</f>
        <v/>
      </c>
      <c r="G1565" s="1">
        <f>IFERROR(__xludf.DUMMYFUNCTION("""COMPUTED_VALUE"""),"EdTech France")</f>
        <v/>
      </c>
      <c r="H1565" s="1" t="n"/>
      <c r="I1565" s="1">
        <f>IFERROR(__xludf.DUMMYFUNCTION("""COMPUTED_VALUE"""),"contact@traindy.io")</f>
        <v/>
      </c>
      <c r="J1565" s="1" t="n"/>
      <c r="K1565" s="1">
        <f>IFERROR(__xludf.DUMMYFUNCTION("""COMPUTED_VALUE"""),"PARIS")</f>
        <v/>
      </c>
      <c r="L1565" s="1">
        <f>IFERROR(__xludf.DUMMYFUNCTION("""COMPUTED_VALUE"""),"France")</f>
        <v/>
      </c>
      <c r="M1565" s="1">
        <f>IFERROR(__xludf.DUMMYFUNCTION("""COMPUTED_VALUE"""),"France")</f>
        <v/>
      </c>
      <c r="N1565" s="1">
        <f>IFERROR(__xludf.DUMMYFUNCTION("""COMPUTED_VALUE"""),"0 to 10")</f>
        <v/>
      </c>
      <c r="O1565" s="1">
        <f>IFERROR(__xludf.DUMMYFUNCTION("""COMPUTED_VALUE"""),"Business to Consumer, Business to Schools")</f>
        <v/>
      </c>
      <c r="P1565" s="1">
        <f>IFERROR(__xludf.DUMMYFUNCTION("""COMPUTED_VALUE"""),"Secondary Education, Higher Education, Corporate Training, Lifelong learning/Adult education")</f>
        <v/>
      </c>
      <c r="Q1565" s="1">
        <f>IFERROR(__xludf.DUMMYFUNCTION("""COMPUTED_VALUE"""),"Student interfacing, System/Administrative")</f>
        <v/>
      </c>
      <c r="R1565" s="1" t="n"/>
      <c r="S1565" s="1" t="n"/>
      <c r="T1565" s="1" t="n"/>
      <c r="U1565" s="1" t="n"/>
      <c r="V1565" s="1" t="n"/>
      <c r="W1565" s="1" t="n"/>
      <c r="X1565" s="1" t="n"/>
      <c r="Y1565" s="15">
        <f>IFERROR(__xludf.DUMMYFUNCTION("""COMPUTED_VALUE"""),"https://drive.google.com/uc?export=view&amp;id=1-UNejTA3R8cJvZCBIvrxqsYC7QJhg4HK")</f>
        <v/>
      </c>
      <c r="Z1565" s="1">
        <f>IFERROR(__xludf.DUMMYFUNCTION("""COMPUTED_VALUE"""),"Unverified")</f>
        <v/>
      </c>
      <c r="AA1565" s="1" t="n"/>
      <c r="AB1565" s="1" t="n"/>
      <c r="AC1565" s="1" t="n"/>
      <c r="AD1565" s="1" t="n"/>
      <c r="AE1565" s="1" t="n"/>
    </row>
    <row r="1566" ht="42" customHeight="1">
      <c r="A1566" s="14">
        <f>IFERROR(__xludf.DUMMYFUNCTION("""COMPUTED_VALUE"""),45181)</f>
        <v/>
      </c>
      <c r="B1566" s="1">
        <f>IFERROR(__xludf.DUMMYFUNCTION("""COMPUTED_VALUE"""),"ORG_2432")</f>
        <v/>
      </c>
      <c r="C1566" s="1">
        <f>IFERROR(__xludf.DUMMYFUNCTION("""COMPUTED_VALUE"""),TRUE)</f>
        <v/>
      </c>
      <c r="D1566" s="1">
        <f>IFERROR(__xludf.DUMMYFUNCTION("""COMPUTED_VALUE"""),"Tridan")</f>
        <v/>
      </c>
      <c r="E1566" s="15">
        <f>IFERROR(__xludf.DUMMYFUNCTION("""COMPUTED_VALUE"""),"https://www.tridan.tech")</f>
        <v/>
      </c>
      <c r="F1566" s="1">
        <f>IFERROR(__xludf.DUMMYFUNCTION("""COMPUTED_VALUE"""),"Tridan is a test solution for evaluating operational skills in several technical jobs :
Data scientist, Digital marketing, Business Developer...
Goals: Avoid recruitment mistakes, Help students in promoting their skills, Allow schools to measure learning "&amp;"outcomes")</f>
        <v/>
      </c>
      <c r="G1566" s="1">
        <f>IFERROR(__xludf.DUMMYFUNCTION("""COMPUTED_VALUE"""),"EdTech France")</f>
        <v/>
      </c>
      <c r="H1566" s="1">
        <f>IFERROR(__xludf.DUMMYFUNCTION("""COMPUTED_VALUE"""),"French")</f>
        <v/>
      </c>
      <c r="I1566" s="1">
        <f>IFERROR(__xludf.DUMMYFUNCTION("""COMPUTED_VALUE"""),"contact@tridan.tech")</f>
        <v/>
      </c>
      <c r="J1566" s="1">
        <f>IFERROR(__xludf.DUMMYFUNCTION("""COMPUTED_VALUE"""),"+33241238232")</f>
        <v/>
      </c>
      <c r="K1566" s="1">
        <f>IFERROR(__xludf.DUMMYFUNCTION("""COMPUTED_VALUE"""),"Avrillé")</f>
        <v/>
      </c>
      <c r="L1566" s="1">
        <f>IFERROR(__xludf.DUMMYFUNCTION("""COMPUTED_VALUE"""),"France")</f>
        <v/>
      </c>
      <c r="M1566" s="1">
        <f>IFERROR(__xludf.DUMMYFUNCTION("""COMPUTED_VALUE"""),"Andorra, Belgium, France, Switzerland")</f>
        <v/>
      </c>
      <c r="N1566" s="1">
        <f>IFERROR(__xludf.DUMMYFUNCTION("""COMPUTED_VALUE"""),"0 to 2")</f>
        <v/>
      </c>
      <c r="O1566" s="1">
        <f>IFERROR(__xludf.DUMMYFUNCTION("""COMPUTED_VALUE"""),"Business to Government")</f>
        <v/>
      </c>
      <c r="P1566" s="1">
        <f>IFERROR(__xludf.DUMMYFUNCTION("""COMPUTED_VALUE"""),"Higher Education")</f>
        <v/>
      </c>
      <c r="Q1566" s="1">
        <f>IFERROR(__xludf.DUMMYFUNCTION("""COMPUTED_VALUE"""),"Student interfacing, Teacher interfacing, System/Administrative")</f>
        <v/>
      </c>
      <c r="R1566" s="1" t="n"/>
      <c r="S1566" s="15">
        <f>IFERROR(__xludf.DUMMYFUNCTION("""COMPUTED_VALUE"""),"https://twitter.com/tridan_test")</f>
        <v/>
      </c>
      <c r="T1566" s="15">
        <f>IFERROR(__xludf.DUMMYFUNCTION("""COMPUTED_VALUE"""),"https://www.linkedin.com/company/tridan-test")</f>
        <v/>
      </c>
      <c r="U1566" s="1">
        <f>IFERROR(__xludf.DUMMYFUNCTION("""COMPUTED_VALUE"""),"Tridan+ Digital Marketing")</f>
        <v/>
      </c>
      <c r="V1566" s="1">
        <f>IFERROR(__xludf.DUMMYFUNCTION("""COMPUTED_VALUE"""),"The Tridan+ Digital Marketing test assesses 6 main operational skills which are: SEO, SEA, Community Management, Webmarketing, Analytics, Webmastering")</f>
        <v/>
      </c>
      <c r="W1566" s="1">
        <f>IFERROR(__xludf.DUMMYFUNCTION("""COMPUTED_VALUE"""),"Tridan+ Data Scientist")</f>
        <v/>
      </c>
      <c r="X1566" s="1">
        <f>IFERROR(__xludf.DUMMYFUNCTION("""COMPUTED_VALUE"""),"The Tridan+ Data scientist test assesses 6 main operational skills which are: Database, Programming, Data Visualization &amp; Data Storytelling, machine-learning, ""Classic"" statistics, Data processing / ETL")</f>
        <v/>
      </c>
      <c r="Y1566" s="15">
        <f>IFERROR(__xludf.DUMMYFUNCTION("""COMPUTED_VALUE"""),"https://drive.google.com/uc?export=view&amp;id=1qb7HZ-a9t40qD5db8d2_SVHIbizLNJup")</f>
        <v/>
      </c>
      <c r="Z1566" s="1">
        <f>IFERROR(__xludf.DUMMYFUNCTION("""COMPUTED_VALUE"""),"Unverified")</f>
        <v/>
      </c>
      <c r="AA1566" s="1" t="n"/>
      <c r="AB1566" s="1" t="n"/>
      <c r="AC1566" s="1" t="n"/>
      <c r="AD1566" s="1" t="n"/>
      <c r="AE1566" s="1" t="n"/>
    </row>
    <row r="1567" ht="42" customHeight="1">
      <c r="A1567" s="14">
        <f>IFERROR(__xludf.DUMMYFUNCTION("""COMPUTED_VALUE"""),45181)</f>
        <v/>
      </c>
      <c r="B1567" s="1">
        <f>IFERROR(__xludf.DUMMYFUNCTION("""COMPUTED_VALUE"""),"ORG_2487")</f>
        <v/>
      </c>
      <c r="C1567" s="1">
        <f>IFERROR(__xludf.DUMMYFUNCTION("""COMPUTED_VALUE"""),TRUE)</f>
        <v/>
      </c>
      <c r="D1567" s="1">
        <f>IFERROR(__xludf.DUMMYFUNCTION("""COMPUTED_VALUE"""),"Vextur, UAB")</f>
        <v/>
      </c>
      <c r="E1567" s="15">
        <f>IFERROR(__xludf.DUMMYFUNCTION("""COMPUTED_VALUE"""),"https://vextur.com/")</f>
        <v/>
      </c>
      <c r="F1567" s="1">
        <f>IFERROR(__xludf.DUMMYFUNCTION("""COMPUTED_VALUE"""),"Premium Moodle partner in the Baltic region. Vextur offers all Moodle-related services from analysis and consultations to custom development and integrations. Offer Moodle LMS and Moodle Workplace solutions.")</f>
        <v/>
      </c>
      <c r="G1567" s="1">
        <f>IFERROR(__xludf.DUMMYFUNCTION("""COMPUTED_VALUE"""),"EdTech Lithuania")</f>
        <v/>
      </c>
      <c r="H1567" s="1" t="n"/>
      <c r="I1567" s="1">
        <f>IFERROR(__xludf.DUMMYFUNCTION("""COMPUTED_VALUE"""),"info@vextur.com")</f>
        <v/>
      </c>
      <c r="J1567" s="1">
        <f>IFERROR(__xludf.DUMMYFUNCTION("""COMPUTED_VALUE"""),"+37064012005")</f>
        <v/>
      </c>
      <c r="K1567" s="1">
        <f>IFERROR(__xludf.DUMMYFUNCTION("""COMPUTED_VALUE"""),"Vilnius")</f>
        <v/>
      </c>
      <c r="L1567" s="1">
        <f>IFERROR(__xludf.DUMMYFUNCTION("""COMPUTED_VALUE"""),"Lithuania")</f>
        <v/>
      </c>
      <c r="M1567" s="1">
        <f>IFERROR(__xludf.DUMMYFUNCTION("""COMPUTED_VALUE"""),"Bulgaria, Estonia, Kazakhstan, Latvia, Lithuania, Ukraine")</f>
        <v/>
      </c>
      <c r="N1567" s="1">
        <f>IFERROR(__xludf.DUMMYFUNCTION("""COMPUTED_VALUE"""),"0 to 10")</f>
        <v/>
      </c>
      <c r="O1567" s="1">
        <f>IFERROR(__xludf.DUMMYFUNCTION("""COMPUTED_VALUE"""),"Business to Government, Business to Schools")</f>
        <v/>
      </c>
      <c r="P1567" s="1">
        <f>IFERROR(__xludf.DUMMYFUNCTION("""COMPUTED_VALUE"""),"Primary Education, Secondary Education, Higher Education, Corporate Training, Lifelong learning/Adult education")</f>
        <v/>
      </c>
      <c r="Q1567" s="1">
        <f>IFERROR(__xludf.DUMMYFUNCTION("""COMPUTED_VALUE"""),"Student interfacing, Teacher interfacing, System/Administrative")</f>
        <v/>
      </c>
      <c r="R1567" s="1">
        <f>IFERROR(__xludf.DUMMYFUNCTION("""COMPUTED_VALUE"""),"Demo")</f>
        <v/>
      </c>
      <c r="S1567" s="1">
        <f>IFERROR(__xludf.DUMMYFUNCTION("""COMPUTED_VALUE"""),"Demo")</f>
        <v/>
      </c>
      <c r="T1567" s="15">
        <f>IFERROR(__xludf.DUMMYFUNCTION("""COMPUTED_VALUE"""),"https://www.linkedin.com/company/vextur")</f>
        <v/>
      </c>
      <c r="U1567" s="1">
        <f>IFERROR(__xludf.DUMMYFUNCTION("""COMPUTED_VALUE"""),"Moodle LMS")</f>
        <v/>
      </c>
      <c r="V1567" s="1">
        <f>IFERROR(__xludf.DUMMYFUNCTION("""COMPUTED_VALUE"""),"Leading learning management system in the world. Used by millions of users and has a huge community of users.")</f>
        <v/>
      </c>
      <c r="W1567" s="1">
        <f>IFERROR(__xludf.DUMMYFUNCTION("""COMPUTED_VALUE"""),"Moodle Workplace")</f>
        <v/>
      </c>
      <c r="X1567" s="1">
        <f>IFERROR(__xludf.DUMMYFUNCTION("""COMPUTED_VALUE"""),"Moodle Workplace platform, designed for custom users' requirements and functionality.")</f>
        <v/>
      </c>
      <c r="Y1567" s="15">
        <f>IFERROR(__xludf.DUMMYFUNCTION("""COMPUTED_VALUE"""),"https://drive.google.com/uc?export=view&amp;id=1KTmjupBPRQ4o4Wue9gd9kPBAus666k-m")</f>
        <v/>
      </c>
      <c r="Z1567" s="1">
        <f>IFERROR(__xludf.DUMMYFUNCTION("""COMPUTED_VALUE"""),"Unverified")</f>
        <v/>
      </c>
      <c r="AA1567" s="1" t="n"/>
      <c r="AB1567" s="1" t="n"/>
      <c r="AC1567" s="1" t="n"/>
      <c r="AD1567" s="1" t="n"/>
      <c r="AE1567" s="1" t="n"/>
    </row>
    <row r="1568" ht="42" customHeight="1">
      <c r="A1568" s="14">
        <f>IFERROR(__xludf.DUMMYFUNCTION("""COMPUTED_VALUE"""),45181)</f>
        <v/>
      </c>
      <c r="B1568" s="1">
        <f>IFERROR(__xludf.DUMMYFUNCTION("""COMPUTED_VALUE"""),"ORG_1066")</f>
        <v/>
      </c>
      <c r="C1568" s="1">
        <f>IFERROR(__xludf.DUMMYFUNCTION("""COMPUTED_VALUE"""),TRUE)</f>
        <v/>
      </c>
      <c r="D1568" s="1">
        <f>IFERROR(__xludf.DUMMYFUNCTION("""COMPUTED_VALUE"""),"AlumnForce")</f>
        <v/>
      </c>
      <c r="E1568" s="15">
        <f>IFERROR(__xludf.DUMMYFUNCTION("""COMPUTED_VALUE"""),"https://www.alumnforce.com/")</f>
        <v/>
      </c>
      <c r="F1568" s="1">
        <f>IFERROR(__xludf.DUMMYFUNCTION("""COMPUTED_VALUE"""),"AlumnForce is the web and mobile solution for community and alumni network management. Create, customize and develop the perfect solution to engage and empower your community on a unique platform: Social Network / Career Center / Virtual Career Fair / Men"&amp;"toring / Fundraising.
AlumnForce offers you an “all-in-one” platform that adapts to your needs and those of your community. And this, no matter how big your network is, whether it has 100 members or more than 1 million. We already work with 300+ networks"&amp;" in 12 countries around the world.
Create your platform with the solutions that suit your needs. Bring your community together online, keep in touch and support your members throughout their professional career.")</f>
        <v/>
      </c>
      <c r="G1568" s="1">
        <f>IFERROR(__xludf.DUMMYFUNCTION("""COMPUTED_VALUE"""),"EdTech France")</f>
        <v/>
      </c>
      <c r="H1568" s="1">
        <f>IFERROR(__xludf.DUMMYFUNCTION("""COMPUTED_VALUE"""),"French, English, Spanish, Hungarian")</f>
        <v/>
      </c>
      <c r="I1568" s="1">
        <f>IFERROR(__xludf.DUMMYFUNCTION("""COMPUTED_VALUE"""),"contact@alumnforce.com")</f>
        <v/>
      </c>
      <c r="J1568" s="1">
        <f>IFERROR(__xludf.DUMMYFUNCTION("""COMPUTED_VALUE"""),"+33 1 83 62 11 83")</f>
        <v/>
      </c>
      <c r="K1568" s="1">
        <f>IFERROR(__xludf.DUMMYFUNCTION("""COMPUTED_VALUE"""),"PARIS")</f>
        <v/>
      </c>
      <c r="L1568" s="1">
        <f>IFERROR(__xludf.DUMMYFUNCTION("""COMPUTED_VALUE"""),"France")</f>
        <v/>
      </c>
      <c r="M1568" s="1">
        <f>IFERROR(__xludf.DUMMYFUNCTION("""COMPUTED_VALUE"""),"Belgium, France, Hungary, Italy, Luxembourg, Monaco, Netherlands, Portugal, Spain, Switzerland, United Kingdom")</f>
        <v/>
      </c>
      <c r="N1568" s="1">
        <f>IFERROR(__xludf.DUMMYFUNCTION("""COMPUTED_VALUE"""),"11 to 50")</f>
        <v/>
      </c>
      <c r="O1568" s="1">
        <f>IFERROR(__xludf.DUMMYFUNCTION("""COMPUTED_VALUE"""),"Business to Business")</f>
        <v/>
      </c>
      <c r="P1568" s="1">
        <f>IFERROR(__xludf.DUMMYFUNCTION("""COMPUTED_VALUE"""),"Secondary Education, Corporate Training, Lifelong learning/Adult education, Vocational Education and Training (VET), Higher Education")</f>
        <v/>
      </c>
      <c r="Q1568" s="1">
        <f>IFERROR(__xludf.DUMMYFUNCTION("""COMPUTED_VALUE"""),"Teacher interfacing, System/Administrative, Student interfacing")</f>
        <v/>
      </c>
      <c r="R1568" s="1" t="n"/>
      <c r="S1568" s="15">
        <f>IFERROR(__xludf.DUMMYFUNCTION("""COMPUTED_VALUE"""),"https://twitter.com/AlumnForce")</f>
        <v/>
      </c>
      <c r="T1568" s="15">
        <f>IFERROR(__xludf.DUMMYFUNCTION("""COMPUTED_VALUE"""),"https://www.linkedin.com/company/alumnforce-alumni-success-platform/")</f>
        <v/>
      </c>
      <c r="U1568" s="1">
        <f>IFERROR(__xludf.DUMMYFUNCTION("""COMPUTED_VALUE"""),"AlumnForce")</f>
        <v/>
      </c>
      <c r="V1568" s="1">
        <f>IFERROR(__xludf.DUMMYFUNCTION("""COMPUTED_VALUE"""),"AlumnForce is a web and mobile alumni solution
Create and manage your private network and foster exchanges between students, graduates, alumni, recruiters, teachers and staff.
A simple, intuitive and configurable alumni platform:
- Groups &amp; clubs
- Care"&amp;"er center 
- Mentoring program 
- Email &amp; newsletters
- Virtual/Hybrid job fair
- Data management &amp; statistics")</f>
        <v/>
      </c>
      <c r="W1568" s="1" t="n"/>
      <c r="X1568" s="1" t="n"/>
      <c r="Y1568" s="15">
        <f>IFERROR(__xludf.DUMMYFUNCTION("""COMPUTED_VALUE"""),"https://drive.google.com/uc?export=view&amp;id=1IBGpek4F-8bPP3TbN8NTTeEuDNuLZ0KE")</f>
        <v/>
      </c>
      <c r="Z1568" s="1">
        <f>IFERROR(__xludf.DUMMYFUNCTION("""COMPUTED_VALUE"""),"Unverified")</f>
        <v/>
      </c>
      <c r="AA1568" s="1" t="n"/>
      <c r="AB1568" s="1" t="n"/>
      <c r="AC1568" s="1" t="n"/>
      <c r="AD1568" s="1" t="n"/>
      <c r="AE1568" s="1" t="n"/>
    </row>
    <row r="1569" ht="42" customHeight="1">
      <c r="A1569" s="14">
        <f>IFERROR(__xludf.DUMMYFUNCTION("""COMPUTED_VALUE"""),45181)</f>
        <v/>
      </c>
      <c r="B1569" s="1">
        <f>IFERROR(__xludf.DUMMYFUNCTION("""COMPUTED_VALUE"""),"ORG_1086")</f>
        <v/>
      </c>
      <c r="C1569" s="1">
        <f>IFERROR(__xludf.DUMMYFUNCTION("""COMPUTED_VALUE"""),TRUE)</f>
        <v/>
      </c>
      <c r="D1569" s="1">
        <f>IFERROR(__xludf.DUMMYFUNCTION("""COMPUTED_VALUE"""),"Appscapes")</f>
        <v/>
      </c>
      <c r="E1569" s="15">
        <f>IFERROR(__xludf.DUMMYFUNCTION("""COMPUTED_VALUE"""),"www.appscapes.com")</f>
        <v/>
      </c>
      <c r="F1569" s="1">
        <f>IFERROR(__xludf.DUMMYFUNCTION("""COMPUTED_VALUE"""),"We are a subscription-based mobile application for educational institutions. The platform helps them strengthen their IT infraestructure, while offering its students tools that increase student engagement and facilitate student integration.")</f>
        <v/>
      </c>
      <c r="G1569" s="1">
        <f>IFERROR(__xludf.DUMMYFUNCTION("""COMPUTED_VALUE"""),"SEK Lab")</f>
        <v/>
      </c>
      <c r="H1569" s="1" t="n"/>
      <c r="I1569" s="1">
        <f>IFERROR(__xludf.DUMMYFUNCTION("""COMPUTED_VALUE"""),"arturo@appscapes.com")</f>
        <v/>
      </c>
      <c r="J1569" s="1" t="n"/>
      <c r="K1569" s="1">
        <f>IFERROR(__xludf.DUMMYFUNCTION("""COMPUTED_VALUE"""),"CARRER DE ORISTÀ 165")</f>
        <v/>
      </c>
      <c r="L1569" s="1">
        <f>IFERROR(__xludf.DUMMYFUNCTION("""COMPUTED_VALUE"""),"Spain")</f>
        <v/>
      </c>
      <c r="M1569" s="1">
        <f>IFERROR(__xludf.DUMMYFUNCTION("""COMPUTED_VALUE"""),"France, Poland, Portugal, Spain, United Kingdom")</f>
        <v/>
      </c>
      <c r="N1569" s="1">
        <f>IFERROR(__xludf.DUMMYFUNCTION("""COMPUTED_VALUE"""),"0 to 10")</f>
        <v/>
      </c>
      <c r="O1569" s="1">
        <f>IFERROR(__xludf.DUMMYFUNCTION("""COMPUTED_VALUE"""),"Business to Business")</f>
        <v/>
      </c>
      <c r="P1569" s="1">
        <f>IFERROR(__xludf.DUMMYFUNCTION("""COMPUTED_VALUE"""),"Higher Education")</f>
        <v/>
      </c>
      <c r="Q1569" s="1">
        <f>IFERROR(__xludf.DUMMYFUNCTION("""COMPUTED_VALUE"""),"Student interfacing")</f>
        <v/>
      </c>
      <c r="R1569" s="1" t="n"/>
      <c r="S1569" s="1" t="n"/>
      <c r="T1569" s="1" t="n"/>
      <c r="U1569" s="1">
        <f>IFERROR(__xludf.DUMMYFUNCTION("""COMPUTED_VALUE"""),"Appscapes")</f>
        <v/>
      </c>
      <c r="V1569" s="1">
        <f>IFERROR(__xludf.DUMMYFUNCTION("""COMPUTED_VALUE"""),"It's a suscription based mobile application that facilitates student communication, event organization and centralizing school resources to have an easier access.")</f>
        <v/>
      </c>
      <c r="W1569" s="1" t="n"/>
      <c r="X1569" s="1" t="n"/>
      <c r="Y1569" s="15">
        <f>IFERROR(__xludf.DUMMYFUNCTION("""COMPUTED_VALUE"""),"https://drive.google.com/uc?export=view&amp;id=1jq3TfUnlbKQQ_62vXpvGFO7cD_O0qkOw")</f>
        <v/>
      </c>
      <c r="Z1569" s="1">
        <f>IFERROR(__xludf.DUMMYFUNCTION("""COMPUTED_VALUE"""),"Unverified")</f>
        <v/>
      </c>
      <c r="AA1569" s="1" t="n"/>
      <c r="AB1569" s="1" t="n"/>
      <c r="AC1569" s="1" t="n"/>
      <c r="AD1569" s="1" t="n"/>
      <c r="AE1569" s="1" t="n"/>
    </row>
    <row r="1570" ht="42" customHeight="1">
      <c r="A1570" s="14">
        <f>IFERROR(__xludf.DUMMYFUNCTION("""COMPUTED_VALUE"""),45181)</f>
        <v/>
      </c>
      <c r="B1570" s="1">
        <f>IFERROR(__xludf.DUMMYFUNCTION("""COMPUTED_VALUE"""),"ORG_1094")</f>
        <v/>
      </c>
      <c r="C1570" s="1">
        <f>IFERROR(__xludf.DUMMYFUNCTION("""COMPUTED_VALUE"""),TRUE)</f>
        <v/>
      </c>
      <c r="D1570" s="1">
        <f>IFERROR(__xludf.DUMMYFUNCTION("""COMPUTED_VALUE"""),"Areeka")</f>
        <v/>
      </c>
      <c r="E1570" s="15">
        <f>IFERROR(__xludf.DUMMYFUNCTION("""COMPUTED_VALUE"""),"https://areeka.net")</f>
        <v/>
      </c>
      <c r="F1570" s="1">
        <f>IFERROR(__xludf.DUMMYFUNCTION("""COMPUTED_VALUE"""),"Areeka is an innovative Augmented Reality (AR) application revolutionizing the Education market for Publishers, Companies and Private users. Our platform enhances student engagement with their learning material allowing them to grasp concepts better, and "&amp;"also learn anytime and anywhere from their smartphones. Areeka also serves as an integrated Fun and Interactive Learning platform comprising a Wide Database of customizable 3D models, an E-commerce online shop for easy purchase of material, and offers an "&amp;"Easy-To-Use Web based AR platform.")</f>
        <v/>
      </c>
      <c r="G1570" s="1">
        <f>IFERROR(__xludf.DUMMYFUNCTION("""COMPUTED_VALUE"""),"I'm not part of any EdTech association")</f>
        <v/>
      </c>
      <c r="H1570" s="1" t="n"/>
      <c r="I1570" s="1">
        <f>IFERROR(__xludf.DUMMYFUNCTION("""COMPUTED_VALUE"""),"arkadi@amlogy.at")</f>
        <v/>
      </c>
      <c r="J1570" s="1">
        <f>IFERROR(__xludf.DUMMYFUNCTION("""COMPUTED_VALUE"""),"+436769283444")</f>
        <v/>
      </c>
      <c r="K1570" s="1">
        <f>IFERROR(__xludf.DUMMYFUNCTION("""COMPUTED_VALUE"""),"VIENNA")</f>
        <v/>
      </c>
      <c r="L1570" s="1">
        <f>IFERROR(__xludf.DUMMYFUNCTION("""COMPUTED_VALUE"""),"Austria")</f>
        <v/>
      </c>
      <c r="M1570" s="1">
        <f>IFERROR(__xludf.DUMMYFUNCTION("""COMPUTED_VALUE"""),"Armenia, Austria, Czechia, France, Germany, Italy, Liechtenstein, Poland, Russia, Switzerland, United Kingdom")</f>
        <v/>
      </c>
      <c r="N1570" s="1">
        <f>IFERROR(__xludf.DUMMYFUNCTION("""COMPUTED_VALUE"""),"0 to 10")</f>
        <v/>
      </c>
      <c r="O1570" s="1">
        <f>IFERROR(__xludf.DUMMYFUNCTION("""COMPUTED_VALUE"""),"Business to Business")</f>
        <v/>
      </c>
      <c r="P1570" s="1">
        <f>IFERROR(__xludf.DUMMYFUNCTION("""COMPUTED_VALUE"""),"Early childhood development (0-5 years), Primary Education, Secondary Education, Lifelong learning/Adult education")</f>
        <v/>
      </c>
      <c r="Q1570" s="1">
        <f>IFERROR(__xludf.DUMMYFUNCTION("""COMPUTED_VALUE"""),"System/Administrative, Student interfacing, Teacher interfacing")</f>
        <v/>
      </c>
      <c r="R1570" s="1" t="n"/>
      <c r="S1570" s="1" t="n"/>
      <c r="T1570" s="1" t="n"/>
      <c r="U1570" s="1" t="n"/>
      <c r="V1570" s="1" t="n"/>
      <c r="W1570" s="1" t="n"/>
      <c r="X1570" s="1" t="n"/>
      <c r="Y1570" s="15">
        <f>IFERROR(__xludf.DUMMYFUNCTION("""COMPUTED_VALUE"""),"https://drive.google.com/uc?export=view&amp;id=1e3FvGcHIv9khtbOKZDb4kOBpw4AcO_lr")</f>
        <v/>
      </c>
      <c r="Z1570" s="1">
        <f>IFERROR(__xludf.DUMMYFUNCTION("""COMPUTED_VALUE"""),"Unverified")</f>
        <v/>
      </c>
      <c r="AA1570" s="1" t="n"/>
      <c r="AB1570" s="1" t="n"/>
      <c r="AC1570" s="1" t="n"/>
      <c r="AD1570" s="1" t="n"/>
      <c r="AE1570" s="1" t="n"/>
    </row>
    <row r="1571" ht="42" customHeight="1">
      <c r="A1571" s="14">
        <f>IFERROR(__xludf.DUMMYFUNCTION("""COMPUTED_VALUE"""),45181)</f>
        <v/>
      </c>
      <c r="B1571" s="1">
        <f>IFERROR(__xludf.DUMMYFUNCTION("""COMPUTED_VALUE"""),"ORG_1095")</f>
        <v/>
      </c>
      <c r="C1571" s="1">
        <f>IFERROR(__xludf.DUMMYFUNCTION("""COMPUTED_VALUE"""),TRUE)</f>
        <v/>
      </c>
      <c r="D1571" s="1">
        <f>IFERROR(__xludf.DUMMYFUNCTION("""COMPUTED_VALUE"""),"AREN Education")</f>
        <v/>
      </c>
      <c r="E1571" s="15">
        <f>IFERROR(__xludf.DUMMYFUNCTION("""COMPUTED_VALUE"""),"https://areneducation.com/en/")</f>
        <v/>
      </c>
      <c r="F1571" s="1">
        <f>IFERROR(__xludf.DUMMYFUNCTION("""COMPUTED_VALUE"""),"AREN do Simplify access to quality educational resources for Teachers and Students, including the Parents. Provide to governments personalized dashboards for the digital usage and content.")</f>
        <v/>
      </c>
      <c r="G1571" s="1">
        <f>IFERROR(__xludf.DUMMYFUNCTION("""COMPUTED_VALUE"""),"AFINEF, EdTech France")</f>
        <v/>
      </c>
      <c r="H1571" s="1">
        <f>IFERROR(__xludf.DUMMYFUNCTION("""COMPUTED_VALUE"""),"English, France, Arabic, Spanish")</f>
        <v/>
      </c>
      <c r="I1571" s="1">
        <f>IFERROR(__xludf.DUMMYFUNCTION("""COMPUTED_VALUE"""),"mrizk@areneducation.com")</f>
        <v/>
      </c>
      <c r="J1571" s="1" t="n"/>
      <c r="K1571" s="1">
        <f>IFERROR(__xludf.DUMMYFUNCTION("""COMPUTED_VALUE"""),"PARIS")</f>
        <v/>
      </c>
      <c r="L1571" s="1">
        <f>IFERROR(__xludf.DUMMYFUNCTION("""COMPUTED_VALUE"""),"France")</f>
        <v/>
      </c>
      <c r="M1571" s="1">
        <f>IFERROR(__xludf.DUMMYFUNCTION("""COMPUTED_VALUE"""),"Belgium, France, Italy, Luxembourg, Monaco, Switzerland")</f>
        <v/>
      </c>
      <c r="N1571" s="1">
        <f>IFERROR(__xludf.DUMMYFUNCTION("""COMPUTED_VALUE"""),"6 to 10")</f>
        <v/>
      </c>
      <c r="O1571" s="1">
        <f>IFERROR(__xludf.DUMMYFUNCTION("""COMPUTED_VALUE"""),"Business to Business")</f>
        <v/>
      </c>
      <c r="P1571" s="1">
        <f>IFERROR(__xludf.DUMMYFUNCTION("""COMPUTED_VALUE"""),"Early childhood development (0-5 years), Primary Education, Secondary Education")</f>
        <v/>
      </c>
      <c r="Q1571" s="1">
        <f>IFERROR(__xludf.DUMMYFUNCTION("""COMPUTED_VALUE"""),"System/Administrative, Student interfacing, Teacher interfacing")</f>
        <v/>
      </c>
      <c r="R1571" s="1" t="n"/>
      <c r="S1571" s="1" t="n"/>
      <c r="T1571" s="15">
        <f>IFERROR(__xludf.DUMMYFUNCTION("""COMPUTED_VALUE"""),"https://www.linkedin.com/company/36144549/admin/feed/posts/")</f>
        <v/>
      </c>
      <c r="U1571" s="1">
        <f>IFERROR(__xludf.DUMMYFUNCTION("""COMPUTED_VALUE"""),"AREN+")</f>
        <v/>
      </c>
      <c r="V1571" s="1">
        <f>IFERROR(__xludf.DUMMYFUNCTION("""COMPUTED_VALUE"""),"The plateform support governments in the acquisition of digital solutions for the Education Sector. We Work with partners of choice to ensure deployments.")</f>
        <v/>
      </c>
      <c r="W1571" s="1">
        <f>IFERROR(__xludf.DUMMYFUNCTION("""COMPUTED_VALUE"""),"and a large catalog of multi EdTech resources")</f>
        <v/>
      </c>
      <c r="X1571" s="1">
        <f>IFERROR(__xludf.DUMMYFUNCTION("""COMPUTED_VALUE"""),"Treasure innovative educational resources, proven by research and produced by partners, and or validated by them. Deploy those resources via our platform.")</f>
        <v/>
      </c>
      <c r="Y1571" s="15">
        <f>IFERROR(__xludf.DUMMYFUNCTION("""COMPUTED_VALUE"""),"https://drive.google.com/uc?export=view&amp;id=1FNV-tXlhxHr375OgON_e9NsZmHSzXf7T")</f>
        <v/>
      </c>
      <c r="Z1571" s="1">
        <f>IFERROR(__xludf.DUMMYFUNCTION("""COMPUTED_VALUE"""),"Unverified")</f>
        <v/>
      </c>
      <c r="AA1571" s="1" t="n"/>
      <c r="AB1571" s="1" t="n"/>
      <c r="AC1571" s="1" t="n"/>
      <c r="AD1571" s="1" t="n"/>
      <c r="AE1571" s="1" t="n"/>
    </row>
    <row r="1572" ht="42" customHeight="1">
      <c r="A1572" s="14">
        <f>IFERROR(__xludf.DUMMYFUNCTION("""COMPUTED_VALUE"""),45181)</f>
        <v/>
      </c>
      <c r="B1572" s="1">
        <f>IFERROR(__xludf.DUMMYFUNCTION("""COMPUTED_VALUE"""),"ORG_1106")</f>
        <v/>
      </c>
      <c r="C1572" s="1">
        <f>IFERROR(__xludf.DUMMYFUNCTION("""COMPUTED_VALUE"""),TRUE)</f>
        <v/>
      </c>
      <c r="D1572" s="1">
        <f>IFERROR(__xludf.DUMMYFUNCTION("""COMPUTED_VALUE"""),"ASB PUBLISHING")</f>
        <v/>
      </c>
      <c r="E1572" s="15">
        <f>IFERROR(__xludf.DUMMYFUNCTION("""COMPUTED_VALUE"""),"www.asbpublishing.com")</f>
        <v/>
      </c>
      <c r="F1572" s="1">
        <f>IFERROR(__xludf.DUMMYFUNCTION("""COMPUTED_VALUE"""),"ASB PUBLISHING is an eLearning publisher, leader in soft skills short video program. Visit our Web site : www.asbpublishing.com")</f>
        <v/>
      </c>
      <c r="G1572" s="1">
        <f>IFERROR(__xludf.DUMMYFUNCTION("""COMPUTED_VALUE"""),"EdTech France")</f>
        <v/>
      </c>
      <c r="H1572" s="1" t="n"/>
      <c r="I1572" s="1">
        <f>IFERROR(__xludf.DUMMYFUNCTION("""COMPUTED_VALUE"""),"benjamin.rousseau@asbpublishing.com")</f>
        <v/>
      </c>
      <c r="J1572" s="1">
        <f>IFERROR(__xludf.DUMMYFUNCTION("""COMPUTED_VALUE"""),"+33624432300")</f>
        <v/>
      </c>
      <c r="K1572" s="1">
        <f>IFERROR(__xludf.DUMMYFUNCTION("""COMPUTED_VALUE"""),"PARIS")</f>
        <v/>
      </c>
      <c r="L1572" s="1">
        <f>IFERROR(__xludf.DUMMYFUNCTION("""COMPUTED_VALUE"""),"France")</f>
        <v/>
      </c>
      <c r="M1572" s="1">
        <f>IFERROR(__xludf.DUMMYFUNCTION("""COMPUTED_VALUE"""),"Belgium, France, Germany, Ireland, Italy, Luxembourg, Monaco, Netherlands, United Kingdom")</f>
        <v/>
      </c>
      <c r="N1572" s="1">
        <f>IFERROR(__xludf.DUMMYFUNCTION("""COMPUTED_VALUE"""),"0 to 2")</f>
        <v/>
      </c>
      <c r="O1572" s="1">
        <f>IFERROR(__xludf.DUMMYFUNCTION("""COMPUTED_VALUE"""),"Business to Business")</f>
        <v/>
      </c>
      <c r="P1572" s="1">
        <f>IFERROR(__xludf.DUMMYFUNCTION("""COMPUTED_VALUE"""),"Secondary Education, Corporate Training, Lifelong learning/Adult education")</f>
        <v/>
      </c>
      <c r="Q1572" s="1">
        <f>IFERROR(__xludf.DUMMYFUNCTION("""COMPUTED_VALUE"""),"Student interfacing, Teacher interfacing, System/Administrative")</f>
        <v/>
      </c>
      <c r="R1572" s="1" t="n"/>
      <c r="S1572" s="1" t="n"/>
      <c r="T1572" s="1" t="n"/>
      <c r="U1572" s="1">
        <f>IFERROR(__xludf.DUMMYFUNCTION("""COMPUTED_VALUE"""),"Management skills")</f>
        <v/>
      </c>
      <c r="V1572" s="1">
        <f>IFERROR(__xludf.DUMMYFUNCTION("""COMPUTED_VALUE"""),"40+ eLearning sessions, each of them given for 20 minutes learning, 100% video, that deal with distance management, appraisal interview, coaching... Actionable tips, dos and don'ts, easy going short videos (1 to 3 minutes videos). Atawad and responsive pr"&amp;"ogrammes. Contact us for free demo at www.asbpublishing.com !")</f>
        <v/>
      </c>
      <c r="W1572" s="1">
        <f>IFERROR(__xludf.DUMMYFUNCTION("""COMPUTED_VALUE"""),"Selling and negotiating skills")</f>
        <v/>
      </c>
      <c r="X1572" s="1">
        <f>IFERROR(__xludf.DUMMYFUNCTION("""COMPUTED_VALUE"""),"15+ eLearning sessions, each of them given for 20 minutes learning, 100% video, that deal with ccustomer experience, sales, négociation... Actionable tips, dos and don'ts, easy going short videos (1 to 3 minutes videos). Atawad and responsive programmes. "&amp;"Contact us for free demo at www.asbpublishing.com !")</f>
        <v/>
      </c>
      <c r="Y1572" s="15">
        <f>IFERROR(__xludf.DUMMYFUNCTION("""COMPUTED_VALUE"""),"https://drive.google.com/uc?export=view&amp;id=1WeC4JVjBzZs-QTbEVlTn5bEQat-WEFQH")</f>
        <v/>
      </c>
      <c r="Z1572" s="1">
        <f>IFERROR(__xludf.DUMMYFUNCTION("""COMPUTED_VALUE"""),"Unverified")</f>
        <v/>
      </c>
      <c r="AA1572" s="1" t="n"/>
      <c r="AB1572" s="1" t="n"/>
      <c r="AC1572" s="1" t="n"/>
      <c r="AD1572" s="1" t="n"/>
      <c r="AE1572" s="1" t="n"/>
    </row>
    <row r="1573" ht="42" customHeight="1">
      <c r="A1573" s="14">
        <f>IFERROR(__xludf.DUMMYFUNCTION("""COMPUTED_VALUE"""),45181)</f>
        <v/>
      </c>
      <c r="B1573" s="1">
        <f>IFERROR(__xludf.DUMMYFUNCTION("""COMPUTED_VALUE"""),"ORG_1136")</f>
        <v/>
      </c>
      <c r="C1573" s="1">
        <f>IFERROR(__xludf.DUMMYFUNCTION("""COMPUTED_VALUE"""),TRUE)</f>
        <v/>
      </c>
      <c r="D1573" s="1">
        <f>IFERROR(__xludf.DUMMYFUNCTION("""COMPUTED_VALUE"""),"BALIO")</f>
        <v/>
      </c>
      <c r="E1573" s="15">
        <f>IFERROR(__xludf.DUMMYFUNCTION("""COMPUTED_VALUE"""),"https://balio.app/")</f>
        <v/>
      </c>
      <c r="F1573" s="1">
        <f>IFERROR(__xludf.DUMMYFUNCTION("""COMPUTED_VALUE"""),"A place without borders to learn and connect with what limits you from being able to make decisions freely: monetary resources and mental health.")</f>
        <v/>
      </c>
      <c r="G1573" s="1">
        <f>IFERROR(__xludf.DUMMYFUNCTION("""COMPUTED_VALUE"""),"SEK Lab")</f>
        <v/>
      </c>
      <c r="H1573" s="1" t="n"/>
      <c r="I1573" s="1">
        <f>IFERROR(__xludf.DUMMYFUNCTION("""COMPUTED_VALUE"""),"gerard@balio.app")</f>
        <v/>
      </c>
      <c r="J1573" s="1" t="n"/>
      <c r="K1573" s="1">
        <f>IFERROR(__xludf.DUMMYFUNCTION("""COMPUTED_VALUE"""),"BARCELONA")</f>
        <v/>
      </c>
      <c r="L1573" s="1">
        <f>IFERROR(__xludf.DUMMYFUNCTION("""COMPUTED_VALUE"""),"Spain")</f>
        <v/>
      </c>
      <c r="M1573" s="1">
        <f>IFERROR(__xludf.DUMMYFUNCTION("""COMPUTED_VALUE"""),"Spain")</f>
        <v/>
      </c>
      <c r="N1573" s="1">
        <f>IFERROR(__xludf.DUMMYFUNCTION("""COMPUTED_VALUE"""),"0 to 10")</f>
        <v/>
      </c>
      <c r="O1573" s="1">
        <f>IFERROR(__xludf.DUMMYFUNCTION("""COMPUTED_VALUE"""),"Business to Business")</f>
        <v/>
      </c>
      <c r="P1573" s="1">
        <f>IFERROR(__xludf.DUMMYFUNCTION("""COMPUTED_VALUE"""),"Higher Education, Lifelong learning/Adult education")</f>
        <v/>
      </c>
      <c r="Q1573" s="1">
        <f>IFERROR(__xludf.DUMMYFUNCTION("""COMPUTED_VALUE"""),"System/Administrative, Student interfacing")</f>
        <v/>
      </c>
      <c r="R1573" s="15">
        <f>IFERROR(__xludf.DUMMYFUNCTION("""COMPUTED_VALUE"""),"https://www.instagram.com/balioapp/")</f>
        <v/>
      </c>
      <c r="S1573" s="15">
        <f>IFERROR(__xludf.DUMMYFUNCTION("""COMPUTED_VALUE"""),"https://twitter.com/Balio")</f>
        <v/>
      </c>
      <c r="T1573" s="15">
        <f>IFERROR(__xludf.DUMMYFUNCTION("""COMPUTED_VALUE"""),"https://www.linkedin.com/company/balio")</f>
        <v/>
      </c>
      <c r="U1573" s="1">
        <f>IFERROR(__xludf.DUMMYFUNCTION("""COMPUTED_VALUE"""),"BALIO ACADEMY")</f>
        <v/>
      </c>
      <c r="V1573" s="1">
        <f>IFERROR(__xludf.DUMMYFUNCTION("""COMPUTED_VALUE"""),"Platform that teach all about money using microlearning with top experts")</f>
        <v/>
      </c>
      <c r="W1573" s="1" t="n"/>
      <c r="X1573" s="1" t="n"/>
      <c r="Y1573" s="15">
        <f>IFERROR(__xludf.DUMMYFUNCTION("""COMPUTED_VALUE"""),"https://drive.google.com/uc?export=view&amp;id=1OsQikp6yK5hKG8chxyaL2blyiMqfyU_e")</f>
        <v/>
      </c>
      <c r="Z1573" s="1">
        <f>IFERROR(__xludf.DUMMYFUNCTION("""COMPUTED_VALUE"""),"Unverified")</f>
        <v/>
      </c>
      <c r="AA1573" s="1" t="n"/>
      <c r="AB1573" s="1" t="n"/>
      <c r="AC1573" s="1" t="n"/>
      <c r="AD1573" s="1" t="n"/>
      <c r="AE1573" s="1" t="n"/>
    </row>
    <row r="1574" ht="42" customHeight="1">
      <c r="A1574" s="14">
        <f>IFERROR(__xludf.DUMMYFUNCTION("""COMPUTED_VALUE"""),45181)</f>
        <v/>
      </c>
      <c r="B1574" s="1">
        <f>IFERROR(__xludf.DUMMYFUNCTION("""COMPUTED_VALUE"""),"ORG_1170")</f>
        <v/>
      </c>
      <c r="C1574" s="1">
        <f>IFERROR(__xludf.DUMMYFUNCTION("""COMPUTED_VALUE"""),TRUE)</f>
        <v/>
      </c>
      <c r="D1574" s="1">
        <f>IFERROR(__xludf.DUMMYFUNCTION("""COMPUTED_VALUE"""),"bitmark Association")</f>
        <v/>
      </c>
      <c r="E1574" s="15">
        <f>IFERROR(__xludf.DUMMYFUNCTION("""COMPUTED_VALUE"""),"https://bitmark-association.org/")</f>
        <v/>
      </c>
      <c r="F1574" s="1">
        <f>IFERROR(__xludf.DUMMYFUNCTION("""COMPUTED_VALUE"""),"bitmark is the world’s first open-source content-first standard for digital learning content.
Today there are thousands of different ways to create digital learning content - leading to lock-ins for all. To make education available we need to have a comm"&amp;"on ground - that's bitmark. As an open standard bitmark increases the interoperability for the digital education world. This means that learning content can be easily exchanged between different platforms.Use it, share it and help close the education gap "&amp;"in the world.")</f>
        <v/>
      </c>
      <c r="G1574" s="1">
        <f>IFERROR(__xludf.DUMMYFUNCTION("""COMPUTED_VALUE"""),"Swiss EdTech Collider")</f>
        <v/>
      </c>
      <c r="H1574" s="1" t="n"/>
      <c r="I1574" s="1">
        <f>IFERROR(__xludf.DUMMYFUNCTION("""COMPUTED_VALUE"""),"lisa.centeno@bitmark-association.org")</f>
        <v/>
      </c>
      <c r="J1574" s="1" t="n"/>
      <c r="K1574" s="1">
        <f>IFERROR(__xludf.DUMMYFUNCTION("""COMPUTED_VALUE"""),"Zurich")</f>
        <v/>
      </c>
      <c r="L1574" s="1">
        <f>IFERROR(__xludf.DUMMYFUNCTION("""COMPUTED_VALUE"""),"Switzerland")</f>
        <v/>
      </c>
      <c r="M157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574" s="1">
        <f>IFERROR(__xludf.DUMMYFUNCTION("""COMPUTED_VALUE"""),"11 to 50")</f>
        <v/>
      </c>
      <c r="O1574" s="1">
        <f>IFERROR(__xludf.DUMMYFUNCTION("""COMPUTED_VALUE"""),"Business to Business")</f>
        <v/>
      </c>
      <c r="P1574" s="1">
        <f>IFERROR(__xludf.DUMMYFUNCTION("""COMPUTED_VALUE"""),"Lifelong learning/Adult education")</f>
        <v/>
      </c>
      <c r="Q1574" s="1">
        <f>IFERROR(__xludf.DUMMYFUNCTION("""COMPUTED_VALUE"""),"Student interfacing, Teacher interfacing, System/Administrative")</f>
        <v/>
      </c>
      <c r="R1574" s="1" t="n"/>
      <c r="S1574" s="15">
        <f>IFERROR(__xludf.DUMMYFUNCTION("""COMPUTED_VALUE"""),"https://twitter.com/bitmarkstandard")</f>
        <v/>
      </c>
      <c r="T1574" s="15">
        <f>IFERROR(__xludf.DUMMYFUNCTION("""COMPUTED_VALUE"""),"https://www.linkedin.com/company/bitmark-association")</f>
        <v/>
      </c>
      <c r="U1574" s="1">
        <f>IFERROR(__xludf.DUMMYFUNCTION("""COMPUTED_VALUE"""),"bitmark")</f>
        <v/>
      </c>
      <c r="V1574" s="1">
        <f>IFERROR(__xludf.DUMMYFUNCTION("""COMPUTED_VALUE"""),"Some people might call bitmark a uncompromisingly content-first (and mobile-first) data standard for digital, interactive textbooks.
More technically speaking, bitmark is an umbrella term for the bitmark REST API, the bitmark JSON data model and the bitm"&amp;"ark markup language.
bitmark was born out of the need to digitize learning material. bitmark therefore is highly specialized in static and interactive learning content like quizzes.
bitmark is strictly content-first, which means, you have one common dat"&amp;"a base of all digital assets for mobile, tablet and Web apps.")</f>
        <v/>
      </c>
      <c r="W1574" s="1" t="n"/>
      <c r="X1574" s="1" t="n"/>
      <c r="Y1574" s="15">
        <f>IFERROR(__xludf.DUMMYFUNCTION("""COMPUTED_VALUE"""),"https://drive.google.com/uc?export=view&amp;id=1UPRJH_FA9-7pmBTmX5ZqzGNhjvnB4PwC")</f>
        <v/>
      </c>
      <c r="Z1574" s="1">
        <f>IFERROR(__xludf.DUMMYFUNCTION("""COMPUTED_VALUE"""),"Unverified")</f>
        <v/>
      </c>
      <c r="AA1574" s="1" t="n"/>
      <c r="AB1574" s="1" t="n"/>
      <c r="AC1574" s="1" t="n"/>
      <c r="AD1574" s="1" t="n"/>
      <c r="AE1574" s="1" t="n"/>
    </row>
    <row r="1575" ht="42" customHeight="1">
      <c r="A1575" s="14">
        <f>IFERROR(__xludf.DUMMYFUNCTION("""COMPUTED_VALUE"""),45181)</f>
        <v/>
      </c>
      <c r="B1575" s="1">
        <f>IFERROR(__xludf.DUMMYFUNCTION("""COMPUTED_VALUE"""),"ORG_1176")</f>
        <v/>
      </c>
      <c r="C1575" s="1">
        <f>IFERROR(__xludf.DUMMYFUNCTION("""COMPUTED_VALUE"""),TRUE)</f>
        <v/>
      </c>
      <c r="D1575" s="1">
        <f>IFERROR(__xludf.DUMMYFUNCTION("""COMPUTED_VALUE"""),"BLUE FROG ROBOTICS")</f>
        <v/>
      </c>
      <c r="E1575" s="15">
        <f>IFERROR(__xludf.DUMMYFUNCTION("""COMPUTED_VALUE"""),"www.bluefrogrobotics.com")</f>
        <v/>
      </c>
      <c r="F1575" s="1">
        <f>IFERROR(__xludf.DUMMYFUNCTION("""COMPUTED_VALUE"""),"BLUE FROG ROBOTICS, pioneer and leader in social robotics creates “Robots for Good” that embody Emotional AI to drive significant positive impact on major social issues: Education, Inclusion of vulnerable people and Ageing population. A Word First, the co"&amp;"mpany deploys the largest fleet of humanoid tele-education robots in the world after winning a contract from the French Ministry of National Education to fight against isolation of Hospitalized children to be “tele-present”. In addition, Buddy can serve a"&amp;"s a teaching assistant, student’s learning companion as well as an essential teaching tool for coding and programming.")</f>
        <v/>
      </c>
      <c r="G1575" s="1">
        <f>IFERROR(__xludf.DUMMYFUNCTION("""COMPUTED_VALUE"""),"EdTech France")</f>
        <v/>
      </c>
      <c r="H1575" s="1" t="n"/>
      <c r="I1575" s="1">
        <f>IFERROR(__xludf.DUMMYFUNCTION("""COMPUTED_VALUE"""),"info@bluefrogrobotics.com")</f>
        <v/>
      </c>
      <c r="J1575" s="1">
        <f>IFERROR(__xludf.DUMMYFUNCTION("""COMPUTED_VALUE"""),"+33 171278756")</f>
        <v/>
      </c>
      <c r="K1575" s="1">
        <f>IFERROR(__xludf.DUMMYFUNCTION("""COMPUTED_VALUE"""),"PARIS")</f>
        <v/>
      </c>
      <c r="L1575" s="1">
        <f>IFERROR(__xludf.DUMMYFUNCTION("""COMPUTED_VALUE"""),"France")</f>
        <v/>
      </c>
      <c r="M1575" s="1">
        <f>IFERROR(__xludf.DUMMYFUNCTION("""COMPUTED_VALUE"""),"Belgium, France, Germany, Italy, Netherlands, Spain, Sweden, Switzerland, United Kingdom")</f>
        <v/>
      </c>
      <c r="N1575" s="1">
        <f>IFERROR(__xludf.DUMMYFUNCTION("""COMPUTED_VALUE"""),"11 to 50")</f>
        <v/>
      </c>
      <c r="O1575" s="1">
        <f>IFERROR(__xludf.DUMMYFUNCTION("""COMPUTED_VALUE"""),"Business to Business")</f>
        <v/>
      </c>
      <c r="P1575" s="1">
        <f>IFERROR(__xludf.DUMMYFUNCTION("""COMPUTED_VALUE"""),"Early childhood development (0-5 years), Primary Education, Secondary Education, Higher Education")</f>
        <v/>
      </c>
      <c r="Q1575" s="1">
        <f>IFERROR(__xludf.DUMMYFUNCTION("""COMPUTED_VALUE"""),"Student interfacing, Teacher interfacing, System/Administrative")</f>
        <v/>
      </c>
      <c r="R1575" s="1">
        <f>IFERROR(__xludf.DUMMYFUNCTION("""COMPUTED_VALUE"""),"buddyrobotics")</f>
        <v/>
      </c>
      <c r="S1575" s="1">
        <f>IFERROR(__xludf.DUMMYFUNCTION("""COMPUTED_VALUE"""),"adoptbuddy")</f>
        <v/>
      </c>
      <c r="T1575" s="15">
        <f>IFERROR(__xludf.DUMMYFUNCTION("""COMPUTED_VALUE"""),"https://www.linkedin.com/company/bluefrogrobotics")</f>
        <v/>
      </c>
      <c r="U1575" s="1">
        <f>IFERROR(__xludf.DUMMYFUNCTION("""COMPUTED_VALUE"""),"BUDDY, THE EDUCATIONAL ROBOT")</f>
        <v/>
      </c>
      <c r="V1575" s="1">
        <f>IFERROR(__xludf.DUMMYFUNCTION("""COMPUTED_VALUE"""),"Buddy Educational Robot provides meaningful 21st century education in the classroom through interactive and immersive learning experiences. Buddy makes learning more impactful and playful at every level of education from preschool through to higher educat"&amp;"ion, including distance learning for students that are unable to physically attend school and education of children with behavioral and autism spectrum disorders. Buddy allows the teacher to start fun activities around programming. It is also an advanced "&amp;"development platform for application projects in higher education.")</f>
        <v/>
      </c>
      <c r="W1575" s="1">
        <f>IFERROR(__xludf.DUMMYFUNCTION("""COMPUTED_VALUE"""),"BUDDY, THE AVATAR OF SICK CHILDREN")</f>
        <v/>
      </c>
      <c r="X1575" s="1">
        <f>IFERROR(__xludf.DUMMYFUNCTION("""COMPUTED_VALUE"""),"Buddy brings education and school to children in hospitals or long-term care and helps them feel represented in a unique way when they are unable to physically attend school. Set up in the classroom, Buddy becomes their avatar, allowing them to take dista"&amp;"nce courses and to interact by adding movements, emotions and life to the communications. Students feel empowered with a highly engaging virtual presence. They can participate in classroom discussions, move around classroom and playground, socialize with "&amp;"their classmates.")</f>
        <v/>
      </c>
      <c r="Y1575" s="15">
        <f>IFERROR(__xludf.DUMMYFUNCTION("""COMPUTED_VALUE"""),"https://drive.google.com/uc?export=view&amp;id=1Xx2VlMDxUvQFP6UnoWkOwU94zFq29uQF")</f>
        <v/>
      </c>
      <c r="Z1575" s="1">
        <f>IFERROR(__xludf.DUMMYFUNCTION("""COMPUTED_VALUE"""),"Unverified")</f>
        <v/>
      </c>
      <c r="AA1575" s="1" t="n"/>
      <c r="AB1575" s="1" t="n"/>
      <c r="AC1575" s="1" t="n"/>
      <c r="AD1575" s="1" t="n"/>
      <c r="AE1575" s="1" t="n"/>
    </row>
    <row r="1576" ht="42" customHeight="1">
      <c r="A1576" s="14">
        <f>IFERROR(__xludf.DUMMYFUNCTION("""COMPUTED_VALUE"""),45181)</f>
        <v/>
      </c>
      <c r="B1576" s="1">
        <f>IFERROR(__xludf.DUMMYFUNCTION("""COMPUTED_VALUE"""),"ORG_1222")</f>
        <v/>
      </c>
      <c r="C1576" s="1">
        <f>IFERROR(__xludf.DUMMYFUNCTION("""COMPUTED_VALUE"""),TRUE)</f>
        <v/>
      </c>
      <c r="D1576" s="1">
        <f>IFERROR(__xludf.DUMMYFUNCTION("""COMPUTED_VALUE"""),"CatnClever")</f>
        <v/>
      </c>
      <c r="E1576" s="15">
        <f>IFERROR(__xludf.DUMMYFUNCTION("""COMPUTED_VALUE"""),"https://www.catnclever.com/")</f>
        <v/>
      </c>
      <c r="F1576" s="1">
        <f>IFERROR(__xludf.DUMMYFUNCTION("""COMPUTED_VALUE"""),"We are a Swiss EdTech start-up based in St. Gallen, founded 2021. 
We develop a gamified learning platform for pre-schoolers – CatnClever. 
It is a math and literacy app that uses AI to create interactive games that give children head start at school and"&amp;" in life. 
CatnClever incorporates social and emotional learning, body movement and music. It introduces young children to essential foundational concepts in academic subjects, while also helping them develop important non-academic competencies. AI enable"&amp;"d adaptive learning platform personalizes users' learning journey and provides parents with data on child's progress.
Our enthusiastic, multidisciplinary team includes software engineers, educators, storytellers, illustrators, actors and musicians from E"&amp;"urope and the Americas. 
We are convinced that digital learning will increasingly be part of upbringing and will support the education of our children. That is why we think that a sensitive early entry into the digital world is immensely important.")</f>
        <v/>
      </c>
      <c r="G1576" s="1">
        <f>IFERROR(__xludf.DUMMYFUNCTION("""COMPUTED_VALUE"""),"Swiss EdTech Collider")</f>
        <v/>
      </c>
      <c r="H1576" s="1">
        <f>IFERROR(__xludf.DUMMYFUNCTION("""COMPUTED_VALUE"""),"German, English, Ukrainian")</f>
        <v/>
      </c>
      <c r="I1576" s="1">
        <f>IFERROR(__xludf.DUMMYFUNCTION("""COMPUTED_VALUE"""),"hello@catnclever.com")</f>
        <v/>
      </c>
      <c r="J1576" s="1" t="n"/>
      <c r="K1576" s="1">
        <f>IFERROR(__xludf.DUMMYFUNCTION("""COMPUTED_VALUE"""),"ST. GALLEN")</f>
        <v/>
      </c>
      <c r="L1576" s="1">
        <f>IFERROR(__xludf.DUMMYFUNCTION("""COMPUTED_VALUE"""),"Switzerland")</f>
        <v/>
      </c>
      <c r="M1576" s="1">
        <f>IFERROR(__xludf.DUMMYFUNCTION("""COMPUTED_VALUE"""),"Austria, Germany, Liechtenstein, Switzerland, Ukraine, United Kingdom")</f>
        <v/>
      </c>
      <c r="N1576" s="1">
        <f>IFERROR(__xludf.DUMMYFUNCTION("""COMPUTED_VALUE"""),"6 to 10")</f>
        <v/>
      </c>
      <c r="O1576" s="1">
        <f>IFERROR(__xludf.DUMMYFUNCTION("""COMPUTED_VALUE"""),"Business to Business")</f>
        <v/>
      </c>
      <c r="P1576" s="1">
        <f>IFERROR(__xludf.DUMMYFUNCTION("""COMPUTED_VALUE"""),"Early childhood development (0-5 years), Primary Education")</f>
        <v/>
      </c>
      <c r="Q1576" s="1">
        <f>IFERROR(__xludf.DUMMYFUNCTION("""COMPUTED_VALUE"""),"System/Administrative, Student interfacing")</f>
        <v/>
      </c>
      <c r="R1576" s="1" t="n"/>
      <c r="S1576" s="1" t="n"/>
      <c r="T1576" s="1" t="n"/>
      <c r="U1576" s="1">
        <f>IFERROR(__xludf.DUMMYFUNCTION("""COMPUTED_VALUE"""),"CatnClever")</f>
        <v/>
      </c>
      <c r="V1576" s="1">
        <f>IFERROR(__xludf.DUMMYFUNCTION("""COMPUTED_VALUE"""),"At Clever Forever Education, we believe that preschool children should be supported when entering the digital world. They shall have fun and play and also be motivated to learn and to get to know the world. Parents, in turn, shall feel ensured that their "&amp;"child will only see safe, appropriate and ad-free content. In our first app, CatnClever, interactive games and exercises foster basic skills like counting, spelling and spatial thinking but the child will also be supported in feeling empathetically, takin"&amp;"g care of the environment and in having a sense for equality between genders and cultures. Each exercise has been developed based on pedagogical standards and is adjusted in perspective to the child's learning progress. CatnClever is the first app by Clev"&amp;"er Forever Education, a Swiss start-up that wants to make the idea of lifelong learning a little easier with digital products.")</f>
        <v/>
      </c>
      <c r="W1576" s="1" t="n"/>
      <c r="X1576" s="1" t="n"/>
      <c r="Y1576" s="15">
        <f>IFERROR(__xludf.DUMMYFUNCTION("""COMPUTED_VALUE"""),"https://drive.google.com/uc?export=view&amp;id=1c4JCwPFoK0AHTcC_qoTR4hC9pH9JuSe4")</f>
        <v/>
      </c>
      <c r="Z1576" s="1">
        <f>IFERROR(__xludf.DUMMYFUNCTION("""COMPUTED_VALUE"""),"Unverified")</f>
        <v/>
      </c>
      <c r="AA1576" s="1" t="n"/>
      <c r="AB1576" s="1" t="n"/>
      <c r="AC1576" s="1" t="n"/>
      <c r="AD1576" s="1" t="n"/>
      <c r="AE1576" s="1" t="n"/>
    </row>
    <row r="1577" ht="42" customHeight="1">
      <c r="A1577" s="14">
        <f>IFERROR(__xludf.DUMMYFUNCTION("""COMPUTED_VALUE"""),45181)</f>
        <v/>
      </c>
      <c r="B1577" s="1">
        <f>IFERROR(__xludf.DUMMYFUNCTION("""COMPUTED_VALUE"""),"ORG_1251")</f>
        <v/>
      </c>
      <c r="C1577" s="1">
        <f>IFERROR(__xludf.DUMMYFUNCTION("""COMPUTED_VALUE"""),TRUE)</f>
        <v/>
      </c>
      <c r="D1577" s="1">
        <f>IFERROR(__xludf.DUMMYFUNCTION("""COMPUTED_VALUE"""),"Classninjas")</f>
        <v/>
      </c>
      <c r="E1577" s="15">
        <f>IFERROR(__xludf.DUMMYFUNCTION("""COMPUTED_VALUE"""),"https://www.classninjas.com/")</f>
        <v/>
      </c>
      <c r="F1577" s="1">
        <f>IFERROR(__xludf.DUMMYFUNCTION("""COMPUTED_VALUE"""),"Classninjas aims to provide the best education content in mathematics on relevant digital platforms. Our company offers a wide variety of math content on TikTok, YouTube, Instagram and on a mobile app, both for iOS and Android.")</f>
        <v/>
      </c>
      <c r="G1577" s="1">
        <f>IFERROR(__xludf.DUMMYFUNCTION("""COMPUTED_VALUE"""),"I'm not part of any EdTech association")</f>
        <v/>
      </c>
      <c r="H1577" s="1" t="n"/>
      <c r="I1577" s="1">
        <f>IFERROR(__xludf.DUMMYFUNCTION("""COMPUTED_VALUE"""),"team@classninjas.com")</f>
        <v/>
      </c>
      <c r="J1577" s="1">
        <f>IFERROR(__xludf.DUMMYFUNCTION("""COMPUTED_VALUE"""),"4369918049811")</f>
        <v/>
      </c>
      <c r="K1577" s="1">
        <f>IFERROR(__xludf.DUMMYFUNCTION("""COMPUTED_VALUE"""),"VIENNA")</f>
        <v/>
      </c>
      <c r="L1577" s="1">
        <f>IFERROR(__xludf.DUMMYFUNCTION("""COMPUTED_VALUE"""),"Austria")</f>
        <v/>
      </c>
      <c r="M1577" s="1">
        <f>IFERROR(__xludf.DUMMYFUNCTION("""COMPUTED_VALUE"""),"Austria, Germany, Switzerland")</f>
        <v/>
      </c>
      <c r="N1577" s="1">
        <f>IFERROR(__xludf.DUMMYFUNCTION("""COMPUTED_VALUE"""),"0 to 10")</f>
        <v/>
      </c>
      <c r="O1577" s="1">
        <f>IFERROR(__xludf.DUMMYFUNCTION("""COMPUTED_VALUE"""),"Business to Business")</f>
        <v/>
      </c>
      <c r="P1577" s="1">
        <f>IFERROR(__xludf.DUMMYFUNCTION("""COMPUTED_VALUE"""),"Secondary Education")</f>
        <v/>
      </c>
      <c r="Q1577" s="1">
        <f>IFERROR(__xludf.DUMMYFUNCTION("""COMPUTED_VALUE"""),"Student interfacing, Teacher interfacing, System/Administrative")</f>
        <v/>
      </c>
      <c r="R1577" s="1">
        <f>IFERROR(__xludf.DUMMYFUNCTION("""COMPUTED_VALUE"""),"classninjas")</f>
        <v/>
      </c>
      <c r="S1577" s="1" t="n"/>
      <c r="T1577" s="15">
        <f>IFERROR(__xludf.DUMMYFUNCTION("""COMPUTED_VALUE"""),"https://www.linkedin.com/company/classninjas/")</f>
        <v/>
      </c>
      <c r="U1577" s="1">
        <f>IFERROR(__xludf.DUMMYFUNCTION("""COMPUTED_VALUE"""),"Classninjas App")</f>
        <v/>
      </c>
      <c r="V1577" s="1">
        <f>IFERROR(__xludf.DUMMYFUNCTION("""COMPUTED_VALUE"""),"Math learning app that allows watching learning videos, doing quizzes and simulating tests from NMS/AHS-Unterstufe to A-levels. Entire app is free for parents and students and available a homework tool for teachers for a yearly fee.")</f>
        <v/>
      </c>
      <c r="W1577" s="1">
        <f>IFERROR(__xludf.DUMMYFUNCTION("""COMPUTED_VALUE"""),"Social Media")</f>
        <v/>
      </c>
      <c r="X1577" s="1">
        <f>IFERROR(__xludf.DUMMYFUNCTION("""COMPUTED_VALUE"""),"We offer entertaining and educational content on TikTok, YouTube and Instagram on an almost daily routine. All of our social media platforms combined reach 500.000 students on average per month.")</f>
        <v/>
      </c>
      <c r="Y1577" s="15">
        <f>IFERROR(__xludf.DUMMYFUNCTION("""COMPUTED_VALUE"""),"https://drive.google.com/uc?export=view&amp;id=1qColL1Ml0T535yc1xwANJoJnsUXZ_RKF")</f>
        <v/>
      </c>
      <c r="Z1577" s="1">
        <f>IFERROR(__xludf.DUMMYFUNCTION("""COMPUTED_VALUE"""),"Unverified")</f>
        <v/>
      </c>
      <c r="AA1577" s="1" t="n"/>
      <c r="AB1577" s="1" t="n"/>
      <c r="AC1577" s="1" t="n"/>
      <c r="AD1577" s="1" t="n"/>
      <c r="AE1577" s="1" t="n"/>
    </row>
    <row r="1578" ht="42" customHeight="1">
      <c r="A1578" s="14">
        <f>IFERROR(__xludf.DUMMYFUNCTION("""COMPUTED_VALUE"""),45181)</f>
        <v/>
      </c>
      <c r="B1578" s="1">
        <f>IFERROR(__xludf.DUMMYFUNCTION("""COMPUTED_VALUE"""),"ORG_1313")</f>
        <v/>
      </c>
      <c r="C1578" s="1">
        <f>IFERROR(__xludf.DUMMYFUNCTION("""COMPUTED_VALUE"""),TRUE)</f>
        <v/>
      </c>
      <c r="D1578" s="1">
        <f>IFERROR(__xludf.DUMMYFUNCTION("""COMPUTED_VALUE"""),"CrocosGoDigital")</f>
        <v/>
      </c>
      <c r="E1578" s="15">
        <f>IFERROR(__xludf.DUMMYFUNCTION("""COMPUTED_VALUE"""),"www.crocosgodigital.com")</f>
        <v/>
      </c>
      <c r="F1578" s="1">
        <f>IFERROR(__xludf.DUMMYFUNCTION("""COMPUTED_VALUE"""),"Mixing Neurosciences &amp; AI and scientific based, CrocosGoDigital develops a leading platform to Stimulate cognitive &amp; learning functions for Children (6-15), helping pre-detection of strengths &amp; weaknesses, and follow-up their progresses. 
CrocosGoDigital "&amp;"serve Schools, City Halls, Hospitals,... for over 20,000 children, and is fully adapted for NDD Children.
With multiple winning awards and patents pending, CrocosGoDigital is leading innovation in the neuro-education space, impacting significantly childre"&amp;"n learning capacities.")</f>
        <v/>
      </c>
      <c r="G1578" s="1">
        <f>IFERROR(__xludf.DUMMYFUNCTION("""COMPUTED_VALUE"""),"EdTech France")</f>
        <v/>
      </c>
      <c r="H1578" s="1" t="n"/>
      <c r="I1578" s="1">
        <f>IFERROR(__xludf.DUMMYFUNCTION("""COMPUTED_VALUE"""),"contact@crocosgodigital.com")</f>
        <v/>
      </c>
      <c r="J1578" s="1">
        <f>IFERROR(__xludf.DUMMYFUNCTION("""COMPUTED_VALUE"""),"+33777852993")</f>
        <v/>
      </c>
      <c r="K1578" s="1">
        <f>IFERROR(__xludf.DUMMYFUNCTION("""COMPUTED_VALUE"""),"MARSEILLE")</f>
        <v/>
      </c>
      <c r="L1578" s="1">
        <f>IFERROR(__xludf.DUMMYFUNCTION("""COMPUTED_VALUE"""),"France")</f>
        <v/>
      </c>
      <c r="M1578" s="1">
        <f>IFERROR(__xludf.DUMMYFUNCTION("""COMPUTED_VALUE"""),"France")</f>
        <v/>
      </c>
      <c r="N1578" s="1">
        <f>IFERROR(__xludf.DUMMYFUNCTION("""COMPUTED_VALUE"""),"11 to 50")</f>
        <v/>
      </c>
      <c r="O1578" s="1">
        <f>IFERROR(__xludf.DUMMYFUNCTION("""COMPUTED_VALUE"""),"Business to Business")</f>
        <v/>
      </c>
      <c r="P1578" s="1">
        <f>IFERROR(__xludf.DUMMYFUNCTION("""COMPUTED_VALUE"""),"Primary Education, Secondary Education")</f>
        <v/>
      </c>
      <c r="Q1578" s="1">
        <f>IFERROR(__xludf.DUMMYFUNCTION("""COMPUTED_VALUE"""),"System/Administrative, Student interfacing, Teacher interfacing")</f>
        <v/>
      </c>
      <c r="R1578" s="1" t="n"/>
      <c r="S1578" s="1" t="n"/>
      <c r="T1578" s="1" t="n"/>
      <c r="U1578" s="1">
        <f>IFERROR(__xludf.DUMMYFUNCTION("""COMPUTED_VALUE"""),"Crocos-STIM")</f>
        <v/>
      </c>
      <c r="V1578" s="1">
        <f>IFERROR(__xludf.DUMMYFUNCTION("""COMPUTED_VALUE"""),"Crocos-STIM is a set of hundreds of cognitive stimulation workshops (1h based), using robots/drones/... coding and other ludo-educative activities, full designed by our Neuro-specialists and research lab partners, to stimulate cognitive &amp; learning functio"&amp;"ns of children.")</f>
        <v/>
      </c>
      <c r="W1578" s="1">
        <f>IFERROR(__xludf.DUMMYFUNCTION("""COMPUTED_VALUE"""),"Crocos-MAP")</f>
        <v/>
      </c>
      <c r="X1578" s="1">
        <f>IFERROR(__xludf.DUMMYFUNCTION("""COMPUTED_VALUE"""),"Crocos-MAP is a set of intense cognitive stimulation workshops that helps to notice child behaviour, strengths and weaknesses, and follow up progresses.")</f>
        <v/>
      </c>
      <c r="Y1578" s="15">
        <f>IFERROR(__xludf.DUMMYFUNCTION("""COMPUTED_VALUE"""),"https://drive.google.com/uc?export=view&amp;id=1U9D7pPksCKxNCt4rVcObuAHPr1FwhqgV")</f>
        <v/>
      </c>
      <c r="Z1578" s="1">
        <f>IFERROR(__xludf.DUMMYFUNCTION("""COMPUTED_VALUE"""),"Unverified")</f>
        <v/>
      </c>
      <c r="AA1578" s="1" t="n"/>
      <c r="AB1578" s="1" t="n"/>
      <c r="AC1578" s="1" t="n"/>
      <c r="AD1578" s="1" t="n"/>
      <c r="AE1578" s="1" t="n"/>
    </row>
    <row r="1579" ht="42" customHeight="1">
      <c r="A1579" s="14">
        <f>IFERROR(__xludf.DUMMYFUNCTION("""COMPUTED_VALUE"""),45181)</f>
        <v/>
      </c>
      <c r="B1579" s="1">
        <f>IFERROR(__xludf.DUMMYFUNCTION("""COMPUTED_VALUE"""),"ORG_1325")</f>
        <v/>
      </c>
      <c r="C1579" s="1">
        <f>IFERROR(__xludf.DUMMYFUNCTION("""COMPUTED_VALUE"""),TRUE)</f>
        <v/>
      </c>
      <c r="D1579" s="1">
        <f>IFERROR(__xludf.DUMMYFUNCTION("""COMPUTED_VALUE"""),"D.D. INTERNATIONAL srl - Programma Doppio Diploma")</f>
        <v/>
      </c>
      <c r="E1579" s="15">
        <f>IFERROR(__xludf.DUMMYFUNCTION("""COMPUTED_VALUE"""),"www.materdoppiodiploma.it")</f>
        <v/>
      </c>
      <c r="F1579" s="1">
        <f>IFERROR(__xludf.DUMMYFUNCTION("""COMPUTED_VALUE"""),"The Dual Diploma Program - Mater Academy allows students around the world to earn a US High School Diploma while simultaneously completing high school in their country of origin. The purpose is to provide an additional competitive advantage to these stude"&amp;"nts by fostering the development of self-directed and responsible 21st century life-long learners through the thoughtful use of interactive, media-rich educational opportunities in a flexible, student-centered, virtual learning environment.")</f>
        <v/>
      </c>
      <c r="G1579" s="1">
        <f>IFERROR(__xludf.DUMMYFUNCTION("""COMPUTED_VALUE"""),"I'm not part of any EdTech association")</f>
        <v/>
      </c>
      <c r="H1579" s="1" t="n"/>
      <c r="I1579" s="1">
        <f>IFERROR(__xludf.DUMMYFUNCTION("""COMPUTED_VALUE"""),"info@materdoppiodiploma.it")</f>
        <v/>
      </c>
      <c r="J1579" s="1">
        <f>IFERROR(__xludf.DUMMYFUNCTION("""COMPUTED_VALUE"""),"+390458033734")</f>
        <v/>
      </c>
      <c r="K1579" s="1">
        <f>IFERROR(__xludf.DUMMYFUNCTION("""COMPUTED_VALUE"""),"VERONA")</f>
        <v/>
      </c>
      <c r="L1579" s="1">
        <f>IFERROR(__xludf.DUMMYFUNCTION("""COMPUTED_VALUE"""),"Italy")</f>
        <v/>
      </c>
      <c r="M1579" s="1">
        <f>IFERROR(__xludf.DUMMYFUNCTION("""COMPUTED_VALUE"""),"Austria, Italy")</f>
        <v/>
      </c>
      <c r="N1579" s="1">
        <f>IFERROR(__xludf.DUMMYFUNCTION("""COMPUTED_VALUE"""),"0 to 10")</f>
        <v/>
      </c>
      <c r="O1579" s="1">
        <f>IFERROR(__xludf.DUMMYFUNCTION("""COMPUTED_VALUE"""),"Business to Business")</f>
        <v/>
      </c>
      <c r="P1579" s="1">
        <f>IFERROR(__xludf.DUMMYFUNCTION("""COMPUTED_VALUE"""),"Secondary Education")</f>
        <v/>
      </c>
      <c r="Q1579" s="1">
        <f>IFERROR(__xludf.DUMMYFUNCTION("""COMPUTED_VALUE"""),"System/Administrative, Student interfacing, Teacher interfacing")</f>
        <v/>
      </c>
      <c r="R1579" s="1">
        <f>IFERROR(__xludf.DUMMYFUNCTION("""COMPUTED_VALUE"""),"doppio.diploma")</f>
        <v/>
      </c>
      <c r="S1579" s="1" t="n"/>
      <c r="T1579" s="1" t="n"/>
      <c r="U1579" s="1">
        <f>IFERROR(__xludf.DUMMYFUNCTION("""COMPUTED_VALUE"""),"Programma Doppio Diploma Italia-USA Mater Academy")</f>
        <v/>
      </c>
      <c r="V1579" s="1">
        <f>IFERROR(__xludf.DUMMYFUNCTION("""COMPUTED_VALUE"""),"The Dual Diploma Program - Mater Academy allows students around the world to earn a US High School Diploma while simultaneously completing high school in their country of origin. The purpose is to provide an additional competitive advantage to these stude"&amp;"nts by fostering the development of self-directed and responsible 21st century life-long learners through the thoughtful use of interactive, media-rich educational opportunities in a flexible, student-centered, virtual learning environment.")</f>
        <v/>
      </c>
      <c r="W1579" s="1" t="n"/>
      <c r="X1579" s="1" t="n"/>
      <c r="Y1579" s="15">
        <f>IFERROR(__xludf.DUMMYFUNCTION("""COMPUTED_VALUE"""),"https://drive.google.com/uc?export=view&amp;id=1LlR2LOyAudD4-PexIkGLcnfH3sqGaZvA")</f>
        <v/>
      </c>
      <c r="Z1579" s="1">
        <f>IFERROR(__xludf.DUMMYFUNCTION("""COMPUTED_VALUE"""),"Unverified")</f>
        <v/>
      </c>
      <c r="AA1579" s="1" t="n"/>
      <c r="AB1579" s="1" t="n"/>
      <c r="AC1579" s="1" t="n"/>
      <c r="AD1579" s="1" t="n"/>
      <c r="AE1579" s="1" t="n"/>
    </row>
    <row r="1580" ht="42" customHeight="1">
      <c r="A1580" s="14">
        <f>IFERROR(__xludf.DUMMYFUNCTION("""COMPUTED_VALUE"""),45181)</f>
        <v/>
      </c>
      <c r="B1580" s="1">
        <f>IFERROR(__xludf.DUMMYFUNCTION("""COMPUTED_VALUE"""),"ORG_1369")</f>
        <v/>
      </c>
      <c r="C1580" s="1">
        <f>IFERROR(__xludf.DUMMYFUNCTION("""COMPUTED_VALUE"""),TRUE)</f>
        <v/>
      </c>
      <c r="D1580" s="1">
        <f>IFERROR(__xludf.DUMMYFUNCTION("""COMPUTED_VALUE"""),"Docendum®")</f>
        <v/>
      </c>
      <c r="E1580" s="15">
        <f>IFERROR(__xludf.DUMMYFUNCTION("""COMPUTED_VALUE"""),"www.docendum.it")</f>
        <v/>
      </c>
      <c r="F1580" s="1">
        <f>IFERROR(__xludf.DUMMYFUNCTION("""COMPUTED_VALUE"""),"Docendum is the Italian leader in coding, robotics and digital citizenship training in schools.")</f>
        <v/>
      </c>
      <c r="G1580" s="1">
        <f>IFERROR(__xludf.DUMMYFUNCTION("""COMPUTED_VALUE"""),"EdTech Italia")</f>
        <v/>
      </c>
      <c r="H1580" s="1" t="n"/>
      <c r="I1580" s="1">
        <f>IFERROR(__xludf.DUMMYFUNCTION("""COMPUTED_VALUE"""),"daniele.angeloni@docendum.it")</f>
        <v/>
      </c>
      <c r="J1580" s="1">
        <f>IFERROR(__xludf.DUMMYFUNCTION("""COMPUTED_VALUE"""),"+393474318190")</f>
        <v/>
      </c>
      <c r="K1580" s="1">
        <f>IFERROR(__xludf.DUMMYFUNCTION("""COMPUTED_VALUE"""),"Roma")</f>
        <v/>
      </c>
      <c r="L1580" s="1">
        <f>IFERROR(__xludf.DUMMYFUNCTION("""COMPUTED_VALUE"""),"Italy")</f>
        <v/>
      </c>
      <c r="M1580" s="1">
        <f>IFERROR(__xludf.DUMMYFUNCTION("""COMPUTED_VALUE"""),"Italy")</f>
        <v/>
      </c>
      <c r="N1580" s="1">
        <f>IFERROR(__xludf.DUMMYFUNCTION("""COMPUTED_VALUE"""),"0 to 10")</f>
        <v/>
      </c>
      <c r="O1580" s="1">
        <f>IFERROR(__xludf.DUMMYFUNCTION("""COMPUTED_VALUE"""),"Business to Business, Business to Consumer")</f>
        <v/>
      </c>
      <c r="P1580" s="1">
        <f>IFERROR(__xludf.DUMMYFUNCTION("""COMPUTED_VALUE"""),"Primary Education, Secondary Education, Lifelong learning/Adult education")</f>
        <v/>
      </c>
      <c r="Q1580" s="1">
        <f>IFERROR(__xludf.DUMMYFUNCTION("""COMPUTED_VALUE"""),"System/Administrative, Student interfacing, Teacher interfacing")</f>
        <v/>
      </c>
      <c r="R1580" s="15">
        <f>IFERROR(__xludf.DUMMYFUNCTION("""COMPUTED_VALUE"""),"https://www.instagram.com/docendum/")</f>
        <v/>
      </c>
      <c r="S1580" s="1">
        <f>IFERROR(__xludf.DUMMYFUNCTION("""COMPUTED_VALUE"""),"Docendum srl")</f>
        <v/>
      </c>
      <c r="T1580" s="15">
        <f>IFERROR(__xludf.DUMMYFUNCTION("""COMPUTED_VALUE"""),"https://www.linkedin.com/company/10153088/")</f>
        <v/>
      </c>
      <c r="U1580" s="1">
        <f>IFERROR(__xludf.DUMMYFUNCTION("""COMPUTED_VALUE"""),"Coding in schools")</f>
        <v/>
      </c>
      <c r="V1580" s="1">
        <f>IFERROR(__xludf.DUMMYFUNCTION("""COMPUTED_VALUE"""),"We teach coding in Italian schools. With more than 15,000 pupils trained in coding, we are the industry leader.")</f>
        <v/>
      </c>
      <c r="W1580" s="1" t="n"/>
      <c r="X1580" s="1" t="n"/>
      <c r="Y1580" s="15">
        <f>IFERROR(__xludf.DUMMYFUNCTION("""COMPUTED_VALUE"""),"https://drive.google.com/uc?export=view&amp;id=1ebK1zFh7dTJzTbCVy3VhL6rj5HU7Vo5r")</f>
        <v/>
      </c>
      <c r="Z1580" s="1">
        <f>IFERROR(__xludf.DUMMYFUNCTION("""COMPUTED_VALUE"""),"Unverified")</f>
        <v/>
      </c>
      <c r="AA1580" s="1" t="n"/>
      <c r="AB1580" s="1" t="n"/>
      <c r="AC1580" s="1" t="n"/>
      <c r="AD1580" s="1" t="n"/>
      <c r="AE1580" s="1" t="n"/>
    </row>
    <row r="1581" ht="42" customHeight="1">
      <c r="A1581" s="14">
        <f>IFERROR(__xludf.DUMMYFUNCTION("""COMPUTED_VALUE"""),45181)</f>
        <v/>
      </c>
      <c r="B1581" s="1">
        <f>IFERROR(__xludf.DUMMYFUNCTION("""COMPUTED_VALUE"""),"ORG_1511")</f>
        <v/>
      </c>
      <c r="C1581" s="1">
        <f>IFERROR(__xludf.DUMMYFUNCTION("""COMPUTED_VALUE"""),TRUE)</f>
        <v/>
      </c>
      <c r="D1581" s="1">
        <f>IFERROR(__xludf.DUMMYFUNCTION("""COMPUTED_VALUE"""),"Escuelab")</f>
        <v/>
      </c>
      <c r="E1581" s="15">
        <f>IFERROR(__xludf.DUMMYFUNCTION("""COMPUTED_VALUE"""),"www.escuelab.es")</f>
        <v/>
      </c>
      <c r="F1581" s="1">
        <f>IFERROR(__xludf.DUMMYFUNCTION("""COMPUTED_VALUE"""),"Escuelab is a social business that democratizes access to a hands-on, interactive STEAM education developing skills for the future in children regardless of their socio-economic situation, both through direct activities and by online teacher-training.")</f>
        <v/>
      </c>
      <c r="G1581" s="1">
        <f>IFERROR(__xludf.DUMMYFUNCTION("""COMPUTED_VALUE"""),"SEK Lab")</f>
        <v/>
      </c>
      <c r="H1581" s="1" t="n"/>
      <c r="I1581" s="1">
        <f>IFERROR(__xludf.DUMMYFUNCTION("""COMPUTED_VALUE"""),"contacto@escuelab.es")</f>
        <v/>
      </c>
      <c r="J1581" s="1">
        <f>IFERROR(__xludf.DUMMYFUNCTION("""COMPUTED_VALUE"""),"+34665135263")</f>
        <v/>
      </c>
      <c r="K1581" s="1">
        <f>IFERROR(__xludf.DUMMYFUNCTION("""COMPUTED_VALUE"""),"Madrid")</f>
        <v/>
      </c>
      <c r="L1581" s="1">
        <f>IFERROR(__xludf.DUMMYFUNCTION("""COMPUTED_VALUE"""),"Spain")</f>
        <v/>
      </c>
      <c r="M1581" s="1">
        <f>IFERROR(__xludf.DUMMYFUNCTION("""COMPUTED_VALUE"""),"Spain")</f>
        <v/>
      </c>
      <c r="N1581" s="1">
        <f>IFERROR(__xludf.DUMMYFUNCTION("""COMPUTED_VALUE"""),"0 to 10")</f>
        <v/>
      </c>
      <c r="O1581" s="1">
        <f>IFERROR(__xludf.DUMMYFUNCTION("""COMPUTED_VALUE"""),"Business to Business, Business to Consumer")</f>
        <v/>
      </c>
      <c r="P1581" s="1">
        <f>IFERROR(__xludf.DUMMYFUNCTION("""COMPUTED_VALUE"""),"Early childhood development (0-5 years), Primary Education")</f>
        <v/>
      </c>
      <c r="Q1581" s="1">
        <f>IFERROR(__xludf.DUMMYFUNCTION("""COMPUTED_VALUE"""),"System/Administrative, Student interfacing, Teacher interfacing")</f>
        <v/>
      </c>
      <c r="R1581" s="15">
        <f>IFERROR(__xludf.DUMMYFUNCTION("""COMPUTED_VALUE"""),"https://instagram.com/escuelab.innov.educ")</f>
        <v/>
      </c>
      <c r="S1581" s="15">
        <f>IFERROR(__xludf.DUMMYFUNCTION("""COMPUTED_VALUE"""),"https://twitter.com/EscuelabMadrid")</f>
        <v/>
      </c>
      <c r="T1581" s="15">
        <f>IFERROR(__xludf.DUMMYFUNCTION("""COMPUTED_VALUE"""),"https://www.linkedin.com/company/escuelab")</f>
        <v/>
      </c>
      <c r="U1581" s="1">
        <f>IFERROR(__xludf.DUMMYFUNCTION("""COMPUTED_VALUE"""),"Escuelab Platform")</f>
        <v/>
      </c>
      <c r="V1581" s="1">
        <f>IFERROR(__xludf.DUMMYFUNCTION("""COMPUTED_VALUE"""),"Escuelab is a social enterprise that democratizes access to practical, interactive science education, fostering STEM vocations and skills for the future amongst 4-14 year-olds. We have designed a methodology based on neuro-education research. Since 2015 w"&amp;"e apply it in-person activities with children and teachers. In 2018 we started packaging our materials into an online platform for primary school teachers, who multiply the impact of our work by using it in the classroom, potentially reaching all schools "&amp;"with internet access in the world. W also used it directly with students during remote learning in 2020.  
We adjust our prizing policies to the socio-economic level of attending students, with a scholarship scheme for students at risk of socio-economic v"&amp;"ulnerability to attend our programs free of cost. We sell our services to private schools and the public school administration, companies interested in improving employee work-life balance, and individual parents and teachers.")</f>
        <v/>
      </c>
      <c r="W1581" s="1" t="n"/>
      <c r="X1581" s="1" t="n"/>
      <c r="Y1581" s="15">
        <f>IFERROR(__xludf.DUMMYFUNCTION("""COMPUTED_VALUE"""),"https://drive.google.com/uc?export=view&amp;id=18WlyZcBQJkaprvVmBc9z-tIkxQT5m6QK")</f>
        <v/>
      </c>
      <c r="Z1581" s="1">
        <f>IFERROR(__xludf.DUMMYFUNCTION("""COMPUTED_VALUE"""),"Unverified")</f>
        <v/>
      </c>
      <c r="AA1581" s="1" t="n"/>
      <c r="AB1581" s="1" t="n"/>
      <c r="AC1581" s="1" t="n"/>
      <c r="AD1581" s="1" t="n"/>
      <c r="AE1581" s="1" t="n"/>
    </row>
    <row r="1582" ht="42" customHeight="1">
      <c r="A1582" s="14">
        <f>IFERROR(__xludf.DUMMYFUNCTION("""COMPUTED_VALUE"""),45181)</f>
        <v/>
      </c>
      <c r="B1582" s="1">
        <f>IFERROR(__xludf.DUMMYFUNCTION("""COMPUTED_VALUE"""),"ORG_1550")</f>
        <v/>
      </c>
      <c r="C1582" s="1">
        <f>IFERROR(__xludf.DUMMYFUNCTION("""COMPUTED_VALUE"""),TRUE)</f>
        <v/>
      </c>
      <c r="D1582" s="1">
        <f>IFERROR(__xludf.DUMMYFUNCTION("""COMPUTED_VALUE"""),"Fabula Games")</f>
        <v/>
      </c>
      <c r="E1582" s="15">
        <f>IFERROR(__xludf.DUMMYFUNCTION("""COMPUTED_VALUE"""),"www.fabula-games.de")</f>
        <v/>
      </c>
      <c r="F1582" s="1">
        <f>IFERROR(__xludf.DUMMYFUNCTION("""COMPUTED_VALUE"""),"Fabula Game is expert in Serious Games and Gamification. That’s why we focus exclusively on making digital training interactive, motivating and playful — and significantly more effective. For you. For your employees. For your success.
Whether you need a "&amp;"ready-made Serious Game or one especially designed for your needs: we cover the whole range.")</f>
        <v/>
      </c>
      <c r="G1582" s="1">
        <f>IFERROR(__xludf.DUMMYFUNCTION("""COMPUTED_VALUE"""),"Swiss EdTech Collider")</f>
        <v/>
      </c>
      <c r="H1582" s="1" t="n"/>
      <c r="I1582" s="1">
        <f>IFERROR(__xludf.DUMMYFUNCTION("""COMPUTED_VALUE"""),"info@fabula-games.de")</f>
        <v/>
      </c>
      <c r="J1582" s="1">
        <f>IFERROR(__xludf.DUMMYFUNCTION("""COMPUTED_VALUE"""),"+41 79 707 77 37")</f>
        <v/>
      </c>
      <c r="K1582" s="1">
        <f>IFERROR(__xludf.DUMMYFUNCTION("""COMPUTED_VALUE"""),"DORTMUND")</f>
        <v/>
      </c>
      <c r="L1582" s="1">
        <f>IFERROR(__xludf.DUMMYFUNCTION("""COMPUTED_VALUE"""),"Germany")</f>
        <v/>
      </c>
      <c r="M1582" s="1">
        <f>IFERROR(__xludf.DUMMYFUNCTION("""COMPUTED_VALUE"""),"Austria, Germany, Switzerland")</f>
        <v/>
      </c>
      <c r="N1582" s="1">
        <f>IFERROR(__xludf.DUMMYFUNCTION("""COMPUTED_VALUE"""),"0 to 10")</f>
        <v/>
      </c>
      <c r="O1582" s="1">
        <f>IFERROR(__xludf.DUMMYFUNCTION("""COMPUTED_VALUE"""),"Business to Business, Business to Consumer")</f>
        <v/>
      </c>
      <c r="P1582" s="1">
        <f>IFERROR(__xludf.DUMMYFUNCTION("""COMPUTED_VALUE"""),"Corporate Training")</f>
        <v/>
      </c>
      <c r="Q1582" s="1">
        <f>IFERROR(__xludf.DUMMYFUNCTION("""COMPUTED_VALUE"""),"Student interfacing, System/Administrative")</f>
        <v/>
      </c>
      <c r="R1582" s="1" t="n"/>
      <c r="S1582" s="1" t="n"/>
      <c r="T1582" s="1" t="n"/>
      <c r="U1582" s="1">
        <f>IFERROR(__xludf.DUMMYFUNCTION("""COMPUTED_VALUE"""),"Individual Serious Games")</f>
        <v/>
      </c>
      <c r="V1582" s="1">
        <f>IFERROR(__xludf.DUMMYFUNCTION("""COMPUTED_VALUE"""),"We start from your needs, your contents to suggest a Game Design. If this proposal suits you, the game will be developed interactively with you, so that when the Serious Game is delivered, it perfectly meets your expectations and those of the users.")</f>
        <v/>
      </c>
      <c r="W1582" s="1">
        <f>IFERROR(__xludf.DUMMYFUNCTION("""COMPUTED_VALUE"""),"Univseral Games")</f>
        <v/>
      </c>
      <c r="X1582" s="1">
        <f>IFERROR(__xludf.DUMMYFUNCTION("""COMPUTED_VALUE"""),"Our Universal Games are ready-made trainings that you can use immediately. Or we can adapt their content or look &amp; feel at your request. The advantage: they can be licensed at a competitive price.
This ensures that you also benefit from the advantages of"&amp;" game-based learning — and we don’t have to develop your own individual game.")</f>
        <v/>
      </c>
      <c r="Y1582" s="15">
        <f>IFERROR(__xludf.DUMMYFUNCTION("""COMPUTED_VALUE"""),"https://drive.google.com/uc?export=view&amp;id=1cFXdTTOM9S5GxHNs3gjwJhZEFtFCXz7A")</f>
        <v/>
      </c>
      <c r="Z1582" s="1">
        <f>IFERROR(__xludf.DUMMYFUNCTION("""COMPUTED_VALUE"""),"Unverified")</f>
        <v/>
      </c>
      <c r="AA1582" s="1" t="n"/>
      <c r="AB1582" s="1" t="n"/>
      <c r="AC1582" s="1" t="n"/>
      <c r="AD1582" s="1" t="n"/>
      <c r="AE1582" s="1" t="n"/>
    </row>
    <row r="1583" ht="42" customHeight="1">
      <c r="A1583" s="14">
        <f>IFERROR(__xludf.DUMMYFUNCTION("""COMPUTED_VALUE"""),45181)</f>
        <v/>
      </c>
      <c r="B1583" s="1">
        <f>IFERROR(__xludf.DUMMYFUNCTION("""COMPUTED_VALUE"""),"ORG_1555")</f>
        <v/>
      </c>
      <c r="C1583" s="1">
        <f>IFERROR(__xludf.DUMMYFUNCTION("""COMPUTED_VALUE"""),TRUE)</f>
        <v/>
      </c>
      <c r="D1583" s="1">
        <f>IFERROR(__xludf.DUMMYFUNCTION("""COMPUTED_VALUE"""),"feamzy")</f>
        <v/>
      </c>
      <c r="E1583" s="15">
        <f>IFERROR(__xludf.DUMMYFUNCTION("""COMPUTED_VALUE"""),"https://www.feamzy.com/")</f>
        <v/>
      </c>
      <c r="F1583" s="1">
        <f>IFERROR(__xludf.DUMMYFUNCTION("""COMPUTED_VALUE"""),"feamzy is an inclusive and innovative social network designed not only for school parents but also for parent-teacher associations (PTAs). This mobile application facilitates seamless communication between parents within the same class, as well as PTA mem"&amp;"bers, allowing them to quickly and conveniently exchange information such as homework, event updates, and course details, all while safeguarding their personal contact information.
Moreover, feamzy extends its services to PTAs by providing them with excl"&amp;"usive access to a wealth of complimentary resources directly within the application. These resources have been specifically tailored to assist PTAs in optimizing their collective parent management. Through Feamzy, PTAs can take advantage of a shared calen"&amp;"dar, a built-in chat function, and tools for requesting and sharing important documents, thereby enhancing overall communication and coordination amongst parents and PTA members alike")</f>
        <v/>
      </c>
      <c r="G1583" s="1">
        <f>IFERROR(__xludf.DUMMYFUNCTION("""COMPUTED_VALUE"""),"EdTech France")</f>
        <v/>
      </c>
      <c r="H1583" s="1">
        <f>IFERROR(__xludf.DUMMYFUNCTION("""COMPUTED_VALUE"""),"French")</f>
        <v/>
      </c>
      <c r="I1583" s="1">
        <f>IFERROR(__xludf.DUMMYFUNCTION("""COMPUTED_VALUE"""),"marie.lewin@feamzy.com")</f>
        <v/>
      </c>
      <c r="J1583" s="1">
        <f>IFERROR(__xludf.DUMMYFUNCTION("""COMPUTED_VALUE"""),"+33 6 28 23 47 64")</f>
        <v/>
      </c>
      <c r="K1583" s="1">
        <f>IFERROR(__xludf.DUMMYFUNCTION("""COMPUTED_VALUE"""),"PARIS")</f>
        <v/>
      </c>
      <c r="L1583" s="1">
        <f>IFERROR(__xludf.DUMMYFUNCTION("""COMPUTED_VALUE"""),"France")</f>
        <v/>
      </c>
      <c r="M1583" s="1">
        <f>IFERROR(__xludf.DUMMYFUNCTION("""COMPUTED_VALUE"""),"France")</f>
        <v/>
      </c>
      <c r="N1583" s="1">
        <f>IFERROR(__xludf.DUMMYFUNCTION("""COMPUTED_VALUE"""),"3 to 5")</f>
        <v/>
      </c>
      <c r="O1583" s="1">
        <f>IFERROR(__xludf.DUMMYFUNCTION("""COMPUTED_VALUE"""),"Business to Business, Business to Consumer")</f>
        <v/>
      </c>
      <c r="P1583" s="1">
        <f>IFERROR(__xludf.DUMMYFUNCTION("""COMPUTED_VALUE"""),"Early childhood development (0-5 years), Primary Education, Secondary Education")</f>
        <v/>
      </c>
      <c r="Q1583" s="1">
        <f>IFERROR(__xludf.DUMMYFUNCTION("""COMPUTED_VALUE"""),"System/Administrative, Teacher interfacing")</f>
        <v/>
      </c>
      <c r="R1583" s="15">
        <f>IFERROR(__xludf.DUMMYFUNCTION("""COMPUTED_VALUE"""),"https://www.instagram.com/feamzy_application/")</f>
        <v/>
      </c>
      <c r="S1583" s="15">
        <f>IFERROR(__xludf.DUMMYFUNCTION("""COMPUTED_VALUE"""),"https://twitter.com/MarieLewin_18")</f>
        <v/>
      </c>
      <c r="T1583" s="15">
        <f>IFERROR(__xludf.DUMMYFUNCTION("""COMPUTED_VALUE"""),"https://www.linkedin.com/company/34700226")</f>
        <v/>
      </c>
      <c r="U1583" s="1">
        <f>IFERROR(__xludf.DUMMYFUNCTION("""COMPUTED_VALUE"""),"feamzy")</f>
        <v/>
      </c>
      <c r="V1583" s="1">
        <f>IFERROR(__xludf.DUMMYFUNCTION("""COMPUTED_VALUE"""),"The free mobile application Feamzy is the best alternative to parent WhatsApp groups. Feamzy prioritizes data privacy. Parents can interact with other class parents without sharing their phone numbers or email addresses.
With Feamzy, they can exchange im"&amp;"portant information necessary for their children's education. They have access to:
A class chat moderated by all the parents in the class.
A shared calendar.
Features for sharing and requesting information.
The ability to post urgent updates to notify pa"&amp;"rents in case of emergencies.
Access to educational content, including replays of Feamzy webinars.")</f>
        <v/>
      </c>
      <c r="W1583" s="1">
        <f>IFERROR(__xludf.DUMMYFUNCTION("""COMPUTED_VALUE"""),"feamzy APE")</f>
        <v/>
      </c>
      <c r="X1583" s="1">
        <f>IFERROR(__xludf.DUMMYFUNCTION("""COMPUTED_VALUE"""),"The Feamzy APE application provides all Parent-Teacher Associations (PTAs) with a fast and efficient means of communicating with all parents within the school. The information transmitted by the PTA through Feamzy APE is delivered to the parents of the in"&amp;"stitution via the free mobile application Feamzy, without parents having to share their contact details.
This streamlining of communication allows PTAs to save valuable time and focus fully on their mission, which includes advocating for students' intere"&amp;"sts, serving as intermediaries between the school and families to inform parents, and bringing together the educational community for collaborative and friendly events within the school.")</f>
        <v/>
      </c>
      <c r="Y1583" s="15">
        <f>IFERROR(__xludf.DUMMYFUNCTION("""COMPUTED_VALUE"""),"https://drive.google.com/uc?export=view&amp;id=1-VbH4MZSNFHc5B_dXwRZ8HexdC-Kvo0X")</f>
        <v/>
      </c>
      <c r="Z1583" s="1">
        <f>IFERROR(__xludf.DUMMYFUNCTION("""COMPUTED_VALUE"""),"Unverified")</f>
        <v/>
      </c>
      <c r="AA1583" s="1" t="n"/>
      <c r="AB1583" s="1" t="n"/>
      <c r="AC1583" s="1" t="n"/>
      <c r="AD1583" s="1" t="n"/>
      <c r="AE1583" s="1" t="n"/>
    </row>
    <row r="1584" ht="42" customHeight="1">
      <c r="A1584" s="14">
        <f>IFERROR(__xludf.DUMMYFUNCTION("""COMPUTED_VALUE"""),45181)</f>
        <v/>
      </c>
      <c r="B1584" s="1">
        <f>IFERROR(__xludf.DUMMYFUNCTION("""COMPUTED_VALUE"""),"ORG_1567")</f>
        <v/>
      </c>
      <c r="C1584" s="1">
        <f>IFERROR(__xludf.DUMMYFUNCTION("""COMPUTED_VALUE"""),TRUE)</f>
        <v/>
      </c>
      <c r="D1584" s="1">
        <f>IFERROR(__xludf.DUMMYFUNCTION("""COMPUTED_VALUE"""),"Flowchase")</f>
        <v/>
      </c>
      <c r="E1584" s="15">
        <f>IFERROR(__xludf.DUMMYFUNCTION("""COMPUTED_VALUE"""),"https://flowchase.app/")</f>
        <v/>
      </c>
      <c r="F1584" s="1">
        <f>IFERROR(__xludf.DUMMYFUNCTION("""COMPUTED_VALUE"""),"Flowchase is a tool that helps higher education institutions maximise their graduates' employability.
With our mobile app and textbook, English teachers personalize the way they teach English pronunciation and spoken skills to their students thanks to vo"&amp;"ice technology.
Our technology analyzes their voice, detects errors, and gives them personalized feedback.
We are a spin-off company of the UCLouvain university in Belgium and we continue to collaborate closely with universities to develop our tool.")</f>
        <v/>
      </c>
      <c r="G1584" s="1">
        <f>IFERROR(__xludf.DUMMYFUNCTION("""COMPUTED_VALUE"""),"EdTech France, edtechstation")</f>
        <v/>
      </c>
      <c r="H1584" s="1">
        <f>IFERROR(__xludf.DUMMYFUNCTION("""COMPUTED_VALUE"""),"English")</f>
        <v/>
      </c>
      <c r="I1584" s="1">
        <f>IFERROR(__xludf.DUMMYFUNCTION("""COMPUTED_VALUE"""),"robin@flowchase.app")</f>
        <v/>
      </c>
      <c r="J1584" s="1">
        <f>IFERROR(__xludf.DUMMYFUNCTION("""COMPUTED_VALUE"""),"+ 32 483 60 53 96")</f>
        <v/>
      </c>
      <c r="K1584" s="1">
        <f>IFERROR(__xludf.DUMMYFUNCTION("""COMPUTED_VALUE"""),"LOUVAIN-LA-NEUVE")</f>
        <v/>
      </c>
      <c r="L1584" s="1">
        <f>IFERROR(__xludf.DUMMYFUNCTION("""COMPUTED_VALUE"""),"Belgium")</f>
        <v/>
      </c>
      <c r="M1584" s="1">
        <f>IFERROR(__xludf.DUMMYFUNCTION("""COMPUTED_VALUE"""),"Belgium, France, Spain")</f>
        <v/>
      </c>
      <c r="N1584" s="1">
        <f>IFERROR(__xludf.DUMMYFUNCTION("""COMPUTED_VALUE"""),"6 to 10")</f>
        <v/>
      </c>
      <c r="O1584" s="1">
        <f>IFERROR(__xludf.DUMMYFUNCTION("""COMPUTED_VALUE"""),"Business to Business, Business to Consumer, Business to Government")</f>
        <v/>
      </c>
      <c r="P1584" s="1">
        <f>IFERROR(__xludf.DUMMYFUNCTION("""COMPUTED_VALUE"""),"Corporate Training, Higher Education")</f>
        <v/>
      </c>
      <c r="Q1584" s="1">
        <f>IFERROR(__xludf.DUMMYFUNCTION("""COMPUTED_VALUE"""),"Student interfacing, Teacher interfacing, System/Administrative")</f>
        <v/>
      </c>
      <c r="R1584" s="15">
        <f>IFERROR(__xludf.DUMMYFUNCTION("""COMPUTED_VALUE"""),"https://www.instagram.com/flowchase.app/")</f>
        <v/>
      </c>
      <c r="S1584" s="1" t="n"/>
      <c r="T1584" s="15">
        <f>IFERROR(__xludf.DUMMYFUNCTION("""COMPUTED_VALUE"""),"https://www.linkedin.com/company/flowchase/")</f>
        <v/>
      </c>
      <c r="U1584" s="1">
        <f>IFERROR(__xludf.DUMMYFUNCTION("""COMPUTED_VALUE"""),"Flowchase")</f>
        <v/>
      </c>
      <c r="V1584" s="1">
        <f>IFERROR(__xludf.DUMMYFUNCTION("""COMPUTED_VALUE"""),"Flowchase is a mobile app designed to focus on English spoken skills with AI.
We have courses for Businesses for their employees in different industries. We create personalised content for their onboarding experience and various roles.
Several courses a"&amp;"re available to students and teachers in Higher Education: General English (different levels), Business English, English for STEM, Legal English, English for Marketing and Sales, and professional skills like presentation and interview preparation.
We des"&amp;"igned our service with specialists and teachers and based on our scientific research.")</f>
        <v/>
      </c>
      <c r="W1584" s="1" t="n"/>
      <c r="X1584" s="1" t="n"/>
      <c r="Y1584" s="15">
        <f>IFERROR(__xludf.DUMMYFUNCTION("""COMPUTED_VALUE"""),"https://drive.google.com/uc?export=view&amp;id=1soQN9VQYUkJcmbEJUpE08ojeIlslJ1rL")</f>
        <v/>
      </c>
      <c r="Z1584" s="1">
        <f>IFERROR(__xludf.DUMMYFUNCTION("""COMPUTED_VALUE"""),"Unverified")</f>
        <v/>
      </c>
      <c r="AA1584" s="1" t="n"/>
      <c r="AB1584" s="1" t="n"/>
      <c r="AC1584" s="1" t="n"/>
      <c r="AD1584" s="1" t="n"/>
      <c r="AE1584" s="1" t="n"/>
    </row>
    <row r="1585" ht="42" customHeight="1">
      <c r="A1585" s="14">
        <f>IFERROR(__xludf.DUMMYFUNCTION("""COMPUTED_VALUE"""),45181)</f>
        <v/>
      </c>
      <c r="B1585" s="1">
        <f>IFERROR(__xludf.DUMMYFUNCTION("""COMPUTED_VALUE"""),"ORG_1619")</f>
        <v/>
      </c>
      <c r="C1585" s="1">
        <f>IFERROR(__xludf.DUMMYFUNCTION("""COMPUTED_VALUE"""),TRUE)</f>
        <v/>
      </c>
      <c r="D1585" s="1">
        <f>IFERROR(__xludf.DUMMYFUNCTION("""COMPUTED_VALUE"""),"Get More Brain")</f>
        <v/>
      </c>
      <c r="E1585" s="15">
        <f>IFERROR(__xludf.DUMMYFUNCTION("""COMPUTED_VALUE"""),"https://www.getmorebrain.com/")</f>
        <v/>
      </c>
      <c r="F1585" s="1">
        <f>IFERROR(__xludf.DUMMYFUNCTION("""COMPUTED_VALUE"""),"Get More Brain Ltd is a startup based in Zurich/Switzerland. It's our goal to make learning better by transforming the current educational industry and providing them a path to a successful digital future.")</f>
        <v/>
      </c>
      <c r="G1585" s="1">
        <f>IFERROR(__xludf.DUMMYFUNCTION("""COMPUTED_VALUE"""),"Swiss EdTech Collider")</f>
        <v/>
      </c>
      <c r="H1585" s="1" t="n"/>
      <c r="I1585" s="1">
        <f>IFERROR(__xludf.DUMMYFUNCTION("""COMPUTED_VALUE"""),"philippe@getmorebrain.com")</f>
        <v/>
      </c>
      <c r="J1585" s="1">
        <f>IFERROR(__xludf.DUMMYFUNCTION("""COMPUTED_VALUE"""),"+41796036467")</f>
        <v/>
      </c>
      <c r="K1585" s="1">
        <f>IFERROR(__xludf.DUMMYFUNCTION("""COMPUTED_VALUE"""),"ZURICH")</f>
        <v/>
      </c>
      <c r="L1585" s="1">
        <f>IFERROR(__xludf.DUMMYFUNCTION("""COMPUTED_VALUE"""),"Switzerland")</f>
        <v/>
      </c>
      <c r="M1585" s="1">
        <f>IFERROR(__xludf.DUMMYFUNCTION("""COMPUTED_VALUE"""),"Belgium, Denmark, Finland, France, Germany, Iceland, Ireland, Liechtenstein, Luxembourg, Monaco, Netherlands, Norway, Romania, Spain, Sweden, Switzerland, United Kingdom")</f>
        <v/>
      </c>
      <c r="N1585" s="1">
        <f>IFERROR(__xludf.DUMMYFUNCTION("""COMPUTED_VALUE"""),"11 to 50")</f>
        <v/>
      </c>
      <c r="O1585" s="1">
        <f>IFERROR(__xludf.DUMMYFUNCTION("""COMPUTED_VALUE"""),"Business to Business, Business to Consumer, Business to Government, Business to Schools")</f>
        <v/>
      </c>
      <c r="P1585" s="1">
        <f>IFERROR(__xludf.DUMMYFUNCTION("""COMPUTED_VALUE"""),"Higher Education, Corporate Training, Lifelong learning/Adult education")</f>
        <v/>
      </c>
      <c r="Q1585" s="1">
        <f>IFERROR(__xludf.DUMMYFUNCTION("""COMPUTED_VALUE"""),"Teacher interfacing, Student interfacing, System/Administrative")</f>
        <v/>
      </c>
      <c r="R1585" s="15">
        <f>IFERROR(__xludf.DUMMYFUNCTION("""COMPUTED_VALUE"""),"https://www.instagram.com/getmorebraindevs")</f>
        <v/>
      </c>
      <c r="S1585" s="1">
        <f>IFERROR(__xludf.DUMMYFUNCTION("""COMPUTED_VALUE"""),"Get More Brain AG")</f>
        <v/>
      </c>
      <c r="T1585" s="15">
        <f>IFERROR(__xludf.DUMMYFUNCTION("""COMPUTED_VALUE"""),"https://www.linkedin.com/company/getmorebrain")</f>
        <v/>
      </c>
      <c r="U1585" s="1">
        <f>IFERROR(__xludf.DUMMYFUNCTION("""COMPUTED_VALUE"""),"Get More Brain")</f>
        <v/>
      </c>
      <c r="V1585" s="1">
        <f>IFERROR(__xludf.DUMMYFUNCTION("""COMPUTED_VALUE"""),"Get More Brain is a messenger-based e-learning platform.
Learners and teachers are empowered to immerse themselves
in the new world of learning: More personal, adaptive, nugget-based, and more fun.
Learning materials become interactive and provide insta"&amp;"nt, smart feedback. Learners are motivated to interact with other humans and AI-bots ... all that on any smartphone in the world.")</f>
        <v/>
      </c>
      <c r="W1585" s="1" t="n"/>
      <c r="X1585" s="1" t="n"/>
      <c r="Y1585" s="15">
        <f>IFERROR(__xludf.DUMMYFUNCTION("""COMPUTED_VALUE"""),"https://drive.google.com/uc?export=view&amp;id=1kn21N-Bw4ty4pT6Ke9ZK4TNYVtVxdbqp")</f>
        <v/>
      </c>
      <c r="Z1585" s="1">
        <f>IFERROR(__xludf.DUMMYFUNCTION("""COMPUTED_VALUE"""),"Unverified")</f>
        <v/>
      </c>
      <c r="AA1585" s="1" t="n"/>
      <c r="AB1585" s="1" t="n"/>
      <c r="AC1585" s="1" t="n"/>
      <c r="AD1585" s="1" t="n"/>
      <c r="AE1585" s="1" t="n"/>
    </row>
    <row r="1586" ht="42" customHeight="1">
      <c r="A1586" s="14">
        <f>IFERROR(__xludf.DUMMYFUNCTION("""COMPUTED_VALUE"""),45181)</f>
        <v/>
      </c>
      <c r="B1586" s="1">
        <f>IFERROR(__xludf.DUMMYFUNCTION("""COMPUTED_VALUE"""),"ORG_1636")</f>
        <v/>
      </c>
      <c r="C1586" s="1">
        <f>IFERROR(__xludf.DUMMYFUNCTION("""COMPUTED_VALUE"""),TRUE)</f>
        <v/>
      </c>
      <c r="D1586" s="1">
        <f>IFERROR(__xludf.DUMMYFUNCTION("""COMPUTED_VALUE"""),"GoStudent")</f>
        <v/>
      </c>
      <c r="E1586" s="15">
        <f>IFERROR(__xludf.DUMMYFUNCTION("""COMPUTED_VALUE"""),"www.gostudent.org")</f>
        <v/>
      </c>
      <c r="F1586" s="1">
        <f>IFERROR(__xludf.DUMMYFUNCTION("""COMPUTED_VALUE"""),"GoStudent is one of the world’s leading tutoring providers and education platforms. Founded in Vienna, Austria, in 2016 by Felix Ohswald (CEO) and Gregor Müller (COO), the venture-backed unicorn has raised more than €675m from investors including Prosus, "&amp;"Left Lane Capital and SoftBank Vision Fund 2. Believing the future of education is hybrid, GoStudent has expanded its offering over the past two years with the acquisition of three EdTech companies - Seneca Learning, Tus Media and Fox Education - and offl"&amp;"ine tutoring business, Studienkreis. Together, these companies aim to unite the best of the online and offline world to unlock every child’s potential. Across its portfolio, GoStudent employs more than 1,500 staff and supports more than 11 million familie"&amp;"s each month.")</f>
        <v/>
      </c>
      <c r="G1586" s="1">
        <f>IFERROR(__xludf.DUMMYFUNCTION("""COMPUTED_VALUE"""),"EdTech Austria")</f>
        <v/>
      </c>
      <c r="H1586" s="1" t="n"/>
      <c r="I1586" s="1">
        <f>IFERROR(__xludf.DUMMYFUNCTION("""COMPUTED_VALUE"""),"contact@gostudent.org")</f>
        <v/>
      </c>
      <c r="J1586" s="1" t="n"/>
      <c r="K1586" s="1">
        <f>IFERROR(__xludf.DUMMYFUNCTION("""COMPUTED_VALUE"""),"VIENNA")</f>
        <v/>
      </c>
      <c r="L1586" s="1">
        <f>IFERROR(__xludf.DUMMYFUNCTION("""COMPUTED_VALUE"""),"Austria")</f>
        <v/>
      </c>
      <c r="M1586" s="1">
        <f>IFERROR(__xludf.DUMMYFUNCTION("""COMPUTED_VALUE"""),"Austria, Belgium, France, Germany, Greece, Ireland, Italy, Luxembourg, Netherlands, Spain, Switzerland, Turkey, United Kingdom")</f>
        <v/>
      </c>
      <c r="N1586" s="1">
        <f>IFERROR(__xludf.DUMMYFUNCTION("""COMPUTED_VALUE"""),"500+")</f>
        <v/>
      </c>
      <c r="O1586" s="1">
        <f>IFERROR(__xludf.DUMMYFUNCTION("""COMPUTED_VALUE"""),"Business to Business, Business to Consumer, Business to Government, Business to Schools")</f>
        <v/>
      </c>
      <c r="P1586" s="1">
        <f>IFERROR(__xludf.DUMMYFUNCTION("""COMPUTED_VALUE"""),"Primary Education")</f>
        <v/>
      </c>
      <c r="Q1586" s="1">
        <f>IFERROR(__xludf.DUMMYFUNCTION("""COMPUTED_VALUE"""),"System/Administrative, Student interfacing")</f>
        <v/>
      </c>
      <c r="R1586" s="15">
        <f>IFERROR(__xludf.DUMMYFUNCTION("""COMPUTED_VALUE"""),"https://www.instagram.com/gostudent_life")</f>
        <v/>
      </c>
      <c r="S1586" s="15">
        <f>IFERROR(__xludf.DUMMYFUNCTION("""COMPUTED_VALUE"""),"https://twitter.com/gostudent1")</f>
        <v/>
      </c>
      <c r="T1586" s="15">
        <f>IFERROR(__xludf.DUMMYFUNCTION("""COMPUTED_VALUE"""),"https://www.linkedin.com/company/gostudent-gmbh")</f>
        <v/>
      </c>
      <c r="U1586" s="1">
        <f>IFERROR(__xludf.DUMMYFUNCTION("""COMPUTED_VALUE"""),"GoStudent")</f>
        <v/>
      </c>
      <c r="V1586" s="1">
        <f>IFERROR(__xludf.DUMMYFUNCTION("""COMPUTED_VALUE"""),"GoStudent facilitates 1:1 video-based tuition, with lessons taking place within the company’s custom-made virtual classroom, GoClass. Aimed at students aged 6-18, GoStudent offers personalised support for more than 30 school subjects. Believing the right "&amp;"student-tutor match is crucial to academic success, GoStudent pairs tutors with students based on their learning style and needs.
Lessons are booked via the GoStudent platform. This can be accessed using a computer (Web App) or a mobile device (Mobile A"&amp;"pp). Students and tutors interact live in GoClass, which features integrated functions such as a whiteboard and the option to share a screen and edit documents together. Documents and work in progress can be saved to each child’s virtual workspace to be r"&amp;"evisited at a later date.
Currently, more than 23,000 self-employed tutors offer their services via GoClass. In order to offer their services via the GoStudent platform, tutors undergo a rigorous selection process, involving a subject matter test, demons"&amp;"tration of teaching ability and background check.")</f>
        <v/>
      </c>
      <c r="W1586" s="1" t="n"/>
      <c r="X1586" s="1" t="n"/>
      <c r="Y1586" s="15">
        <f>IFERROR(__xludf.DUMMYFUNCTION("""COMPUTED_VALUE"""),"https://drive.google.com/uc?export=view&amp;id=1ZcMYf4OPYAAb7Su3QzoA3S63ejEFsWjw")</f>
        <v/>
      </c>
      <c r="Z1586" s="1">
        <f>IFERROR(__xludf.DUMMYFUNCTION("""COMPUTED_VALUE"""),"Unverified")</f>
        <v/>
      </c>
      <c r="AA1586" s="1" t="n"/>
      <c r="AB1586" s="1" t="n"/>
      <c r="AC1586" s="1" t="n"/>
      <c r="AD1586" s="1" t="n"/>
      <c r="AE1586" s="1" t="n"/>
    </row>
    <row r="1587" ht="42" customHeight="1">
      <c r="A1587" s="14">
        <f>IFERROR(__xludf.DUMMYFUNCTION("""COMPUTED_VALUE"""),45181)</f>
        <v/>
      </c>
      <c r="B1587" s="1">
        <f>IFERROR(__xludf.DUMMYFUNCTION("""COMPUTED_VALUE"""),"ORG_1656")</f>
        <v/>
      </c>
      <c r="C1587" s="1">
        <f>IFERROR(__xludf.DUMMYFUNCTION("""COMPUTED_VALUE"""),TRUE)</f>
        <v/>
      </c>
      <c r="D1587" s="1">
        <f>IFERROR(__xludf.DUMMYFUNCTION("""COMPUTED_VALUE"""),"HABILITATEM")</f>
        <v/>
      </c>
      <c r="E1587" s="15">
        <f>IFERROR(__xludf.DUMMYFUNCTION("""COMPUTED_VALUE"""),"https://habilitatem.com/")</f>
        <v/>
      </c>
      <c r="F1587" s="1">
        <f>IFERROR(__xludf.DUMMYFUNCTION("""COMPUTED_VALUE"""),"Our objective is to support higher education institutions in adopting competency-based approaches. The very strong alignment of strategic players in Europe on the importance of competency development to ensure employability supports our convictions.
We lo"&amp;"ok to enhance the training offer of our clients by issuing an individualized competency passport for their learners. This passport summarizes the achievements of learners during the years. It presents the professional competencies, the soft-skills and the"&amp;" language skills they have acquired.
The purpose is to support students when looking to start their professional life thanks to a complete inventory of their competencies. This passport will help them to meet the expectations of our fast-changing society "&amp;"and those of companies and public organizations.")</f>
        <v/>
      </c>
      <c r="G1587" s="1">
        <f>IFERROR(__xludf.DUMMYFUNCTION("""COMPUTED_VALUE"""),"EdTech France")</f>
        <v/>
      </c>
      <c r="H1587" s="1" t="n"/>
      <c r="I1587" s="1">
        <f>IFERROR(__xludf.DUMMYFUNCTION("""COMPUTED_VALUE"""),"andres@habilitatem.com")</f>
        <v/>
      </c>
      <c r="J1587" s="1">
        <f>IFERROR(__xludf.DUMMYFUNCTION("""COMPUTED_VALUE"""),"+33637098152")</f>
        <v/>
      </c>
      <c r="K1587" s="1">
        <f>IFERROR(__xludf.DUMMYFUNCTION("""COMPUTED_VALUE"""),"PARIS")</f>
        <v/>
      </c>
      <c r="L1587" s="1">
        <f>IFERROR(__xludf.DUMMYFUNCTION("""COMPUTED_VALUE"""),"France")</f>
        <v/>
      </c>
      <c r="M1587" s="1">
        <f>IFERROR(__xludf.DUMMYFUNCTION("""COMPUTED_VALUE"""),"Denmark, France, Italy, Spain")</f>
        <v/>
      </c>
      <c r="N1587" s="1">
        <f>IFERROR(__xludf.DUMMYFUNCTION("""COMPUTED_VALUE"""),"0 to 10")</f>
        <v/>
      </c>
      <c r="O1587" s="1">
        <f>IFERROR(__xludf.DUMMYFUNCTION("""COMPUTED_VALUE"""),"Business to Business, Business to Consumer, Business to Government, Business to Schools")</f>
        <v/>
      </c>
      <c r="P1587" s="1">
        <f>IFERROR(__xludf.DUMMYFUNCTION("""COMPUTED_VALUE"""),"Higher Education, Corporate Training, Lifelong learning/Adult education")</f>
        <v/>
      </c>
      <c r="Q1587" s="1">
        <f>IFERROR(__xludf.DUMMYFUNCTION("""COMPUTED_VALUE"""),"Student interfacing, System/Administrative")</f>
        <v/>
      </c>
      <c r="R1587" s="1" t="n"/>
      <c r="S1587" s="1">
        <f>IFERROR(__xludf.DUMMYFUNCTION("""COMPUTED_VALUE"""),"n/a")</f>
        <v/>
      </c>
      <c r="T1587" s="1">
        <f>IFERROR(__xludf.DUMMYFUNCTION("""COMPUTED_VALUE"""),"n/a")</f>
        <v/>
      </c>
      <c r="U1587" s="1">
        <f>IFERROR(__xludf.DUMMYFUNCTION("""COMPUTED_VALUE"""),"HABILITATEM Competency Passeport")</f>
        <v/>
      </c>
      <c r="V1587" s="1">
        <f>IFERROR(__xludf.DUMMYFUNCTION("""COMPUTED_VALUE"""),"Our passport summarizes the achievements of learners during the years. It presents the professional competencies, the soft-skills and the language skills they have acquired.
The purpose is to support students when looking to start their professional life "&amp;"thanks to a complete inventory of their competencies. This passport will help them to meet the expectations of our fast-changing society and those of companies and public organizations.")</f>
        <v/>
      </c>
      <c r="W1587" s="1" t="n"/>
      <c r="X1587" s="1" t="n"/>
      <c r="Y1587" s="15">
        <f>IFERROR(__xludf.DUMMYFUNCTION("""COMPUTED_VALUE"""),"https://drive.google.com/uc?export=view&amp;id=1AoAHbMKLdRaz2anYunxKy93W8ULZN3_x")</f>
        <v/>
      </c>
      <c r="Z1587" s="1">
        <f>IFERROR(__xludf.DUMMYFUNCTION("""COMPUTED_VALUE"""),"Unverified")</f>
        <v/>
      </c>
      <c r="AA1587" s="1" t="n"/>
      <c r="AB1587" s="1" t="n"/>
      <c r="AC1587" s="1" t="n"/>
      <c r="AD1587" s="1" t="n"/>
      <c r="AE1587" s="1" t="n"/>
    </row>
    <row r="1588" ht="42" customHeight="1">
      <c r="A1588" s="14">
        <f>IFERROR(__xludf.DUMMYFUNCTION("""COMPUTED_VALUE"""),45181)</f>
        <v/>
      </c>
      <c r="B1588" s="1">
        <f>IFERROR(__xludf.DUMMYFUNCTION("""COMPUTED_VALUE"""),"ORG_1739")</f>
        <v/>
      </c>
      <c r="C1588" s="1">
        <f>IFERROR(__xludf.DUMMYFUNCTION("""COMPUTED_VALUE"""),TRUE)</f>
        <v/>
      </c>
      <c r="D1588" s="1">
        <f>IFERROR(__xludf.DUMMYFUNCTION("""COMPUTED_VALUE"""),"ISDI France")</f>
        <v/>
      </c>
      <c r="E1588" s="15">
        <f>IFERROR(__xludf.DUMMYFUNCTION("""COMPUTED_VALUE"""),"http://www.isdicrm.com/fr")</f>
        <v/>
      </c>
      <c r="F1588" s="1">
        <f>IFERROR(__xludf.DUMMYFUNCTION("""COMPUTED_VALUE"""),"ISDI France has been founded as a Salesforce Authorized Training Provider, helping Salesforce as worldwide CRM leader to develop its ecosystem in France &amp; EMEA. Today, ISDI France is specialised in vocational training in the digital transformation tools &amp;"&amp;" cloud solutions, helping software vendors to skill up their partners and customers, supporting the job creation in their space and helping bridging the skills gap in the digital world.")</f>
        <v/>
      </c>
      <c r="G1588" s="1">
        <f>IFERROR(__xludf.DUMMYFUNCTION("""COMPUTED_VALUE"""),"EdTech France")</f>
        <v/>
      </c>
      <c r="H1588" s="1" t="n"/>
      <c r="I1588" s="1">
        <f>IFERROR(__xludf.DUMMYFUNCTION("""COMPUTED_VALUE"""),"formation@isdi.education")</f>
        <v/>
      </c>
      <c r="J1588" s="1">
        <f>IFERROR(__xludf.DUMMYFUNCTION("""COMPUTED_VALUE"""),"+33 1 88 46 88 57")</f>
        <v/>
      </c>
      <c r="K1588" s="1">
        <f>IFERROR(__xludf.DUMMYFUNCTION("""COMPUTED_VALUE"""),"PARIS")</f>
        <v/>
      </c>
      <c r="L1588" s="1">
        <f>IFERROR(__xludf.DUMMYFUNCTION("""COMPUTED_VALUE"""),"France")</f>
        <v/>
      </c>
      <c r="M1588" s="1">
        <f>IFERROR(__xludf.DUMMYFUNCTION("""COMPUTED_VALUE"""),"Belgium, France, Luxembourg, Spain, Switzerland")</f>
        <v/>
      </c>
      <c r="N1588" s="1">
        <f>IFERROR(__xludf.DUMMYFUNCTION("""COMPUTED_VALUE"""),"0 to 10")</f>
        <v/>
      </c>
      <c r="O1588" s="1">
        <f>IFERROR(__xludf.DUMMYFUNCTION("""COMPUTED_VALUE"""),"Business to Business, Business to Consumer, Business to Government, Business to Schools")</f>
        <v/>
      </c>
      <c r="P1588" s="1">
        <f>IFERROR(__xludf.DUMMYFUNCTION("""COMPUTED_VALUE"""),"Corporate Training, Lifelong learning/Adult education")</f>
        <v/>
      </c>
      <c r="Q1588" s="1">
        <f>IFERROR(__xludf.DUMMYFUNCTION("""COMPUTED_VALUE"""),"Student interfacing, System/Administrative")</f>
        <v/>
      </c>
      <c r="R1588" s="1" t="n"/>
      <c r="S1588" s="1" t="n"/>
      <c r="T1588" s="15">
        <f>IFERROR(__xludf.DUMMYFUNCTION("""COMPUTED_VALUE"""),"https://www.linkedin.com/company/19200104")</f>
        <v/>
      </c>
      <c r="U1588" s="1">
        <f>IFERROR(__xludf.DUMMYFUNCTION("""COMPUTED_VALUE"""),"Salesforce Official Training")</f>
        <v/>
      </c>
      <c r="V1588" s="1">
        <f>IFERROR(__xludf.DUMMYFUNCTION("""COMPUTED_VALUE"""),"Salesforce official trainings aiming at helping partners &amp; customer prepare for the certification exams, on all clouds, all solutions of Salesforce")</f>
        <v/>
      </c>
      <c r="W1588" s="1">
        <f>IFERROR(__xludf.DUMMYFUNCTION("""COMPUTED_VALUE"""),"Digital Transformation Courses")</f>
        <v/>
      </c>
      <c r="X1588" s="1">
        <f>IFERROR(__xludf.DUMMYFUNCTION("""COMPUTED_VALUE"""),"Inspiration courses aiming at inspiring leaders &amp; managers in all digital transformation topics and challenges. Delivered 100% by professionals at strategic positions in the best companies in France.")</f>
        <v/>
      </c>
      <c r="Y1588" s="15">
        <f>IFERROR(__xludf.DUMMYFUNCTION("""COMPUTED_VALUE"""),"https://drive.google.com/uc?export=view&amp;id=15-1OvEuONOoqHE3fI56KXsvUB0R5503v")</f>
        <v/>
      </c>
      <c r="Z1588" s="1">
        <f>IFERROR(__xludf.DUMMYFUNCTION("""COMPUTED_VALUE"""),"Unverified")</f>
        <v/>
      </c>
      <c r="AA1588" s="1" t="n"/>
      <c r="AB1588" s="1" t="n"/>
      <c r="AC1588" s="1" t="n"/>
      <c r="AD1588" s="1" t="n"/>
      <c r="AE1588" s="1" t="n"/>
    </row>
    <row r="1589" ht="42" customHeight="1">
      <c r="A1589" s="14">
        <f>IFERROR(__xludf.DUMMYFUNCTION("""COMPUTED_VALUE"""),45181)</f>
        <v/>
      </c>
      <c r="B1589" s="1">
        <f>IFERROR(__xludf.DUMMYFUNCTION("""COMPUTED_VALUE"""),"ORG_1755")</f>
        <v/>
      </c>
      <c r="C1589" s="1">
        <f>IFERROR(__xludf.DUMMYFUNCTION("""COMPUTED_VALUE"""),TRUE)</f>
        <v/>
      </c>
      <c r="D1589" s="1">
        <f>IFERROR(__xludf.DUMMYFUNCTION("""COMPUTED_VALUE"""),"Jeux&amp;Co")</f>
        <v/>
      </c>
      <c r="E1589" s="15">
        <f>IFERROR(__xludf.DUMMYFUNCTION("""COMPUTED_VALUE"""),"https://www.jeuxandco.com/")</f>
        <v/>
      </c>
      <c r="F1589" s="1">
        <f>IFERROR(__xludf.DUMMYFUNCTION("""COMPUTED_VALUE"""),"With more than 1500 games for K12, 500 geographical games and 25 different ways to play, Jeux&amp;Co has been one of the French leaders in education technologies since 1998. 
History, Geography, Sciences, Foreign languages... Everything is made to learn whil"&amp;"e having fun!
With Jeux&amp;Co, there is something for everyone thanks to our BtoC and BtoB offers:
-Learnious Media: take advantage of a direct integration of our games on your website based on a plug-and-play model (for medias, In flight entertainment, I"&amp;"n cruise entertainment...)
-Learnious Family: an innovative app for young students with inclusive educational games (DYS, ADHD), progress and scores tracking for an easy learning!
-Learnious Edu: thousands of games and content for teachers, classroom ma"&amp;"nagement tool, quiz builder and assessment automation.
-Geographic-games: one of the largest geographic gaming platforms in the world with a community of over a million members. Quizzes, location and map games or tournaments in more than 5 languages to k"&amp;"now your geography at your fingertips.")</f>
        <v/>
      </c>
      <c r="G1589" s="1">
        <f>IFERROR(__xludf.DUMMYFUNCTION("""COMPUTED_VALUE"""),"I'm not part of any EdTech association")</f>
        <v/>
      </c>
      <c r="H1589" s="1" t="n"/>
      <c r="I1589" s="1">
        <f>IFERROR(__xludf.DUMMYFUNCTION("""COMPUTED_VALUE"""),"catherine@jeuxandco.fr")</f>
        <v/>
      </c>
      <c r="J1589" s="1" t="n"/>
      <c r="K1589" s="1">
        <f>IFERROR(__xludf.DUMMYFUNCTION("""COMPUTED_VALUE"""),"SAN MARTINO DI LOTA")</f>
        <v/>
      </c>
      <c r="L1589" s="1">
        <f>IFERROR(__xludf.DUMMYFUNCTION("""COMPUTED_VALUE"""),"France")</f>
        <v/>
      </c>
      <c r="M1589" s="1">
        <f>IFERROR(__xludf.DUMMYFUNCTION("""COMPUTED_VALUE"""),"Austria, France, Germany, Italy, Spain, Switzerland, United Kingdom")</f>
        <v/>
      </c>
      <c r="N1589" s="1">
        <f>IFERROR(__xludf.DUMMYFUNCTION("""COMPUTED_VALUE"""),"0 to 10")</f>
        <v/>
      </c>
      <c r="O1589" s="1">
        <f>IFERROR(__xludf.DUMMYFUNCTION("""COMPUTED_VALUE"""),"Business to Business, Business to Consumer, Business to Government, Business to Schools")</f>
        <v/>
      </c>
      <c r="P1589" s="1">
        <f>IFERROR(__xludf.DUMMYFUNCTION("""COMPUTED_VALUE"""),"Primary Education, Secondary Education")</f>
        <v/>
      </c>
      <c r="Q1589" s="1">
        <f>IFERROR(__xludf.DUMMYFUNCTION("""COMPUTED_VALUE"""),"System/Administrative, Student interfacing, Teacher interfacing")</f>
        <v/>
      </c>
      <c r="R1589" s="1" t="n"/>
      <c r="S1589" s="1" t="n"/>
      <c r="T1589" s="1" t="n"/>
      <c r="U1589" s="1" t="n"/>
      <c r="V1589" s="1" t="n"/>
      <c r="W1589" s="1" t="n"/>
      <c r="X1589" s="1" t="n"/>
      <c r="Y1589" s="15">
        <f>IFERROR(__xludf.DUMMYFUNCTION("""COMPUTED_VALUE"""),"https://drive.google.com/uc?export=view&amp;id=1VKsJ4X0o00-xlzLv84e1LgZxCKkWe_U3")</f>
        <v/>
      </c>
      <c r="Z1589" s="1">
        <f>IFERROR(__xludf.DUMMYFUNCTION("""COMPUTED_VALUE"""),"Unverified")</f>
        <v/>
      </c>
      <c r="AA1589" s="1" t="n"/>
      <c r="AB1589" s="1" t="n"/>
      <c r="AC1589" s="1" t="n"/>
      <c r="AD1589" s="1" t="n"/>
      <c r="AE1589" s="1" t="n"/>
    </row>
    <row r="1590" ht="42" customHeight="1">
      <c r="A1590" s="14">
        <f>IFERROR(__xludf.DUMMYFUNCTION("""COMPUTED_VALUE"""),45181)</f>
        <v/>
      </c>
      <c r="B1590" s="1">
        <f>IFERROR(__xludf.DUMMYFUNCTION("""COMPUTED_VALUE"""),"ORG_1761")</f>
        <v/>
      </c>
      <c r="C1590" s="1">
        <f>IFERROR(__xludf.DUMMYFUNCTION("""COMPUTED_VALUE"""),TRUE)</f>
        <v/>
      </c>
      <c r="D1590" s="1">
        <f>IFERROR(__xludf.DUMMYFUNCTION("""COMPUTED_VALUE"""),"KALÉA DIGITAL ET FORMATION")</f>
        <v/>
      </c>
      <c r="E1590" s="15">
        <f>IFERROR(__xludf.DUMMYFUNCTION("""COMPUTED_VALUE"""),"https://www.kalea-formation.com/")</f>
        <v/>
      </c>
      <c r="F1590" s="1">
        <f>IFERROR(__xludf.DUMMYFUNCTION("""COMPUTED_VALUE"""),"Committed alongside insurance players by choice and conviction for 15 years and passionate about the transformations of the sector, we combine the best teaching techniques and innovative learning materials to meet your Business, HR and operational challen"&amp;"ges.")</f>
        <v/>
      </c>
      <c r="G1590" s="1">
        <f>IFERROR(__xludf.DUMMYFUNCTION("""COMPUTED_VALUE"""),"EdTech France")</f>
        <v/>
      </c>
      <c r="H1590" s="1" t="n"/>
      <c r="I1590" s="1">
        <f>IFERROR(__xludf.DUMMYFUNCTION("""COMPUTED_VALUE"""),"rnocera@kalea-formation.com")</f>
        <v/>
      </c>
      <c r="J1590" s="1">
        <f>IFERROR(__xludf.DUMMYFUNCTION("""COMPUTED_VALUE"""),"+33141117472")</f>
        <v/>
      </c>
      <c r="K1590" s="1">
        <f>IFERROR(__xludf.DUMMYFUNCTION("""COMPUTED_VALUE"""),"Asnières sur Seine")</f>
        <v/>
      </c>
      <c r="L1590" s="1">
        <f>IFERROR(__xludf.DUMMYFUNCTION("""COMPUTED_VALUE"""),"France")</f>
        <v/>
      </c>
      <c r="M1590" s="1">
        <f>IFERROR(__xludf.DUMMYFUNCTION("""COMPUTED_VALUE"""),"France, United Kingdom")</f>
        <v/>
      </c>
      <c r="N1590" s="1">
        <f>IFERROR(__xludf.DUMMYFUNCTION("""COMPUTED_VALUE"""),"6 to 10")</f>
        <v/>
      </c>
      <c r="O1590" s="1">
        <f>IFERROR(__xludf.DUMMYFUNCTION("""COMPUTED_VALUE"""),"Business to Business, Business to Consumer, Business to Government, Business to Schools")</f>
        <v/>
      </c>
      <c r="P1590" s="1">
        <f>IFERROR(__xludf.DUMMYFUNCTION("""COMPUTED_VALUE"""),"Corporate Training")</f>
        <v/>
      </c>
      <c r="Q1590" s="1">
        <f>IFERROR(__xludf.DUMMYFUNCTION("""COMPUTED_VALUE"""),"System/Administrative, Student interfacing")</f>
        <v/>
      </c>
      <c r="R1590" s="1" t="n"/>
      <c r="S1590" s="1" t="n"/>
      <c r="T1590" s="15">
        <f>IFERROR(__xludf.DUMMYFUNCTION("""COMPUTED_VALUE"""),"https://www.linkedin.com/company/877277")</f>
        <v/>
      </c>
      <c r="U1590" s="1">
        <f>IFERROR(__xludf.DUMMYFUNCTION("""COMPUTED_VALUE"""),"TAILOR-MADE TRAINING")</f>
        <v/>
      </c>
      <c r="V1590" s="1">
        <f>IFERROR(__xludf.DUMMYFUNCTION("""COMPUTED_VALUE"""),"Launch of new products, conquest of new markets, transformation of businesses, updating of commercial methods...")</f>
        <v/>
      </c>
      <c r="W1590" s="1">
        <f>IFERROR(__xludf.DUMMYFUNCTION("""COMPUTED_VALUE"""),"CONTINUOUS-LEARNING")</f>
        <v/>
      </c>
      <c r="X1590" s="1">
        <f>IFERROR(__xludf.DUMMYFUNCTION("""COMPUTED_VALUE"""),"Continuous deciphering of news and market transformations to be constantly on the lookout for your sector of activity.")</f>
        <v/>
      </c>
      <c r="Y1590" s="15">
        <f>IFERROR(__xludf.DUMMYFUNCTION("""COMPUTED_VALUE"""),"https://drive.google.com/uc?export=view&amp;id=1ptLDTYiraAtR98N3agT-Y4-IaVehKEjI")</f>
        <v/>
      </c>
      <c r="Z1590" s="1">
        <f>IFERROR(__xludf.DUMMYFUNCTION("""COMPUTED_VALUE"""),"Unverified")</f>
        <v/>
      </c>
      <c r="AA1590" s="1" t="n"/>
      <c r="AB1590" s="1" t="n"/>
      <c r="AC1590" s="1" t="n"/>
      <c r="AD1590" s="1" t="n"/>
      <c r="AE1590" s="1" t="n"/>
    </row>
    <row r="1591" ht="42" customHeight="1">
      <c r="A1591" s="14">
        <f>IFERROR(__xludf.DUMMYFUNCTION("""COMPUTED_VALUE"""),45181)</f>
        <v/>
      </c>
      <c r="B1591" s="1">
        <f>IFERROR(__xludf.DUMMYFUNCTION("""COMPUTED_VALUE"""),"ORG_1817")</f>
        <v/>
      </c>
      <c r="C1591" s="1">
        <f>IFERROR(__xludf.DUMMYFUNCTION("""COMPUTED_VALUE"""),TRUE)</f>
        <v/>
      </c>
      <c r="D1591" s="1">
        <f>IFERROR(__xludf.DUMMYFUNCTION("""COMPUTED_VALUE"""),"laWEbox")</f>
        <v/>
      </c>
      <c r="E1591" s="15">
        <f>IFERROR(__xludf.DUMMYFUNCTION("""COMPUTED_VALUE"""),"www.laWEbox.com")</f>
        <v/>
      </c>
      <c r="F1591" s="1">
        <f>IFERROR(__xludf.DUMMYFUNCTION("""COMPUTED_VALUE"""),"laWEbox : AI for management.
This adaptative and collaborative innovative learning experience accelerate managerial transformation : mobilize, train and anchor.
laWEbox application offers different possibilities to learn and progress among peers and on"&amp;" his own, 3 of them are exclusive :
- Peer doing is the heart of the pedagogy: laWEbox contents enable people to experiment and challenge their practices, among peers, in teams sharing
- Lazare, laWEbox AI chatbot, answers all management questions by offe"&amp;"ring concrete techniques in reply. Lazare is a virtual ""management assistant"".
- Auto-adjustment of contents sent according to participants needs and feedbacks")</f>
        <v/>
      </c>
      <c r="G1591" s="1">
        <f>IFERROR(__xludf.DUMMYFUNCTION("""COMPUTED_VALUE"""),"EdTech France")</f>
        <v/>
      </c>
      <c r="H1591" s="1">
        <f>IFERROR(__xludf.DUMMYFUNCTION("""COMPUTED_VALUE"""),"English, French")</f>
        <v/>
      </c>
      <c r="I1591" s="1">
        <f>IFERROR(__xludf.DUMMYFUNCTION("""COMPUTED_VALUE"""),"onvousecoute@lawebox.com")</f>
        <v/>
      </c>
      <c r="J1591" s="1">
        <f>IFERROR(__xludf.DUMMYFUNCTION("""COMPUTED_VALUE"""),"+33677114856")</f>
        <v/>
      </c>
      <c r="K1591" s="1">
        <f>IFERROR(__xludf.DUMMYFUNCTION("""COMPUTED_VALUE"""),"Paris")</f>
        <v/>
      </c>
      <c r="L1591" s="1">
        <f>IFERROR(__xludf.DUMMYFUNCTION("""COMPUTED_VALUE"""),"France")</f>
        <v/>
      </c>
      <c r="M1591"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591" s="1">
        <f>IFERROR(__xludf.DUMMYFUNCTION("""COMPUTED_VALUE"""),"3 to 5")</f>
        <v/>
      </c>
      <c r="O1591" s="1">
        <f>IFERROR(__xludf.DUMMYFUNCTION("""COMPUTED_VALUE"""),"Business to Business, Business to Consumer, Business to Schools")</f>
        <v/>
      </c>
      <c r="P1591" s="1">
        <f>IFERROR(__xludf.DUMMYFUNCTION("""COMPUTED_VALUE"""),"Corporate Training, Lifelong learning/Adult education")</f>
        <v/>
      </c>
      <c r="Q1591" s="1">
        <f>IFERROR(__xludf.DUMMYFUNCTION("""COMPUTED_VALUE"""),"System/Administrative")</f>
        <v/>
      </c>
      <c r="R1591" s="15">
        <f>IFERROR(__xludf.DUMMYFUNCTION("""COMPUTED_VALUE"""),"https://www.instagram.com/lawebox/?hl=fr")</f>
        <v/>
      </c>
      <c r="S1591" s="15">
        <f>IFERROR(__xludf.DUMMYFUNCTION("""COMPUTED_VALUE"""),"https://mobile.twitter.com/adebernardy")</f>
        <v/>
      </c>
      <c r="T1591" s="15">
        <f>IFERROR(__xludf.DUMMYFUNCTION("""COMPUTED_VALUE"""),"https://www.linkedin.com/company/18363081/admin/")</f>
        <v/>
      </c>
      <c r="U1591" s="1">
        <f>IFERROR(__xludf.DUMMYFUNCTION("""COMPUTED_VALUE"""),"laWEroom")</f>
        <v/>
      </c>
      <c r="V1591" s="1">
        <f>IFERROR(__xludf.DUMMYFUNCTION("""COMPUTED_VALUE"""),"What’s the point? laWEbox platform serves as a common thread in the training courses or managerial transformation to anchor good practices and key actions. PeerDoing = transformation acceleration
What will you find in laWEroom?
-short contents to jump in"&amp;"to action
-a cocoaching pair to choose among your peer group
-quizzes to test your knowledge
-a learning community of colleagues in your pocket to ask your questions and tips
-gamification to gain additional features
For which deliverables?
-Stimulation "&amp;"to grow: extend the virtual classroom with concrete technics answering the question « how can I use those learnings today? »
-Helpfull solutions: a managerial toolkit collecting the best practices of all the TEDI groups of manager (thanks to IA)
-Way forw"&amp;"ard: a personal map presenting your strengths and areas of progress")</f>
        <v/>
      </c>
      <c r="W1591" s="1" t="n"/>
      <c r="X1591" s="1" t="n"/>
      <c r="Y1591" s="15">
        <f>IFERROR(__xludf.DUMMYFUNCTION("""COMPUTED_VALUE"""),"https://drive.google.com/uc?export=view&amp;id=1btGQlVTjZ3akbFF6Z9bJGeFP_VLP3ili")</f>
        <v/>
      </c>
      <c r="Z1591" s="1">
        <f>IFERROR(__xludf.DUMMYFUNCTION("""COMPUTED_VALUE"""),"Unverified")</f>
        <v/>
      </c>
      <c r="AA1591" s="1" t="n"/>
      <c r="AB1591" s="1" t="n"/>
      <c r="AC1591" s="1" t="n"/>
      <c r="AD1591" s="1" t="n"/>
      <c r="AE1591" s="1" t="n"/>
    </row>
    <row r="1592" ht="42" customHeight="1">
      <c r="A1592" s="14">
        <f>IFERROR(__xludf.DUMMYFUNCTION("""COMPUTED_VALUE"""),45181)</f>
        <v/>
      </c>
      <c r="B1592" s="1">
        <f>IFERROR(__xludf.DUMMYFUNCTION("""COMPUTED_VALUE"""),"ORG_1818")</f>
        <v/>
      </c>
      <c r="C1592" s="1">
        <f>IFERROR(__xludf.DUMMYFUNCTION("""COMPUTED_VALUE"""),TRUE)</f>
        <v/>
      </c>
      <c r="D1592" s="1">
        <f>IFERROR(__xludf.DUMMYFUNCTION("""COMPUTED_VALUE"""),"LawStar")</f>
        <v/>
      </c>
      <c r="E1592" s="15">
        <f>IFERROR(__xludf.DUMMYFUNCTION("""COMPUTED_VALUE"""),"www.lawstar.at")</f>
        <v/>
      </c>
      <c r="F1592" s="1">
        <f>IFERROR(__xludf.DUMMYFUNCTION("""COMPUTED_VALUE"""),"LawStar is a platform and service which offers students and others to prepare for exam, test and overall to educate and extend their knowledge and skills in the fields of law, tax and economics with video courses and webinars.
Additionally its a community"&amp;" based platform offering daily law and tax news, access to governments law database (RIS) and other feature as quizzes etc.")</f>
        <v/>
      </c>
      <c r="G1592" s="1">
        <f>IFERROR(__xludf.DUMMYFUNCTION("""COMPUTED_VALUE"""),"I'm not part of any EdTech association")</f>
        <v/>
      </c>
      <c r="H1592" s="1" t="n"/>
      <c r="I1592" s="1">
        <f>IFERROR(__xludf.DUMMYFUNCTION("""COMPUTED_VALUE"""),"office@lawstar.at")</f>
        <v/>
      </c>
      <c r="J1592" s="1">
        <f>IFERROR(__xludf.DUMMYFUNCTION("""COMPUTED_VALUE"""),"+43 664 42 30 007")</f>
        <v/>
      </c>
      <c r="K1592" s="1">
        <f>IFERROR(__xludf.DUMMYFUNCTION("""COMPUTED_VALUE"""),"Vienna")</f>
        <v/>
      </c>
      <c r="L1592" s="1">
        <f>IFERROR(__xludf.DUMMYFUNCTION("""COMPUTED_VALUE"""),"Austria")</f>
        <v/>
      </c>
      <c r="M1592" s="1">
        <f>IFERROR(__xludf.DUMMYFUNCTION("""COMPUTED_VALUE"""),"Austria")</f>
        <v/>
      </c>
      <c r="N1592" s="1">
        <f>IFERROR(__xludf.DUMMYFUNCTION("""COMPUTED_VALUE"""),"0 to 10")</f>
        <v/>
      </c>
      <c r="O1592" s="1">
        <f>IFERROR(__xludf.DUMMYFUNCTION("""COMPUTED_VALUE"""),"Business to Business, Business to Government")</f>
        <v/>
      </c>
      <c r="P1592" s="1">
        <f>IFERROR(__xludf.DUMMYFUNCTION("""COMPUTED_VALUE"""),"Higher Education, Corporate Training, Lifelong learning/Adult education")</f>
        <v/>
      </c>
      <c r="Q1592" s="1">
        <f>IFERROR(__xludf.DUMMYFUNCTION("""COMPUTED_VALUE"""),"Student interfacing, System/Administrative")</f>
        <v/>
      </c>
      <c r="R1592" s="1" t="n"/>
      <c r="S1592" s="1" t="n"/>
      <c r="T1592" s="1" t="n"/>
      <c r="U1592" s="1" t="n"/>
      <c r="V1592" s="1" t="n"/>
      <c r="W1592" s="1" t="n"/>
      <c r="X1592" s="1" t="n"/>
      <c r="Y1592" s="15">
        <f>IFERROR(__xludf.DUMMYFUNCTION("""COMPUTED_VALUE"""),"https://drive.google.com/uc?export=view&amp;id=1P2GVMc3kitRyEuwnimfored0CbyyPwF8")</f>
        <v/>
      </c>
      <c r="Z1592" s="1">
        <f>IFERROR(__xludf.DUMMYFUNCTION("""COMPUTED_VALUE"""),"Unverified")</f>
        <v/>
      </c>
      <c r="AA1592" s="1" t="n"/>
      <c r="AB1592" s="1" t="n"/>
      <c r="AC1592" s="1" t="n"/>
      <c r="AD1592" s="1" t="n"/>
      <c r="AE1592" s="1" t="n"/>
    </row>
    <row r="1593" ht="42" customHeight="1">
      <c r="A1593" s="14">
        <f>IFERROR(__xludf.DUMMYFUNCTION("""COMPUTED_VALUE"""),45181)</f>
        <v/>
      </c>
      <c r="B1593" s="1">
        <f>IFERROR(__xludf.DUMMYFUNCTION("""COMPUTED_VALUE"""),"ORG_1819")</f>
        <v/>
      </c>
      <c r="C1593" s="1">
        <f>IFERROR(__xludf.DUMMYFUNCTION("""COMPUTED_VALUE"""),TRUE)</f>
        <v/>
      </c>
      <c r="D1593" s="1">
        <f>IFERROR(__xludf.DUMMYFUNCTION("""COMPUTED_VALUE"""),"Le Bahut")</f>
        <v/>
      </c>
      <c r="E1593" s="15">
        <f>IFERROR(__xludf.DUMMYFUNCTION("""COMPUTED_VALUE"""),"https://le-bahut.com/")</f>
        <v/>
      </c>
      <c r="F1593" s="1">
        <f>IFERROR(__xludf.DUMMYFUNCTION("""COMPUTED_VALUE"""),"Le Bahut is a school dedicated to new jobs.
Our first course is dedicated to Digital Learning and opened in Lyon in September 2020.
Our ambition is to train Digital Learning Managers capable of designing complete training modules, from gathering require"&amp;"ments to the technical production of tools, including the popularisation of content, graphic design and project management.
Our second course is dedicated to the job of Artificial Intelligence Project Manager and will open in April 2024.
Our ambition is"&amp;" to train project managers capable of acting as the interface between operational business people and data scientists, in order to create truly useful and effective solutions.")</f>
        <v/>
      </c>
      <c r="G1593" s="1">
        <f>IFERROR(__xludf.DUMMYFUNCTION("""COMPUTED_VALUE"""),"EdTech France")</f>
        <v/>
      </c>
      <c r="H1593" s="1">
        <f>IFERROR(__xludf.DUMMYFUNCTION("""COMPUTED_VALUE"""),"French")</f>
        <v/>
      </c>
      <c r="I1593" s="1">
        <f>IFERROR(__xludf.DUMMYFUNCTION("""COMPUTED_VALUE"""),"contact@le-bahut.com")</f>
        <v/>
      </c>
      <c r="J1593" s="1">
        <f>IFERROR(__xludf.DUMMYFUNCTION("""COMPUTED_VALUE"""),"+33609924038")</f>
        <v/>
      </c>
      <c r="K1593" s="1">
        <f>IFERROR(__xludf.DUMMYFUNCTION("""COMPUTED_VALUE"""),"LYON")</f>
        <v/>
      </c>
      <c r="L1593" s="1">
        <f>IFERROR(__xludf.DUMMYFUNCTION("""COMPUTED_VALUE"""),"France")</f>
        <v/>
      </c>
      <c r="M1593" s="1">
        <f>IFERROR(__xludf.DUMMYFUNCTION("""COMPUTED_VALUE"""),"Belgium, France, Luxembourg, Monaco, Switzerland")</f>
        <v/>
      </c>
      <c r="N1593" s="1">
        <f>IFERROR(__xludf.DUMMYFUNCTION("""COMPUTED_VALUE"""),"11 to 50")</f>
        <v/>
      </c>
      <c r="O1593" s="1">
        <f>IFERROR(__xludf.DUMMYFUNCTION("""COMPUTED_VALUE"""),"Business to Business, Business to Government, Business to Schools")</f>
        <v/>
      </c>
      <c r="P1593" s="1">
        <f>IFERROR(__xludf.DUMMYFUNCTION("""COMPUTED_VALUE"""),"Corporate Training, Lifelong learning/Adult education, Higher Education")</f>
        <v/>
      </c>
      <c r="Q1593" s="1">
        <f>IFERROR(__xludf.DUMMYFUNCTION("""COMPUTED_VALUE"""),"Teacher interfacing, System/Administrative, Student interfacing")</f>
        <v/>
      </c>
      <c r="R1593" s="1" t="n"/>
      <c r="S1593" s="15">
        <f>IFERROR(__xludf.DUMMYFUNCTION("""COMPUTED_VALUE"""),"https://twitter.com/sydopedago")</f>
        <v/>
      </c>
      <c r="T1593" s="15">
        <f>IFERROR(__xludf.DUMMYFUNCTION("""COMPUTED_VALUE"""),"https://www.linkedin.com/school/le-bahut-lyon/")</f>
        <v/>
      </c>
      <c r="U1593" s="1">
        <f>IFERROR(__xludf.DUMMYFUNCTION("""COMPUTED_VALUE"""),"Ecole Le Bahut")</f>
        <v/>
      </c>
      <c r="V1593" s="1">
        <f>IFERROR(__xludf.DUMMYFUNCTION("""COMPUTED_VALUE"""),"Le Bahut is a school which trains Digital Learning Managers and AI Project Managers in 13 weeks.")</f>
        <v/>
      </c>
      <c r="W1593" s="1">
        <f>IFERROR(__xludf.DUMMYFUNCTION("""COMPUTED_VALUE"""),"Formations Le Bahut")</f>
        <v/>
      </c>
      <c r="X1593" s="1">
        <f>IFERROR(__xludf.DUMMYFUNCTION("""COMPUTED_VALUE"""),"Le Bahut offers trainings on Digital Learning and on AI for professionals and trainers.")</f>
        <v/>
      </c>
      <c r="Y1593" s="15">
        <f>IFERROR(__xludf.DUMMYFUNCTION("""COMPUTED_VALUE"""),"https://drive.google.com/uc?export=view&amp;id=18yCtVW8hwBti0HkRjnCog_NtZV5K4aCT")</f>
        <v/>
      </c>
      <c r="Z1593" s="1">
        <f>IFERROR(__xludf.DUMMYFUNCTION("""COMPUTED_VALUE"""),"Unverified")</f>
        <v/>
      </c>
      <c r="AA1593" s="1" t="n"/>
      <c r="AB1593" s="1" t="n"/>
      <c r="AC1593" s="1" t="n"/>
      <c r="AD1593" s="1" t="n"/>
      <c r="AE1593" s="1" t="n"/>
    </row>
    <row r="1594" ht="42" customHeight="1">
      <c r="A1594" s="14">
        <f>IFERROR(__xludf.DUMMYFUNCTION("""COMPUTED_VALUE"""),45181)</f>
        <v/>
      </c>
      <c r="B1594" s="1">
        <f>IFERROR(__xludf.DUMMYFUNCTION("""COMPUTED_VALUE"""),"ORG_1820")</f>
        <v/>
      </c>
      <c r="C1594" s="1">
        <f>IFERROR(__xludf.DUMMYFUNCTION("""COMPUTED_VALUE"""),TRUE)</f>
        <v/>
      </c>
      <c r="D1594" s="1">
        <f>IFERROR(__xludf.DUMMYFUNCTION("""COMPUTED_VALUE"""),"Le Coin du Prof")</f>
        <v/>
      </c>
      <c r="E1594" s="15">
        <f>IFERROR(__xludf.DUMMYFUNCTION("""COMPUTED_VALUE"""),"www.lecoinduprof.fr")</f>
        <v/>
      </c>
      <c r="F1594" s="1">
        <f>IFERROR(__xludf.DUMMYFUNCTION("""COMPUTED_VALUE"""),"Le Coin du Prof is a all-in-one platform which :
- make teacher's work easier
- offer motivating learning material for students")</f>
        <v/>
      </c>
      <c r="G1594" s="1">
        <f>IFERROR(__xludf.DUMMYFUNCTION("""COMPUTED_VALUE"""),"AFINEF, EdTech France")</f>
        <v/>
      </c>
      <c r="H1594" s="1">
        <f>IFERROR(__xludf.DUMMYFUNCTION("""COMPUTED_VALUE"""),"French")</f>
        <v/>
      </c>
      <c r="I1594" s="1">
        <f>IFERROR(__xludf.DUMMYFUNCTION("""COMPUTED_VALUE"""),"contact@lecoinduprof.fr")</f>
        <v/>
      </c>
      <c r="J1594" s="1" t="n"/>
      <c r="K1594" s="1">
        <f>IFERROR(__xludf.DUMMYFUNCTION("""COMPUTED_VALUE"""),"BORDEAUX")</f>
        <v/>
      </c>
      <c r="L1594" s="1">
        <f>IFERROR(__xludf.DUMMYFUNCTION("""COMPUTED_VALUE"""),"France")</f>
        <v/>
      </c>
      <c r="M1594" s="1">
        <f>IFERROR(__xludf.DUMMYFUNCTION("""COMPUTED_VALUE"""),"France")</f>
        <v/>
      </c>
      <c r="N1594" s="1">
        <f>IFERROR(__xludf.DUMMYFUNCTION("""COMPUTED_VALUE"""),"0 to 2")</f>
        <v/>
      </c>
      <c r="O1594" s="1">
        <f>IFERROR(__xludf.DUMMYFUNCTION("""COMPUTED_VALUE"""),"Business to Business, Business to Government, Business to Schools")</f>
        <v/>
      </c>
      <c r="P1594" s="1">
        <f>IFERROR(__xludf.DUMMYFUNCTION("""COMPUTED_VALUE"""),"Secondary Education")</f>
        <v/>
      </c>
      <c r="Q1594" s="1">
        <f>IFERROR(__xludf.DUMMYFUNCTION("""COMPUTED_VALUE"""),"Teacher interfacing")</f>
        <v/>
      </c>
      <c r="R1594" s="1" t="n"/>
      <c r="S1594" s="1" t="n"/>
      <c r="T1594" s="15">
        <f>IFERROR(__xludf.DUMMYFUNCTION("""COMPUTED_VALUE"""),"https://www.linkedin.com/company/le-coin-du-prof/")</f>
        <v/>
      </c>
      <c r="U1594" s="1">
        <f>IFERROR(__xludf.DUMMYFUNCTION("""COMPUTED_VALUE"""),"MathTeacher's Corner")</f>
        <v/>
      </c>
      <c r="V1594" s="1">
        <f>IFERROR(__xludf.DUMMYFUNCTION("""COMPUTED_VALUE"""),"Math Teacher's Corner is a all-in-one platform where math teachers can customize turnkey learning material (such as ritual activities, escape games, assessments), organize their work and use motivating tools for their students.")</f>
        <v/>
      </c>
      <c r="W1594" s="1" t="n"/>
      <c r="X1594" s="1" t="n"/>
      <c r="Y1594" s="15">
        <f>IFERROR(__xludf.DUMMYFUNCTION("""COMPUTED_VALUE"""),"https://drive.google.com/uc?export=view&amp;id=13nG-7BeWGwwRxgF81WIn8SqgPkE8WPcL")</f>
        <v/>
      </c>
      <c r="Z1594" s="1">
        <f>IFERROR(__xludf.DUMMYFUNCTION("""COMPUTED_VALUE"""),"Unverified")</f>
        <v/>
      </c>
      <c r="AA1594" s="1" t="n"/>
      <c r="AB1594" s="1" t="n"/>
      <c r="AC1594" s="1" t="n"/>
      <c r="AD1594" s="1" t="n"/>
      <c r="AE1594" s="1" t="n"/>
    </row>
    <row r="1595" ht="42" customHeight="1">
      <c r="A1595" s="14">
        <f>IFERROR(__xludf.DUMMYFUNCTION("""COMPUTED_VALUE"""),45181)</f>
        <v/>
      </c>
      <c r="B1595" s="1">
        <f>IFERROR(__xludf.DUMMYFUNCTION("""COMPUTED_VALUE"""),"ORG_1821")</f>
        <v/>
      </c>
      <c r="C1595" s="1">
        <f>IFERROR(__xludf.DUMMYFUNCTION("""COMPUTED_VALUE"""),TRUE)</f>
        <v/>
      </c>
      <c r="D1595" s="1">
        <f>IFERROR(__xludf.DUMMYFUNCTION("""COMPUTED_VALUE"""),"Le Reacteur - Coding Bootcamp")</f>
        <v/>
      </c>
      <c r="E1595" s="15">
        <f>IFERROR(__xludf.DUMMYFUNCTION("""COMPUTED_VALUE"""),"https://www.lereacteur.io")</f>
        <v/>
      </c>
      <c r="F1595" s="1">
        <f>IFERROR(__xludf.DUMMYFUNCTION("""COMPUTED_VALUE"""),"Le Reacteur est un coding bootcamp qui enseigne la programmation aux personnes en reconversion professionnelle. Initialement spécialisé dans le JavaScript et le framework React, notre organisme propose une formation qui se décline en deux formats - temps "&amp;"plein et temps partiel - afin de se former au métier de développeur Full-Stack Web et Mobile. Localisé à Paris, il est possible de suivre nos formations sur place ou à distance.")</f>
        <v/>
      </c>
      <c r="G1595" s="1">
        <f>IFERROR(__xludf.DUMMYFUNCTION("""COMPUTED_VALUE"""),"EdTech France")</f>
        <v/>
      </c>
      <c r="H1595" s="1" t="n"/>
      <c r="I1595" s="1">
        <f>IFERROR(__xludf.DUMMYFUNCTION("""COMPUTED_VALUE"""),"contact@lereacteur.io")</f>
        <v/>
      </c>
      <c r="J1595" s="1">
        <f>IFERROR(__xludf.DUMMYFUNCTION("""COMPUTED_VALUE"""),"+ 33 1 79 738 728")</f>
        <v/>
      </c>
      <c r="K1595" s="1">
        <f>IFERROR(__xludf.DUMMYFUNCTION("""COMPUTED_VALUE"""),"PARIS")</f>
        <v/>
      </c>
      <c r="L1595" s="1">
        <f>IFERROR(__xludf.DUMMYFUNCTION("""COMPUTED_VALUE"""),"France")</f>
        <v/>
      </c>
      <c r="M1595" s="1">
        <f>IFERROR(__xludf.DUMMYFUNCTION("""COMPUTED_VALUE"""),"Belgium, France, Luxembourg")</f>
        <v/>
      </c>
      <c r="N1595" s="1">
        <f>IFERROR(__xludf.DUMMYFUNCTION("""COMPUTED_VALUE"""),"0 to 10")</f>
        <v/>
      </c>
      <c r="O1595" s="1">
        <f>IFERROR(__xludf.DUMMYFUNCTION("""COMPUTED_VALUE"""),"Business to Business, Business to Government, Business to Schools")</f>
        <v/>
      </c>
      <c r="P1595" s="1">
        <f>IFERROR(__xludf.DUMMYFUNCTION("""COMPUTED_VALUE"""),"Higher Education, Corporate Training, Lifelong learning/Adult education")</f>
        <v/>
      </c>
      <c r="Q1595" s="1">
        <f>IFERROR(__xludf.DUMMYFUNCTION("""COMPUTED_VALUE"""),"Student interfacing")</f>
        <v/>
      </c>
      <c r="R1595" s="15">
        <f>IFERROR(__xludf.DUMMYFUNCTION("""COMPUTED_VALUE"""),"https://www.instagram.com/lereacteur.io")</f>
        <v/>
      </c>
      <c r="S1595" s="15">
        <f>IFERROR(__xludf.DUMMYFUNCTION("""COMPUTED_VALUE"""),"https://twitter.com/LeReacteurIO")</f>
        <v/>
      </c>
      <c r="T1595" s="15">
        <f>IFERROR(__xludf.DUMMYFUNCTION("""COMPUTED_VALUE"""),"https://www.linkedin.com/school/13211127/admin/")</f>
        <v/>
      </c>
      <c r="U1595" s="1">
        <f>IFERROR(__xludf.DUMMYFUNCTION("""COMPUTED_VALUE"""),"Bootcamp Full-Stack JavaScript Web &amp; Mobile")</f>
        <v/>
      </c>
      <c r="V1595" s="1">
        <f>IFERROR(__xludf.DUMMYFUNCTION("""COMPUTED_VALUE"""),"This training allows you to train as a Web and Mobile developer. In a 10-week full-time or 25-week part-time format, we teach different programming languages such as: JavaScript, Node.js, HTML/CSS, React and React Native. It is possible to follow the curr"&amp;"iculum on site in Paris (France) or by distance learning. The training is project-oriented, which means that the students realize more than ten replicas of websites or mobile applications during their training. During the last two weeks, students are put "&amp;"in touch with startups to create MVPs. After the training, students are invited to go on a 4 to 6 month internship in a company, to complete their course with a professional experience.
Translated with www.DeepL.com/Translator (free version)")</f>
        <v/>
      </c>
      <c r="W1595" s="1" t="n"/>
      <c r="X1595" s="1" t="n"/>
      <c r="Y1595" s="15">
        <f>IFERROR(__xludf.DUMMYFUNCTION("""COMPUTED_VALUE"""),"https://drive.google.com/uc?export=view&amp;id=1JJs9LwYrFPgU0cS00mS_G0Ovw5G2HgkW")</f>
        <v/>
      </c>
      <c r="Z1595" s="1">
        <f>IFERROR(__xludf.DUMMYFUNCTION("""COMPUTED_VALUE"""),"Unverified")</f>
        <v/>
      </c>
      <c r="AA1595" s="1" t="n"/>
      <c r="AB1595" s="1" t="n"/>
      <c r="AC1595" s="1" t="n"/>
      <c r="AD1595" s="1" t="n"/>
      <c r="AE1595" s="1" t="n"/>
    </row>
    <row r="1596" ht="42" customHeight="1">
      <c r="A1596" s="14">
        <f>IFERROR(__xludf.DUMMYFUNCTION("""COMPUTED_VALUE"""),45181)</f>
        <v/>
      </c>
      <c r="B1596" s="1">
        <f>IFERROR(__xludf.DUMMYFUNCTION("""COMPUTED_VALUE"""),"ORG_1918")</f>
        <v/>
      </c>
      <c r="C1596" s="1">
        <f>IFERROR(__xludf.DUMMYFUNCTION("""COMPUTED_VALUE"""),TRUE)</f>
        <v/>
      </c>
      <c r="D1596" s="1">
        <f>IFERROR(__xludf.DUMMYFUNCTION("""COMPUTED_VALUE"""),"Maria Schools")</f>
        <v/>
      </c>
      <c r="E1596" s="15">
        <f>IFERROR(__xludf.DUMMYFUNCTION("""COMPUTED_VALUE"""),"https://www.mariaschools.com/")</f>
        <v/>
      </c>
      <c r="F1596" s="1">
        <f>IFERROR(__xludf.DUMMYFUNCTION("""COMPUTED_VALUE"""),"Maria, the campus that trains for the future
The creation of Maria Schools was born out of Agnes Alazard's and Annabelle Bignon's bet to create a place of meeting, exchange, experimentation, a big house where one accepts not to know, and to learn every d"&amp;"ay.
Maria Schools is a new kind of school campus to enable lifelong employability.
Our goal is to reinvent adult education to build confidence and empower people to take charge of their professional future. 
Today we have three schools on our campus, Lio"&amp;"n, Maestro et Hero, with a fourth coming up in 2022.")</f>
        <v/>
      </c>
      <c r="G1596" s="1">
        <f>IFERROR(__xludf.DUMMYFUNCTION("""COMPUTED_VALUE"""),"I'm not part of any EdTech association")</f>
        <v/>
      </c>
      <c r="H1596" s="1" t="n"/>
      <c r="I1596" s="1">
        <f>IFERROR(__xludf.DUMMYFUNCTION("""COMPUTED_VALUE"""),"hello@mariaschools.com")</f>
        <v/>
      </c>
      <c r="J1596" s="1" t="n"/>
      <c r="K1596" s="1">
        <f>IFERROR(__xludf.DUMMYFUNCTION("""COMPUTED_VALUE"""),"Paris")</f>
        <v/>
      </c>
      <c r="L1596" s="1">
        <f>IFERROR(__xludf.DUMMYFUNCTION("""COMPUTED_VALUE"""),"France")</f>
        <v/>
      </c>
      <c r="M1596" s="1">
        <f>IFERROR(__xludf.DUMMYFUNCTION("""COMPUTED_VALUE"""),"France")</f>
        <v/>
      </c>
      <c r="N1596" s="1">
        <f>IFERROR(__xludf.DUMMYFUNCTION("""COMPUTED_VALUE"""),"11 to 50")</f>
        <v/>
      </c>
      <c r="O1596" s="1">
        <f>IFERROR(__xludf.DUMMYFUNCTION("""COMPUTED_VALUE"""),"Business to Business, Business to Government, Business to Schools")</f>
        <v/>
      </c>
      <c r="P1596" s="1">
        <f>IFERROR(__xludf.DUMMYFUNCTION("""COMPUTED_VALUE"""),"Corporate Training, Lifelong learning/Adult education")</f>
        <v/>
      </c>
      <c r="Q1596" s="1">
        <f>IFERROR(__xludf.DUMMYFUNCTION("""COMPUTED_VALUE"""),"Teacher interfacing, Student interfacing, System/Administrative")</f>
        <v/>
      </c>
      <c r="R1596" s="1" t="n"/>
      <c r="S1596" s="1" t="n"/>
      <c r="T1596" s="1" t="n"/>
      <c r="U1596" s="1" t="n"/>
      <c r="V1596" s="1" t="n"/>
      <c r="W1596" s="1" t="n"/>
      <c r="X1596" s="1" t="n"/>
      <c r="Y1596" s="15">
        <f>IFERROR(__xludf.DUMMYFUNCTION("""COMPUTED_VALUE"""),"https://drive.google.com/uc?export=view&amp;id=19lPxeoZ7D003S5ClcJ2bcpKIEZOj_nIo")</f>
        <v/>
      </c>
      <c r="Z1596" s="1">
        <f>IFERROR(__xludf.DUMMYFUNCTION("""COMPUTED_VALUE"""),"Unverified")</f>
        <v/>
      </c>
      <c r="AA1596" s="1" t="n"/>
      <c r="AB1596" s="1" t="n"/>
      <c r="AC1596" s="1" t="n"/>
      <c r="AD1596" s="1" t="n"/>
      <c r="AE1596" s="1" t="n"/>
    </row>
    <row r="1597" ht="42" customHeight="1">
      <c r="A1597" s="14">
        <f>IFERROR(__xludf.DUMMYFUNCTION("""COMPUTED_VALUE"""),45181)</f>
        <v/>
      </c>
      <c r="B1597" s="1">
        <f>IFERROR(__xludf.DUMMYFUNCTION("""COMPUTED_VALUE"""),"ORG_1929")</f>
        <v/>
      </c>
      <c r="C1597" s="1">
        <f>IFERROR(__xludf.DUMMYFUNCTION("""COMPUTED_VALUE"""),TRUE)</f>
        <v/>
      </c>
      <c r="D1597" s="1">
        <f>IFERROR(__xludf.DUMMYFUNCTION("""COMPUTED_VALUE"""),"MathLive")</f>
        <v/>
      </c>
      <c r="E1597" s="15">
        <f>IFERROR(__xludf.DUMMYFUNCTION("""COMPUTED_VALUE"""),"https://mathlive.fr/")</f>
        <v/>
      </c>
      <c r="F1597" s="1">
        <f>IFERROR(__xludf.DUMMYFUNCTION("""COMPUTED_VALUE"""),"Heureux Hasard is an EdTech company which creates, develops and sells collaborative and playful digital tools for scientific disciplines teaching. 
Our tools enable students during classes to perform collaborative activities in order to solve a problem or"&amp;" perform a demonstration. 
https://mathlive.fr/
https://xplive.fr/")</f>
        <v/>
      </c>
      <c r="G1597" s="1">
        <f>IFERROR(__xludf.DUMMYFUNCTION("""COMPUTED_VALUE"""),"AFINEF, EdTech France")</f>
        <v/>
      </c>
      <c r="H1597" s="1">
        <f>IFERROR(__xludf.DUMMYFUNCTION("""COMPUTED_VALUE"""),"French")</f>
        <v/>
      </c>
      <c r="I1597" s="1">
        <f>IFERROR(__xludf.DUMMYFUNCTION("""COMPUTED_VALUE"""),"jeremie@mathlive.fr")</f>
        <v/>
      </c>
      <c r="J1597" s="1">
        <f>IFERROR(__xludf.DUMMYFUNCTION("""COMPUTED_VALUE"""),"+33782454909")</f>
        <v/>
      </c>
      <c r="K1597" s="1">
        <f>IFERROR(__xludf.DUMMYFUNCTION("""COMPUTED_VALUE"""),"Velaux")</f>
        <v/>
      </c>
      <c r="L1597" s="1">
        <f>IFERROR(__xludf.DUMMYFUNCTION("""COMPUTED_VALUE"""),"France")</f>
        <v/>
      </c>
      <c r="M1597" s="1">
        <f>IFERROR(__xludf.DUMMYFUNCTION("""COMPUTED_VALUE"""),"Belgium, France, Luxembourg, Switzerland")</f>
        <v/>
      </c>
      <c r="N1597" s="1">
        <f>IFERROR(__xludf.DUMMYFUNCTION("""COMPUTED_VALUE"""),"3 to 5")</f>
        <v/>
      </c>
      <c r="O1597" s="1">
        <f>IFERROR(__xludf.DUMMYFUNCTION("""COMPUTED_VALUE"""),"Business to Business, Business to Government, Business to Schools")</f>
        <v/>
      </c>
      <c r="P1597" s="1">
        <f>IFERROR(__xludf.DUMMYFUNCTION("""COMPUTED_VALUE"""),"Secondary Education")</f>
        <v/>
      </c>
      <c r="Q1597" s="1">
        <f>IFERROR(__xludf.DUMMYFUNCTION("""COMPUTED_VALUE"""),"Student interfacing, Teacher interfacing, System/Administrative")</f>
        <v/>
      </c>
      <c r="R1597" s="1" t="n"/>
      <c r="S1597" s="15">
        <f>IFERROR(__xludf.DUMMYFUNCTION("""COMPUTED_VALUE"""),"https://twitter.com/MathliveFR")</f>
        <v/>
      </c>
      <c r="T1597" s="15">
        <f>IFERROR(__xludf.DUMMYFUNCTION("""COMPUTED_VALUE"""),"https://www.linkedin.com/company/75763624")</f>
        <v/>
      </c>
      <c r="U1597" s="1">
        <f>IFERROR(__xludf.DUMMYFUNCTION("""COMPUTED_VALUE"""),"MathLive")</f>
        <v/>
      </c>
      <c r="V1597" s="1">
        <f>IFERROR(__xludf.DUMMYFUNCTION("""COMPUTED_VALUE"""),"MathLive is an online platform which enables math teachers to perform collaborative and playful activities during classes. The platform is based on real time pooling, processing and analysis of results provided by students in order to solve problems and c"&amp;"arry out demonstrations cooperatively. While doing an activity, students visualize their own impact and also the class collective effort. Students become actors of their own learning.")</f>
        <v/>
      </c>
      <c r="W1597" s="1">
        <f>IFERROR(__xludf.DUMMYFUNCTION("""COMPUTED_VALUE"""),"XpLive")</f>
        <v/>
      </c>
      <c r="X1597" s="1">
        <f>IFERROR(__xludf.DUMMYFUNCTION("""COMPUTED_VALUE"""),"XpLive is an online platform which enables experimental sciences (chemistry, physics, biology) teachers to perform collaborative and playful activities during classes. The platform is based on real time pooling, processing and analysis of results provided"&amp;" by students in order to solve problems and carry out scientific protocols cooperatively. While doing an activity, students visualise their own impact and also the class collective effort. Students become actors of their own learning.")</f>
        <v/>
      </c>
      <c r="Y1597" s="15">
        <f>IFERROR(__xludf.DUMMYFUNCTION("""COMPUTED_VALUE"""),"https://drive.google.com/uc?export=view&amp;id=1HXR6Sz5qrmYrebZcVo7i07Uq6L3nhhYJ")</f>
        <v/>
      </c>
      <c r="Z1597" s="1">
        <f>IFERROR(__xludf.DUMMYFUNCTION("""COMPUTED_VALUE"""),"Unverified")</f>
        <v/>
      </c>
      <c r="AA1597" s="1" t="n"/>
      <c r="AB1597" s="1" t="n"/>
      <c r="AC1597" s="1" t="n"/>
      <c r="AD1597" s="1" t="n"/>
      <c r="AE1597" s="1" t="n"/>
    </row>
    <row r="1598" ht="42" customHeight="1">
      <c r="A1598" s="14">
        <f>IFERROR(__xludf.DUMMYFUNCTION("""COMPUTED_VALUE"""),45181)</f>
        <v/>
      </c>
      <c r="B1598" s="1">
        <f>IFERROR(__xludf.DUMMYFUNCTION("""COMPUTED_VALUE"""),"ORG_1942")</f>
        <v/>
      </c>
      <c r="C1598" s="1">
        <f>IFERROR(__xludf.DUMMYFUNCTION("""COMPUTED_VALUE"""),TRUE)</f>
        <v/>
      </c>
      <c r="D1598" s="1">
        <f>IFERROR(__xludf.DUMMYFUNCTION("""COMPUTED_VALUE"""),"MeetYourSchool")</f>
        <v/>
      </c>
      <c r="E1598" s="15">
        <f>IFERROR(__xludf.DUMMYFUNCTION("""COMPUTED_VALUE"""),"pro.meetyourschool.com")</f>
        <v/>
      </c>
      <c r="F1598" s="1">
        <f>IFERROR(__xludf.DUMMYFUNCTION("""COMPUTED_VALUE"""),"MeetYourSchool.com is the first virtual event platform dedicated to school and career guidance for young people. In just a few clicks and for free, you can meet hundreds of schools and companies.")</f>
        <v/>
      </c>
      <c r="G1598" s="1">
        <f>IFERROR(__xludf.DUMMYFUNCTION("""COMPUTED_VALUE"""),"EdTech France")</f>
        <v/>
      </c>
      <c r="H1598" s="1" t="n"/>
      <c r="I1598" s="1" t="n"/>
      <c r="J1598" s="1" t="n"/>
      <c r="K1598" s="1">
        <f>IFERROR(__xludf.DUMMYFUNCTION("""COMPUTED_VALUE"""),"Venelles")</f>
        <v/>
      </c>
      <c r="L1598" s="1">
        <f>IFERROR(__xludf.DUMMYFUNCTION("""COMPUTED_VALUE"""),"France")</f>
        <v/>
      </c>
      <c r="M1598" s="1">
        <f>IFERROR(__xludf.DUMMYFUNCTION("""COMPUTED_VALUE"""),"Belgium, France, Switzerland")</f>
        <v/>
      </c>
      <c r="N1598" s="1">
        <f>IFERROR(__xludf.DUMMYFUNCTION("""COMPUTED_VALUE"""),"0 to 10")</f>
        <v/>
      </c>
      <c r="O1598" s="1">
        <f>IFERROR(__xludf.DUMMYFUNCTION("""COMPUTED_VALUE"""),"Business to Business, Business to Government, Business to Schools")</f>
        <v/>
      </c>
      <c r="P1598" s="1">
        <f>IFERROR(__xludf.DUMMYFUNCTION("""COMPUTED_VALUE"""),"Secondary Education, Higher Education")</f>
        <v/>
      </c>
      <c r="Q1598" s="1">
        <f>IFERROR(__xludf.DUMMYFUNCTION("""COMPUTED_VALUE"""),"System/Administrative, Student interfacing")</f>
        <v/>
      </c>
      <c r="R1598" s="1" t="n"/>
      <c r="S1598" s="1" t="n"/>
      <c r="T1598" s="1" t="n"/>
      <c r="U1598" s="1">
        <f>IFERROR(__xludf.DUMMYFUNCTION("""COMPUTED_VALUE"""),"MeetYourSchool")</f>
        <v/>
      </c>
      <c r="V1598" s="1">
        <f>IFERROR(__xludf.DUMMYFUNCTION("""COMPUTED_VALUE"""),"MeetYourSchool.com is the first virtual event platform dedicated to school and career guidance for young people. In just a few clicks and for free, you can meet hundreds of schools and companies.")</f>
        <v/>
      </c>
      <c r="W1598" s="1" t="n"/>
      <c r="X1598" s="1" t="n"/>
      <c r="Y1598" s="15">
        <f>IFERROR(__xludf.DUMMYFUNCTION("""COMPUTED_VALUE"""),"https://drive.google.com/uc?export=view&amp;id=1LbvM2sfuK6q7TjO7DYYiabYdR47a9OPj")</f>
        <v/>
      </c>
      <c r="Z1598" s="1">
        <f>IFERROR(__xludf.DUMMYFUNCTION("""COMPUTED_VALUE"""),"Unverified")</f>
        <v/>
      </c>
      <c r="AA1598" s="1" t="n"/>
      <c r="AB1598" s="1" t="n"/>
      <c r="AC1598" s="1" t="n"/>
      <c r="AD1598" s="1" t="n"/>
      <c r="AE1598" s="1" t="n"/>
    </row>
    <row r="1599" ht="42" customHeight="1">
      <c r="A1599" s="14">
        <f>IFERROR(__xludf.DUMMYFUNCTION("""COMPUTED_VALUE"""),45181)</f>
        <v/>
      </c>
      <c r="B1599" s="1">
        <f>IFERROR(__xludf.DUMMYFUNCTION("""COMPUTED_VALUE"""),"ORG_1954")</f>
        <v/>
      </c>
      <c r="C1599" s="1">
        <f>IFERROR(__xludf.DUMMYFUNCTION("""COMPUTED_VALUE"""),TRUE)</f>
        <v/>
      </c>
      <c r="D1599" s="1">
        <f>IFERROR(__xludf.DUMMYFUNCTION("""COMPUTED_VALUE"""),"merci e-commerce")</f>
        <v/>
      </c>
      <c r="E1599" s="15">
        <f>IFERROR(__xludf.DUMMYFUNCTION("""COMPUTED_VALUE"""),"https://merci-ecommerce.fr")</f>
        <v/>
      </c>
      <c r="F1599" s="1">
        <f>IFERROR(__xludf.DUMMYFUNCTION("""COMPUTED_VALUE"""),"merci e-commerce is a French professional training organization for artisans, freelancers and retailors, which aims to help them acquire the necessary e-commerce skills required for their digital transition.")</f>
        <v/>
      </c>
      <c r="G1599" s="1">
        <f>IFERROR(__xludf.DUMMYFUNCTION("""COMPUTED_VALUE"""),"EdTech France")</f>
        <v/>
      </c>
      <c r="H1599" s="1" t="n"/>
      <c r="I1599" s="1">
        <f>IFERROR(__xludf.DUMMYFUNCTION("""COMPUTED_VALUE"""),"contact@merci-ecommerce.fr")</f>
        <v/>
      </c>
      <c r="J1599" s="1">
        <f>IFERROR(__xludf.DUMMYFUNCTION("""COMPUTED_VALUE"""),"+33 1 88 61 57 06")</f>
        <v/>
      </c>
      <c r="K1599" s="1">
        <f>IFERROR(__xludf.DUMMYFUNCTION("""COMPUTED_VALUE"""),"ARIS")</f>
        <v/>
      </c>
      <c r="L1599" s="1">
        <f>IFERROR(__xludf.DUMMYFUNCTION("""COMPUTED_VALUE"""),"France")</f>
        <v/>
      </c>
      <c r="M1599" s="1">
        <f>IFERROR(__xludf.DUMMYFUNCTION("""COMPUTED_VALUE"""),"France")</f>
        <v/>
      </c>
      <c r="N1599" s="1">
        <f>IFERROR(__xludf.DUMMYFUNCTION("""COMPUTED_VALUE"""),"0 to 10")</f>
        <v/>
      </c>
      <c r="O1599" s="1">
        <f>IFERROR(__xludf.DUMMYFUNCTION("""COMPUTED_VALUE"""),"Business to Business, Business to Government, Business to Schools")</f>
        <v/>
      </c>
      <c r="P1599" s="1">
        <f>IFERROR(__xludf.DUMMYFUNCTION("""COMPUTED_VALUE"""),"Corporate Training, Lifelong learning/Adult education")</f>
        <v/>
      </c>
      <c r="Q1599" s="1">
        <f>IFERROR(__xludf.DUMMYFUNCTION("""COMPUTED_VALUE"""),"Student interfacing, Teacher interfacing, System/Administrative")</f>
        <v/>
      </c>
      <c r="R1599" s="15">
        <f>IFERROR(__xludf.DUMMYFUNCTION("""COMPUTED_VALUE"""),"https://www.instagram.com/merciecommerce/?hl=fr")</f>
        <v/>
      </c>
      <c r="S1599" s="1" t="n"/>
      <c r="T1599" s="15">
        <f>IFERROR(__xludf.DUMMYFUNCTION("""COMPUTED_VALUE"""),"https://www.linkedin.com/company/merci-e-commerce")</f>
        <v/>
      </c>
      <c r="U1599" s="1">
        <f>IFERROR(__xludf.DUMMYFUNCTION("""COMPUTED_VALUE"""),"Ma Première Boutique en ligne")</f>
        <v/>
      </c>
      <c r="V1599" s="1">
        <f>IFERROR(__xludf.DUMMYFUNCTION("""COMPUTED_VALUE"""),"This 2 days training course (in French) aims to help all traditional retailors, freelancers and artisans acquire all the necessary skills to create their first e-commerce website. As we are Shopify Education partners, this focuses on using Shopify as a co"&amp;"ntent management system.")</f>
        <v/>
      </c>
      <c r="W1599" s="1" t="n"/>
      <c r="X1599" s="1" t="n"/>
      <c r="Y1599" s="15">
        <f>IFERROR(__xludf.DUMMYFUNCTION("""COMPUTED_VALUE"""),"https://drive.google.com/uc?export=view&amp;id=1G0mfPbvyDjqDX8SSUVosRRaDO5-JPV4C")</f>
        <v/>
      </c>
      <c r="Z1599" s="1">
        <f>IFERROR(__xludf.DUMMYFUNCTION("""COMPUTED_VALUE"""),"Unverified")</f>
        <v/>
      </c>
      <c r="AA1599" s="1" t="n"/>
      <c r="AB1599" s="1" t="n"/>
      <c r="AC1599" s="1" t="n"/>
      <c r="AD1599" s="1" t="n"/>
      <c r="AE1599" s="1" t="n"/>
    </row>
    <row r="1600" ht="42" customHeight="1">
      <c r="A1600" s="14">
        <f>IFERROR(__xludf.DUMMYFUNCTION("""COMPUTED_VALUE"""),45181)</f>
        <v/>
      </c>
      <c r="B1600" s="1">
        <f>IFERROR(__xludf.DUMMYFUNCTION("""COMPUTED_VALUE"""),"ORG_1958")</f>
        <v/>
      </c>
      <c r="C1600" s="1">
        <f>IFERROR(__xludf.DUMMYFUNCTION("""COMPUTED_VALUE"""),TRUE)</f>
        <v/>
      </c>
      <c r="D1600" s="15">
        <f>IFERROR(__xludf.DUMMYFUNCTION("""COMPUTED_VALUE"""),"Mescahiersnumeriques.com")</f>
        <v/>
      </c>
      <c r="E1600" s="15">
        <f>IFERROR(__xludf.DUMMYFUNCTION("""COMPUTED_VALUE"""),"www.mescahiersnumeriques.com")</f>
        <v/>
      </c>
      <c r="F1600" s="1">
        <f>IFERROR(__xludf.DUMMYFUNCTION("""COMPUTED_VALUE"""),"Our company has developped two webapps to help pupils to review mathematics, french, history, geography and english, in conformity with the programs of the National Education.
The first one is mescahiersdevacances.com, which is opened from the 1st of July"&amp;" to the 12th of september.
The second one is mescahiersderevisions.com, which is opened from the 13th of September to the 30th of June.
For both of them, there is a large accompaniement of the pupil with two helps very intuitives.
There is also an accompa"&amp;"niement of the parents to able them to help there child.
There are hundred of exercises to serenely prepare the child to be confortable with the level of his class.")</f>
        <v/>
      </c>
      <c r="G1600" s="1">
        <f>IFERROR(__xludf.DUMMYFUNCTION("""COMPUTED_VALUE"""),"EdTech France")</f>
        <v/>
      </c>
      <c r="H1600" s="1" t="n"/>
      <c r="I1600" s="1">
        <f>IFERROR(__xludf.DUMMYFUNCTION("""COMPUTED_VALUE"""),"emmanuel.guimberteau@jocatop.fr")</f>
        <v/>
      </c>
      <c r="J1600" s="1">
        <f>IFERROR(__xludf.DUMMYFUNCTION("""COMPUTED_VALUE"""),"+ 33 7 63 52 30 71")</f>
        <v/>
      </c>
      <c r="K1600" s="1">
        <f>IFERROR(__xludf.DUMMYFUNCTION("""COMPUTED_VALUE"""),"Morières-lès-Avignon")</f>
        <v/>
      </c>
      <c r="L1600" s="1">
        <f>IFERROR(__xludf.DUMMYFUNCTION("""COMPUTED_VALUE"""),"France")</f>
        <v/>
      </c>
      <c r="M1600" s="1">
        <f>IFERROR(__xludf.DUMMYFUNCTION("""COMPUTED_VALUE"""),"Andorra, Austria, Belgium, France, Germany, Greece, Italy, Luxembourg, Netherlands, Russia, Spain, Switzerland, Turkey, United Kingdom")</f>
        <v/>
      </c>
      <c r="N1600" s="1">
        <f>IFERROR(__xludf.DUMMYFUNCTION("""COMPUTED_VALUE"""),"0 to 10")</f>
        <v/>
      </c>
      <c r="O1600" s="1">
        <f>IFERROR(__xludf.DUMMYFUNCTION("""COMPUTED_VALUE"""),"Business to Business, Business to Government, Business to Schools")</f>
        <v/>
      </c>
      <c r="P1600" s="1">
        <f>IFERROR(__xludf.DUMMYFUNCTION("""COMPUTED_VALUE"""),"Primary Education")</f>
        <v/>
      </c>
      <c r="Q1600" s="1">
        <f>IFERROR(__xludf.DUMMYFUNCTION("""COMPUTED_VALUE"""),"System/Administrative, Student interfacing")</f>
        <v/>
      </c>
      <c r="R1600" s="15">
        <f>IFERROR(__xludf.DUMMYFUNCTION("""COMPUTED_VALUE"""),"https://www.instagram.com/mescahiersnumeriques/")</f>
        <v/>
      </c>
      <c r="S1600" s="1" t="n"/>
      <c r="T1600" s="15">
        <f>IFERROR(__xludf.DUMMYFUNCTION("""COMPUTED_VALUE"""),"https://www.linkedin.com/company/mes-cahiers-num%C3%A9riques/?viewAsMember=true")</f>
        <v/>
      </c>
      <c r="U1600" s="15">
        <f>IFERROR(__xludf.DUMMYFUNCTION("""COMPUTED_VALUE"""),"mescahiersdevacances.com")</f>
        <v/>
      </c>
      <c r="V1600" s="1">
        <f>IFERROR(__xludf.DUMMYFUNCTION("""COMPUTED_VALUE"""),"With mescahiersdevacances.com, children from 6 to 11 years old are accompanied to review the program of the level that they have just left.
Open from the 1st of July to the 12th of September, our webapp is in conformity with the programs of the National "&amp;"Education.
It includes intuitive helps for the child and his parents, rewards and games.
There are hundred of exercices to be serenely prepared for the next back to school.")</f>
        <v/>
      </c>
      <c r="W1600" s="15">
        <f>IFERROR(__xludf.DUMMYFUNCTION("""COMPUTED_VALUE"""),"mescahiersderevisions.com")</f>
        <v/>
      </c>
      <c r="X1600" s="1">
        <f>IFERROR(__xludf.DUMMYFUNCTION("""COMPUTED_VALUE"""),"With mescahiersderevisions.com, children from 6 to 11 years old are accompanied to review the program of their current class.
Open from the 13th of September to the 30th of June, our webapp is in conformity with the programs of the National Education.
I"&amp;"t includes intuitive helps for the children and their parents, rewards and games.
There are also many tools that helps the children to be confident with the exercises. They can print the pedagogical references and use them to succeed.
There are hundred o"&amp;"f exercices to be serenely accompanied in parallel of the work made at school.")</f>
        <v/>
      </c>
      <c r="Y1600" s="15">
        <f>IFERROR(__xludf.DUMMYFUNCTION("""COMPUTED_VALUE"""),"https://drive.google.com/uc?export=view&amp;id=1IhJxNiTdw-yDp_nRpPYkXq7EYdzLtOeG")</f>
        <v/>
      </c>
      <c r="Z1600" s="1">
        <f>IFERROR(__xludf.DUMMYFUNCTION("""COMPUTED_VALUE"""),"Unverified")</f>
        <v/>
      </c>
      <c r="AA1600" s="1" t="n"/>
      <c r="AB1600" s="1" t="n"/>
      <c r="AC1600" s="1" t="n"/>
      <c r="AD1600" s="1" t="n"/>
      <c r="AE1600" s="1" t="n"/>
    </row>
    <row r="1601" ht="42" customHeight="1">
      <c r="A1601" s="14">
        <f>IFERROR(__xludf.DUMMYFUNCTION("""COMPUTED_VALUE"""),45181)</f>
        <v/>
      </c>
      <c r="B1601" s="1">
        <f>IFERROR(__xludf.DUMMYFUNCTION("""COMPUTED_VALUE"""),"ORG_2057")</f>
        <v/>
      </c>
      <c r="C1601" s="1">
        <f>IFERROR(__xludf.DUMMYFUNCTION("""COMPUTED_VALUE"""),TRUE)</f>
        <v/>
      </c>
      <c r="D1601" s="1">
        <f>IFERROR(__xludf.DUMMYFUNCTION("""COMPUTED_VALUE"""),"OfCourseMe")</f>
        <v/>
      </c>
      <c r="E1601" s="15">
        <f>IFERROR(__xludf.DUMMYFUNCTION("""COMPUTED_VALUE"""),"https://ofcourse.me/")</f>
        <v/>
      </c>
      <c r="F1601" s="1">
        <f>IFERROR(__xludf.DUMMYFUNCTION("""COMPUTED_VALUE"""),"OfCourseMe's Mission is to help organizations create lifelong learners. 
We achieve this by creating curated pathways on demand for our customers and helping LnD managers promote them internally. 
Over 500k employees from companies like Vodafone, Sky, U"&amp;"niCredit, Eni, Generali already use our solution.")</f>
        <v/>
      </c>
      <c r="G1601" s="1">
        <f>IFERROR(__xludf.DUMMYFUNCTION("""COMPUTED_VALUE"""),"EdTech Finland")</f>
        <v/>
      </c>
      <c r="H1601" s="1">
        <f>IFERROR(__xludf.DUMMYFUNCTION("""COMPUTED_VALUE"""),"Italian, English, French, Spanish, German, Polish, Russian, Portuguese, Czech, Slovakian, Serbian")</f>
        <v/>
      </c>
      <c r="I1601" s="1">
        <f>IFERROR(__xludf.DUMMYFUNCTION("""COMPUTED_VALUE"""),"davide.conforti@ofcourse.me")</f>
        <v/>
      </c>
      <c r="J1601" s="1">
        <f>IFERROR(__xludf.DUMMYFUNCTION("""COMPUTED_VALUE"""),"+39 335 8783 861")</f>
        <v/>
      </c>
      <c r="K1601" s="1">
        <f>IFERROR(__xludf.DUMMYFUNCTION("""COMPUTED_VALUE"""),"MONZA")</f>
        <v/>
      </c>
      <c r="L1601" s="1">
        <f>IFERROR(__xludf.DUMMYFUNCTION("""COMPUTED_VALUE"""),"Italy")</f>
        <v/>
      </c>
      <c r="M1601" s="1">
        <f>IFERROR(__xludf.DUMMYFUNCTION("""COMPUTED_VALUE"""),"Italy")</f>
        <v/>
      </c>
      <c r="N1601" s="1">
        <f>IFERROR(__xludf.DUMMYFUNCTION("""COMPUTED_VALUE"""),"11 to 50")</f>
        <v/>
      </c>
      <c r="O1601" s="1">
        <f>IFERROR(__xludf.DUMMYFUNCTION("""COMPUTED_VALUE"""),"Business to Business, Business to Government, Business to Schools")</f>
        <v/>
      </c>
      <c r="P1601" s="1">
        <f>IFERROR(__xludf.DUMMYFUNCTION("""COMPUTED_VALUE"""),"Corporate Training, Lifelong learning/Adult education")</f>
        <v/>
      </c>
      <c r="Q1601" s="1">
        <f>IFERROR(__xludf.DUMMYFUNCTION("""COMPUTED_VALUE"""),"System/Administrative, Student interfacing")</f>
        <v/>
      </c>
      <c r="R1601" s="1">
        <f>IFERROR(__xludf.DUMMYFUNCTION("""COMPUTED_VALUE"""),"Black Swan srl - OfCourseMe")</f>
        <v/>
      </c>
      <c r="S1601" s="15">
        <f>IFERROR(__xludf.DUMMYFUNCTION("""COMPUTED_VALUE"""),"https://twitter.com/Of_Course_Me")</f>
        <v/>
      </c>
      <c r="T1601" s="15">
        <f>IFERROR(__xludf.DUMMYFUNCTION("""COMPUTED_VALUE"""),"https://www.linkedin.com/company/ofcourseme-official/mycompany/?viewAsMember=true")</f>
        <v/>
      </c>
      <c r="U1601" s="1">
        <f>IFERROR(__xludf.DUMMYFUNCTION("""COMPUTED_VALUE"""),"Content curation as-a-service")</f>
        <v/>
      </c>
      <c r="V1601" s="1">
        <f>IFERROR(__xludf.DUMMYFUNCTION("""COMPUTED_VALUE"""),"Creation of on demand curated pathways for our customers, leveraging over 2 mln learning assets from over 1k providers in over 20 languages.")</f>
        <v/>
      </c>
      <c r="W1601" s="1">
        <f>IFERROR(__xludf.DUMMYFUNCTION("""COMPUTED_VALUE"""),"SkillMe")</f>
        <v/>
      </c>
      <c r="X1601" s="1">
        <f>IFERROR(__xludf.DUMMYFUNCTION("""COMPUTED_VALUE"""),"AI powered content tagging engine which associated any content catalogue to any proprietary skill taxonomy, in order to deliver skill-based recommendations at scale.")</f>
        <v/>
      </c>
      <c r="Y1601" s="15">
        <f>IFERROR(__xludf.DUMMYFUNCTION("""COMPUTED_VALUE"""),"https://drive.google.com/uc?export=view&amp;id=15iM05Bj7uP4drIB-p5gzQJdRZYnZFIgz")</f>
        <v/>
      </c>
      <c r="Z1601" s="1">
        <f>IFERROR(__xludf.DUMMYFUNCTION("""COMPUTED_VALUE"""),"Unverified")</f>
        <v/>
      </c>
      <c r="AA1601" s="1" t="n"/>
      <c r="AB1601" s="1" t="n"/>
      <c r="AC1601" s="1" t="n"/>
      <c r="AD1601" s="1" t="n"/>
      <c r="AE1601" s="1" t="n"/>
    </row>
    <row r="1602" ht="42" customHeight="1">
      <c r="A1602" s="14">
        <f>IFERROR(__xludf.DUMMYFUNCTION("""COMPUTED_VALUE"""),45181)</f>
        <v/>
      </c>
      <c r="B1602" s="1">
        <f>IFERROR(__xludf.DUMMYFUNCTION("""COMPUTED_VALUE"""),"ORG_2104")</f>
        <v/>
      </c>
      <c r="C1602" s="1">
        <f>IFERROR(__xludf.DUMMYFUNCTION("""COMPUTED_VALUE"""),TRUE)</f>
        <v/>
      </c>
      <c r="D1602" s="1">
        <f>IFERROR(__xludf.DUMMYFUNCTION("""COMPUTED_VALUE"""),"Pipplet")</f>
        <v/>
      </c>
      <c r="E1602" s="15">
        <f>IFERROR(__xludf.DUMMYFUNCTION("""COMPUTED_VALUE"""),"https://www.pipplet.com/")</f>
        <v/>
      </c>
      <c r="F1602" s="1">
        <f>IFERROR(__xludf.DUMMYFUNCTION("""COMPUTED_VALUE"""),"Pipplet is the leading language testing solution for companies. Our test assesses the actual oral and written skills of your candidates, employees and learners in 40 languages. 100% human assessment, online and without appointment. Easy, fast and reliable"&amp;". Trusted by prestigious clients such as Tiktok, Shopify, Accenture and Berlitz, Pipplet is now part of ETS Global (TOEIC, TOEFL).")</f>
        <v/>
      </c>
      <c r="G1602" s="1">
        <f>IFERROR(__xludf.DUMMYFUNCTION("""COMPUTED_VALUE"""),"EdTech France")</f>
        <v/>
      </c>
      <c r="H1602" s="1" t="n"/>
      <c r="I1602" s="1">
        <f>IFERROR(__xludf.DUMMYFUNCTION("""COMPUTED_VALUE"""),"baptiste@pipplet.com")</f>
        <v/>
      </c>
      <c r="J1602" s="1">
        <f>IFERROR(__xludf.DUMMYFUNCTION("""COMPUTED_VALUE"""),"189165030")</f>
        <v/>
      </c>
      <c r="K1602" s="1">
        <f>IFERROR(__xludf.DUMMYFUNCTION("""COMPUTED_VALUE"""),"PARIS")</f>
        <v/>
      </c>
      <c r="L1602" s="1">
        <f>IFERROR(__xludf.DUMMYFUNCTION("""COMPUTED_VALUE"""),"France")</f>
        <v/>
      </c>
      <c r="M160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602" s="1">
        <f>IFERROR(__xludf.DUMMYFUNCTION("""COMPUTED_VALUE"""),"11 to 50")</f>
        <v/>
      </c>
      <c r="O1602" s="1">
        <f>IFERROR(__xludf.DUMMYFUNCTION("""COMPUTED_VALUE"""),"Business to Business, Business to Schools")</f>
        <v/>
      </c>
      <c r="P1602" s="1">
        <f>IFERROR(__xludf.DUMMYFUNCTION("""COMPUTED_VALUE"""),"Higher Education, Corporate Training, Lifelong learning/Adult education")</f>
        <v/>
      </c>
      <c r="Q1602" s="1">
        <f>IFERROR(__xludf.DUMMYFUNCTION("""COMPUTED_VALUE"""),"Teacher interfacing, System/Administrative")</f>
        <v/>
      </c>
      <c r="R1602" s="1" t="n"/>
      <c r="S1602" s="15">
        <f>IFERROR(__xludf.DUMMYFUNCTION("""COMPUTED_VALUE"""),"https://twitter.com/pipplet")</f>
        <v/>
      </c>
      <c r="T1602" s="15">
        <f>IFERROR(__xludf.DUMMYFUNCTION("""COMPUTED_VALUE"""),"https://fr.linkedin.com/company/pipplet")</f>
        <v/>
      </c>
      <c r="U1602" s="1">
        <f>IFERROR(__xludf.DUMMYFUNCTION("""COMPUTED_VALUE"""),"Pipplet")</f>
        <v/>
      </c>
      <c r="V1602" s="1">
        <f>IFERROR(__xludf.DUMMYFUNCTION("""COMPUTED_VALUE"""),"The Pipplet test assesses the actual oral and written skills of your candidates, employees and learners in 40 languages. 100% human assessment, online and without appointment. Easy, fast and reliable.")</f>
        <v/>
      </c>
      <c r="W1602" s="1" t="n"/>
      <c r="X1602" s="1" t="n"/>
      <c r="Y1602" s="15">
        <f>IFERROR(__xludf.DUMMYFUNCTION("""COMPUTED_VALUE"""),"https://drive.google.com/uc?export=view&amp;id=1dVY7kcaZ3aEfEgJZzkOw12IO-5BAfVuj")</f>
        <v/>
      </c>
      <c r="Z1602" s="1">
        <f>IFERROR(__xludf.DUMMYFUNCTION("""COMPUTED_VALUE"""),"Unverified")</f>
        <v/>
      </c>
      <c r="AA1602" s="1" t="n"/>
      <c r="AB1602" s="1" t="n"/>
      <c r="AC1602" s="1" t="n"/>
      <c r="AD1602" s="1" t="n"/>
      <c r="AE1602" s="1" t="n"/>
    </row>
    <row r="1603" ht="42" customHeight="1">
      <c r="A1603" s="14">
        <f>IFERROR(__xludf.DUMMYFUNCTION("""COMPUTED_VALUE"""),45181)</f>
        <v/>
      </c>
      <c r="B1603" s="1">
        <f>IFERROR(__xludf.DUMMYFUNCTION("""COMPUTED_VALUE"""),"ORG_2167")</f>
        <v/>
      </c>
      <c r="C1603" s="1">
        <f>IFERROR(__xludf.DUMMYFUNCTION("""COMPUTED_VALUE"""),TRUE)</f>
        <v/>
      </c>
      <c r="D1603" s="1">
        <f>IFERROR(__xludf.DUMMYFUNCTION("""COMPUTED_VALUE"""),"Reality Academy")</f>
        <v/>
      </c>
      <c r="E1603" s="15">
        <f>IFERROR(__xludf.DUMMYFUNCTION("""COMPUTED_VALUE"""),"www.reality-academy.fr")</f>
        <v/>
      </c>
      <c r="F1603" s="1">
        <f>IFERROR(__xludf.DUMMYFUNCTION("""COMPUTED_VALUE"""),"Reality Academy is an edtech startup specialized in the production of immersive and interactive content. We developed a large catalogue of training in Virtual Reality that covers several topics such as : Management, Sales, Work Safety, Road Safety, Cybers"&amp;"ecurity or Diversity.
Our pedagogical method based on the “Learning by Doing” approach allows to immerse the learner in conditional scenarios similar to reality, and thus to train him by practice while using the codes of gamification and emotion.
The res"&amp;"ults: 4x more efficient memorization of messages and 87% of learners who want to renew the experience.
To support the deployment of our solutions, we offer various related services:
- A VR headset pack with integrated training
- An LMS VR platform with r"&amp;"esults monitoring
- A session monitoring Application
From pedagogical design to filming, post-production and application development, Reality Academy develops the most innovative digital learning courses alongside recognized business experts.")</f>
        <v/>
      </c>
      <c r="G1603" s="1">
        <f>IFERROR(__xludf.DUMMYFUNCTION("""COMPUTED_VALUE"""),"EdTech France")</f>
        <v/>
      </c>
      <c r="H1603" s="1" t="n"/>
      <c r="I1603" s="1">
        <f>IFERROR(__xludf.DUMMYFUNCTION("""COMPUTED_VALUE"""),"hello@reality-academy.fr")</f>
        <v/>
      </c>
      <c r="J1603" s="1" t="n"/>
      <c r="K1603" s="1">
        <f>IFERROR(__xludf.DUMMYFUNCTION("""COMPUTED_VALUE"""),"Bagnolet")</f>
        <v/>
      </c>
      <c r="L1603" s="1">
        <f>IFERROR(__xludf.DUMMYFUNCTION("""COMPUTED_VALUE"""),"France")</f>
        <v/>
      </c>
      <c r="M1603" s="1">
        <f>IFERROR(__xludf.DUMMYFUNCTION("""COMPUTED_VALUE"""),"France")</f>
        <v/>
      </c>
      <c r="N1603" s="1">
        <f>IFERROR(__xludf.DUMMYFUNCTION("""COMPUTED_VALUE"""),"11 to 50")</f>
        <v/>
      </c>
      <c r="O1603" s="1">
        <f>IFERROR(__xludf.DUMMYFUNCTION("""COMPUTED_VALUE"""),"Business to Business, Business to Schools")</f>
        <v/>
      </c>
      <c r="P1603" s="1">
        <f>IFERROR(__xludf.DUMMYFUNCTION("""COMPUTED_VALUE"""),"Higher Education, Corporate Training, Lifelong learning/Adult education")</f>
        <v/>
      </c>
      <c r="Q1603" s="1">
        <f>IFERROR(__xludf.DUMMYFUNCTION("""COMPUTED_VALUE"""),"Teacher interfacing, System/Administrative")</f>
        <v/>
      </c>
      <c r="R1603" s="1" t="n"/>
      <c r="S1603" s="15">
        <f>IFERROR(__xludf.DUMMYFUNCTION("""COMPUTED_VALUE"""),"https://twitter.com/realityacademyf")</f>
        <v/>
      </c>
      <c r="T1603" s="15">
        <f>IFERROR(__xludf.DUMMYFUNCTION("""COMPUTED_VALUE"""),"https://www.linkedin.com/company/reality-academy")</f>
        <v/>
      </c>
      <c r="U1603" s="1">
        <f>IFERROR(__xludf.DUMMYFUNCTION("""COMPUTED_VALUE"""),"VR training catalogue")</f>
        <v/>
      </c>
      <c r="V1603" s="1">
        <f>IFERROR(__xludf.DUMMYFUNCTION("""COMPUTED_VALUE"""),"Reality Academy has developed the widest range of VR training catalogues. Our goal is to provide the best training solution with a playful, immersive and innovative solution that boosts professional skills and raises awareness on issues. A ""Learning by D"&amp;"oing"" pedagogy that places the learners at the center of their training, giving them a strong and lasting emotional impact that increases memorization rate.
Our current available catalogues : Management VR, Sales VR, Mobility VR, HSE VR, Diversity VR, Cy"&amp;"bersecurity VR.")</f>
        <v/>
      </c>
      <c r="W1603" s="1">
        <f>IFERROR(__xludf.DUMMYFUNCTION("""COMPUTED_VALUE"""),"Global Immersive Learning offer")</f>
        <v/>
      </c>
      <c r="X1603" s="1">
        <f>IFERROR(__xludf.DUMMYFUNCTION("""COMPUTED_VALUE"""),"Reality Academy provide the most complete solution on the market worldwide to deploy Immersive Learning solution. Our goal is to revolutionize training with our playful, immersive and interactive approach. A major innovation to meet the training challenge"&amp;"s of companies: attracting talent and effectively developing their skills.
It includes : VR training, VR headset pack, an LMS VR platform with both a learner and a trainer login, and a session monitoring Application.")</f>
        <v/>
      </c>
      <c r="Y1603" s="15">
        <f>IFERROR(__xludf.DUMMYFUNCTION("""COMPUTED_VALUE"""),"https://drive.google.com/uc?export=view&amp;id=1TVBy94oBak8NOpKYf99jIy20Mbb6l-Hi")</f>
        <v/>
      </c>
      <c r="Z1603" s="1">
        <f>IFERROR(__xludf.DUMMYFUNCTION("""COMPUTED_VALUE"""),"Unverified")</f>
        <v/>
      </c>
      <c r="AA1603" s="1" t="n"/>
      <c r="AB1603" s="1" t="n"/>
      <c r="AC1603" s="1" t="n"/>
      <c r="AD1603" s="1" t="n"/>
      <c r="AE1603" s="1" t="n"/>
    </row>
    <row r="1604" ht="42" customHeight="1">
      <c r="A1604" s="14">
        <f>IFERROR(__xludf.DUMMYFUNCTION("""COMPUTED_VALUE"""),45181)</f>
        <v/>
      </c>
      <c r="B1604" s="1">
        <f>IFERROR(__xludf.DUMMYFUNCTION("""COMPUTED_VALUE"""),"ORG_2196")</f>
        <v/>
      </c>
      <c r="C1604" s="1">
        <f>IFERROR(__xludf.DUMMYFUNCTION("""COMPUTED_VALUE"""),TRUE)</f>
        <v/>
      </c>
      <c r="D1604" s="1">
        <f>IFERROR(__xludf.DUMMYFUNCTION("""COMPUTED_VALUE"""),"Robotikos Akademija")</f>
        <v/>
      </c>
      <c r="E1604" s="15">
        <f>IFERROR(__xludf.DUMMYFUNCTION("""COMPUTED_VALUE"""),"www.robotikosakademija.lt")</f>
        <v/>
      </c>
      <c r="F1604" s="1">
        <f>IFERROR(__xludf.DUMMYFUNCTION("""COMPUTED_VALUE"""),"Robotics Academy is informal education company based in Lithuania that focuses on bringing robotics education into every child's life. The main goal of Robotics Academy is to raise a new generation of technology creators who by learning meaningfully today"&amp;" will create inspiring and purposeful changes in the future. Currently, Robotics Academy has 7000 weekly students in Lithuania that go to physical robotics afterschool classes in 90% of Lithuania's Schools. It is operated by 100 teachers and 40 people adm"&amp;"inistration team. It has its own content department and uses state-of-the-art LEGO Education robots and Apple Ipad computers. It is a unique blend of their own created educational universe, with a fictional characters-based curriculum which makes students"&amp;" very involved in learning the real-life application of STEM knowledge and tools.")</f>
        <v/>
      </c>
      <c r="G1604" s="1">
        <f>IFERROR(__xludf.DUMMYFUNCTION("""COMPUTED_VALUE"""),"EdTech Lithuania")</f>
        <v/>
      </c>
      <c r="H1604" s="1" t="n"/>
      <c r="I1604" s="1">
        <f>IFERROR(__xludf.DUMMYFUNCTION("""COMPUTED_VALUE"""),"kristijonas@robotikosakademija.lt")</f>
        <v/>
      </c>
      <c r="J1604" s="1">
        <f>IFERROR(__xludf.DUMMYFUNCTION("""COMPUTED_VALUE"""),"+37069952417")</f>
        <v/>
      </c>
      <c r="K1604" s="1">
        <f>IFERROR(__xludf.DUMMYFUNCTION("""COMPUTED_VALUE"""),"Vilnius")</f>
        <v/>
      </c>
      <c r="L1604" s="1">
        <f>IFERROR(__xludf.DUMMYFUNCTION("""COMPUTED_VALUE"""),"Lithuania")</f>
        <v/>
      </c>
      <c r="M1604" s="1">
        <f>IFERROR(__xludf.DUMMYFUNCTION("""COMPUTED_VALUE"""),"Lithuania")</f>
        <v/>
      </c>
      <c r="N1604" s="1">
        <f>IFERROR(__xludf.DUMMYFUNCTION("""COMPUTED_VALUE"""),"11 to 50")</f>
        <v/>
      </c>
      <c r="O1604" s="1">
        <f>IFERROR(__xludf.DUMMYFUNCTION("""COMPUTED_VALUE"""),"Business to Business, Business to Schools")</f>
        <v/>
      </c>
      <c r="P1604" s="1">
        <f>IFERROR(__xludf.DUMMYFUNCTION("""COMPUTED_VALUE"""),"Early childhood development (0-5 years), Primary Education")</f>
        <v/>
      </c>
      <c r="Q1604" s="1">
        <f>IFERROR(__xludf.DUMMYFUNCTION("""COMPUTED_VALUE"""),"System/Administrative, Student interfacing")</f>
        <v/>
      </c>
      <c r="R1604" s="15">
        <f>IFERROR(__xludf.DUMMYFUNCTION("""COMPUTED_VALUE"""),"https://www.instagram.com/robotikosakademija/?hl=en")</f>
        <v/>
      </c>
      <c r="S1604" s="1" t="n"/>
      <c r="T1604" s="15">
        <f>IFERROR(__xludf.DUMMYFUNCTION("""COMPUTED_VALUE"""),"https://www.linkedin.com/company/robotikosakademija")</f>
        <v/>
      </c>
      <c r="U1604" s="1">
        <f>IFERROR(__xludf.DUMMYFUNCTION("""COMPUTED_VALUE"""),"Robotics aftreschool classes")</f>
        <v/>
      </c>
      <c r="V1604" s="1">
        <f>IFERROR(__xludf.DUMMYFUNCTION("""COMPUTED_VALUE"""),"Robotics Afterschool classes (Grade 1 to 4) that teach children the basics of robotics, engineering, electronics, and programming. Also introduces the field of STEM. We do this by using the most advanced LEGO Education robotics kits and apple Ipad tablets"&amp;". In our lessons students from ages, 4 to 12 learn how to solve problems by using digital and physical tools combination. At the end of our 8 years course, children will be fully available to grasp, understand and use the basics of the Engineering design "&amp;"thinking method and use it with any kind of building kit and graphical programming environment.")</f>
        <v/>
      </c>
      <c r="W1604" s="1" t="n"/>
      <c r="X1604" s="1" t="n"/>
      <c r="Y1604" s="15">
        <f>IFERROR(__xludf.DUMMYFUNCTION("""COMPUTED_VALUE"""),"https://drive.google.com/uc?export=view&amp;id=1dZlGDvBJ_hyyophdqlQbsbDRaE6SWRYS")</f>
        <v/>
      </c>
      <c r="Z1604" s="1">
        <f>IFERROR(__xludf.DUMMYFUNCTION("""COMPUTED_VALUE"""),"Unverified")</f>
        <v/>
      </c>
      <c r="AA1604" s="1" t="n"/>
      <c r="AB1604" s="1" t="n"/>
      <c r="AC1604" s="1" t="n"/>
      <c r="AD1604" s="1" t="n"/>
      <c r="AE1604" s="1" t="n"/>
    </row>
    <row r="1605" ht="42" customHeight="1">
      <c r="A1605" s="14">
        <f>IFERROR(__xludf.DUMMYFUNCTION("""COMPUTED_VALUE"""),45181)</f>
        <v/>
      </c>
      <c r="B1605" s="1">
        <f>IFERROR(__xludf.DUMMYFUNCTION("""COMPUTED_VALUE"""),"ORG_2234")</f>
        <v/>
      </c>
      <c r="C1605" s="1">
        <f>IFERROR(__xludf.DUMMYFUNCTION("""COMPUTED_VALUE"""),TRUE)</f>
        <v/>
      </c>
      <c r="D1605" s="1">
        <f>IFERROR(__xludf.DUMMYFUNCTION("""COMPUTED_VALUE"""),"Sharing Academy")</f>
        <v/>
      </c>
      <c r="E1605" s="15">
        <f>IFERROR(__xludf.DUMMYFUNCTION("""COMPUTED_VALUE"""),"https://sharingacademy.com")</f>
        <v/>
      </c>
      <c r="F1605" s="1">
        <f>IFERROR(__xludf.DUMMYFUNCTION("""COMPUTED_VALUE"""),"Sharing Academy is a peer-to-peer tutoring marketplace that allows students to offer and to find peer-tutoring classes from any course within his degree and university.
Our innovation relies in offering the trust and safety students are looking for in a "&amp;"peer-tutor:
1. Tutor’s identity verification.
2. Tutor’s degree verification.
3. Tutor’s academic record verification
4. Friends’ and colleagues’ recommendations.
5. Tutor’s class reviews that include 6 main characteristics for the classes they tutor: com"&amp;"munication, class preparation, knowledge transfer, passion for teaching, punctuality and positive attitude.
The positive effects of this connection are numerous: not only do peers in need of help find answers to their questions, but it encourages sharing"&amp;" subject-specific knowledge between members of the same community. Colleagues who never met before create powerful bonds with their peers. And most importantly, according the pyramid of learning of William Glasser, the best way of learning is teaching.")</f>
        <v/>
      </c>
      <c r="G1605" s="1">
        <f>IFERROR(__xludf.DUMMYFUNCTION("""COMPUTED_VALUE"""),"SEK Lab")</f>
        <v/>
      </c>
      <c r="H1605" s="1">
        <f>IFERROR(__xludf.DUMMYFUNCTION("""COMPUTED_VALUE"""),"Spanish, Catalan, English")</f>
        <v/>
      </c>
      <c r="I1605" s="1">
        <f>IFERROR(__xludf.DUMMYFUNCTION("""COMPUTED_VALUE"""),"info@sharingacademy.com")</f>
        <v/>
      </c>
      <c r="J1605" s="1" t="n"/>
      <c r="K1605" s="1">
        <f>IFERROR(__xludf.DUMMYFUNCTION("""COMPUTED_VALUE"""),"BARCELONA")</f>
        <v/>
      </c>
      <c r="L1605" s="1">
        <f>IFERROR(__xludf.DUMMYFUNCTION("""COMPUTED_VALUE"""),"Spain")</f>
        <v/>
      </c>
      <c r="M1605" s="1">
        <f>IFERROR(__xludf.DUMMYFUNCTION("""COMPUTED_VALUE"""),"Spain")</f>
        <v/>
      </c>
      <c r="N1605" s="1">
        <f>IFERROR(__xludf.DUMMYFUNCTION("""COMPUTED_VALUE"""),"0 to 2")</f>
        <v/>
      </c>
      <c r="O1605" s="1">
        <f>IFERROR(__xludf.DUMMYFUNCTION("""COMPUTED_VALUE"""),"Business to Consumer")</f>
        <v/>
      </c>
      <c r="P1605" s="1">
        <f>IFERROR(__xludf.DUMMYFUNCTION("""COMPUTED_VALUE"""),"Secondary Education, Corporate Training, Vocational Education and Training (VET), Higher Education")</f>
        <v/>
      </c>
      <c r="Q1605" s="1">
        <f>IFERROR(__xludf.DUMMYFUNCTION("""COMPUTED_VALUE"""),"Student interfacing, System/Administrative")</f>
        <v/>
      </c>
      <c r="R1605" s="15">
        <f>IFERROR(__xludf.DUMMYFUNCTION("""COMPUTED_VALUE"""),"https://www.instagram.com/sharingacademy/")</f>
        <v/>
      </c>
      <c r="S1605" s="15">
        <f>IFERROR(__xludf.DUMMYFUNCTION("""COMPUTED_VALUE"""),"https://twitter.com/SharingAcademy")</f>
        <v/>
      </c>
      <c r="T1605" s="15">
        <f>IFERROR(__xludf.DUMMYFUNCTION("""COMPUTED_VALUE"""),"https://www.linkedin.com/company/5217616/admin/")</f>
        <v/>
      </c>
      <c r="U1605" s="1">
        <f>IFERROR(__xludf.DUMMYFUNCTION("""COMPUTED_VALUE"""),"Sharing Academy")</f>
        <v/>
      </c>
      <c r="V1605" s="1">
        <f>IFERROR(__xludf.DUMMYFUNCTION("""COMPUTED_VALUE"""),"Sharing Academy is a peer-to-peer tutoring marketplace that allows students to offer and to find peer-tutoring classes from any course within his degree and university.")</f>
        <v/>
      </c>
      <c r="W1605" s="1" t="n"/>
      <c r="X1605" s="1" t="n"/>
      <c r="Y1605" s="15">
        <f>IFERROR(__xludf.DUMMYFUNCTION("""COMPUTED_VALUE"""),"https://drive.google.com/uc?export=view&amp;id=1QOI7WEQov6DsbAG_qIVpJ7ZZBClCoZ_J")</f>
        <v/>
      </c>
      <c r="Z1605" s="1">
        <f>IFERROR(__xludf.DUMMYFUNCTION("""COMPUTED_VALUE"""),"Unverified")</f>
        <v/>
      </c>
      <c r="AA1605" s="1" t="n"/>
      <c r="AB1605" s="1" t="n"/>
      <c r="AC1605" s="1" t="n"/>
      <c r="AD1605" s="1" t="n"/>
      <c r="AE1605" s="1" t="n"/>
    </row>
    <row r="1606" ht="42" customHeight="1">
      <c r="A1606" s="14">
        <f>IFERROR(__xludf.DUMMYFUNCTION("""COMPUTED_VALUE"""),45181)</f>
        <v/>
      </c>
      <c r="B1606" s="1">
        <f>IFERROR(__xludf.DUMMYFUNCTION("""COMPUTED_VALUE"""),"ORG_2236")</f>
        <v/>
      </c>
      <c r="C1606" s="1">
        <f>IFERROR(__xludf.DUMMYFUNCTION("""COMPUTED_VALUE"""),TRUE)</f>
        <v/>
      </c>
      <c r="D1606" s="1">
        <f>IFERROR(__xludf.DUMMYFUNCTION("""COMPUTED_VALUE"""),"Sight-O")</f>
        <v/>
      </c>
      <c r="E1606" s="15">
        <f>IFERROR(__xludf.DUMMYFUNCTION("""COMPUTED_VALUE"""),"https://www.sight-o.io")</f>
        <v/>
      </c>
      <c r="F1606" s="1">
        <f>IFERROR(__xludf.DUMMYFUNCTION("""COMPUTED_VALUE"""),"Sight-O is a Music EdTech startup that develops and markets a digital and interactive method of sight reading. Sight reading is the action of playing a previously unknown score. This fundamental discipline gives the power to explore musical repertoires mo"&amp;"re easily.")</f>
        <v/>
      </c>
      <c r="G1606" s="1">
        <f>IFERROR(__xludf.DUMMYFUNCTION("""COMPUTED_VALUE"""),"AFINEF, EdTech France")</f>
        <v/>
      </c>
      <c r="H1606" s="1" t="n"/>
      <c r="I1606" s="1" t="n"/>
      <c r="J1606" s="1" t="n"/>
      <c r="K1606" s="1">
        <f>IFERROR(__xludf.DUMMYFUNCTION("""COMPUTED_VALUE"""),"Champs-sur-Marne")</f>
        <v/>
      </c>
      <c r="L1606" s="1">
        <f>IFERROR(__xludf.DUMMYFUNCTION("""COMPUTED_VALUE"""),"France")</f>
        <v/>
      </c>
      <c r="M1606" s="1">
        <f>IFERROR(__xludf.DUMMYFUNCTION("""COMPUTED_VALUE"""),"Belgium, France, Germany, Italy, Spain, Switzerland, United Kingdom")</f>
        <v/>
      </c>
      <c r="N1606" s="1">
        <f>IFERROR(__xludf.DUMMYFUNCTION("""COMPUTED_VALUE"""),"0 to 10")</f>
        <v/>
      </c>
      <c r="O1606" s="1">
        <f>IFERROR(__xludf.DUMMYFUNCTION("""COMPUTED_VALUE"""),"Business to Consumer")</f>
        <v/>
      </c>
      <c r="P1606" s="1">
        <f>IFERROR(__xludf.DUMMYFUNCTION("""COMPUTED_VALUE"""),"Primary Education, Lifelong learning/Adult education")</f>
        <v/>
      </c>
      <c r="Q1606" s="1">
        <f>IFERROR(__xludf.DUMMYFUNCTION("""COMPUTED_VALUE"""),"System/Administrative, Student interfacing, Teacher interfacing")</f>
        <v/>
      </c>
      <c r="R1606" s="15">
        <f>IFERROR(__xludf.DUMMYFUNCTION("""COMPUTED_VALUE"""),"https://www.instagram.com/sighto.io/")</f>
        <v/>
      </c>
      <c r="S1606" s="15">
        <f>IFERROR(__xludf.DUMMYFUNCTION("""COMPUTED_VALUE"""),"https://twitter.com/sighto_io")</f>
        <v/>
      </c>
      <c r="T1606" s="15">
        <f>IFERROR(__xludf.DUMMYFUNCTION("""COMPUTED_VALUE"""),"https://fr.linkedin.com/company/sight-o")</f>
        <v/>
      </c>
      <c r="U1606" s="1">
        <f>IFERROR(__xludf.DUMMYFUNCTION("""COMPUTED_VALUE"""),"Sight-O - Sight reading interactive method")</f>
        <v/>
      </c>
      <c r="V1606" s="1">
        <f>IFERROR(__xludf.DUMMYFUNCTION("""COMPUTED_VALUE"""),"With the help of 10,000 original adapted exercises and an animated rectangular ""Mask"" that moves over the score from pulse to pulse, the method helps to re-educate the musician's eye movement and to develop his reading reflexes. 
An ancestral method fi"&amp;"nally digitized, Sight-O wants to combine the ultra-efficient methods of the past with current technologies and uses, through a playful interface where the learning experience is at the heart of the concerns.
Thanks to the computer's microphone, the user"&amp;" is corrected by Sight-O which gives him a score and the possibility to listen to his performance again.")</f>
        <v/>
      </c>
      <c r="W1606" s="1" t="n"/>
      <c r="X1606" s="1" t="n"/>
      <c r="Y1606" s="15">
        <f>IFERROR(__xludf.DUMMYFUNCTION("""COMPUTED_VALUE"""),"https://drive.google.com/uc?export=view&amp;id=1RVw34vAkgVRdFhXUNtikn3V2lfUG0bC_")</f>
        <v/>
      </c>
      <c r="Z1606" s="1">
        <f>IFERROR(__xludf.DUMMYFUNCTION("""COMPUTED_VALUE"""),"Unverified")</f>
        <v/>
      </c>
      <c r="AA1606" s="1" t="n"/>
      <c r="AB1606" s="1" t="n"/>
      <c r="AC1606" s="1" t="n"/>
      <c r="AD1606" s="1" t="n"/>
      <c r="AE1606" s="1" t="n"/>
    </row>
    <row r="1607" ht="42" customHeight="1">
      <c r="A1607" s="14">
        <f>IFERROR(__xludf.DUMMYFUNCTION("""COMPUTED_VALUE"""),45181)</f>
        <v/>
      </c>
      <c r="B1607" s="1">
        <f>IFERROR(__xludf.DUMMYFUNCTION("""COMPUTED_VALUE"""),"ORG_2259")</f>
        <v/>
      </c>
      <c r="C1607" s="1">
        <f>IFERROR(__xludf.DUMMYFUNCTION("""COMPUTED_VALUE"""),TRUE)</f>
        <v/>
      </c>
      <c r="D1607" s="1">
        <f>IFERROR(__xludf.DUMMYFUNCTION("""COMPUTED_VALUE"""),"Skillsoft/ Global KNowledge")</f>
        <v/>
      </c>
      <c r="E1607" s="15">
        <f>IFERROR(__xludf.DUMMYFUNCTION("""COMPUTED_VALUE"""),"https://www.globalknowledge.com/fr-fr/")</f>
        <v/>
      </c>
      <c r="F1607" s="1">
        <f>IFERROR(__xludf.DUMMYFUNCTION("""COMPUTED_VALUE"""),"Global Knowledge, une organisation du groupe Skillsoft ​
Global Knowledge est un leader mondial de la formation informatique et technologique, aidant les individus et les organisations à acquérir les compétences dont ils ont besoin pour réussir dans un mo"&amp;"nde en constante évolution.
Avec un réseau international de bureaux et centres de formation, Global Knowledge a la flexibilité unique de proposer un large portefeuille de cours dans plus de 100 pays, sur site ou distance et via un réseau de partenaires mo"&amp;"ndial.
Créée en 1995, Global Knowledge comprend 1000 employés à travers le monde et contribue au succès de plus de 200,000 professionnels IT chaque année.
En juin 2021, Global Knowledge fusionne avec Skillsoft pour créer le leader mondial de la formation "&amp;"en entreprise.
Leadership
Investisseurs
Que vous vous en doutiez ou non, vos compétences sont la clé de votre succès. La technologie et les processus sont essentiels pour atteindre les objectifs organisationnels. Même s'ils ont été démocratisés par la rév"&amp;"olution numérique, le plus grand challenge reste le manque de compétences qui détourne votre retour sur les investissements technologiques. Les organisations qui utilisent avec succès la technologie pour accélérer leur performance transforment également a"&amp;"vec succès les capacités de leurs employés afin de maximiser leurs investissements.
Un ancrage fort au sein de la communauté technologique
Notre contribution au sein de la communauté technologique mondiale va bien au-delà de la formation informatique. La "&amp;"portée croissante de la technologie fait en sorte que chaque collaborateur dans l'entreprise devient un professionnel de la technologie. Les rôles spécialisés hyper-ciblés sont plus que jamais nécessaires, mais nous devons aussi compter sur des compétence"&amp;"s transverses. Notre mission est de répondre à un panorama complet de profils au sein des organisations. Ainsi, nous formons au-delà des sujets traditionnels de l'informatique et formons plus que les équipes IT des entreprises.
Nos équipes pédagogiques on"&amp;"t élaboré des programmes fondés sur les «Best Practices» pour répondre aux attentes des dirigeants et accompagner les managers et leurs équipes.
En synthèse, la performance durable et le développement d’une entreprise reposent sur la maîtrise de ses systè"&amp;"mes, l’organisation et les processus, mais aussi essentiellement, sur la qualité du management de son capital humain. Que vous gériez des initiatives technologiques critiques, que vous développiez votre vivier de talents ou que vous lanciez de nouveaux pr"&amp;"oduits et services sur le marché, nos solutions de formation innovantes et flexibles vous permettront de réussir.
Pourquoi Global Knowledge?
Un IMPACT durable, évolutif et reproductible - avec un minimum d'interruption. Depuis plus de 25 ans, les organisa"&amp;"tions, petites et grandes, les éditeurs et constructeurs informatiques, et les gouvernements du monde entier s'adressent à Global Knowledge.
En offrant un accès à des experts en la matière, en délivrant des formations agréées et à la pointe de l'industrie"&amp;" grâce à de multiples formats, nous préparons le terrain pour votre succès en réduisant les écarts de compétences. Vous constaterez également des répercussions positives sur l'intégration et la fidélisation des employés grâce à l'amélioration des compéten"&amp;"ces et à une plus grande satisfaction au travail.
Tout cela dépend du niveau de qualité que nous nous sommes fixé. Nous croyons en l'uniformité et maintenons des normes internes rigoureuses afin de vous offrir une expérience de formation exceptionnelle pa"&amp;"rtout dans le monde. Seul un organisme de formation indépendant, multi-spécialiste, peut vous garantir cela.
Les faits :
Le plus grand groupe de formation mondial dédié IT et Méthodes
+ 5 000 sessions garanties par an
+ 3 000 formations uniques
+ 1 100 ex"&amp;"perts 95% de taux de satisfaction global
Partenaire formation agréé sur : Amazon Web Services, Cisco, Citrix, IBM, Microsoft, VMware, etc, et d'autres références internationales comme ITIL® ou PMP.
Présent dans plus de 100 pays (et dans les eaux internati"&amp;"onales)
Nos garanties qualité
Les garanties Global KnowledgeDécouvrez toutes les bonnes raisons de nous faire confiance
qualité formationGlobal Knowledge est certifié Qualiopi
Equipes pédagogiquesNos équipes pédagogiques
En ligne et dans le monde entier
D"&amp;"epuis 1995, le nombre d'employés a cru pour atteindre aujourd'hui 1500 personnes dans le monde. Le siège social du groupe est situé à Cary, en Caroline du Nord (États-Unis). Le siège social canadien se trouve à Toronto, et notre siège social EMEA (Europe,"&amp;" Moyen-Orient et Afrique) se trouve à Wokingham, au Royaume-Uni.
Sites internationaux : Belgique, Canada, Danemark, Égypte, France, Irlande, Pays-Bas, Norvège, Qatar, Arabie Saoudite, Espagne, Suède et Émirats Arabes Unis.
Rendez-vous sur globalknowledge."&amp;"com
A travers nos centres et nos capacités de formation en ligne, nous délivrons ce que vous recherchez, au moment et où vous en avez besoin. Et cela, nous le faisons tous les jours.")</f>
        <v/>
      </c>
      <c r="G1607" s="1">
        <f>IFERROR(__xludf.DUMMYFUNCTION("""COMPUTED_VALUE"""),"EdTech France")</f>
        <v/>
      </c>
      <c r="H1607" s="1" t="n"/>
      <c r="I1607" s="1" t="n"/>
      <c r="J1607" s="1">
        <f>IFERROR(__xludf.DUMMYFUNCTION("""COMPUTED_VALUE"""),"33 1 78 15 34 00")</f>
        <v/>
      </c>
      <c r="K1607" s="1">
        <f>IFERROR(__xludf.DUMMYFUNCTION("""COMPUTED_VALUE"""),"RUEIL MALMAISON")</f>
        <v/>
      </c>
      <c r="L1607" s="1">
        <f>IFERROR(__xludf.DUMMYFUNCTION("""COMPUTED_VALUE"""),"France")</f>
        <v/>
      </c>
      <c r="M1607" s="1">
        <f>IFERROR(__xludf.DUMMYFUNCTION("""COMPUTED_VALUE"""),"Belgium, Denmark, France, Ireland, Luxembourg, Monaco, Netherlands, Norway, Spain, Sweden, Switzerland, United Kingdom")</f>
        <v/>
      </c>
      <c r="N1607" s="1">
        <f>IFERROR(__xludf.DUMMYFUNCTION("""COMPUTED_VALUE"""),"500+")</f>
        <v/>
      </c>
      <c r="O1607" s="1">
        <f>IFERROR(__xludf.DUMMYFUNCTION("""COMPUTED_VALUE"""),"Business to Consumer")</f>
        <v/>
      </c>
      <c r="P1607" s="1">
        <f>IFERROR(__xludf.DUMMYFUNCTION("""COMPUTED_VALUE"""),"Secondary Education, Higher Education, Corporate Training, Lifelong learning/Adult education")</f>
        <v/>
      </c>
      <c r="Q1607" s="1">
        <f>IFERROR(__xludf.DUMMYFUNCTION("""COMPUTED_VALUE"""),"System/Administrative, Student interfacing")</f>
        <v/>
      </c>
      <c r="R1607" s="1" t="n"/>
      <c r="S1607" s="1" t="n"/>
      <c r="T1607" s="15">
        <f>IFERROR(__xludf.DUMMYFUNCTION("""COMPUTED_VALUE"""),"https://www.linkedin.com/company/global-knowledge-training/")</f>
        <v/>
      </c>
      <c r="U1607" s="1">
        <f>IFERROR(__xludf.DUMMYFUNCTION("""COMPUTED_VALUE"""),"Formation Informatique et Business Management")</f>
        <v/>
      </c>
      <c r="V1607" s="1">
        <f>IFERROR(__xludf.DUMMYFUNCTION("""COMPUTED_VALUE"""),"DOMAINES
Analyse Business
Architecture d'entreprise TOGAF®
Big Data
BlockchainBusiness et Management
Cloud Computing
Conteneurs
Cybersécurité
Datacenter
DevOps
Excellence Opérationnelle et Lean
Fondamentaux IT
Gestion de données
Gestion de projets
Gouvern"&amp;"ance IT et Conformité
Infrastructure et Systèmes
Intelligence Artificielle (IA) et Machine Learning
Internet des Objets (IoT)
ITIL® : Gestion des services IT
Java
Langages et Développement
Linux Systèmes et Serveurs
Management de réseaux
Mobile Device 
Ma"&amp;"nagement
Méthode Agile Scrum
Réseaux informatiques
Réseaux Wireless (sans-fil)
Solutions collaboratives
Technologies Emergentes
Virtualisation des SI")</f>
        <v/>
      </c>
      <c r="W1607" s="1">
        <f>IFERROR(__xludf.DUMMYFUNCTION("""COMPUTED_VALUE"""),"Formation Informatique et Business Management")</f>
        <v/>
      </c>
      <c r="X1607" s="1">
        <f>IFERROR(__xludf.DUMMYFUNCTION("""COMPUTED_VALUE"""),"EDITEURS INFORMATIQUES
Formation (ISC)²
Formation Avaya
Formation AWS Amazon Web Services
Formation Cisco
Formation Citrix
Formation CompTIA
Formation Google Cloud Platform
Formation IBM : Systèmes et Software
Formation ISACAFormation Juniper Networks
For"&amp;"mation Microsoft
Formation Mirantis
Formation Nutanix
Formation Palo Alto
Formation Red Hat
Formation SAFe - Scaled Agile Framework
Formation ServiceNow
Formation Veeam
Formation VMware")</f>
        <v/>
      </c>
      <c r="Y1607" s="1" t="n"/>
      <c r="Z1607" s="1">
        <f>IFERROR(__xludf.DUMMYFUNCTION("""COMPUTED_VALUE"""),"Unverified")</f>
        <v/>
      </c>
      <c r="AA1607" s="1" t="n"/>
      <c r="AB1607" s="1" t="n"/>
      <c r="AC1607" s="1" t="n"/>
      <c r="AD1607" s="1" t="n"/>
      <c r="AE1607" s="1" t="n"/>
    </row>
    <row r="1608" ht="42" customHeight="1">
      <c r="A1608" s="14">
        <f>IFERROR(__xludf.DUMMYFUNCTION("""COMPUTED_VALUE"""),45181)</f>
        <v/>
      </c>
      <c r="B1608" s="1">
        <f>IFERROR(__xludf.DUMMYFUNCTION("""COMPUTED_VALUE"""),"ORG_2276")</f>
        <v/>
      </c>
      <c r="C1608" s="1">
        <f>IFERROR(__xludf.DUMMYFUNCTION("""COMPUTED_VALUE"""),TRUE)</f>
        <v/>
      </c>
      <c r="D1608" s="1">
        <f>IFERROR(__xludf.DUMMYFUNCTION("""COMPUTED_VALUE"""),"Smartch")</f>
        <v/>
      </c>
      <c r="E1608" s="15">
        <f>IFERROR(__xludf.DUMMYFUNCTION("""COMPUTED_VALUE"""),"http://www.smartch.fr/")</f>
        <v/>
      </c>
      <c r="F1608" s="1">
        <f>IFERROR(__xludf.DUMMYFUNCTION("""COMPUTED_VALUE"""),"Smartch is a team of digital learning experts, supporting its customers on any subject linked to training and digital learning. 
From choosing and implementing tools / platforms fully integrated in their information system to developing tailor-made conten"&amp;"ts, with any technology (authoring tools as well as Full 3D, VR, IV...).
Smartch is an Edtech, as it develops its own technology, and a training company Qualiopi-certified (French quality certification).")</f>
        <v/>
      </c>
      <c r="G1608" s="1">
        <f>IFERROR(__xludf.DUMMYFUNCTION("""COMPUTED_VALUE"""),"EdTech France")</f>
        <v/>
      </c>
      <c r="H1608" s="1" t="n"/>
      <c r="I1608" s="1">
        <f>IFERROR(__xludf.DUMMYFUNCTION("""COMPUTED_VALUE"""),"info@smartch.fr")</f>
        <v/>
      </c>
      <c r="J1608" s="1" t="n"/>
      <c r="K1608" s="1">
        <f>IFERROR(__xludf.DUMMYFUNCTION("""COMPUTED_VALUE"""),"Paris")</f>
        <v/>
      </c>
      <c r="L1608" s="1">
        <f>IFERROR(__xludf.DUMMYFUNCTION("""COMPUTED_VALUE"""),"France")</f>
        <v/>
      </c>
      <c r="M1608" s="1">
        <f>IFERROR(__xludf.DUMMYFUNCTION("""COMPUTED_VALUE"""),"France")</f>
        <v/>
      </c>
      <c r="N1608" s="1">
        <f>IFERROR(__xludf.DUMMYFUNCTION("""COMPUTED_VALUE"""),"11 to 50")</f>
        <v/>
      </c>
      <c r="O1608" s="1">
        <f>IFERROR(__xludf.DUMMYFUNCTION("""COMPUTED_VALUE"""),"Business to Consumer")</f>
        <v/>
      </c>
      <c r="P1608" s="1">
        <f>IFERROR(__xludf.DUMMYFUNCTION("""COMPUTED_VALUE"""),"Corporate Training, Lifelong learning/Adult education")</f>
        <v/>
      </c>
      <c r="Q1608" s="1">
        <f>IFERROR(__xludf.DUMMYFUNCTION("""COMPUTED_VALUE"""),"Teacher interfacing, Student interfacing, System/Administrative")</f>
        <v/>
      </c>
      <c r="R1608" s="1" t="n"/>
      <c r="S1608" s="1" t="n"/>
      <c r="T1608" s="15">
        <f>IFERROR(__xludf.DUMMYFUNCTION("""COMPUTED_VALUE"""),"https://www.linkedin.com/company/smartch/")</f>
        <v/>
      </c>
      <c r="U1608" s="1">
        <f>IFERROR(__xludf.DUMMYFUNCTION("""COMPUTED_VALUE"""),"Ecosystems")</f>
        <v/>
      </c>
      <c r="V1608" s="1">
        <f>IFERROR(__xludf.DUMMYFUNCTION("""COMPUTED_VALUE"""),"We support our customers in all phases for the choice, implementation and run of their training ecosystem. We provide fully personalized solutions, based on existing platforms on the market on which we add specific developments when required to fully inte"&amp;"grate the ecosystem in the customer's information system.")</f>
        <v/>
      </c>
      <c r="W1608" s="1">
        <f>IFERROR(__xludf.DUMMYFUNCTION("""COMPUTED_VALUE"""),"Tailor-made contents")</f>
        <v/>
      </c>
      <c r="X1608" s="1">
        <f>IFERROR(__xludf.DUMMYFUNCTION("""COMPUTED_VALUE"""),"We create tailor-made contents, in fully digital, mobile or blended learning, using various technologies on the market (authoring tools, Full 3D, VR/AR...).
Our team is expert in pedagogy and technology and adapts to all your learning projects.")</f>
        <v/>
      </c>
      <c r="Y1608" s="15">
        <f>IFERROR(__xludf.DUMMYFUNCTION("""COMPUTED_VALUE"""),"https://drive.google.com/uc?export=view&amp;id=1dGNT6OLhI8APNt83gu61_YvR09aTKfgC")</f>
        <v/>
      </c>
      <c r="Z1608" s="1">
        <f>IFERROR(__xludf.DUMMYFUNCTION("""COMPUTED_VALUE"""),"Unverified")</f>
        <v/>
      </c>
      <c r="AA1608" s="1" t="n"/>
      <c r="AB1608" s="1" t="n"/>
      <c r="AC1608" s="1" t="n"/>
      <c r="AD1608" s="1" t="n"/>
      <c r="AE1608" s="1" t="n"/>
    </row>
    <row r="1609" ht="42" customHeight="1">
      <c r="A1609" s="14">
        <f>IFERROR(__xludf.DUMMYFUNCTION("""COMPUTED_VALUE"""),45181)</f>
        <v/>
      </c>
      <c r="B1609" s="1">
        <f>IFERROR(__xludf.DUMMYFUNCTION("""COMPUTED_VALUE"""),"ORG_2289")</f>
        <v/>
      </c>
      <c r="C1609" s="1">
        <f>IFERROR(__xludf.DUMMYFUNCTION("""COMPUTED_VALUE"""),TRUE)</f>
        <v/>
      </c>
      <c r="D1609" s="1">
        <f>IFERROR(__xludf.DUMMYFUNCTION("""COMPUTED_VALUE"""),"SOFT KIDS")</f>
        <v/>
      </c>
      <c r="E1609" s="15">
        <f>IFERROR(__xludf.DUMMYFUNCTION("""COMPUTED_VALUE"""),"https://www.softkids.net/en/home/")</f>
        <v/>
      </c>
      <c r="F1609" s="1">
        <f>IFERROR(__xludf.DUMMYFUNCTION("""COMPUTED_VALUE"""),"Soft Kids is the 1st worldwilde application for developing kid's soft skills with gamification. 
It supports teachers and parents for developing 21st century skills.")</f>
        <v/>
      </c>
      <c r="G1609" s="1">
        <f>IFERROR(__xludf.DUMMYFUNCTION("""COMPUTED_VALUE"""),"EdTech France")</f>
        <v/>
      </c>
      <c r="H1609" s="1" t="n"/>
      <c r="I1609" s="1">
        <f>IFERROR(__xludf.DUMMYFUNCTION("""COMPUTED_VALUE"""),"solenne@softkids.net")</f>
        <v/>
      </c>
      <c r="J1609" s="1">
        <f>IFERROR(__xludf.DUMMYFUNCTION("""COMPUTED_VALUE"""),"+33611852950")</f>
        <v/>
      </c>
      <c r="K1609" s="1">
        <f>IFERROR(__xludf.DUMMYFUNCTION("""COMPUTED_VALUE"""),"Saint-Cloud")</f>
        <v/>
      </c>
      <c r="L1609" s="1">
        <f>IFERROR(__xludf.DUMMYFUNCTION("""COMPUTED_VALUE"""),"France")</f>
        <v/>
      </c>
      <c r="M160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1609" s="1">
        <f>IFERROR(__xludf.DUMMYFUNCTION("""COMPUTED_VALUE"""),"0 to 10")</f>
        <v/>
      </c>
      <c r="O1609" s="1">
        <f>IFERROR(__xludf.DUMMYFUNCTION("""COMPUTED_VALUE"""),"Business to Consumer")</f>
        <v/>
      </c>
      <c r="P1609" s="1">
        <f>IFERROR(__xludf.DUMMYFUNCTION("""COMPUTED_VALUE"""),"Primary Education, Secondary Education")</f>
        <v/>
      </c>
      <c r="Q1609" s="1">
        <f>IFERROR(__xludf.DUMMYFUNCTION("""COMPUTED_VALUE"""),"System/Administrative, Student interfacing, Teacher interfacing")</f>
        <v/>
      </c>
      <c r="R1609" s="15">
        <f>IFERROR(__xludf.DUMMYFUNCTION("""COMPUTED_VALUE"""),"https://www.instagram.com/soft_kids_apps/?hl=fr")</f>
        <v/>
      </c>
      <c r="S1609" s="15">
        <f>IFERROR(__xludf.DUMMYFUNCTION("""COMPUTED_VALUE"""),"https://twitter.com/kids_soft")</f>
        <v/>
      </c>
      <c r="T1609" s="15">
        <f>IFERROR(__xludf.DUMMYFUNCTION("""COMPUTED_VALUE"""),"https://www.linkedin.com/company/soft-kids/?viewAsMember=true")</f>
        <v/>
      </c>
      <c r="U1609" s="1">
        <f>IFERROR(__xludf.DUMMYFUNCTION("""COMPUTED_VALUE"""),"SOFT KIDS")</f>
        <v/>
      </c>
      <c r="V1609" s="1">
        <f>IFERROR(__xludf.DUMMYFUNCTION("""COMPUTED_VALUE"""),"SOFT KIDS is the first interactive application for cultivating children's soft skills as a family. 
Soft Skills are the essential behavioural competencies of the 21st century (source OECD - Education Report 2030). 
With Soft Kids, children are fulfilled "&amp;"and prepared for tomorrow's world!
In addition, your child will learn to use the screen in a responsible and interactive way. We develop programmes for each soft skill with experts.
The whole family and teachers have their own interface to follow kid's p"&amp;"rogress.
Each programme consists of 10 modules with videos, quizzes and games. With each game, your child earns drops of water and can water and grow the Soft Kids tree.
An interface, dedicated to adults, allows to follow the answers and the progress made"&amp;" by the child. We also share tips and tricks in a library to help parents better understand the concept of soft skills. 
Programme 1: ""Feeling good about yourself"" to cultivate your self-confidence
Programme 2: ""Super Polite"" to cultivate politeness "&amp;"and good manners
Programme 3: ""I can do it!"" to cultivate perseverance
Programme 4: ""I have opinions!"" to cultivate critival thinking
Programme 5: ""I have emotions!"" to cultivate emotion management
+ new ones every month.")</f>
        <v/>
      </c>
      <c r="W1609" s="1" t="n"/>
      <c r="X1609" s="1" t="n"/>
      <c r="Y1609" s="15">
        <f>IFERROR(__xludf.DUMMYFUNCTION("""COMPUTED_VALUE"""),"https://drive.google.com/uc?export=view&amp;id=1DKOaVlm6LkveEnlDJqMknO58jsVr95NQ")</f>
        <v/>
      </c>
      <c r="Z1609" s="1">
        <f>IFERROR(__xludf.DUMMYFUNCTION("""COMPUTED_VALUE"""),"Unverified")</f>
        <v/>
      </c>
      <c r="AA1609" s="1" t="n"/>
      <c r="AB1609" s="1" t="n"/>
      <c r="AC1609" s="1" t="n"/>
      <c r="AD1609" s="1" t="n"/>
      <c r="AE1609" s="1" t="n"/>
    </row>
    <row r="1610" ht="42" customHeight="1">
      <c r="A1610" s="14">
        <f>IFERROR(__xludf.DUMMYFUNCTION("""COMPUTED_VALUE"""),45181)</f>
        <v/>
      </c>
      <c r="B1610" s="1">
        <f>IFERROR(__xludf.DUMMYFUNCTION("""COMPUTED_VALUE"""),"ORG_2298")</f>
        <v/>
      </c>
      <c r="C1610" s="1">
        <f>IFERROR(__xludf.DUMMYFUNCTION("""COMPUTED_VALUE"""),TRUE)</f>
        <v/>
      </c>
      <c r="D1610" s="1">
        <f>IFERROR(__xludf.DUMMYFUNCTION("""COMPUTED_VALUE"""),"SoWeSign")</f>
        <v/>
      </c>
      <c r="E1610" s="15">
        <f>IFERROR(__xludf.DUMMYFUNCTION("""COMPUTED_VALUE"""),"https://sowesign.com")</f>
        <v/>
      </c>
      <c r="F1610" s="1">
        <f>IFERROR(__xludf.DUMMYFUNCTION("""COMPUTED_VALUE"""),"Founded in 2017, JeSuisEnCours offers dematerialization solutions for training organizations.
Following the acquisition of key account customers. As well as the internationalization of the offer due to opportunities detected in the United States and Spai"&amp;"n. JeSuisEnCours becomes SoWeSign in 2020: a name that fits any context and can be exported to other territories!")</f>
        <v/>
      </c>
      <c r="G1610" s="1">
        <f>IFERROR(__xludf.DUMMYFUNCTION("""COMPUTED_VALUE"""),"EdTech France")</f>
        <v/>
      </c>
      <c r="H1610" s="1" t="n"/>
      <c r="I1610" s="1">
        <f>IFERROR(__xludf.DUMMYFUNCTION("""COMPUTED_VALUE"""),"contact@sowesign.com")</f>
        <v/>
      </c>
      <c r="J1610" s="1" t="n"/>
      <c r="K1610" s="1">
        <f>IFERROR(__xludf.DUMMYFUNCTION("""COMPUTED_VALUE"""),"LA CHEVROLIERE")</f>
        <v/>
      </c>
      <c r="L1610" s="1">
        <f>IFERROR(__xludf.DUMMYFUNCTION("""COMPUTED_VALUE"""),"France")</f>
        <v/>
      </c>
      <c r="M1610" s="1">
        <f>IFERROR(__xludf.DUMMYFUNCTION("""COMPUTED_VALUE"""),"Belgium, France, Germany, Italy, Spain, Switzerland")</f>
        <v/>
      </c>
      <c r="N1610" s="1">
        <f>IFERROR(__xludf.DUMMYFUNCTION("""COMPUTED_VALUE"""),"11 to 50")</f>
        <v/>
      </c>
      <c r="O1610" s="1">
        <f>IFERROR(__xludf.DUMMYFUNCTION("""COMPUTED_VALUE"""),"Business to Consumer, Business to Government, Business to Schools")</f>
        <v/>
      </c>
      <c r="P1610" s="1">
        <f>IFERROR(__xludf.DUMMYFUNCTION("""COMPUTED_VALUE"""),"Secondary Education, Higher Education, Corporate Training, Lifelong learning/Adult education")</f>
        <v/>
      </c>
      <c r="Q1610" s="1">
        <f>IFERROR(__xludf.DUMMYFUNCTION("""COMPUTED_VALUE"""),"System/Administrative, Student interfacing")</f>
        <v/>
      </c>
      <c r="R1610" s="15">
        <f>IFERROR(__xludf.DUMMYFUNCTION("""COMPUTED_VALUE"""),"https://www.instagram.com/sws_sowesign/")</f>
        <v/>
      </c>
      <c r="S1610" s="15">
        <f>IFERROR(__xludf.DUMMYFUNCTION("""COMPUTED_VALUE"""),"https://twitter.com/SoWeSign")</f>
        <v/>
      </c>
      <c r="T1610" s="15">
        <f>IFERROR(__xludf.DUMMYFUNCTION("""COMPUTED_VALUE"""),"https://www.linkedin.com/company/sowesign-1")</f>
        <v/>
      </c>
      <c r="U1610" s="1">
        <f>IFERROR(__xludf.DUMMYFUNCTION("""COMPUTED_VALUE"""),"SoWeSign")</f>
        <v/>
      </c>
      <c r="V1610" s="1">
        <f>IFERROR(__xludf.DUMMYFUNCTION("""COMPUTED_VALUE"""),"SoWeSign facilitates enrolment! sowesign digitalizes the enrolment process for training centers. The solution is composed of a management interface available online on the one hand and an application on the other hand. The management interface allows you "&amp;"to plan training sessions, supervise attendance, consult all the documents in an EDM, have contracts and agreements signed online, etc. Applications and portals are available to sign-in from any device, from an application or a web browser.")</f>
        <v/>
      </c>
      <c r="W1610" s="1" t="n"/>
      <c r="X1610" s="1" t="n"/>
      <c r="Y1610" s="1" t="n"/>
      <c r="Z1610" s="1">
        <f>IFERROR(__xludf.DUMMYFUNCTION("""COMPUTED_VALUE"""),"Unverified")</f>
        <v/>
      </c>
      <c r="AA1610" s="1" t="n"/>
      <c r="AB1610" s="1" t="n"/>
      <c r="AC1610" s="1" t="n"/>
      <c r="AD1610" s="1" t="n"/>
      <c r="AE1610" s="1" t="n"/>
    </row>
    <row r="1611" ht="42" customHeight="1">
      <c r="A1611" s="14">
        <f>IFERROR(__xludf.DUMMYFUNCTION("""COMPUTED_VALUE"""),45181)</f>
        <v/>
      </c>
      <c r="B1611" s="1">
        <f>IFERROR(__xludf.DUMMYFUNCTION("""COMPUTED_VALUE"""),"ORG_2397")</f>
        <v/>
      </c>
      <c r="C1611" s="1">
        <f>IFERROR(__xludf.DUMMYFUNCTION("""COMPUTED_VALUE"""),TRUE)</f>
        <v/>
      </c>
      <c r="D1611" s="1">
        <f>IFERROR(__xludf.DUMMYFUNCTION("""COMPUTED_VALUE"""),"The Experience Accelerator")</f>
        <v/>
      </c>
      <c r="E1611" s="15">
        <f>IFERROR(__xludf.DUMMYFUNCTION("""COMPUTED_VALUE"""),"https://theexperienceaccelerator.com")</f>
        <v/>
      </c>
      <c r="F1611" s="1">
        <f>IFERROR(__xludf.DUMMYFUNCTION("""COMPUTED_VALUE"""),"Fusing the power of video, virtual reality, deliberate practice, AI and virtual coaches, we improve the world’s behavioural skills. Through our innovative learning solutions, managers and employees quickly and efficiently acquire, practice and get fast cy"&amp;"cle feedback on their new behaviours.")</f>
        <v/>
      </c>
      <c r="G1611" s="1">
        <f>IFERROR(__xludf.DUMMYFUNCTION("""COMPUTED_VALUE"""),"Swiss EdTech Collider")</f>
        <v/>
      </c>
      <c r="H1611" s="1" t="n"/>
      <c r="I1611" s="1">
        <f>IFERROR(__xludf.DUMMYFUNCTION("""COMPUTED_VALUE"""),"sarah@theexperienceaccelerator.com")</f>
        <v/>
      </c>
      <c r="J1611" s="1">
        <f>IFERROR(__xludf.DUMMYFUNCTION("""COMPUTED_VALUE"""),"+41786382703")</f>
        <v/>
      </c>
      <c r="K1611" s="1">
        <f>IFERROR(__xludf.DUMMYFUNCTION("""COMPUTED_VALUE"""),"La Tour de Peilz")</f>
        <v/>
      </c>
      <c r="L1611" s="1">
        <f>IFERROR(__xludf.DUMMYFUNCTION("""COMPUTED_VALUE"""),"Switzerland")</f>
        <v/>
      </c>
      <c r="M1611" s="1">
        <f>IFERROR(__xludf.DUMMYFUNCTION("""COMPUTED_VALUE"""),"Switzerland, United Kingdom")</f>
        <v/>
      </c>
      <c r="N1611" s="1">
        <f>IFERROR(__xludf.DUMMYFUNCTION("""COMPUTED_VALUE"""),"0 to 10")</f>
        <v/>
      </c>
      <c r="O1611" s="1">
        <f>IFERROR(__xludf.DUMMYFUNCTION("""COMPUTED_VALUE"""),"Business to Consumer, Business to Schools")</f>
        <v/>
      </c>
      <c r="P1611" s="1">
        <f>IFERROR(__xludf.DUMMYFUNCTION("""COMPUTED_VALUE"""),"Corporate Training")</f>
        <v/>
      </c>
      <c r="Q1611" s="1">
        <f>IFERROR(__xludf.DUMMYFUNCTION("""COMPUTED_VALUE"""),"Student interfacing, System/Administrative")</f>
        <v/>
      </c>
      <c r="R1611" s="15">
        <f>IFERROR(__xludf.DUMMYFUNCTION("""COMPUTED_VALUE"""),"https://www.instagram.com/theexperienceaccelerator/")</f>
        <v/>
      </c>
      <c r="S1611" s="15">
        <f>IFERROR(__xludf.DUMMYFUNCTION("""COMPUTED_VALUE"""),"https://twitter.com/ExpAccelerator")</f>
        <v/>
      </c>
      <c r="T1611" s="15">
        <f>IFERROR(__xludf.DUMMYFUNCTION("""COMPUTED_VALUE"""),"https://www.linkedin.com/company/theexperienceaccelerator/")</f>
        <v/>
      </c>
      <c r="U1611" s="1">
        <f>IFERROR(__xludf.DUMMYFUNCTION("""COMPUTED_VALUE"""),"The Skills Accelerator")</f>
        <v/>
      </c>
      <c r="V1611" s="1">
        <f>IFERROR(__xludf.DUMMYFUNCTION("""COMPUTED_VALUE"""),"Through our fully virtual, web accessible learning platform, we use a combination of e-content, visualisation and practice along with personalised, AI augmented feedback to help our learners adopt leadership behavioural skills faster. Our learners tell us"&amp;" they appreciate how we hold the mirror up to their behaviour, allow them to practice new techniques and provide personalised, detailed feedback in a safe environment. On average, we see our learners improve their target behaviours by 40-80%.")</f>
        <v/>
      </c>
      <c r="W1611" s="1">
        <f>IFERROR(__xludf.DUMMYFUNCTION("""COMPUTED_VALUE"""),"Behaviour Matters")</f>
        <v/>
      </c>
      <c r="X1611" s="1">
        <f>IFERROR(__xludf.DUMMYFUNCTION("""COMPUTED_VALUE"""),"Our immersive virtual reality solutions help our learners improve the behaviours that will make them successful at work. Using standalone virtual reality headsets, learners experience realistic scenarios, understand first hand the impact of their choices "&amp;"and get fast cycle, personalised feedback on their performance - both where their strengths lie and where they can improve.")</f>
        <v/>
      </c>
      <c r="Y1611" s="15">
        <f>IFERROR(__xludf.DUMMYFUNCTION("""COMPUTED_VALUE"""),"https://drive.google.com/uc?export=view&amp;id=1xlUbPMvPt_BewbYbx-cOd4HtPkAln8KI")</f>
        <v/>
      </c>
      <c r="Z1611" s="1">
        <f>IFERROR(__xludf.DUMMYFUNCTION("""COMPUTED_VALUE"""),"Unverified")</f>
        <v/>
      </c>
      <c r="AA1611" s="1" t="n"/>
      <c r="AB1611" s="1" t="n"/>
      <c r="AC1611" s="1" t="n"/>
      <c r="AD1611" s="1" t="n"/>
      <c r="AE1611" s="1" t="n"/>
    </row>
    <row r="1612" ht="42" customHeight="1">
      <c r="A1612" s="14">
        <f>IFERROR(__xludf.DUMMYFUNCTION("""COMPUTED_VALUE"""),45181)</f>
        <v/>
      </c>
      <c r="B1612" s="1">
        <f>IFERROR(__xludf.DUMMYFUNCTION("""COMPUTED_VALUE"""),"ORG_2398")</f>
        <v/>
      </c>
      <c r="C1612" s="1">
        <f>IFERROR(__xludf.DUMMYFUNCTION("""COMPUTED_VALUE"""),TRUE)</f>
        <v/>
      </c>
      <c r="D1612" s="1">
        <f>IFERROR(__xludf.DUMMYFUNCTION("""COMPUTED_VALUE"""),"The Inventors")</f>
        <v/>
      </c>
      <c r="E1612" s="15">
        <f>IFERROR(__xludf.DUMMYFUNCTION("""COMPUTED_VALUE"""),"www.theinventors.io")</f>
        <v/>
      </c>
      <c r="F1612" s="1">
        <f>IFERROR(__xludf.DUMMYFUNCTION("""COMPUTED_VALUE"""),"The Inventors develops and deliver educational programs and products designed to inspire, build curiosity and
confidence in youth. With a major focus on technologies, each activity exposes students to individual or group challenges
designed to learn and o"&amp;"pen curiosity about STEAM (Science, Technology, Engineering, Arts and Maths) subjects while
building soft skills such as self-confidence, collaboration, critical and creative thinking and resilience.")</f>
        <v/>
      </c>
      <c r="G1612" s="1">
        <f>IFERROR(__xludf.DUMMYFUNCTION("""COMPUTED_VALUE"""),"SEK Lab")</f>
        <v/>
      </c>
      <c r="H1612" s="1" t="n"/>
      <c r="I1612" s="1">
        <f>IFERROR(__xludf.DUMMYFUNCTION("""COMPUTED_VALUE"""),"hello@theinventors.io")</f>
        <v/>
      </c>
      <c r="J1612" s="1" t="n"/>
      <c r="K1612" s="1">
        <f>IFERROR(__xludf.DUMMYFUNCTION("""COMPUTED_VALUE"""),"CAPARICA")</f>
        <v/>
      </c>
      <c r="L1612" s="1">
        <f>IFERROR(__xludf.DUMMYFUNCTION("""COMPUTED_VALUE"""),"Portugal")</f>
        <v/>
      </c>
      <c r="M1612" s="1">
        <f>IFERROR(__xludf.DUMMYFUNCTION("""COMPUTED_VALUE"""),"Netherlands, Portugal")</f>
        <v/>
      </c>
      <c r="N1612" s="1">
        <f>IFERROR(__xludf.DUMMYFUNCTION("""COMPUTED_VALUE"""),"11 to 50")</f>
        <v/>
      </c>
      <c r="O1612" s="1">
        <f>IFERROR(__xludf.DUMMYFUNCTION("""COMPUTED_VALUE"""),"Business to Consumer, Business to Schools")</f>
        <v/>
      </c>
      <c r="P1612" s="1">
        <f>IFERROR(__xludf.DUMMYFUNCTION("""COMPUTED_VALUE"""),"Early childhood development (0-5 years), Primary Education")</f>
        <v/>
      </c>
      <c r="Q1612" s="1">
        <f>IFERROR(__xludf.DUMMYFUNCTION("""COMPUTED_VALUE"""),"Student interfacing, Teacher interfacing")</f>
        <v/>
      </c>
      <c r="R1612" s="1" t="n"/>
      <c r="S1612" s="1" t="n"/>
      <c r="T1612" s="1" t="n"/>
      <c r="U1612" s="1" t="n"/>
      <c r="V1612" s="1" t="n"/>
      <c r="W1612" s="1" t="n"/>
      <c r="X1612" s="1" t="n"/>
      <c r="Y1612" s="15">
        <f>IFERROR(__xludf.DUMMYFUNCTION("""COMPUTED_VALUE"""),"https://drive.google.com/uc?export=view&amp;id=1Cs8HfXzEoKFvcvQQQ4-u2IngO50Cy820")</f>
        <v/>
      </c>
      <c r="Z1612" s="1">
        <f>IFERROR(__xludf.DUMMYFUNCTION("""COMPUTED_VALUE"""),"Unverified")</f>
        <v/>
      </c>
      <c r="AA1612" s="1" t="n"/>
      <c r="AB1612" s="1" t="n"/>
      <c r="AC1612" s="1" t="n"/>
      <c r="AD1612" s="1" t="n"/>
      <c r="AE1612" s="1" t="n"/>
    </row>
    <row r="1613" ht="42" customHeight="1">
      <c r="A1613" s="14">
        <f>IFERROR(__xludf.DUMMYFUNCTION("""COMPUTED_VALUE"""),45181)</f>
        <v/>
      </c>
      <c r="B1613" s="1">
        <f>IFERROR(__xludf.DUMMYFUNCTION("""COMPUTED_VALUE"""),"ORG_2400")</f>
        <v/>
      </c>
      <c r="C1613" s="1">
        <f>IFERROR(__xludf.DUMMYFUNCTION("""COMPUTED_VALUE"""),TRUE)</f>
        <v/>
      </c>
      <c r="D1613" s="1">
        <f>IFERROR(__xludf.DUMMYFUNCTION("""COMPUTED_VALUE"""),"The Long Finger Company")</f>
        <v/>
      </c>
      <c r="E1613" s="15">
        <f>IFERROR(__xludf.DUMMYFUNCTION("""COMPUTED_VALUE"""),"thelongfingercompany.com")</f>
        <v/>
      </c>
      <c r="F1613" s="1">
        <f>IFERROR(__xludf.DUMMYFUNCTION("""COMPUTED_VALUE"""),"At The Long Finger Company we create apps that improve lives, facilitate communication and improve relationships between people. We focus on the education sector helping schools, professionals, students and families.")</f>
        <v/>
      </c>
      <c r="G1613" s="1">
        <f>IFERROR(__xludf.DUMMYFUNCTION("""COMPUTED_VALUE"""),"SEK Lab")</f>
        <v/>
      </c>
      <c r="H1613" s="1" t="n"/>
      <c r="I1613" s="1">
        <f>IFERROR(__xludf.DUMMYFUNCTION("""COMPUTED_VALUE"""),"jguijarro@schooltivity.com")</f>
        <v/>
      </c>
      <c r="J1613" s="1">
        <f>IFERROR(__xludf.DUMMYFUNCTION("""COMPUTED_VALUE"""),"963682329")</f>
        <v/>
      </c>
      <c r="K1613" s="1">
        <f>IFERROR(__xludf.DUMMYFUNCTION("""COMPUTED_VALUE"""),"VALENCIA")</f>
        <v/>
      </c>
      <c r="L1613" s="1">
        <f>IFERROR(__xludf.DUMMYFUNCTION("""COMPUTED_VALUE"""),"Spain")</f>
        <v/>
      </c>
      <c r="M1613" s="1">
        <f>IFERROR(__xludf.DUMMYFUNCTION("""COMPUTED_VALUE"""),"Andorra, Austria, Belgium, Bulgaria, Croatia, Denmark, Finland, France, Germany, Italy, Malta, Monaco, Netherlands, Norway, Poland, Portugal, San Marino, Spain, Sweden, Switzerland, United Kingdom")</f>
        <v/>
      </c>
      <c r="N1613" s="1">
        <f>IFERROR(__xludf.DUMMYFUNCTION("""COMPUTED_VALUE"""),"0 to 10")</f>
        <v/>
      </c>
      <c r="O1613" s="1">
        <f>IFERROR(__xludf.DUMMYFUNCTION("""COMPUTED_VALUE"""),"Business to Consumer, Business to Schools")</f>
        <v/>
      </c>
      <c r="P1613" s="1">
        <f>IFERROR(__xludf.DUMMYFUNCTION("""COMPUTED_VALUE"""),"Early childhood development (0-5 years), Primary Education, Corporate Training")</f>
        <v/>
      </c>
      <c r="Q1613" s="1">
        <f>IFERROR(__xludf.DUMMYFUNCTION("""COMPUTED_VALUE"""),"System/Administrative, Student interfacing, Teacher interfacing")</f>
        <v/>
      </c>
      <c r="R1613" s="1" t="n"/>
      <c r="S1613" s="1" t="n"/>
      <c r="T1613" s="1" t="n"/>
      <c r="U1613" s="1">
        <f>IFERROR(__xludf.DUMMYFUNCTION("""COMPUTED_VALUE"""),"Schooltivity")</f>
        <v/>
      </c>
      <c r="V1613" s="1">
        <f>IFERROR(__xludf.DUMMYFUNCTION("""COMPUTED_VALUE"""),"The app for Early Childhood and Primary Education, a platform designed to meet the needs of the Early Childhood and Primary Education stages, promoting the evolution of the student at an early age and facilitating communication between the school and fami"&amp;"lies.
Due to its exquisite design and functionality, it was the winner of the Mobile Premier Awards (Mobile World Congress 2016).")</f>
        <v/>
      </c>
      <c r="W1613" s="1">
        <f>IFERROR(__xludf.DUMMYFUNCTION("""COMPUTED_VALUE"""),"Academity")</f>
        <v/>
      </c>
      <c r="X1613" s="1">
        <f>IFERROR(__xludf.DUMMYFUNCTION("""COMPUTED_VALUE"""),"The simple and effective way to manage your academy
The ideal tool for academies… Academity allows from center management to a wide number of functionalities to facilitate teacher-student interaction: attendance control, flexibility to access class conten"&amp;"t, motivation (reward for student effort) , personalized learning, etc.")</f>
        <v/>
      </c>
      <c r="Y1613" s="15">
        <f>IFERROR(__xludf.DUMMYFUNCTION("""COMPUTED_VALUE"""),"https://drive.google.com/uc?export=view&amp;id=12X4t1M7K82mJQM9LgkeX4GezMu-zN5D6")</f>
        <v/>
      </c>
      <c r="Z1613" s="1">
        <f>IFERROR(__xludf.DUMMYFUNCTION("""COMPUTED_VALUE"""),"Unverified")</f>
        <v/>
      </c>
      <c r="AA1613" s="1" t="n"/>
      <c r="AB1613" s="1" t="n"/>
      <c r="AC1613" s="1" t="n"/>
      <c r="AD1613" s="1" t="n"/>
      <c r="AE1613" s="1" t="n"/>
    </row>
    <row r="1614" ht="42" customHeight="1">
      <c r="A1614" s="14">
        <f>IFERROR(__xludf.DUMMYFUNCTION("""COMPUTED_VALUE"""),45181)</f>
        <v/>
      </c>
      <c r="B1614" s="1">
        <f>IFERROR(__xludf.DUMMYFUNCTION("""COMPUTED_VALUE"""),"ORG_2505")</f>
        <v/>
      </c>
      <c r="C1614" s="1">
        <f>IFERROR(__xludf.DUMMYFUNCTION("""COMPUTED_VALUE"""),TRUE)</f>
        <v/>
      </c>
      <c r="D1614" s="1">
        <f>IFERROR(__xludf.DUMMYFUNCTION("""COMPUTED_VALUE"""),"VocaCoach")</f>
        <v/>
      </c>
      <c r="E1614" s="15">
        <f>IFERROR(__xludf.DUMMYFUNCTION("""COMPUTED_VALUE"""),"https://vocacoach.fr/")</f>
        <v/>
      </c>
      <c r="F1614" s="1">
        <f>IFERROR(__xludf.DUMMYFUNCTION("""COMPUTED_VALUE"""),"74% of working people suffer from glossophobia, the fear of speaking in public. Yet it is an essential element of daily professional success.
VocaCoach is an oral expression training application powered by artificial intelligence and voice analysis. It a"&amp;"llows you to practice independently in order to gain efficiency and self-confidence before your interviews or presentations.
In concrete terms, the user records himself and obtains a detailed analysis of his oral expression: speed, tone, hesitations, rep"&amp;"etitions... and advice on how to progress. It works in English and French. Easily integrated into a training program, VocaCoach allows for a rapid diagnosis of oral skills and continuous training.
 VocaCoach's goal is to democratize access to this type o"&amp;"f training for all working people throughout their professional lives, starting with their studies.")</f>
        <v/>
      </c>
      <c r="G1614" s="1">
        <f>IFERROR(__xludf.DUMMYFUNCTION("""COMPUTED_VALUE"""),"EdTech France")</f>
        <v/>
      </c>
      <c r="H1614" s="1" t="n"/>
      <c r="I1614" s="1">
        <f>IFERROR(__xludf.DUMMYFUNCTION("""COMPUTED_VALUE"""),"contact@vocacoach.fr")</f>
        <v/>
      </c>
      <c r="J1614" s="1" t="n"/>
      <c r="K1614" s="1">
        <f>IFERROR(__xludf.DUMMYFUNCTION("""COMPUTED_VALUE"""),"Evry-Courcouronnes")</f>
        <v/>
      </c>
      <c r="L1614" s="1">
        <f>IFERROR(__xludf.DUMMYFUNCTION("""COMPUTED_VALUE"""),"France")</f>
        <v/>
      </c>
      <c r="M1614" s="1">
        <f>IFERROR(__xludf.DUMMYFUNCTION("""COMPUTED_VALUE"""),"France")</f>
        <v/>
      </c>
      <c r="N1614" s="1">
        <f>IFERROR(__xludf.DUMMYFUNCTION("""COMPUTED_VALUE"""),"0 to 10")</f>
        <v/>
      </c>
      <c r="O1614" s="1">
        <f>IFERROR(__xludf.DUMMYFUNCTION("""COMPUTED_VALUE"""),"Business to Government")</f>
        <v/>
      </c>
      <c r="P1614" s="1">
        <f>IFERROR(__xludf.DUMMYFUNCTION("""COMPUTED_VALUE"""),"Secondary Education, Higher Education, Corporate Training")</f>
        <v/>
      </c>
      <c r="Q1614" s="1">
        <f>IFERROR(__xludf.DUMMYFUNCTION("""COMPUTED_VALUE"""),"Teacher interfacing, Student interfacing, System/Administrative")</f>
        <v/>
      </c>
      <c r="R1614" s="15">
        <f>IFERROR(__xludf.DUMMYFUNCTION("""COMPUTED_VALUE"""),"https://www.instagram.com/vocacoach/")</f>
        <v/>
      </c>
      <c r="S1614" s="15">
        <f>IFERROR(__xludf.DUMMYFUNCTION("""COMPUTED_VALUE"""),"https://twitter.com/VocaCoach")</f>
        <v/>
      </c>
      <c r="T1614" s="15">
        <f>IFERROR(__xludf.DUMMYFUNCTION("""COMPUTED_VALUE"""),"https://www.linkedin.com/company/30675854/")</f>
        <v/>
      </c>
      <c r="U1614" s="1">
        <f>IFERROR(__xludf.DUMMYFUNCTION("""COMPUTED_VALUE"""),"VocaCoach App")</f>
        <v/>
      </c>
      <c r="V1614" s="1">
        <f>IFERROR(__xludf.DUMMYFUNCTION("""COMPUTED_VALUE"""),"VocaCoach is an oral expression training application powered by artificial intelligence and voice analysis. It allows you to practice independently in order to gain efficiency and self-confidence before your interviews or presentations.
In concrete terms,"&amp;" the user records himself and obtains a detailed analysis of his oral expression: speed, tone, hesitations, repetitions... and advice on how to progress. It works in French and in English.")</f>
        <v/>
      </c>
      <c r="W1614" s="1" t="n"/>
      <c r="X1614" s="1" t="n"/>
      <c r="Y1614" s="15">
        <f>IFERROR(__xludf.DUMMYFUNCTION("""COMPUTED_VALUE"""),"https://drive.google.com/uc?export=view&amp;id=1_Mmk7mWmDwzqwjH3g6jMT5yAQ3KxAxpM")</f>
        <v/>
      </c>
      <c r="Z1614" s="1">
        <f>IFERROR(__xludf.DUMMYFUNCTION("""COMPUTED_VALUE"""),"Unverified")</f>
        <v/>
      </c>
      <c r="AA1614" s="1" t="n"/>
      <c r="AB1614" s="1" t="n"/>
      <c r="AC1614" s="1" t="n"/>
      <c r="AD1614" s="1" t="n"/>
      <c r="AE1614" s="1" t="n"/>
    </row>
    <row r="1615" ht="42" customHeight="1">
      <c r="A1615" s="14">
        <f>IFERROR(__xludf.DUMMYFUNCTION("""COMPUTED_VALUE"""),45181)</f>
        <v/>
      </c>
      <c r="B1615" s="1">
        <f>IFERROR(__xludf.DUMMYFUNCTION("""COMPUTED_VALUE"""),"ORG_2511")</f>
        <v/>
      </c>
      <c r="C1615" s="1">
        <f>IFERROR(__xludf.DUMMYFUNCTION("""COMPUTED_VALUE"""),TRUE)</f>
        <v/>
      </c>
      <c r="D1615" s="1">
        <f>IFERROR(__xludf.DUMMYFUNCTION("""COMPUTED_VALUE"""),"VYTURYS")</f>
        <v/>
      </c>
      <c r="E1615" s="15">
        <f>IFERROR(__xludf.DUMMYFUNCTION("""COMPUTED_VALUE"""),"www.vyturys.lt")</f>
        <v/>
      </c>
      <c r="F1615" s="1">
        <f>IFERROR(__xludf.DUMMYFUNCTION("""COMPUTED_VALUE"""),"Vyturys is a digital social reading platform for schools, which spans across all age groups and all reading modes. Whether you want to read gorgeous digital picture books with three year olds, read and/or listen to Dostoevsky on you phone, it's all there."&amp;" Engage your students in a discussion on why Raskolnikov killed two ladies but we still pity him without leaving the book and get detailed reports of every comment, click or scroll they make.")</f>
        <v/>
      </c>
      <c r="G1615" s="1">
        <f>IFERROR(__xludf.DUMMYFUNCTION("""COMPUTED_VALUE"""),"EdTech Lithuania")</f>
        <v/>
      </c>
      <c r="H1615" s="1" t="n"/>
      <c r="I1615" s="1">
        <f>IFERROR(__xludf.DUMMYFUNCTION("""COMPUTED_VALUE"""),"arunas@vyturys.lt")</f>
        <v/>
      </c>
      <c r="J1615" s="1">
        <f>IFERROR(__xludf.DUMMYFUNCTION("""COMPUTED_VALUE"""),"860406979")</f>
        <v/>
      </c>
      <c r="K1615" s="1">
        <f>IFERROR(__xludf.DUMMYFUNCTION("""COMPUTED_VALUE"""),"Vilnius")</f>
        <v/>
      </c>
      <c r="L1615" s="1">
        <f>IFERROR(__xludf.DUMMYFUNCTION("""COMPUTED_VALUE"""),"Lithuania")</f>
        <v/>
      </c>
      <c r="M1615" s="1">
        <f>IFERROR(__xludf.DUMMYFUNCTION("""COMPUTED_VALUE"""),"Lithuania")</f>
        <v/>
      </c>
      <c r="N1615" s="1">
        <f>IFERROR(__xludf.DUMMYFUNCTION("""COMPUTED_VALUE"""),"0 to 10")</f>
        <v/>
      </c>
      <c r="O1615" s="1">
        <f>IFERROR(__xludf.DUMMYFUNCTION("""COMPUTED_VALUE"""),"Business to Government, Business to Schools")</f>
        <v/>
      </c>
      <c r="P1615" s="1">
        <f>IFERROR(__xludf.DUMMYFUNCTION("""COMPUTED_VALUE"""),"Early childhood development (0-5 years), Primary Education, Secondary Education")</f>
        <v/>
      </c>
      <c r="Q1615" s="1">
        <f>IFERROR(__xludf.DUMMYFUNCTION("""COMPUTED_VALUE"""),"System/Administrative, Student interfacing, Teacher interfacing")</f>
        <v/>
      </c>
      <c r="R1615" s="1" t="n"/>
      <c r="S1615" s="1" t="n"/>
      <c r="T1615" s="1" t="n"/>
      <c r="U1615" s="1">
        <f>IFERROR(__xludf.DUMMYFUNCTION("""COMPUTED_VALUE"""),"digital social reading platforms")</f>
        <v/>
      </c>
      <c r="V1615" s="1">
        <f>IFERROR(__xludf.DUMMYFUNCTION("""COMPUTED_VALUE"""),"Student reading motivations starts declining at the age of ten. Vyturys is there to build it and sustain it buy offerening access to different modes of reading, which include picture, digital and audio books. Since student engagement with books is critica"&amp;"l, Vyturys also allows native chatting within the book to prolong student engagement times and provides teachers with detailed individual and class level reports.")</f>
        <v/>
      </c>
      <c r="W1615" s="1" t="n"/>
      <c r="X1615" s="1" t="n"/>
      <c r="Y1615" s="15">
        <f>IFERROR(__xludf.DUMMYFUNCTION("""COMPUTED_VALUE"""),"https://drive.google.com/uc?export=view&amp;id=1-DFqfCDhLkHCxoNsYaQJ4dYF8IqfHH8G")</f>
        <v/>
      </c>
      <c r="Z1615" s="1">
        <f>IFERROR(__xludf.DUMMYFUNCTION("""COMPUTED_VALUE"""),"Unverified")</f>
        <v/>
      </c>
      <c r="AA1615" s="1" t="n"/>
      <c r="AB1615" s="1" t="n"/>
      <c r="AC1615" s="1" t="n"/>
      <c r="AD1615" s="1" t="n"/>
      <c r="AE1615" s="1" t="n"/>
    </row>
    <row r="1616" ht="42" customHeight="1">
      <c r="A1616" s="14">
        <f>IFERROR(__xludf.DUMMYFUNCTION("""COMPUTED_VALUE"""),45181)</f>
        <v/>
      </c>
      <c r="B1616" s="1">
        <f>IFERROR(__xludf.DUMMYFUNCTION("""COMPUTED_VALUE"""),"ORG_1775")</f>
        <v/>
      </c>
      <c r="C1616" s="1">
        <f>IFERROR(__xludf.DUMMYFUNCTION("""COMPUTED_VALUE"""),TRUE)</f>
        <v/>
      </c>
      <c r="D1616" s="1">
        <f>IFERROR(__xludf.DUMMYFUNCTION("""COMPUTED_VALUE"""),"Kinescope")</f>
        <v/>
      </c>
      <c r="E1616" s="15">
        <f>IFERROR(__xludf.DUMMYFUNCTION("""COMPUTED_VALUE"""),"https://kinescope.io/")</f>
        <v/>
      </c>
      <c r="F1616" s="1">
        <f>IFERROR(__xludf.DUMMYFUNCTION("""COMPUTED_VALUE"""),"Kinescope is an end-to-end video hosting platform for e-learning with headquarters in Emmen, Netherlands. Kinescope runs on top of own private CDN infrastructure and has few data centers across the world. Customers can host, store and upload thousands of "&amp;"video courses directly from the dashboard.
Kinescope's features include interactive player allowing users to customize it according to their branding, add subtitles, chapters, attachments, in-depth analytics to monitor video performance and engagement, a"&amp;"nd live broadcasts with DVR and video archive enabled. Another useful feature Kinescope offers is premium content protection with industry-leading DRM encryption like Apple FairPlay, as well as private links and password protection ensuring the customer’s"&amp;" video is shared only with the audience they choose to.
Due to its private infrastructure, Kinescope offers revolutionary pricing without hidden fees and fixed subscriptions, with all features available to every user.")</f>
        <v/>
      </c>
      <c r="G1616" s="1">
        <f>IFERROR(__xludf.DUMMYFUNCTION("""COMPUTED_VALUE"""),"Dutch EdTech")</f>
        <v/>
      </c>
      <c r="H1616" s="1">
        <f>IFERROR(__xludf.DUMMYFUNCTION("""COMPUTED_VALUE"""),"English, Dutch")</f>
        <v/>
      </c>
      <c r="I1616" s="1">
        <f>IFERROR(__xludf.DUMMYFUNCTION("""COMPUTED_VALUE"""),"derren@kinescope.io")</f>
        <v/>
      </c>
      <c r="J1616" s="1">
        <f>IFERROR(__xludf.DUMMYFUNCTION("""COMPUTED_VALUE"""),"+31 623601990")</f>
        <v/>
      </c>
      <c r="K1616" s="1">
        <f>IFERROR(__xludf.DUMMYFUNCTION("""COMPUTED_VALUE"""),"Emmen")</f>
        <v/>
      </c>
      <c r="L1616" s="1">
        <f>IFERROR(__xludf.DUMMYFUNCTION("""COMPUTED_VALUE"""),"The Netherlands")</f>
        <v/>
      </c>
      <c r="M161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616" s="1">
        <f>IFERROR(__xludf.DUMMYFUNCTION("""COMPUTED_VALUE"""),"11 to 50")</f>
        <v/>
      </c>
      <c r="O1616" s="1">
        <f>IFERROR(__xludf.DUMMYFUNCTION("""COMPUTED_VALUE"""),"Business to Business, Business to Consumer, Business to Government, Business to Schools")</f>
        <v/>
      </c>
      <c r="P1616" s="1">
        <f>IFERROR(__xludf.DUMMYFUNCTION("""COMPUTED_VALUE"""),"Primary Education, Secondary Education, Corporate Training, Lifelong learning/Adult education, Vocational Education and Training (VET), Higher Education")</f>
        <v/>
      </c>
      <c r="Q1616" s="1">
        <f>IFERROR(__xludf.DUMMYFUNCTION("""COMPUTED_VALUE"""),"Teacher interfacing, System/Administrative, Student interfacing")</f>
        <v/>
      </c>
      <c r="R1616" s="1" t="n"/>
      <c r="S1616" s="1" t="n"/>
      <c r="T1616" s="15">
        <f>IFERROR(__xludf.DUMMYFUNCTION("""COMPUTED_VALUE"""),"https://www.linkedin.com/company/kinescopeio/")</f>
        <v/>
      </c>
      <c r="U1616" s="1">
        <f>IFERROR(__xludf.DUMMYFUNCTION("""COMPUTED_VALUE"""),"Interactive video player with in-depth analytics")</f>
        <v/>
      </c>
      <c r="V1616" s="1">
        <f>IFERROR(__xludf.DUMMYFUNCTION("""COMPUTED_VALUE"""),"The interactive video player is perfectly suited for people who share educational or corporate training and learning online.
It is easy to use, customizable and lets the educator the opportunity to decide how to present the material to the audience – by a"&amp;"dding chapters, subtitles, logos, attachments and links.
The analytics features – visible per individual video or a project – give a thorough insight of the video’s performance, engagement rate, unique views, demographics and technology used by the viewer"&amp;"s.")</f>
        <v/>
      </c>
      <c r="W1616" s="1">
        <f>IFERROR(__xludf.DUMMYFUNCTION("""COMPUTED_VALUE"""),"Private CDN infrastructure &amp; DRM protection")</f>
        <v/>
      </c>
      <c r="X1616" s="1">
        <f>IFERROR(__xludf.DUMMYFUNCTION("""COMPUTED_VALUE"""),"Kinescope has a private CDN infrastructure with own equipment and racks. This allows to deliver large volumes of video traffic with next to zero latency.
All videos have multi-level protection against unauthorized access. From private signatures and CORS "&amp;"policy to enterprise DRM protection Apple FairPlay and ClearKey technologies, Kinescope ensures all videos are delivered securely. In addition, Kinescope provides mitigation against DDoS and other attack vectors.")</f>
        <v/>
      </c>
      <c r="Y1616" s="15">
        <f>IFERROR(__xludf.DUMMYFUNCTION("""COMPUTED_VALUE"""),"https://drive.google.com/uc?export=view&amp;id=1WyulEauxUCtISAhVhbxFjxDKtB9zXX-A")</f>
        <v/>
      </c>
      <c r="Z1616" s="1">
        <f>IFERROR(__xludf.DUMMYFUNCTION("""COMPUTED_VALUE"""),"Unverified")</f>
        <v/>
      </c>
      <c r="AA1616" s="1" t="n"/>
      <c r="AB1616" s="1" t="n"/>
      <c r="AC1616" s="1" t="n"/>
      <c r="AD1616" s="1" t="n"/>
      <c r="AE1616" s="1" t="n"/>
    </row>
    <row r="1617" ht="42" customHeight="1">
      <c r="A1617" s="14">
        <f>IFERROR(__xludf.DUMMYFUNCTION("""COMPUTED_VALUE"""),45181)</f>
        <v/>
      </c>
      <c r="B1617" s="1">
        <f>IFERROR(__xludf.DUMMYFUNCTION("""COMPUTED_VALUE"""),"ORG_1135")</f>
        <v/>
      </c>
      <c r="C1617" s="1">
        <f>IFERROR(__xludf.DUMMYFUNCTION("""COMPUTED_VALUE"""),TRUE)</f>
        <v/>
      </c>
      <c r="D1617" s="1">
        <f>IFERROR(__xludf.DUMMYFUNCTION("""COMPUTED_VALUE"""),"Bacco Software Systems")</f>
        <v/>
      </c>
      <c r="E1617" s="15">
        <f>IFERROR(__xludf.DUMMYFUNCTION("""COMPUTED_VALUE"""),"https://www.accento.app")</f>
        <v/>
      </c>
      <c r="F1617" s="1">
        <f>IFERROR(__xludf.DUMMYFUNCTION("""COMPUTED_VALUE"""),"The goal of Bacco is to develop the Accento educational software, which will significantly improve the world of sound artists.
Musicians spend predominantly most of their time practising, not performing, so we want to revolutionize the quality of that pra"&amp;"ctice time.
Accento will transform the value of personal practice time and teacher lessons: Music students will finally have fun practising and develop tremendous learning speed with Accento.")</f>
        <v/>
      </c>
      <c r="G1617" s="1">
        <f>IFERROR(__xludf.DUMMYFUNCTION("""COMPUTED_VALUE"""),"EdTech Austria")</f>
        <v/>
      </c>
      <c r="H1617" s="1">
        <f>IFERROR(__xludf.DUMMYFUNCTION("""COMPUTED_VALUE"""),"German, English, Spanish, Korean, Chinese, French, Danish")</f>
        <v/>
      </c>
      <c r="I1617" s="1">
        <f>IFERROR(__xludf.DUMMYFUNCTION("""COMPUTED_VALUE"""),"office@bacco.co.at")</f>
        <v/>
      </c>
      <c r="J1617" s="1">
        <f>IFERROR(__xludf.DUMMYFUNCTION("""COMPUTED_VALUE"""),"+43 677 63 44 15 46")</f>
        <v/>
      </c>
      <c r="K1617" s="1">
        <f>IFERROR(__xludf.DUMMYFUNCTION("""COMPUTED_VALUE"""),"SALZBURG")</f>
        <v/>
      </c>
      <c r="L1617" s="1">
        <f>IFERROR(__xludf.DUMMYFUNCTION("""COMPUTED_VALUE"""),"Austria")</f>
        <v/>
      </c>
      <c r="M1617" s="1">
        <f>IFERROR(__xludf.DUMMYFUNCTION("""COMPUTED_VALUE"""),"Andorra, Austria, Belgium, Bosnia and Herzegovina, Bulgaria, Croatia, Cyprus, Czechia, Denmark, Estonia, Finland, France, Germany, Greece, Hungary, Iceland, Ireland, Italy, Kosovo, Latvia, Liechtenstein, Lithuania, Luxembourg, Malta, Moldova, Monaco, Mont"&amp;"enegro, Netherlands, Norway, Poland, Portugal, Romania, San Marino, Slovakia, Slovenia, Spain, Sweden, Switzerland, Turkey, Ukraine, United Kingdom")</f>
        <v/>
      </c>
      <c r="N1617" s="1">
        <f>IFERROR(__xludf.DUMMYFUNCTION("""COMPUTED_VALUE"""),"3 to 5")</f>
        <v/>
      </c>
      <c r="O1617" s="1">
        <f>IFERROR(__xludf.DUMMYFUNCTION("""COMPUTED_VALUE"""),"Business to Business, Business to Consumer")</f>
        <v/>
      </c>
      <c r="P1617" s="1">
        <f>IFERROR(__xludf.DUMMYFUNCTION("""COMPUTED_VALUE"""),"Primary Education, Secondary Education, Lifelong learning/Adult education, Vocational Education and Training (VET)")</f>
        <v/>
      </c>
      <c r="Q1617" s="1">
        <f>IFERROR(__xludf.DUMMYFUNCTION("""COMPUTED_VALUE"""),"System/Administrative, Student interfacing, Teacher interfacing")</f>
        <v/>
      </c>
      <c r="R1617" s="1" t="n"/>
      <c r="S1617" s="15">
        <f>IFERROR(__xludf.DUMMYFUNCTION("""COMPUTED_VALUE"""),"https://twitter.com/AccentoApp")</f>
        <v/>
      </c>
      <c r="T1617" s="15">
        <f>IFERROR(__xludf.DUMMYFUNCTION("""COMPUTED_VALUE"""),"https://www.linkedin.com/company/bacco-software-systems")</f>
        <v/>
      </c>
      <c r="U1617" s="1">
        <f>IFERROR(__xludf.DUMMYFUNCTION("""COMPUTED_VALUE"""),"Accento Music Assistant")</f>
        <v/>
      </c>
      <c r="V1617" s="1">
        <f>IFERROR(__xludf.DUMMYFUNCTION("""COMPUTED_VALUE"""),"Accento not only supports and encourages the practice process. Meanwhile, it also promotes the joy of playing an instrument!
The advanced system, in combination with the outstanding frequency recognition algorithm, provides an optimal training progress f"&amp;"or students. For this purpose, it analyses what was played and compares it with the piece. After that, specially tailored exercises created by music educators are compiled.
These pieces are integrated with learning concepts and perfectly coordinated with "&amp;"each other. They are also combined with different levels of difficulty and different musical styles.
In effect, the exercises are adapted exactly to the needs of the musician. This method leads to successful level-adapted training without demanding too m"&amp;"uch from the student.")</f>
        <v/>
      </c>
      <c r="W1617" s="1" t="n"/>
      <c r="X1617" s="1" t="n"/>
      <c r="Y1617" s="15">
        <f>IFERROR(__xludf.DUMMYFUNCTION("""COMPUTED_VALUE"""),"https://drive.google.com/uc?export=view&amp;id=19XZ0KipXO_51Tb6ojZ13DTogUG6eJecc")</f>
        <v/>
      </c>
      <c r="Z1617" s="1">
        <f>IFERROR(__xludf.DUMMYFUNCTION("""COMPUTED_VALUE"""),"Unverified")</f>
        <v/>
      </c>
      <c r="AA1617" s="1" t="n"/>
      <c r="AB1617" s="1" t="n"/>
      <c r="AC1617" s="1" t="n"/>
      <c r="AD1617" s="1" t="n"/>
      <c r="AE1617" s="1" t="n"/>
    </row>
    <row r="1618" ht="42" customHeight="1">
      <c r="A1618" s="14">
        <f>IFERROR(__xludf.DUMMYFUNCTION("""COMPUTED_VALUE"""),45181)</f>
        <v/>
      </c>
      <c r="B1618" s="1">
        <f>IFERROR(__xludf.DUMMYFUNCTION("""COMPUTED_VALUE"""),"ORG_2013")</f>
        <v/>
      </c>
      <c r="C1618" s="1">
        <f>IFERROR(__xludf.DUMMYFUNCTION("""COMPUTED_VALUE"""),TRUE)</f>
        <v/>
      </c>
      <c r="D1618" s="1">
        <f>IFERROR(__xludf.DUMMYFUNCTION("""COMPUTED_VALUE"""),"MyStudyWeb")</f>
        <v/>
      </c>
      <c r="E1618" s="15">
        <f>IFERROR(__xludf.DUMMYFUNCTION("""COMPUTED_VALUE"""),"https://mystudyweb.com/corporate/")</f>
        <v/>
      </c>
      <c r="F1618" s="1">
        <f>IFERROR(__xludf.DUMMYFUNCTION("""COMPUTED_VALUE"""),"MyStudyWeb is a leading EdTech reseller for the Swedish market and have launched several products that now are market leaders in their segments.
We are looking for EdTech products that have a proven success in their home market and can be sold in the Swe"&amp;"dish market after some adaptation and localisation. It is an advantage, but not a requirement, if your product is in the testing or assessment space.
Our reseller engagement covers the sales and marketing activities, training and first line support that "&amp;"are required to launch your product successfully and grow sales over many years.")</f>
        <v/>
      </c>
      <c r="G1618" s="1">
        <f>IFERROR(__xludf.DUMMYFUNCTION("""COMPUTED_VALUE"""),"Swedish EdTech Industry")</f>
        <v/>
      </c>
      <c r="H1618" s="1" t="n"/>
      <c r="I1618" s="1">
        <f>IFERROR(__xludf.DUMMYFUNCTION("""COMPUTED_VALUE"""),"mathias.crona@mystudyweb.com")</f>
        <v/>
      </c>
      <c r="J1618" s="1">
        <f>IFERROR(__xludf.DUMMYFUNCTION("""COMPUTED_VALUE"""),"+46 8 661 27 00")</f>
        <v/>
      </c>
      <c r="K1618" s="1">
        <f>IFERROR(__xludf.DUMMYFUNCTION("""COMPUTED_VALUE"""),"STOCKHOLM")</f>
        <v/>
      </c>
      <c r="L1618" s="1">
        <f>IFERROR(__xludf.DUMMYFUNCTION("""COMPUTED_VALUE"""),"Sweden")</f>
        <v/>
      </c>
      <c r="M1618" s="1">
        <f>IFERROR(__xludf.DUMMYFUNCTION("""COMPUTED_VALUE"""),"Sweden")</f>
        <v/>
      </c>
      <c r="N1618" s="1">
        <f>IFERROR(__xludf.DUMMYFUNCTION("""COMPUTED_VALUE"""),"3 to 5")</f>
        <v/>
      </c>
      <c r="O1618" s="1">
        <f>IFERROR(__xludf.DUMMYFUNCTION("""COMPUTED_VALUE"""),"Business to Business, Business to Government, Business to Schools")</f>
        <v/>
      </c>
      <c r="P1618" s="1">
        <f>IFERROR(__xludf.DUMMYFUNCTION("""COMPUTED_VALUE"""),"Primary Education, Secondary Education")</f>
        <v/>
      </c>
      <c r="Q1618" s="1">
        <f>IFERROR(__xludf.DUMMYFUNCTION("""COMPUTED_VALUE"""),"Student interfacing, Teacher interfacing")</f>
        <v/>
      </c>
      <c r="R1618" s="15">
        <f>IFERROR(__xludf.DUMMYFUNCTION("""COMPUTED_VALUE"""),"https://www.instagram.com/mystudyweb")</f>
        <v/>
      </c>
      <c r="S1618" s="1" t="n"/>
      <c r="T1618" s="15">
        <f>IFERROR(__xludf.DUMMYFUNCTION("""COMPUTED_VALUE"""),"https://www.linkedin.com/company/mystudyweb-sweden-ab")</f>
        <v/>
      </c>
      <c r="U1618" s="1">
        <f>IFERROR(__xludf.DUMMYFUNCTION("""COMPUTED_VALUE"""),"Kartläggaren")</f>
        <v/>
      </c>
      <c r="V1618" s="1">
        <f>IFERROR(__xludf.DUMMYFUNCTION("""COMPUTED_VALUE"""),"Digital progression test in Swedish, Mathematics and English. Kartläggaren is a used for large scale progression testing at start of academic year and each test takes 45 minutes.")</f>
        <v/>
      </c>
      <c r="W1618" s="1">
        <f>IFERROR(__xludf.DUMMYFUNCTION("""COMPUTED_VALUE"""),"mystudyweb")</f>
        <v/>
      </c>
      <c r="X1618" s="1">
        <f>IFERROR(__xludf.DUMMYFUNCTION("""COMPUTED_VALUE"""),"Digital teaching materials in Swedish, Mathematics, English and Science. Can be used both as stand alone teaching material or as follow-up material to Kartläggaren to which it is fully integrated.")</f>
        <v/>
      </c>
      <c r="Y1618" s="15">
        <f>IFERROR(__xludf.DUMMYFUNCTION("""COMPUTED_VALUE"""),"https://drive.google.com/uc?export=view&amp;id=16BQz96vGyusEltAkDCnaSrGGqflZJcBJ")</f>
        <v/>
      </c>
      <c r="Z1618" s="1">
        <f>IFERROR(__xludf.DUMMYFUNCTION("""COMPUTED_VALUE"""),"Unverified")</f>
        <v/>
      </c>
      <c r="AA1618" s="1" t="n"/>
      <c r="AB1618" s="1" t="n"/>
      <c r="AC1618" s="1" t="n"/>
      <c r="AD1618" s="1" t="n"/>
      <c r="AE1618" s="1" t="n"/>
    </row>
    <row r="1619" ht="42" customHeight="1">
      <c r="A1619" s="14">
        <f>IFERROR(__xludf.DUMMYFUNCTION("""COMPUTED_VALUE"""),45181)</f>
        <v/>
      </c>
      <c r="B1619" s="1">
        <f>IFERROR(__xludf.DUMMYFUNCTION("""COMPUTED_VALUE"""),"ORG_2170")</f>
        <v/>
      </c>
      <c r="C1619" s="1">
        <f>IFERROR(__xludf.DUMMYFUNCTION("""COMPUTED_VALUE"""),TRUE)</f>
        <v/>
      </c>
      <c r="D1619" s="1">
        <f>IFERROR(__xludf.DUMMYFUNCTION("""COMPUTED_VALUE"""),"Recrout")</f>
        <v/>
      </c>
      <c r="E1619" s="15">
        <f>IFERROR(__xludf.DUMMYFUNCTION("""COMPUTED_VALUE"""),"https://edutech.recrout.com/")</f>
        <v/>
      </c>
      <c r="F1619" s="1">
        <f>IFERROR(__xludf.DUMMYFUNCTION("""COMPUTED_VALUE"""),"Students are one of the most important links in our society. They are the new leaders, innovators, makers and creators, implementers, economists and politicians of the future. Their talent is undeniably important and necessary to keep society healthy and "&amp;"energetic. In the face of a changing world, we help Universities to get the best out of their students.
In our core, we believe there is more to people than merely a piece of paper, we believe in people’s talents. Our mission with Recrout EduTech is to h"&amp;"elp students discover their talent and strengthen their personal ambitions. Empowering young talent to achieve personal success. 
The personal guidance of students is of great importance to increase study success and to reduce dropout rates. We think we "&amp;"know our students but who are they really, what are their personality powers? How can we understand our students better, how can we achieve a qualitative deepening within the programs of personal student guidance?
Recrout's innovative software enables Un"&amp;"iversities to positively stimulate student development by assessing each student to discover their competencies and personal growth potential. Enabling universities to guide their students to more study success.")</f>
        <v/>
      </c>
      <c r="G1619" s="1">
        <f>IFERROR(__xludf.DUMMYFUNCTION("""COMPUTED_VALUE"""),"Dutch EdTech")</f>
        <v/>
      </c>
      <c r="H1619" s="1">
        <f>IFERROR(__xludf.DUMMYFUNCTION("""COMPUTED_VALUE"""),"English, Dutch")</f>
        <v/>
      </c>
      <c r="I1619" s="1">
        <f>IFERROR(__xludf.DUMMYFUNCTION("""COMPUTED_VALUE"""),"info@recrout.com")</f>
        <v/>
      </c>
      <c r="J1619" s="1" t="n"/>
      <c r="K1619" s="1">
        <f>IFERROR(__xludf.DUMMYFUNCTION("""COMPUTED_VALUE"""),"Hoofddorp")</f>
        <v/>
      </c>
      <c r="L1619" s="1">
        <f>IFERROR(__xludf.DUMMYFUNCTION("""COMPUTED_VALUE"""),"The Netherlands")</f>
        <v/>
      </c>
      <c r="M1619" s="1">
        <f>IFERROR(__xludf.DUMMYFUNCTION("""COMPUTED_VALUE"""),"Netherlands")</f>
        <v/>
      </c>
      <c r="N1619" s="1">
        <f>IFERROR(__xludf.DUMMYFUNCTION("""COMPUTED_VALUE"""),"6 to 10")</f>
        <v/>
      </c>
      <c r="O1619" s="1">
        <f>IFERROR(__xludf.DUMMYFUNCTION("""COMPUTED_VALUE"""),"Business to Consumer, Business to Government, Business to Schools")</f>
        <v/>
      </c>
      <c r="P1619" s="1">
        <f>IFERROR(__xludf.DUMMYFUNCTION("""COMPUTED_VALUE"""),"Corporate Training, Higher Education")</f>
        <v/>
      </c>
      <c r="Q1619" s="1">
        <f>IFERROR(__xludf.DUMMYFUNCTION("""COMPUTED_VALUE"""),"Student interfacing, Teacher interfacing, System/Administrative")</f>
        <v/>
      </c>
      <c r="R1619" s="15">
        <f>IFERROR(__xludf.DUMMYFUNCTION("""COMPUTED_VALUE"""),"https://twitter.com/recrout")</f>
        <v/>
      </c>
      <c r="S1619" s="15">
        <f>IFERROR(__xludf.DUMMYFUNCTION("""COMPUTED_VALUE"""),"https://twitter.com/recrout")</f>
        <v/>
      </c>
      <c r="T1619" s="15">
        <f>IFERROR(__xludf.DUMMYFUNCTION("""COMPUTED_VALUE"""),"https://www.linkedin.com/company/recrout/")</f>
        <v/>
      </c>
      <c r="U1619" s="1">
        <f>IFERROR(__xludf.DUMMYFUNCTION("""COMPUTED_VALUE"""),"Student Coaching &amp; Guidance Platform")</f>
        <v/>
      </c>
      <c r="V1619" s="1">
        <f>IFERROR(__xludf.DUMMYFUNCTION("""COMPUTED_VALUE"""),"Students are one of the most important links in our society. They are the new leaders, innovators, makers and creators, implementers, economists and politicians of the future. Their talent is undeniably important and necessary to keep society healthy and "&amp;"energetic. In the face of a changing world, we help Universities to get the best out of their students.
In our core, we believe there is more to people than merely a piece of paper, we believe in people’s talents. Our mission with Recrout EduTech is to h"&amp;"elp students discover their talent and strengthen their personal ambitions. Empowering young talent to achieve personal success. 
The personal guidance of students is of great importance to increase study success and to reduce dropout rates. We think we "&amp;"know our students but who are they really, what are their personality powers? How can we understand our students better, how can we achieve a qualitative deepening within the programs of personal student guidance?
Recrout's innovative software enables Un"&amp;"iversities to positively stimulate student development by assessing each student to discover their competencies and personal growth potential. Enabling universities to guide their students to more study success.")</f>
        <v/>
      </c>
      <c r="W1619" s="1" t="n"/>
      <c r="X1619" s="1" t="n"/>
      <c r="Y1619" s="15">
        <f>IFERROR(__xludf.DUMMYFUNCTION("""COMPUTED_VALUE"""),"https://drive.google.com/uc?export=view&amp;id=1nMDHfWuE6BgutaO69ojv2JarV_z27m8f")</f>
        <v/>
      </c>
      <c r="Z1619" s="1">
        <f>IFERROR(__xludf.DUMMYFUNCTION("""COMPUTED_VALUE"""),"Unverified")</f>
        <v/>
      </c>
      <c r="AA1619" s="1" t="n"/>
      <c r="AB1619" s="1" t="n"/>
      <c r="AC1619" s="1" t="n"/>
      <c r="AD1619" s="1" t="n"/>
      <c r="AE1619" s="1" t="n"/>
    </row>
    <row r="1620" ht="42" customHeight="1">
      <c r="A1620" s="14">
        <f>IFERROR(__xludf.DUMMYFUNCTION("""COMPUTED_VALUE"""),45181)</f>
        <v/>
      </c>
      <c r="B1620" s="1">
        <f>IFERROR(__xludf.DUMMYFUNCTION("""COMPUTED_VALUE"""),"ORG_2513")</f>
        <v/>
      </c>
      <c r="C1620" s="1">
        <f>IFERROR(__xludf.DUMMYFUNCTION("""COMPUTED_VALUE"""),TRUE)</f>
        <v/>
      </c>
      <c r="D1620" s="1">
        <f>IFERROR(__xludf.DUMMYFUNCTION("""COMPUTED_VALUE"""),"Warp VR")</f>
        <v/>
      </c>
      <c r="E1620" s="15">
        <f>IFERROR(__xludf.DUMMYFUNCTION("""COMPUTED_VALUE"""),"https://www.warpvr.com/")</f>
        <v/>
      </c>
      <c r="F1620" s="1">
        <f>IFERROR(__xludf.DUMMYFUNCTION("""COMPUTED_VALUE"""),"Warp VR is the easiest and most powerful way to create and scale interactive story-based VR training &amp; onboarding scenarios for enterprise, training agencies and education.
Companies like ASML, Erste Bank, KLM, Shell, and Tata Steel use Warp VR to train "&amp;"their workforce in safety, security and soft skills in a realistic and personalized way — showing results like a 75% increase in learning quality and retention, a 40% reduction in training time, and a 70% performance improvement.")</f>
        <v/>
      </c>
      <c r="G1620" s="1">
        <f>IFERROR(__xludf.DUMMYFUNCTION("""COMPUTED_VALUE"""),"Dutch EdTech")</f>
        <v/>
      </c>
      <c r="H1620" s="1">
        <f>IFERROR(__xludf.DUMMYFUNCTION("""COMPUTED_VALUE"""),"All")</f>
        <v/>
      </c>
      <c r="I1620" s="1">
        <f>IFERROR(__xludf.DUMMYFUNCTION("""COMPUTED_VALUE"""),"hello@warpvr.com")</f>
        <v/>
      </c>
      <c r="J1620" s="1">
        <f>IFERROR(__xludf.DUMMYFUNCTION("""COMPUTED_VALUE"""),"+31851303616")</f>
        <v/>
      </c>
      <c r="K1620" s="1">
        <f>IFERROR(__xludf.DUMMYFUNCTION("""COMPUTED_VALUE"""),"VREELAND")</f>
        <v/>
      </c>
      <c r="L1620" s="1">
        <f>IFERROR(__xludf.DUMMYFUNCTION("""COMPUTED_VALUE"""),"The Netherlands")</f>
        <v/>
      </c>
      <c r="M1620" s="1">
        <f>IFERROR(__xludf.DUMMYFUNCTION("""COMPUTED_VALUE"""),"Austria, Belgium, Denmark, Netherlands, United Kingdom")</f>
        <v/>
      </c>
      <c r="N1620" s="1">
        <f>IFERROR(__xludf.DUMMYFUNCTION("""COMPUTED_VALUE"""),"11 to 50")</f>
        <v/>
      </c>
      <c r="O1620" s="1">
        <f>IFERROR(__xludf.DUMMYFUNCTION("""COMPUTED_VALUE"""),"Business to Government, Business to Schools")</f>
        <v/>
      </c>
      <c r="P1620" s="1">
        <f>IFERROR(__xludf.DUMMYFUNCTION("""COMPUTED_VALUE"""),"Secondary Education, Corporate Training, Vocational Education and Training (VET), Higher Education")</f>
        <v/>
      </c>
      <c r="Q1620" s="1">
        <f>IFERROR(__xludf.DUMMYFUNCTION("""COMPUTED_VALUE"""),"Teacher interfacing, System/Administrative")</f>
        <v/>
      </c>
      <c r="R1620" s="15">
        <f>IFERROR(__xludf.DUMMYFUNCTION("""COMPUTED_VALUE"""),"https://www.instagram.com/warp_vr/")</f>
        <v/>
      </c>
      <c r="S1620" s="15">
        <f>IFERROR(__xludf.DUMMYFUNCTION("""COMPUTED_VALUE"""),"https://twitter.com/WarpVR")</f>
        <v/>
      </c>
      <c r="T1620" s="15">
        <f>IFERROR(__xludf.DUMMYFUNCTION("""COMPUTED_VALUE"""),"https://www.linkedin.com/company/warpvr/")</f>
        <v/>
      </c>
      <c r="U1620" s="1">
        <f>IFERROR(__xludf.DUMMYFUNCTION("""COMPUTED_VALUE"""),"Warp Studio")</f>
        <v/>
      </c>
      <c r="V1620" s="1">
        <f>IFERROR(__xludf.DUMMYFUNCTION("""COMPUTED_VALUE"""),"Warp Studio is your central hub for creating, distributing and analysing real and immersive training scenarios. Collaborate with your team to create impact, engage your workforce and grow your business.
- Create any scenario you can think of
- Distribute"&amp;" to all major mobile VR platforms
- Analyze training data, up to every single choice")</f>
        <v/>
      </c>
      <c r="W1620" s="1" t="n"/>
      <c r="X1620" s="1" t="n"/>
      <c r="Y1620" s="15">
        <f>IFERROR(__xludf.DUMMYFUNCTION("""COMPUTED_VALUE"""),"https://drive.google.com/uc?export=view&amp;id=1iHLsHQmvi6CMrUAS4EjrNtw8-wa943zh")</f>
        <v/>
      </c>
      <c r="Z1620" s="1">
        <f>IFERROR(__xludf.DUMMYFUNCTION("""COMPUTED_VALUE"""),"Unverified")</f>
        <v/>
      </c>
      <c r="AA1620" s="1" t="n"/>
      <c r="AB1620" s="1" t="n"/>
      <c r="AC1620" s="1" t="n"/>
      <c r="AD1620" s="1" t="n"/>
      <c r="AE1620" s="1" t="n"/>
    </row>
    <row r="1621" ht="42" customHeight="1">
      <c r="A1621" s="14">
        <f>IFERROR(__xludf.DUMMYFUNCTION("""COMPUTED_VALUE"""),45181)</f>
        <v/>
      </c>
      <c r="B1621" s="1">
        <f>IFERROR(__xludf.DUMMYFUNCTION("""COMPUTED_VALUE"""),"ORG_1073")</f>
        <v/>
      </c>
      <c r="C1621" s="1">
        <f>IFERROR(__xludf.DUMMYFUNCTION("""COMPUTED_VALUE"""),TRUE)</f>
        <v/>
      </c>
      <c r="D1621" s="1">
        <f>IFERROR(__xludf.DUMMYFUNCTION("""COMPUTED_VALUE"""),"Annie Advisor")</f>
        <v/>
      </c>
      <c r="E1621" s="15">
        <f>IFERROR(__xludf.DUMMYFUNCTION("""COMPUTED_VALUE"""),"https://annieadvisor.com")</f>
        <v/>
      </c>
      <c r="F1621" s="1">
        <f>IFERROR(__xludf.DUMMYFUNCTION("""COMPUTED_VALUE"""),"We're a Helsinki-based startup that develops Annie, a proactive student support chatbot for secondary and higher education. Annie finds hidden support needs among students and directs them to the correct services before their issues escalate, thereby maki"&amp;"ng support more effective and students more successful.
We're a team of human-centered technologists and experts on human behavior with decades of collective experience in educational technology.")</f>
        <v/>
      </c>
      <c r="G1621" s="1">
        <f>IFERROR(__xludf.DUMMYFUNCTION("""COMPUTED_VALUE"""),"EdTech Finland")</f>
        <v/>
      </c>
      <c r="H1621" s="1">
        <f>IFERROR(__xludf.DUMMYFUNCTION("""COMPUTED_VALUE"""),"English, Italian, Swedish, Spanish, Catalan, Finnish")</f>
        <v/>
      </c>
      <c r="I1621" s="1">
        <f>IFERROR(__xludf.DUMMYFUNCTION("""COMPUTED_VALUE"""),"annie@annieadvisor.com")</f>
        <v/>
      </c>
      <c r="J1621" s="1">
        <f>IFERROR(__xludf.DUMMYFUNCTION("""COMPUTED_VALUE"""),"+358408472763")</f>
        <v/>
      </c>
      <c r="K1621" s="1">
        <f>IFERROR(__xludf.DUMMYFUNCTION("""COMPUTED_VALUE"""),"Helsinki")</f>
        <v/>
      </c>
      <c r="L1621" s="1">
        <f>IFERROR(__xludf.DUMMYFUNCTION("""COMPUTED_VALUE"""),"Finland")</f>
        <v/>
      </c>
      <c r="M1621" s="1">
        <f>IFERROR(__xludf.DUMMYFUNCTION("""COMPUTED_VALUE"""),"Finland, Italy, Spain")</f>
        <v/>
      </c>
      <c r="N1621" s="1">
        <f>IFERROR(__xludf.DUMMYFUNCTION("""COMPUTED_VALUE"""),"6 to 10")</f>
        <v/>
      </c>
      <c r="O1621" s="1">
        <f>IFERROR(__xludf.DUMMYFUNCTION("""COMPUTED_VALUE"""),"Business to Business, Business to Government")</f>
        <v/>
      </c>
      <c r="P1621" s="1">
        <f>IFERROR(__xludf.DUMMYFUNCTION("""COMPUTED_VALUE"""),"Secondary Education, Vocational Education and Training (VET), Higher Education")</f>
        <v/>
      </c>
      <c r="Q1621" s="1">
        <f>IFERROR(__xludf.DUMMYFUNCTION("""COMPUTED_VALUE"""),"Teacher interfacing, System/Administrative")</f>
        <v/>
      </c>
      <c r="R1621" s="15">
        <f>IFERROR(__xludf.DUMMYFUNCTION("""COMPUTED_VALUE"""),"https://www.instagram.com/annieadvisor/")</f>
        <v/>
      </c>
      <c r="S1621" s="15">
        <f>IFERROR(__xludf.DUMMYFUNCTION("""COMPUTED_VALUE"""),"https://twitter.com/advisor_annie")</f>
        <v/>
      </c>
      <c r="T1621" s="15">
        <f>IFERROR(__xludf.DUMMYFUNCTION("""COMPUTED_VALUE"""),"https://www.linkedin.com/company/annie-advisor")</f>
        <v/>
      </c>
      <c r="U1621" s="1">
        <f>IFERROR(__xludf.DUMMYFUNCTION("""COMPUTED_VALUE"""),"Annie Advisor")</f>
        <v/>
      </c>
      <c r="V1621" s="1">
        <f>IFERROR(__xludf.DUMMYFUNCTION("""COMPUTED_VALUE"""),"Annie is a proactive student support chatbot for secondary and higher education. Annie finds hidden support needs among students and directs them to the correct services before their issues escalate, thereby making support more effective and students more"&amp;" successful. The bot is based on SMS messages and typically gets an 80% response rate with 15% students reporting support needs.")</f>
        <v/>
      </c>
      <c r="W1621" s="1" t="n"/>
      <c r="X1621" s="1" t="n"/>
      <c r="Y1621" s="15">
        <f>IFERROR(__xludf.DUMMYFUNCTION("""COMPUTED_VALUE"""),"https://drive.google.com/uc?export=view&amp;id=1uaf-f_GtQBvh7Jv8nqewNe1iwd2LmEbr")</f>
        <v/>
      </c>
      <c r="Z1621" s="1">
        <f>IFERROR(__xludf.DUMMYFUNCTION("""COMPUTED_VALUE"""),"Unverified")</f>
        <v/>
      </c>
      <c r="AA1621" s="1" t="n"/>
      <c r="AB1621" s="1" t="n"/>
      <c r="AC1621" s="1" t="n"/>
      <c r="AD1621" s="1" t="n"/>
      <c r="AE1621" s="1" t="n"/>
    </row>
    <row r="1622" ht="42" customHeight="1">
      <c r="A1622" s="14">
        <f>IFERROR(__xludf.DUMMYFUNCTION("""COMPUTED_VALUE"""),45180)</f>
        <v/>
      </c>
      <c r="B1622" s="1">
        <f>IFERROR(__xludf.DUMMYFUNCTION("""COMPUTED_VALUE"""),"ORG_2223")</f>
        <v/>
      </c>
      <c r="C1622" s="1">
        <f>IFERROR(__xludf.DUMMYFUNCTION("""COMPUTED_VALUE"""),TRUE)</f>
        <v/>
      </c>
      <c r="D1622" s="1">
        <f>IFERROR(__xludf.DUMMYFUNCTION("""COMPUTED_VALUE"""),"Sdui")</f>
        <v/>
      </c>
      <c r="E1622" s="15">
        <f>IFERROR(__xludf.DUMMYFUNCTION("""COMPUTED_VALUE"""),"https://sdui.de/")</f>
        <v/>
      </c>
      <c r="F1622" s="1">
        <f>IFERROR(__xludf.DUMMYFUNCTION("""COMPUTED_VALUE"""),"Sdui simplifies communication and organization in schools and daycare centres. The aim of the platform is to reduce the time spent on administrative tasks and to make learning more effective and accessible. For this purpose, Sdui develops GPDR-compliant s"&amp;"olutions that connect teachers, parents and children. With features such as chat, video calls, cloud, timetable and translations, the platform creates the infrastructure for digital learning. Sdui was founded in Koblenz in 2018 and is now one of the faste"&amp;"st-growing start-ups in the German edtech industry.
As of February 2022, Sdui employs around 150 people and has reached more than 5,000 schools and daycare centres in Europe.")</f>
        <v/>
      </c>
      <c r="G1622" s="1">
        <f>IFERROR(__xludf.DUMMYFUNCTION("""COMPUTED_VALUE"""),"I'm not part of any EdTech association")</f>
        <v/>
      </c>
      <c r="H1622" s="1" t="n"/>
      <c r="I1622" s="1">
        <f>IFERROR(__xludf.DUMMYFUNCTION("""COMPUTED_VALUE"""),"presse@sdui.de")</f>
        <v/>
      </c>
      <c r="J1622" s="1">
        <f>IFERROR(__xludf.DUMMYFUNCTION("""COMPUTED_VALUE"""),"+49 261 13490810")</f>
        <v/>
      </c>
      <c r="K1622" s="1">
        <f>IFERROR(__xludf.DUMMYFUNCTION("""COMPUTED_VALUE"""),"KOBLENZ")</f>
        <v/>
      </c>
      <c r="L1622" s="1">
        <f>IFERROR(__xludf.DUMMYFUNCTION("""COMPUTED_VALUE"""),"Germany")</f>
        <v/>
      </c>
      <c r="M1622" s="1">
        <f>IFERROR(__xludf.DUMMYFUNCTION("""COMPUTED_VALUE"""),"Austria, Belgium, France, Germany, Switzerland")</f>
        <v/>
      </c>
      <c r="N1622" s="1">
        <f>IFERROR(__xludf.DUMMYFUNCTION("""COMPUTED_VALUE"""),"100+")</f>
        <v/>
      </c>
      <c r="O1622" s="1">
        <f>IFERROR(__xludf.DUMMYFUNCTION("""COMPUTED_VALUE"""),"Business to Consumer")</f>
        <v/>
      </c>
      <c r="P1622" s="1">
        <f>IFERROR(__xludf.DUMMYFUNCTION("""COMPUTED_VALUE"""),"Early childhood development (0-5 years), Primary Education, Secondary Education")</f>
        <v/>
      </c>
      <c r="Q1622" s="1">
        <f>IFERROR(__xludf.DUMMYFUNCTION("""COMPUTED_VALUE"""),"System/Administrative, Student interfacing, Teacher interfacing")</f>
        <v/>
      </c>
      <c r="R1622" s="1" t="n"/>
      <c r="S1622" s="1" t="n"/>
      <c r="T1622" s="1" t="n"/>
      <c r="U1622" s="1" t="n"/>
      <c r="V1622" s="1" t="n"/>
      <c r="W1622" s="1" t="n"/>
      <c r="X1622" s="1" t="n"/>
      <c r="Y1622" s="15">
        <f>IFERROR(__xludf.DUMMYFUNCTION("""COMPUTED_VALUE"""),"https://drive.google.com/uc?export=view&amp;id=1jAklF2tlq7qW761LQaC6EW9dsp_noXHl")</f>
        <v/>
      </c>
      <c r="Z1622" s="1">
        <f>IFERROR(__xludf.DUMMYFUNCTION("""COMPUTED_VALUE"""),"Unverified")</f>
        <v/>
      </c>
      <c r="AA1622" s="1" t="n"/>
      <c r="AB1622" s="1" t="n"/>
      <c r="AC1622" s="1" t="n"/>
      <c r="AD1622" s="1" t="n"/>
      <c r="AE1622" s="1" t="n"/>
    </row>
    <row r="1623" ht="42" customHeight="1">
      <c r="A1623" s="14">
        <f>IFERROR(__xludf.DUMMYFUNCTION("""COMPUTED_VALUE"""),45896)</f>
        <v/>
      </c>
      <c r="B1623" s="1">
        <f>IFERROR(__xludf.DUMMYFUNCTION("""COMPUTED_VALUE"""),"ORG_1293")</f>
        <v/>
      </c>
      <c r="C1623" s="1">
        <f>IFERROR(__xludf.DUMMYFUNCTION("""COMPUTED_VALUE"""),TRUE)</f>
        <v/>
      </c>
      <c r="D1623" s="1">
        <f>IFERROR(__xludf.DUMMYFUNCTION("""COMPUTED_VALUE"""),"CoNurse")</f>
        <v/>
      </c>
      <c r="E1623" s="15">
        <f>IFERROR(__xludf.DUMMYFUNCTION("""COMPUTED_VALUE"""),"https://www.conurse.net/")</f>
        <v/>
      </c>
      <c r="F1623" s="1">
        <f>IFERROR(__xludf.DUMMYFUNCTION("""COMPUTED_VALUE"""),"CoNurse is a platform and mobile app designed to be the ultimate pocket companion for future nurses, providing learning support with practical content and both clinical and digital skills development.")</f>
        <v/>
      </c>
      <c r="G1623" s="1">
        <f>IFERROR(__xludf.DUMMYFUNCTION("""COMPUTED_VALUE"""),"EdTech Estonia")</f>
        <v/>
      </c>
      <c r="H1623" s="1">
        <f>IFERROR(__xludf.DUMMYFUNCTION("""COMPUTED_VALUE"""),"English, Estonian, Lithuanian, Ukrainian, Spanish")</f>
        <v/>
      </c>
      <c r="I1623" s="1">
        <f>IFERROR(__xludf.DUMMYFUNCTION("""COMPUTED_VALUE"""),"andres.mellik@cognuse.com")</f>
        <v/>
      </c>
      <c r="J1623" s="1">
        <f>IFERROR(__xludf.DUMMYFUNCTION("""COMPUTED_VALUE"""),"+3725658388")</f>
        <v/>
      </c>
      <c r="K1623" s="1">
        <f>IFERROR(__xludf.DUMMYFUNCTION("""COMPUTED_VALUE"""),"Tallinn")</f>
        <v/>
      </c>
      <c r="L1623" s="1">
        <f>IFERROR(__xludf.DUMMYFUNCTION("""COMPUTED_VALUE"""),"Estonia")</f>
        <v/>
      </c>
      <c r="M1623" s="1" t="n"/>
      <c r="N1623" s="1">
        <f>IFERROR(__xludf.DUMMYFUNCTION("""COMPUTED_VALUE"""),"Micro (1-9 FTE employees)")</f>
        <v/>
      </c>
      <c r="O1623" s="1">
        <f>IFERROR(__xludf.DUMMYFUNCTION("""COMPUTED_VALUE"""),"Business to Business, Business to Schools")</f>
        <v/>
      </c>
      <c r="P1623" s="1">
        <f>IFERROR(__xludf.DUMMYFUNCTION("""COMPUTED_VALUE"""),"Corporate Training, Higher Education, Vocational Education and Training (VET)")</f>
        <v/>
      </c>
      <c r="Q1623" s="1">
        <f>IFERROR(__xludf.DUMMYFUNCTION("""COMPUTED_VALUE"""),"Student interfacing, System/Administrative")</f>
        <v/>
      </c>
      <c r="R1623" s="15">
        <f>IFERROR(__xludf.DUMMYFUNCTION("""COMPUTED_VALUE"""),"https://www.instagram.com/conurse_app/")</f>
        <v/>
      </c>
      <c r="S1623" s="1" t="n"/>
      <c r="T1623" s="15">
        <f>IFERROR(__xludf.DUMMYFUNCTION("""COMPUTED_VALUE"""),"https://www.linkedin.com/company/conurseapp/")</f>
        <v/>
      </c>
      <c r="U1623" s="1">
        <f>IFERROR(__xludf.DUMMYFUNCTION("""COMPUTED_VALUE"""),"CoNurse for Education")</f>
        <v/>
      </c>
      <c r="V1623" s="1">
        <f>IFERROR(__xludf.DUMMYFUNCTION("""COMPUTED_VALUE"""),"CoNurse is a platform and mobile app designed to be the ultimate pocket companion for future nurses, providing learning support with step-by-step practical content and both clinical and digital skills development.")</f>
        <v/>
      </c>
      <c r="W1623" s="1" t="n"/>
      <c r="X1623" s="1" t="n"/>
      <c r="Y1623" s="15">
        <f>IFERROR(__xludf.DUMMYFUNCTION("""COMPUTED_VALUE"""),"https://drive.google.com/uc?export=view&amp;id=1XITi5nGcUd-p8dgV_AtMufVnZlrEk2Zq")</f>
        <v/>
      </c>
      <c r="Z1623" s="1">
        <f>IFERROR(__xludf.DUMMYFUNCTION("""COMPUTED_VALUE"""),"Verified")</f>
        <v/>
      </c>
      <c r="AA1623" s="1">
        <f>IFERROR(__xludf.DUMMYFUNCTION("""COMPUTED_VALUE"""),"Public-private partnerships, Project consortium building, Industry-academia partnerships, Collaborations between EdTech organisations")</f>
        <v/>
      </c>
      <c r="AB1623" s="1">
        <f>IFERROR(__xludf.DUMMYFUNCTION("""COMPUTED_VALUE"""),"For-profit company")</f>
        <v/>
      </c>
      <c r="AC1623" s="1">
        <f>IFERROR(__xludf.DUMMYFUNCTION("""COMPUTED_VALUE"""),TRUE)</f>
        <v/>
      </c>
      <c r="AD1623" s="1">
        <f>IFERROR(__xludf.DUMMYFUNCTION("""COMPUTED_VALUE"""),TRUE)</f>
        <v/>
      </c>
      <c r="AE1623" s="1" t="n"/>
    </row>
    <row r="1624" ht="42" customHeight="1">
      <c r="A1624" s="14">
        <f>IFERROR(__xludf.DUMMYFUNCTION("""COMPUTED_VALUE"""),45896)</f>
        <v/>
      </c>
      <c r="B1624" s="1">
        <f>IFERROR(__xludf.DUMMYFUNCTION("""COMPUTED_VALUE"""),"ORG_2668")</f>
        <v/>
      </c>
      <c r="C1624" s="1">
        <f>IFERROR(__xludf.DUMMYFUNCTION("""COMPUTED_VALUE"""),TRUE)</f>
        <v/>
      </c>
      <c r="D1624" s="1">
        <f>IFERROR(__xludf.DUMMYFUNCTION("""COMPUTED_VALUE"""),"Amimi")</f>
        <v/>
      </c>
      <c r="E1624" s="15">
        <f>IFERROR(__xludf.DUMMYFUNCTION("""COMPUTED_VALUE"""),"https://jeeni.ai/")</f>
        <v/>
      </c>
      <c r="F1624" s="1">
        <f>IFERROR(__xludf.DUMMYFUNCTION("""COMPUTED_VALUE"""),"We help parents to teach kids EQ")</f>
        <v/>
      </c>
      <c r="G1624" s="1">
        <f>IFERROR(__xludf.DUMMYFUNCTION("""COMPUTED_VALUE"""),"DOHE")</f>
        <v/>
      </c>
      <c r="H1624" s="1">
        <f>IFERROR(__xludf.DUMMYFUNCTION("""COMPUTED_VALUE"""),"English")</f>
        <v/>
      </c>
      <c r="I1624" s="1">
        <f>IFERROR(__xludf.DUMMYFUNCTION("""COMPUTED_VALUE"""),"support@jeeni.ai")</f>
        <v/>
      </c>
      <c r="J1624" s="1">
        <f>IFERROR(__xludf.DUMMYFUNCTION("""COMPUTED_VALUE"""),"+351932785283")</f>
        <v/>
      </c>
      <c r="K1624" s="1">
        <f>IFERROR(__xludf.DUMMYFUNCTION("""COMPUTED_VALUE"""),"Lisbon")</f>
        <v/>
      </c>
      <c r="L1624" s="1">
        <f>IFERROR(__xludf.DUMMYFUNCTION("""COMPUTED_VALUE"""),"Portugal")</f>
        <v/>
      </c>
      <c r="M1624" s="1">
        <f>IFERROR(__xludf.DUMMYFUNCTION("""COMPUTED_VALUE"""),"Globally")</f>
        <v/>
      </c>
      <c r="N1624" s="1">
        <f>IFERROR(__xludf.DUMMYFUNCTION("""COMPUTED_VALUE"""),"Micro (1-9 FTE employees)")</f>
        <v/>
      </c>
      <c r="O1624" s="1">
        <f>IFERROR(__xludf.DUMMYFUNCTION("""COMPUTED_VALUE"""),"Business to Consumer")</f>
        <v/>
      </c>
      <c r="P1624" s="1">
        <f>IFERROR(__xludf.DUMMYFUNCTION("""COMPUTED_VALUE"""),"Early childhood development (0-5 years), Primary Education")</f>
        <v/>
      </c>
      <c r="Q1624" s="1">
        <f>IFERROR(__xludf.DUMMYFUNCTION("""COMPUTED_VALUE"""),"Student interfacing")</f>
        <v/>
      </c>
      <c r="R1624" s="1" t="n"/>
      <c r="S1624" s="1" t="n"/>
      <c r="T1624" s="1" t="n"/>
      <c r="U1624" s="1">
        <f>IFERROR(__xludf.DUMMYFUNCTION("""COMPUTED_VALUE"""),"iOS app")</f>
        <v/>
      </c>
      <c r="V1624" s="1">
        <f>IFERROR(__xludf.DUMMYFUNCTION("""COMPUTED_VALUE"""),"AI tutor, purpose-built to help children develop emotional intelligence through interactive play")</f>
        <v/>
      </c>
      <c r="W1624" s="1" t="n"/>
      <c r="X1624" s="1" t="n"/>
      <c r="Y1624" s="15">
        <f>IFERROR(__xludf.DUMMYFUNCTION("""COMPUTED_VALUE"""),"https://drive.google.com/uc?export=view&amp;id=1ZzILKXiBNvuFCsdU4HTO5kMNWjEV5Du7")</f>
        <v/>
      </c>
      <c r="Z1624" s="1">
        <f>IFERROR(__xludf.DUMMYFUNCTION("""COMPUTED_VALUE"""),"Verified")</f>
        <v/>
      </c>
      <c r="AA1624" s="1">
        <f>IFERROR(__xludf.DUMMYFUNCTION("""COMPUTED_VALUE"""),"Collaborations between EdTech organisations, Project consortium building, Public-private partnerships, Industry-academia partnerships")</f>
        <v/>
      </c>
      <c r="AB1624" s="1">
        <f>IFERROR(__xludf.DUMMYFUNCTION("""COMPUTED_VALUE"""),"For-profit company")</f>
        <v/>
      </c>
      <c r="AC1624" s="1">
        <f>IFERROR(__xludf.DUMMYFUNCTION("""COMPUTED_VALUE"""),TRUE)</f>
        <v/>
      </c>
      <c r="AD1624" s="1">
        <f>IFERROR(__xludf.DUMMYFUNCTION("""COMPUTED_VALUE"""),TRUE)</f>
        <v/>
      </c>
      <c r="AE1624" s="1" t="n"/>
    </row>
    <row r="1625" ht="42" customHeight="1">
      <c r="A1625" s="14">
        <f>IFERROR(__xludf.DUMMYFUNCTION("""COMPUTED_VALUE"""),45896)</f>
        <v/>
      </c>
      <c r="B1625" s="1">
        <f>IFERROR(__xludf.DUMMYFUNCTION("""COMPUTED_VALUE"""),"ORG_2669")</f>
        <v/>
      </c>
      <c r="C1625" s="1">
        <f>IFERROR(__xludf.DUMMYFUNCTION("""COMPUTED_VALUE"""),TRUE)</f>
        <v/>
      </c>
      <c r="D1625" s="1">
        <f>IFERROR(__xludf.DUMMYFUNCTION("""COMPUTED_VALUE"""),"RecruitHer")</f>
        <v/>
      </c>
      <c r="E1625" s="15">
        <f>IFERROR(__xludf.DUMMYFUNCTION("""COMPUTED_VALUE"""),"https://recruither.co.uk/")</f>
        <v/>
      </c>
      <c r="F1625" s="1">
        <f>IFERROR(__xludf.DUMMYFUNCTION("""COMPUTED_VALUE"""),"RecruitHer is a recruitment consultancy that champions diverse GTM in EdTech sector.We specialise in professionals who bring deep educational insights (across HE, K12, IB, and FE), enabling companies to hit growth targets and secure their next funding rou"&amp;"nds or investments. ")</f>
        <v/>
      </c>
      <c r="G1625" s="1">
        <f>IFERROR(__xludf.DUMMYFUNCTION("""COMPUTED_VALUE"""),"I'm not part of any EdTech association")</f>
        <v/>
      </c>
      <c r="H1625" s="1">
        <f>IFERROR(__xludf.DUMMYFUNCTION("""COMPUTED_VALUE"""),"English, Polish")</f>
        <v/>
      </c>
      <c r="I1625" s="1">
        <f>IFERROR(__xludf.DUMMYFUNCTION("""COMPUTED_VALUE"""),"contact@recruither.co.uk")</f>
        <v/>
      </c>
      <c r="J1625" s="1">
        <f>IFERROR(__xludf.DUMMYFUNCTION("""COMPUTED_VALUE"""),"+447935033195")</f>
        <v/>
      </c>
      <c r="K1625" s="1">
        <f>IFERROR(__xludf.DUMMYFUNCTION("""COMPUTED_VALUE"""),"London")</f>
        <v/>
      </c>
      <c r="L1625" s="1">
        <f>IFERROR(__xludf.DUMMYFUNCTION("""COMPUTED_VALUE"""),"United Kingdom")</f>
        <v/>
      </c>
      <c r="M1625" s="1">
        <f>IFERROR(__xludf.DUMMYFUNCTION("""COMPUTED_VALUE"""),"Austria, Belgium, Bulgaria, Denmark, Albania, Andorra, Belarus, Bosnia and Herzegovina, Croatia, Republic of Cyprus, Czechia, Estonia, United Kingdom, Ukraine, Turkey, Switzerland, Sweden, Slovenia, Spain, San Marino, Poland, Netherlands, Montenegro, Norw"&amp;"ay, Romania, North Macedonia, Monaco, Portugal, Slovakia, Luxembourg, Latvia, Ireland, Greece, Finland, France, Hungary, Italy, Liechtenstein, Malta, Germany, Iceland, Kosovo, Lithuania, Moldova")</f>
        <v/>
      </c>
      <c r="N1625" s="1">
        <f>IFERROR(__xludf.DUMMYFUNCTION("""COMPUTED_VALUE"""),"Micro (1-9 FTE employees)")</f>
        <v/>
      </c>
      <c r="O1625" s="1">
        <f>IFERROR(__xludf.DUMMYFUNCTION("""COMPUTED_VALUE"""),"Business to Business")</f>
        <v/>
      </c>
      <c r="P1625" s="1">
        <f>IFERROR(__xludf.DUMMYFUNCTION("""COMPUTED_VALUE"""),"Early childhood development (0-5 years), Primary Education, Secondary Education, Vocational Education and Training (VET), Higher Education, Special education")</f>
        <v/>
      </c>
      <c r="Q1625" s="1">
        <f>IFERROR(__xludf.DUMMYFUNCTION("""COMPUTED_VALUE"""),"Other")</f>
        <v/>
      </c>
      <c r="R1625" s="15">
        <f>IFERROR(__xludf.DUMMYFUNCTION("""COMPUTED_VALUE"""),"https://www.instagram.com/recruit_her_uk/")</f>
        <v/>
      </c>
      <c r="S1625" s="1" t="n"/>
      <c r="T1625" s="15">
        <f>IFERROR(__xludf.DUMMYFUNCTION("""COMPUTED_VALUE"""),"https://www.linkedin.com/company/recruither-consulting/")</f>
        <v/>
      </c>
      <c r="U1625" s="1">
        <f>IFERROR(__xludf.DUMMYFUNCTION("""COMPUTED_VALUE"""),"Recruitment")</f>
        <v/>
      </c>
      <c r="V1625" s="1">
        <f>IFERROR(__xludf.DUMMYFUNCTION("""COMPUTED_VALUE"""),"We place top diverse talent with insight knowledge of education sector in Go-to-Market (GTM) teams in EdTech sector and allow them to see results from day one.")</f>
        <v/>
      </c>
      <c r="W1625" s="1" t="n"/>
      <c r="X1625" s="1" t="n"/>
      <c r="Y1625" s="15">
        <f>IFERROR(__xludf.DUMMYFUNCTION("""COMPUTED_VALUE"""),"https://drive.google.com/uc?export=view&amp;id=15qpCI4JeZVZ8Qa_mXesuP2dfzELmkyh3")</f>
        <v/>
      </c>
      <c r="Z1625" s="1">
        <f>IFERROR(__xludf.DUMMYFUNCTION("""COMPUTED_VALUE"""),"Verified")</f>
        <v/>
      </c>
      <c r="AA1625" s="1">
        <f>IFERROR(__xludf.DUMMYFUNCTION("""COMPUTED_VALUE"""),"Industry-academia partnerships, Collaborations between EdTech organisations")</f>
        <v/>
      </c>
      <c r="AB1625" s="1">
        <f>IFERROR(__xludf.DUMMYFUNCTION("""COMPUTED_VALUE"""),"For-profit company")</f>
        <v/>
      </c>
      <c r="AC1625" s="1">
        <f>IFERROR(__xludf.DUMMYFUNCTION("""COMPUTED_VALUE"""),TRUE)</f>
        <v/>
      </c>
      <c r="AD1625" s="1">
        <f>IFERROR(__xludf.DUMMYFUNCTION("""COMPUTED_VALUE"""),TRUE)</f>
        <v/>
      </c>
      <c r="AE1625" s="1" t="n"/>
    </row>
    <row r="1626" ht="42" customHeight="1">
      <c r="A1626" s="14">
        <f>IFERROR(__xludf.DUMMYFUNCTION("""COMPUTED_VALUE"""),45898)</f>
        <v/>
      </c>
      <c r="B1626" s="1">
        <f>IFERROR(__xludf.DUMMYFUNCTION("""COMPUTED_VALUE"""),"ORG_2670")</f>
        <v/>
      </c>
      <c r="C1626" s="1">
        <f>IFERROR(__xludf.DUMMYFUNCTION("""COMPUTED_VALUE"""),TRUE)</f>
        <v/>
      </c>
      <c r="D1626" s="15">
        <f>IFERROR(__xludf.DUMMYFUNCTION("""COMPUTED_VALUE"""),"Eduzone.AI")</f>
        <v/>
      </c>
      <c r="E1626" s="15">
        <f>IFERROR(__xludf.DUMMYFUNCTION("""COMPUTED_VALUE"""),"https://www.eduzone.ai")</f>
        <v/>
      </c>
      <c r="F1626" s="1">
        <f>IFERROR(__xludf.DUMMYFUNCTION("""COMPUTED_VALUE"""),"Eduzone.AI is an innovative EdTech platform that empowers teachers and educators with AI-driven tools to create, customize, share, and assess educational content more efficiently, giving them back valuable time to focus on their students.")</f>
        <v/>
      </c>
      <c r="G1626" s="1">
        <f>IFERROR(__xludf.DUMMYFUNCTION("""COMPUTED_VALUE"""),"Dutch EdTech")</f>
        <v/>
      </c>
      <c r="H1626" s="1">
        <f>IFERROR(__xludf.DUMMYFUNCTION("""COMPUTED_VALUE"""),"English")</f>
        <v/>
      </c>
      <c r="I1626" s="1">
        <f>IFERROR(__xludf.DUMMYFUNCTION("""COMPUTED_VALUE"""),"social@eduzone.ai")</f>
        <v/>
      </c>
      <c r="J1626" s="1">
        <f>IFERROR(__xludf.DUMMYFUNCTION("""COMPUTED_VALUE"""),"+905323425558")</f>
        <v/>
      </c>
      <c r="K1626" s="1">
        <f>IFERROR(__xludf.DUMMYFUNCTION("""COMPUTED_VALUE"""),"Amsterdam")</f>
        <v/>
      </c>
      <c r="L1626" s="1">
        <f>IFERROR(__xludf.DUMMYFUNCTION("""COMPUTED_VALUE"""),"Netherlands")</f>
        <v/>
      </c>
      <c r="M1626" s="1">
        <f>IFERROR(__xludf.DUMMYFUNCTION("""COMPUTED_VALUE"""),"Albania, Belarus, Bulgaria, Croatia, Belgium, Andorra, Austria, Bosnia and Herzegovina, Republic of Cyprus, Estonia, Denmark, Czechia, Finland, France, Germany, Iceland, Kosovo, Lithuania, Moldova, Malta, Liechtenstein, Italy, Hungary, Luxembourg, Latvia,"&amp;" Ireland, Greece, Monaco, North Macedonia, Portugal, Slovakia, Sweden, Ukraine, United Kingdom, Switzerland, Slovenia, Romania, Norway, Montenegro, Netherlands, Poland, San Marino, Spain, Turkey")</f>
        <v/>
      </c>
      <c r="N1626" s="1">
        <f>IFERROR(__xludf.DUMMYFUNCTION("""COMPUTED_VALUE"""),"Micro (1-9 FTE employees)")</f>
        <v/>
      </c>
      <c r="O1626" s="1">
        <f>IFERROR(__xludf.DUMMYFUNCTION("""COMPUTED_VALUE"""),"Business to Business, Business to Consumer, Business to Schools")</f>
        <v/>
      </c>
      <c r="P1626" s="1">
        <f>IFERROR(__xludf.DUMMYFUNCTION("""COMPUTED_VALUE"""),"Special education, Lifelong learning/Adult education, Corporate Training, Higher Education, Vocational Education and Training (VET), Secondary Education, Primary Education, Early childhood development (0-5 years)")</f>
        <v/>
      </c>
      <c r="Q1626" s="1">
        <f>IFERROR(__xludf.DUMMYFUNCTION("""COMPUTED_VALUE"""),"Teacher interfacing, Student interfacing")</f>
        <v/>
      </c>
      <c r="R1626" s="1" t="n"/>
      <c r="S1626" s="1" t="n"/>
      <c r="T1626" s="15">
        <f>IFERROR(__xludf.DUMMYFUNCTION("""COMPUTED_VALUE"""),"https://www.linkedin.com/company/eduzone-ai")</f>
        <v/>
      </c>
      <c r="U1626" s="15">
        <f>IFERROR(__xludf.DUMMYFUNCTION("""COMPUTED_VALUE"""),"Eduzone.AI")</f>
        <v/>
      </c>
      <c r="V1626" s="1">
        <f>IFERROR(__xludf.DUMMYFUNCTION("""COMPUTED_VALUE"""),"Eduzone.AI is an innovative EdTech platform that empowers teachers and educators with AI-driven tools to create, customize, share, and assess educational content more efficiently, giving them back valuable time to focus on their students.")</f>
        <v/>
      </c>
      <c r="W1626" s="1" t="n"/>
      <c r="X1626" s="1" t="n"/>
      <c r="Y1626" s="15">
        <f>IFERROR(__xludf.DUMMYFUNCTION("""COMPUTED_VALUE"""),"https://drive.google.com/uc?export=view&amp;id=1ty4U9VEFG-Z0TQ35sMHG2E2MeCOWcfwE")</f>
        <v/>
      </c>
      <c r="Z1626" s="1">
        <f>IFERROR(__xludf.DUMMYFUNCTION("""COMPUTED_VALUE"""),"Verified")</f>
        <v/>
      </c>
      <c r="AA1626" s="1">
        <f>IFERROR(__xludf.DUMMYFUNCTION("""COMPUTED_VALUE"""),"Collaborations between EdTech organisations, Public-private partnerships, Industry-academia partnerships, Project consortium building")</f>
        <v/>
      </c>
      <c r="AB1626" s="1">
        <f>IFERROR(__xludf.DUMMYFUNCTION("""COMPUTED_VALUE"""),"For-profit company")</f>
        <v/>
      </c>
      <c r="AC1626" s="1">
        <f>IFERROR(__xludf.DUMMYFUNCTION("""COMPUTED_VALUE"""),TRUE)</f>
        <v/>
      </c>
      <c r="AD1626" s="1">
        <f>IFERROR(__xludf.DUMMYFUNCTION("""COMPUTED_VALUE"""),TRUE)</f>
        <v/>
      </c>
      <c r="AE1626" s="1" t="n"/>
    </row>
    <row r="1627" ht="42" customHeight="1">
      <c r="A1627" s="14">
        <f>IFERROR(__xludf.DUMMYFUNCTION("""COMPUTED_VALUE"""),45898)</f>
        <v/>
      </c>
      <c r="B1627" s="1">
        <f>IFERROR(__xludf.DUMMYFUNCTION("""COMPUTED_VALUE"""),"ORG_2671")</f>
        <v/>
      </c>
      <c r="C1627" s="1">
        <f>IFERROR(__xludf.DUMMYFUNCTION("""COMPUTED_VALUE"""),TRUE)</f>
        <v/>
      </c>
      <c r="D1627" s="1">
        <f>IFERROR(__xludf.DUMMYFUNCTION("""COMPUTED_VALUE"""),"FORAMIND")</f>
        <v/>
      </c>
      <c r="E1627" s="15">
        <f>IFERROR(__xludf.DUMMYFUNCTION("""COMPUTED_VALUE"""),"https://zihinlerfora.com")</f>
        <v/>
      </c>
      <c r="F1627" s="1">
        <f>IFERROR(__xludf.DUMMYFUNCTION("""COMPUTED_VALUE"""),"Zihinler FORA is company name and FORAMIND is mind mapping software name that was developed by Zihinler FORA. It is the mind mapping software compant and Tony Buzan Certified Training Center")</f>
        <v/>
      </c>
      <c r="G1627" s="1">
        <f>IFERROR(__xludf.DUMMYFUNCTION("""COMPUTED_VALUE"""),"ETKÝM Türkiye")</f>
        <v/>
      </c>
      <c r="H1627" s="1">
        <f>IFERROR(__xludf.DUMMYFUNCTION("""COMPUTED_VALUE"""),"English, Turkish")</f>
        <v/>
      </c>
      <c r="I1627" s="1">
        <f>IFERROR(__xludf.DUMMYFUNCTION("""COMPUTED_VALUE"""),"akin.akcali@foramind.com")</f>
        <v/>
      </c>
      <c r="J1627" s="1">
        <f>IFERROR(__xludf.DUMMYFUNCTION("""COMPUTED_VALUE"""),"+905332849884")</f>
        <v/>
      </c>
      <c r="K1627" s="1">
        <f>IFERROR(__xludf.DUMMYFUNCTION("""COMPUTED_VALUE"""),"Ankara")</f>
        <v/>
      </c>
      <c r="L1627" s="1">
        <f>IFERROR(__xludf.DUMMYFUNCTION("""COMPUTED_VALUE"""),"Türkiye")</f>
        <v/>
      </c>
      <c r="M1627" s="1">
        <f>IFERROR(__xludf.DUMMYFUNCTION("""COMPUTED_VALUE"""),"Turkey, United Kingdom")</f>
        <v/>
      </c>
      <c r="N1627" s="1">
        <f>IFERROR(__xludf.DUMMYFUNCTION("""COMPUTED_VALUE"""),"Small (10-49 FTE employees)")</f>
        <v/>
      </c>
      <c r="O1627" s="1">
        <f>IFERROR(__xludf.DUMMYFUNCTION("""COMPUTED_VALUE"""),"Business to Business, Business to Consumer, Business to Government, Business to Schools")</f>
        <v/>
      </c>
      <c r="P1627" s="1">
        <f>IFERROR(__xludf.DUMMYFUNCTION("""COMPUTED_VALUE"""),"Primary Education, Secondary Education, Vocational Education and Training (VET), Higher Education, Corporate Training, Lifelong learning/Adult education, Special education")</f>
        <v/>
      </c>
      <c r="Q1627" s="1">
        <f>IFERROR(__xludf.DUMMYFUNCTION("""COMPUTED_VALUE"""),"Student interfacing, Teacher interfacing, System/Administrative")</f>
        <v/>
      </c>
      <c r="R1627" s="1" t="n"/>
      <c r="S1627" s="1" t="n"/>
      <c r="T1627" s="1">
        <f>IFERROR(__xludf.DUMMYFUNCTION("""COMPUTED_VALUE"""),"linkedin/showcase/foramind")</f>
        <v/>
      </c>
      <c r="U1627" s="1">
        <f>IFERROR(__xludf.DUMMYFUNCTION("""COMPUTED_VALUE"""),"FORAMIND and Mind Mapping Training")</f>
        <v/>
      </c>
      <c r="V1627" s="1">
        <f>IFERROR(__xludf.DUMMYFUNCTION("""COMPUTED_VALUE"""),"FORAMIND is Mind Mapping Software with AI")</f>
        <v/>
      </c>
      <c r="W1627" s="1">
        <f>IFERROR(__xludf.DUMMYFUNCTION("""COMPUTED_VALUE"""),"Tony Buzan Certified Training Center")</f>
        <v/>
      </c>
      <c r="X1627" s="1">
        <f>IFERROR(__xludf.DUMMYFUNCTION("""COMPUTED_VALUE"""),"Certified Mind Mapping Training is delivered to teachers and students. And also corporate employees.")</f>
        <v/>
      </c>
      <c r="Y1627" s="15">
        <f>IFERROR(__xludf.DUMMYFUNCTION("""COMPUTED_VALUE"""),"https://drive.google.com/uc?export=view&amp;id=1POOxX5IiZFezvU0KVvfqt4nh-LqTqYUX")</f>
        <v/>
      </c>
      <c r="Z1627" s="1">
        <f>IFERROR(__xludf.DUMMYFUNCTION("""COMPUTED_VALUE"""),"Verified")</f>
        <v/>
      </c>
      <c r="AA1627" s="1">
        <f>IFERROR(__xludf.DUMMYFUNCTION("""COMPUTED_VALUE"""),"Collaborations between EdTech organisations, Public-private partnerships, Industry-academia partnerships")</f>
        <v/>
      </c>
      <c r="AB1627" s="1">
        <f>IFERROR(__xludf.DUMMYFUNCTION("""COMPUTED_VALUE"""),"For-profit company")</f>
        <v/>
      </c>
      <c r="AC1627" s="1">
        <f>IFERROR(__xludf.DUMMYFUNCTION("""COMPUTED_VALUE"""),TRUE)</f>
        <v/>
      </c>
      <c r="AD1627" s="1">
        <f>IFERROR(__xludf.DUMMYFUNCTION("""COMPUTED_VALUE"""),TRUE)</f>
        <v/>
      </c>
      <c r="AE1627" s="1" t="n"/>
    </row>
    <row r="1628" ht="42" customHeight="1">
      <c r="A1628" s="14">
        <f>IFERROR(__xludf.DUMMYFUNCTION("""COMPUTED_VALUE"""),45898)</f>
        <v/>
      </c>
      <c r="B1628" s="1">
        <f>IFERROR(__xludf.DUMMYFUNCTION("""COMPUTED_VALUE"""),"ORG_2672")</f>
        <v/>
      </c>
      <c r="C1628" s="1">
        <f>IFERROR(__xludf.DUMMYFUNCTION("""COMPUTED_VALUE"""),TRUE)</f>
        <v/>
      </c>
      <c r="D1628" s="1">
        <f>IFERROR(__xludf.DUMMYFUNCTION("""COMPUTED_VALUE"""),"SWISSMENTOR AG")</f>
        <v/>
      </c>
      <c r="E1628" s="15">
        <f>IFERROR(__xludf.DUMMYFUNCTION("""COMPUTED_VALUE"""),"www.swissmentor.com")</f>
        <v/>
      </c>
      <c r="F1628" s="1">
        <f>IFERROR(__xludf.DUMMYFUNCTION("""COMPUTED_VALUE"""),"SWISSMENTOR AG is a software company in Bern, Switzerland. We build a school management and e-learning platform for Swiss education providers. It covers people and company records, invoicing and payroll, timetables with conflict checks and iCal, exams and"&amp;" reports, and document and video management. The system runs on Azure, Kubernetes or on-premises with a GraphQL API.")</f>
        <v/>
      </c>
      <c r="G1628" s="1">
        <f>IFERROR(__xludf.DUMMYFUNCTION("""COMPUTED_VALUE"""),"I'm not part of any EdTech association")</f>
        <v/>
      </c>
      <c r="H1628" s="1">
        <f>IFERROR(__xludf.DUMMYFUNCTION("""COMPUTED_VALUE"""),"English, German")</f>
        <v/>
      </c>
      <c r="I1628" s="1">
        <f>IFERROR(__xludf.DUMMYFUNCTION("""COMPUTED_VALUE"""),"info@swissmentor.com")</f>
        <v/>
      </c>
      <c r="J1628" s="1">
        <f>IFERROR(__xludf.DUMMYFUNCTION("""COMPUTED_VALUE"""),"+41315112820")</f>
        <v/>
      </c>
      <c r="K1628" s="1">
        <f>IFERROR(__xludf.DUMMYFUNCTION("""COMPUTED_VALUE"""),"Bern")</f>
        <v/>
      </c>
      <c r="L1628" s="1">
        <f>IFERROR(__xludf.DUMMYFUNCTION("""COMPUTED_VALUE"""),"Switzerland")</f>
        <v/>
      </c>
      <c r="M1628" s="1">
        <f>IFERROR(__xludf.DUMMYFUNCTION("""COMPUTED_VALUE"""),"Switzerland")</f>
        <v/>
      </c>
      <c r="N1628" s="1">
        <f>IFERROR(__xludf.DUMMYFUNCTION("""COMPUTED_VALUE"""),"Micro (1-9 FTE employees)")</f>
        <v/>
      </c>
      <c r="O1628" s="1">
        <f>IFERROR(__xludf.DUMMYFUNCTION("""COMPUTED_VALUE"""),"Business to Business, Business to Schools, Business to Government")</f>
        <v/>
      </c>
      <c r="P1628" s="1">
        <f>IFERROR(__xludf.DUMMYFUNCTION("""COMPUTED_VALUE"""),"Higher Education, Corporate Training, Lifelong learning/Adult education")</f>
        <v/>
      </c>
      <c r="Q1628" s="1">
        <f>IFERROR(__xludf.DUMMYFUNCTION("""COMPUTED_VALUE"""),"Student interfacing, Teacher interfacing, System/Administrative")</f>
        <v/>
      </c>
      <c r="R1628" s="1" t="n"/>
      <c r="S1628" s="1" t="n"/>
      <c r="T1628" s="15">
        <f>IFERROR(__xludf.DUMMYFUNCTION("""COMPUTED_VALUE"""),"https://www.linkedin.com/company/swissmentor")</f>
        <v/>
      </c>
      <c r="U1628" s="1">
        <f>IFERROR(__xludf.DUMMYFUNCTION("""COMPUTED_VALUE"""),"SwissMentor")</f>
        <v/>
      </c>
      <c r="V1628" s="1">
        <f>IFERROR(__xludf.DUMMYFUNCTION("""COMPUTED_VALUE"""),"School management software and e-learning platform for administration, timetables, exams, payroll, and digital learning.")</f>
        <v/>
      </c>
      <c r="W1628" s="1" t="n"/>
      <c r="X1628" s="1" t="n"/>
      <c r="Y1628" s="15">
        <f>IFERROR(__xludf.DUMMYFUNCTION("""COMPUTED_VALUE"""),"https://drive.google.com/uc?export=view&amp;id=1ay57RweT3yd5eZp6rwr2uLO4bkB0OrN3")</f>
        <v/>
      </c>
      <c r="Z1628" s="1">
        <f>IFERROR(__xludf.DUMMYFUNCTION("""COMPUTED_VALUE"""),"Verified")</f>
        <v/>
      </c>
      <c r="AA1628" s="1">
        <f>IFERROR(__xludf.DUMMYFUNCTION("""COMPUTED_VALUE"""),"Collaborations between EdTech organisations, Project consortium building, Public-private partnerships")</f>
        <v/>
      </c>
      <c r="AB1628" s="1">
        <f>IFERROR(__xludf.DUMMYFUNCTION("""COMPUTED_VALUE"""),"For-profit company")</f>
        <v/>
      </c>
      <c r="AC1628" s="1">
        <f>IFERROR(__xludf.DUMMYFUNCTION("""COMPUTED_VALUE"""),TRUE)</f>
        <v/>
      </c>
      <c r="AD1628" s="1">
        <f>IFERROR(__xludf.DUMMYFUNCTION("""COMPUTED_VALUE"""),TRUE)</f>
        <v/>
      </c>
      <c r="AE1628" s="1" t="n"/>
    </row>
    <row r="1629" ht="42" customHeight="1">
      <c r="A1629" s="14">
        <f>IFERROR(__xludf.DUMMYFUNCTION("""COMPUTED_VALUE"""),45898)</f>
        <v/>
      </c>
      <c r="B1629" s="1">
        <f>IFERROR(__xludf.DUMMYFUNCTION("""COMPUTED_VALUE"""),"ORG_1966")</f>
        <v/>
      </c>
      <c r="C1629" s="1">
        <f>IFERROR(__xludf.DUMMYFUNCTION("""COMPUTED_VALUE"""),TRUE)</f>
        <v/>
      </c>
      <c r="D1629" s="1">
        <f>IFERROR(__xludf.DUMMYFUNCTION("""COMPUTED_VALUE"""),"Milton Education")</f>
        <v/>
      </c>
      <c r="E1629" s="15">
        <f>IFERROR(__xludf.DUMMYFUNCTION("""COMPUTED_VALUE"""),"miltoneducation.com")</f>
        <v/>
      </c>
      <c r="F1629" s="1">
        <f>IFERROR(__xludf.DUMMYFUNCTION("""COMPUTED_VALUE"""),"An English language learning method where play is at the heart of everyday learning. Our method motivates students to ask questions rather than simply accept answers, using materials that spark curiosity and make learning truly meaningful.")</f>
        <v/>
      </c>
      <c r="G1629" s="1">
        <f>IFERROR(__xludf.DUMMYFUNCTION("""COMPUTED_VALUE"""),"EduTech Cluster Spain")</f>
        <v/>
      </c>
      <c r="H1629" s="1">
        <f>IFERROR(__xludf.DUMMYFUNCTION("""COMPUTED_VALUE"""),"English")</f>
        <v/>
      </c>
      <c r="I1629" s="1">
        <f>IFERROR(__xludf.DUMMYFUNCTION("""COMPUTED_VALUE"""),"info@miltoneducation.com")</f>
        <v/>
      </c>
      <c r="J1629" s="1">
        <f>IFERROR(__xludf.DUMMYFUNCTION("""COMPUTED_VALUE"""),"+34910867503")</f>
        <v/>
      </c>
      <c r="K1629" s="1">
        <f>IFERROR(__xludf.DUMMYFUNCTION("""COMPUTED_VALUE"""),"Madrid")</f>
        <v/>
      </c>
      <c r="L1629" s="1">
        <f>IFERROR(__xludf.DUMMYFUNCTION("""COMPUTED_VALUE"""),"Spain")</f>
        <v/>
      </c>
      <c r="M1629" s="1">
        <f>IFERROR(__xludf.DUMMYFUNCTION("""COMPUTED_VALUE"""),"Spain")</f>
        <v/>
      </c>
      <c r="N1629" s="1">
        <f>IFERROR(__xludf.DUMMYFUNCTION("""COMPUTED_VALUE"""),"Small (10-49 FTE employees)")</f>
        <v/>
      </c>
      <c r="O1629" s="1">
        <f>IFERROR(__xludf.DUMMYFUNCTION("""COMPUTED_VALUE"""),"Business to Business, Business to Schools, Business to Consumer")</f>
        <v/>
      </c>
      <c r="P1629" s="1">
        <f>IFERROR(__xludf.DUMMYFUNCTION("""COMPUTED_VALUE"""),"Early childhood development (0-5 years), Primary Education, Secondary Education, Vocational Education and Training (VET)")</f>
        <v/>
      </c>
      <c r="Q1629" s="1">
        <f>IFERROR(__xludf.DUMMYFUNCTION("""COMPUTED_VALUE"""),"Student interfacing, Teacher interfacing")</f>
        <v/>
      </c>
      <c r="R1629" s="15">
        <f>IFERROR(__xludf.DUMMYFUNCTION("""COMPUTED_VALUE"""),"https://www.instagram.com/miltonenglishteachers")</f>
        <v/>
      </c>
      <c r="S1629" s="15">
        <f>IFERROR(__xludf.DUMMYFUNCTION("""COMPUTED_VALUE"""),"https://x.com/MiltonEducation")</f>
        <v/>
      </c>
      <c r="T1629" s="15">
        <f>IFERROR(__xludf.DUMMYFUNCTION("""COMPUTED_VALUE"""),"https://www.linkedin.com/company")</f>
        <v/>
      </c>
      <c r="U1629" s="1">
        <f>IFERROR(__xludf.DUMMYFUNCTION("""COMPUTED_VALUE"""),"Read &amp; Play")</f>
        <v/>
      </c>
      <c r="V1629" s="1">
        <f>IFERROR(__xludf.DUMMYFUNCTION("""COMPUTED_VALUE"""),"A digital reading platform for primary students with over 800 audiobooks, 3,000 self-correcting exercises, and Kahoot-style games to practise English in a fun way. Hybrid methodology available which includes our printed literacy workbook, Bookroom Bites.")</f>
        <v/>
      </c>
      <c r="W1629" s="1">
        <f>IFERROR(__xludf.DUMMYFUNCTION("""COMPUTED_VALUE"""),"Read &amp; Prep")</f>
        <v/>
      </c>
      <c r="X1629" s="1">
        <f>IFERROR(__xludf.DUMMYFUNCTION("""COMPUTED_VALUE"""),"A digital English learning platform for secondary students that combines a vast library of graded audiobooks with interactive exercises. Read &amp; Prep helps learners prepare for official exams while sparking curiosity and fostering meaningful, independent l"&amp;"earning.")</f>
        <v/>
      </c>
      <c r="Y1629" s="15">
        <f>IFERROR(__xludf.DUMMYFUNCTION("""COMPUTED_VALUE"""),"https://drive.google.com/uc?export=view&amp;id=1E9ZhRuyPTk2j9YDta1rH6Aln-0ruSYk-")</f>
        <v/>
      </c>
      <c r="Z1629" s="1">
        <f>IFERROR(__xludf.DUMMYFUNCTION("""COMPUTED_VALUE"""),"Verified")</f>
        <v/>
      </c>
      <c r="AA1629" s="1">
        <f>IFERROR(__xludf.DUMMYFUNCTION("""COMPUTED_VALUE"""),"Collaborations between EdTech organisations, Project consortium building, Industry-academia partnerships")</f>
        <v/>
      </c>
      <c r="AB1629" s="1">
        <f>IFERROR(__xludf.DUMMYFUNCTION("""COMPUTED_VALUE"""),"For-profit company")</f>
        <v/>
      </c>
      <c r="AC1629" s="1">
        <f>IFERROR(__xludf.DUMMYFUNCTION("""COMPUTED_VALUE"""),TRUE)</f>
        <v/>
      </c>
      <c r="AD1629" s="1">
        <f>IFERROR(__xludf.DUMMYFUNCTION("""COMPUTED_VALUE"""),TRUE)</f>
        <v/>
      </c>
      <c r="AE1629" s="15">
        <f>IFERROR(__xludf.DUMMYFUNCTION("""COMPUTED_VALUE"""),"https://www.facebook.com/educationmilton")</f>
        <v/>
      </c>
    </row>
    <row r="1630" ht="42" customHeight="1">
      <c r="A1630" s="14">
        <f>IFERROR(__xludf.DUMMYFUNCTION("""COMPUTED_VALUE"""),45898)</f>
        <v/>
      </c>
      <c r="B1630" s="1">
        <f>IFERROR(__xludf.DUMMYFUNCTION("""COMPUTED_VALUE"""),"ORG_2673")</f>
        <v/>
      </c>
      <c r="C1630" s="1">
        <f>IFERROR(__xludf.DUMMYFUNCTION("""COMPUTED_VALUE"""),TRUE)</f>
        <v/>
      </c>
      <c r="D1630" s="1">
        <f>IFERROR(__xludf.DUMMYFUNCTION("""COMPUTED_VALUE"""),"Academy Smart")</f>
        <v/>
      </c>
      <c r="E1630" s="15">
        <f>IFERROR(__xludf.DUMMYFUNCTION("""COMPUTED_VALUE"""),"https://academysmart.com/")</f>
        <v/>
      </c>
      <c r="F1630" s="1">
        <f>IFERROR(__xludf.DUMMYFUNCTION("""COMPUTED_VALUE"""),"We're EdTech consultancy company specializing in LMS development, customization and integration., educational portals and applications development, quiz and certification platforms, LTI compliance implementation. We have our own LMS platform and CPD dashb"&amp;"oard products. ")</f>
        <v/>
      </c>
      <c r="G1630" s="1">
        <f>IFERROR(__xludf.DUMMYFUNCTION("""COMPUTED_VALUE"""),"I'm not part of any EdTech association")</f>
        <v/>
      </c>
      <c r="H1630" s="1">
        <f>IFERROR(__xludf.DUMMYFUNCTION("""COMPUTED_VALUE"""),"English, German, Ukrainian")</f>
        <v/>
      </c>
      <c r="I1630" s="1">
        <f>IFERROR(__xludf.DUMMYFUNCTION("""COMPUTED_VALUE"""),"welcome@academysmart.com")</f>
        <v/>
      </c>
      <c r="J1630" s="1">
        <f>IFERROR(__xludf.DUMMYFUNCTION("""COMPUTED_VALUE"""),"+48886186865")</f>
        <v/>
      </c>
      <c r="K1630" s="1">
        <f>IFERROR(__xludf.DUMMYFUNCTION("""COMPUTED_VALUE"""),"Kharkiv")</f>
        <v/>
      </c>
      <c r="L1630" s="1">
        <f>IFERROR(__xludf.DUMMYFUNCTION("""COMPUTED_VALUE"""),"Ukraine")</f>
        <v/>
      </c>
      <c r="M1630" s="1">
        <f>IFERROR(__xludf.DUMMYFUNCTION("""COMPUTED_VALUE"""),"Austria, Belgium, Finland, Germany, Ireland, Netherlands, Norway, Switzerland, Sweden")</f>
        <v/>
      </c>
      <c r="N1630" s="1">
        <f>IFERROR(__xludf.DUMMYFUNCTION("""COMPUTED_VALUE"""),"Medium (50-250 FTE employees)")</f>
        <v/>
      </c>
      <c r="O1630" s="1">
        <f>IFERROR(__xludf.DUMMYFUNCTION("""COMPUTED_VALUE"""),"Business to Business")</f>
        <v/>
      </c>
      <c r="P1630" s="1">
        <f>IFERROR(__xludf.DUMMYFUNCTION("""COMPUTED_VALUE"""),"Vocational Education and Training (VET), Corporate Training, Lifelong learning/Adult education, Special education, Higher Education")</f>
        <v/>
      </c>
      <c r="Q1630" s="1">
        <f>IFERROR(__xludf.DUMMYFUNCTION("""COMPUTED_VALUE"""),"Student interfacing, Teacher interfacing, System/Administrative")</f>
        <v/>
      </c>
      <c r="R1630" s="15">
        <f>IFERROR(__xludf.DUMMYFUNCTION("""COMPUTED_VALUE"""),"https://www.instagram.com/academysmart.team/")</f>
        <v/>
      </c>
      <c r="S1630" s="1" t="n"/>
      <c r="T1630" s="15">
        <f>IFERROR(__xludf.DUMMYFUNCTION("""COMPUTED_VALUE"""),"https://www.linkedin.com/company/academy-smart-ltd-/")</f>
        <v/>
      </c>
      <c r="U1630" s="1">
        <f>IFERROR(__xludf.DUMMYFUNCTION("""COMPUTED_VALUE"""),"Academy Smart LMS")</f>
        <v/>
      </c>
      <c r="V1630" s="1">
        <f>IFERROR(__xludf.DUMMYFUNCTION("""COMPUTED_VALUE"""),"A fully customizable, self-hosted Learning Management System for training providers — built with true multi-tenancy, enterprise-grade access control, and no subscription lock-in.")</f>
        <v/>
      </c>
      <c r="W1630" s="1">
        <f>IFERROR(__xludf.DUMMYFUNCTION("""COMPUTED_VALUE"""),"Custom LMS and EdTech development")</f>
        <v/>
      </c>
      <c r="X1630" s="1">
        <f>IFERROR(__xludf.DUMMYFUNCTION("""COMPUTED_VALUE"""),"Development of custom LMS platforms, extension and integration of the off-the-shelf LMS, educational portals, school management software, certification platforms. ")</f>
        <v/>
      </c>
      <c r="Y1630" s="15">
        <f>IFERROR(__xludf.DUMMYFUNCTION("""COMPUTED_VALUE"""),"https://drive.google.com/uc?export=view&amp;id=138gwu4ntlUssSwNjaCqfiENP4pcAVqIT")</f>
        <v/>
      </c>
      <c r="Z1630" s="1">
        <f>IFERROR(__xludf.DUMMYFUNCTION("""COMPUTED_VALUE"""),"Verified")</f>
        <v/>
      </c>
      <c r="AA1630" s="1">
        <f>IFERROR(__xludf.DUMMYFUNCTION("""COMPUTED_VALUE"""),"Collaborations between EdTech organisations, Public-private partnerships, Project consortium building, Industry-academia partnerships")</f>
        <v/>
      </c>
      <c r="AB1630" s="1">
        <f>IFERROR(__xludf.DUMMYFUNCTION("""COMPUTED_VALUE"""),"For-profit company")</f>
        <v/>
      </c>
      <c r="AC1630" s="1">
        <f>IFERROR(__xludf.DUMMYFUNCTION("""COMPUTED_VALUE"""),TRUE)</f>
        <v/>
      </c>
      <c r="AD1630" s="1">
        <f>IFERROR(__xludf.DUMMYFUNCTION("""COMPUTED_VALUE"""),FALSE)</f>
        <v/>
      </c>
      <c r="AE1630" s="15">
        <f>IFERROR(__xludf.DUMMYFUNCTION("""COMPUTED_VALUE"""),"https://www.facebook.com/academysmart.com.ua")</f>
        <v/>
      </c>
    </row>
    <row r="1631" ht="42" customHeight="1">
      <c r="A1631" s="14">
        <f>IFERROR(__xludf.DUMMYFUNCTION("""COMPUTED_VALUE"""),45898)</f>
        <v/>
      </c>
      <c r="B1631" s="1">
        <f>IFERROR(__xludf.DUMMYFUNCTION("""COMPUTED_VALUE"""),"ORG_1859")</f>
        <v/>
      </c>
      <c r="C1631" s="1">
        <f>IFERROR(__xludf.DUMMYFUNCTION("""COMPUTED_VALUE"""),TRUE)</f>
        <v/>
      </c>
      <c r="D1631" s="1">
        <f>IFERROR(__xludf.DUMMYFUNCTION("""COMPUTED_VALUE"""),"LessonUp")</f>
        <v/>
      </c>
      <c r="E1631" s="15">
        <f>IFERROR(__xludf.DUMMYFUNCTION("""COMPUTED_VALUE"""),"https://www.lessonup.com")</f>
        <v/>
      </c>
      <c r="F1631" s="1">
        <f>IFERROR(__xludf.DUMMYFUNCTION("""COMPUTED_VALUE"""),"LessonUp is a Netherlands-based all-in-one teaching platform that empowers educators to create, deliver, and share interactive lessons in both classroom and remote settings. Founded in 2015, it combines powerful teaching tools, formative assessment, and a"&amp;" vast library of customizable resources into one intuitive environment. Teachers can design engaging lessons enriched with interactive elements such as quizzes, polls, mind maps, and drag-and-drop tasks, ensuring active student participation and catering "&amp;"to diverse learning styles. LessonUp also provides real-time insights into student progress, helping teachers identify knowledge gaps and adapt instruction effectively. With a library of over two million lessons created by educators, publishers, and cultu"&amp;"ral institutions like the Van Gogh Museum and the Anne Frank House, it supports knowledge sharing at scale. Used by more than 200,000 teachers in over 170 countries, LessonUp fosters innovative pedagogy while remaining fully GDPR-compliant and integrating"&amp;" seamlessly with major LMS platforms.")</f>
        <v/>
      </c>
      <c r="G1631" s="1">
        <f>IFERROR(__xludf.DUMMYFUNCTION("""COMPUTED_VALUE"""),"Dutch EdTech")</f>
        <v/>
      </c>
      <c r="H1631" s="1">
        <f>IFERROR(__xludf.DUMMYFUNCTION("""COMPUTED_VALUE"""),"English, Dutch")</f>
        <v/>
      </c>
      <c r="I1631" s="1">
        <f>IFERROR(__xludf.DUMMYFUNCTION("""COMPUTED_VALUE"""),"info@lessonup.com")</f>
        <v/>
      </c>
      <c r="J1631" s="1">
        <f>IFERROR(__xludf.DUMMYFUNCTION("""COMPUTED_VALUE"""),"+31707980133")</f>
        <v/>
      </c>
      <c r="K1631" s="1">
        <f>IFERROR(__xludf.DUMMYFUNCTION("""COMPUTED_VALUE"""),"The Hague")</f>
        <v/>
      </c>
      <c r="L1631" s="1">
        <f>IFERROR(__xludf.DUMMYFUNCTION("""COMPUTED_VALUE"""),"The Netherlands")</f>
        <v/>
      </c>
      <c r="M1631" s="1">
        <f>IFERROR(__xludf.DUMMYFUNCTION("""COMPUTED_VALUE"""),"United Kingdom, Ukraine, Turkey, Switzerland, Sweden, Slovakia, Slovenia, Spain, San Marino, Romania, Portugal, North Macedonia, Norway, Poland, Netherlands, Montenegro, Monaco, Luxembourg, Malta, Moldova, Lithuania, Liechtenstein, Latvia, Ireland, Italy,"&amp;" Kosovo, Iceland, Hungary, Greece, Finland, France, Germany, Estonia, Denmark, Czechia, Bulgaria, Croatia, Republic of Cyprus, Bosnia and Herzegovina, Belgium, Belarus, Albania, Andorra, Austria")</f>
        <v/>
      </c>
      <c r="N1631" s="1">
        <f>IFERROR(__xludf.DUMMYFUNCTION("""COMPUTED_VALUE"""),"Small (10-49 FTE employees)")</f>
        <v/>
      </c>
      <c r="O1631" s="1">
        <f>IFERROR(__xludf.DUMMYFUNCTION("""COMPUTED_VALUE"""),"Business to Consumer, Business to Schools")</f>
        <v/>
      </c>
      <c r="P1631" s="1">
        <f>IFERROR(__xludf.DUMMYFUNCTION("""COMPUTED_VALUE"""),"Secondary Education, Vocational Education and Training (VET), Special education, Higher Education")</f>
        <v/>
      </c>
      <c r="Q1631" s="1">
        <f>IFERROR(__xludf.DUMMYFUNCTION("""COMPUTED_VALUE"""),"Teacher interfacing")</f>
        <v/>
      </c>
      <c r="R1631" s="15">
        <f>IFERROR(__xludf.DUMMYFUNCTION("""COMPUTED_VALUE"""),"https://www.instagram.com/_lessonup")</f>
        <v/>
      </c>
      <c r="S1631" s="15">
        <f>IFERROR(__xludf.DUMMYFUNCTION("""COMPUTED_VALUE"""),"https://x.com/lessonup")</f>
        <v/>
      </c>
      <c r="T1631" s="15">
        <f>IFERROR(__xludf.DUMMYFUNCTION("""COMPUTED_VALUE"""),"https://www.linkedin.com/company/lessonupnl")</f>
        <v/>
      </c>
      <c r="U1631" s="1">
        <f>IFERROR(__xludf.DUMMYFUNCTION("""COMPUTED_VALUE"""),"Lesson creation")</f>
        <v/>
      </c>
      <c r="V1631" s="1">
        <f>IFERROR(__xludf.DUMMYFUNCTION("""COMPUTED_VALUE"""),"Create lessons from scratch, with AI, by uploading a PowerPoint or just select a lesson from our lesson library")</f>
        <v/>
      </c>
      <c r="W1631" s="1">
        <f>IFERROR(__xludf.DUMMYFUNCTION("""COMPUTED_VALUE"""),"Lesson teaching")</f>
        <v/>
      </c>
      <c r="X1631" s="1">
        <f>IFERROR(__xludf.DUMMYFUNCTION("""COMPUTED_VALUE"""),"Teach your lesson in a classroom, or in hybrid/remote situations and let students join on their mobile device to ensure interactivity and engagement.")</f>
        <v/>
      </c>
      <c r="Y1631" s="15">
        <f>IFERROR(__xludf.DUMMYFUNCTION("""COMPUTED_VALUE"""),"https://drive.google.com/uc?export=view&amp;id=1KsUAway5y5G1kJk-nypzbf3ee1F939s5")</f>
        <v/>
      </c>
      <c r="Z1631" s="1">
        <f>IFERROR(__xludf.DUMMYFUNCTION("""COMPUTED_VALUE"""),"Verified")</f>
        <v/>
      </c>
      <c r="AA1631" s="1">
        <f>IFERROR(__xludf.DUMMYFUNCTION("""COMPUTED_VALUE"""),"Public-private partnerships, Industry-academia partnerships, Project consortium building, Collaborations between EdTech organisations")</f>
        <v/>
      </c>
      <c r="AB1631" s="1">
        <f>IFERROR(__xludf.DUMMYFUNCTION("""COMPUTED_VALUE"""),"For-profit company")</f>
        <v/>
      </c>
      <c r="AC1631" s="1">
        <f>IFERROR(__xludf.DUMMYFUNCTION("""COMPUTED_VALUE"""),TRUE)</f>
        <v/>
      </c>
      <c r="AD1631" s="1">
        <f>IFERROR(__xludf.DUMMYFUNCTION("""COMPUTED_VALUE"""),TRUE)</f>
        <v/>
      </c>
      <c r="AE1631" s="15">
        <f>IFERROR(__xludf.DUMMYFUNCTION("""COMPUTED_VALUE"""),"https://www.facebook.com/lessonup")</f>
        <v/>
      </c>
    </row>
    <row r="1632" ht="42" customHeight="1">
      <c r="A1632" s="14">
        <f>IFERROR(__xludf.DUMMYFUNCTION("""COMPUTED_VALUE"""),45898)</f>
        <v/>
      </c>
      <c r="B1632" s="1">
        <f>IFERROR(__xludf.DUMMYFUNCTION("""COMPUTED_VALUE"""),"ORG_2243")</f>
        <v/>
      </c>
      <c r="C1632" s="1">
        <f>IFERROR(__xludf.DUMMYFUNCTION("""COMPUTED_VALUE"""),TRUE)</f>
        <v/>
      </c>
      <c r="D1632" s="1">
        <f>IFERROR(__xludf.DUMMYFUNCTION("""COMPUTED_VALUE"""),"Simone et les Robots")</f>
        <v/>
      </c>
      <c r="E1632" s="15">
        <f>IFERROR(__xludf.DUMMYFUNCTION("""COMPUTED_VALUE"""),"https://www.simoneetlesrobots.com/")</f>
        <v/>
      </c>
      <c r="F1632" s="1">
        <f>IFERROR(__xludf.DUMMYFUNCTION("""COMPUTED_VALUE"""),"Simone et les Robots is a strategy consulting compagny specialized in higher education. We act as an accelerator of transformation, helping institutions and EdTech companies design and implement innovative strategies. With a deep knowledge of the HigherEd"&amp;" ecosystem, we support our clients in shaping their future.")</f>
        <v/>
      </c>
      <c r="G1632" s="1">
        <f>IFERROR(__xludf.DUMMYFUNCTION("""COMPUTED_VALUE"""),"EdTech France")</f>
        <v/>
      </c>
      <c r="H1632" s="1">
        <f>IFERROR(__xludf.DUMMYFUNCTION("""COMPUTED_VALUE"""),"French, English")</f>
        <v/>
      </c>
      <c r="I1632" s="1">
        <f>IFERROR(__xludf.DUMMYFUNCTION("""COMPUTED_VALUE"""),"simone@simoneetlesrobots.com")</f>
        <v/>
      </c>
      <c r="J1632" s="1">
        <f>IFERROR(__xludf.DUMMYFUNCTION("""COMPUTED_VALUE"""),"+33142010520")</f>
        <v/>
      </c>
      <c r="K1632" s="1">
        <f>IFERROR(__xludf.DUMMYFUNCTION("""COMPUTED_VALUE"""),"Paris")</f>
        <v/>
      </c>
      <c r="L1632" s="1">
        <f>IFERROR(__xludf.DUMMYFUNCTION("""COMPUTED_VALUE"""),"France")</f>
        <v/>
      </c>
      <c r="M1632" s="1">
        <f>IFERROR(__xludf.DUMMYFUNCTION("""COMPUTED_VALUE"""),"France")</f>
        <v/>
      </c>
      <c r="N1632" s="1">
        <f>IFERROR(__xludf.DUMMYFUNCTION("""COMPUTED_VALUE"""),"Micro (1-9 FTE employees)")</f>
        <v/>
      </c>
      <c r="O1632" s="1">
        <f>IFERROR(__xludf.DUMMYFUNCTION("""COMPUTED_VALUE"""),"Business to Business, Business to Schools, Business to Government")</f>
        <v/>
      </c>
      <c r="P1632" s="1">
        <f>IFERROR(__xludf.DUMMYFUNCTION("""COMPUTED_VALUE"""),"Higher Education, Vocational Education and Training (VET), Lifelong learning/Adult education")</f>
        <v/>
      </c>
      <c r="Q1632" s="1">
        <f>IFERROR(__xludf.DUMMYFUNCTION("""COMPUTED_VALUE"""),"Other")</f>
        <v/>
      </c>
      <c r="R1632" s="15">
        <f>IFERROR(__xludf.DUMMYFUNCTION("""COMPUTED_VALUE"""),"https://www.instagram.com/simoneetlesrobots/?hl=fr")</f>
        <v/>
      </c>
      <c r="S1632" s="1" t="n"/>
      <c r="T1632" s="15">
        <f>IFERROR(__xludf.DUMMYFUNCTION("""COMPUTED_VALUE"""),"https://fr.linkedin.com/company/simone-et-les-robots")</f>
        <v/>
      </c>
      <c r="U1632" s="1">
        <f>IFERROR(__xludf.DUMMYFUNCTION("""COMPUTED_VALUE"""),"Transformation strategy")</f>
        <v/>
      </c>
      <c r="V1632" s="1">
        <f>IFERROR(__xludf.DUMMYFUNCTION("""COMPUTED_VALUE"""),"We advise and support higher education institutions in their transformation strategy. From master plans to project management, we combine strategic vision, organizational expertise and pragmatic execution, driven by innovation and performance.")</f>
        <v/>
      </c>
      <c r="W1632" s="1">
        <f>IFERROR(__xludf.DUMMYFUNCTION("""COMPUTED_VALUE"""),"Brand and market strategy")</f>
        <v/>
      </c>
      <c r="X1632" s="1">
        <f>IFERROR(__xludf.DUMMYFUNCTION("""COMPUTED_VALUE"""),"We help institutions and EdTech companies strengthen their brand, communication and positioning through identity building, competitive analysis and market intelligence. We enable them to differentiate and increase their visibility and impact in the Higher"&amp;"Ed and EdTech ecosystem.")</f>
        <v/>
      </c>
      <c r="Y1632" s="15">
        <f>IFERROR(__xludf.DUMMYFUNCTION("""COMPUTED_VALUE"""),"https://drive.google.com/uc?export=view&amp;id=13wXCRW7cvNc_PsJXd5i_y4QfKA5kKOx4")</f>
        <v/>
      </c>
      <c r="Z1632" s="1">
        <f>IFERROR(__xludf.DUMMYFUNCTION("""COMPUTED_VALUE"""),"Verified")</f>
        <v/>
      </c>
      <c r="AA1632" s="1">
        <f>IFERROR(__xludf.DUMMYFUNCTION("""COMPUTED_VALUE"""),"Collaborations between EdTech organisations, Project consortium building, Public-private partnerships, Industry-academia partnerships, Other")</f>
        <v/>
      </c>
      <c r="AB1632" s="1">
        <f>IFERROR(__xludf.DUMMYFUNCTION("""COMPUTED_VALUE"""),"For-profit company")</f>
        <v/>
      </c>
      <c r="AC1632" s="1">
        <f>IFERROR(__xludf.DUMMYFUNCTION("""COMPUTED_VALUE"""),TRUE)</f>
        <v/>
      </c>
      <c r="AD1632" s="1">
        <f>IFERROR(__xludf.DUMMYFUNCTION("""COMPUTED_VALUE"""),FALSE)</f>
        <v/>
      </c>
      <c r="AE1632" s="1" t="n"/>
    </row>
    <row r="1633" ht="42" customHeight="1">
      <c r="A1633" s="14">
        <f>IFERROR(__xludf.DUMMYFUNCTION("""COMPUTED_VALUE"""),45898)</f>
        <v/>
      </c>
      <c r="B1633" s="1">
        <f>IFERROR(__xludf.DUMMYFUNCTION("""COMPUTED_VALUE"""),"ORG_2674")</f>
        <v/>
      </c>
      <c r="C1633" s="1">
        <f>IFERROR(__xludf.DUMMYFUNCTION("""COMPUTED_VALUE"""),TRUE)</f>
        <v/>
      </c>
      <c r="D1633" s="1">
        <f>IFERROR(__xludf.DUMMYFUNCTION("""COMPUTED_VALUE"""),"School of Education, University of Aberdeen")</f>
        <v/>
      </c>
      <c r="E1633" s="15">
        <f>IFERROR(__xludf.DUMMYFUNCTION("""COMPUTED_VALUE"""),"www.abdn.ac.uk/education")</f>
        <v/>
      </c>
      <c r="F1633" s="1">
        <f>IFERROR(__xludf.DUMMYFUNCTION("""COMPUTED_VALUE"""),"Higher Education/University, the school of education is a Teacher Education institute")</f>
        <v/>
      </c>
      <c r="G1633" s="1">
        <f>IFERROR(__xludf.DUMMYFUNCTION("""COMPUTED_VALUE"""),"I'm not part of any EdTech association")</f>
        <v/>
      </c>
      <c r="H1633" s="1" t="n"/>
      <c r="I1633" s="1">
        <f>IFERROR(__xludf.DUMMYFUNCTION("""COMPUTED_VALUE"""),"andrew.mclaughlin@abdn.ac.uk")</f>
        <v/>
      </c>
      <c r="J1633" s="1">
        <f>IFERROR(__xludf.DUMMYFUNCTION("""COMPUTED_VALUE"""),"+441224274892")</f>
        <v/>
      </c>
      <c r="K1633" s="1">
        <f>IFERROR(__xludf.DUMMYFUNCTION("""COMPUTED_VALUE"""),"Aberdeen, UK")</f>
        <v/>
      </c>
      <c r="L1633" s="1">
        <f>IFERROR(__xludf.DUMMYFUNCTION("""COMPUTED_VALUE"""),"Scotland, UK")</f>
        <v/>
      </c>
      <c r="M1633" s="1" t="n"/>
      <c r="N1633" s="1">
        <f>IFERROR(__xludf.DUMMYFUNCTION("""COMPUTED_VALUE"""),"Large (250+ FTE employees)")</f>
        <v/>
      </c>
      <c r="O1633" s="1">
        <f>IFERROR(__xludf.DUMMYFUNCTION("""COMPUTED_VALUE"""),"Business to Schools, Business to Government")</f>
        <v/>
      </c>
      <c r="P1633" s="1">
        <f>IFERROR(__xludf.DUMMYFUNCTION("""COMPUTED_VALUE"""),"Primary Education, Secondary Education, Early childhood development (0-5 years), Higher Education, Lifelong learning/Adult education, Special education")</f>
        <v/>
      </c>
      <c r="Q1633" s="1">
        <f>IFERROR(__xludf.DUMMYFUNCTION("""COMPUTED_VALUE"""),"Teacher interfacing, Student interfacing")</f>
        <v/>
      </c>
      <c r="R1633" s="1" t="n"/>
      <c r="S1633" s="1" t="n"/>
      <c r="T1633" s="15">
        <f>IFERROR(__xludf.DUMMYFUNCTION("""COMPUTED_VALUE"""),"linkedin.com/school/university-of-aberdeen")</f>
        <v/>
      </c>
      <c r="U1633" s="1">
        <f>IFERROR(__xludf.DUMMYFUNCTION("""COMPUTED_VALUE"""),"EdTech software incubator")</f>
        <v/>
      </c>
      <c r="V1633" s="1">
        <f>IFERROR(__xludf.DUMMYFUNCTION("""COMPUTED_VALUE"""),"Working with students and staff from both the School of Education and the school of Computing, we deliver a range of bespoke software solutions")</f>
        <v/>
      </c>
      <c r="W1633" s="1">
        <f>IFERROR(__xludf.DUMMYFUNCTION("""COMPUTED_VALUE"""),"Knowledge Exchange")</f>
        <v/>
      </c>
      <c r="X1633" s="1">
        <f>IFERROR(__xludf.DUMMYFUNCTION("""COMPUTED_VALUE"""),"Working with industry partners to support development of solutions")</f>
        <v/>
      </c>
      <c r="Y1633" s="15">
        <f>IFERROR(__xludf.DUMMYFUNCTION("""COMPUTED_VALUE"""),"https://drive.google.com/uc?export=view&amp;id=1IIqU782MVMSjBi7mLgI3ySNtgh4kXnNV")</f>
        <v/>
      </c>
      <c r="Z1633" s="1">
        <f>IFERROR(__xludf.DUMMYFUNCTION("""COMPUTED_VALUE"""),"Verified")</f>
        <v/>
      </c>
      <c r="AA1633" s="1">
        <f>IFERROR(__xludf.DUMMYFUNCTION("""COMPUTED_VALUE"""),"Public-private partnerships, Industry-academia partnerships")</f>
        <v/>
      </c>
      <c r="AB1633" s="1">
        <f>IFERROR(__xludf.DUMMYFUNCTION("""COMPUTED_VALUE"""),"University")</f>
        <v/>
      </c>
      <c r="AC1633" s="1">
        <f>IFERROR(__xludf.DUMMYFUNCTION("""COMPUTED_VALUE"""),TRUE)</f>
        <v/>
      </c>
      <c r="AD1633" s="1" t="n"/>
      <c r="AE1633" s="1" t="n"/>
    </row>
    <row r="1634" ht="42" customHeight="1">
      <c r="A1634" s="14">
        <f>IFERROR(__xludf.DUMMYFUNCTION("""COMPUTED_VALUE"""),45899)</f>
        <v/>
      </c>
      <c r="B1634" s="1">
        <f>IFERROR(__xludf.DUMMYFUNCTION("""COMPUTED_VALUE"""),"ORG_1247")</f>
        <v/>
      </c>
      <c r="C1634" s="1">
        <f>IFERROR(__xludf.DUMMYFUNCTION("""COMPUTED_VALUE"""),TRUE)</f>
        <v/>
      </c>
      <c r="D1634" s="1">
        <f>IFERROR(__xludf.DUMMYFUNCTION("""COMPUTED_VALUE"""),"Classigogo")</f>
        <v/>
      </c>
      <c r="E1634" s="15">
        <f>IFERROR(__xludf.DUMMYFUNCTION("""COMPUTED_VALUE"""),"www.classigogo.com")</f>
        <v/>
      </c>
      <c r="F1634" s="1">
        <f>IFERROR(__xludf.DUMMYFUNCTION("""COMPUTED_VALUE"""),"Classigogo is an online teaching tool that helps teachers instantly restore focus and energy in the classroom through movement-based quizzes.")</f>
        <v/>
      </c>
      <c r="G1634" s="1">
        <f>IFERROR(__xludf.DUMMYFUNCTION("""COMPUTED_VALUE"""),"Dutch EdTech")</f>
        <v/>
      </c>
      <c r="H1634" s="1">
        <f>IFERROR(__xludf.DUMMYFUNCTION("""COMPUTED_VALUE"""),"English, Dutch")</f>
        <v/>
      </c>
      <c r="I1634" s="1">
        <f>IFERROR(__xludf.DUMMYFUNCTION("""COMPUTED_VALUE"""),"info@classigogo.com")</f>
        <v/>
      </c>
      <c r="J1634" s="1">
        <f>IFERROR(__xludf.DUMMYFUNCTION("""COMPUTED_VALUE"""),"+31702211507")</f>
        <v/>
      </c>
      <c r="K1634" s="1">
        <f>IFERROR(__xludf.DUMMYFUNCTION("""COMPUTED_VALUE"""),"The Hague")</f>
        <v/>
      </c>
      <c r="L1634" s="1">
        <f>IFERROR(__xludf.DUMMYFUNCTION("""COMPUTED_VALUE"""),"Netherlands")</f>
        <v/>
      </c>
      <c r="M1634" s="1">
        <f>IFERROR(__xludf.DUMMYFUNCTION("""COMPUTED_VALUE"""),"Netherlands, Belgium, United Kingdom")</f>
        <v/>
      </c>
      <c r="N1634" s="1">
        <f>IFERROR(__xludf.DUMMYFUNCTION("""COMPUTED_VALUE"""),"Micro (1-9 FTE employees)")</f>
        <v/>
      </c>
      <c r="O1634" s="1">
        <f>IFERROR(__xludf.DUMMYFUNCTION("""COMPUTED_VALUE"""),"Business to Consumer, Business to Schools")</f>
        <v/>
      </c>
      <c r="P1634" s="1">
        <f>IFERROR(__xludf.DUMMYFUNCTION("""COMPUTED_VALUE"""),"Primary Education, Secondary Education, Special education")</f>
        <v/>
      </c>
      <c r="Q1634" s="1">
        <f>IFERROR(__xludf.DUMMYFUNCTION("""COMPUTED_VALUE"""),"Teacher interfacing, Student interfacing")</f>
        <v/>
      </c>
      <c r="R1634" s="15">
        <f>IFERROR(__xludf.DUMMYFUNCTION("""COMPUTED_VALUE"""),"https://www.instagram.com/classigogo")</f>
        <v/>
      </c>
      <c r="S1634" s="1" t="n"/>
      <c r="T1634" s="15">
        <f>IFERROR(__xludf.DUMMYFUNCTION("""COMPUTED_VALUE"""),"https://www.linkedin.com/company/classigogo/")</f>
        <v/>
      </c>
      <c r="U1634" s="1">
        <f>IFERROR(__xludf.DUMMYFUNCTION("""COMPUTED_VALUE"""),"Classigogo")</f>
        <v/>
      </c>
      <c r="V1634" s="1">
        <f>IFERROR(__xludf.DUMMYFUNCTION("""COMPUTED_VALUE"""),"Classigogo is an online teaching tool that helps teachers instantly restore focus and energy in the classroom through movement-based quizzes. ")</f>
        <v/>
      </c>
      <c r="W1634" s="1" t="n"/>
      <c r="X1634" s="1" t="n"/>
      <c r="Y1634" s="15">
        <f>IFERROR(__xludf.DUMMYFUNCTION("""COMPUTED_VALUE"""),"https://drive.google.com/uc?export=view&amp;id=1ie3LH2eboxquj8zmqCFmFFA0Nt3mL-ao")</f>
        <v/>
      </c>
      <c r="Z1634" s="1">
        <f>IFERROR(__xludf.DUMMYFUNCTION("""COMPUTED_VALUE"""),"Verified")</f>
        <v/>
      </c>
      <c r="AA1634" s="1">
        <f>IFERROR(__xludf.DUMMYFUNCTION("""COMPUTED_VALUE"""),"Collaborations between EdTech organisations, Industry-academia partnerships")</f>
        <v/>
      </c>
      <c r="AB1634" s="1">
        <f>IFERROR(__xludf.DUMMYFUNCTION("""COMPUTED_VALUE"""),"For-profit company")</f>
        <v/>
      </c>
      <c r="AC1634" s="1">
        <f>IFERROR(__xludf.DUMMYFUNCTION("""COMPUTED_VALUE"""),TRUE)</f>
        <v/>
      </c>
      <c r="AD1634" s="1">
        <f>IFERROR(__xludf.DUMMYFUNCTION("""COMPUTED_VALUE"""),TRUE)</f>
        <v/>
      </c>
      <c r="AE1634" s="1" t="n"/>
    </row>
    <row r="1635" ht="42" customHeight="1">
      <c r="A1635" s="14">
        <f>IFERROR(__xludf.DUMMYFUNCTION("""COMPUTED_VALUE"""),45901)</f>
        <v/>
      </c>
      <c r="B1635" s="1">
        <f>IFERROR(__xludf.DUMMYFUNCTION("""COMPUTED_VALUE"""),"ORG_2675")</f>
        <v/>
      </c>
      <c r="C1635" s="1">
        <f>IFERROR(__xludf.DUMMYFUNCTION("""COMPUTED_VALUE"""),TRUE)</f>
        <v/>
      </c>
      <c r="D1635" s="1">
        <f>IFERROR(__xludf.DUMMYFUNCTION("""COMPUTED_VALUE"""),"Copernia ")</f>
        <v/>
      </c>
      <c r="E1635" s="15">
        <f>IFERROR(__xludf.DUMMYFUNCTION("""COMPUTED_VALUE"""),"www.copernia.eu")</f>
        <v/>
      </c>
      <c r="F1635" s="1">
        <f>IFERROR(__xludf.DUMMYFUNCTION("""COMPUTED_VALUE"""),"Copernia is a groundbreaking international initiative ( a joint degree of EM Lyon, Maxromedia, European University Cypris and Noroff) to prepare future leaders who will shape tomorrow's educational landscape by integrating artificial intelligence, cogniti"&amp;"ve sciences, and cutting-edge learning design into transformative educational models.")</f>
        <v/>
      </c>
      <c r="G1635" s="1">
        <f>IFERROR(__xludf.DUMMYFUNCTION("""COMPUTED_VALUE"""),"EdTech France")</f>
        <v/>
      </c>
      <c r="H1635" s="1">
        <f>IFERROR(__xludf.DUMMYFUNCTION("""COMPUTED_VALUE"""),"English")</f>
        <v/>
      </c>
      <c r="I1635" s="1">
        <f>IFERROR(__xludf.DUMMYFUNCTION("""COMPUTED_VALUE"""),"z.brunhes@ggeedu.com")</f>
        <v/>
      </c>
      <c r="J1635" s="1">
        <f>IFERROR(__xludf.DUMMYFUNCTION("""COMPUTED_VALUE"""),"+36305705572")</f>
        <v/>
      </c>
      <c r="K1635" s="1">
        <f>IFERROR(__xludf.DUMMYFUNCTION("""COMPUTED_VALUE"""),"Paris")</f>
        <v/>
      </c>
      <c r="L1635" s="1">
        <f>IFERROR(__xludf.DUMMYFUNCTION("""COMPUTED_VALUE"""),"France")</f>
        <v/>
      </c>
      <c r="M1635" s="1">
        <f>IFERROR(__xludf.DUMMYFUNCTION("""COMPUTED_VALUE"""),"Republic of Cyprus, France, Germany, Norway, Albania, Andorra, Austria, Belgium, Belarus, Bosnia and Herzegovina, Croatia, Bulgaria, Czechia, Denmark, Estonia, Finland, Greece, Ireland, Latvia, Luxembourg, Monaco, North Macedonia, Portugal, Romania, Monte"&amp;"negro, Malta, Liechtenstein, Italy, Hungary, Iceland, Kosovo, Lithuania, Moldova, Netherlands, San Marino, Poland, Spain, Slovenia, Slovakia, Sweden, Ukraine, Switzerland, Turkey, United Kingdom")</f>
        <v/>
      </c>
      <c r="N1635" s="1">
        <f>IFERROR(__xludf.DUMMYFUNCTION("""COMPUTED_VALUE"""),"Large (250+ FTE employees)")</f>
        <v/>
      </c>
      <c r="O1635" s="1">
        <f>IFERROR(__xludf.DUMMYFUNCTION("""COMPUTED_VALUE"""),"Business to Business, Business to Consumer, Business to Schools")</f>
        <v/>
      </c>
      <c r="P1635" s="1">
        <f>IFERROR(__xludf.DUMMYFUNCTION("""COMPUTED_VALUE"""),"Higher Education")</f>
        <v/>
      </c>
      <c r="Q1635" s="1">
        <f>IFERROR(__xludf.DUMMYFUNCTION("""COMPUTED_VALUE"""),"Student interfacing, Teacher interfacing")</f>
        <v/>
      </c>
      <c r="R1635" s="1" t="n"/>
      <c r="S1635" s="1" t="n"/>
      <c r="T1635" s="15">
        <f>IFERROR(__xludf.DUMMYFUNCTION("""COMPUTED_VALUE"""),"https://www.linkedin.com/school/coperniaedu/")</f>
        <v/>
      </c>
      <c r="U1635" s="1">
        <f>IFERROR(__xludf.DUMMYFUNCTION("""COMPUTED_VALUE"""),"Master of Science in Innovation and Technology for Education")</f>
        <v/>
      </c>
      <c r="V1635" s="1">
        <f>IFERROR(__xludf.DUMMYFUNCTION("""COMPUTED_VALUE"""),"Our MsC is designed to empower our students with the knowledge and skills to transform the education sector. The program guides the through a carefully structured learning journey across four semesters (120 ECTS)")</f>
        <v/>
      </c>
      <c r="W1635" s="1">
        <f>IFERROR(__xludf.DUMMYFUNCTION("""COMPUTED_VALUE"""),"Executive Programme in Innovation &amp; Technology for Education")</f>
        <v/>
      </c>
      <c r="X1635" s="1">
        <f>IFERROR(__xludf.DUMMYFUNCTION("""COMPUTED_VALUE"""),"A dedicated program specifically for ambitious educators, learning &amp; development professionals, policymakers, and entrepreneurs who want to stay at the forefront of educational transformation—without putting their careers on hold.")</f>
        <v/>
      </c>
      <c r="Y1635" s="15">
        <f>IFERROR(__xludf.DUMMYFUNCTION("""COMPUTED_VALUE"""),"https://drive.google.com/uc?export=view&amp;id=1TJXbzJ0VQVnxHUY_tWGmuuJjLYvlHMRF")</f>
        <v/>
      </c>
      <c r="Z1635" s="1">
        <f>IFERROR(__xludf.DUMMYFUNCTION("""COMPUTED_VALUE"""),"Verified")</f>
        <v/>
      </c>
      <c r="AA1635" s="1">
        <f>IFERROR(__xludf.DUMMYFUNCTION("""COMPUTED_VALUE"""),"Collaborations between EdTech organisations, Industry-academia partnerships")</f>
        <v/>
      </c>
      <c r="AB1635" s="1">
        <f>IFERROR(__xludf.DUMMYFUNCTION("""COMPUTED_VALUE"""),"University")</f>
        <v/>
      </c>
      <c r="AC1635" s="1">
        <f>IFERROR(__xludf.DUMMYFUNCTION("""COMPUTED_VALUE"""),TRUE)</f>
        <v/>
      </c>
      <c r="AD1635" s="1">
        <f>IFERROR(__xludf.DUMMYFUNCTION("""COMPUTED_VALUE"""),TRUE)</f>
        <v/>
      </c>
      <c r="AE1635" s="1" t="n"/>
    </row>
    <row r="1636" ht="42" customHeight="1">
      <c r="A1636" s="14">
        <f>IFERROR(__xludf.DUMMYFUNCTION("""COMPUTED_VALUE"""),45901)</f>
        <v/>
      </c>
      <c r="B1636" s="1">
        <f>IFERROR(__xludf.DUMMYFUNCTION("""COMPUTED_VALUE"""),"ORG_2676")</f>
        <v/>
      </c>
      <c r="C1636" s="1">
        <f>IFERROR(__xludf.DUMMYFUNCTION("""COMPUTED_VALUE"""),TRUE)</f>
        <v/>
      </c>
      <c r="D1636" s="1">
        <f>IFERROR(__xludf.DUMMYFUNCTION("""COMPUTED_VALUE"""),"Abstract-Technology GMBH")</f>
        <v/>
      </c>
      <c r="E1636" s="15">
        <f>IFERROR(__xludf.DUMMYFUNCTION("""COMPUTED_VALUE"""),"https://abstract-technology.de/")</f>
        <v/>
      </c>
      <c r="F1636" s="1">
        <f>IFERROR(__xludf.DUMMYFUNCTION("""COMPUTED_VALUE"""),"At Abstract Technology, we are a leading European Certified Integration Partner for Open edX®, specializing in delivering customized LMS solutions tailored to the needs of academic institutions.  Open edX® is a powerful, scalable, and open-source platform"&amp;" that supports structured learning, flexible customization, and advanced analytics. Its capabilities in multitenancy, high performance, and data-driven personalization make it a strong fit for institutions seeking a robust and future-proof LMS.")</f>
        <v/>
      </c>
      <c r="G1636" s="1">
        <f>IFERROR(__xludf.DUMMYFUNCTION("""COMPUTED_VALUE"""),"I'm not part of any EdTech association")</f>
        <v/>
      </c>
      <c r="H1636" s="1">
        <f>IFERROR(__xludf.DUMMYFUNCTION("""COMPUTED_VALUE"""),"English, German, Portuguese, Czech, Finnish, Irish, Maltese, Slovak, Ukrainian, Catalan, Slovenian, Polish, Latvian, Greek, Danish, Bulgarian, Italian, French, Spanish, Dutch, Croatian, Estonian, Hungarian, Lithuanian, Romanian, Swedish, Basque")</f>
        <v/>
      </c>
      <c r="I1636" s="1">
        <f>IFERROR(__xludf.DUMMYFUNCTION("""COMPUTED_VALUE"""),"stefania.trabucchi@abstract-technology.de")</f>
        <v/>
      </c>
      <c r="J1636" s="1">
        <f>IFERROR(__xludf.DUMMYFUNCTION("""COMPUTED_VALUE"""),"+4917674725686")</f>
        <v/>
      </c>
      <c r="K1636" s="1">
        <f>IFERROR(__xludf.DUMMYFUNCTION("""COMPUTED_VALUE"""),"Berlin")</f>
        <v/>
      </c>
      <c r="L1636" s="1">
        <f>IFERROR(__xludf.DUMMYFUNCTION("""COMPUTED_VALUE"""),"Deutschland")</f>
        <v/>
      </c>
      <c r="M1636" s="1" t="n"/>
      <c r="N1636" s="1">
        <f>IFERROR(__xludf.DUMMYFUNCTION("""COMPUTED_VALUE"""),"Small (10-49 FTE employees)")</f>
        <v/>
      </c>
      <c r="O1636" s="1">
        <f>IFERROR(__xludf.DUMMYFUNCTION("""COMPUTED_VALUE"""),"Business to Business, Business to Government, Business to Schools")</f>
        <v/>
      </c>
      <c r="P1636" s="1">
        <f>IFERROR(__xludf.DUMMYFUNCTION("""COMPUTED_VALUE"""),"Vocational Education and Training (VET), Corporate Training, Higher Education, Lifelong learning/Adult education")</f>
        <v/>
      </c>
      <c r="Q1636" s="1">
        <f>IFERROR(__xludf.DUMMYFUNCTION("""COMPUTED_VALUE"""),"Student interfacing, Teacher interfacing, System/Administrative")</f>
        <v/>
      </c>
      <c r="R1636" s="1" t="n"/>
      <c r="S1636" s="1" t="n"/>
      <c r="T1636" s="15">
        <f>IFERROR(__xludf.DUMMYFUNCTION("""COMPUTED_VALUE"""),"https://www.linkedin.com/company/abstract-technology-gmbh/")</f>
        <v/>
      </c>
      <c r="U1636" s="1">
        <f>IFERROR(__xludf.DUMMYFUNCTION("""COMPUTED_VALUE"""),"Open edX® LMS platform")</f>
        <v/>
      </c>
      <c r="V1636" s="1">
        <f>IFERROR(__xludf.DUMMYFUNCTION("""COMPUTED_VALUE"""),"A powerful open-source learning platform trusted by global leaders: Open-source platform created by Harvard &amp; MIT, trusted by
100+ million learners worldwide. No licensing fees, complete control over features, branding, and integrations.Supports any audie"&amp;"nce size, multilingual + accessibility-ready.")</f>
        <v/>
      </c>
      <c r="W1636" s="1">
        <f>IFERROR(__xludf.DUMMYFUNCTION("""COMPUTED_VALUE"""),"AI-Powered Open edX® platform:")</f>
        <v/>
      </c>
      <c r="X1636" s="1">
        <f>IFERROR(__xludf.DUMMYFUNCTION("""COMPUTED_VALUE"""),"Versatile Learning Models: Versatile Learning Models, MOOCs and Blended Learning.")</f>
        <v/>
      </c>
      <c r="Y1636" s="15">
        <f>IFERROR(__xludf.DUMMYFUNCTION("""COMPUTED_VALUE"""),"https://drive.google.com/uc?export=view&amp;id=17rDOWvX1OJ62DWNtyUuTEDXqX3L03NNm")</f>
        <v/>
      </c>
      <c r="Z1636" s="1">
        <f>IFERROR(__xludf.DUMMYFUNCTION("""COMPUTED_VALUE"""),"Verified")</f>
        <v/>
      </c>
      <c r="AA1636" s="1">
        <f>IFERROR(__xludf.DUMMYFUNCTION("""COMPUTED_VALUE"""),"Collaborations between EdTech organisations, Project consortium building, Public-private partnerships, Industry-academia partnerships")</f>
        <v/>
      </c>
      <c r="AB1636" s="1">
        <f>IFERROR(__xludf.DUMMYFUNCTION("""COMPUTED_VALUE"""),"For-profit company")</f>
        <v/>
      </c>
      <c r="AC1636" s="1">
        <f>IFERROR(__xludf.DUMMYFUNCTION("""COMPUTED_VALUE"""),TRUE)</f>
        <v/>
      </c>
      <c r="AD1636" s="1">
        <f>IFERROR(__xludf.DUMMYFUNCTION("""COMPUTED_VALUE"""),TRUE)</f>
        <v/>
      </c>
      <c r="AE1636" s="1" t="n"/>
    </row>
    <row r="1637" ht="42" customHeight="1">
      <c r="A1637" s="14">
        <f>IFERROR(__xludf.DUMMYFUNCTION("""COMPUTED_VALUE"""),45901)</f>
        <v/>
      </c>
      <c r="B1637" s="1">
        <f>IFERROR(__xludf.DUMMYFUNCTION("""COMPUTED_VALUE"""),"ORG_1407")</f>
        <v/>
      </c>
      <c r="C1637" s="1">
        <f>IFERROR(__xludf.DUMMYFUNCTION("""COMPUTED_VALUE"""),TRUE)</f>
        <v/>
      </c>
      <c r="D1637" s="1">
        <f>IFERROR(__xludf.DUMMYFUNCTION("""COMPUTED_VALUE"""),"Edge Tutor International ")</f>
        <v/>
      </c>
      <c r="E1637" s="15">
        <f>IFERROR(__xludf.DUMMYFUNCTION("""COMPUTED_VALUE"""),"http://www.edgetutor.co")</f>
        <v/>
      </c>
      <c r="F1637" s="1">
        <f>IFERROR(__xludf.DUMMYFUNCTION("""COMPUTED_VALUE"""),"EDGE Tutor is Asia’s fastest-growing online tutoring outsourcing provider, connecting top 3% certified Filipino and Sri Lankan educators with education companies worldwide. With offices in New York, London, Singapore, and Manila, we deliver high-quality, "&amp;"scalable tutoring solutions across ESL, Business English, and Math.")</f>
        <v/>
      </c>
      <c r="G1637" s="1">
        <f>IFERROR(__xludf.DUMMYFUNCTION("""COMPUTED_VALUE"""),"I'm not part of any EdTech association")</f>
        <v/>
      </c>
      <c r="H1637" s="1">
        <f>IFERROR(__xludf.DUMMYFUNCTION("""COMPUTED_VALUE"""),"English")</f>
        <v/>
      </c>
      <c r="I1637" s="1">
        <f>IFERROR(__xludf.DUMMYFUNCTION("""COMPUTED_VALUE"""),"partnerships@edgetutor.co")</f>
        <v/>
      </c>
      <c r="J1637" s="1">
        <f>IFERROR(__xludf.DUMMYFUNCTION("""COMPUTED_VALUE"""),"+18773139610")</f>
        <v/>
      </c>
      <c r="K1637" s="1">
        <f>IFERROR(__xludf.DUMMYFUNCTION("""COMPUTED_VALUE"""),"Singapore")</f>
        <v/>
      </c>
      <c r="L1637" s="1">
        <f>IFERROR(__xludf.DUMMYFUNCTION("""COMPUTED_VALUE"""),"Singapore")</f>
        <v/>
      </c>
      <c r="M1637" s="1">
        <f>IFERROR(__xludf.DUMMYFUNCTION("""COMPUTED_VALUE"""),"France, United Kingdom, Spain, Poland, Turkey, Austria, Estonia, Germany, Italy, Sweden, Switzerland")</f>
        <v/>
      </c>
      <c r="N1637" s="1">
        <f>IFERROR(__xludf.DUMMYFUNCTION("""COMPUTED_VALUE"""),"Medium (50-250 FTE employees)")</f>
        <v/>
      </c>
      <c r="O1637" s="1">
        <f>IFERROR(__xludf.DUMMYFUNCTION("""COMPUTED_VALUE"""),"Business to Business")</f>
        <v/>
      </c>
      <c r="P1637" s="1">
        <f>IFERROR(__xludf.DUMMYFUNCTION("""COMPUTED_VALUE"""),"Primary Education, Secondary Education, Higher Education, Corporate Training, Lifelong learning/Adult education, Special education")</f>
        <v/>
      </c>
      <c r="Q1637" s="1">
        <f>IFERROR(__xludf.DUMMYFUNCTION("""COMPUTED_VALUE"""),"Teacher interfacing, System/Administrative, Other")</f>
        <v/>
      </c>
      <c r="R1637" s="1" t="n"/>
      <c r="S1637" s="1" t="n"/>
      <c r="T1637" s="15">
        <f>IFERROR(__xludf.DUMMYFUNCTION("""COMPUTED_VALUE"""),"https://www.linkedin.com/company/edge-tutor-international/")</f>
        <v/>
      </c>
      <c r="U1637" s="1">
        <f>IFERROR(__xludf.DUMMYFUNCTION("""COMPUTED_VALUE"""),"K-12 Tutoring (English &amp; Math)")</f>
        <v/>
      </c>
      <c r="V1637" s="1">
        <f>IFERROR(__xludf.DUMMYFUNCTION("""COMPUTED_VALUE"""),"Top 3% certified educators deliver scalable, white-labeled instruction in English and Math for K-12 learners, ensuring academic growth and consistency.")</f>
        <v/>
      </c>
      <c r="W1637" s="1">
        <f>IFERROR(__xludf.DUMMYFUNCTION("""COMPUTED_VALUE"""),"Adult &amp; Business English")</f>
        <v/>
      </c>
      <c r="X1637" s="1">
        <f>IFERROR(__xludf.DUMMYFUNCTION("""COMPUTED_VALUE"""),"Customized English programs for adults and professionals that enhance fluency, workplace communication, and global career readiness.")</f>
        <v/>
      </c>
      <c r="Y1637" s="15">
        <f>IFERROR(__xludf.DUMMYFUNCTION("""COMPUTED_VALUE"""),"https://drive.google.com/uc?export=view&amp;id=1QWlTsipFr7qK0CSHrzNrpalSg64Cl-ow")</f>
        <v/>
      </c>
      <c r="Z1637" s="1">
        <f>IFERROR(__xludf.DUMMYFUNCTION("""COMPUTED_VALUE"""),"Verified")</f>
        <v/>
      </c>
      <c r="AA1637" s="1">
        <f>IFERROR(__xludf.DUMMYFUNCTION("""COMPUTED_VALUE"""),"Other, Collaborations between EdTech organisations, Project consortium building, Public-private partnerships, Industry-academia partnerships")</f>
        <v/>
      </c>
      <c r="AB1637" s="1">
        <f>IFERROR(__xludf.DUMMYFUNCTION("""COMPUTED_VALUE"""),"For-profit company")</f>
        <v/>
      </c>
      <c r="AC1637" s="1">
        <f>IFERROR(__xludf.DUMMYFUNCTION("""COMPUTED_VALUE"""),TRUE)</f>
        <v/>
      </c>
      <c r="AD1637" s="1">
        <f>IFERROR(__xludf.DUMMYFUNCTION("""COMPUTED_VALUE"""),TRUE)</f>
        <v/>
      </c>
      <c r="AE1637" s="1" t="n"/>
    </row>
    <row r="1638" ht="42" customHeight="1">
      <c r="A1638" s="14">
        <f>IFERROR(__xludf.DUMMYFUNCTION("""COMPUTED_VALUE"""),45901)</f>
        <v/>
      </c>
      <c r="B1638" s="1">
        <f>IFERROR(__xludf.DUMMYFUNCTION("""COMPUTED_VALUE"""),"ORG_2677")</f>
        <v/>
      </c>
      <c r="C1638" s="1">
        <f>IFERROR(__xludf.DUMMYFUNCTION("""COMPUTED_VALUE"""),TRUE)</f>
        <v/>
      </c>
      <c r="D1638" s="1">
        <f>IFERROR(__xludf.DUMMYFUNCTION("""COMPUTED_VALUE"""),"ThingLink Oy")</f>
        <v/>
      </c>
      <c r="E1638" s="15">
        <f>IFERROR(__xludf.DUMMYFUNCTION("""COMPUTED_VALUE"""),"https://www.thinglink.com/")</f>
        <v/>
      </c>
      <c r="F1638" s="1">
        <f>IFERROR(__xludf.DUMMYFUNCTION("""COMPUTED_VALUE"""),"ThingLink is a Finnish education technology company providing a platform for creating and sharing interactive images, videos, and 3D/XR content. Used in over 190 countries, it supports teaching, training, and communication by making it easy to build visua"&amp;"l, multimodal, and accessible learning experiences.")</f>
        <v/>
      </c>
      <c r="G1638" s="1">
        <f>IFERROR(__xludf.DUMMYFUNCTION("""COMPUTED_VALUE"""),"I'm not part of any EdTech association")</f>
        <v/>
      </c>
      <c r="H1638" s="1">
        <f>IFERROR(__xludf.DUMMYFUNCTION("""COMPUTED_VALUE"""),"English, French, Spanish, Dutch, Italian, German, Portuguese, Bulgarian, Croatian, Estonian, Danish, Czech, Finnish, Greek, Hungarian, Lithuanian, Latvian, Irish, Maltese, Polish, Romanian, Swedish, Slovenian, Slovak, Ukrainian, Catalan, Basque")</f>
        <v/>
      </c>
      <c r="I1638" s="1">
        <f>IFERROR(__xludf.DUMMYFUNCTION("""COMPUTED_VALUE"""),"keijo@thinglink.com")</f>
        <v/>
      </c>
      <c r="J1638" s="1">
        <f>IFERROR(__xludf.DUMMYFUNCTION("""COMPUTED_VALUE"""),"+358451871687")</f>
        <v/>
      </c>
      <c r="K1638" s="1">
        <f>IFERROR(__xludf.DUMMYFUNCTION("""COMPUTED_VALUE"""),"Kontiolahti")</f>
        <v/>
      </c>
      <c r="L1638" s="1">
        <f>IFERROR(__xludf.DUMMYFUNCTION("""COMPUTED_VALUE"""),"Finland")</f>
        <v/>
      </c>
      <c r="M1638" s="1">
        <f>IFERROR(__xludf.DUMMYFUNCTION("""COMPUTED_VALUE"""),"Albania, Andorra, Austria, Belarus, Belgium, Bosnia and Herzegovina, Bulgaria, Croatia, Republic of Cyprus, Estonia, Denmark, Czechia, Finland, France, Germany, Iceland, Hungary, Greece, Ireland, Italy, Kosovo, Latvia, Liechtenstein, Lithuania, Luxembourg"&amp;", Malta, Moldova, Netherlands, Montenegro, Monaco, North Macedonia, Norway, Poland, San Marino, Romania, Portugal, Slovakia, Slovenia, Spain, Turkey, Switzerland, Sweden, Ukraine, United Kingdom")</f>
        <v/>
      </c>
      <c r="N1638" s="1">
        <f>IFERROR(__xludf.DUMMYFUNCTION("""COMPUTED_VALUE"""),"Small (10-49 FTE employees)")</f>
        <v/>
      </c>
      <c r="O1638" s="1">
        <f>IFERROR(__xludf.DUMMYFUNCTION("""COMPUTED_VALUE"""),"Business to Business, Business to Consumer, Business to Government, Business to Schools")</f>
        <v/>
      </c>
      <c r="P1638" s="1">
        <f>IFERROR(__xludf.DUMMYFUNCTION("""COMPUTED_VALUE"""),"Primary Education, Secondary Education, Vocational Education and Training (VET), Higher Education, Corporate Training, Lifelong learning/Adult education, Special education")</f>
        <v/>
      </c>
      <c r="Q1638" s="1">
        <f>IFERROR(__xludf.DUMMYFUNCTION("""COMPUTED_VALUE"""),"Student interfacing, Teacher interfacing, System/Administrative")</f>
        <v/>
      </c>
      <c r="R1638" s="15">
        <f>IFERROR(__xludf.DUMMYFUNCTION("""COMPUTED_VALUE"""),"https://www.instagram.com/thinglink/")</f>
        <v/>
      </c>
      <c r="S1638" s="15">
        <f>IFERROR(__xludf.DUMMYFUNCTION("""COMPUTED_VALUE"""),"https://x.com/ThingLink")</f>
        <v/>
      </c>
      <c r="T1638" s="15">
        <f>IFERROR(__xludf.DUMMYFUNCTION("""COMPUTED_VALUE"""),"https://www.linkedin.com/groups/9054683/")</f>
        <v/>
      </c>
      <c r="U1638" s="1">
        <f>IFERROR(__xludf.DUMMYFUNCTION("""COMPUTED_VALUE"""),"ThingLink Platform")</f>
        <v/>
      </c>
      <c r="V1638" s="1" t="n"/>
      <c r="W1638" s="1" t="n"/>
      <c r="X1638" s="1" t="n"/>
      <c r="Y1638" s="15">
        <f>IFERROR(__xludf.DUMMYFUNCTION("""COMPUTED_VALUE"""),"https://drive.google.com/uc?export=view&amp;id=1TWfLk2INUjFBxwFJofeM53FKFWmxh79W")</f>
        <v/>
      </c>
      <c r="Z1638" s="1">
        <f>IFERROR(__xludf.DUMMYFUNCTION("""COMPUTED_VALUE"""),"Verified")</f>
        <v/>
      </c>
      <c r="AA1638" s="1">
        <f>IFERROR(__xludf.DUMMYFUNCTION("""COMPUTED_VALUE"""),"Collaborations between EdTech organisations, Project consortium building, Public-private partnerships, Industry-academia partnerships")</f>
        <v/>
      </c>
      <c r="AB1638" s="1">
        <f>IFERROR(__xludf.DUMMYFUNCTION("""COMPUTED_VALUE"""),"For-profit company")</f>
        <v/>
      </c>
      <c r="AC1638" s="1">
        <f>IFERROR(__xludf.DUMMYFUNCTION("""COMPUTED_VALUE"""),TRUE)</f>
        <v/>
      </c>
      <c r="AD1638" s="1">
        <f>IFERROR(__xludf.DUMMYFUNCTION("""COMPUTED_VALUE"""),TRUE)</f>
        <v/>
      </c>
      <c r="AE1638" s="15">
        <f>IFERROR(__xludf.DUMMYFUNCTION("""COMPUTED_VALUE"""),"https://www.facebook.com/ThingLink/")</f>
        <v/>
      </c>
    </row>
    <row r="1639" ht="42" customHeight="1">
      <c r="A1639" s="14">
        <f>IFERROR(__xludf.DUMMYFUNCTION("""COMPUTED_VALUE"""),45901)</f>
        <v/>
      </c>
      <c r="B1639" s="1">
        <f>IFERROR(__xludf.DUMMYFUNCTION("""COMPUTED_VALUE"""),"ORG_2678")</f>
        <v/>
      </c>
      <c r="C1639" s="1">
        <f>IFERROR(__xludf.DUMMYFUNCTION("""COMPUTED_VALUE"""),TRUE)</f>
        <v/>
      </c>
      <c r="D1639" s="1">
        <f>IFERROR(__xludf.DUMMYFUNCTION("""COMPUTED_VALUE"""),"Open CPD")</f>
        <v/>
      </c>
      <c r="E1639" s="15">
        <f>IFERROR(__xludf.DUMMYFUNCTION("""COMPUTED_VALUE"""),"www.open-cpd.com")</f>
        <v/>
      </c>
      <c r="F1639" s="1">
        <f>IFERROR(__xludf.DUMMYFUNCTION("""COMPUTED_VALUE"""),"Open CPD is a self-service accreditation platform that enables training providers, event organisers, and course creators to issue tamper-proof CPD certificates and digital badges in minutes. It offers a cost-effective, flexible alternative to traditional "&amp;"accreditation models, with features including LMS integration, blockchain verification, and support for both in-person and online training.  Open CPD has a particularly large impact in disadvantaged and underserved communities, where credible evidence of "&amp;"lifelong learning can open doors to employment and opportunity. As a result, Open CPD has become a globally recognised provider, with strong adoption and acceptance across Africa, South Asia, and other parts of the developing world, while still supporting"&amp;" UK and European providers with robust compliance and audit features.")</f>
        <v/>
      </c>
      <c r="G1639" s="1">
        <f>IFERROR(__xludf.DUMMYFUNCTION("""COMPUTED_VALUE"""),"DOHE")</f>
        <v/>
      </c>
      <c r="H1639" s="1">
        <f>IFERROR(__xludf.DUMMYFUNCTION("""COMPUTED_VALUE"""),"English")</f>
        <v/>
      </c>
      <c r="I1639" s="1">
        <f>IFERROR(__xludf.DUMMYFUNCTION("""COMPUTED_VALUE"""),"info@open-cpd.com")</f>
        <v/>
      </c>
      <c r="J1639" s="1">
        <f>IFERROR(__xludf.DUMMYFUNCTION("""COMPUTED_VALUE"""),"+447349635111")</f>
        <v/>
      </c>
      <c r="K1639" s="1">
        <f>IFERROR(__xludf.DUMMYFUNCTION("""COMPUTED_VALUE"""),"London")</f>
        <v/>
      </c>
      <c r="L1639" s="1">
        <f>IFERROR(__xludf.DUMMYFUNCTION("""COMPUTED_VALUE"""),"United Kingdom")</f>
        <v/>
      </c>
      <c r="M1639" s="1">
        <f>IFERROR(__xludf.DUMMYFUNCTION("""COMPUTED_VALUE"""),"Ukraine, United Kingdom, Turkey, Switzerland, Sweden, Slovakia, Spain, Slovenia, Romania, San Marino, Portugal, North Macedonia, Norway, Poland, Netherlands, Montenegro, Monaco, Luxembourg, Malta, Moldova, Lithuania, Liechtenstein, Latvia, Ireland, Italy,"&amp;" Kosovo, Iceland, Hungary, Greece, France, Germany, Finland, Czechia, Denmark, Estonia, Republic of Cyprus, Croatia, Bulgaria, Belarus, Albania, Andorra, Belgium, Bosnia and Herzegovina, Austria")</f>
        <v/>
      </c>
      <c r="N1639" s="1">
        <f>IFERROR(__xludf.DUMMYFUNCTION("""COMPUTED_VALUE"""),"Micro (1-9 FTE employees)")</f>
        <v/>
      </c>
      <c r="O1639" s="1">
        <f>IFERROR(__xludf.DUMMYFUNCTION("""COMPUTED_VALUE"""),"Business to Business")</f>
        <v/>
      </c>
      <c r="P1639" s="1">
        <f>IFERROR(__xludf.DUMMYFUNCTION("""COMPUTED_VALUE"""),"Vocational Education and Training (VET), Corporate Training, Lifelong learning/Adult education")</f>
        <v/>
      </c>
      <c r="Q1639" s="1">
        <f>IFERROR(__xludf.DUMMYFUNCTION("""COMPUTED_VALUE"""),"System/Administrative")</f>
        <v/>
      </c>
      <c r="R1639" s="15">
        <f>IFERROR(__xludf.DUMMYFUNCTION("""COMPUTED_VALUE"""),"https://www.instagram.com/@open_cpd")</f>
        <v/>
      </c>
      <c r="S1639" s="1" t="n"/>
      <c r="T1639" s="15">
        <f>IFERROR(__xludf.DUMMYFUNCTION("""COMPUTED_VALUE"""),"https://www.linkedin.com/company/open-cpd/")</f>
        <v/>
      </c>
      <c r="U1639" s="1">
        <f>IFERROR(__xludf.DUMMYFUNCTION("""COMPUTED_VALUE"""),"Global Lifelong Learning Credentials for Underserved and Disadvantaged Communities")</f>
        <v/>
      </c>
      <c r="V1639" s="1">
        <f>IFERROR(__xludf.DUMMYFUNCTION("""COMPUTED_VALUE"""),"Open CPD empowers training providers, course creators, and event organisers—especially those serving underserved and disadvantaged communities—to issue tamper-proof CPD certificates, open badges, and CPD points swiftly and affordably. With global recognit"&amp;"ion across Africa, South Asia and elsewhere.")</f>
        <v/>
      </c>
      <c r="W1639" s="1">
        <f>IFERROR(__xludf.DUMMYFUNCTION("""COMPUTED_VALUE"""),"Local Framework Alignment &amp; Verifiable Aims, Skills, Outcomes (ASO)")</f>
        <v/>
      </c>
      <c r="X1639" s="1">
        <f>IFERROR(__xludf.DUMMYFUNCTION("""COMPUTED_VALUE"""),"Helps training providers re-align their courses with local professional development frameworks by defining and delivering clearly structured Aims, Skills, and Outcomes (ASO) — and issuing certificates that provide verifiable, information-rich proof of lea"&amp;"rning.")</f>
        <v/>
      </c>
      <c r="Y1639" s="15">
        <f>IFERROR(__xludf.DUMMYFUNCTION("""COMPUTED_VALUE"""),"https://drive.google.com/uc?export=view&amp;id=1ZZrzP4b8B0qrqFZT_6l4UqmJutPHiP3x")</f>
        <v/>
      </c>
      <c r="Z1639" s="1">
        <f>IFERROR(__xludf.DUMMYFUNCTION("""COMPUTED_VALUE"""),"Verified")</f>
        <v/>
      </c>
      <c r="AA1639" s="1">
        <f>IFERROR(__xludf.DUMMYFUNCTION("""COMPUTED_VALUE"""),"Project consortium building, Collaborations between EdTech organisations")</f>
        <v/>
      </c>
      <c r="AB1639" s="1">
        <f>IFERROR(__xludf.DUMMYFUNCTION("""COMPUTED_VALUE"""),"For-profit company")</f>
        <v/>
      </c>
      <c r="AC1639" s="1">
        <f>IFERROR(__xludf.DUMMYFUNCTION("""COMPUTED_VALUE"""),FALSE)</f>
        <v/>
      </c>
      <c r="AD1639" s="1">
        <f>IFERROR(__xludf.DUMMYFUNCTION("""COMPUTED_VALUE"""),FALSE)</f>
        <v/>
      </c>
      <c r="AE1639" s="15">
        <f>IFERROR(__xludf.DUMMYFUNCTION("""COMPUTED_VALUE"""),"https://www.facebook.com/open.cpd.w3/")</f>
        <v/>
      </c>
    </row>
    <row r="1640" ht="42" customHeight="1">
      <c r="A1640" s="14">
        <f>IFERROR(__xludf.DUMMYFUNCTION("""COMPUTED_VALUE"""),45902)</f>
        <v/>
      </c>
      <c r="B1640" s="1">
        <f>IFERROR(__xludf.DUMMYFUNCTION("""COMPUTED_VALUE"""),"ORG_2679")</f>
        <v/>
      </c>
      <c r="C1640" s="1">
        <f>IFERROR(__xludf.DUMMYFUNCTION("""COMPUTED_VALUE"""),TRUE)</f>
        <v/>
      </c>
      <c r="D1640" s="1">
        <f>IFERROR(__xludf.DUMMYFUNCTION("""COMPUTED_VALUE"""),"Zexsoft (with Glyph Notes)")</f>
        <v/>
      </c>
      <c r="E1640" s="15">
        <f>IFERROR(__xludf.DUMMYFUNCTION("""COMPUTED_VALUE"""),"https://www.zexsoft.eu")</f>
        <v/>
      </c>
      <c r="F1640" s="1">
        <f>IFERROR(__xludf.DUMMYFUNCTION("""COMPUTED_VALUE"""),"Glyph Notes is a digital workspace for STEM students, researchers and teachers built around interactivity, smart input and collaboration.")</f>
        <v/>
      </c>
      <c r="G1640" s="1">
        <f>IFERROR(__xludf.DUMMYFUNCTION("""COMPUTED_VALUE"""),"I'm not part of any EdTech association")</f>
        <v/>
      </c>
      <c r="H1640" s="1">
        <f>IFERROR(__xludf.DUMMYFUNCTION("""COMPUTED_VALUE"""),"English, Romanian")</f>
        <v/>
      </c>
      <c r="I1640" s="1">
        <f>IFERROR(__xludf.DUMMYFUNCTION("""COMPUTED_VALUE"""),"serbanp733@gmail.com")</f>
        <v/>
      </c>
      <c r="J1640" s="1">
        <f>IFERROR(__xludf.DUMMYFUNCTION("""COMPUTED_VALUE"""),"+40771087970")</f>
        <v/>
      </c>
      <c r="K1640" s="1">
        <f>IFERROR(__xludf.DUMMYFUNCTION("""COMPUTED_VALUE"""),"Cluj-Napoca")</f>
        <v/>
      </c>
      <c r="L1640" s="1">
        <f>IFERROR(__xludf.DUMMYFUNCTION("""COMPUTED_VALUE"""),"Romania")</f>
        <v/>
      </c>
      <c r="M1640" s="1">
        <f>IFERROR(__xludf.DUMMYFUNCTION("""COMPUTED_VALUE"""),"Romania")</f>
        <v/>
      </c>
      <c r="N1640" s="1">
        <f>IFERROR(__xludf.DUMMYFUNCTION("""COMPUTED_VALUE"""),"Micro (1-9 FTE employees)")</f>
        <v/>
      </c>
      <c r="O1640" s="1">
        <f>IFERROR(__xludf.DUMMYFUNCTION("""COMPUTED_VALUE"""),"Business to Schools, Business to Business")</f>
        <v/>
      </c>
      <c r="P1640" s="1">
        <f>IFERROR(__xludf.DUMMYFUNCTION("""COMPUTED_VALUE"""),"Higher Education")</f>
        <v/>
      </c>
      <c r="Q1640" s="1">
        <f>IFERROR(__xludf.DUMMYFUNCTION("""COMPUTED_VALUE"""),"Student interfacing, Teacher interfacing")</f>
        <v/>
      </c>
      <c r="R1640" s="15">
        <f>IFERROR(__xludf.DUMMYFUNCTION("""COMPUTED_VALUE"""),"https://www.instagram.com/zexsoft/")</f>
        <v/>
      </c>
      <c r="S1640" s="15">
        <f>IFERROR(__xludf.DUMMYFUNCTION("""COMPUTED_VALUE"""),"https://twitter.com/zexsoft")</f>
        <v/>
      </c>
      <c r="T1640" s="15">
        <f>IFERROR(__xludf.DUMMYFUNCTION("""COMPUTED_VALUE"""),"https://www.linkedin.com/company/zexsoft")</f>
        <v/>
      </c>
      <c r="U1640" s="1">
        <f>IFERROR(__xludf.DUMMYFUNCTION("""COMPUTED_VALUE"""),"Glyph Notes")</f>
        <v/>
      </c>
      <c r="V1640" s="1">
        <f>IFERROR(__xludf.DUMMYFUNCTION("""COMPUTED_VALUE"""),"Glyph Notes is a digital workspace for STEM students, researchers and teachers built around interactivity, smart input and collaboration.")</f>
        <v/>
      </c>
      <c r="W1640" s="1" t="n"/>
      <c r="X1640" s="1" t="n"/>
      <c r="Y1640" s="15">
        <f>IFERROR(__xludf.DUMMYFUNCTION("""COMPUTED_VALUE"""),"https://drive.google.com/uc?export=view&amp;id=1M6u6pMjBfsk_wHyST6m3PbNKkGa31dpm")</f>
        <v/>
      </c>
      <c r="Z1640" s="1">
        <f>IFERROR(__xludf.DUMMYFUNCTION("""COMPUTED_VALUE"""),"Verified")</f>
        <v/>
      </c>
      <c r="AA1640" s="1">
        <f>IFERROR(__xludf.DUMMYFUNCTION("""COMPUTED_VALUE"""),"Collaborations between EdTech organisations, Industry-academia partnerships, Project consortium building, Public-private partnerships")</f>
        <v/>
      </c>
      <c r="AB1640" s="1">
        <f>IFERROR(__xludf.DUMMYFUNCTION("""COMPUTED_VALUE"""),"For-profit company")</f>
        <v/>
      </c>
      <c r="AC1640" s="1">
        <f>IFERROR(__xludf.DUMMYFUNCTION("""COMPUTED_VALUE"""),TRUE)</f>
        <v/>
      </c>
      <c r="AD1640" s="1">
        <f>IFERROR(__xludf.DUMMYFUNCTION("""COMPUTED_VALUE"""),TRUE)</f>
        <v/>
      </c>
      <c r="AE1640" s="15">
        <f>IFERROR(__xludf.DUMMYFUNCTION("""COMPUTED_VALUE"""),"https://www.facebook.com/zexsoft/")</f>
        <v/>
      </c>
    </row>
    <row r="1641" ht="42" customHeight="1">
      <c r="A1641" s="14">
        <f>IFERROR(__xludf.DUMMYFUNCTION("""COMPUTED_VALUE"""),45903)</f>
        <v/>
      </c>
      <c r="B1641" s="1">
        <f>IFERROR(__xludf.DUMMYFUNCTION("""COMPUTED_VALUE"""),"ORG_2680")</f>
        <v/>
      </c>
      <c r="C1641" s="1">
        <f>IFERROR(__xludf.DUMMYFUNCTION("""COMPUTED_VALUE"""),TRUE)</f>
        <v/>
      </c>
      <c r="D1641" s="1">
        <f>IFERROR(__xludf.DUMMYFUNCTION("""COMPUTED_VALUE"""),"Scottish Teachers Advancing Computing Science (STACS)")</f>
        <v/>
      </c>
      <c r="E1641" s="1">
        <f>IFERROR(__xludf.DUMMYFUNCTION("""COMPUTED_VALUE"""),"stacs.scot")</f>
        <v/>
      </c>
      <c r="F1641" s="1">
        <f>IFERROR(__xludf.DUMMYFUNCTION("""COMPUTED_VALUE"""),"STACS is a teacher-led organisation focused on empowering and collaborating with the Computing Science teaching community in Scotland. Following Professor Mark Logan’s Scottish Tech Ecosystem Review, STACS was launched with funding from the Scottish Gover"&amp;"nment to directly address the report's educational recommendations and enhance Computing Science provision nationwide.")</f>
        <v/>
      </c>
      <c r="G1641" s="1">
        <f>IFERROR(__xludf.DUMMYFUNCTION("""COMPUTED_VALUE"""),"I'm not part of any EdTech association")</f>
        <v/>
      </c>
      <c r="H1641" s="1">
        <f>IFERROR(__xludf.DUMMYFUNCTION("""COMPUTED_VALUE"""),"English")</f>
        <v/>
      </c>
      <c r="I1641" s="1">
        <f>IFERROR(__xludf.DUMMYFUNCTION("""COMPUTED_VALUE"""),"support@stacs.scot")</f>
        <v/>
      </c>
      <c r="J1641" s="1">
        <f>IFERROR(__xludf.DUMMYFUNCTION("""COMPUTED_VALUE"""),"+441413304256")</f>
        <v/>
      </c>
      <c r="K1641" s="1">
        <f>IFERROR(__xludf.DUMMYFUNCTION("""COMPUTED_VALUE"""),"Glasgow")</f>
        <v/>
      </c>
      <c r="L1641" s="1">
        <f>IFERROR(__xludf.DUMMYFUNCTION("""COMPUTED_VALUE"""),"Scotland")</f>
        <v/>
      </c>
      <c r="M1641" s="1">
        <f>IFERROR(__xludf.DUMMYFUNCTION("""COMPUTED_VALUE"""),"United Kingdom, Teaching resources are open to all educators anywhere in the world.")</f>
        <v/>
      </c>
      <c r="N1641" s="1">
        <f>IFERROR(__xludf.DUMMYFUNCTION("""COMPUTED_VALUE"""),"Micro (1-9 FTE employees)")</f>
        <v/>
      </c>
      <c r="O1641" s="1">
        <f>IFERROR(__xludf.DUMMYFUNCTION("""COMPUTED_VALUE"""),"Business to Schools")</f>
        <v/>
      </c>
      <c r="P1641" s="1">
        <f>IFERROR(__xludf.DUMMYFUNCTION("""COMPUTED_VALUE"""),"Primary Education, Secondary Education, Lifelong learning/Adult education")</f>
        <v/>
      </c>
      <c r="Q1641" s="1">
        <f>IFERROR(__xludf.DUMMYFUNCTION("""COMPUTED_VALUE"""),"Teacher interfacing")</f>
        <v/>
      </c>
      <c r="R1641" s="1" t="n"/>
      <c r="S1641" s="15">
        <f>IFERROR(__xludf.DUMMYFUNCTION("""COMPUTED_VALUE"""),"https://x.com/stacshq")</f>
        <v/>
      </c>
      <c r="T1641" s="15">
        <f>IFERROR(__xludf.DUMMYFUNCTION("""COMPUTED_VALUE"""),"https://www.linkedin.com/company/stacshq")</f>
        <v/>
      </c>
      <c r="U1641" s="1">
        <f>IFERROR(__xludf.DUMMYFUNCTION("""COMPUTED_VALUE"""),"Professional Learning &amp; Teacher Support for Computing Science ")</f>
        <v/>
      </c>
      <c r="V1641" s="1">
        <f>IFERROR(__xludf.DUMMYFUNCTION("""COMPUTED_VALUE"""),"STACS provides a wide range of professional learning opportunities, including bespoke workshops, events, &amp; an annual conference, to empower Computing Science teachers with the skills and knowledge to deliver high-quality education. We also offer ongoing m"&amp;"entorship and a supportive community network.")</f>
        <v/>
      </c>
      <c r="W1641" s="1">
        <f>IFERROR(__xludf.DUMMYFUNCTION("""COMPUTED_VALUE"""),"Curriculum Development &amp; Resource Creation")</f>
        <v/>
      </c>
      <c r="X1641" s="1">
        <f>IFERROR(__xludf.DUMMYFUNCTION("""COMPUTED_VALUE"""),"We develop &amp; curate innovative curriculum resources &amp;teaching materials that are directly aligned with the Scottish CS curriculum. Over 410 hours of high quality, practical, engaging, and easy for teachers to integrate into their classrooms, from primary "&amp;"school through to the senior phase.")</f>
        <v/>
      </c>
      <c r="Y1641" s="15">
        <f>IFERROR(__xludf.DUMMYFUNCTION("""COMPUTED_VALUE"""),"https://drive.google.com/uc?export=view&amp;id=1M0uLV-YTG_060pOCln1umBvR3uJy2FVo")</f>
        <v/>
      </c>
      <c r="Z1641" s="1">
        <f>IFERROR(__xludf.DUMMYFUNCTION("""COMPUTED_VALUE"""),"Verified")</f>
        <v/>
      </c>
      <c r="AA1641" s="1">
        <f>IFERROR(__xludf.DUMMYFUNCTION("""COMPUTED_VALUE"""),"Industry-academia partnerships, Project consortium building, Public-private partnerships, Collaborations between EdTech organisations, Other")</f>
        <v/>
      </c>
      <c r="AB1641" s="1">
        <f>IFERROR(__xludf.DUMMYFUNCTION("""COMPUTED_VALUE"""),"Public institution")</f>
        <v/>
      </c>
      <c r="AC1641" s="1">
        <f>IFERROR(__xludf.DUMMYFUNCTION("""COMPUTED_VALUE"""),TRUE)</f>
        <v/>
      </c>
      <c r="AD1641" s="1">
        <f>IFERROR(__xludf.DUMMYFUNCTION("""COMPUTED_VALUE"""),TRUE)</f>
        <v/>
      </c>
      <c r="AE1641" s="1" t="n"/>
    </row>
    <row r="1642" ht="42" customHeight="1">
      <c r="A1642" s="14">
        <f>IFERROR(__xludf.DUMMYFUNCTION("""COMPUTED_VALUE"""),45903)</f>
        <v/>
      </c>
      <c r="B1642" s="1">
        <f>IFERROR(__xludf.DUMMYFUNCTION("""COMPUTED_VALUE"""),"ORG_2681")</f>
        <v/>
      </c>
      <c r="C1642" s="1">
        <f>IFERROR(__xludf.DUMMYFUNCTION("""COMPUTED_VALUE"""),TRUE)</f>
        <v/>
      </c>
      <c r="D1642" s="1">
        <f>IFERROR(__xludf.DUMMYFUNCTION("""COMPUTED_VALUE"""),"dressCode")</f>
        <v/>
      </c>
      <c r="E1642" s="1">
        <f>IFERROR(__xludf.DUMMYFUNCTION("""COMPUTED_VALUE"""),"www.dresscode.org.uk and www.dresscode.club")</f>
        <v/>
      </c>
      <c r="F1642" s="1">
        <f>IFERROR(__xludf.DUMMYFUNCTION("""COMPUTED_VALUE"""),"dressCode is a non-profit charity with a mission to close the Computing Science gender gap. Founded by a teacher, the organisation works to inspire, support, and engage pupils, particularly girls, in Computing Science by creating free, high-quality digita"&amp;"l resources, running competitions, and building a network of dressCode clubs. We aim to bridge the gap between education and industry to help flood the tech talent pipeline with the next generation of female tech professionals.")</f>
        <v/>
      </c>
      <c r="G1642" s="1">
        <f>IFERROR(__xludf.DUMMYFUNCTION("""COMPUTED_VALUE"""),"I'm not part of any EdTech association")</f>
        <v/>
      </c>
      <c r="H1642" s="1">
        <f>IFERROR(__xludf.DUMMYFUNCTION("""COMPUTED_VALUE"""),"English")</f>
        <v/>
      </c>
      <c r="I1642" s="1">
        <f>IFERROR(__xludf.DUMMYFUNCTION("""COMPUTED_VALUE"""),"toni.scullion@dresscode.org.uk")</f>
        <v/>
      </c>
      <c r="J1642" s="1">
        <f>IFERROR(__xludf.DUMMYFUNCTION("""COMPUTED_VALUE"""),"+447700000000")</f>
        <v/>
      </c>
      <c r="K1642" s="1">
        <f>IFERROR(__xludf.DUMMYFUNCTION("""COMPUTED_VALUE"""),"Glasgow")</f>
        <v/>
      </c>
      <c r="L1642" s="1">
        <f>IFERROR(__xludf.DUMMYFUNCTION("""COMPUTED_VALUE"""),"Scotland")</f>
        <v/>
      </c>
      <c r="M1642" s="1">
        <f>IFERROR(__xludf.DUMMYFUNCTION("""COMPUTED_VALUE"""),"United Kingdom, dressCode club is avaliable worldwide.")</f>
        <v/>
      </c>
      <c r="N1642" s="1">
        <f>IFERROR(__xludf.DUMMYFUNCTION("""COMPUTED_VALUE"""),"Solo entrepreneur")</f>
        <v/>
      </c>
      <c r="O1642" s="1">
        <f>IFERROR(__xludf.DUMMYFUNCTION("""COMPUTED_VALUE"""),"Business to Schools")</f>
        <v/>
      </c>
      <c r="P1642" s="1">
        <f>IFERROR(__xludf.DUMMYFUNCTION("""COMPUTED_VALUE"""),"Primary Education, Secondary Education")</f>
        <v/>
      </c>
      <c r="Q1642" s="1">
        <f>IFERROR(__xludf.DUMMYFUNCTION("""COMPUTED_VALUE"""),"Student interfacing, Teacher interfacing")</f>
        <v/>
      </c>
      <c r="R1642" s="1" t="n"/>
      <c r="S1642" s="15">
        <f>IFERROR(__xludf.DUMMYFUNCTION("""COMPUTED_VALUE"""),"https://x.com/dresscodehq")</f>
        <v/>
      </c>
      <c r="T1642" s="15">
        <f>IFERROR(__xludf.DUMMYFUNCTION("""COMPUTED_VALUE"""),"https://www.linkedin.com/company/dresscodehq")</f>
        <v/>
      </c>
      <c r="U1642" s="1">
        <f>IFERROR(__xludf.DUMMYFUNCTION("""COMPUTED_VALUE"""),"School Clubs &amp; Community Building")</f>
        <v/>
      </c>
      <c r="V1642" s="1">
        <f>IFERROR(__xludf.DUMMYFUNCTION("""COMPUTED_VALUE"""),"We help support club leaders in schools, libraries etc setting up and running their own dressCode club. We provide free, high-quality digital content, including ""pick up and play"" resources,  to help engage girls at grassroots levels and help close the "&amp;"gender gap in Computing Science.
")</f>
        <v/>
      </c>
      <c r="W1642" s="1">
        <f>IFERROR(__xludf.DUMMYFUNCTION("""COMPUTED_VALUE"""),"Digital Education Content &amp; Competitions")</f>
        <v/>
      </c>
      <c r="X1642" s="1">
        <f>IFERROR(__xludf.DUMMYFUNCTION("""COMPUTED_VALUE"""),"We also run national competitions like the annual Halloween, Christmas, Cyber Advent, Summer of Code comp to challenge and inspire pupils. Provide free certificates of recognition to all primary and secondary schools and free physical awards available to "&amp;"every secondary school in Scotland and more
")</f>
        <v/>
      </c>
      <c r="Y1642" s="15">
        <f>IFERROR(__xludf.DUMMYFUNCTION("""COMPUTED_VALUE"""),"https://drive.google.com/uc?export=view&amp;id=1ktD5oIYyX3DVhJfD_lcGd24MeeNY8tpx")</f>
        <v/>
      </c>
      <c r="Z1642" s="1">
        <f>IFERROR(__xludf.DUMMYFUNCTION("""COMPUTED_VALUE"""),"Verified")</f>
        <v/>
      </c>
      <c r="AA1642" s="1">
        <f>IFERROR(__xludf.DUMMYFUNCTION("""COMPUTED_VALUE"""),"Industry-academia partnerships, Collaborations between EdTech organisations, Other")</f>
        <v/>
      </c>
      <c r="AB1642" s="1">
        <f>IFERROR(__xludf.DUMMYFUNCTION("""COMPUTED_VALUE"""),"Non-profit organisation")</f>
        <v/>
      </c>
      <c r="AC1642" s="1">
        <f>IFERROR(__xludf.DUMMYFUNCTION("""COMPUTED_VALUE"""),TRUE)</f>
        <v/>
      </c>
      <c r="AD1642" s="1">
        <f>IFERROR(__xludf.DUMMYFUNCTION("""COMPUTED_VALUE"""),TRUE)</f>
        <v/>
      </c>
      <c r="AE1642" s="1" t="n"/>
    </row>
    <row r="1643" ht="42" customHeight="1">
      <c r="A1643" s="14">
        <f>IFERROR(__xludf.DUMMYFUNCTION("""COMPUTED_VALUE"""),45903)</f>
        <v/>
      </c>
      <c r="B1643" s="1">
        <f>IFERROR(__xludf.DUMMYFUNCTION("""COMPUTED_VALUE"""),"ORG_2682")</f>
        <v/>
      </c>
      <c r="C1643" s="1">
        <f>IFERROR(__xludf.DUMMYFUNCTION("""COMPUTED_VALUE"""),TRUE)</f>
        <v/>
      </c>
      <c r="D1643" s="1">
        <f>IFERROR(__xludf.DUMMYFUNCTION("""COMPUTED_VALUE"""),"Klapp GmbH")</f>
        <v/>
      </c>
      <c r="E1643" s="15">
        <f>IFERROR(__xludf.DUMMYFUNCTION("""COMPUTED_VALUE"""),"www.klapp.pro")</f>
        <v/>
      </c>
      <c r="F1643" s="1">
        <f>IFERROR(__xludf.DUMMYFUNCTION("""COMPUTED_VALUE"""),"Klapp is a Swiss-based Software as a Service solution that streamlines communication in the education sector. It centralizes messages, documents, appointment notifications, absence reports, and calendars—all in one user-friendly interface. ")</f>
        <v/>
      </c>
      <c r="G1643" s="1">
        <f>IFERROR(__xludf.DUMMYFUNCTION("""COMPUTED_VALUE"""),"Swiss EdTech Collider")</f>
        <v/>
      </c>
      <c r="H1643" s="1">
        <f>IFERROR(__xludf.DUMMYFUNCTION("""COMPUTED_VALUE"""),"English, German, French, Spanish, Italian, Serbian")</f>
        <v/>
      </c>
      <c r="I1643" s="1">
        <f>IFERROR(__xludf.DUMMYFUNCTION("""COMPUTED_VALUE"""),"info@klapp.pro")</f>
        <v/>
      </c>
      <c r="J1643" s="1">
        <f>IFERROR(__xludf.DUMMYFUNCTION("""COMPUTED_VALUE"""),"+41325100838")</f>
        <v/>
      </c>
      <c r="K1643" s="1">
        <f>IFERROR(__xludf.DUMMYFUNCTION("""COMPUTED_VALUE"""),"Fislisbach AG")</f>
        <v/>
      </c>
      <c r="L1643" s="1">
        <f>IFERROR(__xludf.DUMMYFUNCTION("""COMPUTED_VALUE"""),"Switzerland")</f>
        <v/>
      </c>
      <c r="M1643" s="1">
        <f>IFERROR(__xludf.DUMMYFUNCTION("""COMPUTED_VALUE"""),"Bosnia and Herzegovina, Liechtenstein, Switzerland, Italy, Spain")</f>
        <v/>
      </c>
      <c r="N1643" s="1">
        <f>IFERROR(__xludf.DUMMYFUNCTION("""COMPUTED_VALUE"""),"Small (10-49 FTE employees)")</f>
        <v/>
      </c>
      <c r="O1643" s="1">
        <f>IFERROR(__xludf.DUMMYFUNCTION("""COMPUTED_VALUE"""),"Business to Business, Business to Schools, Business to Government")</f>
        <v/>
      </c>
      <c r="P1643" s="1">
        <f>IFERROR(__xludf.DUMMYFUNCTION("""COMPUTED_VALUE"""),"Early childhood development (0-5 years), Primary Education, Secondary Education, Special education")</f>
        <v/>
      </c>
      <c r="Q1643" s="1">
        <f>IFERROR(__xludf.DUMMYFUNCTION("""COMPUTED_VALUE"""),"Teacher interfacing")</f>
        <v/>
      </c>
      <c r="R1643" s="15">
        <f>IFERROR(__xludf.DUMMYFUNCTION("""COMPUTED_VALUE"""),"https://www.instagram.com/klappgmbh/")</f>
        <v/>
      </c>
      <c r="S1643" s="15">
        <f>IFERROR(__xludf.DUMMYFUNCTION("""COMPUTED_VALUE"""),"https://x.com/KlappInfo")</f>
        <v/>
      </c>
      <c r="T1643" s="15">
        <f>IFERROR(__xludf.DUMMYFUNCTION("""COMPUTED_VALUE"""),"https://ch.linkedin.com/company/klapp-eg")</f>
        <v/>
      </c>
      <c r="U1643" s="1">
        <f>IFERROR(__xludf.DUMMYFUNCTION("""COMPUTED_VALUE"""),"Klapp")</f>
        <v/>
      </c>
      <c r="V1643" s="1">
        <f>IFERROR(__xludf.DUMMYFUNCTION("""COMPUTED_VALUE"""),"A secure, multilingual platform that connects teachers and parents (with optional student involvement) for all school-related communication — including messaging, absence reporting, file sharing, calendars, and more — in one easy-to-use hub.")</f>
        <v/>
      </c>
      <c r="W1643" s="1" t="n"/>
      <c r="X1643" s="1" t="n"/>
      <c r="Y1643" s="15">
        <f>IFERROR(__xludf.DUMMYFUNCTION("""COMPUTED_VALUE"""),"https://drive.google.com/uc?export=view&amp;id=1FxQfooMPIR8ExYyRHKfjR1sf7PV1pakC")</f>
        <v/>
      </c>
      <c r="Z1643" s="1">
        <f>IFERROR(__xludf.DUMMYFUNCTION("""COMPUTED_VALUE"""),"Verified")</f>
        <v/>
      </c>
      <c r="AA1643" s="1">
        <f>IFERROR(__xludf.DUMMYFUNCTION("""COMPUTED_VALUE"""),"Collaborations between EdTech organisations, Industry-academia partnerships")</f>
        <v/>
      </c>
      <c r="AB1643" s="1">
        <f>IFERROR(__xludf.DUMMYFUNCTION("""COMPUTED_VALUE"""),"For-profit company")</f>
        <v/>
      </c>
      <c r="AC1643" s="1">
        <f>IFERROR(__xludf.DUMMYFUNCTION("""COMPUTED_VALUE"""),TRUE)</f>
        <v/>
      </c>
      <c r="AD1643" s="1">
        <f>IFERROR(__xludf.DUMMYFUNCTION("""COMPUTED_VALUE"""),TRUE)</f>
        <v/>
      </c>
      <c r="AE1643" s="15">
        <f>IFERROR(__xludf.DUMMYFUNCTION("""COMPUTED_VALUE"""),"https://www.facebook.com/klapp.pro")</f>
        <v/>
      </c>
    </row>
    <row r="1644" ht="42" customHeight="1">
      <c r="A1644" s="14">
        <f>IFERROR(__xludf.DUMMYFUNCTION("""COMPUTED_VALUE"""),45903)</f>
        <v/>
      </c>
      <c r="B1644" s="1">
        <f>IFERROR(__xludf.DUMMYFUNCTION("""COMPUTED_VALUE"""),"ORG_2683")</f>
        <v/>
      </c>
      <c r="C1644" s="1">
        <f>IFERROR(__xludf.DUMMYFUNCTION("""COMPUTED_VALUE"""),TRUE)</f>
        <v/>
      </c>
      <c r="D1644" s="1">
        <f>IFERROR(__xludf.DUMMYFUNCTION("""COMPUTED_VALUE"""),"Learntech Unleashed Ltd")</f>
        <v/>
      </c>
      <c r="E1644" s="15">
        <f>IFERROR(__xludf.DUMMYFUNCTION("""COMPUTED_VALUE"""),"www.learntechunleashed.com")</f>
        <v/>
      </c>
      <c r="F1644" s="1">
        <f>IFERROR(__xludf.DUMMYFUNCTION("""COMPUTED_VALUE"""),"Lesson planning and curriculum overlay tool")</f>
        <v/>
      </c>
      <c r="G1644" s="1">
        <f>IFERROR(__xludf.DUMMYFUNCTION("""COMPUTED_VALUE"""),"I'm not part of any EdTech association")</f>
        <v/>
      </c>
      <c r="H1644" s="1">
        <f>IFERROR(__xludf.DUMMYFUNCTION("""COMPUTED_VALUE"""),"English")</f>
        <v/>
      </c>
      <c r="I1644" s="1">
        <f>IFERROR(__xludf.DUMMYFUNCTION("""COMPUTED_VALUE"""),"ed@learntechunleashed.com")</f>
        <v/>
      </c>
      <c r="J1644" s="1">
        <f>IFERROR(__xludf.DUMMYFUNCTION("""COMPUTED_VALUE"""),"+447793045183")</f>
        <v/>
      </c>
      <c r="K1644" s="1">
        <f>IFERROR(__xludf.DUMMYFUNCTION("""COMPUTED_VALUE"""),"Liverpool")</f>
        <v/>
      </c>
      <c r="L1644" s="1">
        <f>IFERROR(__xludf.DUMMYFUNCTION("""COMPUTED_VALUE"""),"United Kingdom")</f>
        <v/>
      </c>
      <c r="M1644" s="1">
        <f>IFERROR(__xludf.DUMMYFUNCTION("""COMPUTED_VALUE"""),"United Kingdom")</f>
        <v/>
      </c>
      <c r="N1644" s="1">
        <f>IFERROR(__xludf.DUMMYFUNCTION("""COMPUTED_VALUE"""),"Micro (1-9 FTE employees)")</f>
        <v/>
      </c>
      <c r="O1644" s="1">
        <f>IFERROR(__xludf.DUMMYFUNCTION("""COMPUTED_VALUE"""),"Business to Schools, Business to Government")</f>
        <v/>
      </c>
      <c r="P1644" s="1">
        <f>IFERROR(__xludf.DUMMYFUNCTION("""COMPUTED_VALUE"""),"Secondary Education, Primary Education")</f>
        <v/>
      </c>
      <c r="Q1644" s="1">
        <f>IFERROR(__xludf.DUMMYFUNCTION("""COMPUTED_VALUE"""),"Teacher interfacing")</f>
        <v/>
      </c>
      <c r="R1644" s="1" t="n"/>
      <c r="S1644" s="1" t="n"/>
      <c r="T1644" s="1" t="n"/>
      <c r="U1644" s="1">
        <f>IFERROR(__xludf.DUMMYFUNCTION("""COMPUTED_VALUE"""),"Lesson Planning Tool")</f>
        <v/>
      </c>
      <c r="V1644" s="1">
        <f>IFERROR(__xludf.DUMMYFUNCTION("""COMPUTED_VALUE"""),"Save time and speed to create amazing lessons.")</f>
        <v/>
      </c>
      <c r="W1644" s="1">
        <f>IFERROR(__xludf.DUMMYFUNCTION("""COMPUTED_VALUE"""),"Holistic curriculum overlay")</f>
        <v/>
      </c>
      <c r="X1644" s="1">
        <f>IFERROR(__xludf.DUMMYFUNCTION("""COMPUTED_VALUE"""),"Multiple best practice overlays for schools worldwide, including the SDGs, Skillsbuilder Framework and more. ")</f>
        <v/>
      </c>
      <c r="Y1644" s="15">
        <f>IFERROR(__xludf.DUMMYFUNCTION("""COMPUTED_VALUE"""),"https://drive.google.com/uc?export=view&amp;id=1O6MpxCiaRtdVRhSIYd0Q-WgcuQnncorD")</f>
        <v/>
      </c>
      <c r="Z1644" s="1">
        <f>IFERROR(__xludf.DUMMYFUNCTION("""COMPUTED_VALUE"""),"Verified")</f>
        <v/>
      </c>
      <c r="AA1644" s="1">
        <f>IFERROR(__xludf.DUMMYFUNCTION("""COMPUTED_VALUE"""),"Collaborations between EdTech organisations, Public-private partnerships, Project consortium building, Industry-academia partnerships")</f>
        <v/>
      </c>
      <c r="AB1644" s="1">
        <f>IFERROR(__xludf.DUMMYFUNCTION("""COMPUTED_VALUE"""),"For-profit company")</f>
        <v/>
      </c>
      <c r="AC1644" s="1">
        <f>IFERROR(__xludf.DUMMYFUNCTION("""COMPUTED_VALUE"""),TRUE)</f>
        <v/>
      </c>
      <c r="AD1644" s="1">
        <f>IFERROR(__xludf.DUMMYFUNCTION("""COMPUTED_VALUE"""),TRUE)</f>
        <v/>
      </c>
      <c r="AE1644" s="1" t="n"/>
    </row>
    <row r="1645" ht="42" customHeight="1">
      <c r="A1645" s="14">
        <f>IFERROR(__xludf.DUMMYFUNCTION("""COMPUTED_VALUE"""),45904)</f>
        <v/>
      </c>
      <c r="B1645" s="1">
        <f>IFERROR(__xludf.DUMMYFUNCTION("""COMPUTED_VALUE"""),"ORG_2684")</f>
        <v/>
      </c>
      <c r="C1645" s="1">
        <f>IFERROR(__xludf.DUMMYFUNCTION("""COMPUTED_VALUE"""),TRUE)</f>
        <v/>
      </c>
      <c r="D1645" s="1">
        <f>IFERROR(__xludf.DUMMYFUNCTION("""COMPUTED_VALUE"""),"Technology Readiness Council")</f>
        <v/>
      </c>
      <c r="E1645" s="15">
        <f>IFERROR(__xludf.DUMMYFUNCTION("""COMPUTED_VALUE"""),"https://technologyreadiness.org/")</f>
        <v/>
      </c>
      <c r="F1645" s="1">
        <f>IFERROR(__xludf.DUMMYFUNCTION("""COMPUTED_VALUE"""),"Technology Readiness Council (TRC)  The Technology Readiness Council (TRC) is a non-profit network of senior educators and IT leaders from over 20 countries. It supports schools and educational professionals in bridging the gap between current technologic"&amp;"al infrastructure and future-oriented teaching needs. The TRC provides professional development, coaching, audits and certification programmes such as the TRC Tech Ready School and TRC Tech Innovation School, helping institutions ensure safe, strategic an"&amp;"d innovative integration of educational technology.")</f>
        <v/>
      </c>
      <c r="G1645" s="1">
        <f>IFERROR(__xludf.DUMMYFUNCTION("""COMPUTED_VALUE"""),"I'm not part of any EdTech association")</f>
        <v/>
      </c>
      <c r="H1645" s="1">
        <f>IFERROR(__xludf.DUMMYFUNCTION("""COMPUTED_VALUE"""),"English")</f>
        <v/>
      </c>
      <c r="I1645" s="1">
        <f>IFERROR(__xludf.DUMMYFUNCTION("""COMPUTED_VALUE"""),"contact@technologyreadiness.org")</f>
        <v/>
      </c>
      <c r="J1645" s="1">
        <f>IFERROR(__xludf.DUMMYFUNCTION("""COMPUTED_VALUE"""),"+3247808536")</f>
        <v/>
      </c>
      <c r="K1645" s="1">
        <f>IFERROR(__xludf.DUMMYFUNCTION("""COMPUTED_VALUE"""),"Brussels ")</f>
        <v/>
      </c>
      <c r="L1645" s="1">
        <f>IFERROR(__xludf.DUMMYFUNCTION("""COMPUTED_VALUE"""),"Belgium")</f>
        <v/>
      </c>
      <c r="M1645" s="1">
        <f>IFERROR(__xludf.DUMMYFUNCTION("""COMPUTED_VALUE"""),"Belgium, Czechia, Denmark, Germany, Hungary, Italy, Netherlands, Poland, Spain, Switzerland, Romania, France, Croatia, Japan, Malaysia, Philippines, Korea, Kenya")</f>
        <v/>
      </c>
      <c r="N1645" s="1">
        <f>IFERROR(__xludf.DUMMYFUNCTION("""COMPUTED_VALUE"""),"Small (10-49 FTE employees)")</f>
        <v/>
      </c>
      <c r="O1645" s="1">
        <f>IFERROR(__xludf.DUMMYFUNCTION("""COMPUTED_VALUE"""),"Business to Schools")</f>
        <v/>
      </c>
      <c r="P1645" s="1">
        <f>IFERROR(__xludf.DUMMYFUNCTION("""COMPUTED_VALUE"""),"Early childhood development (0-5 years), Primary Education, Secondary Education, Vocational Education and Training (VET), Higher Education, Lifelong learning/Adult education, Special education")</f>
        <v/>
      </c>
      <c r="Q1645" s="1">
        <f>IFERROR(__xludf.DUMMYFUNCTION("""COMPUTED_VALUE"""),"Student interfacing, Teacher interfacing, System/Administrative")</f>
        <v/>
      </c>
      <c r="R1645" s="1" t="n"/>
      <c r="S1645" s="1" t="n"/>
      <c r="T1645" s="15">
        <f>IFERROR(__xludf.DUMMYFUNCTION("""COMPUTED_VALUE"""),"https://www.linkedin.com/company/thetrc")</f>
        <v/>
      </c>
      <c r="U1645" s="1">
        <f>IFERROR(__xludf.DUMMYFUNCTION("""COMPUTED_VALUE"""),"Tech Director as a Service")</f>
        <v/>
      </c>
      <c r="V1645" s="1">
        <f>IFERROR(__xludf.DUMMYFUNCTION("""COMPUTED_VALUE"""),"Tech Director as a Service provides schools with access to experienced technology leadership without the need for a full-time appointment. The TRC offers strategic guidance, digital transformation planning, and expert support to help schools make informed"&amp;" decisions.")</f>
        <v/>
      </c>
      <c r="W1645" s="1" t="n"/>
      <c r="X1645" s="1" t="n"/>
      <c r="Y1645" s="15">
        <f>IFERROR(__xludf.DUMMYFUNCTION("""COMPUTED_VALUE"""),"https://drive.google.com/uc?export=view&amp;id=178NZuuh_CXxDwT6V72miO4W9EmMttOGu")</f>
        <v/>
      </c>
      <c r="Z1645" s="1">
        <f>IFERROR(__xludf.DUMMYFUNCTION("""COMPUTED_VALUE"""),"Verified")</f>
        <v/>
      </c>
      <c r="AA1645" s="1">
        <f>IFERROR(__xludf.DUMMYFUNCTION("""COMPUTED_VALUE"""),"Project consortium building, Collaborations between EdTech organisations, Industry-academia partnerships, Public-private partnerships")</f>
        <v/>
      </c>
      <c r="AB1645" s="1">
        <f>IFERROR(__xludf.DUMMYFUNCTION("""COMPUTED_VALUE"""),"Non-profit organisation")</f>
        <v/>
      </c>
      <c r="AC1645" s="1">
        <f>IFERROR(__xludf.DUMMYFUNCTION("""COMPUTED_VALUE"""),TRUE)</f>
        <v/>
      </c>
      <c r="AD1645" s="1">
        <f>IFERROR(__xludf.DUMMYFUNCTION("""COMPUTED_VALUE"""),TRUE)</f>
        <v/>
      </c>
      <c r="AE1645" s="1" t="n"/>
    </row>
    <row r="1646" ht="42" customHeight="1">
      <c r="A1646" s="14">
        <f>IFERROR(__xludf.DUMMYFUNCTION("""COMPUTED_VALUE"""),45904)</f>
        <v/>
      </c>
      <c r="B1646" s="1">
        <f>IFERROR(__xludf.DUMMYFUNCTION("""COMPUTED_VALUE"""),"ORG_2005")</f>
        <v/>
      </c>
      <c r="C1646" s="1">
        <f>IFERROR(__xludf.DUMMYFUNCTION("""COMPUTED_VALUE"""),TRUE)</f>
        <v/>
      </c>
      <c r="D1646" s="1">
        <f>IFERROR(__xludf.DUMMYFUNCTION("""COMPUTED_VALUE"""),"My-Serious-Game")</f>
        <v/>
      </c>
      <c r="E1646" s="15">
        <f>IFERROR(__xludf.DUMMYFUNCTION("""COMPUTED_VALUE"""),"www.my-serious-game.com")</f>
        <v/>
      </c>
      <c r="F1646" s="1">
        <f>IFERROR(__xludf.DUMMYFUNCTION("""COMPUTED_VALUE"""),"My-Serious-Game creates customized and high-end digital training courses (serious games, blended learning, virtual and augmented reality, mobile applications, digital learning, 3D simulations, interactive videos...).")</f>
        <v/>
      </c>
      <c r="G1646" s="1">
        <f>IFERROR(__xludf.DUMMYFUNCTION("""COMPUTED_VALUE"""),"EdTech France")</f>
        <v/>
      </c>
      <c r="H1646" s="1">
        <f>IFERROR(__xludf.DUMMYFUNCTION("""COMPUTED_VALUE"""),"English, French, Spanish, German, Italian, Dutch, Portuguese, Bulgarian, Croatian, Czech, Danish, Estonian, Hungarian, Greek, Finnish, Irish, Latvian, Lithuanian, Romanian, Polish, Maltese, Slovak, Slovenian, Swedish, Basque, Catalan, Ukrainian")</f>
        <v/>
      </c>
      <c r="I1646" s="1">
        <f>IFERROR(__xludf.DUMMYFUNCTION("""COMPUTED_VALUE"""),"contact@my-serious-game.com")</f>
        <v/>
      </c>
      <c r="J1646" s="1">
        <f>IFERROR(__xludf.DUMMYFUNCTION("""COMPUTED_VALUE"""),"+33245340440")</f>
        <v/>
      </c>
      <c r="K1646" s="1">
        <f>IFERROR(__xludf.DUMMYFUNCTION("""COMPUTED_VALUE"""),"Tours")</f>
        <v/>
      </c>
      <c r="L1646" s="1">
        <f>IFERROR(__xludf.DUMMYFUNCTION("""COMPUTED_VALUE"""),"France")</f>
        <v/>
      </c>
      <c r="M1646" s="1">
        <f>IFERROR(__xludf.DUMMYFUNCTION("""COMPUTED_VALUE"""),"France, Denmark, Belgium, Italy")</f>
        <v/>
      </c>
      <c r="N1646" s="1">
        <f>IFERROR(__xludf.DUMMYFUNCTION("""COMPUTED_VALUE"""),"Small (10-49 FTE employees)")</f>
        <v/>
      </c>
      <c r="O1646" s="1">
        <f>IFERROR(__xludf.DUMMYFUNCTION("""COMPUTED_VALUE"""),"Business to Business, Business to Government, Business to Schools")</f>
        <v/>
      </c>
      <c r="P1646" s="1">
        <f>IFERROR(__xludf.DUMMYFUNCTION("""COMPUTED_VALUE"""),"Corporate Training, Lifelong learning/Adult education, Primary Education, Secondary Education, Vocational Education and Training (VET), Higher Education, Special education")</f>
        <v/>
      </c>
      <c r="Q1646" s="1">
        <f>IFERROR(__xludf.DUMMYFUNCTION("""COMPUTED_VALUE"""),"System/Administrative, Teacher interfacing")</f>
        <v/>
      </c>
      <c r="R1646" s="1" t="n"/>
      <c r="S1646" s="1" t="n"/>
      <c r="T1646" s="15">
        <f>IFERROR(__xludf.DUMMYFUNCTION("""COMPUTED_VALUE"""),"https://www.linkedin.com/company/my-serious-game")</f>
        <v/>
      </c>
      <c r="U1646" s="1">
        <f>IFERROR(__xludf.DUMMYFUNCTION("""COMPUTED_VALUE"""),"Digital Learning")</f>
        <v/>
      </c>
      <c r="V1646" s="1">
        <f>IFERROR(__xludf.DUMMYFUNCTION("""COMPUTED_VALUE"""),"e-Learning, Blended learning, mobile learning...")</f>
        <v/>
      </c>
      <c r="W1646" s="1">
        <f>IFERROR(__xludf.DUMMYFUNCTION("""COMPUTED_VALUE"""),"Serious Games")</f>
        <v/>
      </c>
      <c r="X1646" s="1">
        <f>IFERROR(__xludf.DUMMYFUNCTION("""COMPUTED_VALUE"""),"3D simulations, virtual reality, serious gaming...")</f>
        <v/>
      </c>
      <c r="Y1646" s="15">
        <f>IFERROR(__xludf.DUMMYFUNCTION("""COMPUTED_VALUE"""),"https://drive.google.com/uc?export=view&amp;id=18UlZVFAkLBFx_AfzI1tZJIp_lTP-1TNp")</f>
        <v/>
      </c>
      <c r="Z1646" s="1">
        <f>IFERROR(__xludf.DUMMYFUNCTION("""COMPUTED_VALUE"""),"Verified")</f>
        <v/>
      </c>
      <c r="AA1646" s="1">
        <f>IFERROR(__xludf.DUMMYFUNCTION("""COMPUTED_VALUE"""),"Collaborations between EdTech organisations, Project consortium building, Public-private partnerships, Industry-academia partnerships")</f>
        <v/>
      </c>
      <c r="AB1646" s="1">
        <f>IFERROR(__xludf.DUMMYFUNCTION("""COMPUTED_VALUE"""),"For-profit company")</f>
        <v/>
      </c>
      <c r="AC1646" s="1">
        <f>IFERROR(__xludf.DUMMYFUNCTION("""COMPUTED_VALUE"""),TRUE)</f>
        <v/>
      </c>
      <c r="AD1646" s="1">
        <f>IFERROR(__xludf.DUMMYFUNCTION("""COMPUTED_VALUE"""),TRUE)</f>
        <v/>
      </c>
      <c r="AE1646" s="1" t="n"/>
    </row>
    <row r="1647" ht="42" customHeight="1">
      <c r="A1647" s="14">
        <f>IFERROR(__xludf.DUMMYFUNCTION("""COMPUTED_VALUE"""),45904)</f>
        <v/>
      </c>
      <c r="B1647" s="1">
        <f>IFERROR(__xludf.DUMMYFUNCTION("""COMPUTED_VALUE"""),"ORG_2442")</f>
        <v/>
      </c>
      <c r="C1647" s="1">
        <f>IFERROR(__xludf.DUMMYFUNCTION("""COMPUTED_VALUE"""),TRUE)</f>
        <v/>
      </c>
      <c r="D1647" s="1">
        <f>IFERROR(__xludf.DUMMYFUNCTION("""COMPUTED_VALUE"""),"Tutornow ")</f>
        <v/>
      </c>
      <c r="E1647" s="15">
        <f>IFERROR(__xludf.DUMMYFUNCTION("""COMPUTED_VALUE"""),"https://www.tutornow.it/")</f>
        <v/>
      </c>
      <c r="F1647" s="1">
        <f>IFERROR(__xludf.DUMMYFUNCTION("""COMPUTED_VALUE""")," TutorNow is a leading online tutoring platform with over 15,000 tutors, offering personalized  educational paths for individuals and companies. Our advanced digital tools and proprietary  Virtual Classroom - with over 50 features - enable a complete lear"&amp;"ning experience:  interactive tools, collaborative text and code editors, DSA/BES support, and full compatibility  across PC, tablet, and mobile. AI ensures perfect student-tutor matching, making every  lesson effective, inclusive, and tailored for both o"&amp;"ne-on-one and group sessions.")</f>
        <v/>
      </c>
      <c r="G1647" s="1">
        <f>IFERROR(__xludf.DUMMYFUNCTION("""COMPUTED_VALUE"""),"EdTech Italia")</f>
        <v/>
      </c>
      <c r="H1647" s="1">
        <f>IFERROR(__xludf.DUMMYFUNCTION("""COMPUTED_VALUE"""),"English, Italian")</f>
        <v/>
      </c>
      <c r="I1647" s="1">
        <f>IFERROR(__xludf.DUMMYFUNCTION("""COMPUTED_VALUE"""),"andrea.fraccaro@tutornow.it")</f>
        <v/>
      </c>
      <c r="J1647" s="1">
        <f>IFERROR(__xludf.DUMMYFUNCTION("""COMPUTED_VALUE"""),"+393883671999")</f>
        <v/>
      </c>
      <c r="K1647" s="1">
        <f>IFERROR(__xludf.DUMMYFUNCTION("""COMPUTED_VALUE"""),"Lomazzo")</f>
        <v/>
      </c>
      <c r="L1647" s="1">
        <f>IFERROR(__xludf.DUMMYFUNCTION("""COMPUTED_VALUE"""),"Italy")</f>
        <v/>
      </c>
      <c r="M1647" s="1">
        <f>IFERROR(__xludf.DUMMYFUNCTION("""COMPUTED_VALUE"""),"Italy, Switzerland")</f>
        <v/>
      </c>
      <c r="N1647" s="1">
        <f>IFERROR(__xludf.DUMMYFUNCTION("""COMPUTED_VALUE"""),"Small (10-49 FTE employees)")</f>
        <v/>
      </c>
      <c r="O1647" s="1">
        <f>IFERROR(__xludf.DUMMYFUNCTION("""COMPUTED_VALUE"""),"Business to Consumer, Business to Government, Business to Business, Business to Schools")</f>
        <v/>
      </c>
      <c r="P1647" s="1">
        <f>IFERROR(__xludf.DUMMYFUNCTION("""COMPUTED_VALUE"""),"Primary Education, Secondary Education, Higher Education, Corporate Training, Special education")</f>
        <v/>
      </c>
      <c r="Q1647" s="1">
        <f>IFERROR(__xludf.DUMMYFUNCTION("""COMPUTED_VALUE"""),"Student interfacing, Teacher interfacing, System/Administrative, Other")</f>
        <v/>
      </c>
      <c r="R1647" s="1" t="n"/>
      <c r="S1647" s="1" t="n"/>
      <c r="T1647" s="1" t="n"/>
      <c r="U1647" s="1">
        <f>IFERROR(__xludf.DUMMYFUNCTION("""COMPUTED_VALUE"""),"one-on-one video lessons between student and tutor")</f>
        <v/>
      </c>
      <c r="V1647" s="1" t="n"/>
      <c r="W1647" s="1" t="n"/>
      <c r="X1647" s="1" t="n"/>
      <c r="Y1647" s="15">
        <f>IFERROR(__xludf.DUMMYFUNCTION("""COMPUTED_VALUE"""),"https://drive.google.com/uc?export=view&amp;id=1A4__9BviFXTlk46iZrXWdrRwXWY1TblH")</f>
        <v/>
      </c>
      <c r="Z1647" s="1">
        <f>IFERROR(__xludf.DUMMYFUNCTION("""COMPUTED_VALUE"""),"Verified")</f>
        <v/>
      </c>
      <c r="AA1647" s="1">
        <f>IFERROR(__xludf.DUMMYFUNCTION("""COMPUTED_VALUE"""),"Public-private partnerships, Collaborations between EdTech organisations, Other, Industry-academia partnerships")</f>
        <v/>
      </c>
      <c r="AB1647" s="1">
        <f>IFERROR(__xludf.DUMMYFUNCTION("""COMPUTED_VALUE"""),"For-profit company")</f>
        <v/>
      </c>
      <c r="AC1647" s="1">
        <f>IFERROR(__xludf.DUMMYFUNCTION("""COMPUTED_VALUE"""),TRUE)</f>
        <v/>
      </c>
      <c r="AD1647" s="1">
        <f>IFERROR(__xludf.DUMMYFUNCTION("""COMPUTED_VALUE"""),TRUE)</f>
        <v/>
      </c>
      <c r="AE1647" s="1" t="n"/>
    </row>
    <row r="1648" ht="42" customHeight="1">
      <c r="A1648" s="14">
        <f>IFERROR(__xludf.DUMMYFUNCTION("""COMPUTED_VALUE"""),45904)</f>
        <v/>
      </c>
      <c r="B1648" s="1">
        <f>IFERROR(__xludf.DUMMYFUNCTION("""COMPUTED_VALUE"""),"ORG_2685")</f>
        <v/>
      </c>
      <c r="C1648" s="1">
        <f>IFERROR(__xludf.DUMMYFUNCTION("""COMPUTED_VALUE"""),TRUE)</f>
        <v/>
      </c>
      <c r="D1648" s="1">
        <f>IFERROR(__xludf.DUMMYFUNCTION("""COMPUTED_VALUE"""),"Zamizen")</f>
        <v/>
      </c>
      <c r="E1648" s="15">
        <f>IFERROR(__xludf.DUMMYFUNCTION("""COMPUTED_VALUE"""),"zamizen.fr")</f>
        <v/>
      </c>
      <c r="F1648" s="1">
        <f>IFERROR(__xludf.DUMMYFUNCTION("""COMPUTED_VALUE"""),"Zamizen allows 3-11 year olds to learn soft skills (emotions, relationships), with an impact on well-being, attention, school climate and inclusiveness. The programme ensures pedagogical continuity between school, extracurricular activities and the family"&amp;".")</f>
        <v/>
      </c>
      <c r="G1648" s="1">
        <f>IFERROR(__xludf.DUMMYFUNCTION("""COMPUTED_VALUE"""),"AFINEF, EdTech France")</f>
        <v/>
      </c>
      <c r="H1648" s="1">
        <f>IFERROR(__xludf.DUMMYFUNCTION("""COMPUTED_VALUE"""),"French")</f>
        <v/>
      </c>
      <c r="I1648" s="1">
        <f>IFERROR(__xludf.DUMMYFUNCTION("""COMPUTED_VALUE"""),"iris@zamizen.fr")</f>
        <v/>
      </c>
      <c r="J1648" s="1">
        <f>IFERROR(__xludf.DUMMYFUNCTION("""COMPUTED_VALUE"""),"+33671312460")</f>
        <v/>
      </c>
      <c r="K1648" s="1">
        <f>IFERROR(__xludf.DUMMYFUNCTION("""COMPUTED_VALUE"""),"LA ROCHELLE")</f>
        <v/>
      </c>
      <c r="L1648" s="1">
        <f>IFERROR(__xludf.DUMMYFUNCTION("""COMPUTED_VALUE"""),"France")</f>
        <v/>
      </c>
      <c r="M1648" s="1">
        <f>IFERROR(__xludf.DUMMYFUNCTION("""COMPUTED_VALUE"""),"France, Belgium, Switzerland")</f>
        <v/>
      </c>
      <c r="N1648" s="1">
        <f>IFERROR(__xludf.DUMMYFUNCTION("""COMPUTED_VALUE"""),"Micro (1-9 FTE employees)")</f>
        <v/>
      </c>
      <c r="O1648" s="1">
        <f>IFERROR(__xludf.DUMMYFUNCTION("""COMPUTED_VALUE"""),"Business to Government, Business to Schools, Business to Business")</f>
        <v/>
      </c>
      <c r="P1648" s="1">
        <f>IFERROR(__xludf.DUMMYFUNCTION("""COMPUTED_VALUE"""),"Early childhood development (0-5 years), Primary Education, Lifelong learning/Adult education")</f>
        <v/>
      </c>
      <c r="Q1648" s="1">
        <f>IFERROR(__xludf.DUMMYFUNCTION("""COMPUTED_VALUE"""),"Teacher interfacing")</f>
        <v/>
      </c>
      <c r="R1648" s="15">
        <f>IFERROR(__xludf.DUMMYFUNCTION("""COMPUTED_VALUE"""),"https://www.instagram.com/leszamizen/?hl=fr")</f>
        <v/>
      </c>
      <c r="S1648" s="1" t="n"/>
      <c r="T1648" s="15">
        <f>IFERROR(__xludf.DUMMYFUNCTION("""COMPUTED_VALUE"""),"https://www.linkedin.com/company")</f>
        <v/>
      </c>
      <c r="U1648" s="1">
        <f>IFERROR(__xludf.DUMMYFUNCTION("""COMPUTED_VALUE"""),"Zamizen School Program ")</f>
        <v/>
      </c>
      <c r="V1648" s="1">
        <f>IFERROR(__xludf.DUMMYFUNCTION("""COMPUTED_VALUE"""),"Annual subscription to the online program (video &amp; audio) + 1 pedagogical kit per class + Training and support + Impact measurement")</f>
        <v/>
      </c>
      <c r="W1648" s="1">
        <f>IFERROR(__xludf.DUMMYFUNCTION("""COMPUTED_VALUE"""),"Zamizen Extracurricular Program")</f>
        <v/>
      </c>
      <c r="X1648" s="1">
        <f>IFERROR(__xludf.DUMMYFUNCTION("""COMPUTED_VALUE"""),"Training of 10 facilitators in conducting Zamizen workshops + Emotions toolkit ")</f>
        <v/>
      </c>
      <c r="Y1648" s="15">
        <f>IFERROR(__xludf.DUMMYFUNCTION("""COMPUTED_VALUE"""),"https://drive.google.com/uc?export=view&amp;id=1oTFX4Ef-8TyosUaL3Tsf04l0xXK03nxG")</f>
        <v/>
      </c>
      <c r="Z1648" s="1">
        <f>IFERROR(__xludf.DUMMYFUNCTION("""COMPUTED_VALUE"""),"Verified")</f>
        <v/>
      </c>
      <c r="AA1648" s="1">
        <f>IFERROR(__xludf.DUMMYFUNCTION("""COMPUTED_VALUE"""),"Project consortium building, Public-private partnerships")</f>
        <v/>
      </c>
      <c r="AB1648" s="1">
        <f>IFERROR(__xludf.DUMMYFUNCTION("""COMPUTED_VALUE"""),"For-profit company")</f>
        <v/>
      </c>
      <c r="AC1648" s="1">
        <f>IFERROR(__xludf.DUMMYFUNCTION("""COMPUTED_VALUE"""),TRUE)</f>
        <v/>
      </c>
      <c r="AD1648" s="1">
        <f>IFERROR(__xludf.DUMMYFUNCTION("""COMPUTED_VALUE"""),TRUE)</f>
        <v/>
      </c>
      <c r="AE1648" s="15">
        <f>IFERROR(__xludf.DUMMYFUNCTION("""COMPUTED_VALUE"""),"https://www.facebook.com/leszamizen")</f>
        <v/>
      </c>
    </row>
    <row r="1649" ht="42" customHeight="1">
      <c r="A1649" s="14">
        <f>IFERROR(__xludf.DUMMYFUNCTION("""COMPUTED_VALUE"""),45904)</f>
        <v/>
      </c>
      <c r="B1649" s="1">
        <f>IFERROR(__xludf.DUMMYFUNCTION("""COMPUTED_VALUE"""),"ORG_2686")</f>
        <v/>
      </c>
      <c r="C1649" s="1">
        <f>IFERROR(__xludf.DUMMYFUNCTION("""COMPUTED_VALUE"""),TRUE)</f>
        <v/>
      </c>
      <c r="D1649" s="1">
        <f>IFERROR(__xludf.DUMMYFUNCTION("""COMPUTED_VALUE"""),"My Training Box")</f>
        <v/>
      </c>
      <c r="E1649" s="15">
        <f>IFERROR(__xludf.DUMMYFUNCTION("""COMPUTED_VALUE"""),"www.mygreentraningbox.com")</f>
        <v/>
      </c>
      <c r="F1649" s="1">
        <f>IFERROR(__xludf.DUMMYFUNCTION("""COMPUTED_VALUE"""),"My Green Training Box is a learning platform providing digital courses for sustainable topic in various fields: agriculture, CSR, energy, health...")</f>
        <v/>
      </c>
      <c r="G1649" s="1">
        <f>IFERROR(__xludf.DUMMYFUNCTION("""COMPUTED_VALUE"""),"EdTech France")</f>
        <v/>
      </c>
      <c r="H1649" s="1">
        <f>IFERROR(__xludf.DUMMYFUNCTION("""COMPUTED_VALUE"""),"English, French, Spanish, Italian")</f>
        <v/>
      </c>
      <c r="I1649" s="1">
        <f>IFERROR(__xludf.DUMMYFUNCTION("""COMPUTED_VALUE"""),"laurent@mytrainingbox.com")</f>
        <v/>
      </c>
      <c r="J1649" s="1">
        <f>IFERROR(__xludf.DUMMYFUNCTION("""COMPUTED_VALUE"""),"+33637648444")</f>
        <v/>
      </c>
      <c r="K1649" s="1">
        <f>IFERROR(__xludf.DUMMYFUNCTION("""COMPUTED_VALUE"""),"Toulouse")</f>
        <v/>
      </c>
      <c r="L1649" s="1">
        <f>IFERROR(__xludf.DUMMYFUNCTION("""COMPUTED_VALUE"""),"France")</f>
        <v/>
      </c>
      <c r="M1649" s="1">
        <f>IFERROR(__xludf.DUMMYFUNCTION("""COMPUTED_VALUE"""),"France, Italy, Greece, United Kingdom, Turkey, Spain, Belgium")</f>
        <v/>
      </c>
      <c r="N1649" s="1">
        <f>IFERROR(__xludf.DUMMYFUNCTION("""COMPUTED_VALUE"""),"Micro (1-9 FTE employees)")</f>
        <v/>
      </c>
      <c r="O1649" s="1">
        <f>IFERROR(__xludf.DUMMYFUNCTION("""COMPUTED_VALUE"""),"Business to Business, Business to Government, Business to Schools, Business to Consumer")</f>
        <v/>
      </c>
      <c r="P1649" s="1">
        <f>IFERROR(__xludf.DUMMYFUNCTION("""COMPUTED_VALUE"""),"Corporate Training, Lifelong learning/Adult education, Higher Education, Vocational Education and Training (VET)")</f>
        <v/>
      </c>
      <c r="Q1649" s="1">
        <f>IFERROR(__xludf.DUMMYFUNCTION("""COMPUTED_VALUE"""),"Student interfacing, Teacher interfacing")</f>
        <v/>
      </c>
      <c r="R1649" s="1" t="n"/>
      <c r="S1649" s="1" t="n"/>
      <c r="T1649" s="15">
        <f>IFERROR(__xludf.DUMMYFUNCTION("""COMPUTED_VALUE"""),"https://www.linkedin.com/showcase/mygreentrainingbox/?viewAsMember=true")</f>
        <v/>
      </c>
      <c r="U1649" s="1">
        <f>IFERROR(__xludf.DUMMYFUNCTION("""COMPUTED_VALUE"""),"Creation of digital learning content")</f>
        <v/>
      </c>
      <c r="V1649" s="1">
        <f>IFERROR(__xludf.DUMMYFUNCTION("""COMPUTED_VALUE"""),"Video, podcast, text, assessment contents")</f>
        <v/>
      </c>
      <c r="W1649" s="1">
        <f>IFERROR(__xludf.DUMMYFUNCTION("""COMPUTED_VALUE"""),"Learning Management System")</f>
        <v/>
      </c>
      <c r="X1649" s="1">
        <f>IFERROR(__xludf.DUMMYFUNCTION("""COMPUTED_VALUE"""),"Distribution of digital courses on My Green Training Box ")</f>
        <v/>
      </c>
      <c r="Y1649" s="15">
        <f>IFERROR(__xludf.DUMMYFUNCTION("""COMPUTED_VALUE"""),"https://drive.google.com/uc?export=view&amp;id=1bhvlXqXjUTrt2Yx0yta5gD_izlVlRYay")</f>
        <v/>
      </c>
      <c r="Z1649" s="1">
        <f>IFERROR(__xludf.DUMMYFUNCTION("""COMPUTED_VALUE"""),"Verified")</f>
        <v/>
      </c>
      <c r="AA1649" s="1">
        <f>IFERROR(__xludf.DUMMYFUNCTION("""COMPUTED_VALUE"""),"Collaborations between EdTech organisations, Project consortium building, Public-private partnerships, Industry-academia partnerships")</f>
        <v/>
      </c>
      <c r="AB1649" s="1">
        <f>IFERROR(__xludf.DUMMYFUNCTION("""COMPUTED_VALUE"""),"For-profit company")</f>
        <v/>
      </c>
      <c r="AC1649" s="1">
        <f>IFERROR(__xludf.DUMMYFUNCTION("""COMPUTED_VALUE"""),TRUE)</f>
        <v/>
      </c>
      <c r="AD1649" s="1">
        <f>IFERROR(__xludf.DUMMYFUNCTION("""COMPUTED_VALUE"""),TRUE)</f>
        <v/>
      </c>
      <c r="AE1649" s="1" t="n"/>
    </row>
    <row r="1650" ht="42" customHeight="1">
      <c r="A1650" s="14">
        <f>IFERROR(__xludf.DUMMYFUNCTION("""COMPUTED_VALUE"""),45904)</f>
        <v/>
      </c>
      <c r="B1650" s="1">
        <f>IFERROR(__xludf.DUMMYFUNCTION("""COMPUTED_VALUE"""),"ORG_2687")</f>
        <v/>
      </c>
      <c r="C1650" s="1">
        <f>IFERROR(__xludf.DUMMYFUNCTION("""COMPUTED_VALUE"""),TRUE)</f>
        <v/>
      </c>
      <c r="D1650" s="1">
        <f>IFERROR(__xludf.DUMMYFUNCTION("""COMPUTED_VALUE"""),"Develhope")</f>
        <v/>
      </c>
      <c r="E1650" s="15">
        <f>IFERROR(__xludf.DUMMYFUNCTION("""COMPUTED_VALUE"""),"www.develhope.co")</f>
        <v/>
      </c>
      <c r="F1650" s="1">
        <f>IFERROR(__xludf.DUMMYFUNCTION("""COMPUTED_VALUE"""),"Develhope is an educational project with a high social impact focused on the development of innovative digital skills, with the aim of training and multiplying opportunities for talented young people wishing to pursue a career in tech.")</f>
        <v/>
      </c>
      <c r="G1650" s="1">
        <f>IFERROR(__xludf.DUMMYFUNCTION("""COMPUTED_VALUE"""),"I'm not part of any EdTech association")</f>
        <v/>
      </c>
      <c r="H1650" s="1">
        <f>IFERROR(__xludf.DUMMYFUNCTION("""COMPUTED_VALUE"""),"Italian, English")</f>
        <v/>
      </c>
      <c r="I1650" s="1">
        <f>IFERROR(__xludf.DUMMYFUNCTION("""COMPUTED_VALUE"""),"info@develhope.co")</f>
        <v/>
      </c>
      <c r="J1650" s="1">
        <f>IFERROR(__xludf.DUMMYFUNCTION("""COMPUTED_VALUE"""),"+393519587218")</f>
        <v/>
      </c>
      <c r="K1650" s="1">
        <f>IFERROR(__xludf.DUMMYFUNCTION("""COMPUTED_VALUE"""),"Palermo")</f>
        <v/>
      </c>
      <c r="L1650" s="1">
        <f>IFERROR(__xludf.DUMMYFUNCTION("""COMPUTED_VALUE"""),"Italy")</f>
        <v/>
      </c>
      <c r="M1650" s="1">
        <f>IFERROR(__xludf.DUMMYFUNCTION("""COMPUTED_VALUE"""),"Italy")</f>
        <v/>
      </c>
      <c r="N1650" s="1">
        <f>IFERROR(__xludf.DUMMYFUNCTION("""COMPUTED_VALUE"""),"Small (10-49 FTE employees)")</f>
        <v/>
      </c>
      <c r="O1650" s="1">
        <f>IFERROR(__xludf.DUMMYFUNCTION("""COMPUTED_VALUE"""),"Business to Consumer")</f>
        <v/>
      </c>
      <c r="P1650" s="1">
        <f>IFERROR(__xludf.DUMMYFUNCTION("""COMPUTED_VALUE"""),"Vocational Education and Training (VET)")</f>
        <v/>
      </c>
      <c r="Q1650" s="1">
        <f>IFERROR(__xludf.DUMMYFUNCTION("""COMPUTED_VALUE"""),"Teacher interfacing, Student interfacing")</f>
        <v/>
      </c>
      <c r="R1650" s="15">
        <f>IFERROR(__xludf.DUMMYFUNCTION("""COMPUTED_VALUE"""),"https://www.instagram.com/devel.hope/")</f>
        <v/>
      </c>
      <c r="S1650" s="1" t="n"/>
      <c r="T1650" s="15">
        <f>IFERROR(__xludf.DUMMYFUNCTION("""COMPUTED_VALUE"""),"https://www.linkedin.com/school/develhope/")</f>
        <v/>
      </c>
      <c r="U1650" s="1">
        <f>IFERROR(__xludf.DUMMYFUNCTION("""COMPUTED_VALUE"""),"Digital skills courses (marketing, UX/UI, AI) for NGOs and PMIs")</f>
        <v/>
      </c>
      <c r="V1650" s="1">
        <f>IFERROR(__xludf.DUMMYFUNCTION("""COMPUTED_VALUE"""),"Live Courses are ideal for those starting from scratch and wanting to embark on a new career. 4-10 weeks, 2h a day, 100% remote, no experience required. We have the following courses: Digital Marketing/AI Specialist, UX/UI Design, Supply Chain &amp; Logistics"&amp;", AI Tools for PMIs, AI Tools for NGOs.")</f>
        <v/>
      </c>
      <c r="W1650" s="1">
        <f>IFERROR(__xludf.DUMMYFUNCTION("""COMPUTED_VALUE"""),"Programming courses")</f>
        <v/>
      </c>
      <c r="X1650" s="1">
        <f>IFERROR(__xludf.DUMMYFUNCTION("""COMPUTED_VALUE"""),"Live or Flex online courses to become a developer: 5-12 months, 100% remote, no experience required. We have: Web programming, AI &amp; Data analytics, Java Backend development, .Net development.")</f>
        <v/>
      </c>
      <c r="Y1650" s="15">
        <f>IFERROR(__xludf.DUMMYFUNCTION("""COMPUTED_VALUE"""),"https://drive.google.com/uc?export=view&amp;id=1c8XkAHEU7gpWuRNLkTkUqhmdtPX59FBR")</f>
        <v/>
      </c>
      <c r="Z1650" s="1">
        <f>IFERROR(__xludf.DUMMYFUNCTION("""COMPUTED_VALUE"""),"Verified")</f>
        <v/>
      </c>
      <c r="AA1650" s="1">
        <f>IFERROR(__xludf.DUMMYFUNCTION("""COMPUTED_VALUE"""),"Collaborations between EdTech organisations, Project consortium building, Public-private partnerships, Industry-academia partnerships")</f>
        <v/>
      </c>
      <c r="AB1650" s="1">
        <f>IFERROR(__xludf.DUMMYFUNCTION("""COMPUTED_VALUE"""),"For-profit company")</f>
        <v/>
      </c>
      <c r="AC1650" s="1">
        <f>IFERROR(__xludf.DUMMYFUNCTION("""COMPUTED_VALUE"""),FALSE)</f>
        <v/>
      </c>
      <c r="AD1650" s="1">
        <f>IFERROR(__xludf.DUMMYFUNCTION("""COMPUTED_VALUE"""),TRUE)</f>
        <v/>
      </c>
      <c r="AE1650" s="15">
        <f>IFERROR(__xludf.DUMMYFUNCTION("""COMPUTED_VALUE"""),"https://www.facebook.com/go.develhope")</f>
        <v/>
      </c>
    </row>
    <row r="1651" ht="42" customHeight="1">
      <c r="A1651" s="14">
        <f>IFERROR(__xludf.DUMMYFUNCTION("""COMPUTED_VALUE"""),45905)</f>
        <v/>
      </c>
      <c r="B1651" s="1">
        <f>IFERROR(__xludf.DUMMYFUNCTION("""COMPUTED_VALUE"""),"ORG_2688")</f>
        <v/>
      </c>
      <c r="C1651" s="1">
        <f>IFERROR(__xludf.DUMMYFUNCTION("""COMPUTED_VALUE"""),TRUE)</f>
        <v/>
      </c>
      <c r="D1651" s="1">
        <f>IFERROR(__xludf.DUMMYFUNCTION("""COMPUTED_VALUE"""),"Abilous")</f>
        <v/>
      </c>
      <c r="E1651" s="15">
        <f>IFERROR(__xludf.DUMMYFUNCTION("""COMPUTED_VALUE"""),"https://abilous.com")</f>
        <v/>
      </c>
      <c r="F1651" s="1">
        <f>IFERROR(__xludf.DUMMYFUNCTION("""COMPUTED_VALUE"""),"Abilous SAS is an innovative EdTech startup incubated at the INRIA Sophia-Antipolis research laboratory and a member of the 4th cohort of the CY EdTech Labs program (Cergy Paris University).  Abilous is an all-in-one, easy-to-use, and customizable gamifie"&amp;"d educational platform that makes learning fun through gamification and educational games. It offers detailed student progress tracking and personalized learning paths to support differentiated learning.  The platform also integrates an AI authoring tool "&amp;"to facilitate the creation and sharing of new interactive educational content through a multitude of possible formats and activities.  Abilous SAS also offers its flexible educational LMS as a white label.")</f>
        <v/>
      </c>
      <c r="G1651" s="1">
        <f>IFERROR(__xludf.DUMMYFUNCTION("""COMPUTED_VALUE"""),"EdTech France")</f>
        <v/>
      </c>
      <c r="H1651" s="1">
        <f>IFERROR(__xludf.DUMMYFUNCTION("""COMPUTED_VALUE"""),"French")</f>
        <v/>
      </c>
      <c r="I1651" s="1">
        <f>IFERROR(__xludf.DUMMYFUNCTION("""COMPUTED_VALUE"""),"contact@abilous.com")</f>
        <v/>
      </c>
      <c r="J1651" s="1">
        <f>IFERROR(__xludf.DUMMYFUNCTION("""COMPUTED_VALUE"""),"+33600000000")</f>
        <v/>
      </c>
      <c r="K1651" s="1">
        <f>IFERROR(__xludf.DUMMYFUNCTION("""COMPUTED_VALUE"""),"Montauroux")</f>
        <v/>
      </c>
      <c r="L1651" s="1">
        <f>IFERROR(__xludf.DUMMYFUNCTION("""COMPUTED_VALUE"""),"France")</f>
        <v/>
      </c>
      <c r="M1651" s="1">
        <f>IFERROR(__xludf.DUMMYFUNCTION("""COMPUTED_VALUE"""),"Belgium, France, Monaco")</f>
        <v/>
      </c>
      <c r="N1651" s="1">
        <f>IFERROR(__xludf.DUMMYFUNCTION("""COMPUTED_VALUE"""),"Micro (1-9 FTE employees)")</f>
        <v/>
      </c>
      <c r="O1651" s="1">
        <f>IFERROR(__xludf.DUMMYFUNCTION("""COMPUTED_VALUE"""),"Business to Business, Business to Consumer, Business to Government, Business to Schools")</f>
        <v/>
      </c>
      <c r="P1651" s="1">
        <f>IFERROR(__xludf.DUMMYFUNCTION("""COMPUTED_VALUE"""),"Primary Education, Secondary Education, Higher Education, Lifelong learning/Adult education, Special education, Corporate Training, Vocational Education and Training (VET)")</f>
        <v/>
      </c>
      <c r="Q1651" s="1">
        <f>IFERROR(__xludf.DUMMYFUNCTION("""COMPUTED_VALUE"""),"Teacher interfacing, Student interfacing")</f>
        <v/>
      </c>
      <c r="R1651" s="15">
        <f>IFERROR(__xludf.DUMMYFUNCTION("""COMPUTED_VALUE"""),"https://www.instagram.com/abilousapp/")</f>
        <v/>
      </c>
      <c r="S1651" s="1" t="n"/>
      <c r="T1651" s="15">
        <f>IFERROR(__xludf.DUMMYFUNCTION("""COMPUTED_VALUE"""),"https://www.linkedin.com/company/abilous")</f>
        <v/>
      </c>
      <c r="U1651" s="1">
        <f>IFERROR(__xludf.DUMMYFUNCTION("""COMPUTED_VALUE"""),"Abilous")</f>
        <v/>
      </c>
      <c r="V1651" s="1">
        <f>IFERROR(__xludf.DUMMYFUNCTION("""COMPUTED_VALUE"""),"Abilous is an all-in-one, easy-to-use gamified educational platform.
It allows you to differentiate learning (personalized learning paths), track student progress, and create/share interactive content.
Abilous integrates a library of content on fundamenta"&amp;"l knowledge and educational games.")</f>
        <v/>
      </c>
      <c r="W1651" s="1">
        <f>IFERROR(__xludf.DUMMYFUNCTION("""COMPUTED_VALUE"""),"Abilous Studio")</f>
        <v/>
      </c>
      <c r="X1651" s="1">
        <f>IFERROR(__xludf.DUMMYFUNCTION("""COMPUTED_VALUE"""),"The Abilous educational platform integrates an AI-assisted authoring tool to easily create and share a variety of interactive educational content in multiple formats.
Artificial intelligence generates different types of activities, quizzes, and more from"&amp;" teachers' course files.")</f>
        <v/>
      </c>
      <c r="Y1651" s="15">
        <f>IFERROR(__xludf.DUMMYFUNCTION("""COMPUTED_VALUE"""),"https://drive.google.com/uc?export=view&amp;id=1Xk-k5BbAib1-M5-O7j8Us4aggKUZArmU")</f>
        <v/>
      </c>
      <c r="Z1651" s="1">
        <f>IFERROR(__xludf.DUMMYFUNCTION("""COMPUTED_VALUE"""),"Verified")</f>
        <v/>
      </c>
      <c r="AA1651" s="1">
        <f>IFERROR(__xludf.DUMMYFUNCTION("""COMPUTED_VALUE"""),"Project consortium building, Public-private partnerships, Industry-academia partnerships, Collaborations between EdTech organisations, Other")</f>
        <v/>
      </c>
      <c r="AB1651" s="1">
        <f>IFERROR(__xludf.DUMMYFUNCTION("""COMPUTED_VALUE"""),"For-profit company")</f>
        <v/>
      </c>
      <c r="AC1651" s="1">
        <f>IFERROR(__xludf.DUMMYFUNCTION("""COMPUTED_VALUE"""),TRUE)</f>
        <v/>
      </c>
      <c r="AD1651" s="1">
        <f>IFERROR(__xludf.DUMMYFUNCTION("""COMPUTED_VALUE"""),TRUE)</f>
        <v/>
      </c>
      <c r="AE1651" s="15">
        <f>IFERROR(__xludf.DUMMYFUNCTION("""COMPUTED_VALUE"""),"https://www.facebook.com/abilousfb")</f>
        <v/>
      </c>
    </row>
    <row r="1652" ht="42" customHeight="1">
      <c r="A1652" s="14">
        <f>IFERROR(__xludf.DUMMYFUNCTION("""COMPUTED_VALUE"""),45905)</f>
        <v/>
      </c>
      <c r="B1652" s="1">
        <f>IFERROR(__xludf.DUMMYFUNCTION("""COMPUTED_VALUE"""),"ORG_2689")</f>
        <v/>
      </c>
      <c r="C1652" s="1">
        <f>IFERROR(__xludf.DUMMYFUNCTION("""COMPUTED_VALUE"""),TRUE)</f>
        <v/>
      </c>
      <c r="D1652" s="1">
        <f>IFERROR(__xludf.DUMMYFUNCTION("""COMPUTED_VALUE"""),"GoDeal")</f>
        <v/>
      </c>
      <c r="E1652" s="15">
        <f>IFERROR(__xludf.DUMMYFUNCTION("""COMPUTED_VALUE"""),"www.godeal.ai")</f>
        <v/>
      </c>
      <c r="F1652" s="1">
        <f>IFERROR(__xludf.DUMMYFUNCTION("""COMPUTED_VALUE"""),"We build AI-powered solutions to hack sales performance. Our platforms create data-driven coaching and learning paths that enable sales teams to drive measurable and long-term growth.")</f>
        <v/>
      </c>
      <c r="G1652" s="1">
        <f>IFERROR(__xludf.DUMMYFUNCTION("""COMPUTED_VALUE"""),"I'm not part of any EdTech association")</f>
        <v/>
      </c>
      <c r="H1652" s="1">
        <f>IFERROR(__xludf.DUMMYFUNCTION("""COMPUTED_VALUE"""),"English, Spanish, French, Portuguese")</f>
        <v/>
      </c>
      <c r="I1652" s="1">
        <f>IFERROR(__xludf.DUMMYFUNCTION("""COMPUTED_VALUE"""),"leo@godeal.ai")</f>
        <v/>
      </c>
      <c r="J1652" s="1">
        <f>IFERROR(__xludf.DUMMYFUNCTION("""COMPUTED_VALUE"""),"+34611182088")</f>
        <v/>
      </c>
      <c r="K1652" s="1">
        <f>IFERROR(__xludf.DUMMYFUNCTION("""COMPUTED_VALUE"""),"Barcelona")</f>
        <v/>
      </c>
      <c r="L1652" s="1">
        <f>IFERROR(__xludf.DUMMYFUNCTION("""COMPUTED_VALUE"""),"Spain")</f>
        <v/>
      </c>
      <c r="M1652" s="1">
        <f>IFERROR(__xludf.DUMMYFUNCTION("""COMPUTED_VALUE"""),"Germany, France, Andorra, Portugal, Spain, Turkey, Netherlands, Poland, United Kingdom, Italy, Greece")</f>
        <v/>
      </c>
      <c r="N1652" s="1">
        <f>IFERROR(__xludf.DUMMYFUNCTION("""COMPUTED_VALUE"""),"Micro (1-9 FTE employees)")</f>
        <v/>
      </c>
      <c r="O1652" s="1">
        <f>IFERROR(__xludf.DUMMYFUNCTION("""COMPUTED_VALUE"""),"Business to Business")</f>
        <v/>
      </c>
      <c r="P1652" s="1">
        <f>IFERROR(__xludf.DUMMYFUNCTION("""COMPUTED_VALUE"""),"Corporate Training, Lifelong learning/Adult education")</f>
        <v/>
      </c>
      <c r="Q1652" s="1">
        <f>IFERROR(__xludf.DUMMYFUNCTION("""COMPUTED_VALUE"""),"Student interfacing")</f>
        <v/>
      </c>
      <c r="R1652" s="1" t="n"/>
      <c r="S1652" s="1" t="n"/>
      <c r="T1652" s="15">
        <f>IFERROR(__xludf.DUMMYFUNCTION("""COMPUTED_VALUE"""),"https://www.linkedin.com/company/godeal-ai")</f>
        <v/>
      </c>
      <c r="U1652" s="1">
        <f>IFERROR(__xludf.DUMMYFUNCTION("""COMPUTED_VALUE"""),"GoDeal")</f>
        <v/>
      </c>
      <c r="V1652" s="1">
        <f>IFERROR(__xludf.DUMMYFUNCTION("""COMPUTED_VALUE"""),"Godeal is an AI Sales Coach Agent for sales reps and managers. It analyzes sales conversations to automate workflows and provide actionable performance insights, driving accelerated growth.")</f>
        <v/>
      </c>
      <c r="W1652" s="1">
        <f>IFERROR(__xludf.DUMMYFUNCTION("""COMPUTED_VALUE"""),"Talentrip")</f>
        <v/>
      </c>
      <c r="X1652" s="1">
        <f>IFERROR(__xludf.DUMMYFUNCTION("""COMPUTED_VALUE"""),"Talentrip helps organizations unlock high potential. Through initial assessment, it builds customized learning paths and tracks development with continuous performance reviews to ensure consistent and targeted professional growth.")</f>
        <v/>
      </c>
      <c r="Y1652" s="15">
        <f>IFERROR(__xludf.DUMMYFUNCTION("""COMPUTED_VALUE"""),"https://drive.google.com/uc?export=view&amp;id=1EzZogNy1ydfk279hF6B-04Wpj2hnrZpN")</f>
        <v/>
      </c>
      <c r="Z1652" s="1">
        <f>IFERROR(__xludf.DUMMYFUNCTION("""COMPUTED_VALUE"""),"Verified")</f>
        <v/>
      </c>
      <c r="AA1652" s="1">
        <f>IFERROR(__xludf.DUMMYFUNCTION("""COMPUTED_VALUE"""),"Collaborations between EdTech organisations")</f>
        <v/>
      </c>
      <c r="AB1652" s="1">
        <f>IFERROR(__xludf.DUMMYFUNCTION("""COMPUTED_VALUE"""),"For-profit company")</f>
        <v/>
      </c>
      <c r="AC1652" s="1">
        <f>IFERROR(__xludf.DUMMYFUNCTION("""COMPUTED_VALUE"""),TRUE)</f>
        <v/>
      </c>
      <c r="AD1652" s="1">
        <f>IFERROR(__xludf.DUMMYFUNCTION("""COMPUTED_VALUE"""),TRUE)</f>
        <v/>
      </c>
      <c r="AE1652" s="1" t="n"/>
    </row>
    <row r="1653" ht="42" customHeight="1">
      <c r="A1653" s="14">
        <f>IFERROR(__xludf.DUMMYFUNCTION("""COMPUTED_VALUE"""),45906)</f>
        <v/>
      </c>
      <c r="B1653" s="1">
        <f>IFERROR(__xludf.DUMMYFUNCTION("""COMPUTED_VALUE"""),"ORG_2690")</f>
        <v/>
      </c>
      <c r="C1653" s="1">
        <f>IFERROR(__xludf.DUMMYFUNCTION("""COMPUTED_VALUE"""),TRUE)</f>
        <v/>
      </c>
      <c r="D1653" s="1">
        <f>IFERROR(__xludf.DUMMYFUNCTION("""COMPUTED_VALUE"""),"Exeko")</f>
        <v/>
      </c>
      <c r="E1653" s="15">
        <f>IFERROR(__xludf.DUMMYFUNCTION("""COMPUTED_VALUE"""),"exeko.ai")</f>
        <v/>
      </c>
      <c r="F1653" s="1">
        <f>IFERROR(__xludf.DUMMYFUNCTION("""COMPUTED_VALUE"""),"Exeko is revolutionising academic support with an AI-powered platform that connects teachers, agencies and students. It also includes a virtual AI tutor who supports each student on their journey to academic success.")</f>
        <v/>
      </c>
      <c r="G1653" s="1">
        <f>IFERROR(__xludf.DUMMYFUNCTION("""COMPUTED_VALUE"""),"EdTech France")</f>
        <v/>
      </c>
      <c r="H1653" s="1">
        <f>IFERROR(__xludf.DUMMYFUNCTION("""COMPUTED_VALUE"""),"French, English")</f>
        <v/>
      </c>
      <c r="I1653" s="1">
        <f>IFERROR(__xludf.DUMMYFUNCTION("""COMPUTED_VALUE"""),"hello@exeko.ai")</f>
        <v/>
      </c>
      <c r="J1653" s="1">
        <f>IFERROR(__xludf.DUMMYFUNCTION("""COMPUTED_VALUE"""),"+33780917020")</f>
        <v/>
      </c>
      <c r="K1653" s="1">
        <f>IFERROR(__xludf.DUMMYFUNCTION("""COMPUTED_VALUE"""),"Le Chesnay (Paris)")</f>
        <v/>
      </c>
      <c r="L1653" s="1">
        <f>IFERROR(__xludf.DUMMYFUNCTION("""COMPUTED_VALUE"""),"France")</f>
        <v/>
      </c>
      <c r="M1653" s="1" t="n"/>
      <c r="N1653" s="1">
        <f>IFERROR(__xludf.DUMMYFUNCTION("""COMPUTED_VALUE"""),"Micro (1-9 FTE employees)")</f>
        <v/>
      </c>
      <c r="O1653" s="1">
        <f>IFERROR(__xludf.DUMMYFUNCTION("""COMPUTED_VALUE"""),"Business to Business, Business to Consumer, Business to Schools")</f>
        <v/>
      </c>
      <c r="P1653" s="1">
        <f>IFERROR(__xludf.DUMMYFUNCTION("""COMPUTED_VALUE"""),"Primary Education, Secondary Education, Higher Education, Lifelong learning/Adult education")</f>
        <v/>
      </c>
      <c r="Q1653" s="1">
        <f>IFERROR(__xludf.DUMMYFUNCTION("""COMPUTED_VALUE"""),"Student interfacing, Teacher interfacing, System/Administrative")</f>
        <v/>
      </c>
      <c r="R1653" s="1" t="n"/>
      <c r="S1653" s="1" t="n"/>
      <c r="T1653" s="15">
        <f>IFERROR(__xludf.DUMMYFUNCTION("""COMPUTED_VALUE"""),"https://www.linkedin.com/company/exeko-ai")</f>
        <v/>
      </c>
      <c r="U1653" s="1">
        <f>IFERROR(__xludf.DUMMYFUNCTION("""COMPUTED_VALUE"""),"Platform")</f>
        <v/>
      </c>
      <c r="V1653" s="1">
        <f>IFERROR(__xludf.DUMMYFUNCTION("""COMPUTED_VALUE"""),"Platform connecting private tutors, tuition agencies and students.")</f>
        <v/>
      </c>
      <c r="W1653" s="1">
        <f>IFERROR(__xludf.DUMMYFUNCTION("""COMPUTED_VALUE"""),"IA agent")</f>
        <v/>
      </c>
      <c r="X1653" s="1">
        <f>IFERROR(__xludf.DUMMYFUNCTION("""COMPUTED_VALUE"""),"A virtual AI tutor who supports each student with particular tutoring.")</f>
        <v/>
      </c>
      <c r="Y1653" s="15">
        <f>IFERROR(__xludf.DUMMYFUNCTION("""COMPUTED_VALUE"""),"https://drive.google.com/uc?export=view&amp;id=1xS1W0egYTDkosl0LN0CymOEMd3gwevaw")</f>
        <v/>
      </c>
      <c r="Z1653" s="1">
        <f>IFERROR(__xludf.DUMMYFUNCTION("""COMPUTED_VALUE"""),"Verified")</f>
        <v/>
      </c>
      <c r="AA1653" s="1">
        <f>IFERROR(__xludf.DUMMYFUNCTION("""COMPUTED_VALUE"""),"Collaborations between EdTech organisations, Public-private partnerships, Other, Industry-academia partnerships")</f>
        <v/>
      </c>
      <c r="AB1653" s="1">
        <f>IFERROR(__xludf.DUMMYFUNCTION("""COMPUTED_VALUE"""),"For-profit company")</f>
        <v/>
      </c>
      <c r="AC1653" s="1">
        <f>IFERROR(__xludf.DUMMYFUNCTION("""COMPUTED_VALUE"""),TRUE)</f>
        <v/>
      </c>
      <c r="AD1653" s="1">
        <f>IFERROR(__xludf.DUMMYFUNCTION("""COMPUTED_VALUE"""),TRUE)</f>
        <v/>
      </c>
      <c r="AE1653" s="1" t="n"/>
    </row>
    <row r="1654" ht="42" customHeight="1">
      <c r="A1654" s="14">
        <f>IFERROR(__xludf.DUMMYFUNCTION("""COMPUTED_VALUE"""),45908)</f>
        <v/>
      </c>
      <c r="B1654" s="1">
        <f>IFERROR(__xludf.DUMMYFUNCTION("""COMPUTED_VALUE"""),"ORG_2691")</f>
        <v/>
      </c>
      <c r="C1654" s="1">
        <f>IFERROR(__xludf.DUMMYFUNCTION("""COMPUTED_VALUE"""),TRUE)</f>
        <v/>
      </c>
      <c r="D1654" s="1">
        <f>IFERROR(__xludf.DUMMYFUNCTION("""COMPUTED_VALUE"""),"Fundatia UiPath Foundation")</f>
        <v/>
      </c>
      <c r="E1654" s="15">
        <f>IFERROR(__xludf.DUMMYFUNCTION("""COMPUTED_VALUE"""),"https://uipathfoundation.com/")</f>
        <v/>
      </c>
      <c r="F1654" s="1">
        <f>IFERROR(__xludf.DUMMYFUNCTION("""COMPUTED_VALUE"""),"UiPath Foundation is a non-profit (non-profit-making) organization that invests its resources into educational and social programs. We are changing the trajectory of children and youth  living in poverty in Romania through technology-enabled education and"&amp;" long-term, personalized support. With the guidance of inspiring role models, we are equipping each young person with the skills for the future and the confidence to succeed, both in school and beyond. Our innovative model implies a 360 system of support "&amp;"for children and young people, addressing multiple needs, and ensuring a continuum of educational support from secondary school all throughout highschool, and even beyond. By providing essential digital infrastructure such as tablets, laptops and reliable"&amp;" internet access, an online learning platform, we open doors to boundless learning possibilities. We equip children with essential programming and AI skills as a core part of their digital education through our AI Literacy curriculum.")</f>
        <v/>
      </c>
      <c r="G1654" s="1">
        <f>IFERROR(__xludf.DUMMYFUNCTION("""COMPUTED_VALUE"""),"I'm not part of any EdTech association")</f>
        <v/>
      </c>
      <c r="H1654" s="1">
        <f>IFERROR(__xludf.DUMMYFUNCTION("""COMPUTED_VALUE"""),"English, Romanian")</f>
        <v/>
      </c>
      <c r="I1654" s="1">
        <f>IFERROR(__xludf.DUMMYFUNCTION("""COMPUTED_VALUE"""),"catalina.rata@uipathfoundation.com")</f>
        <v/>
      </c>
      <c r="J1654" s="1">
        <f>IFERROR(__xludf.DUMMYFUNCTION("""COMPUTED_VALUE"""),"+40754073251")</f>
        <v/>
      </c>
      <c r="K1654" s="1">
        <f>IFERROR(__xludf.DUMMYFUNCTION("""COMPUTED_VALUE"""),"Bucharest")</f>
        <v/>
      </c>
      <c r="L1654" s="1">
        <f>IFERROR(__xludf.DUMMYFUNCTION("""COMPUTED_VALUE"""),"Romania")</f>
        <v/>
      </c>
      <c r="M1654" s="1">
        <f>IFERROR(__xludf.DUMMYFUNCTION("""COMPUTED_VALUE"""),"Albania, Andorra, Austria, Belarus, Belgium, Bosnia and Herzegovina, Croatia, Bulgaria, Czechia, Denmark, Estonia, Germany, France, Hungary, Iceland, Kosovo, Italy, Ireland, Latvia, Liechtenstein, Finland, Greece, Lithuania, Moldova, Malta, Luxembourg, Mo"&amp;"naco, Montenegro, Netherlands, Poland, Norway, Portugal, Slovakia, Sweden, Ukraine, North Macedonia, Romania, Slovenia, Switzerland, United Kingdom, San Marino, Spain, Turkey")</f>
        <v/>
      </c>
      <c r="N1654" s="1">
        <f>IFERROR(__xludf.DUMMYFUNCTION("""COMPUTED_VALUE"""),"Small (10-49 FTE employees)")</f>
        <v/>
      </c>
      <c r="O1654" s="1">
        <f>IFERROR(__xludf.DUMMYFUNCTION("""COMPUTED_VALUE"""),"Business to Schools")</f>
        <v/>
      </c>
      <c r="P1654" s="1">
        <f>IFERROR(__xludf.DUMMYFUNCTION("""COMPUTED_VALUE"""),"Early childhood development (0-5 years), Secondary Education, Higher Education")</f>
        <v/>
      </c>
      <c r="Q1654" s="1">
        <f>IFERROR(__xludf.DUMMYFUNCTION("""COMPUTED_VALUE"""),"Student interfacing, Teacher interfacing, System/Administrative")</f>
        <v/>
      </c>
      <c r="R1654" s="1" t="n"/>
      <c r="S1654" s="1" t="n"/>
      <c r="T1654" s="15">
        <f>IFERROR(__xludf.DUMMYFUNCTION("""COMPUTED_VALUE"""),"https://www.linkedin.com/company/uipathfoundation/posts/?feedView=all ")</f>
        <v/>
      </c>
      <c r="U1654" s="1">
        <f>IFERROR(__xludf.DUMMYFUNCTION("""COMPUTED_VALUE"""),"AI Literacy curriculum for high schoolers")</f>
        <v/>
      </c>
      <c r="V1654" s="1">
        <f>IFERROR(__xludf.DUMMYFUNCTION("""COMPUTED_VALUE"""),"AI Generation is an AI Literacy curriculum for high schoolers created by UiPath Foundation in partnership with the App Inventor Foundation an initiative of the Massachusetts Institute of Technology (MIT), and Global Science of Learning Education Network. "&amp;"
The curriculum leverages the AI Competency F")</f>
        <v/>
      </c>
      <c r="W1654" s="1">
        <f>IFERROR(__xludf.DUMMYFUNCTION("""COMPUTED_VALUE"""),"Own Your Path eLearning Platform")</f>
        <v/>
      </c>
      <c r="X1654" s="1">
        <f>IFERROR(__xludf.DUMMYFUNCTION("""COMPUTED_VALUE"""),"Own Your Path is UiPath Foundation’s digital learning ecosystem, designed to ensure equitable access to quality education for underserved students. It provides an engaging and structured online learning environment where students can access courses, assig"&amp;"nments, and tailored resources aligned with t")</f>
        <v/>
      </c>
      <c r="Y1654" s="15">
        <f>IFERROR(__xludf.DUMMYFUNCTION("""COMPUTED_VALUE"""),"https://drive.google.com/uc?export=view&amp;id=1yIURW1NGa1yRiayEZEVVBa9kK-QwmDUx")</f>
        <v/>
      </c>
      <c r="Z1654" s="1">
        <f>IFERROR(__xludf.DUMMYFUNCTION("""COMPUTED_VALUE"""),"Verified")</f>
        <v/>
      </c>
      <c r="AA1654" s="1">
        <f>IFERROR(__xludf.DUMMYFUNCTION("""COMPUTED_VALUE"""),"Collaborations between EdTech organisations, Project consortium building")</f>
        <v/>
      </c>
      <c r="AB1654" s="1">
        <f>IFERROR(__xludf.DUMMYFUNCTION("""COMPUTED_VALUE"""),"Non-profit organisation")</f>
        <v/>
      </c>
      <c r="AC1654" s="1">
        <f>IFERROR(__xludf.DUMMYFUNCTION("""COMPUTED_VALUE"""),TRUE)</f>
        <v/>
      </c>
      <c r="AD1654" s="1">
        <f>IFERROR(__xludf.DUMMYFUNCTION("""COMPUTED_VALUE"""),TRUE)</f>
        <v/>
      </c>
      <c r="AE1654" s="1" t="n"/>
    </row>
    <row r="1655" ht="42" customHeight="1">
      <c r="A1655" s="14">
        <f>IFERROR(__xludf.DUMMYFUNCTION("""COMPUTED_VALUE"""),45909)</f>
        <v/>
      </c>
      <c r="B1655" s="1">
        <f>IFERROR(__xludf.DUMMYFUNCTION("""COMPUTED_VALUE"""),"ORG_2180")</f>
        <v/>
      </c>
      <c r="C1655" s="1">
        <f>IFERROR(__xludf.DUMMYFUNCTION("""COMPUTED_VALUE"""),TRUE)</f>
        <v/>
      </c>
      <c r="D1655" s="1">
        <f>IFERROR(__xludf.DUMMYFUNCTION("""COMPUTED_VALUE"""),"Revas - Business Simulation Games")</f>
        <v/>
      </c>
      <c r="E1655" s="15">
        <f>IFERROR(__xludf.DUMMYFUNCTION("""COMPUTED_VALUE"""),"https://www.revas.online/")</f>
        <v/>
      </c>
      <c r="F1655" s="1">
        <f>IFERROR(__xludf.DUMMYFUNCTION("""COMPUTED_VALUE"""),"Revas develops online Business Simulation Games for education and corporate training. Participants run virtual SMEs, make realistic business decisions, and compete in dynamic markets. Ideal for business, entrepreneurship, and soft-skills development. Used"&amp;" by 1000+ institutions worldwide, including universities, schools, and corporate clients. Revas empowers learners to think like CEOs and understand the mechanics of business.")</f>
        <v/>
      </c>
      <c r="G1655" s="1">
        <f>IFERROR(__xludf.DUMMYFUNCTION("""COMPUTED_VALUE"""),"EdTech Poland")</f>
        <v/>
      </c>
      <c r="H1655" s="1">
        <f>IFERROR(__xludf.DUMMYFUNCTION("""COMPUTED_VALUE"""),"English, Polish, Spanish, French, Ukrainian, Georgian")</f>
        <v/>
      </c>
      <c r="I1655" s="1">
        <f>IFERROR(__xludf.DUMMYFUNCTION("""COMPUTED_VALUE"""),"contact@revas.online")</f>
        <v/>
      </c>
      <c r="J1655" s="1">
        <f>IFERROR(__xludf.DUMMYFUNCTION("""COMPUTED_VALUE"""),"+48502148260")</f>
        <v/>
      </c>
      <c r="K1655" s="1">
        <f>IFERROR(__xludf.DUMMYFUNCTION("""COMPUTED_VALUE"""),"Rzeszów")</f>
        <v/>
      </c>
      <c r="L1655" s="1">
        <f>IFERROR(__xludf.DUMMYFUNCTION("""COMPUTED_VALUE"""),"Poland")</f>
        <v/>
      </c>
      <c r="M1655" s="1">
        <f>IFERROR(__xludf.DUMMYFUNCTION("""COMPUTED_VALUE"""),"Austria, Belgium, Denmark, France, Hungary, Ireland, Lithuania, Poland, Spain, United Kingdom, Ukraine, Portugal, Romania")</f>
        <v/>
      </c>
      <c r="N1655" s="1">
        <f>IFERROR(__xludf.DUMMYFUNCTION("""COMPUTED_VALUE"""),"Micro (1-9 FTE employees)")</f>
        <v/>
      </c>
      <c r="O1655" s="1">
        <f>IFERROR(__xludf.DUMMYFUNCTION("""COMPUTED_VALUE"""),"Business to Government, Business to Schools, Business to Business")</f>
        <v/>
      </c>
      <c r="P1655" s="1">
        <f>IFERROR(__xludf.DUMMYFUNCTION("""COMPUTED_VALUE"""),"Secondary Education, Vocational Education and Training (VET), Higher Education, Corporate Training, Lifelong learning/Adult education")</f>
        <v/>
      </c>
      <c r="Q1655" s="1">
        <f>IFERROR(__xludf.DUMMYFUNCTION("""COMPUTED_VALUE"""),"Student interfacing, Teacher interfacing, System/Administrative")</f>
        <v/>
      </c>
      <c r="R1655" s="1" t="n"/>
      <c r="S1655" s="1" t="n"/>
      <c r="T1655" s="15">
        <f>IFERROR(__xludf.DUMMYFUNCTION("""COMPUTED_VALUE"""),"https://www.linkedin.com/company/revas-business-simulation-gamesfac")</f>
        <v/>
      </c>
      <c r="U1655" s="1">
        <f>IFERROR(__xludf.DUMMYFUNCTION("""COMPUTED_VALUE"""),"Business Management &amp; Business Planning Simulations")</f>
        <v/>
      </c>
      <c r="V1655" s="1">
        <f>IFERROR(__xludf.DUMMYFUNCTION("""COMPUTED_VALUE"""),"Students run virtual small businesses or plan a new venture in class and compete against one another for customers in a competitive market. 20 industries available from Travel agency through Boutique hotel to Factory.")</f>
        <v/>
      </c>
      <c r="W1655" s="1">
        <f>IFERROR(__xludf.DUMMYFUNCTION("""COMPUTED_VALUE"""),"Bugeto Personal Finance Simulation")</f>
        <v/>
      </c>
      <c r="X1655" s="1">
        <f>IFERROR(__xludf.DUMMYFUNCTION("""COMPUTED_VALUE"""),"Students manage their personal finance and time making daily choices about the food, transport, education, leisure etc. They need to maximize their wealth making sure their health and satisfaction is on a stable level.")</f>
        <v/>
      </c>
      <c r="Y1655" s="15">
        <f>IFERROR(__xludf.DUMMYFUNCTION("""COMPUTED_VALUE"""),"https://drive.google.com/uc?export=view&amp;id=1CjSkXMNgfUvIo3ZtmAPIrtbMhy5lju2T")</f>
        <v/>
      </c>
      <c r="Z1655" s="1">
        <f>IFERROR(__xludf.DUMMYFUNCTION("""COMPUTED_VALUE"""),"Verified")</f>
        <v/>
      </c>
      <c r="AA1655" s="1">
        <f>IFERROR(__xludf.DUMMYFUNCTION("""COMPUTED_VALUE"""),"Collaborations between EdTech organisations, Other")</f>
        <v/>
      </c>
      <c r="AB1655" s="1">
        <f>IFERROR(__xludf.DUMMYFUNCTION("""COMPUTED_VALUE"""),"For-profit company")</f>
        <v/>
      </c>
      <c r="AC1655" s="1">
        <f>IFERROR(__xludf.DUMMYFUNCTION("""COMPUTED_VALUE"""),TRUE)</f>
        <v/>
      </c>
      <c r="AD1655" s="1" t="n"/>
      <c r="AE1655" s="15">
        <f>IFERROR(__xludf.DUMMYFUNCTION("""COMPUTED_VALUE"""),"https://www.facebook.com/revaspl")</f>
        <v/>
      </c>
    </row>
    <row r="1656" ht="42" customHeight="1">
      <c r="A1656" s="14">
        <f>IFERROR(__xludf.DUMMYFUNCTION("""COMPUTED_VALUE"""),45910)</f>
        <v/>
      </c>
      <c r="B1656" s="1">
        <f>IFERROR(__xludf.DUMMYFUNCTION("""COMPUTED_VALUE"""),"ORG_2693")</f>
        <v/>
      </c>
      <c r="C1656" s="1">
        <f>IFERROR(__xludf.DUMMYFUNCTION("""COMPUTED_VALUE"""),TRUE)</f>
        <v/>
      </c>
      <c r="D1656" s="1">
        <f>IFERROR(__xludf.DUMMYFUNCTION("""COMPUTED_VALUE"""),"Dutch Edtech")</f>
        <v/>
      </c>
      <c r="E1656" s="15">
        <f>IFERROR(__xludf.DUMMYFUNCTION("""COMPUTED_VALUE"""),"https://dutchedtech.com/")</f>
        <v/>
      </c>
      <c r="F1656" s="1">
        <f>IFERROR(__xludf.DUMMYFUNCTION("""COMPUTED_VALUE"""),"Dutch Edtech is on a mission to elevate education through technology, aiming to establish the Netherlands as the world leader in impactful Edtech innovation by 2030. Based at the Marineterrein in Amsterdam, we unite a growing network of over 150 member or"&amp;"ganizations, including startups, scaleups, and thought leaders. Together, we’re shaping the future of learning by driving collaboration, knowledge sharing, and entrepreneurial growth across the Edtech ecosystem.")</f>
        <v/>
      </c>
      <c r="G1656" s="1">
        <f>IFERROR(__xludf.DUMMYFUNCTION("""COMPUTED_VALUE"""),"Dutch EdTech")</f>
        <v/>
      </c>
      <c r="H1656" s="1" t="n"/>
      <c r="I1656" s="1">
        <f>IFERROR(__xludf.DUMMYFUNCTION("""COMPUTED_VALUE"""),"info@dutchedtech.com")</f>
        <v/>
      </c>
      <c r="J1656" s="1">
        <f>IFERROR(__xludf.DUMMYFUNCTION("""COMPUTED_VALUE"""),"+31870593936")</f>
        <v/>
      </c>
      <c r="K1656" s="1">
        <f>IFERROR(__xludf.DUMMYFUNCTION("""COMPUTED_VALUE"""),"Amsterdam")</f>
        <v/>
      </c>
      <c r="L1656" s="1">
        <f>IFERROR(__xludf.DUMMYFUNCTION("""COMPUTED_VALUE"""),"The Netherlands")</f>
        <v/>
      </c>
      <c r="M1656" s="1" t="n"/>
      <c r="N1656" s="1">
        <f>IFERROR(__xludf.DUMMYFUNCTION("""COMPUTED_VALUE"""),"Micro (1-9 FTE employees)")</f>
        <v/>
      </c>
      <c r="O1656" s="1">
        <f>IFERROR(__xludf.DUMMYFUNCTION("""COMPUTED_VALUE"""),"Business to Business")</f>
        <v/>
      </c>
      <c r="P1656" s="1">
        <f>IFERROR(__xludf.DUMMYFUNCTION("""COMPUTED_VALUE"""),"Primary Education, Secondary Education, Higher Education, Lifelong learning/Adult education, Vocational Education and Training (VET), Early childhood development (0-5 years), Corporate Training")</f>
        <v/>
      </c>
      <c r="Q1656" s="1">
        <f>IFERROR(__xludf.DUMMYFUNCTION("""COMPUTED_VALUE"""),"Other")</f>
        <v/>
      </c>
      <c r="R1656" s="1" t="n"/>
      <c r="S1656" s="1" t="n"/>
      <c r="T1656" s="15">
        <f>IFERROR(__xludf.DUMMYFUNCTION("""COMPUTED_VALUE"""),"https://www.linkedin.com/company/dutchedtech/")</f>
        <v/>
      </c>
      <c r="U1656" s="1">
        <f>IFERROR(__xludf.DUMMYFUNCTION("""COMPUTED_VALUE"""),"Dutch Edtech Ecosystem Package")</f>
        <v/>
      </c>
      <c r="V1656" s="1">
        <f>IFERROR(__xludf.DUMMYFUNCTION("""COMPUTED_VALUE"""),"Access to events with discount or free. Access to more investors and VCs. Your logo featured on Dutch Edtech’s website, LinkedIn, and conference brochures. Visibility in annual ecosystem reports.
Chance to get featured in newsletters and promotional mater"&amp;"ials + many more!")</f>
        <v/>
      </c>
      <c r="W1656" s="1" t="n"/>
      <c r="X1656" s="1" t="n"/>
      <c r="Y1656" s="15">
        <f>IFERROR(__xludf.DUMMYFUNCTION("""COMPUTED_VALUE"""),"https://drive.google.com/uc?export=view&amp;id=1rNeXmXLJRbfM1B_wu40EDoQLVmnYpKsO")</f>
        <v/>
      </c>
      <c r="Z1656" s="1">
        <f>IFERROR(__xludf.DUMMYFUNCTION("""COMPUTED_VALUE"""),"Verified")</f>
        <v/>
      </c>
      <c r="AA1656" s="1">
        <f>IFERROR(__xludf.DUMMYFUNCTION("""COMPUTED_VALUE"""),"Collaborations between EdTech organisations, Public-private partnerships, Industry-academia partnerships")</f>
        <v/>
      </c>
      <c r="AB1656" s="1">
        <f>IFERROR(__xludf.DUMMYFUNCTION("""COMPUTED_VALUE"""),"Non-profit organisation")</f>
        <v/>
      </c>
      <c r="AC1656" s="1">
        <f>IFERROR(__xludf.DUMMYFUNCTION("""COMPUTED_VALUE"""),TRUE)</f>
        <v/>
      </c>
      <c r="AD1656" s="1" t="n"/>
      <c r="AE1656" s="1" t="n"/>
    </row>
    <row r="1657" ht="42" customHeight="1">
      <c r="A1657" s="14">
        <f>IFERROR(__xludf.DUMMYFUNCTION("""COMPUTED_VALUE"""),45910)</f>
        <v/>
      </c>
      <c r="B1657" s="1">
        <f>IFERROR(__xludf.DUMMYFUNCTION("""COMPUTED_VALUE"""),"ORG_1661")</f>
        <v/>
      </c>
      <c r="C1657" s="1">
        <f>IFERROR(__xludf.DUMMYFUNCTION("""COMPUTED_VALUE"""),TRUE)</f>
        <v/>
      </c>
      <c r="D1657" s="1">
        <f>IFERROR(__xludf.DUMMYFUNCTION("""COMPUTED_VALUE"""),"Haldor")</f>
        <v/>
      </c>
      <c r="E1657" s="15">
        <f>IFERROR(__xludf.DUMMYFUNCTION("""COMPUTED_VALUE"""),"https://haldoredu.com/")</f>
        <v/>
      </c>
      <c r="F1657" s="1">
        <f>IFERROR(__xludf.DUMMYFUNCTION("""COMPUTED_VALUE"""),"Boost learning - with Haldor’s educational tools inside Microsoft Teams.")</f>
        <v/>
      </c>
      <c r="G1657" s="1">
        <f>IFERROR(__xludf.DUMMYFUNCTION("""COMPUTED_VALUE"""),"Swedish EdTech Industry")</f>
        <v/>
      </c>
      <c r="H1657" s="1">
        <f>IFERROR(__xludf.DUMMYFUNCTION("""COMPUTED_VALUE"""),"English, Danish, Swedish, Norweigan")</f>
        <v/>
      </c>
      <c r="I1657" s="1">
        <f>IFERROR(__xludf.DUMMYFUNCTION("""COMPUTED_VALUE"""),"sales@haldor.se")</f>
        <v/>
      </c>
      <c r="J1657" s="1">
        <f>IFERROR(__xludf.DUMMYFUNCTION("""COMPUTED_VALUE"""),"+4660615555")</f>
        <v/>
      </c>
      <c r="K1657" s="1">
        <f>IFERROR(__xludf.DUMMYFUNCTION("""COMPUTED_VALUE"""),"Sundsvall")</f>
        <v/>
      </c>
      <c r="L1657" s="1">
        <f>IFERROR(__xludf.DUMMYFUNCTION("""COMPUTED_VALUE"""),"Sverige")</f>
        <v/>
      </c>
      <c r="M1657" s="1">
        <f>IFERROR(__xludf.DUMMYFUNCTION("""COMPUTED_VALUE"""),"Albania, Andorra, Austria, Bosnia and Herzegovina, Belarus, Belgium, Bulgaria, Croatia, Republic of Cyprus, Estonia, Denmark, Czechia, Finland, France, Germany, Greece, Ireland, Latvia, Luxembourg, Malta, Liechtenstein, Hungary, Italy, Iceland, Kosovo, Li"&amp;"thuania, Moldova, Netherlands, Montenegro, Monaco, North Macedonia, Portugal, Slovakia, Sweden, Ukraine, United Kingdom, Switzerland, Slovenia, Romania, Norway, Poland, San Marino, Spain, Turkey, World-wide")</f>
        <v/>
      </c>
      <c r="N1657" s="1">
        <f>IFERROR(__xludf.DUMMYFUNCTION("""COMPUTED_VALUE"""),"Small (10-49 FTE employees)")</f>
        <v/>
      </c>
      <c r="O1657" s="1">
        <f>IFERROR(__xludf.DUMMYFUNCTION("""COMPUTED_VALUE"""),"Business to Business, Business to Schools")</f>
        <v/>
      </c>
      <c r="P1657" s="1">
        <f>IFERROR(__xludf.DUMMYFUNCTION("""COMPUTED_VALUE"""),"Primary Education, Early childhood development (0-5 years), Secondary Education, Vocational Education and Training (VET), Higher Education, Special education, Lifelong learning/Adult education, Other")</f>
        <v/>
      </c>
      <c r="Q1657" s="1">
        <f>IFERROR(__xludf.DUMMYFUNCTION("""COMPUTED_VALUE"""),"Student interfacing, Teacher interfacing, System/Administrative")</f>
        <v/>
      </c>
      <c r="R1657" s="15">
        <f>IFERROR(__xludf.DUMMYFUNCTION("""COMPUTED_VALUE"""),"https://www.instagram.com/haldoredu/")</f>
        <v/>
      </c>
      <c r="S1657" s="15">
        <f>IFERROR(__xludf.DUMMYFUNCTION("""COMPUTED_VALUE"""),"https://x.com/HaldorEdu")</f>
        <v/>
      </c>
      <c r="T1657" s="15">
        <f>IFERROR(__xludf.DUMMYFUNCTION("""COMPUTED_VALUE"""),"https://www.linkedin.com/company/17880084/")</f>
        <v/>
      </c>
      <c r="U1657" s="1">
        <f>IFERROR(__xludf.DUMMYFUNCTION("""COMPUTED_VALUE"""),"Haldor Homework")</f>
        <v/>
      </c>
      <c r="V1657" s="1">
        <f>IFERROR(__xludf.DUMMYFUNCTION("""COMPUTED_VALUE"""),"Haldor Homework gives parents access to their child’s Microsoft Teams Assignments, directly from their phone, tablet or computer. Parents can easily keep track of when Teams assignments are set and due, assignment status and any feedback given from teache"&amp;"rs.")</f>
        <v/>
      </c>
      <c r="W1657" s="1">
        <f>IFERROR(__xludf.DUMMYFUNCTION("""COMPUTED_VALUE"""),"Haldor Parent-School Communication in Microsoft Teams")</f>
        <v/>
      </c>
      <c r="X1657" s="1">
        <f>IFERROR(__xludf.DUMMYFUNCTION("""COMPUTED_VALUE"""),"Keep parents informed and involved. Teachers can chat, schedule Teams meetings, send announcements, and share assignments, grades and feedback—all directly to parents, from within Microsoft Teams. ")</f>
        <v/>
      </c>
      <c r="Y1657" s="15">
        <f>IFERROR(__xludf.DUMMYFUNCTION("""COMPUTED_VALUE"""),"https://drive.google.com/uc?export=view&amp;id=1llqrht6eDgXQlStVT1Kui7MPeT0Q52Fd")</f>
        <v/>
      </c>
      <c r="Z1657" s="1">
        <f>IFERROR(__xludf.DUMMYFUNCTION("""COMPUTED_VALUE"""),"Verified")</f>
        <v/>
      </c>
      <c r="AA1657" s="1">
        <f>IFERROR(__xludf.DUMMYFUNCTION("""COMPUTED_VALUE"""),"Collaborations between EdTech organisations, Industry-academia partnerships")</f>
        <v/>
      </c>
      <c r="AB1657" s="1">
        <f>IFERROR(__xludf.DUMMYFUNCTION("""COMPUTED_VALUE"""),"For-profit company")</f>
        <v/>
      </c>
      <c r="AC1657" s="1">
        <f>IFERROR(__xludf.DUMMYFUNCTION("""COMPUTED_VALUE"""),TRUE)</f>
        <v/>
      </c>
      <c r="AD1657" s="1">
        <f>IFERROR(__xludf.DUMMYFUNCTION("""COMPUTED_VALUE"""),TRUE)</f>
        <v/>
      </c>
      <c r="AE1657" s="15">
        <f>IFERROR(__xludf.DUMMYFUNCTION("""COMPUTED_VALUE"""),"https://www.facebook.com/HaldorEducation/")</f>
        <v/>
      </c>
    </row>
    <row r="1658" ht="42" customHeight="1">
      <c r="A1658" s="14">
        <f>IFERROR(__xludf.DUMMYFUNCTION("""COMPUTED_VALUE"""),45911)</f>
        <v/>
      </c>
      <c r="B1658" s="1">
        <f>IFERROR(__xludf.DUMMYFUNCTION("""COMPUTED_VALUE"""),"ORG_2694")</f>
        <v/>
      </c>
      <c r="C1658" s="1">
        <f>IFERROR(__xludf.DUMMYFUNCTION("""COMPUTED_VALUE"""),TRUE)</f>
        <v/>
      </c>
      <c r="D1658" s="1">
        <f>IFERROR(__xludf.DUMMYFUNCTION("""COMPUTED_VALUE"""),"Mysoly E-Learn BV")</f>
        <v/>
      </c>
      <c r="E1658" s="15">
        <f>IFERROR(__xludf.DUMMYFUNCTION("""COMPUTED_VALUE"""),"https://mysoly.nl/learning/")</f>
        <v/>
      </c>
      <c r="F1658" s="1">
        <f>IFERROR(__xludf.DUMMYFUNCTION("""COMPUTED_VALUE"""),"We are building multilingual AI-based SaaS learning solutions to let education accessible for all.")</f>
        <v/>
      </c>
      <c r="G1658" s="1">
        <f>IFERROR(__xludf.DUMMYFUNCTION("""COMPUTED_VALUE"""),"Dutch EdTech")</f>
        <v/>
      </c>
      <c r="H1658" s="1">
        <f>IFERROR(__xludf.DUMMYFUNCTION("""COMPUTED_VALUE"""),"German, Dutch")</f>
        <v/>
      </c>
      <c r="I1658" s="1">
        <f>IFERROR(__xludf.DUMMYFUNCTION("""COMPUTED_VALUE"""),"support@mysoly.nl")</f>
        <v/>
      </c>
      <c r="J1658" s="1">
        <f>IFERROR(__xludf.DUMMYFUNCTION("""COMPUTED_VALUE"""),"+33687213354")</f>
        <v/>
      </c>
      <c r="K1658" s="1">
        <f>IFERROR(__xludf.DUMMYFUNCTION("""COMPUTED_VALUE"""),"Mierlo")</f>
        <v/>
      </c>
      <c r="L1658" s="1">
        <f>IFERROR(__xludf.DUMMYFUNCTION("""COMPUTED_VALUE"""),"Netherlands")</f>
        <v/>
      </c>
      <c r="M1658" s="1">
        <f>IFERROR(__xludf.DUMMYFUNCTION("""COMPUTED_VALUE"""),"Albania, Andorra, Austria, Bosnia and Herzegovina, Belgium, Belarus, Bulgaria, Croatia, Republic of Cyprus, Estonia, Denmark, Czechia, Finland, France, Germany, Iceland, Hungary, Greece, Ireland, Italy, Kosovo, Lithuania, Liechtenstein, Latvia, Luxembourg"&amp;", Malta, Moldova, Netherlands, Montenegro, Monaco, North Macedonia, Norway, Romania, Portugal, San Marino, Poland, Spain, Slovenia, Slovakia, Sweden, Switzerland, Turkey, United Kingdom, Ukraine")</f>
        <v/>
      </c>
      <c r="N1658" s="1">
        <f>IFERROR(__xludf.DUMMYFUNCTION("""COMPUTED_VALUE"""),"Small (10-49 FTE employees)")</f>
        <v/>
      </c>
      <c r="O1658" s="1">
        <f>IFERROR(__xludf.DUMMYFUNCTION("""COMPUTED_VALUE"""),"Business to Business, Business to Government, Business to Consumer, Business to Schools")</f>
        <v/>
      </c>
      <c r="P1658" s="1">
        <f>IFERROR(__xludf.DUMMYFUNCTION("""COMPUTED_VALUE"""),"Corporate Training, Lifelong learning/Adult education")</f>
        <v/>
      </c>
      <c r="Q1658" s="1">
        <f>IFERROR(__xludf.DUMMYFUNCTION("""COMPUTED_VALUE"""),"Student interfacing, Teacher interfacing, System/Administrative")</f>
        <v/>
      </c>
      <c r="R1658" s="15">
        <f>IFERROR(__xludf.DUMMYFUNCTION("""COMPUTED_VALUE"""),"https://www.instagram.com/mysoly_nl/?hl=en")</f>
        <v/>
      </c>
      <c r="S1658" s="1" t="n"/>
      <c r="T1658" s="15">
        <f>IFERROR(__xludf.DUMMYFUNCTION("""COMPUTED_VALUE"""),"https://www.linkedin.com/company/82955558/")</f>
        <v/>
      </c>
      <c r="U1658" s="15">
        <f>IFERROR(__xludf.DUMMYFUNCTION("""COMPUTED_VALUE"""),"nt2campus.nl")</f>
        <v/>
      </c>
      <c r="V1658" s="1">
        <f>IFERROR(__xludf.DUMMYFUNCTION("""COMPUTED_VALUE"""),"NT2 Campus is an AI-based Dutch language practice platform to prepare students for Dutch Language Exams in a multilingual way. The students can practice in different skills and get instant feedback. https://www.nt2campus.de/")</f>
        <v/>
      </c>
      <c r="W1658" s="15">
        <f>IFERROR(__xludf.DUMMYFUNCTION("""COMPUTED_VALUE"""),"testgerman.de")</f>
        <v/>
      </c>
      <c r="X1658" s="1">
        <f>IFERROR(__xludf.DUMMYFUNCTION("""COMPUTED_VALUE"""),"Test German is an AI-based Dutch language practice platform to prepare students for German language exams in a multilingual way. The students can practice in different skills and get instant feedback. https://www.testgerman.de/")</f>
        <v/>
      </c>
      <c r="Y1658" s="15">
        <f>IFERROR(__xludf.DUMMYFUNCTION("""COMPUTED_VALUE"""),"https://drive.google.com/uc?export=view&amp;id=1AqQiAOb1-xQdvWNhiTk2zDSzKC4LZxGT")</f>
        <v/>
      </c>
      <c r="Z1658" s="1">
        <f>IFERROR(__xludf.DUMMYFUNCTION("""COMPUTED_VALUE"""),"Verified")</f>
        <v/>
      </c>
      <c r="AA1658" s="1">
        <f>IFERROR(__xludf.DUMMYFUNCTION("""COMPUTED_VALUE"""),"Project consortium building, Public-private partnerships, Collaborations between EdTech organisations")</f>
        <v/>
      </c>
      <c r="AB1658" s="1">
        <f>IFERROR(__xludf.DUMMYFUNCTION("""COMPUTED_VALUE"""),"For-profit company")</f>
        <v/>
      </c>
      <c r="AC1658" s="1">
        <f>IFERROR(__xludf.DUMMYFUNCTION("""COMPUTED_VALUE"""),TRUE)</f>
        <v/>
      </c>
      <c r="AD1658" s="1">
        <f>IFERROR(__xludf.DUMMYFUNCTION("""COMPUTED_VALUE"""),TRUE)</f>
        <v/>
      </c>
      <c r="AE1658" s="15">
        <f>IFERROR(__xludf.DUMMYFUNCTION("""COMPUTED_VALUE"""),"https://www.facebook.com/mysoly.nl/")</f>
        <v/>
      </c>
    </row>
    <row r="1659" ht="42" customHeight="1">
      <c r="A1659" s="14">
        <f>IFERROR(__xludf.DUMMYFUNCTION("""COMPUTED_VALUE"""),45913)</f>
        <v/>
      </c>
      <c r="B1659" s="1">
        <f>IFERROR(__xludf.DUMMYFUNCTION("""COMPUTED_VALUE"""),"ORG_2695")</f>
        <v/>
      </c>
      <c r="C1659" s="1">
        <f>IFERROR(__xludf.DUMMYFUNCTION("""COMPUTED_VALUE"""),TRUE)</f>
        <v/>
      </c>
      <c r="D1659" s="1">
        <f>IFERROR(__xludf.DUMMYFUNCTION("""COMPUTED_VALUE"""),"enablr")</f>
        <v/>
      </c>
      <c r="E1659" s="15">
        <f>IFERROR(__xludf.DUMMYFUNCTION("""COMPUTED_VALUE"""),"enablr-ai.com")</f>
        <v/>
      </c>
      <c r="F1659" s="1">
        <f>IFERROR(__xludf.DUMMYFUNCTION("""COMPUTED_VALUE"""),"AI Adoption Platform for SMEs")</f>
        <v/>
      </c>
      <c r="G1659" s="1">
        <f>IFERROR(__xludf.DUMMYFUNCTION("""COMPUTED_VALUE"""),"I'm not part of any EdTech association")</f>
        <v/>
      </c>
      <c r="H1659" s="1">
        <f>IFERROR(__xludf.DUMMYFUNCTION("""COMPUTED_VALUE"""),"English, Spanish, German")</f>
        <v/>
      </c>
      <c r="I1659" s="1">
        <f>IFERROR(__xludf.DUMMYFUNCTION("""COMPUTED_VALUE"""),"sofia@enablr-ai.com")</f>
        <v/>
      </c>
      <c r="J1659" s="1">
        <f>IFERROR(__xludf.DUMMYFUNCTION("""COMPUTED_VALUE"""),"+4915755443647")</f>
        <v/>
      </c>
      <c r="K1659" s="1">
        <f>IFERROR(__xludf.DUMMYFUNCTION("""COMPUTED_VALUE"""),"Vienna")</f>
        <v/>
      </c>
      <c r="L1659" s="1">
        <f>IFERROR(__xludf.DUMMYFUNCTION("""COMPUTED_VALUE"""),"Austria")</f>
        <v/>
      </c>
      <c r="M1659" s="1">
        <f>IFERROR(__xludf.DUMMYFUNCTION("""COMPUTED_VALUE"""),"Austria, Germany, Netherlands, Spain, Switzerland")</f>
        <v/>
      </c>
      <c r="N1659" s="1">
        <f>IFERROR(__xludf.DUMMYFUNCTION("""COMPUTED_VALUE"""),"Micro (1-9 FTE employees)")</f>
        <v/>
      </c>
      <c r="O1659" s="1">
        <f>IFERROR(__xludf.DUMMYFUNCTION("""COMPUTED_VALUE"""),"Business to Business")</f>
        <v/>
      </c>
      <c r="P1659" s="1">
        <f>IFERROR(__xludf.DUMMYFUNCTION("""COMPUTED_VALUE"""),"Corporate Training")</f>
        <v/>
      </c>
      <c r="Q1659" s="1">
        <f>IFERROR(__xludf.DUMMYFUNCTION("""COMPUTED_VALUE"""),"System/Administrative")</f>
        <v/>
      </c>
      <c r="R1659" s="1" t="n"/>
      <c r="S1659" s="1" t="n"/>
      <c r="T1659" s="15">
        <f>IFERROR(__xludf.DUMMYFUNCTION("""COMPUTED_VALUE"""),"https://www.linkedin.com/company/enablrai/")</f>
        <v/>
      </c>
      <c r="U1659" s="1">
        <f>IFERROR(__xludf.DUMMYFUNCTION("""COMPUTED_VALUE"""),"enablr AI")</f>
        <v/>
      </c>
      <c r="V1659" s="1">
        <f>IFERROR(__xludf.DUMMYFUNCTION("""COMPUTED_VALUE"""),"Use Case Based AI Learning personalized to role and industry")</f>
        <v/>
      </c>
      <c r="W1659" s="1">
        <f>IFERROR(__xludf.DUMMYFUNCTION("""COMPUTED_VALUE"""),"Prompt Enhancement ChatGPT Integration")</f>
        <v/>
      </c>
      <c r="X1659" s="1">
        <f>IFERROR(__xludf.DUMMYFUNCTION("""COMPUTED_VALUE"""),"Chrome Integration to improve your prompts in ChatGPT while giving you learning nudges and minimize sensitive data leaks.")</f>
        <v/>
      </c>
      <c r="Y1659" s="15">
        <f>IFERROR(__xludf.DUMMYFUNCTION("""COMPUTED_VALUE"""),"https://drive.google.com/uc?export=view&amp;id=1st1LLgi8wCygQbFdxIhSKrewOTohE2V5")</f>
        <v/>
      </c>
      <c r="Z1659" s="1">
        <f>IFERROR(__xludf.DUMMYFUNCTION("""COMPUTED_VALUE"""),"Verified")</f>
        <v/>
      </c>
      <c r="AA1659" s="1">
        <f>IFERROR(__xludf.DUMMYFUNCTION("""COMPUTED_VALUE"""),"Public-private partnerships, Collaborations between EdTech organisations")</f>
        <v/>
      </c>
      <c r="AB1659" s="1">
        <f>IFERROR(__xludf.DUMMYFUNCTION("""COMPUTED_VALUE"""),"For-profit company")</f>
        <v/>
      </c>
      <c r="AC1659" s="1">
        <f>IFERROR(__xludf.DUMMYFUNCTION("""COMPUTED_VALUE"""),FALSE)</f>
        <v/>
      </c>
      <c r="AD1659" s="1">
        <f>IFERROR(__xludf.DUMMYFUNCTION("""COMPUTED_VALUE"""),TRUE)</f>
        <v/>
      </c>
      <c r="AE1659" s="1" t="n"/>
    </row>
    <row r="1660" ht="42" customHeight="1">
      <c r="A1660" s="14">
        <f>IFERROR(__xludf.DUMMYFUNCTION("""COMPUTED_VALUE"""),45914)</f>
        <v/>
      </c>
      <c r="B1660" s="1">
        <f>IFERROR(__xludf.DUMMYFUNCTION("""COMPUTED_VALUE"""),"ORG_2696")</f>
        <v/>
      </c>
      <c r="C1660" s="1">
        <f>IFERROR(__xludf.DUMMYFUNCTION("""COMPUTED_VALUE"""),TRUE)</f>
        <v/>
      </c>
      <c r="D1660" s="1">
        <f>IFERROR(__xludf.DUMMYFUNCTION("""COMPUTED_VALUE"""),"Lalilo")</f>
        <v/>
      </c>
      <c r="E1660" s="15">
        <f>IFERROR(__xludf.DUMMYFUNCTION("""COMPUTED_VALUE"""),"www.lalilo.com")</f>
        <v/>
      </c>
      <c r="F1660" s="1">
        <f>IFERROR(__xludf.DUMMYFUNCTION("""COMPUTED_VALUE"""),"K5 Literacy practice")</f>
        <v/>
      </c>
      <c r="G1660" s="1">
        <f>IFERROR(__xludf.DUMMYFUNCTION("""COMPUTED_VALUE"""),"EdTech France")</f>
        <v/>
      </c>
      <c r="H1660" s="1">
        <f>IFERROR(__xludf.DUMMYFUNCTION("""COMPUTED_VALUE"""),"English, French")</f>
        <v/>
      </c>
      <c r="I1660" s="1">
        <f>IFERROR(__xludf.DUMMYFUNCTION("""COMPUTED_VALUE"""),"lalilosupport@renaissance.com")</f>
        <v/>
      </c>
      <c r="J1660" s="1">
        <f>IFERROR(__xludf.DUMMYFUNCTION("""COMPUTED_VALUE"""),"+33664640236")</f>
        <v/>
      </c>
      <c r="K1660" s="1">
        <f>IFERROR(__xludf.DUMMYFUNCTION("""COMPUTED_VALUE"""),"Paris")</f>
        <v/>
      </c>
      <c r="L1660" s="1">
        <f>IFERROR(__xludf.DUMMYFUNCTION("""COMPUTED_VALUE"""),"France ")</f>
        <v/>
      </c>
      <c r="M1660" s="1">
        <f>IFERROR(__xludf.DUMMYFUNCTION("""COMPUTED_VALUE"""),"Albania, Andorra, Belarus, Austria, Belgium, Bosnia and Herzegovina, Bulgaria, Croatia, Republic of Cyprus, Czechia, Denmark, Estonia, Finland, France, Germany, Greece, Hungary, Iceland, Ireland, Italy, Kosovo, Latvia, Liechtenstein, Lithuania, Luxembourg"&amp;", Malta, Moldova, Monaco, Montenegro, Netherlands, North Macedonia, Norway, Poland, Portugal, Romania, San Marino, Slovakia, Slovenia, Spain, Sweden, Switzerland, Turkey, Ukraine, United Kingdom")</f>
        <v/>
      </c>
      <c r="N1660" s="1">
        <f>IFERROR(__xludf.DUMMYFUNCTION("""COMPUTED_VALUE"""),"Small (10-49 FTE employees)")</f>
        <v/>
      </c>
      <c r="O1660" s="1">
        <f>IFERROR(__xludf.DUMMYFUNCTION("""COMPUTED_VALUE"""),"Business to Government, Business to Schools")</f>
        <v/>
      </c>
      <c r="P1660" s="1">
        <f>IFERROR(__xludf.DUMMYFUNCTION("""COMPUTED_VALUE"""),"Special education, Primary Education")</f>
        <v/>
      </c>
      <c r="Q1660" s="1">
        <f>IFERROR(__xludf.DUMMYFUNCTION("""COMPUTED_VALUE"""),"Student interfacing, Teacher interfacing")</f>
        <v/>
      </c>
      <c r="R1660" s="1" t="n"/>
      <c r="S1660" s="1" t="n"/>
      <c r="T1660" s="1" t="n"/>
      <c r="U1660" s="1">
        <f>IFERROR(__xludf.DUMMYFUNCTION("""COMPUTED_VALUE"""),"Lalilo")</f>
        <v/>
      </c>
      <c r="V1660" s="1">
        <f>IFERROR(__xludf.DUMMYFUNCTION("""COMPUTED_VALUE"""),"Research-based phonics and comprehension program
For in-school and distance learning")</f>
        <v/>
      </c>
      <c r="W1660" s="1" t="n"/>
      <c r="X1660" s="1" t="n"/>
      <c r="Y1660" s="15">
        <f>IFERROR(__xludf.DUMMYFUNCTION("""COMPUTED_VALUE"""),"https://drive.google.com/uc?export=view&amp;id=1FO6cnJ2yNeLsw9OY0ouPnXQq2S4Q9EU7")</f>
        <v/>
      </c>
      <c r="Z1660" s="1">
        <f>IFERROR(__xludf.DUMMYFUNCTION("""COMPUTED_VALUE"""),"Verified")</f>
        <v/>
      </c>
      <c r="AA1660" s="1" t="n"/>
      <c r="AB1660" s="1">
        <f>IFERROR(__xludf.DUMMYFUNCTION("""COMPUTED_VALUE"""),"For-profit company")</f>
        <v/>
      </c>
      <c r="AC1660" s="1">
        <f>IFERROR(__xludf.DUMMYFUNCTION("""COMPUTED_VALUE"""),TRUE)</f>
        <v/>
      </c>
      <c r="AD1660" s="1">
        <f>IFERROR(__xludf.DUMMYFUNCTION("""COMPUTED_VALUE"""),TRUE)</f>
        <v/>
      </c>
      <c r="AE1660" s="1" t="n"/>
    </row>
    <row r="1661" ht="42" customHeight="1">
      <c r="A1661" s="14">
        <f>IFERROR(__xludf.DUMMYFUNCTION("""COMPUTED_VALUE"""),45914)</f>
        <v/>
      </c>
      <c r="B1661" s="1">
        <f>IFERROR(__xludf.DUMMYFUNCTION("""COMPUTED_VALUE"""),"ORG_2697")</f>
        <v/>
      </c>
      <c r="C1661" s="1">
        <f>IFERROR(__xludf.DUMMYFUNCTION("""COMPUTED_VALUE"""),TRUE)</f>
        <v/>
      </c>
      <c r="D1661" s="1">
        <f>IFERROR(__xludf.DUMMYFUNCTION("""COMPUTED_VALUE"""),"FormuLearn B.V.")</f>
        <v/>
      </c>
      <c r="E1661" s="15">
        <f>IFERROR(__xludf.DUMMYFUNCTION("""COMPUTED_VALUE"""),"https://formulearn.org/")</f>
        <v/>
      </c>
      <c r="F1661" s="1">
        <f>IFERROR(__xludf.DUMMYFUNCTION("""COMPUTED_VALUE"""),"FormuLearn develops educational software that empowers STEM students and pupils to learn and understand (applied) math by allowing them to quickly and efficiently fill in the gaps in their understanding.")</f>
        <v/>
      </c>
      <c r="G1661" s="1">
        <f>IFERROR(__xludf.DUMMYFUNCTION("""COMPUTED_VALUE"""),"Dutch EdTech")</f>
        <v/>
      </c>
      <c r="H1661" s="1">
        <f>IFERROR(__xludf.DUMMYFUNCTION("""COMPUTED_VALUE"""),"English, Dutch")</f>
        <v/>
      </c>
      <c r="I1661" s="1">
        <f>IFERROR(__xludf.DUMMYFUNCTION("""COMPUTED_VALUE"""),"nicholas.roy@formulearn.org")</f>
        <v/>
      </c>
      <c r="J1661" s="1">
        <f>IFERROR(__xludf.DUMMYFUNCTION("""COMPUTED_VALUE"""),"+31622140535")</f>
        <v/>
      </c>
      <c r="K1661" s="1">
        <f>IFERROR(__xludf.DUMMYFUNCTION("""COMPUTED_VALUE"""),"Groningen")</f>
        <v/>
      </c>
      <c r="L1661" s="1">
        <f>IFERROR(__xludf.DUMMYFUNCTION("""COMPUTED_VALUE"""),"Netherlands")</f>
        <v/>
      </c>
      <c r="M1661" s="1">
        <f>IFERROR(__xludf.DUMMYFUNCTION("""COMPUTED_VALUE"""),"Netherlands")</f>
        <v/>
      </c>
      <c r="N1661" s="1">
        <f>IFERROR(__xludf.DUMMYFUNCTION("""COMPUTED_VALUE"""),"Micro (1-9 FTE employees)")</f>
        <v/>
      </c>
      <c r="O1661" s="1">
        <f>IFERROR(__xludf.DUMMYFUNCTION("""COMPUTED_VALUE"""),"Business to Business, Business to Schools, Business to Consumer")</f>
        <v/>
      </c>
      <c r="P1661" s="1">
        <f>IFERROR(__xludf.DUMMYFUNCTION("""COMPUTED_VALUE"""),"Higher Education, Secondary Education, Primary Education")</f>
        <v/>
      </c>
      <c r="Q1661" s="1">
        <f>IFERROR(__xludf.DUMMYFUNCTION("""COMPUTED_VALUE"""),"Student interfacing, Teacher interfacing, Other")</f>
        <v/>
      </c>
      <c r="R1661" s="1" t="n"/>
      <c r="S1661" s="1" t="n"/>
      <c r="T1661" s="15">
        <f>IFERROR(__xludf.DUMMYFUNCTION("""COMPUTED_VALUE"""),"https://www.linkedin.com/company/formulearn")</f>
        <v/>
      </c>
      <c r="U1661" s="1">
        <f>IFERROR(__xludf.DUMMYFUNCTION("""COMPUTED_VALUE"""),"O.R.A.N.G.E.")</f>
        <v/>
      </c>
      <c r="V1661" s="1">
        <f>IFERROR(__xludf.DUMMYFUNCTION("""COMPUTED_VALUE"""),"FormuLearn's O.R.A.N.G.E. presents educational content in a new and hyperinteractive way. By modelling the concepts, symbols and formula's from specific subjects in a graph-like structure it allows to quickly navigate between related concepts, especially "&amp;"useful for prerequisite knowledge. ")</f>
        <v/>
      </c>
      <c r="W1661" s="1">
        <f>IFERROR(__xludf.DUMMYFUNCTION("""COMPUTED_VALUE"""),"M.A.N.G.O.")</f>
        <v/>
      </c>
      <c r="X1661" s="1">
        <f>IFERROR(__xludf.DUMMYFUNCTION("""COMPUTED_VALUE"""),"FormuLearn's M.A.N.G.O. is an automated system that transforms existing educational content (books/lecture notes/slides) into the graph-like structure defined by O.R.A.N.G.E. Powered by AI but with an 'always a human in the loop' approach.")</f>
        <v/>
      </c>
      <c r="Y1661" s="15">
        <f>IFERROR(__xludf.DUMMYFUNCTION("""COMPUTED_VALUE"""),"https://drive.google.com/uc?export=view&amp;id=1iJIIceIO_n57DrpRgRR96i4yhbWcfj4a")</f>
        <v/>
      </c>
      <c r="Z1661" s="1">
        <f>IFERROR(__xludf.DUMMYFUNCTION("""COMPUTED_VALUE"""),"Verified")</f>
        <v/>
      </c>
      <c r="AA1661" s="1">
        <f>IFERROR(__xludf.DUMMYFUNCTION("""COMPUTED_VALUE"""),"Collaborations between EdTech organisations, Project consortium building, Public-private partnerships, Industry-academia partnerships, Other")</f>
        <v/>
      </c>
      <c r="AB1661" s="1">
        <f>IFERROR(__xludf.DUMMYFUNCTION("""COMPUTED_VALUE"""),"For-profit company")</f>
        <v/>
      </c>
      <c r="AC1661" s="1">
        <f>IFERROR(__xludf.DUMMYFUNCTION("""COMPUTED_VALUE"""),TRUE)</f>
        <v/>
      </c>
      <c r="AD1661" s="1">
        <f>IFERROR(__xludf.DUMMYFUNCTION("""COMPUTED_VALUE"""),TRUE)</f>
        <v/>
      </c>
      <c r="AE1661" s="1" t="n"/>
    </row>
    <row r="1662" ht="42" customHeight="1">
      <c r="A1662" s="14">
        <f>IFERROR(__xludf.DUMMYFUNCTION("""COMPUTED_VALUE"""),45915)</f>
        <v/>
      </c>
      <c r="B1662" s="1">
        <f>IFERROR(__xludf.DUMMYFUNCTION("""COMPUTED_VALUE"""),"ORG_2698")</f>
        <v/>
      </c>
      <c r="C1662" s="1">
        <f>IFERROR(__xludf.DUMMYFUNCTION("""COMPUTED_VALUE"""),TRUE)</f>
        <v/>
      </c>
      <c r="D1662" s="1">
        <f>IFERROR(__xludf.DUMMYFUNCTION("""COMPUTED_VALUE"""),"Lessons Learnt")</f>
        <v/>
      </c>
      <c r="E1662" s="15">
        <f>IFERROR(__xludf.DUMMYFUNCTION("""COMPUTED_VALUE"""),"www.lessonslearnt.eu")</f>
        <v/>
      </c>
      <c r="F1662" s="1">
        <f>IFERROR(__xludf.DUMMYFUNCTION("""COMPUTED_VALUE"""),"LessonsLearnt.eu is an innovative educational feedback platform designed to empower schools and educational facilities with actionable insights derived from real-life experiences and collaborative learning. This tool enables educators to systematically ca"&amp;"pture, share, and apply valuable lessons learned from teaching practices, projects, and initiatives, fostering a culture of continuous improvement and knowledge exchange. By integrating LessonsLearnt.eu into their operations, schools can enhance decision-"&amp;"making, optimize instructional methods, and address challenges proactively, making it an indispensable resource for driving educational excellence. Its user-friendly interface and collaborative nature make it a great asset for facilitating transparent com"&amp;"munication among teachers, administrators, and stakeholders, ultimately enriching the learning experience and supporting institutional growth and innovation. This platform transforms everyday classroom experiences into a dynamic repository of knowledge th"&amp;"at fuels smarter, evidence-based educational strategies.")</f>
        <v/>
      </c>
      <c r="G1662" s="1">
        <f>IFERROR(__xludf.DUMMYFUNCTION("""COMPUTED_VALUE"""),"I'm not part of any EdTech association")</f>
        <v/>
      </c>
      <c r="H1662" s="1">
        <f>IFERROR(__xludf.DUMMYFUNCTION("""COMPUTED_VALUE"""),"English, German, Portuguese, Czech, Finnish, Irish, Maltese, Slovak, Ukrainian, Catalan, Slovenian, Polish, Latvian, Greek, Danish, Bulgarian, Italian, French, Spanish, Dutch, Croatian, Estonian, Hungarian, Lithuanian, Romanian, Swedish, Basque")</f>
        <v/>
      </c>
      <c r="I1662" s="1">
        <f>IFERROR(__xludf.DUMMYFUNCTION("""COMPUTED_VALUE"""),"zulfi@lessonslearnt.eu")</f>
        <v/>
      </c>
      <c r="J1662" s="1">
        <f>IFERROR(__xludf.DUMMYFUNCTION("""COMPUTED_VALUE"""),"+37067437133")</f>
        <v/>
      </c>
      <c r="K1662" s="1">
        <f>IFERROR(__xludf.DUMMYFUNCTION("""COMPUTED_VALUE"""),"Kaunas")</f>
        <v/>
      </c>
      <c r="L1662" s="1">
        <f>IFERROR(__xludf.DUMMYFUNCTION("""COMPUTED_VALUE"""),"Kaunas")</f>
        <v/>
      </c>
      <c r="M1662" s="1">
        <f>IFERROR(__xludf.DUMMYFUNCTION("""COMPUTED_VALUE"""),"Albania, Bulgaria, Czechia, Finland, Greece, Hungary, France, Denmark, Croatia, Belgium, Andorra, Austria, Bosnia and Herzegovina, Republic of Cyprus, Estonia, Germany, Iceland, Kosovo, Lithuania, Italy, Liechtenstein, Ireland, Latvia, Luxembourg, Malta, "&amp;"Moldova, Netherlands, Montenegro, Monaco, North Macedonia, Norway, Poland, San Marino, Romania, Portugal, Slovakia, Slovenia, Spain, Turkey, Switzerland, Sweden, Ukraine, United Kingdom")</f>
        <v/>
      </c>
      <c r="N1662" s="1">
        <f>IFERROR(__xludf.DUMMYFUNCTION("""COMPUTED_VALUE"""),"Solo entrepreneur")</f>
        <v/>
      </c>
      <c r="O1662" s="1">
        <f>IFERROR(__xludf.DUMMYFUNCTION("""COMPUTED_VALUE"""),"Business to Business, Business to Consumer")</f>
        <v/>
      </c>
      <c r="P1662" s="1">
        <f>IFERROR(__xludf.DUMMYFUNCTION("""COMPUTED_VALUE"""),"Primary Education, Secondary Education, Vocational Education and Training (VET), Higher Education, Lifelong learning/Adult education, Special education")</f>
        <v/>
      </c>
      <c r="Q1662" s="1">
        <f>IFERROR(__xludf.DUMMYFUNCTION("""COMPUTED_VALUE"""),"Student interfacing, Teacher interfacing, System/Administrative")</f>
        <v/>
      </c>
      <c r="R1662" s="1" t="n"/>
      <c r="S1662" s="1" t="n"/>
      <c r="T1662" s="15">
        <f>IFERROR(__xludf.DUMMYFUNCTION("""COMPUTED_VALUE"""),"https://www.linkedin.com/company/lessonslearnt-eu/")</f>
        <v/>
      </c>
      <c r="U1662" s="1" t="n"/>
      <c r="V1662" s="1" t="n"/>
      <c r="W1662" s="1" t="n"/>
      <c r="X1662" s="1" t="n"/>
      <c r="Y1662" s="15">
        <f>IFERROR(__xludf.DUMMYFUNCTION("""COMPUTED_VALUE"""),"https://drive.google.com/uc?export=view&amp;id=1Ec-EBrHrC7Tiql8taqzYIbynL7uPKQkT")</f>
        <v/>
      </c>
      <c r="Z1662" s="1">
        <f>IFERROR(__xludf.DUMMYFUNCTION("""COMPUTED_VALUE"""),"Verified")</f>
        <v/>
      </c>
      <c r="AA1662" s="1">
        <f>IFERROR(__xludf.DUMMYFUNCTION("""COMPUTED_VALUE"""),"Collaborations between EdTech organisations, Public-private partnerships, Industry-academia partnerships")</f>
        <v/>
      </c>
      <c r="AB1662" s="1">
        <f>IFERROR(__xludf.DUMMYFUNCTION("""COMPUTED_VALUE"""),"For-profit company")</f>
        <v/>
      </c>
      <c r="AC1662" s="1">
        <f>IFERROR(__xludf.DUMMYFUNCTION("""COMPUTED_VALUE"""),TRUE)</f>
        <v/>
      </c>
      <c r="AD1662" s="1">
        <f>IFERROR(__xludf.DUMMYFUNCTION("""COMPUTED_VALUE"""),FALSE)</f>
        <v/>
      </c>
      <c r="AE1662" s="1" t="n"/>
    </row>
    <row r="1663" ht="42" customHeight="1">
      <c r="A1663" s="14">
        <f>IFERROR(__xludf.DUMMYFUNCTION("""COMPUTED_VALUE"""),45915)</f>
        <v/>
      </c>
      <c r="B1663" s="1">
        <f>IFERROR(__xludf.DUMMYFUNCTION("""COMPUTED_VALUE"""),"ORG_2280")</f>
        <v/>
      </c>
      <c r="C1663" s="1">
        <f>IFERROR(__xludf.DUMMYFUNCTION("""COMPUTED_VALUE"""),TRUE)</f>
        <v/>
      </c>
      <c r="D1663" s="1">
        <f>IFERROR(__xludf.DUMMYFUNCTION("""COMPUTED_VALUE"""),"Smarthink")</f>
        <v/>
      </c>
      <c r="E1663" s="15">
        <f>IFERROR(__xludf.DUMMYFUNCTION("""COMPUTED_VALUE"""),"www.edulai.com")</f>
        <v/>
      </c>
      <c r="F1663" s="1">
        <f>IFERROR(__xludf.DUMMYFUNCTION("""COMPUTED_VALUE"""),"Smarthink aims is to empower humans skills in the ear of AI")</f>
        <v/>
      </c>
      <c r="G1663" s="1">
        <f>IFERROR(__xludf.DUMMYFUNCTION("""COMPUTED_VALUE"""),"I'm not part of any EdTech association")</f>
        <v/>
      </c>
      <c r="H1663" s="1">
        <f>IFERROR(__xludf.DUMMYFUNCTION("""COMPUTED_VALUE"""),"English, Italian")</f>
        <v/>
      </c>
      <c r="I1663" s="1">
        <f>IFERROR(__xludf.DUMMYFUNCTION("""COMPUTED_VALUE"""),"lucilla.crosta@smarthink.eu")</f>
        <v/>
      </c>
      <c r="J1663" s="1">
        <f>IFERROR(__xludf.DUMMYFUNCTION("""COMPUTED_VALUE"""),"+393335958731")</f>
        <v/>
      </c>
      <c r="K1663" s="1">
        <f>IFERROR(__xludf.DUMMYFUNCTION("""COMPUTED_VALUE"""),"Busto Arsizio")</f>
        <v/>
      </c>
      <c r="L1663" s="1">
        <f>IFERROR(__xludf.DUMMYFUNCTION("""COMPUTED_VALUE"""),"Italy")</f>
        <v/>
      </c>
      <c r="M1663" s="1">
        <f>IFERROR(__xludf.DUMMYFUNCTION("""COMPUTED_VALUE"""),"Italy")</f>
        <v/>
      </c>
      <c r="N1663" s="1">
        <f>IFERROR(__xludf.DUMMYFUNCTION("""COMPUTED_VALUE"""),"Micro (1-9 FTE employees)")</f>
        <v/>
      </c>
      <c r="O1663" s="1">
        <f>IFERROR(__xludf.DUMMYFUNCTION("""COMPUTED_VALUE"""),"Business to Business")</f>
        <v/>
      </c>
      <c r="P1663" s="1">
        <f>IFERROR(__xludf.DUMMYFUNCTION("""COMPUTED_VALUE"""),"Corporate Training, Lifelong learning/Adult education, Higher Education")</f>
        <v/>
      </c>
      <c r="Q1663" s="1">
        <f>IFERROR(__xludf.DUMMYFUNCTION("""COMPUTED_VALUE"""),"Student interfacing")</f>
        <v/>
      </c>
      <c r="R1663" s="1" t="n"/>
      <c r="S1663" s="1" t="n"/>
      <c r="T1663" s="15">
        <f>IFERROR(__xludf.DUMMYFUNCTION("""COMPUTED_VALUE"""),"https://www.linkedin.com/company/edulai/?viewAsMember=true")</f>
        <v/>
      </c>
      <c r="U1663" s="1">
        <f>IFERROR(__xludf.DUMMYFUNCTION("""COMPUTED_VALUE"""),"Edulai Skills Checker")</f>
        <v/>
      </c>
      <c r="V1663" s="1">
        <f>IFERROR(__xludf.DUMMYFUNCTION("""COMPUTED_VALUE"""),"Automatic assessment of soft and soft digital skills")</f>
        <v/>
      </c>
      <c r="W1663" s="1">
        <f>IFERROR(__xludf.DUMMYFUNCTION("""COMPUTED_VALUE"""),"Edulai   Skills AI                                                                                                                                                                                                                                             "&amp;"                                                                                                                                                                                                                                                        ")</f>
        <v/>
      </c>
      <c r="X1663" s="1">
        <f>IFERROR(__xludf.DUMMYFUNCTION("""COMPUTED_VALUE"""),"Agent supporting the skills development")</f>
        <v/>
      </c>
      <c r="Y1663" s="15">
        <f>IFERROR(__xludf.DUMMYFUNCTION("""COMPUTED_VALUE"""),"https://drive.google.com/uc?export=view&amp;id=1lcsxF1OaNHii4HBLSErw-rW_SfY1441c")</f>
        <v/>
      </c>
      <c r="Z1663" s="1">
        <f>IFERROR(__xludf.DUMMYFUNCTION("""COMPUTED_VALUE"""),"Verified")</f>
        <v/>
      </c>
      <c r="AA1663" s="1">
        <f>IFERROR(__xludf.DUMMYFUNCTION("""COMPUTED_VALUE"""),"Public-private partnerships, Project consortium building")</f>
        <v/>
      </c>
      <c r="AB1663" s="1">
        <f>IFERROR(__xludf.DUMMYFUNCTION("""COMPUTED_VALUE"""),"For-profit company")</f>
        <v/>
      </c>
      <c r="AC1663" s="1">
        <f>IFERROR(__xludf.DUMMYFUNCTION("""COMPUTED_VALUE"""),TRUE)</f>
        <v/>
      </c>
      <c r="AD1663" s="1">
        <f>IFERROR(__xludf.DUMMYFUNCTION("""COMPUTED_VALUE"""),TRUE)</f>
        <v/>
      </c>
      <c r="AE1663" s="15">
        <f>IFERROR(__xludf.DUMMYFUNCTION("""COMPUTED_VALUE"""),"https://www.facebook.com/edulaismarthink")</f>
        <v/>
      </c>
    </row>
    <row r="1664" ht="42" customHeight="1">
      <c r="A1664" s="14">
        <f>IFERROR(__xludf.DUMMYFUNCTION("""COMPUTED_VALUE"""),45917)</f>
        <v/>
      </c>
      <c r="B1664" s="1">
        <f>IFERROR(__xludf.DUMMYFUNCTION("""COMPUTED_VALUE"""),"ORG_2699")</f>
        <v/>
      </c>
      <c r="C1664" s="1">
        <f>IFERROR(__xludf.DUMMYFUNCTION("""COMPUTED_VALUE"""),TRUE)</f>
        <v/>
      </c>
      <c r="D1664" s="1">
        <f>IFERROR(__xludf.DUMMYFUNCTION("""COMPUTED_VALUE"""),"Scolnet")</f>
        <v/>
      </c>
      <c r="E1664" s="15">
        <f>IFERROR(__xludf.DUMMYFUNCTION("""COMPUTED_VALUE"""),"https://www.scolnet.com")</f>
        <v/>
      </c>
      <c r="F1664" s="1">
        <f>IFERROR(__xludf.DUMMYFUNCTION("""COMPUTED_VALUE"""),"Scolnet is a digital platform designed to help teachers manage their classrooms and communicate with families.")</f>
        <v/>
      </c>
      <c r="G1664" s="1">
        <f>IFERROR(__xludf.DUMMYFUNCTION("""COMPUTED_VALUE"""),"EdTech France")</f>
        <v/>
      </c>
      <c r="H1664" s="1">
        <f>IFERROR(__xludf.DUMMYFUNCTION("""COMPUTED_VALUE"""),"English, French")</f>
        <v/>
      </c>
      <c r="I1664" s="1">
        <f>IFERROR(__xludf.DUMMYFUNCTION("""COMPUTED_VALUE"""),"hello@scolnet.com")</f>
        <v/>
      </c>
      <c r="J1664" s="1">
        <f>IFERROR(__xludf.DUMMYFUNCTION("""COMPUTED_VALUE"""),"+33970937804")</f>
        <v/>
      </c>
      <c r="K1664" s="1">
        <f>IFERROR(__xludf.DUMMYFUNCTION("""COMPUTED_VALUE"""),"Paris")</f>
        <v/>
      </c>
      <c r="L1664" s="1">
        <f>IFERROR(__xludf.DUMMYFUNCTION("""COMPUTED_VALUE"""),"France")</f>
        <v/>
      </c>
      <c r="M1664" s="1">
        <f>IFERROR(__xludf.DUMMYFUNCTION("""COMPUTED_VALUE"""),"France, Belgium, Switzerland")</f>
        <v/>
      </c>
      <c r="N1664" s="1">
        <f>IFERROR(__xludf.DUMMYFUNCTION("""COMPUTED_VALUE"""),"Micro (1-9 FTE employees)")</f>
        <v/>
      </c>
      <c r="O1664" s="1">
        <f>IFERROR(__xludf.DUMMYFUNCTION("""COMPUTED_VALUE"""),"Business to Schools, Business to Consumer")</f>
        <v/>
      </c>
      <c r="P1664" s="1">
        <f>IFERROR(__xludf.DUMMYFUNCTION("""COMPUTED_VALUE"""),"Primary Education, Early childhood development (0-5 years)")</f>
        <v/>
      </c>
      <c r="Q1664" s="1">
        <f>IFERROR(__xludf.DUMMYFUNCTION("""COMPUTED_VALUE"""),"Teacher interfacing, Student interfacing")</f>
        <v/>
      </c>
      <c r="R1664" s="15">
        <f>IFERROR(__xludf.DUMMYFUNCTION("""COMPUTED_VALUE"""),"https://www.instagram.com/scolnetapp/")</f>
        <v/>
      </c>
      <c r="S1664" s="15">
        <f>IFERROR(__xludf.DUMMYFUNCTION("""COMPUTED_VALUE"""),"https://x.com/scolnetapp")</f>
        <v/>
      </c>
      <c r="T1664" s="15">
        <f>IFERROR(__xludf.DUMMYFUNCTION("""COMPUTED_VALUE"""),"https://linkedin.com/company/scolnet")</f>
        <v/>
      </c>
      <c r="U1664" s="1">
        <f>IFERROR(__xludf.DUMMYFUNCTION("""COMPUTED_VALUE"""),"Teacher workspace")</f>
        <v/>
      </c>
      <c r="V1664" s="1">
        <f>IFERROR(__xludf.DUMMYFUNCTION("""COMPUTED_VALUE"""),"A complete workspace to save time when preparing lessons: lesson plans, schedules, preparation sheets, student tracking... all aligned with the official national curriculum.")</f>
        <v/>
      </c>
      <c r="W1664" s="1">
        <f>IFERROR(__xludf.DUMMYFUNCTION("""COMPUTED_VALUE"""),"Digital spaces for communication")</f>
        <v/>
      </c>
      <c r="X1664" s="1">
        <f>IFERROR(__xludf.DUMMYFUNCTION("""COMPUTED_VALUE"""),"Enables educational teams in schools, after-school programs, and early childhood settings to easily share news, messages, photos, videos, events, documents, or forms through collaborative digital spaces (ENTs).")</f>
        <v/>
      </c>
      <c r="Y1664" s="15">
        <f>IFERROR(__xludf.DUMMYFUNCTION("""COMPUTED_VALUE"""),"https://drive.google.com/uc?export=view&amp;id=1svyXQGScFnYMsdC-dV_T-NlvJmZ-AX5l")</f>
        <v/>
      </c>
      <c r="Z1664" s="1">
        <f>IFERROR(__xludf.DUMMYFUNCTION("""COMPUTED_VALUE"""),"Verified")</f>
        <v/>
      </c>
      <c r="AA1664" s="1">
        <f>IFERROR(__xludf.DUMMYFUNCTION("""COMPUTED_VALUE"""),"Collaborations between EdTech organisations, Project consortium building, Public-private partnerships, Industry-academia partnerships")</f>
        <v/>
      </c>
      <c r="AB1664" s="1">
        <f>IFERROR(__xludf.DUMMYFUNCTION("""COMPUTED_VALUE"""),"For-profit company")</f>
        <v/>
      </c>
      <c r="AC1664" s="1">
        <f>IFERROR(__xludf.DUMMYFUNCTION("""COMPUTED_VALUE"""),TRUE)</f>
        <v/>
      </c>
      <c r="AD1664" s="1">
        <f>IFERROR(__xludf.DUMMYFUNCTION("""COMPUTED_VALUE"""),TRUE)</f>
        <v/>
      </c>
      <c r="AE1664" s="15">
        <f>IFERROR(__xludf.DUMMYFUNCTION("""COMPUTED_VALUE"""),"https://www.facebook.com/ScolnetApp")</f>
        <v/>
      </c>
    </row>
    <row r="1665" ht="42" customHeight="1">
      <c r="A1665" s="14">
        <f>IFERROR(__xludf.DUMMYFUNCTION("""COMPUTED_VALUE"""),45918)</f>
        <v/>
      </c>
      <c r="B1665" s="1">
        <f>IFERROR(__xludf.DUMMYFUNCTION("""COMPUTED_VALUE"""),"ORG_2700")</f>
        <v/>
      </c>
      <c r="C1665" s="1">
        <f>IFERROR(__xludf.DUMMYFUNCTION("""COMPUTED_VALUE"""),TRUE)</f>
        <v/>
      </c>
      <c r="D1665" s="1">
        <f>IFERROR(__xludf.DUMMYFUNCTION("""COMPUTED_VALUE"""),"SKILLENS")</f>
        <v/>
      </c>
      <c r="E1665" s="15">
        <f>IFERROR(__xludf.DUMMYFUNCTION("""COMPUTED_VALUE"""),"https://skillbeam.fr/")</f>
        <v/>
      </c>
      <c r="F1665" s="1">
        <f>IFERROR(__xludf.DUMMYFUNCTION("""COMPUTED_VALUE"""),"SkillBeam AI-edu is an artificial intelligence ecosystem designed for education and AI-augmented learning. Its ambition is to provide a comprehensive and pragmatic response to the transformations of schools and learning methods. As a digital mentor for st"&amp;"udents and learners, an ally for teachers and trainers, and a partner for administrations and leadership teams, SkillBeam integrates at the very heart of institutions.  Deployed per instance, in the cloud, on-premise, or in hybrid mode. This French soluti"&amp;"on combines pedagogical innovation, ease of use, and data security. Selected under the 2025 AMI program of DINUM, it fully complies with the AI usage framework set by the French Ministry of National Education and aligns with the orientations of the Europe"&amp;"an trust framework. With a strong conviction, humans remain at the center, AI supports.")</f>
        <v/>
      </c>
      <c r="G1665" s="1">
        <f>IFERROR(__xludf.DUMMYFUNCTION("""COMPUTED_VALUE"""),"EdTech France")</f>
        <v/>
      </c>
      <c r="H1665" s="1">
        <f>IFERROR(__xludf.DUMMYFUNCTION("""COMPUTED_VALUE"""),"English, French")</f>
        <v/>
      </c>
      <c r="I1665" s="1">
        <f>IFERROR(__xludf.DUMMYFUNCTION("""COMPUTED_VALUE"""),"Contact@skillens.fr")</f>
        <v/>
      </c>
      <c r="J1665" s="1">
        <f>IFERROR(__xludf.DUMMYFUNCTION("""COMPUTED_VALUE"""),"+33666579358")</f>
        <v/>
      </c>
      <c r="K1665" s="1">
        <f>IFERROR(__xludf.DUMMYFUNCTION("""COMPUTED_VALUE"""),"Paris ")</f>
        <v/>
      </c>
      <c r="L1665" s="1">
        <f>IFERROR(__xludf.DUMMYFUNCTION("""COMPUTED_VALUE"""),"FRANCE")</f>
        <v/>
      </c>
      <c r="M1665" s="1">
        <f>IFERROR(__xludf.DUMMYFUNCTION("""COMPUTED_VALUE"""),"France, Belgium, Luxembourg, Monaco, Switzerland")</f>
        <v/>
      </c>
      <c r="N1665" s="1">
        <f>IFERROR(__xludf.DUMMYFUNCTION("""COMPUTED_VALUE"""),"Small (10-49 FTE employees)")</f>
        <v/>
      </c>
      <c r="O1665" s="1">
        <f>IFERROR(__xludf.DUMMYFUNCTION("""COMPUTED_VALUE"""),"Business to Business")</f>
        <v/>
      </c>
      <c r="P1665" s="1">
        <f>IFERROR(__xludf.DUMMYFUNCTION("""COMPUTED_VALUE"""),"Secondary Education, Special education, Vocational Education and Training (VET), Lifelong learning/Adult education, Higher Education")</f>
        <v/>
      </c>
      <c r="Q1665" s="1">
        <f>IFERROR(__xludf.DUMMYFUNCTION("""COMPUTED_VALUE"""),"Student interfacing, Teacher interfacing, System/Administrative")</f>
        <v/>
      </c>
      <c r="R1665" s="1" t="n"/>
      <c r="S1665" s="1" t="n"/>
      <c r="T1665" s="15">
        <f>IFERROR(__xludf.DUMMYFUNCTION("""COMPUTED_VALUE"""),"https://www.linkedin.com/company/skilbeam/ ")</f>
        <v/>
      </c>
      <c r="U1665" s="1">
        <f>IFERROR(__xludf.DUMMYFUNCTION("""COMPUTED_VALUE"""),"SkillBeam")</f>
        <v/>
      </c>
      <c r="V1665" s="1">
        <f>IFERROR(__xludf.DUMMYFUNCTION("""COMPUTED_VALUE"""),"SkillBeam AI-edu is an artificial intelligence ecosystem designed for education and AI-augmented learning.")</f>
        <v/>
      </c>
      <c r="W1665" s="1" t="n"/>
      <c r="X1665" s="1" t="n"/>
      <c r="Y1665" s="15">
        <f>IFERROR(__xludf.DUMMYFUNCTION("""COMPUTED_VALUE"""),"https://drive.google.com/uc?export=view&amp;id=18SmANAyEvXEcsVuY7azfW0WXzGT5MwBY")</f>
        <v/>
      </c>
      <c r="Z1665" s="1">
        <f>IFERROR(__xludf.DUMMYFUNCTION("""COMPUTED_VALUE"""),"Verified")</f>
        <v/>
      </c>
      <c r="AA1665" s="1">
        <f>IFERROR(__xludf.DUMMYFUNCTION("""COMPUTED_VALUE"""),"Public-private partnerships, Industry-academia partnerships")</f>
        <v/>
      </c>
      <c r="AB1665" s="1">
        <f>IFERROR(__xludf.DUMMYFUNCTION("""COMPUTED_VALUE"""),"For-profit company")</f>
        <v/>
      </c>
      <c r="AC1665" s="1">
        <f>IFERROR(__xludf.DUMMYFUNCTION("""COMPUTED_VALUE"""),TRUE)</f>
        <v/>
      </c>
      <c r="AD1665" s="1">
        <f>IFERROR(__xludf.DUMMYFUNCTION("""COMPUTED_VALUE"""),TRUE)</f>
        <v/>
      </c>
      <c r="AE1665" s="1" t="n"/>
    </row>
    <row r="1666" ht="42" customHeight="1">
      <c r="A1666" s="14">
        <f>IFERROR(__xludf.DUMMYFUNCTION("""COMPUTED_VALUE"""),45918)</f>
        <v/>
      </c>
      <c r="B1666" s="1">
        <f>IFERROR(__xludf.DUMMYFUNCTION("""COMPUTED_VALUE"""),"ORG_2601")</f>
        <v/>
      </c>
      <c r="C1666" s="1">
        <f>IFERROR(__xludf.DUMMYFUNCTION("""COMPUTED_VALUE"""),TRUE)</f>
        <v/>
      </c>
      <c r="D1666" s="1">
        <f>IFERROR(__xludf.DUMMYFUNCTION("""COMPUTED_VALUE"""),"STEAM Minds ")</f>
        <v/>
      </c>
      <c r="E1666" s="15">
        <f>IFERROR(__xludf.DUMMYFUNCTION("""COMPUTED_VALUE"""),"www.steamminds.org")</f>
        <v/>
      </c>
      <c r="F1666" s="1">
        <f>IFERROR(__xludf.DUMMYFUNCTION("""COMPUTED_VALUE"""),"We are developing a 3D simulation based learning platform with VR integration, aimed at delivering immersive and interactive stem education experiences. ")</f>
        <v/>
      </c>
      <c r="G1666" s="1">
        <f>IFERROR(__xludf.DUMMYFUNCTION("""COMPUTED_VALUE"""),"I'm not part of any EdTech association")</f>
        <v/>
      </c>
      <c r="H1666" s="1">
        <f>IFERROR(__xludf.DUMMYFUNCTION("""COMPUTED_VALUE"""),"English")</f>
        <v/>
      </c>
      <c r="I1666" s="1">
        <f>IFERROR(__xludf.DUMMYFUNCTION("""COMPUTED_VALUE"""),"meer82pk@gmail.com")</f>
        <v/>
      </c>
      <c r="J1666" s="1">
        <f>IFERROR(__xludf.DUMMYFUNCTION("""COMPUTED_VALUE"""),"+37253770765")</f>
        <v/>
      </c>
      <c r="K1666" s="1">
        <f>IFERROR(__xludf.DUMMYFUNCTION("""COMPUTED_VALUE"""),"Tallinn ")</f>
        <v/>
      </c>
      <c r="L1666" s="1">
        <f>IFERROR(__xludf.DUMMYFUNCTION("""COMPUTED_VALUE"""),"Estonia ")</f>
        <v/>
      </c>
      <c r="M1666" s="1">
        <f>IFERROR(__xludf.DUMMYFUNCTION("""COMPUTED_VALUE"""),"Estonia")</f>
        <v/>
      </c>
      <c r="N1666" s="1">
        <f>IFERROR(__xludf.DUMMYFUNCTION("""COMPUTED_VALUE"""),"Small (10-49 FTE employees)")</f>
        <v/>
      </c>
      <c r="O1666" s="1">
        <f>IFERROR(__xludf.DUMMYFUNCTION("""COMPUTED_VALUE"""),"Business to Consumer, Business to Government")</f>
        <v/>
      </c>
      <c r="P1666" s="1">
        <f>IFERROR(__xludf.DUMMYFUNCTION("""COMPUTED_VALUE"""),"Secondary Education")</f>
        <v/>
      </c>
      <c r="Q1666" s="1">
        <f>IFERROR(__xludf.DUMMYFUNCTION("""COMPUTED_VALUE"""),"Student interfacing")</f>
        <v/>
      </c>
      <c r="R1666" s="1" t="n"/>
      <c r="S1666" s="1" t="n"/>
      <c r="T1666" s="1" t="n"/>
      <c r="U1666" s="1">
        <f>IFERROR(__xludf.DUMMYFUNCTION("""COMPUTED_VALUE"""),"LMS")</f>
        <v/>
      </c>
      <c r="V1666" s="1">
        <f>IFERROR(__xludf.DUMMYFUNCTION("""COMPUTED_VALUE"""),"The core R&amp;D efforts of the STEAM Minds platform focus on building a comprehensive, AI-powered 3D Learning Management System (LMS) integrated with VR-enabled science labs for K–12 education. ")</f>
        <v/>
      </c>
      <c r="W1666" s="1">
        <f>IFERROR(__xludf.DUMMYFUNCTION("""COMPUTED_VALUE"""),"3D Labs")</f>
        <v/>
      </c>
      <c r="X1666" s="1">
        <f>IFERROR(__xludf.DUMMYFUNCTION("""COMPUTED_VALUE"""),"The STEAM Minds is building 3d labs for immersive experience for K-12 students. ")</f>
        <v/>
      </c>
      <c r="Y1666" s="15">
        <f>IFERROR(__xludf.DUMMYFUNCTION("""COMPUTED_VALUE"""),"https://drive.google.com/uc?export=view&amp;id=15T_daYE9ONj31IbgNxuiVd1RQAxdph7e")</f>
        <v/>
      </c>
      <c r="Z1666" s="1">
        <f>IFERROR(__xludf.DUMMYFUNCTION("""COMPUTED_VALUE"""),"Verified")</f>
        <v/>
      </c>
      <c r="AA1666" s="1">
        <f>IFERROR(__xludf.DUMMYFUNCTION("""COMPUTED_VALUE"""),"Collaborations between EdTech organisations, Public-private partnerships, Industry-academia partnerships, Project consortium building")</f>
        <v/>
      </c>
      <c r="AB1666" s="1">
        <f>IFERROR(__xludf.DUMMYFUNCTION("""COMPUTED_VALUE"""),"For-profit company")</f>
        <v/>
      </c>
      <c r="AC1666" s="1">
        <f>IFERROR(__xludf.DUMMYFUNCTION("""COMPUTED_VALUE"""),TRUE)</f>
        <v/>
      </c>
      <c r="AD1666" s="1">
        <f>IFERROR(__xludf.DUMMYFUNCTION("""COMPUTED_VALUE"""),TRUE)</f>
        <v/>
      </c>
      <c r="AE1666" s="1" t="n"/>
    </row>
    <row r="1667" ht="42" customHeight="1">
      <c r="A1667" s="14">
        <f>IFERROR(__xludf.DUMMYFUNCTION("""COMPUTED_VALUE"""),45918)</f>
        <v/>
      </c>
      <c r="B1667" s="1">
        <f>IFERROR(__xludf.DUMMYFUNCTION("""COMPUTED_VALUE"""),"ORG_2701")</f>
        <v/>
      </c>
      <c r="C1667" s="1">
        <f>IFERROR(__xludf.DUMMYFUNCTION("""COMPUTED_VALUE"""),TRUE)</f>
        <v/>
      </c>
      <c r="D1667" s="1">
        <f>IFERROR(__xludf.DUMMYFUNCTION("""COMPUTED_VALUE"""),"ELG E-Learning-Group GmbH")</f>
        <v/>
      </c>
      <c r="E1667" s="15">
        <f>IFERROR(__xludf.DUMMYFUNCTION("""COMPUTED_VALUE"""),"https://fernstudium.study/")</f>
        <v/>
      </c>
      <c r="F1667" s="1">
        <f>IFERROR(__xludf.DUMMYFUNCTION("""COMPUTED_VALUE"""),"ELG consists of multiple businesses focussed on specific areas in academia and professional education. With the German University and the Brand University our group includes a diversified network of private, state-recognised universities.  ELG provides a "&amp;"wide range of online learning courses, including short microlearning courses, Bachelor, Master and MBA study programs.")</f>
        <v/>
      </c>
      <c r="G1667" s="1">
        <f>IFERROR(__xludf.DUMMYFUNCTION("""COMPUTED_VALUE"""),"EdTech Austria")</f>
        <v/>
      </c>
      <c r="H1667" s="1">
        <f>IFERROR(__xludf.DUMMYFUNCTION("""COMPUTED_VALUE"""),"English, German")</f>
        <v/>
      </c>
      <c r="I1667" s="1">
        <f>IFERROR(__xludf.DUMMYFUNCTION("""COMPUTED_VALUE"""),"fink@e-learning-group.com")</f>
        <v/>
      </c>
      <c r="J1667" s="1">
        <f>IFERROR(__xludf.DUMMYFUNCTION("""COMPUTED_VALUE"""),"+436769609640")</f>
        <v/>
      </c>
      <c r="K1667" s="1">
        <f>IFERROR(__xludf.DUMMYFUNCTION("""COMPUTED_VALUE"""),"Vienna")</f>
        <v/>
      </c>
      <c r="L1667" s="1">
        <f>IFERROR(__xludf.DUMMYFUNCTION("""COMPUTED_VALUE"""),"Austria")</f>
        <v/>
      </c>
      <c r="M1667" s="1">
        <f>IFERROR(__xludf.DUMMYFUNCTION("""COMPUTED_VALUE"""),"Germany, Switzerland, Austria")</f>
        <v/>
      </c>
      <c r="N1667" s="1">
        <f>IFERROR(__xludf.DUMMYFUNCTION("""COMPUTED_VALUE"""),"Medium (50-250 FTE employees)")</f>
        <v/>
      </c>
      <c r="O1667" s="1">
        <f>IFERROR(__xludf.DUMMYFUNCTION("""COMPUTED_VALUE"""),"Business to Consumer, Business to Business")</f>
        <v/>
      </c>
      <c r="P1667" s="1">
        <f>IFERROR(__xludf.DUMMYFUNCTION("""COMPUTED_VALUE"""),"Higher Education, Lifelong learning/Adult education, Corporate Training")</f>
        <v/>
      </c>
      <c r="Q1667" s="1">
        <f>IFERROR(__xludf.DUMMYFUNCTION("""COMPUTED_VALUE"""),"Student interfacing, System/Administrative")</f>
        <v/>
      </c>
      <c r="R1667" s="15">
        <f>IFERROR(__xludf.DUMMYFUNCTION("""COMPUTED_VALUE"""),"https://www.instagram.com/e_learning_group/")</f>
        <v/>
      </c>
      <c r="S1667" s="1" t="n"/>
      <c r="T1667" s="15">
        <f>IFERROR(__xludf.DUMMYFUNCTION("""COMPUTED_VALUE"""),"https://www.linkedin.com/school/elc-e-learning-consulting-gmbh/")</f>
        <v/>
      </c>
      <c r="U1667" s="1">
        <f>IFERROR(__xludf.DUMMYFUNCTION("""COMPUTED_VALUE"""),"MBA")</f>
        <v/>
      </c>
      <c r="V1667" s="1">
        <f>IFERROR(__xludf.DUMMYFUNCTION("""COMPUTED_VALUE"""),"We offer a variety of online MBA programs. All MBA programs can be studied fully remote. Economies of scale and scope allow us to keep tuition fees well below 10,000 euros.")</f>
        <v/>
      </c>
      <c r="W1667" s="1">
        <f>IFERROR(__xludf.DUMMYFUNCTION("""COMPUTED_VALUE"""),"Business Professional certificates")</f>
        <v/>
      </c>
      <c r="X1667" s="1">
        <f>IFERROR(__xludf.DUMMYFUNCTION("""COMPUTED_VALUE"""),"We offer a variety of short business certificates for working professionals. Topics include AI, project management, leadership and human resource management.")</f>
        <v/>
      </c>
      <c r="Y1667" s="15">
        <f>IFERROR(__xludf.DUMMYFUNCTION("""COMPUTED_VALUE"""),"https://drive.google.com/uc?export=view&amp;id=11TQRxIXZm-w1pj9UFkXenR12AIX_HPZH")</f>
        <v/>
      </c>
      <c r="Z1667" s="1">
        <f>IFERROR(__xludf.DUMMYFUNCTION("""COMPUTED_VALUE"""),"Verified")</f>
        <v/>
      </c>
      <c r="AA1667" s="1">
        <f>IFERROR(__xludf.DUMMYFUNCTION("""COMPUTED_VALUE"""),"Collaborations between EdTech organisations, Public-private partnerships, Industry-academia partnerships, Project consortium building")</f>
        <v/>
      </c>
      <c r="AB1667" s="1">
        <f>IFERROR(__xludf.DUMMYFUNCTION("""COMPUTED_VALUE"""),"For-profit company")</f>
        <v/>
      </c>
      <c r="AC1667" s="1">
        <f>IFERROR(__xludf.DUMMYFUNCTION("""COMPUTED_VALUE"""),TRUE)</f>
        <v/>
      </c>
      <c r="AD1667" s="1">
        <f>IFERROR(__xludf.DUMMYFUNCTION("""COMPUTED_VALUE"""),TRUE)</f>
        <v/>
      </c>
      <c r="AE1667" s="1" t="n"/>
    </row>
    <row r="1668" ht="42" customHeight="1">
      <c r="A1668" s="14">
        <f>IFERROR(__xludf.DUMMYFUNCTION("""COMPUTED_VALUE"""),45922)</f>
        <v/>
      </c>
      <c r="B1668" s="1">
        <f>IFERROR(__xludf.DUMMYFUNCTION("""COMPUTED_VALUE"""),"ORG_2702")</f>
        <v/>
      </c>
      <c r="C1668" s="1">
        <f>IFERROR(__xludf.DUMMYFUNCTION("""COMPUTED_VALUE"""),TRUE)</f>
        <v/>
      </c>
      <c r="D1668" s="1">
        <f>IFERROR(__xludf.DUMMYFUNCTION("""COMPUTED_VALUE"""),"Social Shuffle")</f>
        <v/>
      </c>
      <c r="E1668" s="15">
        <f>IFERROR(__xludf.DUMMYFUNCTION("""COMPUTED_VALUE"""),"socialshuffle.com")</f>
        <v/>
      </c>
      <c r="F1668" s="1">
        <f>IFERROR(__xludf.DUMMYFUNCTION("""COMPUTED_VALUE"""),"Creating safe and inclusive classrooms through data-driven social dynamics. Social Shuffle develops Stoeltjesdans, a scientifically-validated web platform that helps teachers monitor and improve classroom social safety. The tool enables students to confid"&amp;"entially share how they feel in class through a 5-10 minute survey, while teachers receive comprehensive reports on social dynamics, bullying risks, and optimal seating arrangements. Used by 25% of schools in the Netherlands and Flanders, the platform red"&amp;"uces teacher workload by 8x and improves accuracy in identifying social issues by 33%. As a certified social enterprise and Radboud University spin-off, Social Shuffle serves 150,000+ students annually while meeting official education inspection requireme"&amp;"nts for social safety monitoring.")</f>
        <v/>
      </c>
      <c r="G1668" s="1">
        <f>IFERROR(__xludf.DUMMYFUNCTION("""COMPUTED_VALUE"""),"I'm not part of any EdTech association")</f>
        <v/>
      </c>
      <c r="H1668" s="1">
        <f>IFERROR(__xludf.DUMMYFUNCTION("""COMPUTED_VALUE"""),"Dutch")</f>
        <v/>
      </c>
      <c r="I1668" s="1">
        <f>IFERROR(__xludf.DUMMYFUNCTION("""COMPUTED_VALUE"""),"info@stoeltjesdans.nl")</f>
        <v/>
      </c>
      <c r="J1668" s="1">
        <f>IFERROR(__xludf.DUMMYFUNCTION("""COMPUTED_VALUE"""),"+31645053556")</f>
        <v/>
      </c>
      <c r="K1668" s="1">
        <f>IFERROR(__xludf.DUMMYFUNCTION("""COMPUTED_VALUE"""),"Nijmegen")</f>
        <v/>
      </c>
      <c r="L1668" s="1">
        <f>IFERROR(__xludf.DUMMYFUNCTION("""COMPUTED_VALUE"""),"Netherlands")</f>
        <v/>
      </c>
      <c r="M1668" s="1">
        <f>IFERROR(__xludf.DUMMYFUNCTION("""COMPUTED_VALUE"""),"Belgium, Netherlands")</f>
        <v/>
      </c>
      <c r="N1668" s="1">
        <f>IFERROR(__xludf.DUMMYFUNCTION("""COMPUTED_VALUE"""),"Micro (1-9 FTE employees)")</f>
        <v/>
      </c>
      <c r="O1668" s="1">
        <f>IFERROR(__xludf.DUMMYFUNCTION("""COMPUTED_VALUE"""),"Business to Schools, Business to Business")</f>
        <v/>
      </c>
      <c r="P1668" s="1">
        <f>IFERROR(__xludf.DUMMYFUNCTION("""COMPUTED_VALUE"""),"Primary Education, Secondary Education, Special education")</f>
        <v/>
      </c>
      <c r="Q1668" s="1">
        <f>IFERROR(__xludf.DUMMYFUNCTION("""COMPUTED_VALUE"""),"Teacher interfacing, System/Administrative")</f>
        <v/>
      </c>
      <c r="R1668" s="15">
        <f>IFERROR(__xludf.DUMMYFUNCTION("""COMPUTED_VALUE"""),"https://www.instagram.com/_socialshuffle/")</f>
        <v/>
      </c>
      <c r="S1668" s="1" t="n"/>
      <c r="T1668" s="15">
        <f>IFERROR(__xludf.DUMMYFUNCTION("""COMPUTED_VALUE"""),"https://www.linkedin.com/company/socialshuffle")</f>
        <v/>
      </c>
      <c r="U1668" s="1">
        <f>IFERROR(__xludf.DUMMYFUNCTION("""COMPUTED_VALUE"""),"Stoeltjesdans")</f>
        <v/>
      </c>
      <c r="V1668" s="1">
        <f>IFERROR(__xludf.DUMMYFUNCTION("""COMPUTED_VALUE"""),"Stoeltjesdans.nl - a scientifically-validated web platform that helps teachers monitor and improve classroom social safety")</f>
        <v/>
      </c>
      <c r="W1668" s="1">
        <f>IFERROR(__xludf.DUMMYFUNCTION("""COMPUTED_VALUE"""),"Training")</f>
        <v/>
      </c>
      <c r="X1668" s="1">
        <f>IFERROR(__xludf.DUMMYFUNCTION("""COMPUTED_VALUE"""),"In-dept training on the different ways to interpret and use the outcomes of Stoeltjesdans")</f>
        <v/>
      </c>
      <c r="Y1668" s="15">
        <f>IFERROR(__xludf.DUMMYFUNCTION("""COMPUTED_VALUE"""),"https://drive.google.com/uc?export=view&amp;id=16ik9xvsSLuzkGrK95J5TRPkD-LLcWGZ_")</f>
        <v/>
      </c>
      <c r="Z1668" s="1">
        <f>IFERROR(__xludf.DUMMYFUNCTION("""COMPUTED_VALUE"""),"Verified")</f>
        <v/>
      </c>
      <c r="AA1668" s="1">
        <f>IFERROR(__xludf.DUMMYFUNCTION("""COMPUTED_VALUE"""),"Industry-academia partnerships, Public-private partnerships, Project consortium building, Collaborations between EdTech organisations")</f>
        <v/>
      </c>
      <c r="AB1668" s="1">
        <f>IFERROR(__xludf.DUMMYFUNCTION("""COMPUTED_VALUE"""),"For-profit company")</f>
        <v/>
      </c>
      <c r="AC1668" s="1">
        <f>IFERROR(__xludf.DUMMYFUNCTION("""COMPUTED_VALUE"""),TRUE)</f>
        <v/>
      </c>
      <c r="AD1668" s="1">
        <f>IFERROR(__xludf.DUMMYFUNCTION("""COMPUTED_VALUE"""),TRUE)</f>
        <v/>
      </c>
      <c r="AE1668" s="1" t="n"/>
    </row>
    <row r="1669" ht="42" customHeight="1">
      <c r="A1669" s="14">
        <f>IFERROR(__xludf.DUMMYFUNCTION("""COMPUTED_VALUE"""),45923)</f>
        <v/>
      </c>
      <c r="B1669" s="1">
        <f>IFERROR(__xludf.DUMMYFUNCTION("""COMPUTED_VALUE"""),"ORG_2703")</f>
        <v/>
      </c>
      <c r="C1669" s="1">
        <f>IFERROR(__xludf.DUMMYFUNCTION("""COMPUTED_VALUE"""),TRUE)</f>
        <v/>
      </c>
      <c r="D1669" s="1">
        <f>IFERROR(__xludf.DUMMYFUNCTION("""COMPUTED_VALUE"""),"Data Masters")</f>
        <v/>
      </c>
      <c r="E1669" s="15">
        <f>IFERROR(__xludf.DUMMYFUNCTION("""COMPUTED_VALUE"""),"https://datamasters.it/")</f>
        <v/>
      </c>
      <c r="F1669" s="1">
        <f>IFERROR(__xludf.DUMMYFUNCTION("""COMPUTED_VALUE"""),"AI academy for professionals and companies")</f>
        <v/>
      </c>
      <c r="G1669" s="1">
        <f>IFERROR(__xludf.DUMMYFUNCTION("""COMPUTED_VALUE"""),"EdTech Italia")</f>
        <v/>
      </c>
      <c r="H1669" s="1">
        <f>IFERROR(__xludf.DUMMYFUNCTION("""COMPUTED_VALUE"""),"Italian, English")</f>
        <v/>
      </c>
      <c r="I1669" s="1">
        <f>IFERROR(__xludf.DUMMYFUNCTION("""COMPUTED_VALUE"""),"team@datamasters.it")</f>
        <v/>
      </c>
      <c r="J1669" s="1">
        <f>IFERROR(__xludf.DUMMYFUNCTION("""COMPUTED_VALUE"""),"+393895034278")</f>
        <v/>
      </c>
      <c r="K1669" s="1">
        <f>IFERROR(__xludf.DUMMYFUNCTION("""COMPUTED_VALUE"""),"Bari")</f>
        <v/>
      </c>
      <c r="L1669" s="1">
        <f>IFERROR(__xludf.DUMMYFUNCTION("""COMPUTED_VALUE"""),"Italy")</f>
        <v/>
      </c>
      <c r="M1669" s="1">
        <f>IFERROR(__xludf.DUMMYFUNCTION("""COMPUTED_VALUE"""),"Italy")</f>
        <v/>
      </c>
      <c r="N1669" s="1">
        <f>IFERROR(__xludf.DUMMYFUNCTION("""COMPUTED_VALUE"""),"Small (10-49 FTE employees)")</f>
        <v/>
      </c>
      <c r="O1669" s="1">
        <f>IFERROR(__xludf.DUMMYFUNCTION("""COMPUTED_VALUE"""),"Business to Consumer, Business to Business")</f>
        <v/>
      </c>
      <c r="P1669" s="1">
        <f>IFERROR(__xludf.DUMMYFUNCTION("""COMPUTED_VALUE"""),"Corporate Training, Lifelong learning/Adult education")</f>
        <v/>
      </c>
      <c r="Q1669" s="1">
        <f>IFERROR(__xludf.DUMMYFUNCTION("""COMPUTED_VALUE"""),"Student interfacing, System/Administrative")</f>
        <v/>
      </c>
      <c r="R1669" s="15">
        <f>IFERROR(__xludf.DUMMYFUNCTION("""COMPUTED_VALUE"""),"https://www.instagram.com/datamasters.it/")</f>
        <v/>
      </c>
      <c r="S1669" s="1" t="n"/>
      <c r="T1669" s="15">
        <f>IFERROR(__xludf.DUMMYFUNCTION("""COMPUTED_VALUE"""),"https://www.linkedin.com/school/datamasters-it/")</f>
        <v/>
      </c>
      <c r="U1669" s="1">
        <f>IFERROR(__xludf.DUMMYFUNCTION("""COMPUTED_VALUE"""),"AI Academy")</f>
        <v/>
      </c>
      <c r="V1669" s="1">
        <f>IFERROR(__xludf.DUMMYFUNCTION("""COMPUTED_VALUE"""),"AI on-demand upskilling and reskilling courses ")</f>
        <v/>
      </c>
      <c r="W1669" s="1">
        <f>IFERROR(__xludf.DUMMYFUNCTION("""COMPUTED_VALUE"""),"AI Skiller")</f>
        <v/>
      </c>
      <c r="X1669" s="1">
        <f>IFERROR(__xludf.DUMMYFUNCTION("""COMPUTED_VALUE"""),"Skill assessment tool")</f>
        <v/>
      </c>
      <c r="Y1669" s="15">
        <f>IFERROR(__xludf.DUMMYFUNCTION("""COMPUTED_VALUE"""),"https://drive.google.com/uc?export=view&amp;id=1BittYd8GqOk7O8QXOmKKxE9sVS-PD0Id")</f>
        <v/>
      </c>
      <c r="Z1669" s="1">
        <f>IFERROR(__xludf.DUMMYFUNCTION("""COMPUTED_VALUE"""),"Verified")</f>
        <v/>
      </c>
      <c r="AA1669" s="1">
        <f>IFERROR(__xludf.DUMMYFUNCTION("""COMPUTED_VALUE"""),"Project consortium building, Public-private partnerships, Industry-academia partnerships")</f>
        <v/>
      </c>
      <c r="AB1669" s="1">
        <f>IFERROR(__xludf.DUMMYFUNCTION("""COMPUTED_VALUE"""),"For-profit company")</f>
        <v/>
      </c>
      <c r="AC1669" s="1">
        <f>IFERROR(__xludf.DUMMYFUNCTION("""COMPUTED_VALUE"""),TRUE)</f>
        <v/>
      </c>
      <c r="AD1669" s="1">
        <f>IFERROR(__xludf.DUMMYFUNCTION("""COMPUTED_VALUE"""),TRUE)</f>
        <v/>
      </c>
      <c r="AE1669" s="15">
        <f>IFERROR(__xludf.DUMMYFUNCTION("""COMPUTED_VALUE"""),"https://www.facebook.com/datamasters")</f>
        <v/>
      </c>
    </row>
    <row r="1670" ht="42" customHeight="1">
      <c r="A1670" s="14">
        <f>IFERROR(__xludf.DUMMYFUNCTION("""COMPUTED_VALUE"""),45923)</f>
        <v/>
      </c>
      <c r="B1670" s="1">
        <f>IFERROR(__xludf.DUMMYFUNCTION("""COMPUTED_VALUE"""),"ORG_2704")</f>
        <v/>
      </c>
      <c r="C1670" s="1">
        <f>IFERROR(__xludf.DUMMYFUNCTION("""COMPUTED_VALUE"""),TRUE)</f>
        <v/>
      </c>
      <c r="D1670" s="1">
        <f>IFERROR(__xludf.DUMMYFUNCTION("""COMPUTED_VALUE"""),"StudyStash LTD")</f>
        <v/>
      </c>
      <c r="E1670" s="15">
        <f>IFERROR(__xludf.DUMMYFUNCTION("""COMPUTED_VALUE"""),"www.studystash.com")</f>
        <v/>
      </c>
      <c r="F1670" s="1">
        <f>IFERROR(__xludf.DUMMYFUNCTION("""COMPUTED_VALUE"""),"An AI-powered, cognitive neuroscience-backed platform which delivers measurable improvements in student attainment and retention, reduced faculty workload, and university outcomes that matter.")</f>
        <v/>
      </c>
      <c r="G1670" s="1">
        <f>IFERROR(__xludf.DUMMYFUNCTION("""COMPUTED_VALUE"""),"I'm not part of any EdTech association")</f>
        <v/>
      </c>
      <c r="H1670" s="1">
        <f>IFERROR(__xludf.DUMMYFUNCTION("""COMPUTED_VALUE"""),"English")</f>
        <v/>
      </c>
      <c r="I1670" s="1">
        <f>IFERROR(__xludf.DUMMYFUNCTION("""COMPUTED_VALUE"""),"Joanna@studystash.com")</f>
        <v/>
      </c>
      <c r="J1670" s="1">
        <f>IFERROR(__xludf.DUMMYFUNCTION("""COMPUTED_VALUE"""),"+447563839306")</f>
        <v/>
      </c>
      <c r="K1670" s="1">
        <f>IFERROR(__xludf.DUMMYFUNCTION("""COMPUTED_VALUE"""),"Bristol")</f>
        <v/>
      </c>
      <c r="L1670" s="1">
        <f>IFERROR(__xludf.DUMMYFUNCTION("""COMPUTED_VALUE"""),"United Kingdom")</f>
        <v/>
      </c>
      <c r="M1670" s="1">
        <f>IFERROR(__xludf.DUMMYFUNCTION("""COMPUTED_VALUE"""),"United Kingdom, Albania, Andorra, Austria, Belgium, Bosnia and Herzegovina, Bulgaria, Croatia, Republic of Cyprus, Czechia, Denmark, Estonia, Finland, France, Germany, Greece, Hungary, Iceland, Ireland, Italy, Kosovo, Latvia, Liechtenstein, Lithuania, Lux"&amp;"embourg, Malta, Moldova, Monaco, Montenegro, Netherlands, North Macedonia, Norway, Poland, Portugal, Romania, San Marino, Slovakia, Slovenia, Spain, Sweden, Switzerland, Turkey, Ukraine")</f>
        <v/>
      </c>
      <c r="N1670" s="1">
        <f>IFERROR(__xludf.DUMMYFUNCTION("""COMPUTED_VALUE"""),"Micro (1-9 FTE employees)")</f>
        <v/>
      </c>
      <c r="O1670" s="1">
        <f>IFERROR(__xludf.DUMMYFUNCTION("""COMPUTED_VALUE"""),"Business to Business, Business to Consumer, Business to Government, Business to Schools")</f>
        <v/>
      </c>
      <c r="P1670" s="1">
        <f>IFERROR(__xludf.DUMMYFUNCTION("""COMPUTED_VALUE"""),"Secondary Education, Vocational Education and Training (VET), Higher Education")</f>
        <v/>
      </c>
      <c r="Q1670" s="1">
        <f>IFERROR(__xludf.DUMMYFUNCTION("""COMPUTED_VALUE"""),"System/Administrative, Teacher interfacing, Student interfacing")</f>
        <v/>
      </c>
      <c r="R1670" s="1" t="n"/>
      <c r="S1670" s="1" t="n"/>
      <c r="T1670" s="15">
        <f>IFERROR(__xludf.DUMMYFUNCTION("""COMPUTED_VALUE"""),"https://www.linkedin.com/company/studystash")</f>
        <v/>
      </c>
      <c r="U1670" s="1">
        <f>IFERROR(__xludf.DUMMYFUNCTION("""COMPUTED_VALUE"""),"StudyStash")</f>
        <v/>
      </c>
      <c r="V1670" s="1">
        <f>IFERROR(__xludf.DUMMYFUNCTION("""COMPUTED_VALUE"""),"StudyStash offers an AI-powered revision platform designed to help students study more efficiently and effectively, seamlessly integrating with University systems to improve attainment and reputation, as well as student outcomes.")</f>
        <v/>
      </c>
      <c r="W1670" s="1" t="n"/>
      <c r="X1670" s="1" t="n"/>
      <c r="Y1670" s="15">
        <f>IFERROR(__xludf.DUMMYFUNCTION("""COMPUTED_VALUE"""),"https://drive.google.com/uc?export=view&amp;id=1M_lk7hkqSITsyM-EMNGPYFY7EXbA0Ae9")</f>
        <v/>
      </c>
      <c r="Z1670" s="1">
        <f>IFERROR(__xludf.DUMMYFUNCTION("""COMPUTED_VALUE"""),"Verified")</f>
        <v/>
      </c>
      <c r="AA1670" s="1">
        <f>IFERROR(__xludf.DUMMYFUNCTION("""COMPUTED_VALUE"""),"Collaborations between EdTech organisations, Industry-academia partnerships, Project consortium building, Public-private partnerships")</f>
        <v/>
      </c>
      <c r="AB1670" s="1">
        <f>IFERROR(__xludf.DUMMYFUNCTION("""COMPUTED_VALUE"""),"For-profit company")</f>
        <v/>
      </c>
      <c r="AC1670" s="1">
        <f>IFERROR(__xludf.DUMMYFUNCTION("""COMPUTED_VALUE"""),TRUE)</f>
        <v/>
      </c>
      <c r="AD1670" s="1">
        <f>IFERROR(__xludf.DUMMYFUNCTION("""COMPUTED_VALUE"""),TRUE)</f>
        <v/>
      </c>
      <c r="AE1670" s="1" t="n"/>
    </row>
    <row r="1671" ht="42" customHeight="1">
      <c r="A1671" s="14">
        <f>IFERROR(__xludf.DUMMYFUNCTION("""COMPUTED_VALUE"""),45932)</f>
        <v/>
      </c>
      <c r="B1671" s="1">
        <f>IFERROR(__xludf.DUMMYFUNCTION("""COMPUTED_VALUE"""),"ORG_2705")</f>
        <v/>
      </c>
      <c r="C1671" s="1">
        <f>IFERROR(__xludf.DUMMYFUNCTION("""COMPUTED_VALUE"""),TRUE)</f>
        <v/>
      </c>
      <c r="D1671" s="1">
        <f>IFERROR(__xludf.DUMMYFUNCTION("""COMPUTED_VALUE"""),"Macenta Publishing &amp; Digital Solutions")</f>
        <v/>
      </c>
      <c r="E1671" s="15">
        <f>IFERROR(__xludf.DUMMYFUNCTION("""COMPUTED_VALUE"""),"https://macenta.com.tr/")</f>
        <v/>
      </c>
      <c r="F1671" s="1">
        <f>IFERROR(__xludf.DUMMYFUNCTION("""COMPUTED_VALUE"""),"Macenta Publishing &amp; Digital Solutions is an educational technology company that offers tailored learning materials and interactive digital platforms. Macenta's solutions support English language teaching and curriculum development.")</f>
        <v/>
      </c>
      <c r="G1671" s="1">
        <f>IFERROR(__xludf.DUMMYFUNCTION("""COMPUTED_VALUE"""),"I'm not part of any EdTech association")</f>
        <v/>
      </c>
      <c r="H1671" s="1">
        <f>IFERROR(__xludf.DUMMYFUNCTION("""COMPUTED_VALUE"""),"English")</f>
        <v/>
      </c>
      <c r="I1671" s="1">
        <f>IFERROR(__xludf.DUMMYFUNCTION("""COMPUTED_VALUE"""),"sam@macenta.com.tr")</f>
        <v/>
      </c>
      <c r="J1671" s="1">
        <f>IFERROR(__xludf.DUMMYFUNCTION("""COMPUTED_VALUE"""),"+905396690814")</f>
        <v/>
      </c>
      <c r="K1671" s="1">
        <f>IFERROR(__xludf.DUMMYFUNCTION("""COMPUTED_VALUE"""),"Istanbul")</f>
        <v/>
      </c>
      <c r="L1671" s="1">
        <f>IFERROR(__xludf.DUMMYFUNCTION("""COMPUTED_VALUE"""),"Turkey")</f>
        <v/>
      </c>
      <c r="M1671" s="1">
        <f>IFERROR(__xludf.DUMMYFUNCTION("""COMPUTED_VALUE"""),"Turkey")</f>
        <v/>
      </c>
      <c r="N1671" s="1">
        <f>IFERROR(__xludf.DUMMYFUNCTION("""COMPUTED_VALUE"""),"Small (10-49 FTE employees)")</f>
        <v/>
      </c>
      <c r="O1671" s="1">
        <f>IFERROR(__xludf.DUMMYFUNCTION("""COMPUTED_VALUE"""),"Business to Schools")</f>
        <v/>
      </c>
      <c r="P1671" s="1">
        <f>IFERROR(__xludf.DUMMYFUNCTION("""COMPUTED_VALUE"""),"Secondary Education, Primary Education, Early childhood development (0-5 years), Special education")</f>
        <v/>
      </c>
      <c r="Q1671" s="1">
        <f>IFERROR(__xludf.DUMMYFUNCTION("""COMPUTED_VALUE"""),"Student interfacing, Teacher interfacing")</f>
        <v/>
      </c>
      <c r="R1671" s="1" t="n"/>
      <c r="S1671" s="1" t="n"/>
      <c r="T1671" s="15">
        <f>IFERROR(__xludf.DUMMYFUNCTION("""COMPUTED_VALUE"""),"https://www.linkedin.com/company/macenta-publishing-digital-solutions/posts/?feedView=all")</f>
        <v/>
      </c>
      <c r="U1671" s="1">
        <f>IFERROR(__xludf.DUMMYFUNCTION("""COMPUTED_VALUE"""),"The Globals")</f>
        <v/>
      </c>
      <c r="V1671" s="1">
        <f>IFERROR(__xludf.DUMMYFUNCTION("""COMPUTED_VALUE"""),"The Globals is an English language practice programme that integrates language with the United Nations' Sustainable Development Goals (SDGs). It offers interactive tools for learners and teachers, promoting socio-emotional development through goal-setting"&amp;", challenges and community projects.")</f>
        <v/>
      </c>
      <c r="W1671" s="1">
        <f>IFERROR(__xludf.DUMMYFUNCTION("""COMPUTED_VALUE"""),"Ridaboo")</f>
        <v/>
      </c>
      <c r="X1671" s="1">
        <f>IFERROR(__xludf.DUMMYFUNCTION("""COMPUTED_VALUE"""),"Ridaboo is an inclusive digital reading platform designed to support diverse learners. It offers adaptive modes, AI-guided feedback and teacher insights to personalise reading experiences. Its AI-driven system analyses reading patterns and makes reading a"&amp;"ccessible for all.")</f>
        <v/>
      </c>
      <c r="Y1671" s="15">
        <f>IFERROR(__xludf.DUMMYFUNCTION("""COMPUTED_VALUE"""),"https://drive.google.com/uc?export=view&amp;id=1_LHqebcoy3RkEZKN41slkVw6jom7v06_")</f>
        <v/>
      </c>
      <c r="Z1671" s="1">
        <f>IFERROR(__xludf.DUMMYFUNCTION("""COMPUTED_VALUE"""),"Verified")</f>
        <v/>
      </c>
      <c r="AA1671" s="1">
        <f>IFERROR(__xludf.DUMMYFUNCTION("""COMPUTED_VALUE"""),"Collaborations between EdTech organisations, Project consortium building, Public-private partnerships")</f>
        <v/>
      </c>
      <c r="AB1671" s="1">
        <f>IFERROR(__xludf.DUMMYFUNCTION("""COMPUTED_VALUE"""),"For-profit company")</f>
        <v/>
      </c>
      <c r="AC1671" s="1">
        <f>IFERROR(__xludf.DUMMYFUNCTION("""COMPUTED_VALUE"""),TRUE)</f>
        <v/>
      </c>
      <c r="AD1671" s="1">
        <f>IFERROR(__xludf.DUMMYFUNCTION("""COMPUTED_VALUE"""),TRUE)</f>
        <v/>
      </c>
      <c r="AE1671" s="1" t="n"/>
    </row>
    <row r="1672" ht="42" customHeight="1">
      <c r="A1672" s="14">
        <f>IFERROR(__xludf.DUMMYFUNCTION("""COMPUTED_VALUE"""),45936)</f>
        <v/>
      </c>
      <c r="B1672" s="1">
        <f>IFERROR(__xludf.DUMMYFUNCTION("""COMPUTED_VALUE"""),"ORG_2706")</f>
        <v/>
      </c>
      <c r="C1672" s="1">
        <f>IFERROR(__xludf.DUMMYFUNCTION("""COMPUTED_VALUE"""),TRUE)</f>
        <v/>
      </c>
      <c r="D1672" s="1">
        <f>IFERROR(__xludf.DUMMYFUNCTION("""COMPUTED_VALUE"""),"Kings International")</f>
        <v/>
      </c>
      <c r="E1672" s="15">
        <f>IFERROR(__xludf.DUMMYFUNCTION("""COMPUTED_VALUE"""),"https://global.kingsolympiad.com/")</f>
        <v/>
      </c>
      <c r="F1672" s="1">
        <f>IFERROR(__xludf.DUMMYFUNCTION("""COMPUTED_VALUE"""),"We provide software, content, and brand for academic competition organizers, helping them 2–3x revenue in 12 months. Expanding one country per month, we’re building global infrastructure for teacher-driven edtech.")</f>
        <v/>
      </c>
      <c r="G1672" s="1">
        <f>IFERROR(__xludf.DUMMYFUNCTION("""COMPUTED_VALUE"""),"I'm not part of any EdTech association")</f>
        <v/>
      </c>
      <c r="H1672" s="1">
        <f>IFERROR(__xludf.DUMMYFUNCTION("""COMPUTED_VALUE"""),"English, Bulgarian, Lithuanian, Romanian, Azeri")</f>
        <v/>
      </c>
      <c r="I1672" s="1">
        <f>IFERROR(__xludf.DUMMYFUNCTION("""COMPUTED_VALUE"""),"info@kingsolympiad.com")</f>
        <v/>
      </c>
      <c r="J1672" s="1">
        <f>IFERROR(__xludf.DUMMYFUNCTION("""COMPUTED_VALUE"""),"+995595262105")</f>
        <v/>
      </c>
      <c r="K1672" s="1">
        <f>IFERROR(__xludf.DUMMYFUNCTION("""COMPUTED_VALUE"""),"Tallinn")</f>
        <v/>
      </c>
      <c r="L1672" s="1">
        <f>IFERROR(__xludf.DUMMYFUNCTION("""COMPUTED_VALUE"""),"Estonia")</f>
        <v/>
      </c>
      <c r="M1672" s="1">
        <f>IFERROR(__xludf.DUMMYFUNCTION("""COMPUTED_VALUE"""),"Bulgaria, Lithuania, Moldova, Romania")</f>
        <v/>
      </c>
      <c r="N1672" s="1">
        <f>IFERROR(__xludf.DUMMYFUNCTION("""COMPUTED_VALUE"""),"Small (10-49 FTE employees)")</f>
        <v/>
      </c>
      <c r="O1672" s="1">
        <f>IFERROR(__xludf.DUMMYFUNCTION("""COMPUTED_VALUE"""),"Business to Business, Business to Consumer")</f>
        <v/>
      </c>
      <c r="P1672" s="1">
        <f>IFERROR(__xludf.DUMMYFUNCTION("""COMPUTED_VALUE"""),"Primary Education, Secondary Education, Other")</f>
        <v/>
      </c>
      <c r="Q1672" s="1">
        <f>IFERROR(__xludf.DUMMYFUNCTION("""COMPUTED_VALUE"""),"Student interfacing, Teacher interfacing, System/Administrative")</f>
        <v/>
      </c>
      <c r="R1672" s="1" t="n"/>
      <c r="S1672" s="1" t="n"/>
      <c r="T1672" s="15">
        <f>IFERROR(__xludf.DUMMYFUNCTION("""COMPUTED_VALUE"""),"https://www.linkedin.com/company/kingseducation/")</f>
        <v/>
      </c>
      <c r="U1672" s="1" t="n"/>
      <c r="V1672" s="1" t="n"/>
      <c r="W1672" s="1" t="n"/>
      <c r="X1672" s="1" t="n"/>
      <c r="Y1672" s="15">
        <f>IFERROR(__xludf.DUMMYFUNCTION("""COMPUTED_VALUE"""),"https://drive.google.com/uc?export=view&amp;id=14WzQutFrXWr6fyLHmQB56BW6UYvfLn-7")</f>
        <v/>
      </c>
      <c r="Z1672" s="1">
        <f>IFERROR(__xludf.DUMMYFUNCTION("""COMPUTED_VALUE"""),"Verified")</f>
        <v/>
      </c>
      <c r="AA1672" s="1">
        <f>IFERROR(__xludf.DUMMYFUNCTION("""COMPUTED_VALUE"""),"Collaborations between EdTech organisations, Public-private partnerships, Industry-academia partnerships")</f>
        <v/>
      </c>
      <c r="AB1672" s="1">
        <f>IFERROR(__xludf.DUMMYFUNCTION("""COMPUTED_VALUE"""),"For-profit company")</f>
        <v/>
      </c>
      <c r="AC1672" s="1">
        <f>IFERROR(__xludf.DUMMYFUNCTION("""COMPUTED_VALUE"""),TRUE)</f>
        <v/>
      </c>
      <c r="AD1672" s="1">
        <f>IFERROR(__xludf.DUMMYFUNCTION("""COMPUTED_VALUE"""),TRUE)</f>
        <v/>
      </c>
      <c r="AE1672" s="1" t="n"/>
    </row>
    <row r="1673" ht="42" customHeight="1">
      <c r="A1673" s="14">
        <f>IFERROR(__xludf.DUMMYFUNCTION("""COMPUTED_VALUE"""),45939)</f>
        <v/>
      </c>
      <c r="B1673" s="1">
        <f>IFERROR(__xludf.DUMMYFUNCTION("""COMPUTED_VALUE"""),"ORG_2707")</f>
        <v/>
      </c>
      <c r="C1673" s="1">
        <f>IFERROR(__xludf.DUMMYFUNCTION("""COMPUTED_VALUE"""),TRUE)</f>
        <v/>
      </c>
      <c r="D1673" s="1">
        <f>IFERROR(__xludf.DUMMYFUNCTION("""COMPUTED_VALUE"""),"SAPERED GmbH")</f>
        <v/>
      </c>
      <c r="E1673" s="15">
        <f>IFERROR(__xludf.DUMMYFUNCTION("""COMPUTED_VALUE"""),"www.sapered.com")</f>
        <v/>
      </c>
      <c r="F1673" s="1">
        <f>IFERROR(__xludf.DUMMYFUNCTION("""COMPUTED_VALUE"""),"SAPERED is a Learning &amp; Development agency that helps organizations design and deliver modern corporate training experiences. We combine learning design expertise with innovative EdTech solutions – from Learning Experience Platforms and digital product on"&amp;"boarding for complex products (such as cars) to interactive training apps like Drivester, enabling learning experiences on the move.")</f>
        <v/>
      </c>
      <c r="G1673" s="1">
        <f>IFERROR(__xludf.DUMMYFUNCTION("""COMPUTED_VALUE"""),"I'm not part of any EdTech association")</f>
        <v/>
      </c>
      <c r="H1673" s="1">
        <f>IFERROR(__xludf.DUMMYFUNCTION("""COMPUTED_VALUE"""),"English, French, Spanish, German, Italian, Dutch, Portuguese, Bulgarian, Croatian, Czech, Danish, Estonian, Finnish, Greek, Hungarian, Irish, Latvian, Lithuanian, Maltese, Polish, Romanian, Slovak, Slovenian, Swedish, Ukrainian")</f>
        <v/>
      </c>
      <c r="I1673" s="1">
        <f>IFERROR(__xludf.DUMMYFUNCTION("""COMPUTED_VALUE"""),"hey@sapered.de")</f>
        <v/>
      </c>
      <c r="J1673" s="1">
        <f>IFERROR(__xludf.DUMMYFUNCTION("""COMPUTED_VALUE"""),"+491726867650")</f>
        <v/>
      </c>
      <c r="K1673" s="1">
        <f>IFERROR(__xludf.DUMMYFUNCTION("""COMPUTED_VALUE"""),"Essen")</f>
        <v/>
      </c>
      <c r="L1673" s="1">
        <f>IFERROR(__xludf.DUMMYFUNCTION("""COMPUTED_VALUE"""),"Germany")</f>
        <v/>
      </c>
      <c r="M1673" s="1">
        <f>IFERROR(__xludf.DUMMYFUNCTION("""COMPUTED_VALUE"""),"Albania, Andorra, Austria, Belarus, Belgium, Bosnia and Herzegovina, Republic of Cyprus, Croatia, Bulgaria, Czechia, Denmark, Estonia, Germany, France, Finland, Greece, Ukraine, United Kingdom, Sweden, Switzerland, Turkey, Spain, San Marino, Romania, Slov"&amp;"enia, Slovakia, Portugal, North Macedonia, Monaco, Luxembourg, Malta, Montenegro, Norway, Poland, Netherlands, Moldova, Lithuania, Kosovo, Iceland, Hungary, Italy, Liechtenstein, Latvia, Ireland")</f>
        <v/>
      </c>
      <c r="N1673" s="1">
        <f>IFERROR(__xludf.DUMMYFUNCTION("""COMPUTED_VALUE"""),"Small (10-49 FTE employees)")</f>
        <v/>
      </c>
      <c r="O1673" s="1">
        <f>IFERROR(__xludf.DUMMYFUNCTION("""COMPUTED_VALUE"""),"Business to Business")</f>
        <v/>
      </c>
      <c r="P1673" s="1">
        <f>IFERROR(__xludf.DUMMYFUNCTION("""COMPUTED_VALUE"""),"Corporate Training")</f>
        <v/>
      </c>
      <c r="Q1673" s="1">
        <f>IFERROR(__xludf.DUMMYFUNCTION("""COMPUTED_VALUE"""),"Other")</f>
        <v/>
      </c>
      <c r="R1673" s="15">
        <f>IFERROR(__xludf.DUMMYFUNCTION("""COMPUTED_VALUE"""),"https://www.instagram.com/sapered_gmbh/?hl=de")</f>
        <v/>
      </c>
      <c r="S1673" s="1" t="n"/>
      <c r="T1673" s="15">
        <f>IFERROR(__xludf.DUMMYFUNCTION("""COMPUTED_VALUE"""),"https://de.linkedin.com/company/sapered")</f>
        <v/>
      </c>
      <c r="U1673" s="1">
        <f>IFERROR(__xludf.DUMMYFUNCTION("""COMPUTED_VALUE"""),"SAPERED LXP")</f>
        <v/>
      </c>
      <c r="V1673" s="1">
        <f>IFERROR(__xludf.DUMMYFUNCTION("""COMPUTED_VALUE"""),"SAPERED LXP is a Learning Experience Platform for multinational brands. It enables centralized content management and a structured validation process for market-specific adaptation, built on a user-centered design approach.")</f>
        <v/>
      </c>
      <c r="W1673" s="1">
        <f>IFERROR(__xludf.DUMMYFUNCTION("""COMPUTED_VALUE"""),"SAPERED Digital Handover")</f>
        <v/>
      </c>
      <c r="X1673" s="1">
        <f>IFERROR(__xludf.DUMMYFUNCTION("""COMPUTED_VALUE"""),"Digital Handover is a platform that enables step-by-step customer onboarding. It transforms complex product manuals into intuitive, branded digital experiences that enhance understanding and engagement.")</f>
        <v/>
      </c>
      <c r="Y1673" s="15">
        <f>IFERROR(__xludf.DUMMYFUNCTION("""COMPUTED_VALUE"""),"https://drive.google.com/uc?export=view&amp;id=1EDdkSefV1M5nedW6ZI_ZZAlxTQDaWx3a")</f>
        <v/>
      </c>
      <c r="Z1673" s="1">
        <f>IFERROR(__xludf.DUMMYFUNCTION("""COMPUTED_VALUE"""),"Verified")</f>
        <v/>
      </c>
      <c r="AA1673" s="1">
        <f>IFERROR(__xludf.DUMMYFUNCTION("""COMPUTED_VALUE"""),"Collaborations between EdTech organisations, Project consortium building, Public-private partnerships, Industry-academia partnerships, Other")</f>
        <v/>
      </c>
      <c r="AB1673" s="1">
        <f>IFERROR(__xludf.DUMMYFUNCTION("""COMPUTED_VALUE"""),"For-profit company")</f>
        <v/>
      </c>
      <c r="AC1673" s="1">
        <f>IFERROR(__xludf.DUMMYFUNCTION("""COMPUTED_VALUE"""),TRUE)</f>
        <v/>
      </c>
      <c r="AD1673" s="1">
        <f>IFERROR(__xludf.DUMMYFUNCTION("""COMPUTED_VALUE"""),TRUE)</f>
        <v/>
      </c>
      <c r="AE1673" s="1" t="n"/>
    </row>
    <row r="1674" ht="42" customHeight="1">
      <c r="A1674" s="14">
        <f>IFERROR(__xludf.DUMMYFUNCTION("""COMPUTED_VALUE"""),45943)</f>
        <v/>
      </c>
      <c r="B1674" s="1">
        <f>IFERROR(__xludf.DUMMYFUNCTION("""COMPUTED_VALUE"""),"ORG_2708")</f>
        <v/>
      </c>
      <c r="C1674" s="1">
        <f>IFERROR(__xludf.DUMMYFUNCTION("""COMPUTED_VALUE"""),TRUE)</f>
        <v/>
      </c>
      <c r="D1674" s="1">
        <f>IFERROR(__xludf.DUMMYFUNCTION("""COMPUTED_VALUE"""),"Web2Learn")</f>
        <v/>
      </c>
      <c r="E1674" s="15">
        <f>IFERROR(__xludf.DUMMYFUNCTION("""COMPUTED_VALUE"""),"https://web2learn.eu/")</f>
        <v/>
      </c>
      <c r="F1674" s="1">
        <f>IFERROR(__xludf.DUMMYFUNCTION("""COMPUTED_VALUE"""),"Web2Learn is a Greek R&amp;D company at the forefront of digital education and social innovation since 2014. We design and implement impactful projects across professional training, citizen science, open science, and social innovation, connecting education wi"&amp;"th real-world change. With over 50 EU-funded projects completed, our expert team thrives on creative, cross-sector collaborations that empower people and communities. We also offer digital credentialing solutions and develop open educational resources tha"&amp;"t foster lifelong learning and inclusion. Let’s co-create the next wave of meaningful, socially driven innovation: get in touch with us at web2learn.eu ")</f>
        <v/>
      </c>
      <c r="G1674" s="1">
        <f>IFERROR(__xludf.DUMMYFUNCTION("""COMPUTED_VALUE"""),"I'm not part of any EdTech association")</f>
        <v/>
      </c>
      <c r="H1674" s="1">
        <f>IFERROR(__xludf.DUMMYFUNCTION("""COMPUTED_VALUE"""),"English, French, Greek")</f>
        <v/>
      </c>
      <c r="I1674" s="1">
        <f>IFERROR(__xludf.DUMMYFUNCTION("""COMPUTED_VALUE"""),"info@web2learn.eu")</f>
        <v/>
      </c>
      <c r="J1674" s="1">
        <f>IFERROR(__xludf.DUMMYFUNCTION("""COMPUTED_VALUE"""),"+306944615626")</f>
        <v/>
      </c>
      <c r="K1674" s="1">
        <f>IFERROR(__xludf.DUMMYFUNCTION("""COMPUTED_VALUE"""),"Thessaloniki")</f>
        <v/>
      </c>
      <c r="L1674" s="1">
        <f>IFERROR(__xludf.DUMMYFUNCTION("""COMPUTED_VALUE"""),"Greece")</f>
        <v/>
      </c>
      <c r="M1674" s="1">
        <f>IFERROR(__xludf.DUMMYFUNCTION("""COMPUTED_VALUE"""),"Greece")</f>
        <v/>
      </c>
      <c r="N1674" s="1">
        <f>IFERROR(__xludf.DUMMYFUNCTION("""COMPUTED_VALUE"""),"Small (10-49 FTE employees)")</f>
        <v/>
      </c>
      <c r="O1674" s="1">
        <f>IFERROR(__xludf.DUMMYFUNCTION("""COMPUTED_VALUE"""),"Business to Business, Business to Schools, Business to Consumer, Business to Government")</f>
        <v/>
      </c>
      <c r="P1674" s="1">
        <f>IFERROR(__xludf.DUMMYFUNCTION("""COMPUTED_VALUE"""),"Higher Education, Vocational Education and Training (VET), Secondary Education, Primary Education, Lifelong learning/Adult education, Corporate Training")</f>
        <v/>
      </c>
      <c r="Q1674" s="1">
        <f>IFERROR(__xludf.DUMMYFUNCTION("""COMPUTED_VALUE"""),"Student interfacing, Teacher interfacing")</f>
        <v/>
      </c>
      <c r="R1674" s="15">
        <f>IFERROR(__xludf.DUMMYFUNCTION("""COMPUTED_VALUE"""),"https://www.instagram.com/web2learn_eu/")</f>
        <v/>
      </c>
      <c r="S1674" s="1" t="n"/>
      <c r="T1674" s="15">
        <f>IFERROR(__xludf.DUMMYFUNCTION("""COMPUTED_VALUE"""),"https://www.linkedin.com/company/web2learn/")</f>
        <v/>
      </c>
      <c r="U1674" s="1">
        <f>IFERROR(__xludf.DUMMYFUNCTION("""COMPUTED_VALUE"""),"Digital credentials")</f>
        <v/>
      </c>
      <c r="V1674" s="1">
        <f>IFERROR(__xludf.DUMMYFUNCTION("""COMPUTED_VALUE"""),"Our digital credential service issues verifiable, standards-compliant micro-credentials and badges that encode learners’ skills and achievements in a tamper-proof digital format.")</f>
        <v/>
      </c>
      <c r="W1674" s="1">
        <f>IFERROR(__xludf.DUMMYFUNCTION("""COMPUTED_VALUE"""),"Professional training and educational activities on citizen science &amp; social innovation")</f>
        <v/>
      </c>
      <c r="X1674" s="1">
        <f>IFERROR(__xludf.DUMMYFUNCTION("""COMPUTED_VALUE"""),"We offer dynamic training and learning initiatives that build capacity in citizen science and social innovation. Through interactive formats and real-world applications, participants gain the skills to design, implement, and lead inclusive, community-driv"&amp;"en projects that bridge research &amp; education.")</f>
        <v/>
      </c>
      <c r="Y1674" s="15">
        <f>IFERROR(__xludf.DUMMYFUNCTION("""COMPUTED_VALUE"""),"https://drive.google.com/uc?export=view&amp;id=1KunglAI4FAjeBvJxINUt1NX4vmTih-d9")</f>
        <v/>
      </c>
      <c r="Z1674" s="1">
        <f>IFERROR(__xludf.DUMMYFUNCTION("""COMPUTED_VALUE"""),"Verified")</f>
        <v/>
      </c>
      <c r="AA1674" s="1">
        <f>IFERROR(__xludf.DUMMYFUNCTION("""COMPUTED_VALUE"""),"Collaborations between EdTech organisations, Project consortium building, Industry-academia partnerships, Public-private partnerships")</f>
        <v/>
      </c>
      <c r="AB1674" s="1">
        <f>IFERROR(__xludf.DUMMYFUNCTION("""COMPUTED_VALUE"""),"For-profit company")</f>
        <v/>
      </c>
      <c r="AC1674" s="1">
        <f>IFERROR(__xludf.DUMMYFUNCTION("""COMPUTED_VALUE"""),TRUE)</f>
        <v/>
      </c>
      <c r="AD1674" s="1">
        <f>IFERROR(__xludf.DUMMYFUNCTION("""COMPUTED_VALUE"""),TRUE)</f>
        <v/>
      </c>
      <c r="AE1674" s="1" t="n"/>
    </row>
    <row r="1675" ht="42" customHeight="1">
      <c r="A1675" s="14">
        <f>IFERROR(__xludf.DUMMYFUNCTION("""COMPUTED_VALUE"""),45945)</f>
        <v/>
      </c>
      <c r="B1675" s="1">
        <f>IFERROR(__xludf.DUMMYFUNCTION("""COMPUTED_VALUE"""),"ORG_2709")</f>
        <v/>
      </c>
      <c r="C1675" s="1">
        <f>IFERROR(__xludf.DUMMYFUNCTION("""COMPUTED_VALUE"""),TRUE)</f>
        <v/>
      </c>
      <c r="D1675" s="1">
        <f>IFERROR(__xludf.DUMMYFUNCTION("""COMPUTED_VALUE"""),"BuzzGage")</f>
        <v/>
      </c>
      <c r="E1675" s="15">
        <f>IFERROR(__xludf.DUMMYFUNCTION("""COMPUTED_VALUE"""),"https://www.buzzgage.org/")</f>
        <v/>
      </c>
      <c r="F1675" s="1">
        <f>IFERROR(__xludf.DUMMYFUNCTION("""COMPUTED_VALUE"""),"BuzzGage helps schools measure and develop what matters beyond academics by benchmarking student wellbeing, engagement, and social-emotional development against international standards, then guiding school leaders with AI-powered insights and targeted str"&amp;"ategies to improve.")</f>
        <v/>
      </c>
      <c r="G1675" s="1">
        <f>IFERROR(__xludf.DUMMYFUNCTION("""COMPUTED_VALUE"""),"DOHE")</f>
        <v/>
      </c>
      <c r="H1675" s="1">
        <f>IFERROR(__xludf.DUMMYFUNCTION("""COMPUTED_VALUE"""),"English, French")</f>
        <v/>
      </c>
      <c r="I1675" s="1">
        <f>IFERROR(__xludf.DUMMYFUNCTION("""COMPUTED_VALUE"""),"mc@buzzgage.org")</f>
        <v/>
      </c>
      <c r="J1675" s="1">
        <f>IFERROR(__xludf.DUMMYFUNCTION("""COMPUTED_VALUE"""),"+905444758885")</f>
        <v/>
      </c>
      <c r="K1675" s="1">
        <f>IFERROR(__xludf.DUMMYFUNCTION("""COMPUTED_VALUE"""),"Istanbul")</f>
        <v/>
      </c>
      <c r="L1675" s="1">
        <f>IFERROR(__xludf.DUMMYFUNCTION("""COMPUTED_VALUE"""),"Türkiye")</f>
        <v/>
      </c>
      <c r="M1675" s="1">
        <f>IFERROR(__xludf.DUMMYFUNCTION("""COMPUTED_VALUE"""),"France, United Kingdom, Turkey, Middle East")</f>
        <v/>
      </c>
      <c r="N1675" s="1">
        <f>IFERROR(__xludf.DUMMYFUNCTION("""COMPUTED_VALUE"""),"Micro (1-9 FTE employees)")</f>
        <v/>
      </c>
      <c r="O1675" s="1">
        <f>IFERROR(__xludf.DUMMYFUNCTION("""COMPUTED_VALUE"""),"Business to Business")</f>
        <v/>
      </c>
      <c r="P1675" s="1">
        <f>IFERROR(__xludf.DUMMYFUNCTION("""COMPUTED_VALUE"""),"Primary Education, Secondary Education")</f>
        <v/>
      </c>
      <c r="Q1675" s="1">
        <f>IFERROR(__xludf.DUMMYFUNCTION("""COMPUTED_VALUE"""),"System/Administrative")</f>
        <v/>
      </c>
      <c r="R1675" s="1" t="n"/>
      <c r="S1675" s="1" t="n"/>
      <c r="T1675" s="15">
        <f>IFERROR(__xludf.DUMMYFUNCTION("""COMPUTED_VALUE"""),"https://www.linkedin.com/company/buzzgage")</f>
        <v/>
      </c>
      <c r="U1675" s="1">
        <f>IFERROR(__xludf.DUMMYFUNCTION("""COMPUTED_VALUE"""),"BuzzGage")</f>
        <v/>
      </c>
      <c r="V1675" s="1">
        <f>IFERROR(__xludf.DUMMYFUNCTION("""COMPUTED_VALUE"""),"BuzzGage helps schools measure and develop what matters beyond academics by benchmarking student wellbeing, engagement, and social-emotional development against international standards, then guiding school leaders with AI-powered insights and targeted str"&amp;"ategies to improve.")</f>
        <v/>
      </c>
      <c r="W1675" s="1" t="n"/>
      <c r="X1675" s="1" t="n"/>
      <c r="Y1675" s="15">
        <f>IFERROR(__xludf.DUMMYFUNCTION("""COMPUTED_VALUE"""),"https://drive.google.com/uc?export=view&amp;id=1o25hnd1mj80lZdigDLYPCG71gZ1lYOsW")</f>
        <v/>
      </c>
      <c r="Z1675" s="1">
        <f>IFERROR(__xludf.DUMMYFUNCTION("""COMPUTED_VALUE"""),"Verified")</f>
        <v/>
      </c>
      <c r="AA1675" s="1">
        <f>IFERROR(__xludf.DUMMYFUNCTION("""COMPUTED_VALUE"""),"Public-private partnerships, Collaborations between EdTech organisations, Industry-academia partnerships, Project consortium building")</f>
        <v/>
      </c>
      <c r="AB1675" s="1">
        <f>IFERROR(__xludf.DUMMYFUNCTION("""COMPUTED_VALUE"""),"For-profit company")</f>
        <v/>
      </c>
      <c r="AC1675" s="1">
        <f>IFERROR(__xludf.DUMMYFUNCTION("""COMPUTED_VALUE"""),TRUE)</f>
        <v/>
      </c>
      <c r="AD1675" s="1">
        <f>IFERROR(__xludf.DUMMYFUNCTION("""COMPUTED_VALUE"""),TRUE)</f>
        <v/>
      </c>
      <c r="AE1675" s="1" t="n"/>
    </row>
    <row r="1676" ht="42" customHeight="1">
      <c r="A1676" s="14">
        <f>IFERROR(__xludf.DUMMYFUNCTION("""COMPUTED_VALUE"""),45960)</f>
        <v/>
      </c>
      <c r="B1676" s="1">
        <f>IFERROR(__xludf.DUMMYFUNCTION("""COMPUTED_VALUE"""),"ORG_2711")</f>
        <v/>
      </c>
      <c r="C1676" s="1">
        <f>IFERROR(__xludf.DUMMYFUNCTION("""COMPUTED_VALUE"""),TRUE)</f>
        <v/>
      </c>
      <c r="D1676" s="1">
        <f>IFERROR(__xludf.DUMMYFUNCTION("""COMPUTED_VALUE"""),"Nolej")</f>
        <v/>
      </c>
      <c r="E1676" s="15">
        <f>IFERROR(__xludf.DUMMYFUNCTION("""COMPUTED_VALUE"""),"nolej.io")</f>
        <v/>
      </c>
      <c r="F1676" s="1">
        <f>IFERROR(__xludf.DUMMYFUNCTION("""COMPUTED_VALUE"""),"Founded in 2022, Nolej is a French AI company revolutionizing education. Named TIME’s #1 French EdTech, crowned World’s Best Startup EdTech 2024 at the GESAwards, and ranked in the Top 20 of the ASU+GSV Cup, Nolej is already active in 25 countries across "&amp;"all continents.  Backed by the French Ministry of Education and the European Commission’s Seal of Excellence, Nolej is scaling fast with a mission to empower teachers. From any learning content—text, video, or audio—Nolej instantly generates customizable,"&amp;" inclusive, and interactive activities (chatbots, quizzes, flashcards, crosswords, drag-and-drop...). Teachers stay in control. Students stay engaged. Education stays human.")</f>
        <v/>
      </c>
      <c r="G1676" s="1">
        <f>IFERROR(__xludf.DUMMYFUNCTION("""COMPUTED_VALUE"""),"EdTech France")</f>
        <v/>
      </c>
      <c r="H1676" s="1">
        <f>IFERROR(__xludf.DUMMYFUNCTION("""COMPUTED_VALUE"""),"English, French, Spanish, Dutch, Italian, German, Portuguese, Bulgarian, Croatian, Estonian, Danish, Czech, Finnish, Greek, Hungarian, Lithuanian, Romanian, Swedish, Slovenian, Latvian, Polish, Slovak, Ukrainian")</f>
        <v/>
      </c>
      <c r="I1676" s="1">
        <f>IFERROR(__xludf.DUMMYFUNCTION("""COMPUTED_VALUE"""),"info@nolej.io")</f>
        <v/>
      </c>
      <c r="J1676" s="1">
        <f>IFERROR(__xludf.DUMMYFUNCTION("""COMPUTED_VALUE"""),"+33781352758")</f>
        <v/>
      </c>
      <c r="K1676" s="1">
        <f>IFERROR(__xludf.DUMMYFUNCTION("""COMPUTED_VALUE"""),"PARIS")</f>
        <v/>
      </c>
      <c r="L1676" s="1">
        <f>IFERROR(__xludf.DUMMYFUNCTION("""COMPUTED_VALUE"""),"France")</f>
        <v/>
      </c>
      <c r="M1676" s="1" t="n"/>
      <c r="N1676" s="1">
        <f>IFERROR(__xludf.DUMMYFUNCTION("""COMPUTED_VALUE"""),"Small (10-49 FTE employees)")</f>
        <v/>
      </c>
      <c r="O1676" s="1">
        <f>IFERROR(__xludf.DUMMYFUNCTION("""COMPUTED_VALUE"""),"Business to Business, Business to Government, Business to Schools")</f>
        <v/>
      </c>
      <c r="P1676" s="1">
        <f>IFERROR(__xludf.DUMMYFUNCTION("""COMPUTED_VALUE"""),"Primary Education, Secondary Education, Vocational Education and Training (VET), Higher Education, Corporate Training, Lifelong learning/Adult education, Special education")</f>
        <v/>
      </c>
      <c r="Q1676" s="1">
        <f>IFERROR(__xludf.DUMMYFUNCTION("""COMPUTED_VALUE"""),"Teacher interfacing, Student interfacing")</f>
        <v/>
      </c>
      <c r="R1676" s="1" t="n"/>
      <c r="S1676" s="1" t="n"/>
      <c r="T1676" s="1" t="n"/>
      <c r="U1676" s="1">
        <f>IFERROR(__xludf.DUMMYFUNCTION("""COMPUTED_VALUE"""),"Nolej")</f>
        <v/>
      </c>
      <c r="V1676" s="1">
        <f>IFERROR(__xludf.DUMMYFUNCTION("""COMPUTED_VALUE"""),"From any learning content—text, video, or audio—Nolej instantly generates customizable, inclusive, and interactive activities (chatbots, quizzes, flashcards, crosswords, drag-and-drop...).")</f>
        <v/>
      </c>
      <c r="W1676" s="1" t="n"/>
      <c r="X1676" s="1" t="n"/>
      <c r="Y1676" s="15">
        <f>IFERROR(__xludf.DUMMYFUNCTION("""COMPUTED_VALUE"""),"https://drive.google.com/uc?export=view&amp;id=1qMr7ygDY_E7SDE66NsKuGIo0Fovg9H4n")</f>
        <v/>
      </c>
      <c r="Z1676" s="1">
        <f>IFERROR(__xludf.DUMMYFUNCTION("""COMPUTED_VALUE"""),"Verified")</f>
        <v/>
      </c>
      <c r="AA1676" s="1">
        <f>IFERROR(__xludf.DUMMYFUNCTION("""COMPUTED_VALUE"""),"Collaborations between EdTech organisations, Project consortium building, Public-private partnerships, Industry-academia partnerships")</f>
        <v/>
      </c>
      <c r="AB1676" s="1">
        <f>IFERROR(__xludf.DUMMYFUNCTION("""COMPUTED_VALUE"""),"For-profit company")</f>
        <v/>
      </c>
      <c r="AC1676" s="1">
        <f>IFERROR(__xludf.DUMMYFUNCTION("""COMPUTED_VALUE"""),TRUE)</f>
        <v/>
      </c>
      <c r="AD1676" s="1">
        <f>IFERROR(__xludf.DUMMYFUNCTION("""COMPUTED_VALUE"""),TRUE)</f>
        <v/>
      </c>
      <c r="AE1676" s="1" t="n"/>
    </row>
    <row r="1677" ht="42" customHeight="1">
      <c r="A1677" s="14">
        <f>IFERROR(__xludf.DUMMYFUNCTION("""COMPUTED_VALUE"""),45966)</f>
        <v/>
      </c>
      <c r="B1677" s="1">
        <f>IFERROR(__xludf.DUMMYFUNCTION("""COMPUTED_VALUE"""),"ORG_2712")</f>
        <v/>
      </c>
      <c r="C1677" s="1">
        <f>IFERROR(__xludf.DUMMYFUNCTION("""COMPUTED_VALUE"""),TRUE)</f>
        <v/>
      </c>
      <c r="D1677" s="1">
        <f>IFERROR(__xludf.DUMMYFUNCTION("""COMPUTED_VALUE"""),"Incomedia Srl")</f>
        <v/>
      </c>
      <c r="E1677" s="15">
        <f>IFERROR(__xludf.DUMMYFUNCTION("""COMPUTED_VALUE"""),"www.websitex5.com")</f>
        <v/>
      </c>
      <c r="F1677" s="1">
        <f>IFERROR(__xludf.DUMMYFUNCTION("""COMPUTED_VALUE"""),"Incomedia is an Italian software company founded in 1998, specializing in digital empowerment and education technology. Its flagship product, WebSite X5, is a no-code platform—now enhanced with AI—that enables schools, teachers, students, and SMEs to crea"&amp;"te professional websites and e-commerce projects easily, fostering digital skills and creativity. Incomedia collaborates with ministries, universities, and educational programs across Europe, Africa, and the GCC to support digital literacy, entrepreneursh"&amp;"ip, and online learning initiatives.")</f>
        <v/>
      </c>
      <c r="G1677" s="1">
        <f>IFERROR(__xludf.DUMMYFUNCTION("""COMPUTED_VALUE"""),"I'm not part of any EdTech association")</f>
        <v/>
      </c>
      <c r="H1677" s="1">
        <f>IFERROR(__xludf.DUMMYFUNCTION("""COMPUTED_VALUE"""),"English, German, Portuguese, Slovak, French, Italian, Danish, Greek, Polish, Slovenian, Spanish, Dutch, Hungarian")</f>
        <v/>
      </c>
      <c r="I1677" s="1">
        <f>IFERROR(__xludf.DUMMYFUNCTION("""COMPUTED_VALUE"""),"sales@incomedia.eu")</f>
        <v/>
      </c>
      <c r="J1677" s="1">
        <f>IFERROR(__xludf.DUMMYFUNCTION("""COMPUTED_VALUE"""),"+393487932535")</f>
        <v/>
      </c>
      <c r="K1677" s="1">
        <f>IFERROR(__xludf.DUMMYFUNCTION("""COMPUTED_VALUE"""),"Ivrea")</f>
        <v/>
      </c>
      <c r="L1677" s="1">
        <f>IFERROR(__xludf.DUMMYFUNCTION("""COMPUTED_VALUE"""),"Italy")</f>
        <v/>
      </c>
      <c r="M1677" s="1">
        <f>IFERROR(__xludf.DUMMYFUNCTION("""COMPUTED_VALUE"""),"Albania, Bulgaria, Czechia, Finland, Greece, Ireland, Latvia, North Macedonia, Portugal, Slovakia, Sweden, Ukraine, United Kingdom, Switzerland, Slovenia, Romania, Norway, Montenegro, Malta, Italy, Hungary, France, Denmark, Croatia, Austria, Bosnia and He"&amp;"rzegovina, Republic of Cyprus, Estonia, Germany, Iceland, Kosovo, Lithuania, Moldova, Netherlands, Poland, San Marino, Spain, Turkey")</f>
        <v/>
      </c>
      <c r="N1677" s="1">
        <f>IFERROR(__xludf.DUMMYFUNCTION("""COMPUTED_VALUE"""),"Small (10-49 FTE employees)")</f>
        <v/>
      </c>
      <c r="O1677" s="1">
        <f>IFERROR(__xludf.DUMMYFUNCTION("""COMPUTED_VALUE"""),"Business to Business, Business to Consumer, Business to Government, Business to Schools")</f>
        <v/>
      </c>
      <c r="P1677" s="1">
        <f>IFERROR(__xludf.DUMMYFUNCTION("""COMPUTED_VALUE"""),"Primary Education, Secondary Education, Vocational Education and Training (VET), Higher Education, Corporate Training, Lifelong learning/Adult education, Special education, Other")</f>
        <v/>
      </c>
      <c r="Q1677" s="1">
        <f>IFERROR(__xludf.DUMMYFUNCTION("""COMPUTED_VALUE"""),"Teacher interfacing, Student interfacing")</f>
        <v/>
      </c>
      <c r="R1677" s="1" t="n"/>
      <c r="S1677" s="15">
        <f>IFERROR(__xludf.DUMMYFUNCTION("""COMPUTED_VALUE"""),"https://x.com/Incomedia")</f>
        <v/>
      </c>
      <c r="T1677" s="15">
        <f>IFERROR(__xludf.DUMMYFUNCTION("""COMPUTED_VALUE"""),"https://it.linkedin.com/company/incomedia")</f>
        <v/>
      </c>
      <c r="U1677" s="1">
        <f>IFERROR(__xludf.DUMMYFUNCTION("""COMPUTED_VALUE"""),"WebSite X5")</f>
        <v/>
      </c>
      <c r="V1677" s="1">
        <f>IFERROR(__xludf.DUMMYFUNCTION("""COMPUTED_VALUE"""),"WebSite X5 is a no-code platform designed to help schools, teachers, and students develop digital skills by creating professional websites and online projects easily. Enhanced with AI, it enables users to build and customize complete websites without codi"&amp;"ng knowledge, supporting creativity, entrepre")</f>
        <v/>
      </c>
      <c r="W1677" s="1" t="n"/>
      <c r="X1677" s="1" t="n"/>
      <c r="Y1677" s="15">
        <f>IFERROR(__xludf.DUMMYFUNCTION("""COMPUTED_VALUE"""),"https://drive.google.com/uc?export=view&amp;id=1mbKSMizlAEMemGand1s4Y6IWUEPcUvNG")</f>
        <v/>
      </c>
      <c r="Z1677" s="1">
        <f>IFERROR(__xludf.DUMMYFUNCTION("""COMPUTED_VALUE"""),"Verified")</f>
        <v/>
      </c>
      <c r="AA1677" s="1">
        <f>IFERROR(__xludf.DUMMYFUNCTION("""COMPUTED_VALUE"""),"Collaborations between EdTech organisations, Project consortium building, Public-private partnerships, Industry-academia partnerships")</f>
        <v/>
      </c>
      <c r="AB1677" s="1">
        <f>IFERROR(__xludf.DUMMYFUNCTION("""COMPUTED_VALUE"""),"For-profit company")</f>
        <v/>
      </c>
      <c r="AC1677" s="1">
        <f>IFERROR(__xludf.DUMMYFUNCTION("""COMPUTED_VALUE"""),TRUE)</f>
        <v/>
      </c>
      <c r="AD1677" s="1">
        <f>IFERROR(__xludf.DUMMYFUNCTION("""COMPUTED_VALUE"""),TRUE)</f>
        <v/>
      </c>
      <c r="AE1677" s="15">
        <f>IFERROR(__xludf.DUMMYFUNCTION("""COMPUTED_VALUE""")," https://www.facebook.com/Incomedia/")</f>
        <v/>
      </c>
    </row>
    <row r="1678" ht="42" customHeight="1">
      <c r="A1678" s="14">
        <f>IFERROR(__xludf.DUMMYFUNCTION("""COMPUTED_VALUE"""),45967)</f>
        <v/>
      </c>
      <c r="B1678" s="1">
        <f>IFERROR(__xludf.DUMMYFUNCTION("""COMPUTED_VALUE"""),"ORG_2713")</f>
        <v/>
      </c>
      <c r="C1678" s="1">
        <f>IFERROR(__xludf.DUMMYFUNCTION("""COMPUTED_VALUE"""),TRUE)</f>
        <v/>
      </c>
      <c r="D1678" s="1">
        <f>IFERROR(__xludf.DUMMYFUNCTION("""COMPUTED_VALUE"""),"Brainlane")</f>
        <v/>
      </c>
      <c r="E1678" s="15">
        <f>IFERROR(__xludf.DUMMYFUNCTION("""COMPUTED_VALUE"""),"https://www.brainlane.nl/")</f>
        <v/>
      </c>
      <c r="F1678" s="1">
        <f>IFERROR(__xludf.DUMMYFUNCTION("""COMPUTED_VALUE"""),"Brainlane is a Dutch skills-first EdTech platform that connects professionals, educators and employers through personalised learning paths. By linking skills, roles and credentials, Brainlane enables data-driven career development and supports lifelong le"&amp;"arning in the digital economy.")</f>
        <v/>
      </c>
      <c r="G1678" s="1">
        <f>IFERROR(__xludf.DUMMYFUNCTION("""COMPUTED_VALUE"""),"Dutch EdTech")</f>
        <v/>
      </c>
      <c r="H1678" s="1">
        <f>IFERROR(__xludf.DUMMYFUNCTION("""COMPUTED_VALUE"""),"Dutch, English")</f>
        <v/>
      </c>
      <c r="I1678" s="1">
        <f>IFERROR(__xludf.DUMMYFUNCTION("""COMPUTED_VALUE"""),"info@brainlane.nl")</f>
        <v/>
      </c>
      <c r="J1678" s="1">
        <f>IFERROR(__xludf.DUMMYFUNCTION("""COMPUTED_VALUE"""),"+31645536386")</f>
        <v/>
      </c>
      <c r="K1678" s="1">
        <f>IFERROR(__xludf.DUMMYFUNCTION("""COMPUTED_VALUE"""),"Amsterdam")</f>
        <v/>
      </c>
      <c r="L1678" s="1">
        <f>IFERROR(__xludf.DUMMYFUNCTION("""COMPUTED_VALUE"""),"The Netherlands")</f>
        <v/>
      </c>
      <c r="M1678" s="1">
        <f>IFERROR(__xludf.DUMMYFUNCTION("""COMPUTED_VALUE"""),"Netherlands")</f>
        <v/>
      </c>
      <c r="N1678" s="1">
        <f>IFERROR(__xludf.DUMMYFUNCTION("""COMPUTED_VALUE"""),"Micro (1-9 FTE employees)")</f>
        <v/>
      </c>
      <c r="O1678" s="1">
        <f>IFERROR(__xludf.DUMMYFUNCTION("""COMPUTED_VALUE"""),"Business to Business, Business to Schools")</f>
        <v/>
      </c>
      <c r="P1678" s="1">
        <f>IFERROR(__xludf.DUMMYFUNCTION("""COMPUTED_VALUE"""),"Lifelong learning/Adult education")</f>
        <v/>
      </c>
      <c r="Q1678" s="1">
        <f>IFERROR(__xludf.DUMMYFUNCTION("""COMPUTED_VALUE"""),"Student interfacing, Teacher interfacing, System/Administrative, Other")</f>
        <v/>
      </c>
      <c r="R1678" s="15">
        <f>IFERROR(__xludf.DUMMYFUNCTION("""COMPUTED_VALUE"""),"https://www.instagram.com/brainlanehq/")</f>
        <v/>
      </c>
      <c r="S1678" s="1" t="n"/>
      <c r="T1678" s="15">
        <f>IFERROR(__xludf.DUMMYFUNCTION("""COMPUTED_VALUE"""),"https://www.linkedin.com/company/brainlanehq/")</f>
        <v/>
      </c>
      <c r="U1678" s="1">
        <f>IFERROR(__xludf.DUMMYFUNCTION("""COMPUTED_VALUE"""),"Brainlane Platform")</f>
        <v/>
      </c>
      <c r="V1678" s="1">
        <f>IFERROR(__xludf.DUMMYFUNCTION("""COMPUTED_VALUE"""),"A skills-first lifelong learning platform that connects professionals, educators and employers. The platform structures personalised learning paths based on skills, roles and assessments, integrating course data from multiple training providers to support"&amp;" career growth and talent development.")</f>
        <v/>
      </c>
      <c r="W1678" s="1" t="n"/>
      <c r="X1678" s="1" t="n"/>
      <c r="Y1678" s="15">
        <f>IFERROR(__xludf.DUMMYFUNCTION("""COMPUTED_VALUE"""),"https://drive.google.com/uc?export=view&amp;id=1Hzz1yEpCOVVhwdnKN5a5MPd6MrRmYwG6")</f>
        <v/>
      </c>
      <c r="Z1678" s="1">
        <f>IFERROR(__xludf.DUMMYFUNCTION("""COMPUTED_VALUE"""),"Verified")</f>
        <v/>
      </c>
      <c r="AA1678" s="1">
        <f>IFERROR(__xludf.DUMMYFUNCTION("""COMPUTED_VALUE"""),"Collaborations between EdTech organisations, Project consortium building, Public-private partnerships, Industry-academia partnerships, Other")</f>
        <v/>
      </c>
      <c r="AB1678" s="1">
        <f>IFERROR(__xludf.DUMMYFUNCTION("""COMPUTED_VALUE"""),"For-profit company")</f>
        <v/>
      </c>
      <c r="AC1678" s="1">
        <f>IFERROR(__xludf.DUMMYFUNCTION("""COMPUTED_VALUE"""),TRUE)</f>
        <v/>
      </c>
      <c r="AD1678" s="1">
        <f>IFERROR(__xludf.DUMMYFUNCTION("""COMPUTED_VALUE"""),FALSE)</f>
        <v/>
      </c>
      <c r="AE1678" s="15">
        <f>IFERROR(__xludf.DUMMYFUNCTION("""COMPUTED_VALUE"""),"https://www.facebook.com/BrainlaneHQ/")</f>
        <v/>
      </c>
    </row>
    <row r="1679" ht="42" customHeight="1">
      <c r="A1679" s="14">
        <f>IFERROR(__xludf.DUMMYFUNCTION("""COMPUTED_VALUE"""),45967)</f>
        <v/>
      </c>
      <c r="B1679" s="1">
        <f>IFERROR(__xludf.DUMMYFUNCTION("""COMPUTED_VALUE"""),"ORG_2714")</f>
        <v/>
      </c>
      <c r="C1679" s="1">
        <f>IFERROR(__xludf.DUMMYFUNCTION("""COMPUTED_VALUE"""),TRUE)</f>
        <v/>
      </c>
      <c r="D1679" s="1">
        <f>IFERROR(__xludf.DUMMYFUNCTION("""COMPUTED_VALUE"""),"Gamindo")</f>
        <v/>
      </c>
      <c r="E1679" s="15">
        <f>IFERROR(__xludf.DUMMYFUNCTION("""COMPUTED_VALUE"""),"https://www.gamindo.com")</f>
        <v/>
      </c>
      <c r="F1679" s="1">
        <f>IFERROR(__xludf.DUMMYFUNCTION("""COMPUTED_VALUE"""),"Generate memorable game-based learning content in few minutes.")</f>
        <v/>
      </c>
      <c r="G1679" s="1">
        <f>IFERROR(__xludf.DUMMYFUNCTION("""COMPUTED_VALUE"""),"I'm not part of any EdTech association")</f>
        <v/>
      </c>
      <c r="H1679" s="1">
        <f>IFERROR(__xludf.DUMMYFUNCTION("""COMPUTED_VALUE"""),"English, French, Spanish, Dutch, Italian, German, Portuguese")</f>
        <v/>
      </c>
      <c r="I1679" s="1">
        <f>IFERROR(__xludf.DUMMYFUNCTION("""COMPUTED_VALUE"""),"info@gamindo.com")</f>
        <v/>
      </c>
      <c r="J1679" s="1">
        <f>IFERROR(__xludf.DUMMYFUNCTION("""COMPUTED_VALUE"""),"+393490725400")</f>
        <v/>
      </c>
      <c r="K1679" s="1">
        <f>IFERROR(__xludf.DUMMYFUNCTION("""COMPUTED_VALUE"""),"Treviso")</f>
        <v/>
      </c>
      <c r="L1679" s="1">
        <f>IFERROR(__xludf.DUMMYFUNCTION("""COMPUTED_VALUE"""),"Italia")</f>
        <v/>
      </c>
      <c r="M1679" s="1">
        <f>IFERROR(__xludf.DUMMYFUNCTION("""COMPUTED_VALUE"""),"Albania, Belarus, Belgium, Andorra, Austria, Bosnia and Herzegovina, Republic of Cyprus, Estonia, Croatia, Denmark, Bulgaria, Czechia, Finland, Greece, France, Hungary, Germany, Iceland, Kosovo, Lithuania, Moldova, Malta, Liechtenstein, Italy, Ireland, La"&amp;"tvia, Luxembourg, Monaco, North Macedonia, Portugal, Slovakia, Sweden, Switzerland, Slovenia, Romania, Norway, Montenegro, Netherlands, Poland, San Marino, Spain, Turkey, United Kingdom, Ukraine")</f>
        <v/>
      </c>
      <c r="N1679" s="1">
        <f>IFERROR(__xludf.DUMMYFUNCTION("""COMPUTED_VALUE"""),"Small (10-49 FTE employees)")</f>
        <v/>
      </c>
      <c r="O1679" s="1">
        <f>IFERROR(__xludf.DUMMYFUNCTION("""COMPUTED_VALUE"""),"Business to Business")</f>
        <v/>
      </c>
      <c r="P1679" s="1">
        <f>IFERROR(__xludf.DUMMYFUNCTION("""COMPUTED_VALUE"""),"Corporate Training")</f>
        <v/>
      </c>
      <c r="Q1679" s="1">
        <f>IFERROR(__xludf.DUMMYFUNCTION("""COMPUTED_VALUE"""),"Teacher interfacing")</f>
        <v/>
      </c>
      <c r="R1679" s="1" t="n"/>
      <c r="S1679" s="1" t="n"/>
      <c r="T1679" s="15">
        <f>IFERROR(__xludf.DUMMYFUNCTION("""COMPUTED_VALUE"""),"https://www.linkedin.com/company/gamindo/")</f>
        <v/>
      </c>
      <c r="U1679" s="1">
        <f>IFERROR(__xludf.DUMMYFUNCTION("""COMPUTED_VALUE"""),"Gamindo Builder")</f>
        <v/>
      </c>
      <c r="V1679" s="1">
        <f>IFERROR(__xludf.DUMMYFUNCTION("""COMPUTED_VALUE"""),"AI-powered platform to easily create game-based learning experiences — transforming corporate training from “click &amp; sleep” to truly memorable.")</f>
        <v/>
      </c>
      <c r="W1679" s="1" t="n"/>
      <c r="X1679" s="1" t="n"/>
      <c r="Y1679" s="15">
        <f>IFERROR(__xludf.DUMMYFUNCTION("""COMPUTED_VALUE"""),"https://drive.google.com/uc?export=view&amp;id=19FEF2Yk180DCdJz-Ny-8kGTc9r69px-r")</f>
        <v/>
      </c>
      <c r="Z1679" s="1">
        <f>IFERROR(__xludf.DUMMYFUNCTION("""COMPUTED_VALUE"""),"Verified")</f>
        <v/>
      </c>
      <c r="AA1679" s="1">
        <f>IFERROR(__xludf.DUMMYFUNCTION("""COMPUTED_VALUE"""),"Industry-academia partnerships, Public-private partnerships")</f>
        <v/>
      </c>
      <c r="AB1679" s="1">
        <f>IFERROR(__xludf.DUMMYFUNCTION("""COMPUTED_VALUE"""),"For-profit company")</f>
        <v/>
      </c>
      <c r="AC1679" s="1">
        <f>IFERROR(__xludf.DUMMYFUNCTION("""COMPUTED_VALUE"""),TRUE)</f>
        <v/>
      </c>
      <c r="AD1679" s="1">
        <f>IFERROR(__xludf.DUMMYFUNCTION("""COMPUTED_VALUE"""),TRUE)</f>
        <v/>
      </c>
      <c r="AE1679" s="1" t="n"/>
    </row>
    <row r="1680" ht="42" customHeight="1">
      <c r="A1680" s="14">
        <f>IFERROR(__xludf.DUMMYFUNCTION("""COMPUTED_VALUE"""),45967)</f>
        <v/>
      </c>
      <c r="B1680" s="1">
        <f>IFERROR(__xludf.DUMMYFUNCTION("""COMPUTED_VALUE"""),"ORG_2715")</f>
        <v/>
      </c>
      <c r="C1680" s="1">
        <f>IFERROR(__xludf.DUMMYFUNCTION("""COMPUTED_VALUE"""),TRUE)</f>
        <v/>
      </c>
      <c r="D1680" s="1">
        <f>IFERROR(__xludf.DUMMYFUNCTION("""COMPUTED_VALUE"""),"BeeApro Srl")</f>
        <v/>
      </c>
      <c r="E1680" s="15">
        <f>IFERROR(__xludf.DUMMYFUNCTION("""COMPUTED_VALUE"""),"https://www.beeapro.academy/")</f>
        <v/>
      </c>
      <c r="F1680" s="1">
        <f>IFERROR(__xludf.DUMMYFUNCTION("""COMPUTED_VALUE"""),"BeeAPro is an AI-native ""Human &amp; GenAI Tech Academy"" focused on high-level technical education and certification. Our platform, the ""BeeAPro AI Studio,"" is an intelligent co-pilot for elite trainers and 'Expert-Creators'. It uses a RAG (Retrieval-Augm"&amp;"ented Generation) architecture to transform an expert's existing knowledge base (PDFs, videos, URLs) into complete, interactive courses, including AI-generated lesson maps, quizzes, and gamified content. Our mission is to ""Teach Different"": we automate "&amp;"the heavy lifting of content production, enabling experts to scale their authority and focus on high-value human mentorship, providing a user experience similar to the Google Cloud Skills Boost portal.")</f>
        <v/>
      </c>
      <c r="G1680" s="1">
        <f>IFERROR(__xludf.DUMMYFUNCTION("""COMPUTED_VALUE"""),"I'm not part of any EdTech association")</f>
        <v/>
      </c>
      <c r="H1680" s="1">
        <f>IFERROR(__xludf.DUMMYFUNCTION("""COMPUTED_VALUE"""),"English, French, Italian, Spanish, German, Portuguese, Czech, Bulgarian, Dutch, Croatian, Estonian, Danish, Finnish, Greek, Hungarian, Lithuanian, Romanian, Swedish, Basque, Catalan, Slovenian, Polish, Latvian, Irish, Maltese, Slovak, Ukrainian")</f>
        <v/>
      </c>
      <c r="I1680" s="1">
        <f>IFERROR(__xludf.DUMMYFUNCTION("""COMPUTED_VALUE"""),"info@beeapro.academy")</f>
        <v/>
      </c>
      <c r="J1680" s="1">
        <f>IFERROR(__xludf.DUMMYFUNCTION("""COMPUTED_VALUE"""),"+393495544316")</f>
        <v/>
      </c>
      <c r="K1680" s="1">
        <f>IFERROR(__xludf.DUMMYFUNCTION("""COMPUTED_VALUE"""),"Bologna")</f>
        <v/>
      </c>
      <c r="L1680" s="1">
        <f>IFERROR(__xludf.DUMMYFUNCTION("""COMPUTED_VALUE"""),"Italy")</f>
        <v/>
      </c>
      <c r="M1680" s="1">
        <f>IFERROR(__xludf.DUMMYFUNCTION("""COMPUTED_VALUE"""),"Albania, Andorra, Austria, Bosnia and Herzegovina, Belgium, Belarus, Bulgaria, Croatia, Republic of Cyprus, Estonia, Denmark, Czechia, Finland, Greece, Ireland, Latvia, Luxembourg, Monaco, Montenegro, Malta, Liechtenstein, Italy, Hungary, France, Germany,"&amp;" Iceland, Kosovo, Lithuania, Moldova, Netherlands, Poland, San Marino, Spain, Turkey, Norway, Slovenia, Romania, United Kingdom, Ukraine, Sweden, Slovakia, Portugal, North Macedonia")</f>
        <v/>
      </c>
      <c r="N1680" s="1">
        <f>IFERROR(__xludf.DUMMYFUNCTION("""COMPUTED_VALUE"""),"Micro (1-9 FTE employees)")</f>
        <v/>
      </c>
      <c r="O1680" s="1">
        <f>IFERROR(__xludf.DUMMYFUNCTION("""COMPUTED_VALUE"""),"Business to Business, Business to Government, Business to Consumer, Business to Schools")</f>
        <v/>
      </c>
      <c r="P1680" s="1">
        <f>IFERROR(__xludf.DUMMYFUNCTION("""COMPUTED_VALUE"""),"Corporate Training")</f>
        <v/>
      </c>
      <c r="Q1680" s="1">
        <f>IFERROR(__xludf.DUMMYFUNCTION("""COMPUTED_VALUE"""),"Teacher interfacing")</f>
        <v/>
      </c>
      <c r="R1680" s="1" t="n"/>
      <c r="S1680" s="1" t="n"/>
      <c r="T1680" s="15">
        <f>IFERROR(__xludf.DUMMYFUNCTION("""COMPUTED_VALUE"""),"https://www.linkedin.com/company/beeapro/")</f>
        <v/>
      </c>
      <c r="U1680" s="1">
        <f>IFERROR(__xludf.DUMMYFUNCTION("""COMPUTED_VALUE"""),"BeeAPro AI Studio")</f>
        <v/>
      </c>
      <c r="V1680" s="1">
        <f>IFERROR(__xludf.DUMMYFUNCTION("""COMPUTED_VALUE"""),"BeeAPro AI Studio, is an intelligent co-pilot for elite trainers and 'Expert-Creators'")</f>
        <v/>
      </c>
      <c r="W1680" s="1" t="n"/>
      <c r="X1680" s="1" t="n"/>
      <c r="Y1680" s="15">
        <f>IFERROR(__xludf.DUMMYFUNCTION("""COMPUTED_VALUE"""),"https://drive.google.com/uc?export=view&amp;id=1hNAY0CtMriEQatjx1Aaf_xMnP-YSJhuK")</f>
        <v/>
      </c>
      <c r="Z1680" s="1">
        <f>IFERROR(__xludf.DUMMYFUNCTION("""COMPUTED_VALUE"""),"Verified")</f>
        <v/>
      </c>
      <c r="AA1680" s="1">
        <f>IFERROR(__xludf.DUMMYFUNCTION("""COMPUTED_VALUE"""),"Collaborations between EdTech organisations, Public-private partnerships, Industry-academia partnerships, Project consortium building")</f>
        <v/>
      </c>
      <c r="AB1680" s="1">
        <f>IFERROR(__xludf.DUMMYFUNCTION("""COMPUTED_VALUE"""),"For-profit company")</f>
        <v/>
      </c>
      <c r="AC1680" s="1">
        <f>IFERROR(__xludf.DUMMYFUNCTION("""COMPUTED_VALUE"""),TRUE)</f>
        <v/>
      </c>
      <c r="AD1680" s="1">
        <f>IFERROR(__xludf.DUMMYFUNCTION("""COMPUTED_VALUE"""),TRUE)</f>
        <v/>
      </c>
      <c r="AE1680" s="1" t="n"/>
    </row>
    <row r="1681" ht="42" customHeight="1">
      <c r="A1681" s="14">
        <f>IFERROR(__xludf.DUMMYFUNCTION("""COMPUTED_VALUE"""),45968)</f>
        <v/>
      </c>
      <c r="B1681" s="1">
        <f>IFERROR(__xludf.DUMMYFUNCTION("""COMPUTED_VALUE"""),"ORG_2716")</f>
        <v/>
      </c>
      <c r="C1681" s="1">
        <f>IFERROR(__xludf.DUMMYFUNCTION("""COMPUTED_VALUE"""),TRUE)</f>
        <v/>
      </c>
      <c r="D1681" s="1">
        <f>IFERROR(__xludf.DUMMYFUNCTION("""COMPUTED_VALUE"""),"Univerbal")</f>
        <v/>
      </c>
      <c r="E1681" s="15">
        <f>IFERROR(__xludf.DUMMYFUNCTION("""COMPUTED_VALUE"""),"https://www.univerbal.app/")</f>
        <v/>
      </c>
      <c r="F1681" s="1">
        <f>IFERROR(__xludf.DUMMYFUNCTION("""COMPUTED_VALUE"""),"We build the personalised AI language tutor. At Univerbal you learn a language by practicing real-life conversations with an AI. By combining your interests with learning methods, we empower you to learn languages in an engaging and progress-driven enviro"&amp;"nment.")</f>
        <v/>
      </c>
      <c r="G1681" s="1">
        <f>IFERROR(__xludf.DUMMYFUNCTION("""COMPUTED_VALUE"""),"Swiss EdTech Collider")</f>
        <v/>
      </c>
      <c r="H1681" s="1">
        <f>IFERROR(__xludf.DUMMYFUNCTION("""COMPUTED_VALUE"""),"English, German, French, Italian, Spanish, Dutch, Czech, Portuguese, Greek, Danish, Romanian, Swedish, Ukrainian, Polish, Finnish, Norwegian, Chinese, Korean, Japanese, Indonesian, Russian, Turkish")</f>
        <v/>
      </c>
      <c r="I1681" s="1">
        <f>IFERROR(__xludf.DUMMYFUNCTION("""COMPUTED_VALUE"""),"help@univerbal.app")</f>
        <v/>
      </c>
      <c r="J1681" s="1">
        <f>IFERROR(__xludf.DUMMYFUNCTION("""COMPUTED_VALUE"""),"+41765828055")</f>
        <v/>
      </c>
      <c r="K1681" s="1">
        <f>IFERROR(__xludf.DUMMYFUNCTION("""COMPUTED_VALUE"""),"Zürich")</f>
        <v/>
      </c>
      <c r="L1681" s="1">
        <f>IFERROR(__xludf.DUMMYFUNCTION("""COMPUTED_VALUE"""),"Switzerland")</f>
        <v/>
      </c>
      <c r="M1681" s="1">
        <f>IFERROR(__xludf.DUMMYFUNCTION("""COMPUTED_VALUE"""),"Albania, Andorra, Austria, Bosnia and Herzegovina, Belarus, Belgium, Bulgaria, Croatia, Republic of Cyprus, Estonia, Denmark, Czechia, Finland, France, Germany, Iceland, Hungary, Greece, Ireland, Italy, Kosovo, Liechtenstein, Lithuania, Moldova, Malta, La"&amp;"tvia, Luxembourg, Monaco, Montenegro, Netherlands, Poland, San Marino, Norway, Romania, North Macedonia, Portugal, Slovakia, Sweden, Ukraine, Slovenia, Switzerland, United Kingdom, Spain, Turkey")</f>
        <v/>
      </c>
      <c r="N1681" s="1">
        <f>IFERROR(__xludf.DUMMYFUNCTION("""COMPUTED_VALUE"""),"Micro (1-9 FTE employees)")</f>
        <v/>
      </c>
      <c r="O1681" s="1">
        <f>IFERROR(__xludf.DUMMYFUNCTION("""COMPUTED_VALUE"""),"Business to Business, Business to Consumer, Business to Government, Business to Schools")</f>
        <v/>
      </c>
      <c r="P1681" s="1">
        <f>IFERROR(__xludf.DUMMYFUNCTION("""COMPUTED_VALUE"""),"Primary Education, Secondary Education, Vocational Education and Training (VET), Higher Education, Corporate Training, Lifelong learning/Adult education")</f>
        <v/>
      </c>
      <c r="Q1681" s="1">
        <f>IFERROR(__xludf.DUMMYFUNCTION("""COMPUTED_VALUE"""),"Student interfacing")</f>
        <v/>
      </c>
      <c r="R1681" s="15">
        <f>IFERROR(__xludf.DUMMYFUNCTION("""COMPUTED_VALUE"""),"https://www.instagram.com/univerbalapp/")</f>
        <v/>
      </c>
      <c r="S1681" s="1" t="n"/>
      <c r="T1681" s="15">
        <f>IFERROR(__xludf.DUMMYFUNCTION("""COMPUTED_VALUE"""),"https://www.linkedin.com/company/univerbalapp/")</f>
        <v/>
      </c>
      <c r="U1681" s="1">
        <f>IFERROR(__xludf.DUMMYFUNCTION("""COMPUTED_VALUE"""),"Univerbal Pass")</f>
        <v/>
      </c>
      <c r="V1681" s="1">
        <f>IFERROR(__xludf.DUMMYFUNCTION("""COMPUTED_VALUE"""),"The Univerbal Pass provides our users with unlimited access to real-life conversations, exercises and vocabulary that's evolving around the  skills your working on.")</f>
        <v/>
      </c>
      <c r="W1681" s="1">
        <f>IFERROR(__xludf.DUMMYFUNCTION("""COMPUTED_VALUE"""),"Univerbal Licences")</f>
        <v/>
      </c>
      <c r="X1681" s="1">
        <f>IFERROR(__xludf.DUMMYFUNCTION("""COMPUTED_VALUE"""),"We created a platform that allows schools, businesses and administrations to get bulk subscriptions to register their language learners autonomously. Everything from the individual account setup, overview up to billing can be reviewed any time.")</f>
        <v/>
      </c>
      <c r="Y1681" s="15">
        <f>IFERROR(__xludf.DUMMYFUNCTION("""COMPUTED_VALUE"""),"https://drive.google.com/uc?export=view&amp;id=1CKOwL2hXw4kjLZqd3aWxUJW_NEsQoRi7")</f>
        <v/>
      </c>
      <c r="Z1681" s="1">
        <f>IFERROR(__xludf.DUMMYFUNCTION("""COMPUTED_VALUE"""),"Verified")</f>
        <v/>
      </c>
      <c r="AA1681" s="1">
        <f>IFERROR(__xludf.DUMMYFUNCTION("""COMPUTED_VALUE"""),"Public-private partnerships")</f>
        <v/>
      </c>
      <c r="AB1681" s="1">
        <f>IFERROR(__xludf.DUMMYFUNCTION("""COMPUTED_VALUE"""),"For-profit company")</f>
        <v/>
      </c>
      <c r="AC1681" s="1">
        <f>IFERROR(__xludf.DUMMYFUNCTION("""COMPUTED_VALUE"""),TRUE)</f>
        <v/>
      </c>
      <c r="AD1681" s="1">
        <f>IFERROR(__xludf.DUMMYFUNCTION("""COMPUTED_VALUE"""),TRUE)</f>
        <v/>
      </c>
      <c r="AE1681" s="1" t="n"/>
    </row>
    <row r="1682" ht="42" customHeight="1">
      <c r="A1682" s="14">
        <f>IFERROR(__xludf.DUMMYFUNCTION("""COMPUTED_VALUE"""),45971)</f>
        <v/>
      </c>
      <c r="B1682" s="1">
        <f>IFERROR(__xludf.DUMMYFUNCTION("""COMPUTED_VALUE"""),"ORG_2710")</f>
        <v/>
      </c>
      <c r="C1682" s="1">
        <f>IFERROR(__xludf.DUMMYFUNCTION("""COMPUTED_VALUE"""),TRUE)</f>
        <v/>
      </c>
      <c r="D1682" s="1">
        <f>IFERROR(__xludf.DUMMYFUNCTION("""COMPUTED_VALUE"""),"Techtitans Creative Technology Hub")</f>
        <v/>
      </c>
      <c r="E1682" s="15">
        <f>IFERROR(__xludf.DUMMYFUNCTION("""COMPUTED_VALUE"""),"https://techtitans.cloud")</f>
        <v/>
      </c>
      <c r="F1682" s="1">
        <f>IFERROR(__xludf.DUMMYFUNCTION("""COMPUTED_VALUE"""),"TechTitans is an interactive, game-inspired online learning platform designed to teach technology-related skills (e.g., coding, design, animation) to students or aspiring creators by integrating game mechanics like levels, badges, leaderboards, challenges"&amp;", and rewards.")</f>
        <v/>
      </c>
      <c r="G1682" s="1">
        <f>IFERROR(__xludf.DUMMYFUNCTION("""COMPUTED_VALUE"""),"I'm not part of any EdTech association")</f>
        <v/>
      </c>
      <c r="H1682" s="1">
        <f>IFERROR(__xludf.DUMMYFUNCTION("""COMPUTED_VALUE"""),"English, Greek")</f>
        <v/>
      </c>
      <c r="I1682" s="1">
        <f>IFERROR(__xludf.DUMMYFUNCTION("""COMPUTED_VALUE"""),"info@techtitans.cloud")</f>
        <v/>
      </c>
      <c r="J1682" s="1">
        <f>IFERROR(__xludf.DUMMYFUNCTION("""COMPUTED_VALUE"""),"+35794313102")</f>
        <v/>
      </c>
      <c r="K1682" s="1">
        <f>IFERROR(__xludf.DUMMYFUNCTION("""COMPUTED_VALUE"""),"Larnaca")</f>
        <v/>
      </c>
      <c r="L1682" s="1">
        <f>IFERROR(__xludf.DUMMYFUNCTION("""COMPUTED_VALUE"""),"Greece")</f>
        <v/>
      </c>
      <c r="M1682" s="1">
        <f>IFERROR(__xludf.DUMMYFUNCTION("""COMPUTED_VALUE"""),"Greece, Romania, Albania, Bulgaria, Czechia, Ireland, North Macedonia, Croatia, Denmark, France, Hungary, Malta, Republic of Cyprus, Germany, Poland, United Kingdom, Slovenia, Spain, Turkey")</f>
        <v/>
      </c>
      <c r="N1682" s="1">
        <f>IFERROR(__xludf.DUMMYFUNCTION("""COMPUTED_VALUE"""),"Micro (1-9 FTE employees)")</f>
        <v/>
      </c>
      <c r="O1682" s="1">
        <f>IFERROR(__xludf.DUMMYFUNCTION("""COMPUTED_VALUE"""),"Business to Business, Business to Consumer, Business to Government, Business to Schools")</f>
        <v/>
      </c>
      <c r="P1682" s="1">
        <f>IFERROR(__xludf.DUMMYFUNCTION("""COMPUTED_VALUE"""),"Secondary Education, Vocational Education and Training (VET), Higher Education, Corporate Training, Lifelong learning/Adult education")</f>
        <v/>
      </c>
      <c r="Q1682" s="1">
        <f>IFERROR(__xludf.DUMMYFUNCTION("""COMPUTED_VALUE"""),"Student interfacing, Teacher interfacing")</f>
        <v/>
      </c>
      <c r="R1682" s="15">
        <f>IFERROR(__xludf.DUMMYFUNCTION("""COMPUTED_VALUE"""),"https://www.instagram.com/techtitans_creativetechnology")</f>
        <v/>
      </c>
      <c r="S1682" s="15">
        <f>IFERROR(__xludf.DUMMYFUNCTION("""COMPUTED_VALUE"""),"https://x.com/TechTitanshub")</f>
        <v/>
      </c>
      <c r="T1682" s="15">
        <f>IFERROR(__xludf.DUMMYFUNCTION("""COMPUTED_VALUE"""),"https://www.linkedin.com/company/techtitanscreativetechnologyhub")</f>
        <v/>
      </c>
      <c r="U1682" s="1">
        <f>IFERROR(__xludf.DUMMYFUNCTION("""COMPUTED_VALUE"""),"Gamified Courses")</f>
        <v/>
      </c>
      <c r="V1682" s="1">
        <f>IFERROR(__xludf.DUMMYFUNCTION("""COMPUTED_VALUE"""),"Learners progress through interactive tracks that include coding, Unity development, digital illustration, and sound engineering.")</f>
        <v/>
      </c>
      <c r="W1682" s="1">
        <f>IFERROR(__xludf.DUMMYFUNCTION("""COMPUTED_VALUE"""),"Career Development / Recruitment")</f>
        <v/>
      </c>
      <c r="X1682" s="1">
        <f>IFERROR(__xludf.DUMMYFUNCTION("""COMPUTED_VALUE"""),"TechTitans’ job-board and talent-network functionality. It allows us to post openings, review verified learner profiles, and connect with candidates who have proven their abilities through real projects inside the TechTitans ecosystem.")</f>
        <v/>
      </c>
      <c r="Y1682" s="15">
        <f>IFERROR(__xludf.DUMMYFUNCTION("""COMPUTED_VALUE"""),"https://drive.google.com/uc?export=view&amp;id=1NeqWDoMCfouaLjLOj_fFYaUzsVfjprhC")</f>
        <v/>
      </c>
      <c r="Z1682" s="1">
        <f>IFERROR(__xludf.DUMMYFUNCTION("""COMPUTED_VALUE"""),"Verified")</f>
        <v/>
      </c>
      <c r="AA1682" s="1">
        <f>IFERROR(__xludf.DUMMYFUNCTION("""COMPUTED_VALUE"""),"Collaborations between EdTech organisations, Public-private partnerships, Industry-academia partnerships")</f>
        <v/>
      </c>
      <c r="AB1682" s="1">
        <f>IFERROR(__xludf.DUMMYFUNCTION("""COMPUTED_VALUE"""),"For-profit company")</f>
        <v/>
      </c>
      <c r="AC1682" s="1">
        <f>IFERROR(__xludf.DUMMYFUNCTION("""COMPUTED_VALUE"""),TRUE)</f>
        <v/>
      </c>
      <c r="AD1682" s="1">
        <f>IFERROR(__xludf.DUMMYFUNCTION("""COMPUTED_VALUE"""),TRUE)</f>
        <v/>
      </c>
      <c r="AE1682" s="15">
        <f>IFERROR(__xludf.DUMMYFUNCTION("""COMPUTED_VALUE"""),"https://www.facebook.com/techtitans.creativetechnology ")</f>
        <v/>
      </c>
    </row>
    <row r="1683" ht="42" customHeight="1">
      <c r="A1683" s="14">
        <f>IFERROR(__xludf.DUMMYFUNCTION("""COMPUTED_VALUE"""),45972)</f>
        <v/>
      </c>
      <c r="B1683" s="1">
        <f>IFERROR(__xludf.DUMMYFUNCTION("""COMPUTED_VALUE"""),"ORG_2717")</f>
        <v/>
      </c>
      <c r="C1683" s="1">
        <f>IFERROR(__xludf.DUMMYFUNCTION("""COMPUTED_VALUE"""),TRUE)</f>
        <v/>
      </c>
      <c r="D1683" s="1">
        <f>IFERROR(__xludf.DUMMYFUNCTION("""COMPUTED_VALUE"""),"Ampullarium")</f>
        <v/>
      </c>
      <c r="E1683" s="15">
        <f>IFERROR(__xludf.DUMMYFUNCTION("""COMPUTED_VALUE"""),"https://www.ampullarium.app/")</f>
        <v/>
      </c>
      <c r="F1683" s="1">
        <f>IFERROR(__xludf.DUMMYFUNCTION("""COMPUTED_VALUE"""),"Ampullarium is a gamified, adaptive learning platform that uses generative AI to create dynamic patient simulations, providing medical students and trainees with a highly engaging and personalized education.")</f>
        <v/>
      </c>
      <c r="G1683" s="1">
        <f>IFERROR(__xludf.DUMMYFUNCTION("""COMPUTED_VALUE"""),"I'm not part of any EdTech association")</f>
        <v/>
      </c>
      <c r="H1683" s="1">
        <f>IFERROR(__xludf.DUMMYFUNCTION("""COMPUTED_VALUE"""),"German")</f>
        <v/>
      </c>
      <c r="I1683" s="1">
        <f>IFERROR(__xludf.DUMMYFUNCTION("""COMPUTED_VALUE"""),"team@ampullarium.com")</f>
        <v/>
      </c>
      <c r="J1683" s="1">
        <f>IFERROR(__xludf.DUMMYFUNCTION("""COMPUTED_VALUE"""),"+491729579123")</f>
        <v/>
      </c>
      <c r="K1683" s="1">
        <f>IFERROR(__xludf.DUMMYFUNCTION("""COMPUTED_VALUE"""),"Berlin")</f>
        <v/>
      </c>
      <c r="L1683" s="1">
        <f>IFERROR(__xludf.DUMMYFUNCTION("""COMPUTED_VALUE"""),"Berlin")</f>
        <v/>
      </c>
      <c r="M1683" s="1">
        <f>IFERROR(__xludf.DUMMYFUNCTION("""COMPUTED_VALUE"""),"Germany, Austria, Switzerland")</f>
        <v/>
      </c>
      <c r="N1683" s="1">
        <f>IFERROR(__xludf.DUMMYFUNCTION("""COMPUTED_VALUE"""),"Micro (1-9 FTE employees)")</f>
        <v/>
      </c>
      <c r="O1683" s="1">
        <f>IFERROR(__xludf.DUMMYFUNCTION("""COMPUTED_VALUE"""),"Business to Business, Business to Consumer, Business to Schools")</f>
        <v/>
      </c>
      <c r="P1683" s="1">
        <f>IFERROR(__xludf.DUMMYFUNCTION("""COMPUTED_VALUE"""),"Lifelong learning/Adult education, Higher Education, Vocational Education and Training (VET)")</f>
        <v/>
      </c>
      <c r="Q1683" s="1">
        <f>IFERROR(__xludf.DUMMYFUNCTION("""COMPUTED_VALUE"""),"Student interfacing")</f>
        <v/>
      </c>
      <c r="R1683" s="15">
        <f>IFERROR(__xludf.DUMMYFUNCTION("""COMPUTED_VALUE"""),"https://www.instagram.com/team_ampullarium/?hl=de")</f>
        <v/>
      </c>
      <c r="S1683" s="1" t="n"/>
      <c r="T1683" s="1" t="n"/>
      <c r="U1683" s="1">
        <f>IFERROR(__xludf.DUMMYFUNCTION("""COMPUTED_VALUE"""),"Ampullarium")</f>
        <v/>
      </c>
      <c r="V1683" s="1">
        <f>IFERROR(__xludf.DUMMYFUNCTION("""COMPUTED_VALUE"""),"Ampullarium is a gamified, adaptive learning platform that uses generative AI to create dynamic patient simulations, providing medical students and trainees with a highly engaging and personalized education.
")</f>
        <v/>
      </c>
      <c r="W1683" s="1" t="n"/>
      <c r="X1683" s="1" t="n"/>
      <c r="Y1683" s="15">
        <f>IFERROR(__xludf.DUMMYFUNCTION("""COMPUTED_VALUE"""),"https://drive.google.com/uc?export=view&amp;id=1Mg44z7Gip-e32zguojj6cEyKdd9x87m0")</f>
        <v/>
      </c>
      <c r="Z1683" s="1">
        <f>IFERROR(__xludf.DUMMYFUNCTION("""COMPUTED_VALUE"""),"Verified")</f>
        <v/>
      </c>
      <c r="AA1683" s="1">
        <f>IFERROR(__xludf.DUMMYFUNCTION("""COMPUTED_VALUE"""),"Collaborations between EdTech organisations, Project consortium building, Public-private partnerships, Industry-academia partnerships, Other")</f>
        <v/>
      </c>
      <c r="AB1683" s="1">
        <f>IFERROR(__xludf.DUMMYFUNCTION("""COMPUTED_VALUE"""),"For-profit company")</f>
        <v/>
      </c>
      <c r="AC1683" s="1">
        <f>IFERROR(__xludf.DUMMYFUNCTION("""COMPUTED_VALUE"""),TRUE)</f>
        <v/>
      </c>
      <c r="AD1683" s="1">
        <f>IFERROR(__xludf.DUMMYFUNCTION("""COMPUTED_VALUE"""),TRUE)</f>
        <v/>
      </c>
      <c r="AE1683" s="1" t="n"/>
    </row>
    <row r="1684" ht="42" customHeight="1">
      <c r="A1684" s="14">
        <f>IFERROR(__xludf.DUMMYFUNCTION("""COMPUTED_VALUE"""),45974)</f>
        <v/>
      </c>
      <c r="B1684" s="1">
        <f>IFERROR(__xludf.DUMMYFUNCTION("""COMPUTED_VALUE"""),"ORG_2718")</f>
        <v/>
      </c>
      <c r="C1684" s="1">
        <f>IFERROR(__xludf.DUMMYFUNCTION("""COMPUTED_VALUE"""),TRUE)</f>
        <v/>
      </c>
      <c r="D1684" s="1">
        <f>IFERROR(__xludf.DUMMYFUNCTION("""COMPUTED_VALUE"""),"Blify")</f>
        <v/>
      </c>
      <c r="E1684" s="15">
        <f>IFERROR(__xludf.DUMMYFUNCTION("""COMPUTED_VALUE"""),"https://www.blify.co/")</f>
        <v/>
      </c>
      <c r="F1684" s="1">
        <f>IFERROR(__xludf.DUMMYFUNCTION("""COMPUTED_VALUE"""),"Blify turns Slack, Teams, and WhatsApp into AI-powered learning spaces. Our multi-agent system personalizes training in the flow of work, starting with managers.")</f>
        <v/>
      </c>
      <c r="G1684" s="1">
        <f>IFERROR(__xludf.DUMMYFUNCTION("""COMPUTED_VALUE"""),"EdTech France")</f>
        <v/>
      </c>
      <c r="H1684" s="1">
        <f>IFERROR(__xludf.DUMMYFUNCTION("""COMPUTED_VALUE"""),"English, French, Spanish, German, Italian, Portuguese, Dutch")</f>
        <v/>
      </c>
      <c r="I1684" s="1">
        <f>IFERROR(__xludf.DUMMYFUNCTION("""COMPUTED_VALUE"""),"hello@blify.co")</f>
        <v/>
      </c>
      <c r="J1684" s="1">
        <f>IFERROR(__xludf.DUMMYFUNCTION("""COMPUTED_VALUE"""),"+33683049995")</f>
        <v/>
      </c>
      <c r="K1684" s="1">
        <f>IFERROR(__xludf.DUMMYFUNCTION("""COMPUTED_VALUE"""),"Paris (France)")</f>
        <v/>
      </c>
      <c r="L1684" s="1">
        <f>IFERROR(__xludf.DUMMYFUNCTION("""COMPUTED_VALUE"""),"France")</f>
        <v/>
      </c>
      <c r="M1684" s="1">
        <f>IFERROR(__xludf.DUMMYFUNCTION("""COMPUTED_VALUE"""),"Spain, France, Belgium, Germany")</f>
        <v/>
      </c>
      <c r="N1684" s="1">
        <f>IFERROR(__xludf.DUMMYFUNCTION("""COMPUTED_VALUE"""),"Micro (1-9 FTE employees)")</f>
        <v/>
      </c>
      <c r="O1684" s="1">
        <f>IFERROR(__xludf.DUMMYFUNCTION("""COMPUTED_VALUE"""),"Business to Business")</f>
        <v/>
      </c>
      <c r="P1684" s="1">
        <f>IFERROR(__xludf.DUMMYFUNCTION("""COMPUTED_VALUE"""),"Corporate Training, Lifelong learning/Adult education")</f>
        <v/>
      </c>
      <c r="Q1684" s="1">
        <f>IFERROR(__xludf.DUMMYFUNCTION("""COMPUTED_VALUE"""),"Student interfacing, System/Administrative, Teacher interfacing")</f>
        <v/>
      </c>
      <c r="R1684" s="1" t="n"/>
      <c r="S1684" s="15">
        <f>IFERROR(__xludf.DUMMYFUNCTION("""COMPUTED_VALUE"""),"https://x.com/blifyapp")</f>
        <v/>
      </c>
      <c r="T1684" s="15">
        <f>IFERROR(__xludf.DUMMYFUNCTION("""COMPUTED_VALUE"""),"https://www.linkedin.com/company/blify/")</f>
        <v/>
      </c>
      <c r="U1684" s="1">
        <f>IFERROR(__xludf.DUMMYFUNCTION("""COMPUTED_VALUE"""),"Blify")</f>
        <v/>
      </c>
      <c r="V1684" s="1">
        <f>IFERROR(__xludf.DUMMYFUNCTION("""COMPUTED_VALUE"""),"Blify is an AI-powered learning platform that embeds personalized, contextual manager training directly into Slack, Microsoft Teams, and WhatsApp, helping companies upskill their teams continuously, in the flow of work.")</f>
        <v/>
      </c>
      <c r="W1684" s="1" t="n"/>
      <c r="X1684" s="1" t="n"/>
      <c r="Y1684" s="15">
        <f>IFERROR(__xludf.DUMMYFUNCTION("""COMPUTED_VALUE"""),"https://drive.google.com/uc?export=view&amp;id=1_JH2F4Bw6DXFNcIkkd_7Vw_MW7vpzLw9")</f>
        <v/>
      </c>
      <c r="Z1684" s="1">
        <f>IFERROR(__xludf.DUMMYFUNCTION("""COMPUTED_VALUE"""),"Verified")</f>
        <v/>
      </c>
      <c r="AA1684" s="1">
        <f>IFERROR(__xludf.DUMMYFUNCTION("""COMPUTED_VALUE"""),"Collaborations between EdTech organisations, Project consortium building, Public-private partnerships, Industry-academia partnerships")</f>
        <v/>
      </c>
      <c r="AB1684" s="1">
        <f>IFERROR(__xludf.DUMMYFUNCTION("""COMPUTED_VALUE"""),"For-profit company")</f>
        <v/>
      </c>
      <c r="AC1684" s="1">
        <f>IFERROR(__xludf.DUMMYFUNCTION("""COMPUTED_VALUE"""),TRUE)</f>
        <v/>
      </c>
      <c r="AD1684" s="1">
        <f>IFERROR(__xludf.DUMMYFUNCTION("""COMPUTED_VALUE"""),TRUE)</f>
        <v/>
      </c>
      <c r="AE1684" s="1" t="n"/>
    </row>
    <row r="1685" ht="42" customHeight="1">
      <c r="A1685" s="14">
        <f>IFERROR(__xludf.DUMMYFUNCTION("""COMPUTED_VALUE"""),45974)</f>
        <v/>
      </c>
      <c r="B1685" s="1">
        <f>IFERROR(__xludf.DUMMYFUNCTION("""COMPUTED_VALUE"""),"ORG_2719")</f>
        <v/>
      </c>
      <c r="C1685" s="1">
        <f>IFERROR(__xludf.DUMMYFUNCTION("""COMPUTED_VALUE"""),TRUE)</f>
        <v/>
      </c>
      <c r="D1685" s="1">
        <f>IFERROR(__xludf.DUMMYFUNCTION("""COMPUTED_VALUE"""),"Coachello")</f>
        <v/>
      </c>
      <c r="E1685" s="15">
        <f>IFERROR(__xludf.DUMMYFUNCTION("""COMPUTED_VALUE"""),"coachello.ai")</f>
        <v/>
      </c>
      <c r="F1685" s="1">
        <f>IFERROR(__xludf.DUMMYFUNCTION("""COMPUTED_VALUE"""),"Coachello provides AI empowered coaching for soft skills development")</f>
        <v/>
      </c>
      <c r="G1685" s="1">
        <f>IFERROR(__xludf.DUMMYFUNCTION("""COMPUTED_VALUE"""),"EdTech France")</f>
        <v/>
      </c>
      <c r="H1685" s="1">
        <f>IFERROR(__xludf.DUMMYFUNCTION("""COMPUTED_VALUE"""),"English, French, Spanish, German, Italian, Dutch, Portuguese")</f>
        <v/>
      </c>
      <c r="I1685" s="1">
        <f>IFERROR(__xludf.DUMMYFUNCTION("""COMPUTED_VALUE"""),"coach@coachello.io")</f>
        <v/>
      </c>
      <c r="J1685" s="1">
        <f>IFERROR(__xludf.DUMMYFUNCTION("""COMPUTED_VALUE"""),"+33635135473")</f>
        <v/>
      </c>
      <c r="K1685" s="1">
        <f>IFERROR(__xludf.DUMMYFUNCTION("""COMPUTED_VALUE"""),"Paris")</f>
        <v/>
      </c>
      <c r="L1685" s="1">
        <f>IFERROR(__xludf.DUMMYFUNCTION("""COMPUTED_VALUE"""),"France")</f>
        <v/>
      </c>
      <c r="M1685" s="1">
        <f>IFERROR(__xludf.DUMMYFUNCTION("""COMPUTED_VALUE"""),"France, Netherlands, United Kingdom, Germany, Belgium, Spain")</f>
        <v/>
      </c>
      <c r="N1685" s="1">
        <f>IFERROR(__xludf.DUMMYFUNCTION("""COMPUTED_VALUE"""),"Small (10-49 FTE employees)")</f>
        <v/>
      </c>
      <c r="O1685" s="1">
        <f>IFERROR(__xludf.DUMMYFUNCTION("""COMPUTED_VALUE"""),"Business to Business")</f>
        <v/>
      </c>
      <c r="P1685" s="1">
        <f>IFERROR(__xludf.DUMMYFUNCTION("""COMPUTED_VALUE"""),"Corporate Training")</f>
        <v/>
      </c>
      <c r="Q1685" s="1">
        <f>IFERROR(__xludf.DUMMYFUNCTION("""COMPUTED_VALUE"""),"System/Administrative, Student interfacing")</f>
        <v/>
      </c>
      <c r="R1685" s="1" t="n"/>
      <c r="S1685" s="1" t="n"/>
      <c r="T1685" s="15">
        <f>IFERROR(__xludf.DUMMYFUNCTION("""COMPUTED_VALUE"""),"fr.linkedin.com/company/coachello-ai-coaching-platform")</f>
        <v/>
      </c>
      <c r="U1685" s="1">
        <f>IFERROR(__xludf.DUMMYFUNCTION("""COMPUTED_VALUE"""),"AI Avatar Roleplay Coaching")</f>
        <v/>
      </c>
      <c r="V1685" s="1">
        <f>IFERROR(__xludf.DUMMYFUNCTION("""COMPUTED_VALUE"""),"We provide AI avatar roleplays in MS Teams / Slack for soft skills development for global teams. ")</f>
        <v/>
      </c>
      <c r="W1685" s="1">
        <f>IFERROR(__xludf.DUMMYFUNCTION("""COMPUTED_VALUE"""),"Live AI coaching")</f>
        <v/>
      </c>
      <c r="X1685" s="1">
        <f>IFERROR(__xludf.DUMMYFUNCTION("""COMPUTED_VALUE"""),"Our AI coach joins managers' 1:1s and evaluates feedback capabilities relative to the organisation's feedback framework. ")</f>
        <v/>
      </c>
      <c r="Y1685" s="15">
        <f>IFERROR(__xludf.DUMMYFUNCTION("""COMPUTED_VALUE"""),"https://drive.google.com/uc?export=view&amp;id=1O89FJBuxVxn8mkOo4QzBgoxcD1dR2fWY")</f>
        <v/>
      </c>
      <c r="Z1685" s="1">
        <f>IFERROR(__xludf.DUMMYFUNCTION("""COMPUTED_VALUE"""),"Verified")</f>
        <v/>
      </c>
      <c r="AA1685" s="1">
        <f>IFERROR(__xludf.DUMMYFUNCTION("""COMPUTED_VALUE"""),"Public-private partnerships, Industry-academia partnerships, Collaborations between EdTech organisations")</f>
        <v/>
      </c>
      <c r="AB1685" s="1">
        <f>IFERROR(__xludf.DUMMYFUNCTION("""COMPUTED_VALUE"""),"For-profit company")</f>
        <v/>
      </c>
      <c r="AC1685" s="1">
        <f>IFERROR(__xludf.DUMMYFUNCTION("""COMPUTED_VALUE"""),TRUE)</f>
        <v/>
      </c>
      <c r="AD1685" s="1">
        <f>IFERROR(__xludf.DUMMYFUNCTION("""COMPUTED_VALUE"""),TRUE)</f>
        <v/>
      </c>
      <c r="AE1685" s="1" t="n"/>
    </row>
    <row r="1686" ht="42" customHeight="1">
      <c r="A1686" s="14">
        <f>IFERROR(__xludf.DUMMYFUNCTION("""COMPUTED_VALUE"""),45974)</f>
        <v/>
      </c>
      <c r="B1686" s="1">
        <f>IFERROR(__xludf.DUMMYFUNCTION("""COMPUTED_VALUE"""),"ORG_2720")</f>
        <v/>
      </c>
      <c r="C1686" s="1">
        <f>IFERROR(__xludf.DUMMYFUNCTION("""COMPUTED_VALUE"""),TRUE)</f>
        <v/>
      </c>
      <c r="D1686" s="1">
        <f>IFERROR(__xludf.DUMMYFUNCTION("""COMPUTED_VALUE"""),"EdInnov")</f>
        <v/>
      </c>
      <c r="E1686" s="15">
        <f>IFERROR(__xludf.DUMMYFUNCTION("""COMPUTED_VALUE"""),"expliq.fr")</f>
        <v/>
      </c>
      <c r="F1686" s="1">
        <f>IFERROR(__xludf.DUMMYFUNCTION("""COMPUTED_VALUE"""),"Learning by teaching in K12")</f>
        <v/>
      </c>
      <c r="G1686" s="1">
        <f>IFERROR(__xludf.DUMMYFUNCTION("""COMPUTED_VALUE"""),"AFINEF, EdTech France")</f>
        <v/>
      </c>
      <c r="H1686" s="1">
        <f>IFERROR(__xludf.DUMMYFUNCTION("""COMPUTED_VALUE"""),"French, English, German")</f>
        <v/>
      </c>
      <c r="I1686" s="1">
        <f>IFERROR(__xludf.DUMMYFUNCTION("""COMPUTED_VALUE"""),"laurent@expliq.fr")</f>
        <v/>
      </c>
      <c r="J1686" s="1">
        <f>IFERROR(__xludf.DUMMYFUNCTION("""COMPUTED_VALUE"""),"+33637871397")</f>
        <v/>
      </c>
      <c r="K1686" s="1">
        <f>IFERROR(__xludf.DUMMYFUNCTION("""COMPUTED_VALUE"""),"Paris")</f>
        <v/>
      </c>
      <c r="L1686" s="1">
        <f>IFERROR(__xludf.DUMMYFUNCTION("""COMPUTED_VALUE"""),"France")</f>
        <v/>
      </c>
      <c r="M1686" s="1">
        <f>IFERROR(__xludf.DUMMYFUNCTION("""COMPUTED_VALUE"""),"France, Germany")</f>
        <v/>
      </c>
      <c r="N1686" s="1">
        <f>IFERROR(__xludf.DUMMYFUNCTION("""COMPUTED_VALUE"""),"Small (10-49 FTE employees)")</f>
        <v/>
      </c>
      <c r="O1686" s="1">
        <f>IFERROR(__xludf.DUMMYFUNCTION("""COMPUTED_VALUE"""),"Business to Government, Business to Schools")</f>
        <v/>
      </c>
      <c r="P1686" s="1">
        <f>IFERROR(__xludf.DUMMYFUNCTION("""COMPUTED_VALUE"""),"Primary Education, Secondary Education")</f>
        <v/>
      </c>
      <c r="Q1686" s="1">
        <f>IFERROR(__xludf.DUMMYFUNCTION("""COMPUTED_VALUE"""),"Student interfacing, Teacher interfacing")</f>
        <v/>
      </c>
      <c r="R1686" s="15">
        <f>IFERROR(__xludf.DUMMYFUNCTION("""COMPUTED_VALUE"""),"https://www.instagram.com/mathena_education/")</f>
        <v/>
      </c>
      <c r="S1686" s="1" t="n"/>
      <c r="T1686" s="15">
        <f>IFERROR(__xludf.DUMMYFUNCTION("""COMPUTED_VALUE"""),"https://www.linkedin.com/company/108908457")</f>
        <v/>
      </c>
      <c r="U1686" s="1">
        <f>IFERROR(__xludf.DUMMYFUNCTION("""COMPUTED_VALUE"""),"Expliq")</f>
        <v/>
      </c>
      <c r="V1686" s="1">
        <f>IFERROR(__xludf.DUMMYFUNCTION("""COMPUTED_VALUE"""),"Expliq is a web application where elementary and secondary students progress in literacy by helping curious little avatars with language study and comprehension. Placed in the role of tutor, students strengthen their language skills while developing their"&amp;" ability to reason and express themselves")</f>
        <v/>
      </c>
      <c r="W1686" s="1" t="n"/>
      <c r="X1686" s="1" t="n"/>
      <c r="Y1686" s="15">
        <f>IFERROR(__xludf.DUMMYFUNCTION("""COMPUTED_VALUE"""),"https://drive.google.com/uc?export=view&amp;id=10px5gYRAai8tk2xzzB1sPT2EFpif2v7e")</f>
        <v/>
      </c>
      <c r="Z1686" s="1">
        <f>IFERROR(__xludf.DUMMYFUNCTION("""COMPUTED_VALUE"""),"Verified")</f>
        <v/>
      </c>
      <c r="AA1686" s="1">
        <f>IFERROR(__xludf.DUMMYFUNCTION("""COMPUTED_VALUE"""),"Collaborations between EdTech organisations, Project consortium building, Public-private partnerships")</f>
        <v/>
      </c>
      <c r="AB1686" s="1">
        <f>IFERROR(__xludf.DUMMYFUNCTION("""COMPUTED_VALUE"""),"For-profit company")</f>
        <v/>
      </c>
      <c r="AC1686" s="1">
        <f>IFERROR(__xludf.DUMMYFUNCTION("""COMPUTED_VALUE"""),TRUE)</f>
        <v/>
      </c>
      <c r="AD1686" s="1">
        <f>IFERROR(__xludf.DUMMYFUNCTION("""COMPUTED_VALUE"""),TRUE)</f>
        <v/>
      </c>
      <c r="AE1686" s="1" t="n"/>
    </row>
    <row r="1687" ht="42" customHeight="1">
      <c r="A1687" s="14">
        <f>IFERROR(__xludf.DUMMYFUNCTION("""COMPUTED_VALUE"""),45974)</f>
        <v/>
      </c>
      <c r="B1687" s="1">
        <f>IFERROR(__xludf.DUMMYFUNCTION("""COMPUTED_VALUE"""),"ORG_2721")</f>
        <v/>
      </c>
      <c r="C1687" s="1">
        <f>IFERROR(__xludf.DUMMYFUNCTION("""COMPUTED_VALUE"""),TRUE)</f>
        <v/>
      </c>
      <c r="D1687" s="1">
        <f>IFERROR(__xludf.DUMMYFUNCTION("""COMPUTED_VALUE"""),"Prime Profs")</f>
        <v/>
      </c>
      <c r="E1687" s="15">
        <f>IFERROR(__xludf.DUMMYFUNCTION("""COMPUTED_VALUE"""),"primeprofs.fr")</f>
        <v/>
      </c>
      <c r="F1687" s="1">
        <f>IFERROR(__xludf.DUMMYFUNCTION("""COMPUTED_VALUE"""),"Prime Profs is an EdTech company making quality education accessible to everyone. Our platform connects students with certified teachers for personalized online lessons. A dedicated advisor and AI learning tools help each learner progress faster. The firs"&amp;"t lesson is free, and our prices are 2x more affordable than traditional tutoring.")</f>
        <v/>
      </c>
      <c r="G1687" s="1">
        <f>IFERROR(__xludf.DUMMYFUNCTION("""COMPUTED_VALUE"""),"EdTech France")</f>
        <v/>
      </c>
      <c r="H1687" s="1">
        <f>IFERROR(__xludf.DUMMYFUNCTION("""COMPUTED_VALUE"""),"French")</f>
        <v/>
      </c>
      <c r="I1687" s="1">
        <f>IFERROR(__xludf.DUMMYFUNCTION("""COMPUTED_VALUE"""),"support@primeprofs.com")</f>
        <v/>
      </c>
      <c r="J1687" s="1">
        <f>IFERROR(__xludf.DUMMYFUNCTION("""COMPUTED_VALUE"""),"+33187669276")</f>
        <v/>
      </c>
      <c r="K1687" s="1">
        <f>IFERROR(__xludf.DUMMYFUNCTION("""COMPUTED_VALUE"""),"Paris")</f>
        <v/>
      </c>
      <c r="L1687" s="1">
        <f>IFERROR(__xludf.DUMMYFUNCTION("""COMPUTED_VALUE"""),"France")</f>
        <v/>
      </c>
      <c r="M1687" s="1">
        <f>IFERROR(__xludf.DUMMYFUNCTION("""COMPUTED_VALUE"""),"France")</f>
        <v/>
      </c>
      <c r="N1687" s="1">
        <f>IFERROR(__xludf.DUMMYFUNCTION("""COMPUTED_VALUE"""),"Micro (1-9 FTE employees)")</f>
        <v/>
      </c>
      <c r="O1687" s="1">
        <f>IFERROR(__xludf.DUMMYFUNCTION("""COMPUTED_VALUE"""),"Business to Consumer")</f>
        <v/>
      </c>
      <c r="P1687" s="1">
        <f>IFERROR(__xludf.DUMMYFUNCTION("""COMPUTED_VALUE"""),"Secondary Education, Higher Education")</f>
        <v/>
      </c>
      <c r="Q1687" s="1">
        <f>IFERROR(__xludf.DUMMYFUNCTION("""COMPUTED_VALUE"""),"Student interfacing, Teacher interfacing")</f>
        <v/>
      </c>
      <c r="R1687" s="1" t="n"/>
      <c r="S1687" s="1" t="n"/>
      <c r="T1687" s="15">
        <f>IFERROR(__xludf.DUMMYFUNCTION("""COMPUTED_VALUE"""),"https://www.linkedin.com/company/prime-profs/?viewAsMember=true")</f>
        <v/>
      </c>
      <c r="U1687" s="1">
        <f>IFERROR(__xludf.DUMMYFUNCTION("""COMPUTED_VALUE"""),"Online tutoring platform")</f>
        <v/>
      </c>
      <c r="V1687" s="1">
        <f>IFERROR(__xludf.DUMMYFUNCTION("""COMPUTED_VALUE"""),"Prime Profs connects students with certified teachers for personalized online lessons in academic subjects and languages. A dedicated advisor matches each student with the right tutor. The first lesson is free, schedules are flexible 7/7, and prices are 2"&amp;"× more affordable than traditional tutoring.")</f>
        <v/>
      </c>
      <c r="W1687" s="1">
        <f>IFERROR(__xludf.DUMMYFUNCTION("""COMPUTED_VALUE"""),"Prime Study - Smart Revision App")</f>
        <v/>
      </c>
      <c r="X1687" s="1">
        <f>IFERROR(__xludf.DUMMYFUNCTION("""COMPUTED_VALUE"""),"Prime Study is a mobile app that helps students revise independently with interactive study sheets, quizzes, flashcards, and an AI tutor that adapts to their level. It complements Prime Profs lessons by reinforcing learning between sessions.")</f>
        <v/>
      </c>
      <c r="Y1687" s="15">
        <f>IFERROR(__xludf.DUMMYFUNCTION("""COMPUTED_VALUE"""),"https://drive.google.com/uc?export=view&amp;id=1S7-nZ4zFlFWDGpIcElqRMyNxm_H1uvk7")</f>
        <v/>
      </c>
      <c r="Z1687" s="1">
        <f>IFERROR(__xludf.DUMMYFUNCTION("""COMPUTED_VALUE"""),"Verified")</f>
        <v/>
      </c>
      <c r="AA1687" s="1">
        <f>IFERROR(__xludf.DUMMYFUNCTION("""COMPUTED_VALUE"""),"Collaborations between EdTech organisations, Public-private partnerships")</f>
        <v/>
      </c>
      <c r="AB1687" s="1">
        <f>IFERROR(__xludf.DUMMYFUNCTION("""COMPUTED_VALUE"""),"For-profit company")</f>
        <v/>
      </c>
      <c r="AC1687" s="1">
        <f>IFERROR(__xludf.DUMMYFUNCTION("""COMPUTED_VALUE"""),TRUE)</f>
        <v/>
      </c>
      <c r="AD1687" s="1">
        <f>IFERROR(__xludf.DUMMYFUNCTION("""COMPUTED_VALUE"""),TRUE)</f>
        <v/>
      </c>
      <c r="AE1687" s="1" t="n"/>
    </row>
    <row r="1688" ht="42" customHeight="1">
      <c r="A1688" s="14">
        <f>IFERROR(__xludf.DUMMYFUNCTION("""COMPUTED_VALUE"""),45974)</f>
        <v/>
      </c>
      <c r="B1688" s="1">
        <f>IFERROR(__xludf.DUMMYFUNCTION("""COMPUTED_VALUE"""),"ORG_2722")</f>
        <v/>
      </c>
      <c r="C1688" s="1">
        <f>IFERROR(__xludf.DUMMYFUNCTION("""COMPUTED_VALUE"""),TRUE)</f>
        <v/>
      </c>
      <c r="D1688" s="1">
        <f>IFERROR(__xludf.DUMMYFUNCTION("""COMPUTED_VALUE"""),"Bookinou")</f>
        <v/>
      </c>
      <c r="E1688" s="15">
        <f>IFERROR(__xludf.DUMMYFUNCTION("""COMPUTED_VALUE"""),"https://www.mybookinou.com/")</f>
        <v/>
      </c>
      <c r="F1688" s="1">
        <f>IFERROR(__xludf.DUMMYFUNCTION("""COMPUTED_VALUE"""),"Bookinou is a book reader for children from 2 years old, screen-free and wireless, supported by the French Ministry of Education and Edu-Up. It fosters a love of reading from an early age through stories recorded in the voices of loved ones (dad, mom, gra"&amp;"ndpa, teacher…), while keeping the book in the child’s hands so they can read at their own pace.")</f>
        <v/>
      </c>
      <c r="G1688" s="1">
        <f>IFERROR(__xludf.DUMMYFUNCTION("""COMPUTED_VALUE"""),"EdTech France")</f>
        <v/>
      </c>
      <c r="H1688" s="1">
        <f>IFERROR(__xludf.DUMMYFUNCTION("""COMPUTED_VALUE"""),"French, English")</f>
        <v/>
      </c>
      <c r="I1688" s="1">
        <f>IFERROR(__xludf.DUMMYFUNCTION("""COMPUTED_VALUE"""),"help@mybookinou.com")</f>
        <v/>
      </c>
      <c r="J1688" s="1">
        <f>IFERROR(__xludf.DUMMYFUNCTION("""COMPUTED_VALUE"""),"+33618889923")</f>
        <v/>
      </c>
      <c r="K1688" s="1">
        <f>IFERROR(__xludf.DUMMYFUNCTION("""COMPUTED_VALUE"""),"Lyon")</f>
        <v/>
      </c>
      <c r="L1688" s="1">
        <f>IFERROR(__xludf.DUMMYFUNCTION("""COMPUTED_VALUE"""),"France")</f>
        <v/>
      </c>
      <c r="M1688" s="1">
        <f>IFERROR(__xludf.DUMMYFUNCTION("""COMPUTED_VALUE"""),"Belgium, France, Switzerland")</f>
        <v/>
      </c>
      <c r="N1688" s="1">
        <f>IFERROR(__xludf.DUMMYFUNCTION("""COMPUTED_VALUE"""),"Small (10-49 FTE employees)")</f>
        <v/>
      </c>
      <c r="O1688" s="1">
        <f>IFERROR(__xludf.DUMMYFUNCTION("""COMPUTED_VALUE"""),"Business to Schools, Business to Consumer")</f>
        <v/>
      </c>
      <c r="P1688" s="1">
        <f>IFERROR(__xludf.DUMMYFUNCTION("""COMPUTED_VALUE"""),"Early childhood development (0-5 years), Primary Education")</f>
        <v/>
      </c>
      <c r="Q1688" s="1">
        <f>IFERROR(__xludf.DUMMYFUNCTION("""COMPUTED_VALUE"""),"Student interfacing")</f>
        <v/>
      </c>
      <c r="R1688" s="15">
        <f>IFERROR(__xludf.DUMMYFUNCTION("""COMPUTED_VALUE"""),"https://www.instagram.com/bookinou/?hl=fr")</f>
        <v/>
      </c>
      <c r="S1688" s="15">
        <f>IFERROR(__xludf.DUMMYFUNCTION("""COMPUTED_VALUE"""),"https://x.com/mybookinou")</f>
        <v/>
      </c>
      <c r="T1688" s="15">
        <f>IFERROR(__xludf.DUMMYFUNCTION("""COMPUTED_VALUE"""),"https://www.linkedin.com/company/bookinou")</f>
        <v/>
      </c>
      <c r="U1688" s="1">
        <f>IFERROR(__xludf.DUMMYFUNCTION("""COMPUTED_VALUE"""),"book reader Bookinou")</f>
        <v/>
      </c>
      <c r="V1688" s="1">
        <f>IFERROR(__xludf.DUMMYFUNCTION("""COMPUTED_VALUE"""),"Bookinou is a book reader, wireless book reader for children 2+, supported by the French Ministry of Education, letting kids enjoy stories in loved ones’ voices while holding the book.")</f>
        <v/>
      </c>
      <c r="W1688" s="1" t="n"/>
      <c r="X1688" s="1" t="n"/>
      <c r="Y1688" s="15">
        <f>IFERROR(__xludf.DUMMYFUNCTION("""COMPUTED_VALUE"""),"https://drive.google.com/uc?export=view&amp;id=1or7a4dwWWjQ2Looq7WMMDyC06BmU4bpg")</f>
        <v/>
      </c>
      <c r="Z1688" s="1">
        <f>IFERROR(__xludf.DUMMYFUNCTION("""COMPUTED_VALUE"""),"Verified")</f>
        <v/>
      </c>
      <c r="AA1688" s="1">
        <f>IFERROR(__xludf.DUMMYFUNCTION("""COMPUTED_VALUE"""),"Collaborations between EdTech organisations")</f>
        <v/>
      </c>
      <c r="AB1688" s="1">
        <f>IFERROR(__xludf.DUMMYFUNCTION("""COMPUTED_VALUE"""),"For-profit company")</f>
        <v/>
      </c>
      <c r="AC1688" s="1">
        <f>IFERROR(__xludf.DUMMYFUNCTION("""COMPUTED_VALUE"""),TRUE)</f>
        <v/>
      </c>
      <c r="AD1688" s="1">
        <f>IFERROR(__xludf.DUMMYFUNCTION("""COMPUTED_VALUE"""),TRUE)</f>
        <v/>
      </c>
      <c r="AE1688" s="1" t="n"/>
    </row>
    <row r="1689" ht="42" customHeight="1">
      <c r="A1689" s="14">
        <f>IFERROR(__xludf.DUMMYFUNCTION("""COMPUTED_VALUE"""),45974)</f>
        <v/>
      </c>
      <c r="B1689" s="1">
        <f>IFERROR(__xludf.DUMMYFUNCTION("""COMPUTED_VALUE"""),"ORG_2723")</f>
        <v/>
      </c>
      <c r="C1689" s="1">
        <f>IFERROR(__xludf.DUMMYFUNCTION("""COMPUTED_VALUE"""),TRUE)</f>
        <v/>
      </c>
      <c r="D1689" s="1">
        <f>IFERROR(__xludf.DUMMYFUNCTION("""COMPUTED_VALUE"""),"Aptilink")</f>
        <v/>
      </c>
      <c r="E1689" s="15">
        <f>IFERROR(__xludf.DUMMYFUNCTION("""COMPUTED_VALUE"""),"https://www.aptilink.com/")</f>
        <v/>
      </c>
      <c r="F1689" s="1">
        <f>IFERROR(__xludf.DUMMYFUNCTION("""COMPUTED_VALUE"""),"Aptilink is a digital learning agency specializing in L&amp;D strategy consulting, custom e-learning content creation, and innovative learning software solutions. The company helps organizations design, deploy, and optimize impactful training experiences thro"&amp;"ugh a blend of pedagogical expertise, digital innovation, and strategic support.")</f>
        <v/>
      </c>
      <c r="G1689" s="1">
        <f>IFERROR(__xludf.DUMMYFUNCTION("""COMPUTED_VALUE"""),"EdTech France")</f>
        <v/>
      </c>
      <c r="H1689" s="1">
        <f>IFERROR(__xludf.DUMMYFUNCTION("""COMPUTED_VALUE"""),"English, French, German, Italian, Spanish, Dutch, Croatian, Portuguese, Bulgarian, Danish, Estonian, Greek, Czech, Romanian, Hungarian, Polish, Swedish")</f>
        <v/>
      </c>
      <c r="I1689" s="1">
        <f>IFERROR(__xludf.DUMMYFUNCTION("""COMPUTED_VALUE"""),"emmanuel.bellengier@aptilink.com")</f>
        <v/>
      </c>
      <c r="J1689" s="1">
        <f>IFERROR(__xludf.DUMMYFUNCTION("""COMPUTED_VALUE"""),"+33146946111")</f>
        <v/>
      </c>
      <c r="K1689" s="1">
        <f>IFERROR(__xludf.DUMMYFUNCTION("""COMPUTED_VALUE"""),"Paris")</f>
        <v/>
      </c>
      <c r="L1689" s="1">
        <f>IFERROR(__xludf.DUMMYFUNCTION("""COMPUTED_VALUE"""),"France")</f>
        <v/>
      </c>
      <c r="M1689" s="1">
        <f>IFERROR(__xludf.DUMMYFUNCTION("""COMPUTED_VALUE"""),"Belgium, France, Germany, United Kingdom")</f>
        <v/>
      </c>
      <c r="N1689" s="1">
        <f>IFERROR(__xludf.DUMMYFUNCTION("""COMPUTED_VALUE"""),"Small (10-49 FTE employees)")</f>
        <v/>
      </c>
      <c r="O1689" s="1">
        <f>IFERROR(__xludf.DUMMYFUNCTION("""COMPUTED_VALUE"""),"Business to Business")</f>
        <v/>
      </c>
      <c r="P1689" s="1">
        <f>IFERROR(__xludf.DUMMYFUNCTION("""COMPUTED_VALUE"""),"Corporate Training, Higher Education, Vocational Education and Training (VET), Lifelong learning/Adult education")</f>
        <v/>
      </c>
      <c r="Q1689" s="1">
        <f>IFERROR(__xludf.DUMMYFUNCTION("""COMPUTED_VALUE"""),"System/Administrative")</f>
        <v/>
      </c>
      <c r="R1689" s="1" t="n"/>
      <c r="S1689" s="1" t="n"/>
      <c r="T1689" s="15">
        <f>IFERROR(__xludf.DUMMYFUNCTION("""COMPUTED_VALUE"""),"https://www.linkedin.com/company/aptilink/")</f>
        <v/>
      </c>
      <c r="U1689" s="1">
        <f>IFERROR(__xludf.DUMMYFUNCTION("""COMPUTED_VALUE"""),"L&amp;D Strategy Consulting")</f>
        <v/>
      </c>
      <c r="V1689" s="1">
        <f>IFERROR(__xludf.DUMMYFUNCTION("""COMPUTED_VALUE"""),"Aptilink supports organizations in designing and optimizing their learning and development strategy. This includes training audits, skills development plans, digital learning transformation, and guidance on building effective, scalable training ecosystems"&amp;".")</f>
        <v/>
      </c>
      <c r="W1689" s="1">
        <f>IFERROR(__xludf.DUMMYFUNCTION("""COMPUTED_VALUE"""),"Custom E-Learning Module Creation")</f>
        <v/>
      </c>
      <c r="X1689" s="1">
        <f>IFERROR(__xludf.DUMMYFUNCTION("""COMPUTED_VALUE"""),"Aptilink designs and produces tailor-made digital learning experiences, including interactive modules, serious games, motion-design videos, and blended learning paths.")</f>
        <v/>
      </c>
      <c r="Y1689" s="15">
        <f>IFERROR(__xludf.DUMMYFUNCTION("""COMPUTED_VALUE"""),"https://drive.google.com/uc?export=view&amp;id=1Z6h2ofQORfeT-rCL5_Jo1DxR1FuvAw9-")</f>
        <v/>
      </c>
      <c r="Z1689" s="1">
        <f>IFERROR(__xludf.DUMMYFUNCTION("""COMPUTED_VALUE"""),"Verified")</f>
        <v/>
      </c>
      <c r="AA1689" s="1">
        <f>IFERROR(__xludf.DUMMYFUNCTION("""COMPUTED_VALUE"""),"Collaborations between EdTech organisations, Project consortium building, Industry-academia partnerships, Other")</f>
        <v/>
      </c>
      <c r="AB1689" s="1">
        <f>IFERROR(__xludf.DUMMYFUNCTION("""COMPUTED_VALUE"""),"For-profit company")</f>
        <v/>
      </c>
      <c r="AC1689" s="1">
        <f>IFERROR(__xludf.DUMMYFUNCTION("""COMPUTED_VALUE"""),TRUE)</f>
        <v/>
      </c>
      <c r="AD1689" s="1">
        <f>IFERROR(__xludf.DUMMYFUNCTION("""COMPUTED_VALUE"""),TRUE)</f>
        <v/>
      </c>
      <c r="AE1689" s="1" t="n"/>
    </row>
    <row r="1690" ht="42" customHeight="1">
      <c r="A1690" s="14">
        <f>IFERROR(__xludf.DUMMYFUNCTION("""COMPUTED_VALUE"""),45974)</f>
        <v/>
      </c>
      <c r="B1690" s="1">
        <f>IFERROR(__xludf.DUMMYFUNCTION("""COMPUTED_VALUE"""),"ORG_2724")</f>
        <v/>
      </c>
      <c r="C1690" s="1">
        <f>IFERROR(__xludf.DUMMYFUNCTION("""COMPUTED_VALUE"""),TRUE)</f>
        <v/>
      </c>
      <c r="D1690" s="1">
        <f>IFERROR(__xludf.DUMMYFUNCTION("""COMPUTED_VALUE"""),"Beedeez")</f>
        <v/>
      </c>
      <c r="E1690" s="15">
        <f>IFERROR(__xludf.DUMMYFUNCTION("""COMPUTED_VALUE"""),"https://www.beedeez.com/fr/")</f>
        <v/>
      </c>
      <c r="F1690" s="1">
        <f>IFERROR(__xludf.DUMMYFUNCTION("""COMPUTED_VALUE"""),"Beedeez is a Social Learning Platform to engage and retain your teams by transforming them into learning communities to help your company grow.  Thanks to a unique technology linked to a social pedagogy, Beedeez allows you to decentralise knowledge within"&amp;" your company so that everyone is both a learner and a trainer. By offering an innovative and social training platform, Beedeez allows you to overcome all the professional training challenges of today and tomorrow.")</f>
        <v/>
      </c>
      <c r="G1690" s="1">
        <f>IFERROR(__xludf.DUMMYFUNCTION("""COMPUTED_VALUE"""),"EdTech France")</f>
        <v/>
      </c>
      <c r="H1690" s="1">
        <f>IFERROR(__xludf.DUMMYFUNCTION("""COMPUTED_VALUE"""),"English, French, Spanish, German, Italian, Dutch, Portuguese, Bulgarian, Croatian, Czech, Danish, Estonian, Finnish, Greek, Hungarian, Irish, Latvian, Lithuanian, Maltese, Polish, Romanian, Slovak, Slovenian, Swedish, Ukrainian")</f>
        <v/>
      </c>
      <c r="I1690" s="1">
        <f>IFERROR(__xludf.DUMMYFUNCTION("""COMPUTED_VALUE"""),"lucas.gentric@beedeez.com")</f>
        <v/>
      </c>
      <c r="J1690" s="1">
        <f>IFERROR(__xludf.DUMMYFUNCTION("""COMPUTED_VALUE"""),"+33650761989")</f>
        <v/>
      </c>
      <c r="K1690" s="1">
        <f>IFERROR(__xludf.DUMMYFUNCTION("""COMPUTED_VALUE"""),"Paris")</f>
        <v/>
      </c>
      <c r="L1690" s="1">
        <f>IFERROR(__xludf.DUMMYFUNCTION("""COMPUTED_VALUE"""),"France")</f>
        <v/>
      </c>
      <c r="M1690" s="1">
        <f>IFERROR(__xludf.DUMMYFUNCTION("""COMPUTED_VALUE"""),"Belgium, Austria, Denmark, France, Germany, Italy, Netherlands, Portugal, Spain, Turkey, United Kingdom, USA, Canada, China, Australia")</f>
        <v/>
      </c>
      <c r="N1690" s="1">
        <f>IFERROR(__xludf.DUMMYFUNCTION("""COMPUTED_VALUE"""),"Medium (50-250 FTE employees)")</f>
        <v/>
      </c>
      <c r="O1690" s="1">
        <f>IFERROR(__xludf.DUMMYFUNCTION("""COMPUTED_VALUE"""),"Business to Business")</f>
        <v/>
      </c>
      <c r="P1690" s="1">
        <f>IFERROR(__xludf.DUMMYFUNCTION("""COMPUTED_VALUE"""),"Corporate Training")</f>
        <v/>
      </c>
      <c r="Q1690" s="1">
        <f>IFERROR(__xludf.DUMMYFUNCTION("""COMPUTED_VALUE"""),"Other")</f>
        <v/>
      </c>
      <c r="R1690" s="1" t="n"/>
      <c r="S1690" s="1" t="n"/>
      <c r="T1690" s="15">
        <f>IFERROR(__xludf.DUMMYFUNCTION("""COMPUTED_VALUE"""),"https://www.linkedin.com/company/beedeez/posts/?feedView=all")</f>
        <v/>
      </c>
      <c r="U1690" s="1">
        <f>IFERROR(__xludf.DUMMYFUNCTION("""COMPUTED_VALUE"""),"Learning Management Solution (LMS)")</f>
        <v/>
      </c>
      <c r="V1690" s="1">
        <f>IFERROR(__xludf.DUMMYFUNCTION("""COMPUTED_VALUE"""),"Beedeez is a Social Learning Platform to engage and retain your teams by transforming them into learning communities to help your company grow.
Beedeez allows you to decentralise knowledge within your company so that everyone is both a learner and a train"&amp;"er.")</f>
        <v/>
      </c>
      <c r="W1690" s="1" t="n"/>
      <c r="X1690" s="1" t="n"/>
      <c r="Y1690" s="15">
        <f>IFERROR(__xludf.DUMMYFUNCTION("""COMPUTED_VALUE"""),"https://drive.google.com/uc?export=view&amp;id=15dYoEAn7Jf0GiVopuIHGhqCBBuobiA4H")</f>
        <v/>
      </c>
      <c r="Z1690" s="1">
        <f>IFERROR(__xludf.DUMMYFUNCTION("""COMPUTED_VALUE"""),"Verified")</f>
        <v/>
      </c>
      <c r="AA1690" s="1">
        <f>IFERROR(__xludf.DUMMYFUNCTION("""COMPUTED_VALUE"""),"Collaborations between EdTech organisations, Other")</f>
        <v/>
      </c>
      <c r="AB1690" s="1">
        <f>IFERROR(__xludf.DUMMYFUNCTION("""COMPUTED_VALUE"""),"For-profit company")</f>
        <v/>
      </c>
      <c r="AC1690" s="1">
        <f>IFERROR(__xludf.DUMMYFUNCTION("""COMPUTED_VALUE"""),TRUE)</f>
        <v/>
      </c>
      <c r="AD1690" s="1">
        <f>IFERROR(__xludf.DUMMYFUNCTION("""COMPUTED_VALUE"""),TRUE)</f>
        <v/>
      </c>
      <c r="AE1690" s="1" t="n"/>
    </row>
    <row r="1691" ht="42" customHeight="1">
      <c r="A1691" s="14">
        <f>IFERROR(__xludf.DUMMYFUNCTION("""COMPUTED_VALUE"""),45974)</f>
        <v/>
      </c>
      <c r="B1691" s="1">
        <f>IFERROR(__xludf.DUMMYFUNCTION("""COMPUTED_VALUE"""),"ORG_2725")</f>
        <v/>
      </c>
      <c r="C1691" s="1">
        <f>IFERROR(__xludf.DUMMYFUNCTION("""COMPUTED_VALUE"""),TRUE)</f>
        <v/>
      </c>
      <c r="D1691" s="1">
        <f>IFERROR(__xludf.DUMMYFUNCTION("""COMPUTED_VALUE"""),"Hopteo")</f>
        <v/>
      </c>
      <c r="E1691" s="15">
        <f>IFERROR(__xludf.DUMMYFUNCTION("""COMPUTED_VALUE"""),"www.hopteo.com")</f>
        <v/>
      </c>
      <c r="F1691" s="1">
        <f>IFERROR(__xludf.DUMMYFUNCTION("""COMPUTED_VALUE"""),"Hopteo is a smart mobile app designed to help high school students in France to build their educational and professionnal path. By answering a series of preference-based “swipe” cards, users receive personalised suggestions of over 90 000 formations, each"&amp;" described with clear details on curriculum, admissions, costs and career outcomes. Hopteo stands out for its impartiality - no school can pay for positioning - and relies on official data from sources like Onisep and Parcoursup to ensure trustworthy guid"&amp;"ance.")</f>
        <v/>
      </c>
      <c r="G1691" s="1">
        <f>IFERROR(__xludf.DUMMYFUNCTION("""COMPUTED_VALUE"""),"EdTech France")</f>
        <v/>
      </c>
      <c r="H1691" s="1">
        <f>IFERROR(__xludf.DUMMYFUNCTION("""COMPUTED_VALUE"""),"French")</f>
        <v/>
      </c>
      <c r="I1691" s="1">
        <f>IFERROR(__xludf.DUMMYFUNCTION("""COMPUTED_VALUE"""),"contact@hopteo.com")</f>
        <v/>
      </c>
      <c r="J1691" s="1">
        <f>IFERROR(__xludf.DUMMYFUNCTION("""COMPUTED_VALUE"""),"+33699689111")</f>
        <v/>
      </c>
      <c r="K1691" s="1">
        <f>IFERROR(__xludf.DUMMYFUNCTION("""COMPUTED_VALUE"""),"Albi")</f>
        <v/>
      </c>
      <c r="L1691" s="1">
        <f>IFERROR(__xludf.DUMMYFUNCTION("""COMPUTED_VALUE"""),"France")</f>
        <v/>
      </c>
      <c r="M1691" s="1">
        <f>IFERROR(__xludf.DUMMYFUNCTION("""COMPUTED_VALUE"""),"France")</f>
        <v/>
      </c>
      <c r="N1691" s="1">
        <f>IFERROR(__xludf.DUMMYFUNCTION("""COMPUTED_VALUE"""),"Micro (1-9 FTE employees)")</f>
        <v/>
      </c>
      <c r="O1691" s="1">
        <f>IFERROR(__xludf.DUMMYFUNCTION("""COMPUTED_VALUE"""),"Business to Consumer")</f>
        <v/>
      </c>
      <c r="P1691" s="1">
        <f>IFERROR(__xludf.DUMMYFUNCTION("""COMPUTED_VALUE"""),"Secondary Education, Higher Education, Lifelong learning/Adult education")</f>
        <v/>
      </c>
      <c r="Q1691" s="1">
        <f>IFERROR(__xludf.DUMMYFUNCTION("""COMPUTED_VALUE"""),"Student interfacing")</f>
        <v/>
      </c>
      <c r="R1691" s="15">
        <f>IFERROR(__xludf.DUMMYFUNCTION("""COMPUTED_VALUE"""),"https://www.instagram.com/hopteo_app/")</f>
        <v/>
      </c>
      <c r="S1691" s="1" t="n"/>
      <c r="T1691" s="15">
        <f>IFERROR(__xludf.DUMMYFUNCTION("""COMPUTED_VALUE"""),"https://www.linkedin.com/company/hopteo")</f>
        <v/>
      </c>
      <c r="U1691" s="1">
        <f>IFERROR(__xludf.DUMMYFUNCTION("""COMPUTED_VALUE"""),"Hopteo+")</f>
        <v/>
      </c>
      <c r="V1691" s="1">
        <f>IFERROR(__xludf.DUMMYFUNCTION("""COMPUTED_VALUE"""),"Hopteo+ is a smart assistant who guide students to build their own scholar and professionnal path step by step. This assistant is build only around the student profile generate by our unique swipe card system.")</f>
        <v/>
      </c>
      <c r="W1691" s="1" t="n"/>
      <c r="X1691" s="1" t="n"/>
      <c r="Y1691" s="15">
        <f>IFERROR(__xludf.DUMMYFUNCTION("""COMPUTED_VALUE"""),"https://drive.google.com/uc?export=view&amp;id=1PG0epXFvC-fNUDOafNtApPcJ2kcNQY97")</f>
        <v/>
      </c>
      <c r="Z1691" s="1">
        <f>IFERROR(__xludf.DUMMYFUNCTION("""COMPUTED_VALUE"""),"Verified")</f>
        <v/>
      </c>
      <c r="AA1691" s="1">
        <f>IFERROR(__xludf.DUMMYFUNCTION("""COMPUTED_VALUE"""),"Collaborations between EdTech organisations, Other")</f>
        <v/>
      </c>
      <c r="AB1691" s="1">
        <f>IFERROR(__xludf.DUMMYFUNCTION("""COMPUTED_VALUE"""),"For-profit company")</f>
        <v/>
      </c>
      <c r="AC1691" s="1">
        <f>IFERROR(__xludf.DUMMYFUNCTION("""COMPUTED_VALUE"""),FALSE)</f>
        <v/>
      </c>
      <c r="AD1691" s="1">
        <f>IFERROR(__xludf.DUMMYFUNCTION("""COMPUTED_VALUE"""),TRUE)</f>
        <v/>
      </c>
      <c r="AE1691" s="15">
        <f>IFERROR(__xludf.DUMMYFUNCTION("""COMPUTED_VALUE"""),"https://www.facebook.com/p/Hopteo-100092716956707/")</f>
        <v/>
      </c>
    </row>
    <row r="1692" ht="42" customHeight="1">
      <c r="A1692" s="14">
        <f>IFERROR(__xludf.DUMMYFUNCTION("""COMPUTED_VALUE"""),45974)</f>
        <v/>
      </c>
      <c r="B1692" s="1">
        <f>IFERROR(__xludf.DUMMYFUNCTION("""COMPUTED_VALUE"""),"ORG_2587")</f>
        <v/>
      </c>
      <c r="C1692" s="1">
        <f>IFERROR(__xludf.DUMMYFUNCTION("""COMPUTED_VALUE"""),TRUE)</f>
        <v/>
      </c>
      <c r="D1692" s="1">
        <f>IFERROR(__xludf.DUMMYFUNCTION("""COMPUTED_VALUE"""),"FACIL'iti")</f>
        <v/>
      </c>
      <c r="E1692" s="15">
        <f>IFERROR(__xludf.DUMMYFUNCTION("""COMPUTED_VALUE"""),"https://www.facil-iti.fr")</f>
        <v/>
      </c>
      <c r="F1692" s="1">
        <f>IFERROR(__xludf.DUMMYFUNCTION("""COMPUTED_VALUE"""),"FACIL’iti makes everyday life and everyday moments easier through user-friendly, one-click innovative digital tools for those with cognitive, visual, and motor challenges.")</f>
        <v/>
      </c>
      <c r="G1692" s="1">
        <f>IFERROR(__xludf.DUMMYFUNCTION("""COMPUTED_VALUE"""),"EdTech France")</f>
        <v/>
      </c>
      <c r="H1692" s="1">
        <f>IFERROR(__xludf.DUMMYFUNCTION("""COMPUTED_VALUE"""),"English, French, Japanese")</f>
        <v/>
      </c>
      <c r="I1692" s="1">
        <f>IFERROR(__xludf.DUMMYFUNCTION("""COMPUTED_VALUE"""),"j.debord@facil-iti.com")</f>
        <v/>
      </c>
      <c r="J1692" s="1">
        <f>IFERROR(__xludf.DUMMYFUNCTION("""COMPUTED_VALUE"""),"+33674687142")</f>
        <v/>
      </c>
      <c r="K1692" s="1">
        <f>IFERROR(__xludf.DUMMYFUNCTION("""COMPUTED_VALUE"""),"Limoges, FRANCE")</f>
        <v/>
      </c>
      <c r="L1692" s="1">
        <f>IFERROR(__xludf.DUMMYFUNCTION("""COMPUTED_VALUE"""),"France")</f>
        <v/>
      </c>
      <c r="M1692" s="1">
        <f>IFERROR(__xludf.DUMMYFUNCTION("""COMPUTED_VALUE"""),"Albania, Belarus, Andorra, Belgium, Austria, Bosnia and Herzegovina, Republic of Cyprus, Croatia, Bulgaria, Czechia, Denmark, Estonia, Germany, France, Finland, Greece, Hungary, Iceland, Kosovo, Italy, Ireland, Latvia, Liechtenstein, Lithuania, Moldova, N"&amp;"etherlands, Malta, Montenegro, Luxembourg, Monaco, North Macedonia, Portugal, Norway, Romania, Poland, San Marino, Spain, Turkey, Slovenia, Switzerland, Slovakia, Sweden, Ukraine, United Kingdom")</f>
        <v/>
      </c>
      <c r="N1692" s="1">
        <f>IFERROR(__xludf.DUMMYFUNCTION("""COMPUTED_VALUE"""),"Small (10-49 FTE employees)")</f>
        <v/>
      </c>
      <c r="O1692" s="1">
        <f>IFERROR(__xludf.DUMMYFUNCTION("""COMPUTED_VALUE"""),"Business to Business, Business to Consumer, Business to Government, Business to Schools")</f>
        <v/>
      </c>
      <c r="P1692" s="1">
        <f>IFERROR(__xludf.DUMMYFUNCTION("""COMPUTED_VALUE"""),"Primary Education, Secondary Education, Vocational Education and Training (VET), Higher Education, Corporate Training, Lifelong learning/Adult education, Special education, Other")</f>
        <v/>
      </c>
      <c r="Q1692" s="1">
        <f>IFERROR(__xludf.DUMMYFUNCTION("""COMPUTED_VALUE"""),"Student interfacing")</f>
        <v/>
      </c>
      <c r="R1692" s="15">
        <f>IFERROR(__xludf.DUMMYFUNCTION("""COMPUTED_VALUE"""),"https://www.instagram.com/facil_iti/")</f>
        <v/>
      </c>
      <c r="S1692" s="15">
        <f>IFERROR(__xludf.DUMMYFUNCTION("""COMPUTED_VALUE"""),"https://twitter.com/facil_iti")</f>
        <v/>
      </c>
      <c r="T1692" s="15">
        <f>IFERROR(__xludf.DUMMYFUNCTION("""COMPUTED_VALUE"""),"https://www.linkedin.com/company/facil-iti-france/")</f>
        <v/>
      </c>
      <c r="U1692" s="1">
        <f>IFERROR(__xludf.DUMMYFUNCTION("""COMPUTED_VALUE"""),"MYdys")</f>
        <v/>
      </c>
      <c r="V1692" s="1">
        <f>IFERROR(__xludf.DUMMYFUNCTION("""COMPUTED_VALUE"""),"MYdys offers features that improve reading comfort and text comprehension for a wide audience: learners of all ages who are affected by cognitive disorders (dyslexia, ASD, etc.), visual impairments (partial sight, etc.), or who are non-native speakers or "&amp;"illiterate.")</f>
        <v/>
      </c>
      <c r="W1692" s="1" t="n"/>
      <c r="X1692" s="1" t="n"/>
      <c r="Y1692" s="15">
        <f>IFERROR(__xludf.DUMMYFUNCTION("""COMPUTED_VALUE"""),"https://drive.google.com/uc?export=view&amp;id=1S7LL3RxuHou84CrNHPGMAtFAIdZLkbyD")</f>
        <v/>
      </c>
      <c r="Z1692" s="1">
        <f>IFERROR(__xludf.DUMMYFUNCTION("""COMPUTED_VALUE"""),"Verified")</f>
        <v/>
      </c>
      <c r="AA1692" s="1">
        <f>IFERROR(__xludf.DUMMYFUNCTION("""COMPUTED_VALUE"""),"Industry-academia partnerships")</f>
        <v/>
      </c>
      <c r="AB1692" s="1">
        <f>IFERROR(__xludf.DUMMYFUNCTION("""COMPUTED_VALUE"""),"For-profit company")</f>
        <v/>
      </c>
      <c r="AC1692" s="1">
        <f>IFERROR(__xludf.DUMMYFUNCTION("""COMPUTED_VALUE"""),TRUE)</f>
        <v/>
      </c>
      <c r="AD1692" s="1">
        <f>IFERROR(__xludf.DUMMYFUNCTION("""COMPUTED_VALUE"""),TRUE)</f>
        <v/>
      </c>
      <c r="AE1692" s="15">
        <f>IFERROR(__xludf.DUMMYFUNCTION("""COMPUTED_VALUE"""),"https://fr-fr.facebook.com/solutionfaciliti/")</f>
        <v/>
      </c>
    </row>
    <row r="1693" ht="42" customHeight="1">
      <c r="A1693" s="14">
        <f>IFERROR(__xludf.DUMMYFUNCTION("""COMPUTED_VALUE"""),45975)</f>
        <v/>
      </c>
      <c r="B1693" s="1">
        <f>IFERROR(__xludf.DUMMYFUNCTION("""COMPUTED_VALUE"""),"ORG_2727")</f>
        <v/>
      </c>
      <c r="C1693" s="1">
        <f>IFERROR(__xludf.DUMMYFUNCTION("""COMPUTED_VALUE"""),TRUE)</f>
        <v/>
      </c>
      <c r="D1693" s="1">
        <f>IFERROR(__xludf.DUMMYFUNCTION("""COMPUTED_VALUE"""),"YouScribe")</f>
        <v/>
      </c>
      <c r="E1693" s="15">
        <f>IFERROR(__xludf.DUMMYFUNCTION("""COMPUTED_VALUE"""),"https://www.youscribe.com/")</f>
        <v/>
      </c>
      <c r="F1693" s="1">
        <f>IFERROR(__xludf.DUMMYFUNCTION("""COMPUTED_VALUE"""),"YouScribe, the ‘Netflix of reading’, is the leading streaming library on the African continent. The company is growing mainly in Europe and Africa. The service is available in 13 countries in the MENA region, via a microcredit subscription model on a dail"&amp;"y basis (B2C) or an annual subscription (B2B) for schools, universities and corporate foundations. YouScribe had more than 1.3 million subscribers in Africa at the end of 2023.  Novels, audiobooks, newspapers, comics, professional and personal development"&amp;" books, children's books... more than a million pieces of content in French, Arabic and English are available for streaming on all screens (smartphones, PCs and tablets).  Through its offering and its partners, YouScribe aims to contribute to a world of u"&amp;"nlimited cultures through the power of reading. ")</f>
        <v/>
      </c>
      <c r="G1693" s="1">
        <f>IFERROR(__xludf.DUMMYFUNCTION("""COMPUTED_VALUE"""),"AFINEF, EdTech France")</f>
        <v/>
      </c>
      <c r="H1693" s="1">
        <f>IFERROR(__xludf.DUMMYFUNCTION("""COMPUTED_VALUE"""),"English, French, Spanish")</f>
        <v/>
      </c>
      <c r="I1693" s="1">
        <f>IFERROR(__xludf.DUMMYFUNCTION("""COMPUTED_VALUE"""),"contact@youscribe.com")</f>
        <v/>
      </c>
      <c r="J1693" s="1">
        <f>IFERROR(__xludf.DUMMYFUNCTION("""COMPUTED_VALUE"""),"+33688996275")</f>
        <v/>
      </c>
      <c r="K1693" s="1">
        <f>IFERROR(__xludf.DUMMYFUNCTION("""COMPUTED_VALUE"""),"Paris")</f>
        <v/>
      </c>
      <c r="L1693" s="1">
        <f>IFERROR(__xludf.DUMMYFUNCTION("""COMPUTED_VALUE"""),"France")</f>
        <v/>
      </c>
      <c r="M1693" s="1">
        <f>IFERROR(__xludf.DUMMYFUNCTION("""COMPUTED_VALUE"""),"France, Belgium")</f>
        <v/>
      </c>
      <c r="N1693" s="1">
        <f>IFERROR(__xludf.DUMMYFUNCTION("""COMPUTED_VALUE"""),"Small (10-49 FTE employees)")</f>
        <v/>
      </c>
      <c r="O1693" s="1">
        <f>IFERROR(__xludf.DUMMYFUNCTION("""COMPUTED_VALUE"""),"Business to Business, Business to Consumer, Business to Government, Business to Schools")</f>
        <v/>
      </c>
      <c r="P1693" s="1">
        <f>IFERROR(__xludf.DUMMYFUNCTION("""COMPUTED_VALUE"""),"Primary Education, Secondary Education, Higher Education, Corporate Training, Lifelong learning/Adult education")</f>
        <v/>
      </c>
      <c r="Q1693" s="1">
        <f>IFERROR(__xludf.DUMMYFUNCTION("""COMPUTED_VALUE"""),"Other")</f>
        <v/>
      </c>
      <c r="R1693" s="1" t="n"/>
      <c r="S1693" s="1" t="n"/>
      <c r="T1693" s="15">
        <f>IFERROR(__xludf.DUMMYFUNCTION("""COMPUTED_VALUE"""),"https://www.linkedin.com/company/youscribe/?originalSubdomain=fr")</f>
        <v/>
      </c>
      <c r="U1693" s="1">
        <f>IFERROR(__xludf.DUMMYFUNCTION("""COMPUTED_VALUE"""),"YouScribe subscription")</f>
        <v/>
      </c>
      <c r="V1693" s="1">
        <f>IFERROR(__xludf.DUMMYFUNCTION("""COMPUTED_VALUE"""),"Streaming subscription, by the day, week, month or year, providing unlimited access to the catalogue (e-books, audiobooks, press)")</f>
        <v/>
      </c>
      <c r="W1693" s="1" t="n"/>
      <c r="X1693" s="1" t="n"/>
      <c r="Y1693" s="15">
        <f>IFERROR(__xludf.DUMMYFUNCTION("""COMPUTED_VALUE"""),"https://drive.google.com/uc?export=view&amp;id=1dB8TqyBB-DSd4IIF0GfMH9knkRXsBbJ4")</f>
        <v/>
      </c>
      <c r="Z1693" s="1">
        <f>IFERROR(__xludf.DUMMYFUNCTION("""COMPUTED_VALUE"""),"Verified")</f>
        <v/>
      </c>
      <c r="AA1693" s="1">
        <f>IFERROR(__xludf.DUMMYFUNCTION("""COMPUTED_VALUE"""),"Collaborations between EdTech organisations, Industry-academia partnerships, Public-private partnerships")</f>
        <v/>
      </c>
      <c r="AB1693" s="1">
        <f>IFERROR(__xludf.DUMMYFUNCTION("""COMPUTED_VALUE"""),"For-profit company")</f>
        <v/>
      </c>
      <c r="AC1693" s="1">
        <f>IFERROR(__xludf.DUMMYFUNCTION("""COMPUTED_VALUE"""),TRUE)</f>
        <v/>
      </c>
      <c r="AD1693" s="1">
        <f>IFERROR(__xludf.DUMMYFUNCTION("""COMPUTED_VALUE"""),TRUE)</f>
        <v/>
      </c>
      <c r="AE1693" s="1" t="n"/>
    </row>
    <row r="1694" ht="42" customHeight="1">
      <c r="A1694" s="14">
        <f>IFERROR(__xludf.DUMMYFUNCTION("""COMPUTED_VALUE"""),45975)</f>
        <v/>
      </c>
      <c r="B1694" s="1">
        <f>IFERROR(__xludf.DUMMYFUNCTION("""COMPUTED_VALUE"""),"ORG_2728")</f>
        <v/>
      </c>
      <c r="C1694" s="1">
        <f>IFERROR(__xludf.DUMMYFUNCTION("""COMPUTED_VALUE"""),TRUE)</f>
        <v/>
      </c>
      <c r="D1694" s="1">
        <f>IFERROR(__xludf.DUMMYFUNCTION("""COMPUTED_VALUE"""),"Baguette Lab")</f>
        <v/>
      </c>
      <c r="E1694" s="15">
        <f>IFERROR(__xludf.DUMMYFUNCTION("""COMPUTED_VALUE"""),"https://sankliche.org/")</f>
        <v/>
      </c>
      <c r="F1694" s="1">
        <f>IFERROR(__xludf.DUMMYFUNCTION("""COMPUTED_VALUE"""),"SanKliché is a digital inclusion platform designed to facilitate the linguistic and social integration of non-French speakers. Through structured, real-life micro-learning challenges, it supports the acquisition of practical language skills and fosters au"&amp;"tonomous participation in daily and civic life. Accessible on both mobile and desktop, SanKliché is used by individuals, civil-society organisations, educational institutions, and employers committed to promoting inclusion, equal opportunities, and effect"&amp;"ive communication within diverse communities.")</f>
        <v/>
      </c>
      <c r="G1694" s="1">
        <f>IFERROR(__xludf.DUMMYFUNCTION("""COMPUTED_VALUE"""),"EdTech France")</f>
        <v/>
      </c>
      <c r="H1694" s="1">
        <f>IFERROR(__xludf.DUMMYFUNCTION("""COMPUTED_VALUE"""),"French")</f>
        <v/>
      </c>
      <c r="I1694" s="1">
        <f>IFERROR(__xludf.DUMMYFUNCTION("""COMPUTED_VALUE"""),"contact@sankliche.org")</f>
        <v/>
      </c>
      <c r="J1694" s="1">
        <f>IFERROR(__xludf.DUMMYFUNCTION("""COMPUTED_VALUE"""),"+33689809801")</f>
        <v/>
      </c>
      <c r="K1694" s="1">
        <f>IFERROR(__xludf.DUMMYFUNCTION("""COMPUTED_VALUE"""),"Montpellier")</f>
        <v/>
      </c>
      <c r="L1694" s="1">
        <f>IFERROR(__xludf.DUMMYFUNCTION("""COMPUTED_VALUE"""),"FRANCE")</f>
        <v/>
      </c>
      <c r="M1694" s="1">
        <f>IFERROR(__xludf.DUMMYFUNCTION("""COMPUTED_VALUE"""),"France")</f>
        <v/>
      </c>
      <c r="N1694" s="1">
        <f>IFERROR(__xludf.DUMMYFUNCTION("""COMPUTED_VALUE"""),"Solo entrepreneur")</f>
        <v/>
      </c>
      <c r="O1694" s="1">
        <f>IFERROR(__xludf.DUMMYFUNCTION("""COMPUTED_VALUE"""),"Business to Business, Business to Government, Business to Schools")</f>
        <v/>
      </c>
      <c r="P1694" s="1">
        <f>IFERROR(__xludf.DUMMYFUNCTION("""COMPUTED_VALUE"""),"Higher Education, Secondary Education, Other, Corporate Training, Vocational Education and Training (VET), Lifelong learning/Adult education")</f>
        <v/>
      </c>
      <c r="Q1694" s="1">
        <f>IFERROR(__xludf.DUMMYFUNCTION("""COMPUTED_VALUE"""),"Student interfacing")</f>
        <v/>
      </c>
      <c r="R1694" s="1" t="n"/>
      <c r="S1694" s="1" t="n"/>
      <c r="T1694" s="1" t="n"/>
      <c r="U1694" s="1">
        <f>IFERROR(__xludf.DUMMYFUNCTION("""COMPUTED_VALUE"""),"SanKliché Digital Learning solution")</f>
        <v/>
      </c>
      <c r="V1694" s="1">
        <f>IFERROR(__xludf.DUMMYFUNCTION("""COMPUTED_VALUE"""),"A digital inclusion Edtech utilizing AI-driven gamified micro-learning challenges to accelerate linguistic and social integration. Tailored for non-French speakers, it adapts in real-time to learners’ needs through interactive, context-based scenarios.")</f>
        <v/>
      </c>
      <c r="W1694" s="1">
        <f>IFERROR(__xludf.DUMMYFUNCTION("""COMPUTED_VALUE"""),"SanKliché Training &amp; Integration Programmes")</f>
        <v/>
      </c>
      <c r="X1694" s="1">
        <f>IFERROR(__xludf.DUMMYFUNCTION("""COMPUTED_VALUE"""),"Tailored training pathways for organisations, institutions, and employers supporting newcomers or non-French speaking audiences that combine digital tools, facilitation support, and contextualised learning activities to promote effective communication, em"&amp;"ployability, and social participation")</f>
        <v/>
      </c>
      <c r="Y1694" s="15">
        <f>IFERROR(__xludf.DUMMYFUNCTION("""COMPUTED_VALUE"""),"https://drive.google.com/uc?export=view&amp;id=1zH8AQ3ZNmeioci_BTBJkJVwi2d4UEnub")</f>
        <v/>
      </c>
      <c r="Z1694" s="1">
        <f>IFERROR(__xludf.DUMMYFUNCTION("""COMPUTED_VALUE"""),"Verified")</f>
        <v/>
      </c>
      <c r="AA1694" s="1">
        <f>IFERROR(__xludf.DUMMYFUNCTION("""COMPUTED_VALUE"""),"Collaborations between EdTech organisations, Project consortium building, Public-private partnerships, Industry-academia partnerships")</f>
        <v/>
      </c>
      <c r="AB1694" s="1">
        <f>IFERROR(__xludf.DUMMYFUNCTION("""COMPUTED_VALUE"""),"Non-profit organisation")</f>
        <v/>
      </c>
      <c r="AC1694" s="1">
        <f>IFERROR(__xludf.DUMMYFUNCTION("""COMPUTED_VALUE"""),TRUE)</f>
        <v/>
      </c>
      <c r="AD1694" s="1">
        <f>IFERROR(__xludf.DUMMYFUNCTION("""COMPUTED_VALUE"""),TRUE)</f>
        <v/>
      </c>
      <c r="AE1694" s="1" t="n"/>
    </row>
    <row r="1695" ht="42" customHeight="1">
      <c r="A1695" s="14">
        <f>IFERROR(__xludf.DUMMYFUNCTION("""COMPUTED_VALUE"""),45978)</f>
        <v/>
      </c>
      <c r="B1695" s="1">
        <f>IFERROR(__xludf.DUMMYFUNCTION("""COMPUTED_VALUE"""),"ORG_2729")</f>
        <v/>
      </c>
      <c r="C1695" s="1">
        <f>IFERROR(__xludf.DUMMYFUNCTION("""COMPUTED_VALUE"""),TRUE)</f>
        <v/>
      </c>
      <c r="D1695" s="1">
        <f>IFERROR(__xludf.DUMMYFUNCTION("""COMPUTED_VALUE"""),"Acadeclic")</f>
        <v/>
      </c>
      <c r="E1695" s="15">
        <f>IFERROR(__xludf.DUMMYFUNCTION("""COMPUTED_VALUE"""),"https://acadeclic.fr")</f>
        <v/>
      </c>
      <c r="F1695" s="1">
        <f>IFERROR(__xludf.DUMMYFUNCTION("""COMPUTED_VALUE"""),"Acadeclic provides instant online tutoring, connecting learners with qualified teachers in just a few minutes. Our platform offers flexible, high-quality support to help students progress whenever they need it.")</f>
        <v/>
      </c>
      <c r="G1695" s="1">
        <f>IFERROR(__xludf.DUMMYFUNCTION("""COMPUTED_VALUE"""),"EdTech France")</f>
        <v/>
      </c>
      <c r="H1695" s="1">
        <f>IFERROR(__xludf.DUMMYFUNCTION("""COMPUTED_VALUE"""),"English, French")</f>
        <v/>
      </c>
      <c r="I1695" s="1">
        <f>IFERROR(__xludf.DUMMYFUNCTION("""COMPUTED_VALUE"""),"contact@acadeclic.fr")</f>
        <v/>
      </c>
      <c r="J1695" s="1">
        <f>IFERROR(__xludf.DUMMYFUNCTION("""COMPUTED_VALUE"""),"+33683976722")</f>
        <v/>
      </c>
      <c r="K1695" s="1">
        <f>IFERROR(__xludf.DUMMYFUNCTION("""COMPUTED_VALUE"""),"Paris")</f>
        <v/>
      </c>
      <c r="L1695" s="1">
        <f>IFERROR(__xludf.DUMMYFUNCTION("""COMPUTED_VALUE"""),"France")</f>
        <v/>
      </c>
      <c r="M1695" s="1">
        <f>IFERROR(__xludf.DUMMYFUNCTION("""COMPUTED_VALUE"""),"France")</f>
        <v/>
      </c>
      <c r="N1695" s="1">
        <f>IFERROR(__xludf.DUMMYFUNCTION("""COMPUTED_VALUE"""),"Micro (1-9 FTE employees)")</f>
        <v/>
      </c>
      <c r="O1695" s="1">
        <f>IFERROR(__xludf.DUMMYFUNCTION("""COMPUTED_VALUE"""),"Business to Consumer")</f>
        <v/>
      </c>
      <c r="P1695" s="1">
        <f>IFERROR(__xludf.DUMMYFUNCTION("""COMPUTED_VALUE"""),"Secondary Education, Higher Education, Lifelong learning/Adult education")</f>
        <v/>
      </c>
      <c r="Q1695" s="1">
        <f>IFERROR(__xludf.DUMMYFUNCTION("""COMPUTED_VALUE"""),"Student interfacing, Teacher interfacing")</f>
        <v/>
      </c>
      <c r="R1695" s="15">
        <f>IFERROR(__xludf.DUMMYFUNCTION("""COMPUTED_VALUE"""),"https://www.instagram.com/acadeclic_france/")</f>
        <v/>
      </c>
      <c r="S1695" s="15">
        <f>IFERROR(__xludf.DUMMYFUNCTION("""COMPUTED_VALUE"""),"https://twitter.com/acadeclic")</f>
        <v/>
      </c>
      <c r="T1695" s="15">
        <f>IFERROR(__xludf.DUMMYFUNCTION("""COMPUTED_VALUE"""),"https://www.linkedin.com/company/acadeclic")</f>
        <v/>
      </c>
      <c r="U1695" s="1">
        <f>IFERROR(__xludf.DUMMYFUNCTION("""COMPUTED_VALUE"""),"Instant Online Lessons")</f>
        <v/>
      </c>
      <c r="V1695" s="1">
        <f>IFERROR(__xludf.DUMMYFUNCTION("""COMPUTED_VALUE"""),"On-demand online tutoring that connects learners with a qualified teacher in just a few minutes. Flexible and high-quality support accessible anytime.")</f>
        <v/>
      </c>
      <c r="W1695" s="1">
        <f>IFERROR(__xludf.DUMMYFUNCTION("""COMPUTED_VALUE"""),"Acadeclic Learning Platform")</f>
        <v/>
      </c>
      <c r="X1695" s="1">
        <f>IFERROR(__xludf.DUMMYFUNCTION("""COMPUTED_VALUE"""),"A streamlined platform offering real-time lessons, high-quality video, interactive whiteboard tools and real-time features")</f>
        <v/>
      </c>
      <c r="Y1695" s="15">
        <f>IFERROR(__xludf.DUMMYFUNCTION("""COMPUTED_VALUE"""),"https://drive.google.com/uc?export=view&amp;id=1CQJU4TNVQySNVaS_8qJdMDDci_5w99bq")</f>
        <v/>
      </c>
      <c r="Z1695" s="1">
        <f>IFERROR(__xludf.DUMMYFUNCTION("""COMPUTED_VALUE"""),"Verified")</f>
        <v/>
      </c>
      <c r="AA1695" s="1">
        <f>IFERROR(__xludf.DUMMYFUNCTION("""COMPUTED_VALUE"""),"Collaborations between EdTech organisations")</f>
        <v/>
      </c>
      <c r="AB1695" s="1">
        <f>IFERROR(__xludf.DUMMYFUNCTION("""COMPUTED_VALUE"""),"For-profit company")</f>
        <v/>
      </c>
      <c r="AC1695" s="1">
        <f>IFERROR(__xludf.DUMMYFUNCTION("""COMPUTED_VALUE"""),TRUE)</f>
        <v/>
      </c>
      <c r="AD1695" s="1">
        <f>IFERROR(__xludf.DUMMYFUNCTION("""COMPUTED_VALUE"""),TRUE)</f>
        <v/>
      </c>
      <c r="AE1695" s="15">
        <f>IFERROR(__xludf.DUMMYFUNCTION("""COMPUTED_VALUE"""),"https://www.facebook.com/Acadeclic/")</f>
        <v/>
      </c>
    </row>
    <row r="1696" ht="42" customHeight="1">
      <c r="A1696" s="14">
        <f>IFERROR(__xludf.DUMMYFUNCTION("""COMPUTED_VALUE"""),45979)</f>
        <v/>
      </c>
      <c r="B1696" s="1">
        <f>IFERROR(__xludf.DUMMYFUNCTION("""COMPUTED_VALUE"""),"ORG_1037")</f>
        <v/>
      </c>
      <c r="C1696" s="1">
        <f>IFERROR(__xludf.DUMMYFUNCTION("""COMPUTED_VALUE"""),TRUE)</f>
        <v/>
      </c>
      <c r="D1696" s="1">
        <f>IFERROR(__xludf.DUMMYFUNCTION("""COMPUTED_VALUE"""),"Adesoft")</f>
        <v/>
      </c>
      <c r="E1696" s="15">
        <f>IFERROR(__xludf.DUMMYFUNCTION("""COMPUTED_VALUE"""),"https://www.adesoft.com/")</f>
        <v/>
      </c>
      <c r="F1696" s="1">
        <f>IFERROR(__xludf.DUMMYFUNCTION("""COMPUTED_VALUE"""),"For over 25 years, Adesoft has delivered advanced scheduling and timetabling solutions. Designed for the training needs of higher education, corporate and defence organisations, our unique technology turns large-scale, complex planning into a streamlined,"&amp;" intelligent process. Today, 1.6 million users rely on us daily, saving significant planning time, optimising resources, reducing errors, and delivering higher-quality timetables at scale.")</f>
        <v/>
      </c>
      <c r="G1696" s="1">
        <f>IFERROR(__xludf.DUMMYFUNCTION("""COMPUTED_VALUE"""),"EdTech France")</f>
        <v/>
      </c>
      <c r="H1696" s="1">
        <f>IFERROR(__xludf.DUMMYFUNCTION("""COMPUTED_VALUE"""),"French, English")</f>
        <v/>
      </c>
      <c r="I1696" s="1">
        <f>IFERROR(__xludf.DUMMYFUNCTION("""COMPUTED_VALUE"""),"lead.team@adesoft.com")</f>
        <v/>
      </c>
      <c r="J1696" s="1">
        <f>IFERROR(__xludf.DUMMYFUNCTION("""COMPUTED_VALUE"""),"+33662304576")</f>
        <v/>
      </c>
      <c r="K1696" s="1">
        <f>IFERROR(__xludf.DUMMYFUNCTION("""COMPUTED_VALUE"""),"Paris")</f>
        <v/>
      </c>
      <c r="L1696" s="1">
        <f>IFERROR(__xludf.DUMMYFUNCTION("""COMPUTED_VALUE"""),"France")</f>
        <v/>
      </c>
      <c r="M1696" s="1">
        <f>IFERROR(__xludf.DUMMYFUNCTION("""COMPUTED_VALUE"""),"Belgium, Portugal, Spain, United Kingdom, Switzerland, Sweden, Slovakia, North Macedonia, Monaco, Luxembourg, Latvia, Ireland, Greece, Bulgaria, Czechia, Finland, France, Denmark, Croatia, Hungary, Italy, Liechtenstein, Malta, Montenegro, Kosovo, Germany,"&amp;" Estonia, Republic of Cyprus, Bosnia and Herzegovina, Austria, Andorra, Albania, Belarus, Lithuania, Moldova, Netherlands, Poland, San Marino, Romania, Norway, Slovenia, Turkey, Ukraine, Iceland")</f>
        <v/>
      </c>
      <c r="N1696" s="1">
        <f>IFERROR(__xludf.DUMMYFUNCTION("""COMPUTED_VALUE"""),"Small (10-49 FTE employees)")</f>
        <v/>
      </c>
      <c r="O1696" s="1">
        <f>IFERROR(__xludf.DUMMYFUNCTION("""COMPUTED_VALUE"""),"Business to Business, Business to Schools, Business to Government")</f>
        <v/>
      </c>
      <c r="P1696" s="1">
        <f>IFERROR(__xludf.DUMMYFUNCTION("""COMPUTED_VALUE"""),"Corporate Training, Higher Education, Vocational Education and Training (VET), Lifelong learning/Adult education")</f>
        <v/>
      </c>
      <c r="Q1696" s="1">
        <f>IFERROR(__xludf.DUMMYFUNCTION("""COMPUTED_VALUE"""),"System/Administrative, Student interfacing, Teacher interfacing")</f>
        <v/>
      </c>
      <c r="R1696" s="1" t="n"/>
      <c r="S1696" s="1" t="n"/>
      <c r="T1696" s="15">
        <f>IFERROR(__xludf.DUMMYFUNCTION("""COMPUTED_VALUE"""),"https://www.linkedin.com/company/adesoft/")</f>
        <v/>
      </c>
      <c r="U1696" s="1">
        <f>IFERROR(__xludf.DUMMYFUNCTION("""COMPUTED_VALUE"""),"ADE Campus")</f>
        <v/>
      </c>
      <c r="V1696" s="1">
        <f>IFERROR(__xludf.DUMMYFUNCTION("""COMPUTED_VALUE"""),"ADE Campus is trusted by over 300 HE institutions worldwide. It streamlines scheduling and campus operations by enabling easy timetable creation, optimisation and sharing. Built for academic environments, it adapts seamlessly to each pedagogical model and"&amp;" constraints with its unique technology.")</f>
        <v/>
      </c>
      <c r="W1696" s="1">
        <f>IFERROR(__xludf.DUMMYFUNCTION("""COMPUTED_VALUE"""),"ADE Entreprise")</f>
        <v/>
      </c>
      <c r="X1696" s="1">
        <f>IFERROR(__xludf.DUMMYFUNCTION("""COMPUTED_VALUE"""),"ADE Entreprise is a training scheduling solution for corporate and training organisations. It streamlines large-scale, complex training by automating session planning, managing constraints smartly, and optimising resources, delivering higher quality at lo"&amp;"wer cost.")</f>
        <v/>
      </c>
      <c r="Y1696" s="15">
        <f>IFERROR(__xludf.DUMMYFUNCTION("""COMPUTED_VALUE"""),"https://drive.google.com/uc?export=view&amp;id=1C4e1_s_bva05yGJP3Woah_jAdssB7FlU")</f>
        <v/>
      </c>
      <c r="Z1696" s="1">
        <f>IFERROR(__xludf.DUMMYFUNCTION("""COMPUTED_VALUE"""),"Verified")</f>
        <v/>
      </c>
      <c r="AA1696" s="1">
        <f>IFERROR(__xludf.DUMMYFUNCTION("""COMPUTED_VALUE"""),"Project consortium building, Collaborations between EdTech organisations, Industry-academia partnerships, Public-private partnerships")</f>
        <v/>
      </c>
      <c r="AB1696" s="1">
        <f>IFERROR(__xludf.DUMMYFUNCTION("""COMPUTED_VALUE"""),"For-profit company")</f>
        <v/>
      </c>
      <c r="AC1696" s="1">
        <f>IFERROR(__xludf.DUMMYFUNCTION("""COMPUTED_VALUE"""),TRUE)</f>
        <v/>
      </c>
      <c r="AD1696" s="1">
        <f>IFERROR(__xludf.DUMMYFUNCTION("""COMPUTED_VALUE"""),FALSE)</f>
        <v/>
      </c>
      <c r="AE1696" s="1" t="n"/>
    </row>
    <row r="1697" ht="42" customHeight="1">
      <c r="A1697" s="14">
        <f>IFERROR(__xludf.DUMMYFUNCTION("""COMPUTED_VALUE"""),45979)</f>
        <v/>
      </c>
      <c r="B1697" s="1">
        <f>IFERROR(__xludf.DUMMYFUNCTION("""COMPUTED_VALUE"""),"ORG_2730")</f>
        <v/>
      </c>
      <c r="C1697" s="1">
        <f>IFERROR(__xludf.DUMMYFUNCTION("""COMPUTED_VALUE"""),TRUE)</f>
        <v/>
      </c>
      <c r="D1697" s="1">
        <f>IFERROR(__xludf.DUMMYFUNCTION("""COMPUTED_VALUE"""),"Edviatec")</f>
        <v/>
      </c>
      <c r="E1697" s="15">
        <f>IFERROR(__xludf.DUMMYFUNCTION("""COMPUTED_VALUE"""),"edviatec.com")</f>
        <v/>
      </c>
      <c r="F1697" s="1">
        <f>IFERROR(__xludf.DUMMYFUNCTION("""COMPUTED_VALUE"""),"Edviatec bridges emerging-market talent and European industry through education: a B2C AI-powered tool for exact-fit program matching with end-to-end student support, and a B2B master-agent infrastructure for Higher Education Institutions.")</f>
        <v/>
      </c>
      <c r="G1697" s="1">
        <f>IFERROR(__xludf.DUMMYFUNCTION("""COMPUTED_VALUE"""),"EdTech France")</f>
        <v/>
      </c>
      <c r="H1697" s="1">
        <f>IFERROR(__xludf.DUMMYFUNCTION("""COMPUTED_VALUE"""),"English, French")</f>
        <v/>
      </c>
      <c r="I1697" s="1">
        <f>IFERROR(__xludf.DUMMYFUNCTION("""COMPUTED_VALUE"""),"contact@edviatec.com")</f>
        <v/>
      </c>
      <c r="J1697" s="1">
        <f>IFERROR(__xludf.DUMMYFUNCTION("""COMPUTED_VALUE"""),"+33611696801")</f>
        <v/>
      </c>
      <c r="K1697" s="1">
        <f>IFERROR(__xludf.DUMMYFUNCTION("""COMPUTED_VALUE"""),"Paris")</f>
        <v/>
      </c>
      <c r="L1697" s="1">
        <f>IFERROR(__xludf.DUMMYFUNCTION("""COMPUTED_VALUE"""),"France")</f>
        <v/>
      </c>
      <c r="M1697" s="1">
        <f>IFERROR(__xludf.DUMMYFUNCTION("""COMPUTED_VALUE"""),"France")</f>
        <v/>
      </c>
      <c r="N1697" s="1">
        <f>IFERROR(__xludf.DUMMYFUNCTION("""COMPUTED_VALUE"""),"Micro (1-9 FTE employees)")</f>
        <v/>
      </c>
      <c r="O1697" s="1">
        <f>IFERROR(__xludf.DUMMYFUNCTION("""COMPUTED_VALUE"""),"Business to Consumer, Business to Business")</f>
        <v/>
      </c>
      <c r="P1697" s="1">
        <f>IFERROR(__xludf.DUMMYFUNCTION("""COMPUTED_VALUE"""),"Secondary Education, Higher Education, Lifelong learning/Adult education")</f>
        <v/>
      </c>
      <c r="Q1697" s="1">
        <f>IFERROR(__xludf.DUMMYFUNCTION("""COMPUTED_VALUE"""),"Student interfacing, System/Administrative")</f>
        <v/>
      </c>
      <c r="R1697" s="1" t="n"/>
      <c r="S1697" s="1" t="n"/>
      <c r="T1697" s="15">
        <f>IFERROR(__xludf.DUMMYFUNCTION("""COMPUTED_VALUE"""),"https://www.linkedin.com/company/edviatec/ ")</f>
        <v/>
      </c>
      <c r="U1697" s="1">
        <f>IFERROR(__xludf.DUMMYFUNCTION("""COMPUTED_VALUE"""),"Plateforme d’orientation automatisée")</f>
        <v/>
      </c>
      <c r="V1697" s="1">
        <f>IFERROR(__xludf.DUMMYFUNCTION("""COMPUTED_VALUE"""),"Plateforme d’IA qui analyse le dossier d’un lycéen et propose immédiatement une sélection personnalisée de programmes en Europe, avec conversion des notes et plan d’admission. Objectif : rendre le conseil éducatif précis, rapide et financièrement accessib"&amp;"le.")</f>
        <v/>
      </c>
      <c r="W1697" s="1">
        <f>IFERROR(__xludf.DUMMYFUNCTION("""COMPUTED_VALUE"""),"Plateforme SaaS de recrutement international")</f>
        <v/>
      </c>
      <c r="X1697" s="1">
        <f>IFERROR(__xludf.DUMMYFUNCTION("""COMPUTED_VALUE"""),"Plateforme SaaS de type « master agent » qui permet aux écoles européennes de développer et gérer leur recrutement international : réseau d’agents vérifiés, suivi automatisé des candidatures et optimisation des conversions.")</f>
        <v/>
      </c>
      <c r="Y1697" s="15">
        <f>IFERROR(__xludf.DUMMYFUNCTION("""COMPUTED_VALUE"""),"https://drive.google.com/uc?export=view&amp;id=1b35qc_viPcam870c1JqkVQDJuG9pNlQj")</f>
        <v/>
      </c>
      <c r="Z1697" s="1">
        <f>IFERROR(__xludf.DUMMYFUNCTION("""COMPUTED_VALUE"""),"Verified")</f>
        <v/>
      </c>
      <c r="AA1697" s="1">
        <f>IFERROR(__xludf.DUMMYFUNCTION("""COMPUTED_VALUE"""),"Public-private partnerships, Industry-academia partnerships, Collaborations between EdTech organisations, Project consortium building, Other")</f>
        <v/>
      </c>
      <c r="AB1697" s="1">
        <f>IFERROR(__xludf.DUMMYFUNCTION("""COMPUTED_VALUE"""),"For-profit company")</f>
        <v/>
      </c>
      <c r="AC1697" s="1">
        <f>IFERROR(__xludf.DUMMYFUNCTION("""COMPUTED_VALUE"""),TRUE)</f>
        <v/>
      </c>
      <c r="AD1697" s="1">
        <f>IFERROR(__xludf.DUMMYFUNCTION("""COMPUTED_VALUE"""),FALSE)</f>
        <v/>
      </c>
      <c r="AE1697" s="1" t="n"/>
    </row>
    <row r="1698" ht="42" customHeight="1">
      <c r="A1698" s="14">
        <f>IFERROR(__xludf.DUMMYFUNCTION("""COMPUTED_VALUE"""),45980)</f>
        <v/>
      </c>
      <c r="B1698" s="1">
        <f>IFERROR(__xludf.DUMMYFUNCTION("""COMPUTED_VALUE"""),"ORG_2731")</f>
        <v/>
      </c>
      <c r="C1698" s="1">
        <f>IFERROR(__xludf.DUMMYFUNCTION("""COMPUTED_VALUE"""),TRUE)</f>
        <v/>
      </c>
      <c r="D1698" s="1">
        <f>IFERROR(__xludf.DUMMYFUNCTION("""COMPUTED_VALUE"""),"Snapplify")</f>
        <v/>
      </c>
      <c r="E1698" s="15">
        <f>IFERROR(__xludf.DUMMYFUNCTION("""COMPUTED_VALUE"""),"www.snapplify.com")</f>
        <v/>
      </c>
      <c r="F1698" s="1">
        <f>IFERROR(__xludf.DUMMYFUNCTION("""COMPUTED_VALUE"""),"Snapplify is a global edtech company that provides digital learning solutions for schools, higher-education institutions, and governments. Founded in 2011, the company offers a comprehensive ecosystem that includes e-textbooks, digital libraries, identity"&amp;" and access management tools, classroom management technology, and integrations with hundreds of leading education platforms. Snapplify enables institutions to securely distribute digital content at scale, improve teaching and learning experiences, and ex"&amp;"pand access to quality educational resources—especially in emerging markets. Through partnerships with over a thousand publishers and the provision of more than fifty thousand free e-books, Snapplify drives measurable impact and supports millions of learn"&amp;"ers across more than sixty countries.")</f>
        <v/>
      </c>
      <c r="G1698" s="1">
        <f>IFERROR(__xludf.DUMMYFUNCTION("""COMPUTED_VALUE"""),"I'm not part of any EdTech association")</f>
        <v/>
      </c>
      <c r="H1698" s="1">
        <f>IFERROR(__xludf.DUMMYFUNCTION("""COMPUTED_VALUE"""),"English, French, Spanish, German, Italian, Dutch, Portuguese, Bulgarian, Croatian, Czech, Danish, Estonian, Finnish, Greek, Hungarian, Irish, Latvian, Lithuanian, Maltese, Polish, Romanian, Swedish, Basque, Catalan, Slovenian, Slovak, Ukrainian")</f>
        <v/>
      </c>
      <c r="I1698" s="1">
        <f>IFERROR(__xludf.DUMMYFUNCTION("""COMPUTED_VALUE"""),"hello@snapplify.com")</f>
        <v/>
      </c>
      <c r="J1698" s="1">
        <f>IFERROR(__xludf.DUMMYFUNCTION("""COMPUTED_VALUE"""),"+27212764433")</f>
        <v/>
      </c>
      <c r="K1698" s="1">
        <f>IFERROR(__xludf.DUMMYFUNCTION("""COMPUTED_VALUE"""),"Cape Town")</f>
        <v/>
      </c>
      <c r="L1698" s="1">
        <f>IFERROR(__xludf.DUMMYFUNCTION("""COMPUTED_VALUE"""),"South Africa")</f>
        <v/>
      </c>
      <c r="M1698" s="1">
        <f>IFERROR(__xludf.DUMMYFUNCTION("""COMPUTED_VALUE"""),"Albania, Andorra, Austria, Belarus, Belgium, Bosnia and Herzegovina, Bulgaria, Croatia, Republic of Cyprus, Estonia, Denmark, Czechia, Finland, Greece, Ireland, Latvia, Luxembourg, Monaco, North Macedonia, Portugal, Slovakia, Sweden, Ukraine, United Kingd"&amp;"om, Switzerland, Slovenia, Romania, Norway, Montenegro, Malta, Liechtenstein, Italy, Hungary, France, Germany, Iceland, Kosovo, Lithuania, Moldova, Netherlands, Poland, San Marino, Spain, Turkey")</f>
        <v/>
      </c>
      <c r="N1698" s="1">
        <f>IFERROR(__xludf.DUMMYFUNCTION("""COMPUTED_VALUE"""),"Medium (50-250 FTE employees)")</f>
        <v/>
      </c>
      <c r="O1698" s="1">
        <f>IFERROR(__xludf.DUMMYFUNCTION("""COMPUTED_VALUE"""),"Business to Consumer, Business to Business, Business to Government, Business to Schools")</f>
        <v/>
      </c>
      <c r="P1698" s="1">
        <f>IFERROR(__xludf.DUMMYFUNCTION("""COMPUTED_VALUE"""),"Secondary Education, Higher Education, Vocational Education and Training (VET), Corporate Training, Primary Education")</f>
        <v/>
      </c>
      <c r="Q1698" s="1">
        <f>IFERROR(__xludf.DUMMYFUNCTION("""COMPUTED_VALUE"""),"Student interfacing, Teacher interfacing, System/Administrative")</f>
        <v/>
      </c>
      <c r="R1698" s="1" t="n"/>
      <c r="S1698" s="1" t="n"/>
      <c r="T1698" s="15">
        <f>IFERROR(__xludf.DUMMYFUNCTION("""COMPUTED_VALUE"""),"https://www.linkedin.com/company/snapplify/about/?viewAsMember=true")</f>
        <v/>
      </c>
      <c r="U1698" s="1">
        <f>IFERROR(__xludf.DUMMYFUNCTION("""COMPUTED_VALUE"""),"Snapplify Engage  ")</f>
        <v/>
      </c>
      <c r="V1698" s="1">
        <f>IFERROR(__xludf.DUMMYFUNCTION("""COMPUTED_VALUE"""),"Digital learning made simple for academic institutions.
A powerful platform that gives institutions everything they need to teach digitally — from e-textbooks and teacher tools to safe sharing and offline learning.")</f>
        <v/>
      </c>
      <c r="W1698" s="1">
        <f>IFERROR(__xludf.DUMMYFUNCTION("""COMPUTED_VALUE"""),"Access  ")</f>
        <v/>
      </c>
      <c r="X1698" s="1">
        <f>IFERROR(__xludf.DUMMYFUNCTION("""COMPUTED_VALUE"""),"Free learning resources that reach every student. Snapplify Access removes digital barriers by providing sponsored, zero-rated access to ebooks and materials that support learning equity.")</f>
        <v/>
      </c>
      <c r="Y1698" s="15">
        <f>IFERROR(__xludf.DUMMYFUNCTION("""COMPUTED_VALUE"""),"https://drive.google.com/uc?export=view&amp;id=13nxBF61BEdYrB-vAwStF95eyTlJ5QmdG")</f>
        <v/>
      </c>
      <c r="Z1698" s="1">
        <f>IFERROR(__xludf.DUMMYFUNCTION("""COMPUTED_VALUE"""),"Verified")</f>
        <v/>
      </c>
      <c r="AA1698" s="1">
        <f>IFERROR(__xludf.DUMMYFUNCTION("""COMPUTED_VALUE"""),"Collaborations between EdTech organisations, Project consortium building, Public-private partnerships, Industry-academia partnerships, Other")</f>
        <v/>
      </c>
      <c r="AB1698" s="1">
        <f>IFERROR(__xludf.DUMMYFUNCTION("""COMPUTED_VALUE"""),"For-profit company")</f>
        <v/>
      </c>
      <c r="AC1698" s="1">
        <f>IFERROR(__xludf.DUMMYFUNCTION("""COMPUTED_VALUE"""),TRUE)</f>
        <v/>
      </c>
      <c r="AD1698" s="1">
        <f>IFERROR(__xludf.DUMMYFUNCTION("""COMPUTED_VALUE"""),TRUE)</f>
        <v/>
      </c>
      <c r="AE1698" s="1" t="n"/>
    </row>
    <row r="1699" ht="42" customHeight="1">
      <c r="A1699" s="14">
        <f>IFERROR(__xludf.DUMMYFUNCTION("""COMPUTED_VALUE"""),45981)</f>
        <v/>
      </c>
      <c r="B1699" s="1">
        <f>IFERROR(__xludf.DUMMYFUNCTION("""COMPUTED_VALUE"""),"ORG_1074")</f>
        <v/>
      </c>
      <c r="C1699" s="1">
        <f>IFERROR(__xludf.DUMMYFUNCTION("""COMPUTED_VALUE"""),TRUE)</f>
        <v/>
      </c>
      <c r="D1699" s="1">
        <f>IFERROR(__xludf.DUMMYFUNCTION("""COMPUTED_VALUE"""),"Another Brick")</f>
        <v/>
      </c>
      <c r="E1699" s="15">
        <f>IFERROR(__xludf.DUMMYFUNCTION("""COMPUTED_VALUE"""),"https://anotherbrick.it/")</f>
        <v/>
      </c>
      <c r="F1699" s="1">
        <f>IFERROR(__xludf.DUMMYFUNCTION("""COMPUTED_VALUE"""),"Another Brick is a company specialized in creating engaging learning experiences that develop soft skills, corporate knowledge and digital awareness. It designs innovative online training paths — including PCTO programs for schools and tailored learning j"&amp;"ourneys for companies — using methodologies such as chunked lessons, storytelling, interactive tasks and gamification to make learning accessible, effective and enjoyable. Another Brick also delivers onboarding experiences, awareness programs (including C"&amp;"yber Security Awareness), and thematic academies hosted on its engagement platform EngageBricks.com, collaborating with major organizations to bring high-quality, interactive education to students, employees and partners.")</f>
        <v/>
      </c>
      <c r="G1699" s="1">
        <f>IFERROR(__xludf.DUMMYFUNCTION("""COMPUTED_VALUE"""),"EdTech Italia")</f>
        <v/>
      </c>
      <c r="H1699" s="1">
        <f>IFERROR(__xludf.DUMMYFUNCTION("""COMPUTED_VALUE"""),"Italian")</f>
        <v/>
      </c>
      <c r="I1699" s="1">
        <f>IFERROR(__xludf.DUMMYFUNCTION("""COMPUTED_VALUE"""),"massimo@anotherbrick.it")</f>
        <v/>
      </c>
      <c r="J1699" s="1">
        <f>IFERROR(__xludf.DUMMYFUNCTION("""COMPUTED_VALUE"""),"+393482247970")</f>
        <v/>
      </c>
      <c r="K1699" s="1">
        <f>IFERROR(__xludf.DUMMYFUNCTION("""COMPUTED_VALUE"""),"Milano")</f>
        <v/>
      </c>
      <c r="L1699" s="1">
        <f>IFERROR(__xludf.DUMMYFUNCTION("""COMPUTED_VALUE"""),"Italia")</f>
        <v/>
      </c>
      <c r="M1699" s="1">
        <f>IFERROR(__xludf.DUMMYFUNCTION("""COMPUTED_VALUE"""),"Italy")</f>
        <v/>
      </c>
      <c r="N1699" s="1">
        <f>IFERROR(__xludf.DUMMYFUNCTION("""COMPUTED_VALUE"""),"Small (10-49 FTE employees)")</f>
        <v/>
      </c>
      <c r="O1699" s="1">
        <f>IFERROR(__xludf.DUMMYFUNCTION("""COMPUTED_VALUE"""),"Business to Business")</f>
        <v/>
      </c>
      <c r="P1699" s="1">
        <f>IFERROR(__xludf.DUMMYFUNCTION("""COMPUTED_VALUE"""),"Primary Education, Secondary Education, Corporate Training, Lifelong learning/Adult education, Vocational Education and Training (VET)")</f>
        <v/>
      </c>
      <c r="Q1699" s="1">
        <f>IFERROR(__xludf.DUMMYFUNCTION("""COMPUTED_VALUE"""),"Student interfacing, Teacher interfacing, System/Administrative, Other")</f>
        <v/>
      </c>
      <c r="R1699" s="1" t="n"/>
      <c r="S1699" s="1" t="n"/>
      <c r="T1699" s="15">
        <f>IFERROR(__xludf.DUMMYFUNCTION("""COMPUTED_VALUE"""),"https://www.linkedin.com/company/another-brick/")</f>
        <v/>
      </c>
      <c r="U1699" s="1">
        <f>IFERROR(__xludf.DUMMYFUNCTION("""COMPUTED_VALUE"""),"StartupYourLife")</f>
        <v/>
      </c>
      <c r="V1699" s="1">
        <f>IFERROR(__xludf.DUMMYFUNCTION("""COMPUTED_VALUE"""),"Startup Your Life is an interactive learning program that helps students discover their talents, develop key soft skills, and explore future career paths through storytelling, practical challenges, and gamified activitie It guides young people in understa"&amp;"nding who they are, what they want to become ")</f>
        <v/>
      </c>
      <c r="W1699" s="1">
        <f>IFERROR(__xludf.DUMMYFUNCTION("""COMPUTED_VALUE"""),"ScuolaEdison")</f>
        <v/>
      </c>
      <c r="X1699" s="1">
        <f>IFERROR(__xludf.DUMMYFUNCTION("""COMPUTED_VALUE"""),"ScuolaEdison is a digital learning hub dedicated to schools, offering innovative educational paths on energy, sustainability, and future skills. Through interactive content, real-world case,s and engaging activities, it helps students understand key STEM "&amp;"and ESG topics while strengthening their")</f>
        <v/>
      </c>
      <c r="Y1699" s="15">
        <f>IFERROR(__xludf.DUMMYFUNCTION("""COMPUTED_VALUE"""),"https://drive.google.com/uc?export=view&amp;id=1n9DI21cdA4_DKaTNP85uLwd-Jp4QHV9S")</f>
        <v/>
      </c>
      <c r="Z1699" s="1">
        <f>IFERROR(__xludf.DUMMYFUNCTION("""COMPUTED_VALUE"""),"Verified")</f>
        <v/>
      </c>
      <c r="AA1699" s="1">
        <f>IFERROR(__xludf.DUMMYFUNCTION("""COMPUTED_VALUE"""),"Collaborations between EdTech organisations, Public-private partnerships, Project consortium building, Industry-academia partnerships")</f>
        <v/>
      </c>
      <c r="AB1699" s="1">
        <f>IFERROR(__xludf.DUMMYFUNCTION("""COMPUTED_VALUE"""),"For-profit company")</f>
        <v/>
      </c>
      <c r="AC1699" s="1">
        <f>IFERROR(__xludf.DUMMYFUNCTION("""COMPUTED_VALUE"""),TRUE)</f>
        <v/>
      </c>
      <c r="AD1699" s="1">
        <f>IFERROR(__xludf.DUMMYFUNCTION("""COMPUTED_VALUE"""),TRUE)</f>
        <v/>
      </c>
      <c r="AE1699" s="1" t="n"/>
    </row>
    <row r="1700" ht="42" customHeight="1">
      <c r="A1700" s="14">
        <f>IFERROR(__xludf.DUMMYFUNCTION("""COMPUTED_VALUE"""),45981)</f>
        <v/>
      </c>
      <c r="B1700" s="1">
        <f>IFERROR(__xludf.DUMMYFUNCTION("""COMPUTED_VALUE"""),"ORG_2726")</f>
        <v/>
      </c>
      <c r="C1700" s="1">
        <f>IFERROR(__xludf.DUMMYFUNCTION("""COMPUTED_VALUE"""),TRUE)</f>
        <v/>
      </c>
      <c r="D1700" s="1">
        <f>IFERROR(__xludf.DUMMYFUNCTION("""COMPUTED_VALUE"""),"Leazy")</f>
        <v/>
      </c>
      <c r="E1700" s="15">
        <f>IFERROR(__xludf.DUMMYFUNCTION("""COMPUTED_VALUE"""),"leazy.net")</f>
        <v/>
      </c>
      <c r="F1700" s="1">
        <f>IFERROR(__xludf.DUMMYFUNCTION("""COMPUTED_VALUE"""),"Leazy is an all-in-one platform that helps teachers and schools organize their work. It allows you to manage school life, create and share lessons, exercises, and training courses, and collaborate easily with students and colleagues.")</f>
        <v/>
      </c>
      <c r="G1700" s="1">
        <f>IFERROR(__xludf.DUMMYFUNCTION("""COMPUTED_VALUE"""),"AFINEF, EdTech France")</f>
        <v/>
      </c>
      <c r="H1700" s="1">
        <f>IFERROR(__xludf.DUMMYFUNCTION("""COMPUTED_VALUE"""),"French, English")</f>
        <v/>
      </c>
      <c r="I1700" s="1">
        <f>IFERROR(__xludf.DUMMYFUNCTION("""COMPUTED_VALUE"""),"contact@leazy.net")</f>
        <v/>
      </c>
      <c r="J1700" s="1">
        <f>IFERROR(__xludf.DUMMYFUNCTION("""COMPUTED_VALUE"""),"+33651257716")</f>
        <v/>
      </c>
      <c r="K1700" s="1">
        <f>IFERROR(__xludf.DUMMYFUNCTION("""COMPUTED_VALUE"""),"Paris")</f>
        <v/>
      </c>
      <c r="L1700" s="1">
        <f>IFERROR(__xludf.DUMMYFUNCTION("""COMPUTED_VALUE"""),"France")</f>
        <v/>
      </c>
      <c r="M1700" s="1">
        <f>IFERROR(__xludf.DUMMYFUNCTION("""COMPUTED_VALUE"""),"France")</f>
        <v/>
      </c>
      <c r="N1700" s="1">
        <f>IFERROR(__xludf.DUMMYFUNCTION("""COMPUTED_VALUE"""),"Micro (1-9 FTE employees)")</f>
        <v/>
      </c>
      <c r="O1700" s="1">
        <f>IFERROR(__xludf.DUMMYFUNCTION("""COMPUTED_VALUE"""),"Business to Business, Business to Consumer")</f>
        <v/>
      </c>
      <c r="P1700" s="1">
        <f>IFERROR(__xludf.DUMMYFUNCTION("""COMPUTED_VALUE"""),"Higher Education, Secondary Education, Vocational Education and Training (VET)")</f>
        <v/>
      </c>
      <c r="Q1700" s="1">
        <f>IFERROR(__xludf.DUMMYFUNCTION("""COMPUTED_VALUE"""),"Student interfacing, Teacher interfacing, System/Administrative")</f>
        <v/>
      </c>
      <c r="R1700" s="1" t="n"/>
      <c r="S1700" s="1" t="n"/>
      <c r="T1700" s="15">
        <f>IFERROR(__xludf.DUMMYFUNCTION("""COMPUTED_VALUE"""),"https://www.linkedin.com/company/leazy-edu/")</f>
        <v/>
      </c>
      <c r="U1700" s="1">
        <f>IFERROR(__xludf.DUMMYFUNCTION("""COMPUTED_VALUE"""),"Templates")</f>
        <v/>
      </c>
      <c r="V1700" s="1">
        <f>IFERROR(__xludf.DUMMYFUNCTION("""COMPUTED_VALUE"""),"Access a library of educational resources shared by the community.")</f>
        <v/>
      </c>
      <c r="W1700" s="1">
        <f>IFERROR(__xludf.DUMMYFUNCTION("""COMPUTED_VALUE"""),"Training courses")</f>
        <v/>
      </c>
      <c r="X1700" s="1">
        <f>IFERROR(__xludf.DUMMYFUNCTION("""COMPUTED_VALUE"""),"Create and share your training courses with your students and the community.")</f>
        <v/>
      </c>
      <c r="Y1700" s="15">
        <f>IFERROR(__xludf.DUMMYFUNCTION("""COMPUTED_VALUE"""),"https://drive.google.com/uc?export=view&amp;id=1lo1enbPy3wY58mXH9dh9YAEwRxNWzd4s")</f>
        <v/>
      </c>
      <c r="Z1700" s="1">
        <f>IFERROR(__xludf.DUMMYFUNCTION("""COMPUTED_VALUE"""),"Verified")</f>
        <v/>
      </c>
      <c r="AA1700" s="1">
        <f>IFERROR(__xludf.DUMMYFUNCTION("""COMPUTED_VALUE"""),"Collaborations between EdTech organisations, Public-private partnerships, Industry-academia partnerships")</f>
        <v/>
      </c>
      <c r="AB1700" s="1">
        <f>IFERROR(__xludf.DUMMYFUNCTION("""COMPUTED_VALUE"""),"For-profit company")</f>
        <v/>
      </c>
      <c r="AC1700" s="1">
        <f>IFERROR(__xludf.DUMMYFUNCTION("""COMPUTED_VALUE"""),TRUE)</f>
        <v/>
      </c>
      <c r="AD1700" s="1">
        <f>IFERROR(__xludf.DUMMYFUNCTION("""COMPUTED_VALUE"""),TRUE)</f>
        <v/>
      </c>
      <c r="AE1700" s="1" t="n"/>
    </row>
    <row r="1701" ht="42" customHeight="1">
      <c r="A1701" s="14">
        <f>IFERROR(__xludf.DUMMYFUNCTION("""COMPUTED_VALUE"""),45986)</f>
        <v/>
      </c>
      <c r="B1701" s="1">
        <f>IFERROR(__xludf.DUMMYFUNCTION("""COMPUTED_VALUE"""),"ORG_2732")</f>
        <v/>
      </c>
      <c r="C1701" s="1">
        <f>IFERROR(__xludf.DUMMYFUNCTION("""COMPUTED_VALUE"""),TRUE)</f>
        <v/>
      </c>
      <c r="D1701" s="1">
        <f>IFERROR(__xludf.DUMMYFUNCTION("""COMPUTED_VALUE"""),"Mars Challenge")</f>
        <v/>
      </c>
      <c r="E1701" s="15">
        <f>IFERROR(__xludf.DUMMYFUNCTION("""COMPUTED_VALUE"""),"https://marschallenge.space/")</f>
        <v/>
      </c>
      <c r="F1701" s="1">
        <f>IFERROR(__xludf.DUMMYFUNCTION("""COMPUTED_VALUE"""),"Mars Challenge is the world’s first dual-planet innovation platform empowering young people to prototype humanity’s survival — on Mars and on Earth. We unite students, educators and institutions from more than 20 countries to learn, create and solve real "&amp;"planetary challenges through STEAM+, active methodologies and Next Human Learning. Our annual global hackathons use Mars as a mirror to re-imagine life-supporting systems on Earth, helping youth develop creativity, critical thinking and ethical awareness "&amp;"while designing solutions with real social, scientific and environmental impact.  No Planet B. Just a Better Plan. You’re made of star-stuff. So hack the future.")</f>
        <v/>
      </c>
      <c r="G1701" s="1">
        <f>IFERROR(__xludf.DUMMYFUNCTION("""COMPUTED_VALUE"""),"I'm not part of any EdTech association")</f>
        <v/>
      </c>
      <c r="H1701" s="1">
        <f>IFERROR(__xludf.DUMMYFUNCTION("""COMPUTED_VALUE"""),"English, French, Spanish, Portuguese")</f>
        <v/>
      </c>
      <c r="I1701" s="1">
        <f>IFERROR(__xludf.DUMMYFUNCTION("""COMPUTED_VALUE"""),"asousa@marschallenge.space")</f>
        <v/>
      </c>
      <c r="J1701" s="1">
        <f>IFERROR(__xludf.DUMMYFUNCTION("""COMPUTED_VALUE"""),"+351937301184")</f>
        <v/>
      </c>
      <c r="K1701" s="1">
        <f>IFERROR(__xludf.DUMMYFUNCTION("""COMPUTED_VALUE"""),"valenca")</f>
        <v/>
      </c>
      <c r="L1701" s="1">
        <f>IFERROR(__xludf.DUMMYFUNCTION("""COMPUTED_VALUE"""),"España")</f>
        <v/>
      </c>
      <c r="M1701" s="1">
        <f>IFERROR(__xludf.DUMMYFUNCTION("""COMPUTED_VALUE"""),"Albania, Andorra, Austria, Bosnia and Herzegovina, Belgium, Belarus, Bulgaria, Croatia, Republic of Cyprus, Estonia, Denmark, Czechia, Finland, France, Germany, Iceland, Hungary, Greece, Ireland, Italy, Kosovo, Lithuania, Liechtenstein, Latvia, Luxembourg"&amp;", Malta, Moldova, Netherlands, Montenegro, Monaco, North Macedonia, Norway, Poland, San Marino, Romania, Portugal, Slovakia, Slovenia, Spain, Turkey, Switzerland, Sweden, United Kingdom, Ukraine")</f>
        <v/>
      </c>
      <c r="N1701" s="1">
        <f>IFERROR(__xludf.DUMMYFUNCTION("""COMPUTED_VALUE"""),"Micro (1-9 FTE employees)")</f>
        <v/>
      </c>
      <c r="O1701" s="1">
        <f>IFERROR(__xludf.DUMMYFUNCTION("""COMPUTED_VALUE"""),"Business to Business, Business to Government, Business to Schools")</f>
        <v/>
      </c>
      <c r="P1701" s="1">
        <f>IFERROR(__xludf.DUMMYFUNCTION("""COMPUTED_VALUE"""),"Higher Education, Secondary Education, Vocational Education and Training (VET)")</f>
        <v/>
      </c>
      <c r="Q1701" s="1">
        <f>IFERROR(__xludf.DUMMYFUNCTION("""COMPUTED_VALUE"""),"Student interfacing")</f>
        <v/>
      </c>
      <c r="R1701" s="1" t="n"/>
      <c r="S1701" s="1" t="n"/>
      <c r="T1701" s="15">
        <f>IFERROR(__xludf.DUMMYFUNCTION("""COMPUTED_VALUE"""),"https://www.linkedin.com/company/marschallenge")</f>
        <v/>
      </c>
      <c r="U1701" s="1">
        <f>IFERROR(__xludf.DUMMYFUNCTION("""COMPUTED_VALUE"""),"Mars Challenge — Global Dual-Planet Hackathon Program")</f>
        <v/>
      </c>
      <c r="V1701" s="1">
        <f>IFERROR(__xludf.DUMMYFUNCTION("""COMPUTED_VALUE"""),"A global STEAM+ innovation program where young people from 15 to 29 years design solutions for humanity’s survival on Mars and Earth. Through a structured hackathon model, active methodologies, and the Next Human Learning framework, participants develop m"&amp;"eta-skills, creativity andscientific thinking")</f>
        <v/>
      </c>
      <c r="W1701" s="1" t="n"/>
      <c r="X1701" s="1" t="n"/>
      <c r="Y1701" s="15">
        <f>IFERROR(__xludf.DUMMYFUNCTION("""COMPUTED_VALUE"""),"https://drive.google.com/uc?export=view&amp;id=1Hp39nL5D9218k9J0Cgew9ho67v2OPCal")</f>
        <v/>
      </c>
      <c r="Z1701" s="1">
        <f>IFERROR(__xludf.DUMMYFUNCTION("""COMPUTED_VALUE"""),"Verified")</f>
        <v/>
      </c>
      <c r="AA1701" s="1">
        <f>IFERROR(__xludf.DUMMYFUNCTION("""COMPUTED_VALUE"""),"Collaborations between EdTech organisations, Project consortium building, Public-private partnerships, Industry-academia partnerships")</f>
        <v/>
      </c>
      <c r="AB1701" s="1">
        <f>IFERROR(__xludf.DUMMYFUNCTION("""COMPUTED_VALUE"""),"For-profit company")</f>
        <v/>
      </c>
      <c r="AC1701" s="1">
        <f>IFERROR(__xludf.DUMMYFUNCTION("""COMPUTED_VALUE"""),TRUE)</f>
        <v/>
      </c>
      <c r="AD1701" s="1">
        <f>IFERROR(__xludf.DUMMYFUNCTION("""COMPUTED_VALUE"""),FALSE)</f>
        <v/>
      </c>
      <c r="AE1701" s="1" t="n"/>
    </row>
    <row r="1702" ht="42" customHeight="1">
      <c r="A1702" s="14">
        <f>IFERROR(__xludf.DUMMYFUNCTION("""COMPUTED_VALUE"""),45992)</f>
        <v/>
      </c>
      <c r="B1702" s="1">
        <f>IFERROR(__xludf.DUMMYFUNCTION("""COMPUTED_VALUE"""),"ORG_2733")</f>
        <v/>
      </c>
      <c r="C1702" s="1">
        <f>IFERROR(__xludf.DUMMYFUNCTION("""COMPUTED_VALUE"""),TRUE)</f>
        <v/>
      </c>
      <c r="D1702" s="1">
        <f>IFERROR(__xludf.DUMMYFUNCTION("""COMPUTED_VALUE"""),"CUBES.ART Chess Innovations e.U.")</f>
        <v/>
      </c>
      <c r="E1702" s="15">
        <f>IFERROR(__xludf.DUMMYFUNCTION("""COMPUTED_VALUE"""),"www.chess-junior.com")</f>
        <v/>
      </c>
      <c r="F1702" s="1">
        <f>IFERROR(__xludf.DUMMYFUNCTION("""COMPUTED_VALUE"""),"At CUBES.ART Chess Innovations, an Austrian company based in Graz, we specialize in educational chess products for children and their practical application, including innovative learning tools under the “Chess Junior” brand. Our goal is to challenge and s"&amp;"upport children with age-appropriate and engaging chess activities.  Our highlight, “Chess Junior,” is a learning game that introduces children to chess step by step. Our learning game has received multiple awards, including the Tillywig BRAIN CHILD Toy A"&amp;"ward and the “spiel gut” seal of approval. We also offer online and in-person workshops to directly support children’s education.")</f>
        <v/>
      </c>
      <c r="G1702" s="1">
        <f>IFERROR(__xludf.DUMMYFUNCTION("""COMPUTED_VALUE"""),"I'm not part of any EdTech association")</f>
        <v/>
      </c>
      <c r="H1702" s="1">
        <f>IFERROR(__xludf.DUMMYFUNCTION("""COMPUTED_VALUE"""),"English, German, French, Italian, Spanish")</f>
        <v/>
      </c>
      <c r="I1702" s="1">
        <f>IFERROR(__xludf.DUMMYFUNCTION("""COMPUTED_VALUE"""),"office@chess-junior.com")</f>
        <v/>
      </c>
      <c r="J1702" s="1">
        <f>IFERROR(__xludf.DUMMYFUNCTION("""COMPUTED_VALUE"""),"+4369911003302")</f>
        <v/>
      </c>
      <c r="K1702" s="1">
        <f>IFERROR(__xludf.DUMMYFUNCTION("""COMPUTED_VALUE"""),"Graz")</f>
        <v/>
      </c>
      <c r="L1702" s="1">
        <f>IFERROR(__xludf.DUMMYFUNCTION("""COMPUTED_VALUE"""),"Austria")</f>
        <v/>
      </c>
      <c r="M1702" s="1">
        <f>IFERROR(__xludf.DUMMYFUNCTION("""COMPUTED_VALUE"""),"Austria, Germany, France, Italy, United Kingdom")</f>
        <v/>
      </c>
      <c r="N1702" s="1">
        <f>IFERROR(__xludf.DUMMYFUNCTION("""COMPUTED_VALUE"""),"Solo entrepreneur")</f>
        <v/>
      </c>
      <c r="O1702" s="1">
        <f>IFERROR(__xludf.DUMMYFUNCTION("""COMPUTED_VALUE"""),"Business to Schools, Business to Government, Business to Consumer, Business to Business")</f>
        <v/>
      </c>
      <c r="P1702" s="1">
        <f>IFERROR(__xludf.DUMMYFUNCTION("""COMPUTED_VALUE"""),"Primary Education, Early childhood development (0-5 years)")</f>
        <v/>
      </c>
      <c r="Q1702" s="1">
        <f>IFERROR(__xludf.DUMMYFUNCTION("""COMPUTED_VALUE"""),"Teacher interfacing")</f>
        <v/>
      </c>
      <c r="R1702" s="1" t="n"/>
      <c r="S1702" s="1" t="n"/>
      <c r="T1702" s="15">
        <f>IFERROR(__xludf.DUMMYFUNCTION("""COMPUTED_VALUE"""),"https://www.linkedin.com/company/cubes-art-chess-innovations")</f>
        <v/>
      </c>
      <c r="U1702" s="1">
        <f>IFERROR(__xludf.DUMMYFUNCTION("""COMPUTED_VALUE"""),"Chess Junior EDU")</f>
        <v/>
      </c>
      <c r="V1702" s="1">
        <f>IFERROR(__xludf.DUMMYFUNCTION("""COMPUTED_VALUE"""),"The modular learning system for algorithmic thinking, concentration, and problem-solving.
With Chess Junior, children work through exciting chess challenges at the intersection of logic and mathematics.")</f>
        <v/>
      </c>
      <c r="W1702" s="1" t="n"/>
      <c r="X1702" s="1" t="n"/>
      <c r="Y1702" s="15">
        <f>IFERROR(__xludf.DUMMYFUNCTION("""COMPUTED_VALUE"""),"https://drive.google.com/uc?export=view&amp;id=1mt9zvcekHbUvbwz88R42mbcAsR26aQGt")</f>
        <v/>
      </c>
      <c r="Z1702" s="1">
        <f>IFERROR(__xludf.DUMMYFUNCTION("""COMPUTED_VALUE"""),"Verified")</f>
        <v/>
      </c>
      <c r="AA1702" s="1">
        <f>IFERROR(__xludf.DUMMYFUNCTION("""COMPUTED_VALUE"""),"Project consortium building, Public-private partnerships, Industry-academia partnerships, Other, Collaborations between EdTech organisations")</f>
        <v/>
      </c>
      <c r="AB1702" s="1">
        <f>IFERROR(__xludf.DUMMYFUNCTION("""COMPUTED_VALUE"""),"For-profit company")</f>
        <v/>
      </c>
      <c r="AC1702" s="1">
        <f>IFERROR(__xludf.DUMMYFUNCTION("""COMPUTED_VALUE"""),TRUE)</f>
        <v/>
      </c>
      <c r="AD1702" s="1">
        <f>IFERROR(__xludf.DUMMYFUNCTION("""COMPUTED_VALUE"""),TRUE)</f>
        <v/>
      </c>
      <c r="AE1702" s="1" t="n"/>
    </row>
    <row r="1703" ht="42" customHeight="1">
      <c r="A1703" s="14">
        <f>IFERROR(__xludf.DUMMYFUNCTION("""COMPUTED_VALUE"""),45995)</f>
        <v/>
      </c>
      <c r="B1703" s="1">
        <f>IFERROR(__xludf.DUMMYFUNCTION("""COMPUTED_VALUE"""),"ORG_2734")</f>
        <v/>
      </c>
      <c r="C1703" s="1">
        <f>IFERROR(__xludf.DUMMYFUNCTION("""COMPUTED_VALUE"""),TRUE)</f>
        <v/>
      </c>
      <c r="D1703" s="1">
        <f>IFERROR(__xludf.DUMMYFUNCTION("""COMPUTED_VALUE"""),"egitimgpt")</f>
        <v/>
      </c>
      <c r="E1703" s="15">
        <f>IFERROR(__xludf.DUMMYFUNCTION("""COMPUTED_VALUE"""),"https://www.egitimgpt.com/")</f>
        <v/>
      </c>
      <c r="F1703" s="1">
        <f>IFERROR(__xludf.DUMMYFUNCTION("""COMPUTED_VALUE"""),"“EğitimGPT is an AI-powered K-12 learning assistant built for the Turkish national curriculum. We help primary and secondary students with concept explanations, homework support and exam preparation through safe conversational AI. Teachers and parents get"&amp;" insight via simple dashboards, personalised practice sets and progress reports. All content is co-designed with teachers and aligned with MoNE standards. We are now preparing English and Arabic versions to serve schools and families across the MENA regio"&amp;"n.”")</f>
        <v/>
      </c>
      <c r="G1703" s="1">
        <f>IFERROR(__xludf.DUMMYFUNCTION("""COMPUTED_VALUE"""),"I'm not part of any EdTech association")</f>
        <v/>
      </c>
      <c r="H1703" s="1" t="n"/>
      <c r="I1703" s="1">
        <f>IFERROR(__xludf.DUMMYFUNCTION("""COMPUTED_VALUE"""),"makersenligi@gmail.com")</f>
        <v/>
      </c>
      <c r="J1703" s="1">
        <f>IFERROR(__xludf.DUMMYFUNCTION("""COMPUTED_VALUE"""),"+905443070458")</f>
        <v/>
      </c>
      <c r="K1703" s="1">
        <f>IFERROR(__xludf.DUMMYFUNCTION("""COMPUTED_VALUE"""),"Türkiye")</f>
        <v/>
      </c>
      <c r="L1703" s="1">
        <f>IFERROR(__xludf.DUMMYFUNCTION("""COMPUTED_VALUE"""),"Türkiye")</f>
        <v/>
      </c>
      <c r="M1703" s="1">
        <f>IFERROR(__xludf.DUMMYFUNCTION("""COMPUTED_VALUE"""),"Turkey")</f>
        <v/>
      </c>
      <c r="N1703" s="1">
        <f>IFERROR(__xludf.DUMMYFUNCTION("""COMPUTED_VALUE"""),"Micro (1-9 FTE employees)")</f>
        <v/>
      </c>
      <c r="O1703" s="1">
        <f>IFERROR(__xludf.DUMMYFUNCTION("""COMPUTED_VALUE"""),"Business to Business, Business to Consumer, Business to Schools")</f>
        <v/>
      </c>
      <c r="P1703" s="1">
        <f>IFERROR(__xludf.DUMMYFUNCTION("""COMPUTED_VALUE"""),"Primary Education, Secondary Education")</f>
        <v/>
      </c>
      <c r="Q1703" s="1">
        <f>IFERROR(__xludf.DUMMYFUNCTION("""COMPUTED_VALUE"""),"Student interfacing, Teacher interfacing")</f>
        <v/>
      </c>
      <c r="R1703" s="1" t="n"/>
      <c r="S1703" s="1" t="n"/>
      <c r="T1703" s="1" t="n"/>
      <c r="U1703" s="1">
        <f>IFERROR(__xludf.DUMMYFUNCTION("""COMPUTED_VALUE"""),"EğitimGPT K-12 Tutor")</f>
        <v/>
      </c>
      <c r="V1703" s="1">
        <f>IFERROR(__xludf.DUMMYFUNCTION("""COMPUTED_VALUE"""),"EğitimGPT Insights Dashboard")</f>
        <v/>
      </c>
      <c r="W1703" s="1">
        <f>IFERROR(__xludf.DUMMYFUNCTION("""COMPUTED_VALUE"""),"EğitimGPT Insights Dashboard")</f>
        <v/>
      </c>
      <c r="X1703" s="1">
        <f>IFERROR(__xludf.DUMMYFUNCTION("""COMPUTED_VALUE"""),"EğitimGPT Insights is a web dashboard for teachers and parents connected to the AI tutor. It aggregates student activity, highlights strengths and gaps by topic, and suggests targeted practice sets and simple progress reports.")</f>
        <v/>
      </c>
      <c r="Y1703" s="15">
        <f>IFERROR(__xludf.DUMMYFUNCTION("""COMPUTED_VALUE"""),"https://drive.google.com/uc?export=view&amp;id=1vDumgN3Lhn0yjYyc2kTqcn3_GlIlzZac")</f>
        <v/>
      </c>
      <c r="Z1703" s="1">
        <f>IFERROR(__xludf.DUMMYFUNCTION("""COMPUTED_VALUE"""),"Verified")</f>
        <v/>
      </c>
      <c r="AA1703" s="1">
        <f>IFERROR(__xludf.DUMMYFUNCTION("""COMPUTED_VALUE"""),"Collaborations between EdTech organisations, Project consortium building, Public-private partnerships, Industry-academia partnerships, Other")</f>
        <v/>
      </c>
      <c r="AB1703" s="1">
        <f>IFERROR(__xludf.DUMMYFUNCTION("""COMPUTED_VALUE"""),"For-profit company")</f>
        <v/>
      </c>
      <c r="AC1703" s="1">
        <f>IFERROR(__xludf.DUMMYFUNCTION("""COMPUTED_VALUE"""),TRUE)</f>
        <v/>
      </c>
      <c r="AD1703" s="1">
        <f>IFERROR(__xludf.DUMMYFUNCTION("""COMPUTED_VALUE"""),TRUE)</f>
        <v/>
      </c>
      <c r="AE1703" s="1" t="n"/>
    </row>
    <row r="1704" ht="42" customHeight="1">
      <c r="A1704" s="14">
        <f>IFERROR(__xludf.DUMMYFUNCTION("""COMPUTED_VALUE"""),46009)</f>
        <v/>
      </c>
      <c r="B1704" s="1">
        <f>IFERROR(__xludf.DUMMYFUNCTION("""COMPUTED_VALUE"""),"ORG_2735")</f>
        <v/>
      </c>
      <c r="C1704" s="1">
        <f>IFERROR(__xludf.DUMMYFUNCTION("""COMPUTED_VALUE"""),TRUE)</f>
        <v/>
      </c>
      <c r="D1704" s="1">
        <f>IFERROR(__xludf.DUMMYFUNCTION("""COMPUTED_VALUE"""),"AskOwlo")</f>
        <v/>
      </c>
      <c r="E1704" s="15">
        <f>IFERROR(__xludf.DUMMYFUNCTION("""COMPUTED_VALUE"""),"https://AskOwlo.com?ref=edtech-map")</f>
        <v/>
      </c>
      <c r="F1704" s="1">
        <f>IFERROR(__xludf.DUMMYFUNCTION("""COMPUTED_VALUE"""),"AskOwlo is building personalised engaging educational + entertaining experiences for K8 students to improve their engagement &amp; educational performance. We utilise AI where appropriate, with strict safety, monitoring, and privacy measures that comply with "&amp;"both, European, and American regulations.")</f>
        <v/>
      </c>
      <c r="G1704" s="1">
        <f>IFERROR(__xludf.DUMMYFUNCTION("""COMPUTED_VALUE"""),"I'm not part of any EdTech association")</f>
        <v/>
      </c>
      <c r="H1704" s="1">
        <f>IFERROR(__xludf.DUMMYFUNCTION("""COMPUTED_VALUE"""),"English, French, Spanish, Dutch, Italian, German, Portuguese, Arabic")</f>
        <v/>
      </c>
      <c r="I1704" s="1">
        <f>IFERROR(__xludf.DUMMYFUNCTION("""COMPUTED_VALUE"""),"team@askowlo.com")</f>
        <v/>
      </c>
      <c r="J1704" s="1">
        <f>IFERROR(__xludf.DUMMYFUNCTION("""COMPUTED_VALUE"""),"+31647382589")</f>
        <v/>
      </c>
      <c r="K1704" s="1">
        <f>IFERROR(__xludf.DUMMYFUNCTION("""COMPUTED_VALUE"""),"Amsterdam")</f>
        <v/>
      </c>
      <c r="L1704" s="1">
        <f>IFERROR(__xludf.DUMMYFUNCTION("""COMPUTED_VALUE"""),"Netherlands")</f>
        <v/>
      </c>
      <c r="M1704" s="1">
        <f>IFERROR(__xludf.DUMMYFUNCTION("""COMPUTED_VALUE"""),"United Kingdom, Albania, Andorra, Austria, Bosnia and Herzegovina, Belgium, Belarus, Bulgaria, Croatia, Republic of Cyprus, Estonia, Denmark, Czechia, Finland, France, Iceland, Germany, Hungary, Greece, Ireland, Italy, Kosovo, Lithuania, Liechtenstein, La"&amp;"tvia, Moldova, Malta, Luxembourg, Monaco, Montenegro, Netherlands, Poland, San Marino, Romania, Norway, North Macedonia, Portugal, Slovakia, Slovenia, Spain, Turkey, Switzerland, Sweden, Ukraine")</f>
        <v/>
      </c>
      <c r="N1704" s="1">
        <f>IFERROR(__xludf.DUMMYFUNCTION("""COMPUTED_VALUE"""),"Micro (1-9 FTE employees)")</f>
        <v/>
      </c>
      <c r="O1704" s="1">
        <f>IFERROR(__xludf.DUMMYFUNCTION("""COMPUTED_VALUE"""),"Business to Consumer, Business to Government, Business to Schools")</f>
        <v/>
      </c>
      <c r="P1704" s="1">
        <f>IFERROR(__xludf.DUMMYFUNCTION("""COMPUTED_VALUE"""),"Early childhood development (0-5 years), Primary Education")</f>
        <v/>
      </c>
      <c r="Q1704" s="1">
        <f>IFERROR(__xludf.DUMMYFUNCTION("""COMPUTED_VALUE"""),"Student interfacing, Teacher interfacing")</f>
        <v/>
      </c>
      <c r="R1704" s="15">
        <f>IFERROR(__xludf.DUMMYFUNCTION("""COMPUTED_VALUE"""),"https://www.instagram.com/ask.owlo")</f>
        <v/>
      </c>
      <c r="S1704" s="15">
        <f>IFERROR(__xludf.DUMMYFUNCTION("""COMPUTED_VALUE"""),"https://x.com/askowlo")</f>
        <v/>
      </c>
      <c r="T1704" s="15">
        <f>IFERROR(__xludf.DUMMYFUNCTION("""COMPUTED_VALUE"""),"https://www.linkedin.com/company/askowlo/")</f>
        <v/>
      </c>
      <c r="U1704" s="1">
        <f>IFERROR(__xludf.DUMMYFUNCTION("""COMPUTED_VALUE"""),"AskOwlo Tutor ")</f>
        <v/>
      </c>
      <c r="V1704" s="1">
        <f>IFERROR(__xludf.DUMMYFUNCTION("""COMPUTED_VALUE"""),"Owlo is a learning buddy for kids in the K8 learning phase. Owlo is an AI powered character that engages with kids in personalised educational discussions that helps them understand educational topics in fun way without giving them the answer right away. "&amp;"It follow the socratic method &amp; parent rules")</f>
        <v/>
      </c>
      <c r="W1704" s="1">
        <f>IFERROR(__xludf.DUMMYFUNCTION("""COMPUTED_VALUE"""),"AskOwlo Stories ")</f>
        <v/>
      </c>
      <c r="X1704" s="1">
        <f>IFERROR(__xludf.DUMMYFUNCTION("""COMPUTED_VALUE"""),"A safe educational Netflix for kids. Interactive Educational audio (and soon video) stories for kids aged 3 to 9. Designed to help them learn about various topics through engaging storytelling and cartoon characters. ")</f>
        <v/>
      </c>
      <c r="Y1704" s="15">
        <f>IFERROR(__xludf.DUMMYFUNCTION("""COMPUTED_VALUE"""),"https://drive.google.com/uc?export=view&amp;id=1PRZm-cwATShgTOKyeaESlzJTlWFSBB6w")</f>
        <v/>
      </c>
      <c r="Z1704" s="1">
        <f>IFERROR(__xludf.DUMMYFUNCTION("""COMPUTED_VALUE"""),"Verified")</f>
        <v/>
      </c>
      <c r="AA1704" s="1">
        <f>IFERROR(__xludf.DUMMYFUNCTION("""COMPUTED_VALUE"""),"Collaborations between EdTech organisations, Public-private partnerships, Industry-academia partnerships")</f>
        <v/>
      </c>
      <c r="AB1704" s="1">
        <f>IFERROR(__xludf.DUMMYFUNCTION("""COMPUTED_VALUE"""),"For-profit company")</f>
        <v/>
      </c>
      <c r="AC1704" s="1">
        <f>IFERROR(__xludf.DUMMYFUNCTION("""COMPUTED_VALUE"""),FALSE)</f>
        <v/>
      </c>
      <c r="AD1704" s="1">
        <f>IFERROR(__xludf.DUMMYFUNCTION("""COMPUTED_VALUE"""),TRUE)</f>
        <v/>
      </c>
      <c r="AE1704" s="15">
        <f>IFERROR(__xludf.DUMMYFUNCTION("""COMPUTED_VALUE"""),"https://www.facebook.com/profile.php?id=61576192206238")</f>
        <v/>
      </c>
    </row>
    <row r="1705" ht="42" customHeight="1">
      <c r="A1705" s="14">
        <f>IFERROR(__xludf.DUMMYFUNCTION("""COMPUTED_VALUE"""),46010)</f>
        <v/>
      </c>
      <c r="B1705" s="1">
        <f>IFERROR(__xludf.DUMMYFUNCTION("""COMPUTED_VALUE"""),"ORG_1774")</f>
        <v/>
      </c>
      <c r="C1705" s="1">
        <f>IFERROR(__xludf.DUMMYFUNCTION("""COMPUTED_VALUE"""),TRUE)</f>
        <v/>
      </c>
      <c r="D1705" s="1">
        <f>IFERROR(__xludf.DUMMYFUNCTION("""COMPUTED_VALUE"""),"Kindiedays")</f>
        <v/>
      </c>
      <c r="E1705" s="15">
        <f>IFERROR(__xludf.DUMMYFUNCTION("""COMPUTED_VALUE"""),"www.kindiedays.com")</f>
        <v/>
      </c>
      <c r="F1705" s="1">
        <f>IFERROR(__xludf.DUMMYFUNCTION("""COMPUTED_VALUE"""),"Kindiedays Preschool Solutions supports the whole learning process. Digital tools, lesson plans, and workshops for teachers' professional development. Based on best practices from Finland and flexibly adapted to the local needs.")</f>
        <v/>
      </c>
      <c r="G1705" s="1">
        <f>IFERROR(__xludf.DUMMYFUNCTION("""COMPUTED_VALUE"""),"EdTech Finland")</f>
        <v/>
      </c>
      <c r="H1705" s="1">
        <f>IFERROR(__xludf.DUMMYFUNCTION("""COMPUTED_VALUE"""),"English, Italian, Estonian, Greek, Finnish, Spanish")</f>
        <v/>
      </c>
      <c r="I1705" s="1">
        <f>IFERROR(__xludf.DUMMYFUNCTION("""COMPUTED_VALUE"""),"nils@kindiedays.com")</f>
        <v/>
      </c>
      <c r="J1705" s="1">
        <f>IFERROR(__xludf.DUMMYFUNCTION("""COMPUTED_VALUE"""),"+358407064240")</f>
        <v/>
      </c>
      <c r="K1705" s="1">
        <f>IFERROR(__xludf.DUMMYFUNCTION("""COMPUTED_VALUE"""),"Finland")</f>
        <v/>
      </c>
      <c r="L1705" s="1">
        <f>IFERROR(__xludf.DUMMYFUNCTION("""COMPUTED_VALUE"""),"Finland")</f>
        <v/>
      </c>
      <c r="M1705" s="1">
        <f>IFERROR(__xludf.DUMMYFUNCTION("""COMPUTED_VALUE"""),"Estonia, Finland, Greece, Italy, Spain, Turkey, Switzerland")</f>
        <v/>
      </c>
      <c r="N1705" s="1">
        <f>IFERROR(__xludf.DUMMYFUNCTION("""COMPUTED_VALUE"""),"Small (10-49 FTE employees)")</f>
        <v/>
      </c>
      <c r="O1705" s="1">
        <f>IFERROR(__xludf.DUMMYFUNCTION("""COMPUTED_VALUE"""),"Business to Schools")</f>
        <v/>
      </c>
      <c r="P1705" s="1">
        <f>IFERROR(__xludf.DUMMYFUNCTION("""COMPUTED_VALUE"""),"Early childhood development (0-5 years)")</f>
        <v/>
      </c>
      <c r="Q1705" s="1">
        <f>IFERROR(__xludf.DUMMYFUNCTION("""COMPUTED_VALUE"""),"Teacher interfacing, Other, System/Administrative")</f>
        <v/>
      </c>
      <c r="R1705" s="15">
        <f>IFERROR(__xludf.DUMMYFUNCTION("""COMPUTED_VALUE"""),"https://www.instagram.com/kindiedays")</f>
        <v/>
      </c>
      <c r="S1705" s="15">
        <f>IFERROR(__xludf.DUMMYFUNCTION("""COMPUTED_VALUE"""),"https://www.facebook.com/kindiedays")</f>
        <v/>
      </c>
      <c r="T1705" s="15">
        <f>IFERROR(__xludf.DUMMYFUNCTION("""COMPUTED_VALUE"""),"https://www.linkedin.com/company/kindiedays")</f>
        <v/>
      </c>
      <c r="U1705" s="1">
        <f>IFERROR(__xludf.DUMMYFUNCTION("""COMPUTED_VALUE"""),"Kindiedays Academy")</f>
        <v/>
      </c>
      <c r="V1705" s="1">
        <f>IFERROR(__xludf.DUMMYFUNCTION("""COMPUTED_VALUE"""),"Enhance educators' skills to create a stimulating and playful learning environment for children. Learn practical skills to integrate a modern curriculum in your preschool.")</f>
        <v/>
      </c>
      <c r="W1705" s="1">
        <f>IFERROR(__xludf.DUMMYFUNCTION("""COMPUTED_VALUE"""),"Kindiedays Digi Tools and Lesson Plans")</f>
        <v/>
      </c>
      <c r="X1705" s="1">
        <f>IFERROR(__xludf.DUMMYFUNCTION("""COMPUTED_VALUE"""),"Efficient learning tracking, seamless communication, data-driven insights for quality assurance, and daily routines, all in one platform.
Authentic Finnish curriculum-aligned experiential lesson plans. 
Optional coursebooks and workbooks.")</f>
        <v/>
      </c>
      <c r="Y1705" s="15">
        <f>IFERROR(__xludf.DUMMYFUNCTION("""COMPUTED_VALUE"""),"https://drive.google.com/uc?export=view&amp;id=1nXe9zRSj79SfUXbuaLZiDhM7AwG57ToT")</f>
        <v/>
      </c>
      <c r="Z1705" s="1">
        <f>IFERROR(__xludf.DUMMYFUNCTION("""COMPUTED_VALUE"""),"Verified")</f>
        <v/>
      </c>
      <c r="AA1705" s="1">
        <f>IFERROR(__xludf.DUMMYFUNCTION("""COMPUTED_VALUE"""),"Collaborations between EdTech organisations, Project consortium building")</f>
        <v/>
      </c>
      <c r="AB1705" s="1">
        <f>IFERROR(__xludf.DUMMYFUNCTION("""COMPUTED_VALUE"""),"For-profit company")</f>
        <v/>
      </c>
      <c r="AC1705" s="1">
        <f>IFERROR(__xludf.DUMMYFUNCTION("""COMPUTED_VALUE"""),TRUE)</f>
        <v/>
      </c>
      <c r="AD1705" s="1">
        <f>IFERROR(__xludf.DUMMYFUNCTION("""COMPUTED_VALUE"""),TRUE)</f>
        <v/>
      </c>
      <c r="AE1705" s="1" t="n"/>
    </row>
    <row r="1706" ht="42" customHeight="1">
      <c r="A1706" s="14">
        <f>IFERROR(__xludf.DUMMYFUNCTION("""COMPUTED_VALUE"""),46010)</f>
        <v/>
      </c>
      <c r="B1706" s="1">
        <f>IFERROR(__xludf.DUMMYFUNCTION("""COMPUTED_VALUE"""),"ORG_2736")</f>
        <v/>
      </c>
      <c r="C1706" s="1">
        <f>IFERROR(__xludf.DUMMYFUNCTION("""COMPUTED_VALUE"""),TRUE)</f>
        <v/>
      </c>
      <c r="D1706" s="1">
        <f>IFERROR(__xludf.DUMMYFUNCTION("""COMPUTED_VALUE"""),"chemmedia AG")</f>
        <v/>
      </c>
      <c r="E1706" s="15">
        <f>IFERROR(__xludf.DUMMYFUNCTION("""COMPUTED_VALUE"""),"https://www.chemmedia.de/")</f>
        <v/>
      </c>
      <c r="F1706" s="1">
        <f>IFERROR(__xludf.DUMMYFUNCTION("""COMPUTED_VALUE"""),"chemmedia is the reliable partner for your digital learning and development strategy, streamlined eLearning processes, and complex learning infrastructures. We make your knowledge available where it’s needed most. Backed by more than 20 years of experienc"&amp;"e, future-ready software solutions, and expert consultants, we support your company-wide eLearning initiatives. Together, we create distinctive learning experiences.  As an owner-led full-service agency, we provide everything you need for your eLearning p"&amp;"roject end-to-end from a single source: software, consulting, content, and services. With our own software solution, Knowledgeworker, we deliver tailored solutions for enterprise-wide knowledge and competency management. We’re proud to support more than 1"&amp;"8 million users across 520 customers in 41 countries.")</f>
        <v/>
      </c>
      <c r="G1706" s="1">
        <f>IFERROR(__xludf.DUMMYFUNCTION("""COMPUTED_VALUE"""),"I'm not part of any EdTech association")</f>
        <v/>
      </c>
      <c r="H1706" s="1">
        <f>IFERROR(__xludf.DUMMYFUNCTION("""COMPUTED_VALUE"""),"English, German")</f>
        <v/>
      </c>
      <c r="I1706" s="1">
        <f>IFERROR(__xludf.DUMMYFUNCTION("""COMPUTED_VALUE"""),"info@chemmedia.de")</f>
        <v/>
      </c>
      <c r="J1706" s="1">
        <f>IFERROR(__xludf.DUMMYFUNCTION("""COMPUTED_VALUE"""),"+49371493700")</f>
        <v/>
      </c>
      <c r="K1706" s="1">
        <f>IFERROR(__xludf.DUMMYFUNCTION("""COMPUTED_VALUE"""),"Chemnitz")</f>
        <v/>
      </c>
      <c r="L1706" s="1">
        <f>IFERROR(__xludf.DUMMYFUNCTION("""COMPUTED_VALUE"""),"Germany")</f>
        <v/>
      </c>
      <c r="M1706" s="1">
        <f>IFERROR(__xludf.DUMMYFUNCTION("""COMPUTED_VALUE"""),"Austria, France, Germany, Switzerland, United Kingdom")</f>
        <v/>
      </c>
      <c r="N1706" s="1">
        <f>IFERROR(__xludf.DUMMYFUNCTION("""COMPUTED_VALUE"""),"Medium (50-250 FTE employees)")</f>
        <v/>
      </c>
      <c r="O1706" s="1">
        <f>IFERROR(__xludf.DUMMYFUNCTION("""COMPUTED_VALUE"""),"Business to Business, Business to Schools")</f>
        <v/>
      </c>
      <c r="P1706" s="1">
        <f>IFERROR(__xludf.DUMMYFUNCTION("""COMPUTED_VALUE"""),"Corporate Training, Lifelong learning/Adult education, Vocational Education and Training (VET), Higher Education")</f>
        <v/>
      </c>
      <c r="Q1706" s="1">
        <f>IFERROR(__xludf.DUMMYFUNCTION("""COMPUTED_VALUE"""),"Student interfacing, Teacher interfacing, System/Administrative")</f>
        <v/>
      </c>
      <c r="R1706" s="15">
        <f>IFERROR(__xludf.DUMMYFUNCTION("""COMPUTED_VALUE"""),"https://www.instagram.com/chemmedia_ag/")</f>
        <v/>
      </c>
      <c r="S1706" s="1" t="n"/>
      <c r="T1706" s="15">
        <f>IFERROR(__xludf.DUMMYFUNCTION("""COMPUTED_VALUE"""),"https://www.linkedin.com/company/chemmedia-ag/")</f>
        <v/>
      </c>
      <c r="U1706" s="1">
        <f>IFERROR(__xludf.DUMMYFUNCTION("""COMPUTED_VALUE"""),"Full-service eLearning: technology, content, consulting, and services")</f>
        <v/>
      </c>
      <c r="V1706" s="1">
        <f>IFERROR(__xludf.DUMMYFUNCTION("""COMPUTED_VALUE"""),"Full-service eLearning: expert consulting, engaging on-brand content, and the right software stack for your needs. We also cover implementation, integration, and ongoing support—so your learning operations run smoothly and scale with your organization.")</f>
        <v/>
      </c>
      <c r="W1706" s="1" t="n"/>
      <c r="X1706" s="1" t="n"/>
      <c r="Y1706" s="15">
        <f>IFERROR(__xludf.DUMMYFUNCTION("""COMPUTED_VALUE"""),"https://drive.google.com/uc?export=view&amp;id=1DvEkGqSUlMuVZotESevBbRUbgkog7fAU")</f>
        <v/>
      </c>
      <c r="Z1706" s="1">
        <f>IFERROR(__xludf.DUMMYFUNCTION("""COMPUTED_VALUE"""),"Verified")</f>
        <v/>
      </c>
      <c r="AA1706" s="1">
        <f>IFERROR(__xludf.DUMMYFUNCTION("""COMPUTED_VALUE"""),"Collaborations between EdTech organisations")</f>
        <v/>
      </c>
      <c r="AB1706" s="1">
        <f>IFERROR(__xludf.DUMMYFUNCTION("""COMPUTED_VALUE"""),"For-profit company")</f>
        <v/>
      </c>
      <c r="AC1706" s="1">
        <f>IFERROR(__xludf.DUMMYFUNCTION("""COMPUTED_VALUE"""),TRUE)</f>
        <v/>
      </c>
      <c r="AD1706" s="1">
        <f>IFERROR(__xludf.DUMMYFUNCTION("""COMPUTED_VALUE"""),TRUE)</f>
        <v/>
      </c>
      <c r="AE1706" s="1" t="n"/>
    </row>
    <row r="1707" ht="42" customHeight="1">
      <c r="A1707" s="14">
        <f>IFERROR(__xludf.DUMMYFUNCTION("""COMPUTED_VALUE"""),46015)</f>
        <v/>
      </c>
      <c r="B1707" s="1">
        <f>IFERROR(__xludf.DUMMYFUNCTION("""COMPUTED_VALUE"""),"ORG_2737")</f>
        <v/>
      </c>
      <c r="C1707" s="1">
        <f>IFERROR(__xludf.DUMMYFUNCTION("""COMPUTED_VALUE"""),TRUE)</f>
        <v/>
      </c>
      <c r="D1707" s="1">
        <f>IFERROR(__xludf.DUMMYFUNCTION("""COMPUTED_VALUE"""),"JoJoschool")</f>
        <v/>
      </c>
      <c r="E1707" s="15">
        <f>IFERROR(__xludf.DUMMYFUNCTION("""COMPUTED_VALUE"""),"https://jojoschool.nl/")</f>
        <v/>
      </c>
      <c r="F1707" s="1">
        <f>IFERROR(__xludf.DUMMYFUNCTION("""COMPUTED_VALUE"""),"JoJoschool provides a complete digital learning environment for Dutch high school students and schools. Content is organized by common textbooks and learning goals. Students watch lesson videos, practice with auto-graded exercises, and prepare for exams. "&amp;"Ainstein, JoJoschool’s AI mentor, guides students through assignments and examquestions with structured hints and explanations. Schools can deploy JoJoschool for classes or as a full school license; individuals can subscribe directly.")</f>
        <v/>
      </c>
      <c r="G1707" s="1">
        <f>IFERROR(__xludf.DUMMYFUNCTION("""COMPUTED_VALUE"""),"Dutch EdTech")</f>
        <v/>
      </c>
      <c r="H1707" s="1">
        <f>IFERROR(__xludf.DUMMYFUNCTION("""COMPUTED_VALUE"""),"Dutch")</f>
        <v/>
      </c>
      <c r="I1707" s="1">
        <f>IFERROR(__xludf.DUMMYFUNCTION("""COMPUTED_VALUE"""),"info@jojoschool.nl")</f>
        <v/>
      </c>
      <c r="J1707" s="1">
        <f>IFERROR(__xludf.DUMMYFUNCTION("""COMPUTED_VALUE"""),"+31302072726")</f>
        <v/>
      </c>
      <c r="K1707" s="1">
        <f>IFERROR(__xludf.DUMMYFUNCTION("""COMPUTED_VALUE"""),"Utrecht")</f>
        <v/>
      </c>
      <c r="L1707" s="1">
        <f>IFERROR(__xludf.DUMMYFUNCTION("""COMPUTED_VALUE"""),"The Netherlands")</f>
        <v/>
      </c>
      <c r="M1707" s="1">
        <f>IFERROR(__xludf.DUMMYFUNCTION("""COMPUTED_VALUE"""),"Netherlands")</f>
        <v/>
      </c>
      <c r="N1707" s="1">
        <f>IFERROR(__xludf.DUMMYFUNCTION("""COMPUTED_VALUE"""),"Small (10-49 FTE employees)")</f>
        <v/>
      </c>
      <c r="O1707" s="1">
        <f>IFERROR(__xludf.DUMMYFUNCTION("""COMPUTED_VALUE"""),"Business to Business, Business to Schools, Business to Consumer")</f>
        <v/>
      </c>
      <c r="P1707" s="1">
        <f>IFERROR(__xludf.DUMMYFUNCTION("""COMPUTED_VALUE"""),"Secondary Education")</f>
        <v/>
      </c>
      <c r="Q1707" s="1">
        <f>IFERROR(__xludf.DUMMYFUNCTION("""COMPUTED_VALUE"""),"Student interfacing")</f>
        <v/>
      </c>
      <c r="R1707" s="15">
        <f>IFERROR(__xludf.DUMMYFUNCTION("""COMPUTED_VALUE"""),"https://www.instagram.com/jojoschoolnl/")</f>
        <v/>
      </c>
      <c r="S1707" s="1" t="n"/>
      <c r="T1707" s="15">
        <f>IFERROR(__xludf.DUMMYFUNCTION("""COMPUTED_VALUE"""),"https://nl.linkedin.com/company/jojoschool")</f>
        <v/>
      </c>
      <c r="U1707" s="1">
        <f>IFERROR(__xludf.DUMMYFUNCTION("""COMPUTED_VALUE"""),"JoJoschool")</f>
        <v/>
      </c>
      <c r="V1707" s="1">
        <f>IFERROR(__xludf.DUMMYFUNCTION("""COMPUTED_VALUE"""),"JoJoschool is a complete digital learning platform for Dutch secondary education. Content is structured by commonly used textbooks and learning objectives, combining short lesson videos, auto-graded exercises, summaries, and exam preparation. ")</f>
        <v/>
      </c>
      <c r="W1707" s="1">
        <f>IFERROR(__xludf.DUMMYFUNCTION("""COMPUTED_VALUE"""),"Ainstein")</f>
        <v/>
      </c>
      <c r="X1707" s="1">
        <f>IFERROR(__xludf.DUMMYFUNCTION("""COMPUTED_VALUE"""),"Ainstein is JoJoschool’s AI-powered learning mentor that guides students step by step through homework, assignments, and exam questions. Instead of providing direct answers, Ainstein offers structured hints, explanations, and feedback tailored to the stud"&amp;"ent’s level and learning goals.")</f>
        <v/>
      </c>
      <c r="Y1707" s="15">
        <f>IFERROR(__xludf.DUMMYFUNCTION("""COMPUTED_VALUE"""),"https://drive.google.com/uc?export=view&amp;id=1MMvR2KiX9FCqI16OwwTFSh_7rZuC_F3a")</f>
        <v/>
      </c>
      <c r="Z1707" s="1">
        <f>IFERROR(__xludf.DUMMYFUNCTION("""COMPUTED_VALUE"""),"Verified")</f>
        <v/>
      </c>
      <c r="AA1707" s="1">
        <f>IFERROR(__xludf.DUMMYFUNCTION("""COMPUTED_VALUE"""),"Public-private partnerships, Collaborations between EdTech organisations, Other")</f>
        <v/>
      </c>
      <c r="AB1707" s="1">
        <f>IFERROR(__xludf.DUMMYFUNCTION("""COMPUTED_VALUE"""),"For-profit company")</f>
        <v/>
      </c>
      <c r="AC1707" s="1">
        <f>IFERROR(__xludf.DUMMYFUNCTION("""COMPUTED_VALUE"""),TRUE)</f>
        <v/>
      </c>
      <c r="AD1707" s="1">
        <f>IFERROR(__xludf.DUMMYFUNCTION("""COMPUTED_VALUE"""),TRUE)</f>
        <v/>
      </c>
      <c r="AE1707" s="1" t="n"/>
    </row>
    <row r="1708" ht="42" customHeight="1">
      <c r="A1708" s="14">
        <f>IFERROR(__xludf.DUMMYFUNCTION("""COMPUTED_VALUE"""),46021)</f>
        <v/>
      </c>
      <c r="B1708" s="1">
        <f>IFERROR(__xludf.DUMMYFUNCTION("""COMPUTED_VALUE"""),"ORG_2738")</f>
        <v/>
      </c>
      <c r="C1708" s="1">
        <f>IFERROR(__xludf.DUMMYFUNCTION("""COMPUTED_VALUE"""),TRUE)</f>
        <v/>
      </c>
      <c r="D1708" s="1">
        <f>IFERROR(__xludf.DUMMYFUNCTION("""COMPUTED_VALUE"""),"Enström Education AB")</f>
        <v/>
      </c>
      <c r="E1708" s="15">
        <f>IFERROR(__xludf.DUMMYFUNCTION("""COMPUTED_VALUE"""),"https://arlicious.com/")</f>
        <v/>
      </c>
      <c r="F1708" s="1">
        <f>IFERROR(__xludf.DUMMYFUNCTION("""COMPUTED_VALUE"""),"ARlicious – Where Learning Meets Augmented Reality &amp; AI")</f>
        <v/>
      </c>
      <c r="G1708" s="1">
        <f>IFERROR(__xludf.DUMMYFUNCTION("""COMPUTED_VALUE"""),"I'm not part of any EdTech association")</f>
        <v/>
      </c>
      <c r="H1708" s="1">
        <f>IFERROR(__xludf.DUMMYFUNCTION("""COMPUTED_VALUE"""),"English, Swedish, Arabic")</f>
        <v/>
      </c>
      <c r="I1708" s="1">
        <f>IFERROR(__xludf.DUMMYFUNCTION("""COMPUTED_VALUE"""),"andersenstrom1@gmail.com")</f>
        <v/>
      </c>
      <c r="J1708" s="1">
        <f>IFERROR(__xludf.DUMMYFUNCTION("""COMPUTED_VALUE"""),"+46708549971")</f>
        <v/>
      </c>
      <c r="K1708" s="1">
        <f>IFERROR(__xludf.DUMMYFUNCTION("""COMPUTED_VALUE"""),"Stockholm ")</f>
        <v/>
      </c>
      <c r="L1708" s="1">
        <f>IFERROR(__xludf.DUMMYFUNCTION("""COMPUTED_VALUE"""),"Sweden")</f>
        <v/>
      </c>
      <c r="M1708" s="1" t="n"/>
      <c r="N1708" s="1">
        <f>IFERROR(__xludf.DUMMYFUNCTION("""COMPUTED_VALUE"""),"Micro (1-9 FTE employees)")</f>
        <v/>
      </c>
      <c r="O1708" s="1">
        <f>IFERROR(__xludf.DUMMYFUNCTION("""COMPUTED_VALUE"""),"Business to Schools, Business to Business, Business to Consumer")</f>
        <v/>
      </c>
      <c r="P1708" s="1">
        <f>IFERROR(__xludf.DUMMYFUNCTION("""COMPUTED_VALUE"""),"Early childhood development (0-5 years), Primary Education, Secondary Education, Special education")</f>
        <v/>
      </c>
      <c r="Q1708" s="1">
        <f>IFERROR(__xludf.DUMMYFUNCTION("""COMPUTED_VALUE"""),"Student interfacing, Teacher interfacing")</f>
        <v/>
      </c>
      <c r="R1708" s="1" t="n"/>
      <c r="S1708" s="1" t="n"/>
      <c r="T1708" s="1" t="n"/>
      <c r="U1708" s="1" t="n"/>
      <c r="V1708" s="1" t="n"/>
      <c r="W1708" s="1" t="n"/>
      <c r="X1708" s="1" t="n"/>
      <c r="Y1708" s="15">
        <f>IFERROR(__xludf.DUMMYFUNCTION("""COMPUTED_VALUE"""),"https://drive.google.com/uc?export=view&amp;id=1oB4tdTA37tIggrE0Cks81kD5gWDw0WqY")</f>
        <v/>
      </c>
      <c r="Z1708" s="1">
        <f>IFERROR(__xludf.DUMMYFUNCTION("""COMPUTED_VALUE"""),"Verified")</f>
        <v/>
      </c>
      <c r="AA1708" s="1">
        <f>IFERROR(__xludf.DUMMYFUNCTION("""COMPUTED_VALUE"""),"Public-private partnerships, Other")</f>
        <v/>
      </c>
      <c r="AB1708" s="1">
        <f>IFERROR(__xludf.DUMMYFUNCTION("""COMPUTED_VALUE"""),"For-profit company")</f>
        <v/>
      </c>
      <c r="AC1708" s="1">
        <f>IFERROR(__xludf.DUMMYFUNCTION("""COMPUTED_VALUE"""),TRUE)</f>
        <v/>
      </c>
      <c r="AD1708" s="1">
        <f>IFERROR(__xludf.DUMMYFUNCTION("""COMPUTED_VALUE"""),TRUE)</f>
        <v/>
      </c>
      <c r="AE1708" s="1" t="n"/>
    </row>
    <row r="1709" ht="42" customHeight="1">
      <c r="A1709" s="14">
        <f>IFERROR(__xludf.DUMMYFUNCTION("""COMPUTED_VALUE"""),46024)</f>
        <v/>
      </c>
      <c r="B1709" s="1">
        <f>IFERROR(__xludf.DUMMYFUNCTION("""COMPUTED_VALUE"""),"ORG_2739")</f>
        <v/>
      </c>
      <c r="C1709" s="1">
        <f>IFERROR(__xludf.DUMMYFUNCTION("""COMPUTED_VALUE"""),TRUE)</f>
        <v/>
      </c>
      <c r="D1709" s="1">
        <f>IFERROR(__xludf.DUMMYFUNCTION("""COMPUTED_VALUE"""),"Checkademia GmbH")</f>
        <v/>
      </c>
      <c r="E1709" s="15">
        <f>IFERROR(__xludf.DUMMYFUNCTION("""COMPUTED_VALUE"""),"https://www.checkademia.de")</f>
        <v/>
      </c>
      <c r="F1709" s="1">
        <f>IFERROR(__xludf.DUMMYFUNCTION("""COMPUTED_VALUE"""),"Checkademia helps prospective students discover their passion and choose the right degree. The product offering includes an AI-based study choice test, extensive video content on subjects, career fields, universities, and degree programs, as well as vario"&amp;"us study and career guidance services (a 4-week cohort-based online course, individual online guidance, and in-person guidance in Munich). Checkademia aims to contribute to the happiness and success of prospective students and to reduce the high dropout r"&amp;"ate of almost 30%. For more information, visit https://www.checkademia.de.")</f>
        <v/>
      </c>
      <c r="G1709" s="1">
        <f>IFERROR(__xludf.DUMMYFUNCTION("""COMPUTED_VALUE"""),"I'm not part of any EdTech association")</f>
        <v/>
      </c>
      <c r="H1709" s="1">
        <f>IFERROR(__xludf.DUMMYFUNCTION("""COMPUTED_VALUE"""),"German")</f>
        <v/>
      </c>
      <c r="I1709" s="1">
        <f>IFERROR(__xludf.DUMMYFUNCTION("""COMPUTED_VALUE"""),"info@checkademia.de")</f>
        <v/>
      </c>
      <c r="J1709" s="1">
        <f>IFERROR(__xludf.DUMMYFUNCTION("""COMPUTED_VALUE"""),"+498938040081")</f>
        <v/>
      </c>
      <c r="K1709" s="1">
        <f>IFERROR(__xludf.DUMMYFUNCTION("""COMPUTED_VALUE"""),"Munich")</f>
        <v/>
      </c>
      <c r="L1709" s="1">
        <f>IFERROR(__xludf.DUMMYFUNCTION("""COMPUTED_VALUE"""),"Germany")</f>
        <v/>
      </c>
      <c r="M1709" s="1">
        <f>IFERROR(__xludf.DUMMYFUNCTION("""COMPUTED_VALUE"""),"Austria, Germany, Switzerland, Italy")</f>
        <v/>
      </c>
      <c r="N1709" s="1">
        <f>IFERROR(__xludf.DUMMYFUNCTION("""COMPUTED_VALUE"""),"Micro (1-9 FTE employees)")</f>
        <v/>
      </c>
      <c r="O1709" s="1">
        <f>IFERROR(__xludf.DUMMYFUNCTION("""COMPUTED_VALUE"""),"Business to Consumer, Business to Government, Business to Business, Business to Schools")</f>
        <v/>
      </c>
      <c r="P1709" s="1">
        <f>IFERROR(__xludf.DUMMYFUNCTION("""COMPUTED_VALUE"""),"Higher Education, Secondary Education")</f>
        <v/>
      </c>
      <c r="Q1709" s="1">
        <f>IFERROR(__xludf.DUMMYFUNCTION("""COMPUTED_VALUE"""),"Student interfacing, Teacher interfacing, Other")</f>
        <v/>
      </c>
      <c r="R1709" s="15">
        <f>IFERROR(__xludf.DUMMYFUNCTION("""COMPUTED_VALUE"""),"https://www.instagram.com/checkademia/")</f>
        <v/>
      </c>
      <c r="S1709" s="1" t="n"/>
      <c r="T1709" s="15">
        <f>IFERROR(__xludf.DUMMYFUNCTION("""COMPUTED_VALUE"""),"https://www.linkedin.com/company/checkademia/")</f>
        <v/>
      </c>
      <c r="U1709" s="1" t="n"/>
      <c r="V1709" s="1" t="n"/>
      <c r="W1709" s="1" t="n"/>
      <c r="X1709" s="1" t="n"/>
      <c r="Y1709" s="15">
        <f>IFERROR(__xludf.DUMMYFUNCTION("""COMPUTED_VALUE"""),"https://drive.google.com/uc?export=view&amp;id=1VUEQZUczy5DRHD3u-2hODdqrqKcpPp3B")</f>
        <v/>
      </c>
      <c r="Z1709" s="1">
        <f>IFERROR(__xludf.DUMMYFUNCTION("""COMPUTED_VALUE"""),"Verified")</f>
        <v/>
      </c>
      <c r="AA1709" s="1">
        <f>IFERROR(__xludf.DUMMYFUNCTION("""COMPUTED_VALUE"""),"Public-private partnerships")</f>
        <v/>
      </c>
      <c r="AB1709" s="1">
        <f>IFERROR(__xludf.DUMMYFUNCTION("""COMPUTED_VALUE"""),"For-profit company")</f>
        <v/>
      </c>
      <c r="AC1709" s="1">
        <f>IFERROR(__xludf.DUMMYFUNCTION("""COMPUTED_VALUE"""),TRUE)</f>
        <v/>
      </c>
      <c r="AD1709" s="1">
        <f>IFERROR(__xludf.DUMMYFUNCTION("""COMPUTED_VALUE"""),TRUE)</f>
        <v/>
      </c>
      <c r="AE1709" s="1" t="n"/>
    </row>
    <row r="1710" ht="42" customHeight="1">
      <c r="A1710" s="14">
        <f>IFERROR(__xludf.DUMMYFUNCTION("""COMPUTED_VALUE"""),46029)</f>
        <v/>
      </c>
      <c r="B1710" s="1">
        <f>IFERROR(__xludf.DUMMYFUNCTION("""COMPUTED_VALUE"""),"ORG_2740")</f>
        <v/>
      </c>
      <c r="C1710" s="1">
        <f>IFERROR(__xludf.DUMMYFUNCTION("""COMPUTED_VALUE"""),TRUE)</f>
        <v/>
      </c>
      <c r="D1710" s="1">
        <f>IFERROR(__xludf.DUMMYFUNCTION("""COMPUTED_VALUE"""),"AI-Dev Solutions")</f>
        <v/>
      </c>
      <c r="E1710" s="15">
        <f>IFERROR(__xludf.DUMMYFUNCTION("""COMPUTED_VALUE"""),"https://www.aidevsolutions.dk/")</f>
        <v/>
      </c>
      <c r="F1710" s="1">
        <f>IFERROR(__xludf.DUMMYFUNCTION("""COMPUTED_VALUE"""),"we harness the power of artificial intelligence to build smart, user-centered software solutions, helping businesses streamline operations, enhance productivity, and bring their digital ideas to life.")</f>
        <v/>
      </c>
      <c r="G1710" s="1">
        <f>IFERROR(__xludf.DUMMYFUNCTION("""COMPUTED_VALUE"""),"EdTech Denmark")</f>
        <v/>
      </c>
      <c r="H1710" s="1">
        <f>IFERROR(__xludf.DUMMYFUNCTION("""COMPUTED_VALUE"""),"English, Danish")</f>
        <v/>
      </c>
      <c r="I1710" s="1">
        <f>IFERROR(__xludf.DUMMYFUNCTION("""COMPUTED_VALUE"""),"linahajjar1@hotmail.com")</f>
        <v/>
      </c>
      <c r="J1710" s="1">
        <f>IFERROR(__xludf.DUMMYFUNCTION("""COMPUTED_VALUE"""),"+4552762553")</f>
        <v/>
      </c>
      <c r="K1710" s="1">
        <f>IFERROR(__xludf.DUMMYFUNCTION("""COMPUTED_VALUE"""),"Herlev")</f>
        <v/>
      </c>
      <c r="L1710" s="1">
        <f>IFERROR(__xludf.DUMMYFUNCTION("""COMPUTED_VALUE"""),"Denmark")</f>
        <v/>
      </c>
      <c r="M1710" s="1">
        <f>IFERROR(__xludf.DUMMYFUNCTION("""COMPUTED_VALUE"""),"Denmark")</f>
        <v/>
      </c>
      <c r="N1710" s="1">
        <f>IFERROR(__xludf.DUMMYFUNCTION("""COMPUTED_VALUE"""),"Micro (1-9 FTE employees)")</f>
        <v/>
      </c>
      <c r="O1710" s="1">
        <f>IFERROR(__xludf.DUMMYFUNCTION("""COMPUTED_VALUE"""),"Business to Business, Business to Schools")</f>
        <v/>
      </c>
      <c r="P1710" s="1">
        <f>IFERROR(__xludf.DUMMYFUNCTION("""COMPUTED_VALUE"""),"Secondary Education")</f>
        <v/>
      </c>
      <c r="Q1710" s="1">
        <f>IFERROR(__xludf.DUMMYFUNCTION("""COMPUTED_VALUE"""),"Student interfacing")</f>
        <v/>
      </c>
      <c r="R1710" s="1" t="n"/>
      <c r="S1710" s="1" t="n"/>
      <c r="T1710" s="1" t="n"/>
      <c r="U1710" s="1">
        <f>IFERROR(__xludf.DUMMYFUNCTION("""COMPUTED_VALUE"""),"MathAI")</f>
        <v/>
      </c>
      <c r="V1710" s="1">
        <f>IFERROR(__xludf.DUMMYFUNCTION("""COMPUTED_VALUE"""),"Learn math in a fun and interactive way! Chat with your AI tutor, solve problems, and track your progress — all in one place.")</f>
        <v/>
      </c>
      <c r="W1710" s="1" t="n"/>
      <c r="X1710" s="1" t="n"/>
      <c r="Y1710" s="15">
        <f>IFERROR(__xludf.DUMMYFUNCTION("""COMPUTED_VALUE"""),"https://drive.google.com/uc?export=view&amp;id=1vb2wKuf8UFE9C71lFC2-3rtCKrkwJH0Q")</f>
        <v/>
      </c>
      <c r="Z1710" s="1">
        <f>IFERROR(__xludf.DUMMYFUNCTION("""COMPUTED_VALUE"""),"Verified")</f>
        <v/>
      </c>
      <c r="AA1710" s="1" t="n"/>
      <c r="AB1710" s="1">
        <f>IFERROR(__xludf.DUMMYFUNCTION("""COMPUTED_VALUE"""),"For-profit company")</f>
        <v/>
      </c>
      <c r="AC1710" s="1">
        <f>IFERROR(__xludf.DUMMYFUNCTION("""COMPUTED_VALUE"""),TRUE)</f>
        <v/>
      </c>
      <c r="AD1710" s="1">
        <f>IFERROR(__xludf.DUMMYFUNCTION("""COMPUTED_VALUE"""),TRUE)</f>
        <v/>
      </c>
      <c r="AE1710" s="1" t="n"/>
    </row>
    <row r="1711" ht="42" customHeight="1">
      <c r="A1711" s="14">
        <f>IFERROR(__xludf.DUMMYFUNCTION("""COMPUTED_VALUE"""),46031)</f>
        <v/>
      </c>
      <c r="B1711" s="1">
        <f>IFERROR(__xludf.DUMMYFUNCTION("""COMPUTED_VALUE"""),"ORG_2692")</f>
        <v/>
      </c>
      <c r="C1711" s="1">
        <f>IFERROR(__xludf.DUMMYFUNCTION("""COMPUTED_VALUE"""),TRUE)</f>
        <v/>
      </c>
      <c r="D1711" s="1">
        <f>IFERROR(__xludf.DUMMYFUNCTION("""COMPUTED_VALUE"""),"TokiChat")</f>
        <v/>
      </c>
      <c r="E1711" s="15">
        <f>IFERROR(__xludf.DUMMYFUNCTION("""COMPUTED_VALUE"""),"www.tokichat.fr")</f>
        <v/>
      </c>
      <c r="F1711" s="1">
        <f>IFERROR(__xludf.DUMMYFUNCTION("""COMPUTED_VALUE"""),"TokiChat is a conversational platform designed for schools, universities, and training centers. It enables teachers and trainers to create personalized learning sequences based on dialogues with an AI, ensuring full transparency and security. Already test"&amp;"ed in middle schools, the platform provides a structured experience where each learner progresses at their own pace, supported by individualized pedagogical feedback.  Rooted in an ethical approach to digital technologies and supported by regional public "&amp;"actors, TokiChat is committed to inclusive, responsible, and creative education that meets the challenges of contemporary pedagogical transformation.")</f>
        <v/>
      </c>
      <c r="G1711" s="1">
        <f>IFERROR(__xludf.DUMMYFUNCTION("""COMPUTED_VALUE"""),"AFINEF, EdTech France")</f>
        <v/>
      </c>
      <c r="H1711" s="1">
        <f>IFERROR(__xludf.DUMMYFUNCTION("""COMPUTED_VALUE"""),"French")</f>
        <v/>
      </c>
      <c r="I1711" s="1">
        <f>IFERROR(__xludf.DUMMYFUNCTION("""COMPUTED_VALUE"""),"contact@codexplorelab.fr")</f>
        <v/>
      </c>
      <c r="J1711" s="1">
        <f>IFERROR(__xludf.DUMMYFUNCTION("""COMPUTED_VALUE"""),"+33674644888")</f>
        <v/>
      </c>
      <c r="K1711" s="1">
        <f>IFERROR(__xludf.DUMMYFUNCTION("""COMPUTED_VALUE"""),"Moutiers-sur-le-Lay")</f>
        <v/>
      </c>
      <c r="L1711" s="1">
        <f>IFERROR(__xludf.DUMMYFUNCTION("""COMPUTED_VALUE"""),"France")</f>
        <v/>
      </c>
      <c r="M1711" s="1">
        <f>IFERROR(__xludf.DUMMYFUNCTION("""COMPUTED_VALUE"""),"Belgium, France")</f>
        <v/>
      </c>
      <c r="N1711" s="1">
        <f>IFERROR(__xludf.DUMMYFUNCTION("""COMPUTED_VALUE"""),"Micro (1-9 FTE employees)")</f>
        <v/>
      </c>
      <c r="O1711" s="1">
        <f>IFERROR(__xludf.DUMMYFUNCTION("""COMPUTED_VALUE"""),"Business to Business, Business to Schools, Business to Government")</f>
        <v/>
      </c>
      <c r="P1711" s="1">
        <f>IFERROR(__xludf.DUMMYFUNCTION("""COMPUTED_VALUE"""),"Secondary Education, Higher Education, Vocational Education and Training (VET)")</f>
        <v/>
      </c>
      <c r="Q1711" s="1">
        <f>IFERROR(__xludf.DUMMYFUNCTION("""COMPUTED_VALUE"""),"Student interfacing, Teacher interfacing")</f>
        <v/>
      </c>
      <c r="R1711" s="1" t="n"/>
      <c r="S1711" s="1" t="n"/>
      <c r="T1711" s="15">
        <f>IFERROR(__xludf.DUMMYFUNCTION("""COMPUTED_VALUE"""),"https://www.linkedin.com/showcase/tokichat")</f>
        <v/>
      </c>
      <c r="U1711" s="1">
        <f>IFERROR(__xludf.DUMMYFUNCTION("""COMPUTED_VALUE"""),"TokiChat")</f>
        <v/>
      </c>
      <c r="V1711" s="1">
        <f>IFERROR(__xludf.DUMMYFUNCTION("""COMPUTED_VALUE"""),"TokiChat is a conversational platform designed for schools, universities, and training centers. It enables teachers and trainers to create personalized learning sequences based on dialogues with an AI, ensuring full transparency and security.")</f>
        <v/>
      </c>
      <c r="W1711" s="1" t="n"/>
      <c r="X1711" s="1" t="n"/>
      <c r="Y1711" s="15">
        <f>IFERROR(__xludf.DUMMYFUNCTION("""COMPUTED_VALUE"""),"https://drive.google.com/uc?export=view&amp;id=1-nJ1im3j1M_lknK-HXEGSJN_UqAYIAV5")</f>
        <v/>
      </c>
      <c r="Z1711" s="1">
        <f>IFERROR(__xludf.DUMMYFUNCTION("""COMPUTED_VALUE"""),"Verified")</f>
        <v/>
      </c>
      <c r="AA1711" s="1">
        <f>IFERROR(__xludf.DUMMYFUNCTION("""COMPUTED_VALUE"""),"Collaborations between EdTech organisations, Project consortium building, Public-private partnerships, Industry-academia partnerships")</f>
        <v/>
      </c>
      <c r="AB1711" s="1">
        <f>IFERROR(__xludf.DUMMYFUNCTION("""COMPUTED_VALUE"""),"For-profit company")</f>
        <v/>
      </c>
      <c r="AC1711" s="1">
        <f>IFERROR(__xludf.DUMMYFUNCTION("""COMPUTED_VALUE"""),TRUE)</f>
        <v/>
      </c>
      <c r="AD1711" s="1">
        <f>IFERROR(__xludf.DUMMYFUNCTION("""COMPUTED_VALUE"""),TRUE)</f>
        <v/>
      </c>
      <c r="AE1711" s="1" t="n"/>
    </row>
    <row r="1712" ht="42" customHeight="1">
      <c r="A1712" s="14">
        <f>IFERROR(__xludf.DUMMYFUNCTION("""COMPUTED_VALUE"""),46034)</f>
        <v/>
      </c>
      <c r="B1712" s="1">
        <f>IFERROR(__xludf.DUMMYFUNCTION("""COMPUTED_VALUE"""),"ORG_2741")</f>
        <v/>
      </c>
      <c r="C1712" s="1">
        <f>IFERROR(__xludf.DUMMYFUNCTION("""COMPUTED_VALUE"""),TRUE)</f>
        <v/>
      </c>
      <c r="D1712" s="1">
        <f>IFERROR(__xludf.DUMMYFUNCTION("""COMPUTED_VALUE"""),"All-Round Leadership Learning System (ARLLS)")</f>
        <v/>
      </c>
      <c r="E1712" s="15">
        <f>IFERROR(__xludf.DUMMYFUNCTION("""COMPUTED_VALUE"""),"www.arlls.com")</f>
        <v/>
      </c>
      <c r="F1712" s="1">
        <f>IFERROR(__xludf.DUMMYFUNCTION("""COMPUTED_VALUE"""),"The All-Round Leadership Learning System (ARLLS) is a youth leadership programme spun out of African scholarship charity Beacon Changemakers and run as a social enterprise, with profits reinvested into the Beacon scholarship fund.")</f>
        <v/>
      </c>
      <c r="G1712" s="1">
        <f>IFERROR(__xludf.DUMMYFUNCTION("""COMPUTED_VALUE"""),"DOHE")</f>
        <v/>
      </c>
      <c r="H1712" s="1">
        <f>IFERROR(__xludf.DUMMYFUNCTION("""COMPUTED_VALUE"""),"English")</f>
        <v/>
      </c>
      <c r="I1712" s="1">
        <f>IFERROR(__xludf.DUMMYFUNCTION("""COMPUTED_VALUE"""),"enquiries@arlls.com")</f>
        <v/>
      </c>
      <c r="J1712" s="1">
        <f>IFERROR(__xludf.DUMMYFUNCTION("""COMPUTED_VALUE"""),"+447936716579")</f>
        <v/>
      </c>
      <c r="K1712" s="1">
        <f>IFERROR(__xludf.DUMMYFUNCTION("""COMPUTED_VALUE"""),"Guildford, UK")</f>
        <v/>
      </c>
      <c r="L1712" s="1">
        <f>IFERROR(__xludf.DUMMYFUNCTION("""COMPUTED_VALUE"""),"United Kingdom")</f>
        <v/>
      </c>
      <c r="M1712" s="1">
        <f>IFERROR(__xludf.DUMMYFUNCTION("""COMPUTED_VALUE"""),"Albania, Bosnia and Herzegovina, Andorra, Belarus, Belgium, Austria, Bulgaria, Croatia, Republic of Cyprus, Estonia, Denmark, Czechia, Finland, France, Germany, Greece, Hungary, Iceland, Ireland, Italy, Kosovo, Latvia, Liechtenstein, Lithuania, Luxembourg"&amp;", Malta, Moldova, Monaco, Montenegro, Netherlands, North Macedonia, Norway, Poland, Portugal, Romania, San Marino, Slovakia, Sweden, Ukraine, United Kingdom, Switzerland, Slovenia, Spain, Turkey, All")</f>
        <v/>
      </c>
      <c r="N1712" s="1">
        <f>IFERROR(__xludf.DUMMYFUNCTION("""COMPUTED_VALUE"""),"Micro (1-9 FTE employees)")</f>
        <v/>
      </c>
      <c r="O1712" s="1">
        <f>IFERROR(__xludf.DUMMYFUNCTION("""COMPUTED_VALUE"""),"Business to Business, Business to Consumer, Business to Schools, Business to Government")</f>
        <v/>
      </c>
      <c r="P1712" s="1">
        <f>IFERROR(__xludf.DUMMYFUNCTION("""COMPUTED_VALUE"""),"Secondary Education, Higher Education, Corporate Training")</f>
        <v/>
      </c>
      <c r="Q1712" s="1">
        <f>IFERROR(__xludf.DUMMYFUNCTION("""COMPUTED_VALUE"""),"Student interfacing, Teacher interfacing, System/Administrative")</f>
        <v/>
      </c>
      <c r="R1712" s="15">
        <f>IFERROR(__xludf.DUMMYFUNCTION("""COMPUTED_VALUE"""),"https://www.instagram.com/arlls_official/")</f>
        <v/>
      </c>
      <c r="S1712" s="1" t="n"/>
      <c r="T1712" s="15">
        <f>IFERROR(__xludf.DUMMYFUNCTION("""COMPUTED_VALUE"""),"https://www.linkedin.com/company/arlls")</f>
        <v/>
      </c>
      <c r="U1712" s="1">
        <f>IFERROR(__xludf.DUMMYFUNCTION("""COMPUTED_VALUE"""),"All-Round Leadership Learning System (ARLLS)")</f>
        <v/>
      </c>
      <c r="V1712" s="1">
        <f>IFERROR(__xludf.DUMMYFUNCTION("""COMPUTED_VALUE"""),"Our high-quality leadership development programme is accessible through a research-informed learning platform designed specifically for young people. Our work supports those already showing leadership potential, helping them to build the knowledge, confid"&amp;"ence and skills to influence organisations, s")</f>
        <v/>
      </c>
      <c r="W1712" s="1" t="n"/>
      <c r="X1712" s="1" t="n"/>
      <c r="Y1712" s="15">
        <f>IFERROR(__xludf.DUMMYFUNCTION("""COMPUTED_VALUE"""),"https://drive.google.com/uc?export=view&amp;id=14H_JHeRiCc0KNc2GkwYkzSXAEip427lq")</f>
        <v/>
      </c>
      <c r="Z1712" s="1">
        <f>IFERROR(__xludf.DUMMYFUNCTION("""COMPUTED_VALUE"""),"Verified")</f>
        <v/>
      </c>
      <c r="AA1712" s="1">
        <f>IFERROR(__xludf.DUMMYFUNCTION("""COMPUTED_VALUE"""),"Project consortium building, Industry-academia partnerships, Collaborations between EdTech organisations, Public-private partnerships")</f>
        <v/>
      </c>
      <c r="AB1712" s="1">
        <f>IFERROR(__xludf.DUMMYFUNCTION("""COMPUTED_VALUE"""),"Non-profit organisation")</f>
        <v/>
      </c>
      <c r="AC1712" s="1">
        <f>IFERROR(__xludf.DUMMYFUNCTION("""COMPUTED_VALUE"""),TRUE)</f>
        <v/>
      </c>
      <c r="AD1712" s="1">
        <f>IFERROR(__xludf.DUMMYFUNCTION("""COMPUTED_VALUE"""),TRUE)</f>
        <v/>
      </c>
      <c r="AE1712" s="1" t="n"/>
    </row>
    <row r="1713" ht="42" customHeight="1">
      <c r="A1713" s="14">
        <f>IFERROR(__xludf.DUMMYFUNCTION("""COMPUTED_VALUE"""),46042)</f>
        <v/>
      </c>
      <c r="B1713" s="1">
        <f>IFERROR(__xludf.DUMMYFUNCTION("""COMPUTED_VALUE"""),"ORG_1590")</f>
        <v/>
      </c>
      <c r="C1713" s="1">
        <f>IFERROR(__xludf.DUMMYFUNCTION("""COMPUTED_VALUE"""),TRUE)</f>
        <v/>
      </c>
      <c r="D1713" s="1">
        <f>IFERROR(__xludf.DUMMYFUNCTION("""COMPUTED_VALUE"""),"Full Fabric")</f>
        <v/>
      </c>
      <c r="E1713" s="15">
        <f>IFERROR(__xludf.DUMMYFUNCTION("""COMPUTED_VALUE"""),"www.fullfabric.com")</f>
        <v/>
      </c>
      <c r="F1713" s="1">
        <f>IFERROR(__xludf.DUMMYFUNCTION("""COMPUTED_VALUE"""),"Full Fabric is the commerce platform of higher education. We help institutions manage the student lifecycle from first enquiry to confirmed enrolment, with purpose-built software that works alongside existing systems rather than replacing them.  Leading E"&amp;"uropean business schools trust Full Fabric, including ESCP, Warwick Business School, Politecnico di Milano, St. Gallen, IMD, EDHEC, Frankfurt School, ESMT Berlin, Stockholm School of Economics, Amsterdam Business School, and Vlerick Business School.")</f>
        <v/>
      </c>
      <c r="G1713" s="1">
        <f>IFERROR(__xludf.DUMMYFUNCTION("""COMPUTED_VALUE"""),"I'm not part of any EdTech association")</f>
        <v/>
      </c>
      <c r="H1713" s="1">
        <f>IFERROR(__xludf.DUMMYFUNCTION("""COMPUTED_VALUE"""),"English")</f>
        <v/>
      </c>
      <c r="I1713" s="1">
        <f>IFERROR(__xludf.DUMMYFUNCTION("""COMPUTED_VALUE"""),"hello@fullfabric.com")</f>
        <v/>
      </c>
      <c r="J1713" s="1">
        <f>IFERROR(__xludf.DUMMYFUNCTION("""COMPUTED_VALUE"""),"+442039661351")</f>
        <v/>
      </c>
      <c r="K1713" s="1">
        <f>IFERROR(__xludf.DUMMYFUNCTION("""COMPUTED_VALUE"""),"London")</f>
        <v/>
      </c>
      <c r="L1713" s="1">
        <f>IFERROR(__xludf.DUMMYFUNCTION("""COMPUTED_VALUE"""),"United Kingdom")</f>
        <v/>
      </c>
      <c r="M1713" s="1">
        <f>IFERROR(__xludf.DUMMYFUNCTION("""COMPUTED_VALUE"""),"United Kingdom, Ireland, France, Germany, Netherlands, Belgium, Switzerland, Sweden, Denmark, Spain, Portugal, Italy, Austria, Finland, Norway")</f>
        <v/>
      </c>
      <c r="N1713" s="1">
        <f>IFERROR(__xludf.DUMMYFUNCTION("""COMPUTED_VALUE"""),"Small (10-49 FTE employees)")</f>
        <v/>
      </c>
      <c r="O1713" s="1">
        <f>IFERROR(__xludf.DUMMYFUNCTION("""COMPUTED_VALUE"""),"Business to Business")</f>
        <v/>
      </c>
      <c r="P1713" s="1">
        <f>IFERROR(__xludf.DUMMYFUNCTION("""COMPUTED_VALUE"""),"Higher Education, Lifelong learning/Adult education")</f>
        <v/>
      </c>
      <c r="Q1713" s="1">
        <f>IFERROR(__xludf.DUMMYFUNCTION("""COMPUTED_VALUE"""),"Student interfacing, Teacher interfacing, System/Administrative")</f>
        <v/>
      </c>
      <c r="R1713" s="15">
        <f>IFERROR(__xludf.DUMMYFUNCTION("""COMPUTED_VALUE"""),"https://www.instagram.com/full_fabric/")</f>
        <v/>
      </c>
      <c r="S1713" s="1" t="n"/>
      <c r="T1713" s="15">
        <f>IFERROR(__xludf.DUMMYFUNCTION("""COMPUTED_VALUE"""),"https://www.linkedin.com/company/fullfabric/")</f>
        <v/>
      </c>
      <c r="U1713" s="1">
        <f>IFERROR(__xludf.DUMMYFUNCTION("""COMPUTED_VALUE"""),"Full Fabric Commerce")</f>
        <v/>
      </c>
      <c r="V1713" s="1">
        <f>IFERROR(__xludf.DUMMYFUNCTION("""COMPUTED_VALUE"""),"Configure and publish any programme type through a seamless, consumer-grade experience. Digitised applications, self-service registrations, and integrated payments mean fewer drop-offs and faster conversions. https://www.fullfabric.com/products/student-ap"&amp;"plication-management-system")</f>
        <v/>
      </c>
      <c r="W1713" s="1">
        <f>IFERROR(__xludf.DUMMYFUNCTION("""COMPUTED_VALUE"""),"Full Fabric Admissions")</f>
        <v/>
      </c>
      <c r="X1713" s="1">
        <f>IFERROR(__xludf.DUMMYFUNCTION("""COMPUTED_VALUE"""),"Manage the full journey from application review to confirmed enrolment. Configurable workflows, automated scoring, and digital offer management accelerate decisions and improve yield, all 100% paperless. https://www.fullfabric.com/products/admissions-and-"&amp;"enrollments-software")</f>
        <v/>
      </c>
      <c r="Y1713" s="15">
        <f>IFERROR(__xludf.DUMMYFUNCTION("""COMPUTED_VALUE"""),"https://drive.google.com/uc?export=view&amp;id=1yQnfX_rCO-uKJR4DNku53U7-xKJAKxyI")</f>
        <v/>
      </c>
      <c r="Z1713" s="1">
        <f>IFERROR(__xludf.DUMMYFUNCTION("""COMPUTED_VALUE"""),"Verified")</f>
        <v/>
      </c>
      <c r="AA1713" s="1">
        <f>IFERROR(__xludf.DUMMYFUNCTION("""COMPUTED_VALUE"""),"Industry-academia partnerships, Public-private partnerships, Project consortium building, Collaborations between EdTech organisations")</f>
        <v/>
      </c>
      <c r="AB1713" s="1">
        <f>IFERROR(__xludf.DUMMYFUNCTION("""COMPUTED_VALUE"""),"For-profit company")</f>
        <v/>
      </c>
      <c r="AC1713" s="1">
        <f>IFERROR(__xludf.DUMMYFUNCTION("""COMPUTED_VALUE"""),TRUE)</f>
        <v/>
      </c>
      <c r="AD1713" s="1">
        <f>IFERROR(__xludf.DUMMYFUNCTION("""COMPUTED_VALUE"""),FALSE)</f>
        <v/>
      </c>
      <c r="AE1713" s="15">
        <f>IFERROR(__xludf.DUMMYFUNCTION("""COMPUTED_VALUE"""),"https://www.facebook.com/fullfabriccrm")</f>
        <v/>
      </c>
    </row>
    <row r="1714" ht="42" customHeight="1">
      <c r="A1714" s="14">
        <f>IFERROR(__xludf.DUMMYFUNCTION("""COMPUTED_VALUE"""),46048)</f>
        <v/>
      </c>
      <c r="B1714" s="1">
        <f>IFERROR(__xludf.DUMMYFUNCTION("""COMPUTED_VALUE"""),"ORG_2742")</f>
        <v/>
      </c>
      <c r="C1714" s="1">
        <f>IFERROR(__xludf.DUMMYFUNCTION("""COMPUTED_VALUE"""),TRUE)</f>
        <v/>
      </c>
      <c r="D1714" s="1">
        <f>IFERROR(__xludf.DUMMYFUNCTION("""COMPUTED_VALUE"""),"Zmudri")</f>
        <v/>
      </c>
      <c r="E1714" s="15">
        <f>IFERROR(__xludf.DUMMYFUNCTION("""COMPUTED_VALUE"""),"www.zmudri.sk")</f>
        <v/>
      </c>
      <c r="F1714" s="1">
        <f>IFERROR(__xludf.DUMMYFUNCTION("""COMPUTED_VALUE"""),"Zmudri is a Slovak non-profit organization focused on equipping young people with practical skills for real life through engaging digital education. It operates an online learning platform and creates free video-based courses for schools, covering topics "&amp;"such as critical thinking, media and digital literacy, and civic education. Zmudri’s content is widely used by teachers across Slovakia and reaches tens of thousands of young people online.")</f>
        <v/>
      </c>
      <c r="G1714" s="1">
        <f>IFERROR(__xludf.DUMMYFUNCTION("""COMPUTED_VALUE"""),"I'm not part of any EdTech association")</f>
        <v/>
      </c>
      <c r="H1714" s="1">
        <f>IFERROR(__xludf.DUMMYFUNCTION("""COMPUTED_VALUE"""),"Slovak")</f>
        <v/>
      </c>
      <c r="I1714" s="1">
        <f>IFERROR(__xludf.DUMMYFUNCTION("""COMPUTED_VALUE"""),"martina.bolibruchova@zmudri.sk")</f>
        <v/>
      </c>
      <c r="J1714" s="1">
        <f>IFERROR(__xludf.DUMMYFUNCTION("""COMPUTED_VALUE"""),"+421910549722")</f>
        <v/>
      </c>
      <c r="K1714" s="1">
        <f>IFERROR(__xludf.DUMMYFUNCTION("""COMPUTED_VALUE"""),"Slovakia")</f>
        <v/>
      </c>
      <c r="L1714" s="1">
        <f>IFERROR(__xludf.DUMMYFUNCTION("""COMPUTED_VALUE"""),"Slovakia")</f>
        <v/>
      </c>
      <c r="M1714" s="1">
        <f>IFERROR(__xludf.DUMMYFUNCTION("""COMPUTED_VALUE"""),"Slovakia")</f>
        <v/>
      </c>
      <c r="N1714" s="1">
        <f>IFERROR(__xludf.DUMMYFUNCTION("""COMPUTED_VALUE"""),"Micro (1-9 FTE employees)")</f>
        <v/>
      </c>
      <c r="O1714" s="1">
        <f>IFERROR(__xludf.DUMMYFUNCTION("""COMPUTED_VALUE"""),"Business to Schools, Business to Consumer")</f>
        <v/>
      </c>
      <c r="P1714" s="1">
        <f>IFERROR(__xludf.DUMMYFUNCTION("""COMPUTED_VALUE"""),"Secondary Education")</f>
        <v/>
      </c>
      <c r="Q1714" s="1">
        <f>IFERROR(__xludf.DUMMYFUNCTION("""COMPUTED_VALUE"""),"Student interfacing, Teacher interfacing")</f>
        <v/>
      </c>
      <c r="R1714" s="15">
        <f>IFERROR(__xludf.DUMMYFUNCTION("""COMPUTED_VALUE"""),"www.instagram.com/zmudri_g")</f>
        <v/>
      </c>
      <c r="S1714" s="1" t="n"/>
      <c r="T1714" s="15">
        <f>IFERROR(__xludf.DUMMYFUNCTION("""COMPUTED_VALUE"""),"https://www.linkedin.com/company/zmudri/")</f>
        <v/>
      </c>
      <c r="U1714" s="1">
        <f>IFERROR(__xludf.DUMMYFUNCTION("""COMPUTED_VALUE"""),"Zmudri Online learning platform")</f>
        <v/>
      </c>
      <c r="V1714" s="1">
        <f>IFERROR(__xludf.DUMMYFUNCTION("""COMPUTED_VALUE"""),"A free digital learning platform offering short, video-based courses, methodological materials and quizzes focusing on critical thinking, media and digital literacy, civic education.")</f>
        <v/>
      </c>
      <c r="W1714" s="1">
        <f>IFERROR(__xludf.DUMMYFUNCTION("""COMPUTED_VALUE"""),"Zmudri G – Explanatory medium for young people")</f>
        <v/>
      </c>
      <c r="X1714" s="1">
        <f>IFERROR(__xludf.DUMMYFUNCTION("""COMPUTED_VALUE"""),"An educational media project delivering accessible, explanatory content on current affairs, society, and digital topics through social media and online formats, designed to increase understanding and civic awareness among young audiences.")</f>
        <v/>
      </c>
      <c r="Y1714" s="15">
        <f>IFERROR(__xludf.DUMMYFUNCTION("""COMPUTED_VALUE"""),"https://drive.google.com/uc?export=view&amp;id=1QtRVNxaB-XiljYVBffV1CS5_gP1lISQo")</f>
        <v/>
      </c>
      <c r="Z1714" s="1">
        <f>IFERROR(__xludf.DUMMYFUNCTION("""COMPUTED_VALUE"""),"Verified")</f>
        <v/>
      </c>
      <c r="AA1714" s="1">
        <f>IFERROR(__xludf.DUMMYFUNCTION("""COMPUTED_VALUE"""),"Collaborations between EdTech organisations, Project consortium building, Public-private partnerships, Industry-academia partnerships")</f>
        <v/>
      </c>
      <c r="AB1714" s="1">
        <f>IFERROR(__xludf.DUMMYFUNCTION("""COMPUTED_VALUE"""),"Non-profit organisation")</f>
        <v/>
      </c>
      <c r="AC1714" s="1">
        <f>IFERROR(__xludf.DUMMYFUNCTION("""COMPUTED_VALUE"""),TRUE)</f>
        <v/>
      </c>
      <c r="AD1714" s="1">
        <f>IFERROR(__xludf.DUMMYFUNCTION("""COMPUTED_VALUE"""),TRUE)</f>
        <v/>
      </c>
      <c r="AE1714" s="15">
        <f>IFERROR(__xludf.DUMMYFUNCTION("""COMPUTED_VALUE"""),"https://www.facebook.com/zmudri.sk")</f>
        <v/>
      </c>
    </row>
    <row r="1715" ht="42" customHeight="1">
      <c r="A1715" s="14">
        <f>IFERROR(__xludf.DUMMYFUNCTION("""COMPUTED_VALUE"""),46051)</f>
        <v/>
      </c>
      <c r="B1715" s="1">
        <f>IFERROR(__xludf.DUMMYFUNCTION("""COMPUTED_VALUE"""),"ORG_2743")</f>
        <v/>
      </c>
      <c r="C1715" s="1">
        <f>IFERROR(__xludf.DUMMYFUNCTION("""COMPUTED_VALUE"""),TRUE)</f>
        <v/>
      </c>
      <c r="D1715" s="1">
        <f>IFERROR(__xludf.DUMMYFUNCTION("""COMPUTED_VALUE"""),"Procraft")</f>
        <v/>
      </c>
      <c r="E1715" s="15">
        <f>IFERROR(__xludf.DUMMYFUNCTION("""COMPUTED_VALUE"""),"https://procraft.dk/")</f>
        <v/>
      </c>
      <c r="F1715" s="1">
        <f>IFERROR(__xludf.DUMMYFUNCTION("""COMPUTED_VALUE"""),"Procraft is an interior design and fit-out company that primarily delivers design, consultancy, project management, and installation of interior solutions across schools, educational institutions, and the commercial sector. Among other things, we act as a"&amp;" full-service supplier of innovative learning environments, with functionality, quality, and cost-awareness as key priorities. At Procraft, we create flexible specialist classrooms tailored to each individual space and built on site by our own installers."&amp;" Our role is to manage projects safely through to completion, ensuring that design, timelines, and budgets meet your expectations.")</f>
        <v/>
      </c>
      <c r="G1715" s="1">
        <f>IFERROR(__xludf.DUMMYFUNCTION("""COMPUTED_VALUE"""),"EdTech Denmark")</f>
        <v/>
      </c>
      <c r="H1715" s="1">
        <f>IFERROR(__xludf.DUMMYFUNCTION("""COMPUTED_VALUE"""),"Danish")</f>
        <v/>
      </c>
      <c r="I1715" s="1">
        <f>IFERROR(__xludf.DUMMYFUNCTION("""COMPUTED_VALUE"""),"mail@procraft.dk")</f>
        <v/>
      </c>
      <c r="J1715" s="1">
        <f>IFERROR(__xludf.DUMMYFUNCTION("""COMPUTED_VALUE"""),"+4529735071")</f>
        <v/>
      </c>
      <c r="K1715" s="1">
        <f>IFERROR(__xludf.DUMMYFUNCTION("""COMPUTED_VALUE"""),"Hedensted")</f>
        <v/>
      </c>
      <c r="L1715" s="1">
        <f>IFERROR(__xludf.DUMMYFUNCTION("""COMPUTED_VALUE"""),"Danmark")</f>
        <v/>
      </c>
      <c r="M1715" s="1">
        <f>IFERROR(__xludf.DUMMYFUNCTION("""COMPUTED_VALUE"""),"Denmark")</f>
        <v/>
      </c>
      <c r="N1715" s="1">
        <f>IFERROR(__xludf.DUMMYFUNCTION("""COMPUTED_VALUE"""),"Small (10-49 FTE employees)")</f>
        <v/>
      </c>
      <c r="O1715" s="1">
        <f>IFERROR(__xludf.DUMMYFUNCTION("""COMPUTED_VALUE"""),"Business to Business, Business to Schools, Business to Government")</f>
        <v/>
      </c>
      <c r="P1715" s="1">
        <f>IFERROR(__xludf.DUMMYFUNCTION("""COMPUTED_VALUE"""),"Primary Education, Secondary Education, Vocational Education and Training (VET), Higher Education, Other, Lifelong learning/Adult education, Special education")</f>
        <v/>
      </c>
      <c r="Q1715" s="1">
        <f>IFERROR(__xludf.DUMMYFUNCTION("""COMPUTED_VALUE"""),"Student interfacing")</f>
        <v/>
      </c>
      <c r="R1715" s="15">
        <f>IFERROR(__xludf.DUMMYFUNCTION("""COMPUTED_VALUE"""),"https://www.instagram.com/procraft.dk/")</f>
        <v/>
      </c>
      <c r="S1715" s="1" t="n"/>
      <c r="T1715" s="15">
        <f>IFERROR(__xludf.DUMMYFUNCTION("""COMPUTED_VALUE"""),"https://www.linkedin.com/company/procraft/")</f>
        <v/>
      </c>
      <c r="U1715" s="1">
        <f>IFERROR(__xludf.DUMMYFUNCTION("""COMPUTED_VALUE"""),"School Interior Design")</f>
        <v/>
      </c>
      <c r="V1715" s="1">
        <f>IFERROR(__xludf.DUMMYFUNCTION("""COMPUTED_VALUE"""),"Design, consultancy, project management, and installation of functional and flexible interior solutions for schools and educational environments. We create innovative learning spaces tailored to each room, with a strong focus on functionality, quality, an"&amp;"d cost efficiency.")</f>
        <v/>
      </c>
      <c r="W1715" s="1">
        <f>IFERROR(__xludf.DUMMYFUNCTION("""COMPUTED_VALUE"""),"Educational Technology for Primary Schools")</f>
        <v/>
      </c>
      <c r="X1715" s="1">
        <f>IFERROR(__xludf.DUMMYFUNCTION("""COMPUTED_VALUE"""),"Technology solutions specifically tailored to primary schools and their teaching needs. We support and guide schools in selecting the right equipment, ensuring it fits both the educational objectives and the practical requirements of daily use, including "&amp;"setup, training, and ongoing service.")</f>
        <v/>
      </c>
      <c r="Y1715" s="15">
        <f>IFERROR(__xludf.DUMMYFUNCTION("""COMPUTED_VALUE"""),"https://drive.google.com/uc?export=view&amp;id=1mqqE8kLNgeOoi8sGAEnfG_cv3pCttH4k")</f>
        <v/>
      </c>
      <c r="Z1715" s="1">
        <f>IFERROR(__xludf.DUMMYFUNCTION("""COMPUTED_VALUE"""),"Verified")</f>
        <v/>
      </c>
      <c r="AA1715" s="1" t="n"/>
      <c r="AB1715" s="1">
        <f>IFERROR(__xludf.DUMMYFUNCTION("""COMPUTED_VALUE"""),"For-profit company")</f>
        <v/>
      </c>
      <c r="AC1715" s="1">
        <f>IFERROR(__xludf.DUMMYFUNCTION("""COMPUTED_VALUE"""),TRUE)</f>
        <v/>
      </c>
      <c r="AD1715" s="1">
        <f>IFERROR(__xludf.DUMMYFUNCTION("""COMPUTED_VALUE"""),TRUE)</f>
        <v/>
      </c>
      <c r="AE1715" s="15">
        <f>IFERROR(__xludf.DUMMYFUNCTION("""COMPUTED_VALUE"""),"https://www.facebook.com/ProcraftAps")</f>
        <v/>
      </c>
    </row>
    <row r="1716" ht="42" customHeight="1">
      <c r="A1716" s="14">
        <f>IFERROR(__xludf.DUMMYFUNCTION("""COMPUTED_VALUE"""),46057)</f>
        <v/>
      </c>
      <c r="B1716" s="1">
        <f>IFERROR(__xludf.DUMMYFUNCTION("""COMPUTED_VALUE"""),"ORG_2744")</f>
        <v/>
      </c>
      <c r="C1716" s="1">
        <f>IFERROR(__xludf.DUMMYFUNCTION("""COMPUTED_VALUE"""),TRUE)</f>
        <v/>
      </c>
      <c r="D1716" s="1">
        <f>IFERROR(__xludf.DUMMYFUNCTION("""COMPUTED_VALUE"""),"EU-Track Innovations s.a.s. &amp; Co.")</f>
        <v/>
      </c>
      <c r="E1716" s="15">
        <f>IFERROR(__xludf.DUMMYFUNCTION("""COMPUTED_VALUE"""),"https://eu-track.eu/")</f>
        <v/>
      </c>
      <c r="F1716" s="1">
        <f>IFERROR(__xludf.DUMMYFUNCTION("""COMPUTED_VALUE"""),"EU-Track Innovations S.A.S. is a cutting-edge Research Center dedicated to advancing innovation through a multidisciplinary approach. We integrate expertise in geotechnical engineering, nanotechnology, ICT, education, sociology, STE(A)M, educational robot"&amp;"ics, and AI to bridge the gap between research and real-world applications. With a strong scientific foundation and entrepreneurial vision, we drive progress by leveraging the latest technologies and fostering collaboration.")</f>
        <v/>
      </c>
      <c r="G1716" s="1">
        <f>IFERROR(__xludf.DUMMYFUNCTION("""COMPUTED_VALUE"""),"I'm not part of any EdTech association")</f>
        <v/>
      </c>
      <c r="H1716" s="1">
        <f>IFERROR(__xludf.DUMMYFUNCTION("""COMPUTED_VALUE"""),"English, Italian")</f>
        <v/>
      </c>
      <c r="I1716" s="1">
        <f>IFERROR(__xludf.DUMMYFUNCTION("""COMPUTED_VALUE"""),"info@eu-track.eu")</f>
        <v/>
      </c>
      <c r="J1716" s="1">
        <f>IFERROR(__xludf.DUMMYFUNCTION("""COMPUTED_VALUE"""),"+393450252935")</f>
        <v/>
      </c>
      <c r="K1716" s="1">
        <f>IFERROR(__xludf.DUMMYFUNCTION("""COMPUTED_VALUE"""),"Terracina")</f>
        <v/>
      </c>
      <c r="L1716" s="1">
        <f>IFERROR(__xludf.DUMMYFUNCTION("""COMPUTED_VALUE"""),"Italy")</f>
        <v/>
      </c>
      <c r="M1716" s="1">
        <f>IFERROR(__xludf.DUMMYFUNCTION("""COMPUTED_VALUE"""),"Italy")</f>
        <v/>
      </c>
      <c r="N1716" s="1">
        <f>IFERROR(__xludf.DUMMYFUNCTION("""COMPUTED_VALUE"""),"Micro (1-9 FTE employees)")</f>
        <v/>
      </c>
      <c r="O1716" s="1">
        <f>IFERROR(__xludf.DUMMYFUNCTION("""COMPUTED_VALUE"""),"Business to Consumer, Business to Schools, Business to Government")</f>
        <v/>
      </c>
      <c r="P1716" s="1">
        <f>IFERROR(__xludf.DUMMYFUNCTION("""COMPUTED_VALUE"""),"Primary Education, Secondary Education, Vocational Education and Training (VET), Lifelong learning/Adult education")</f>
        <v/>
      </c>
      <c r="Q1716" s="1">
        <f>IFERROR(__xludf.DUMMYFUNCTION("""COMPUTED_VALUE"""),"Student interfacing, Teacher interfacing, System/Administrative")</f>
        <v/>
      </c>
      <c r="R1716" s="15">
        <f>IFERROR(__xludf.DUMMYFUNCTION("""COMPUTED_VALUE"""),"https://www.instagram.com/eutrack/?hl=en")</f>
        <v/>
      </c>
      <c r="S1716" s="1" t="n"/>
      <c r="T1716" s="15">
        <f>IFERROR(__xludf.DUMMYFUNCTION("""COMPUTED_VALUE"""),"https://it.linkedin.com/company/eu-track")</f>
        <v/>
      </c>
      <c r="U1716" s="1">
        <f>IFERROR(__xludf.DUMMYFUNCTION("""COMPUTED_VALUE"""),"Digital Transformation and Technological Integration Services for Education")</f>
        <v/>
      </c>
      <c r="V1716" s="1">
        <f>IFERROR(__xludf.DUMMYFUNCTION("""COMPUTED_VALUE"""),"Digital Transformation for Schools Description: Technical support for implementing digital ecosystems in schools. We transform traditional classrooms into ""Smart Environments"" by integrating hardware, LMS platforms, and interactive content to enhance st"&amp;"udent engagement and teaching efficiency.")</f>
        <v/>
      </c>
      <c r="W1716" s="1">
        <f>IFERROR(__xludf.DUMMYFUNCTION("""COMPUTED_VALUE"""),"Professional Training Programs and STEAM Laboratories")</f>
        <v/>
      </c>
      <c r="X1716" s="1">
        <f>IFERROR(__xludf.DUMMYFUNCTION("""COMPUTED_VALUE"""),"Integrated programs combining Science, Technology, Engineering, Arts, and Math. We design hands-on workshops that bridge theory and practice, fostering critical thinking and creativity through cross-curricular digital projects.")</f>
        <v/>
      </c>
      <c r="Y1716" s="15">
        <f>IFERROR(__xludf.DUMMYFUNCTION("""COMPUTED_VALUE"""),"https://drive.google.com/uc?export=view&amp;id=1ixEvsHRd8ZC-gb3PEyuG1DL_w0gEgsU_")</f>
        <v/>
      </c>
      <c r="Z1716" s="1">
        <f>IFERROR(__xludf.DUMMYFUNCTION("""COMPUTED_VALUE"""),"Verified")</f>
        <v/>
      </c>
      <c r="AA1716" s="1">
        <f>IFERROR(__xludf.DUMMYFUNCTION("""COMPUTED_VALUE"""),"Collaborations between EdTech organisations, Project consortium building, Public-private partnerships, Other")</f>
        <v/>
      </c>
      <c r="AB1716" s="1">
        <f>IFERROR(__xludf.DUMMYFUNCTION("""COMPUTED_VALUE"""),"For-profit company")</f>
        <v/>
      </c>
      <c r="AC1716" s="1">
        <f>IFERROR(__xludf.DUMMYFUNCTION("""COMPUTED_VALUE"""),TRUE)</f>
        <v/>
      </c>
      <c r="AD1716" s="1">
        <f>IFERROR(__xludf.DUMMYFUNCTION("""COMPUTED_VALUE"""),TRUE)</f>
        <v/>
      </c>
      <c r="AE1716" s="15">
        <f>IFERROR(__xludf.DUMMYFUNCTION("""COMPUTED_VALUE"""),"https://www.facebook.com/eu.track/")</f>
        <v/>
      </c>
    </row>
    <row r="1717" ht="42" customHeight="1"/>
    <row r="1718" ht="42" customHeight="1"/>
    <row r="1719" ht="42" customHeight="1"/>
    <row r="1720" ht="42" customHeight="1"/>
    <row r="1721" ht="42" customHeight="1"/>
    <row r="1722" ht="42" customHeight="1"/>
    <row r="1723" ht="42" customHeight="1"/>
    <row r="1724" ht="42" customHeight="1"/>
    <row r="1725" ht="42" customHeight="1"/>
    <row r="1726" ht="42" customHeight="1"/>
    <row r="1727" ht="42" customHeight="1"/>
    <row r="1728" ht="42" customHeight="1"/>
    <row r="1729" ht="42" customHeight="1"/>
    <row r="1730" ht="42" customHeight="1"/>
    <row r="1731" ht="42" customHeight="1"/>
    <row r="1732" ht="42" customHeight="1"/>
    <row r="1733" ht="42" customHeight="1"/>
    <row r="1734" ht="42" customHeight="1"/>
    <row r="1735" ht="42" customHeight="1"/>
    <row r="1736" ht="42" customHeight="1"/>
    <row r="1737" ht="42" customHeight="1"/>
    <row r="1738" ht="42" customHeight="1"/>
    <row r="1739" ht="42" customHeight="1"/>
    <row r="1740" ht="42" customHeight="1"/>
    <row r="1741" ht="42" customHeight="1"/>
    <row r="1742" ht="42" customHeight="1"/>
    <row r="1743" ht="42" customHeight="1"/>
    <row r="1744" ht="42" customHeight="1"/>
    <row r="1745" ht="42" customHeight="1"/>
    <row r="1746" ht="42" customHeight="1"/>
    <row r="1747" ht="42" customHeight="1"/>
    <row r="1748" ht="42" customHeight="1"/>
    <row r="1749" ht="42" customHeight="1"/>
    <row r="1750" ht="42" customHeight="1"/>
    <row r="1751" ht="42" customHeight="1"/>
    <row r="1752" ht="42" customHeight="1"/>
    <row r="1753" ht="42" customHeight="1"/>
    <row r="1754" ht="42" customHeight="1"/>
    <row r="1755" ht="42" customHeight="1"/>
    <row r="1756" ht="42" customHeight="1"/>
    <row r="1757" ht="42" customHeight="1"/>
    <row r="1758" ht="42" customHeight="1"/>
    <row r="1759" ht="42" customHeight="1"/>
    <row r="1760" ht="42" customHeight="1"/>
    <row r="1761" ht="42" customHeight="1"/>
    <row r="1762" ht="42" customHeight="1"/>
    <row r="1763" ht="42" customHeight="1"/>
    <row r="1764" ht="42" customHeight="1"/>
    <row r="1765" ht="42" customHeight="1"/>
    <row r="1766" ht="42" customHeight="1"/>
    <row r="1767" ht="42" customHeight="1"/>
    <row r="1768" ht="42" customHeight="1"/>
    <row r="1769" ht="42" customHeight="1"/>
    <row r="1770" ht="42" customHeight="1"/>
    <row r="1771" ht="42" customHeight="1"/>
    <row r="1772" ht="42" customHeight="1"/>
    <row r="1773" ht="42" customHeight="1"/>
    <row r="1774" ht="42" customHeight="1"/>
    <row r="1775" ht="42" customHeight="1"/>
    <row r="1776" ht="42" customHeight="1"/>
    <row r="1777" ht="42" customHeight="1"/>
    <row r="1778" ht="42" customHeight="1"/>
    <row r="1779" ht="42" customHeight="1"/>
    <row r="1780" ht="42" customHeight="1"/>
    <row r="1781" ht="42" customHeight="1"/>
    <row r="1782" ht="42" customHeight="1"/>
    <row r="1783" ht="42" customHeight="1"/>
    <row r="1784" ht="42" customHeight="1"/>
    <row r="1785" ht="42" customHeight="1"/>
    <row r="1786" ht="42" customHeight="1"/>
    <row r="1787" ht="42" customHeight="1"/>
    <row r="1788" ht="42" customHeight="1"/>
    <row r="1789" ht="42" customHeight="1"/>
    <row r="1790" ht="42" customHeight="1"/>
    <row r="1791" ht="42" customHeight="1"/>
    <row r="1792" ht="42" customHeight="1"/>
    <row r="1793" ht="42" customHeight="1"/>
    <row r="1794" ht="42" customHeight="1"/>
    <row r="1795" ht="42" customHeight="1"/>
    <row r="1796" ht="42" customHeight="1"/>
    <row r="1797" ht="42" customHeight="1"/>
    <row r="1798" ht="42" customHeight="1"/>
    <row r="1799" ht="42" customHeight="1"/>
    <row r="1800" ht="42" customHeight="1"/>
    <row r="1801" ht="42" customHeight="1"/>
    <row r="1802" ht="42" customHeight="1"/>
    <row r="1803" ht="42" customHeight="1"/>
    <row r="1804" ht="42" customHeight="1"/>
    <row r="1805" ht="42" customHeight="1"/>
    <row r="1806" ht="42" customHeight="1"/>
    <row r="1807" ht="42" customHeight="1"/>
    <row r="1808" ht="42" customHeight="1"/>
    <row r="1809" ht="42" customHeight="1"/>
    <row r="1810" ht="42" customHeight="1"/>
    <row r="1811" ht="42" customHeight="1"/>
    <row r="1812" ht="42" customHeight="1"/>
    <row r="1813" ht="42" customHeight="1"/>
    <row r="1814" ht="42" customHeight="1"/>
    <row r="1815" ht="42" customHeight="1"/>
    <row r="1816" ht="42" customHeight="1"/>
    <row r="1817" ht="42" customHeight="1"/>
    <row r="1818" ht="42" customHeight="1"/>
    <row r="1819" ht="42" customHeight="1"/>
    <row r="1820" ht="42" customHeight="1"/>
    <row r="1821" ht="42" customHeight="1"/>
    <row r="1822" ht="42" customHeight="1"/>
    <row r="1823" ht="42" customHeight="1"/>
    <row r="1824" ht="42" customHeight="1"/>
    <row r="1825" ht="42" customHeight="1"/>
    <row r="1826" ht="42" customHeight="1"/>
    <row r="1827" ht="42" customHeight="1"/>
    <row r="1828" ht="42" customHeight="1"/>
    <row r="1829" ht="42" customHeight="1"/>
    <row r="1830" ht="42" customHeight="1"/>
    <row r="1831" ht="42" customHeight="1"/>
    <row r="1832" ht="42" customHeight="1"/>
    <row r="1833" ht="42" customHeight="1"/>
    <row r="1834" ht="42" customHeight="1"/>
    <row r="1835" ht="42" customHeight="1"/>
    <row r="1836" ht="42" customHeight="1"/>
    <row r="1837" ht="42" customHeight="1"/>
    <row r="1838" ht="42" customHeight="1"/>
    <row r="1839" ht="42" customHeight="1"/>
    <row r="1840" ht="42" customHeight="1"/>
    <row r="1841" ht="42" customHeight="1"/>
    <row r="1842" ht="42" customHeight="1"/>
    <row r="1843" ht="42" customHeight="1"/>
    <row r="1844" ht="42" customHeight="1"/>
    <row r="1845" ht="42" customHeight="1"/>
    <row r="1846" ht="42" customHeight="1"/>
    <row r="1847" ht="42" customHeight="1"/>
    <row r="1848" ht="42" customHeight="1"/>
    <row r="1849" ht="42" customHeight="1"/>
    <row r="1850" ht="42" customHeight="1"/>
    <row r="1851" ht="42" customHeight="1"/>
    <row r="1852" ht="42" customHeight="1"/>
    <row r="1853" ht="42" customHeight="1"/>
    <row r="1854" ht="42" customHeight="1"/>
    <row r="1855" ht="42" customHeight="1"/>
    <row r="1856" ht="42" customHeight="1"/>
    <row r="1857" ht="42" customHeight="1"/>
    <row r="1858" ht="42" customHeight="1"/>
    <row r="1859" ht="42" customHeight="1"/>
    <row r="1860" ht="42" customHeight="1"/>
    <row r="1861" ht="42" customHeight="1"/>
    <row r="1862" ht="42" customHeight="1"/>
    <row r="1863" ht="42" customHeight="1"/>
    <row r="1864" ht="42" customHeight="1"/>
    <row r="1865" ht="42" customHeight="1"/>
    <row r="1866" ht="42" customHeight="1"/>
    <row r="1867" ht="42" customHeight="1"/>
    <row r="1868" ht="42" customHeight="1"/>
    <row r="1869" ht="42" customHeight="1"/>
    <row r="1870" ht="42" customHeight="1"/>
    <row r="1871" ht="42" customHeight="1"/>
    <row r="1872" ht="42" customHeight="1"/>
    <row r="1873" ht="42" customHeight="1"/>
    <row r="1874" ht="42" customHeight="1"/>
    <row r="1875" ht="42" customHeight="1"/>
    <row r="1876" ht="42" customHeight="1"/>
    <row r="1877" ht="42" customHeight="1"/>
    <row r="1878" ht="42" customHeight="1"/>
    <row r="1879" ht="42" customHeight="1"/>
    <row r="1880" ht="42" customHeight="1"/>
    <row r="1881" ht="42" customHeight="1"/>
    <row r="1882" ht="42" customHeight="1"/>
    <row r="1883" ht="42" customHeight="1"/>
    <row r="1884" ht="42" customHeight="1"/>
    <row r="1885" ht="42" customHeight="1"/>
    <row r="1886" ht="42" customHeight="1"/>
    <row r="1887" ht="42" customHeight="1"/>
    <row r="1888" ht="42" customHeight="1"/>
    <row r="1889" ht="42" customHeight="1"/>
    <row r="1890" ht="42" customHeight="1"/>
    <row r="1891" ht="42" customHeight="1"/>
    <row r="1892" ht="42" customHeight="1"/>
    <row r="1893" ht="42" customHeight="1"/>
    <row r="1894" ht="42" customHeight="1"/>
    <row r="1895" ht="42" customHeight="1"/>
    <row r="1896" ht="42" customHeight="1"/>
    <row r="1897" ht="42" customHeight="1"/>
    <row r="1898" ht="42" customHeight="1"/>
    <row r="1899" ht="42" customHeight="1"/>
    <row r="1900" ht="42" customHeight="1"/>
    <row r="1901" ht="42" customHeight="1"/>
    <row r="1902" ht="42" customHeight="1"/>
    <row r="1903" ht="42" customHeight="1"/>
    <row r="1904" ht="42" customHeight="1"/>
    <row r="1905" ht="42" customHeight="1"/>
    <row r="1906" ht="42" customHeight="1"/>
    <row r="1907" ht="42" customHeight="1"/>
    <row r="1908" ht="42" customHeight="1"/>
    <row r="1909" ht="42" customHeight="1"/>
    <row r="1910" ht="42" customHeight="1"/>
    <row r="1911" ht="42" customHeight="1"/>
    <row r="1912" ht="42" customHeight="1"/>
    <row r="1913" ht="42" customHeight="1"/>
    <row r="1914" ht="42" customHeight="1"/>
    <row r="1915" ht="42" customHeight="1"/>
    <row r="1916" ht="42" customHeight="1"/>
    <row r="1917" ht="42" customHeight="1"/>
    <row r="1918" ht="42" customHeight="1"/>
    <row r="1919" ht="42" customHeight="1"/>
    <row r="1920" ht="42" customHeight="1"/>
    <row r="1921" ht="42" customHeight="1"/>
    <row r="1922" ht="42" customHeight="1"/>
    <row r="1923" ht="42" customHeight="1"/>
    <row r="1924" ht="42" customHeight="1"/>
    <row r="1925" ht="42" customHeight="1"/>
    <row r="1926" ht="42" customHeight="1"/>
    <row r="1927" ht="42" customHeight="1"/>
    <row r="1928" ht="42" customHeight="1"/>
    <row r="1929" ht="42" customHeight="1"/>
    <row r="1930" ht="42" customHeight="1"/>
    <row r="1931" ht="42" customHeight="1"/>
    <row r="1932" ht="42" customHeight="1"/>
    <row r="1933" ht="42" customHeight="1"/>
    <row r="1934" ht="42" customHeight="1"/>
    <row r="1935" ht="42" customHeight="1"/>
    <row r="1936" ht="42" customHeight="1"/>
    <row r="1937" ht="42" customHeight="1"/>
    <row r="1938" ht="42" customHeight="1"/>
    <row r="1939" ht="42" customHeight="1"/>
    <row r="1940" ht="42" customHeight="1"/>
    <row r="1941" ht="42" customHeight="1"/>
    <row r="1942" ht="42" customHeight="1"/>
    <row r="1943" ht="42" customHeight="1"/>
    <row r="1944" ht="42" customHeight="1"/>
    <row r="1945" ht="42" customHeight="1"/>
    <row r="1946" ht="42" customHeight="1"/>
    <row r="1947" ht="42" customHeight="1"/>
    <row r="1948" ht="42" customHeight="1"/>
    <row r="1949" ht="42" customHeight="1"/>
    <row r="1950" ht="42" customHeight="1"/>
    <row r="1951" ht="42" customHeight="1"/>
    <row r="1952" ht="42" customHeight="1"/>
    <row r="1953" ht="42" customHeight="1"/>
    <row r="1954" ht="42" customHeight="1"/>
    <row r="1955" ht="42" customHeight="1"/>
    <row r="1956" ht="42" customHeight="1"/>
    <row r="1957" ht="42" customHeight="1"/>
    <row r="1958" ht="42" customHeight="1"/>
    <row r="1959" ht="42" customHeight="1"/>
    <row r="1960" ht="42" customHeight="1"/>
    <row r="1961" ht="42" customHeight="1"/>
    <row r="1962" ht="42" customHeight="1"/>
    <row r="1963" ht="42" customHeight="1"/>
    <row r="1964" ht="42" customHeight="1"/>
    <row r="1965" ht="42" customHeight="1"/>
    <row r="1966" ht="42" customHeight="1"/>
    <row r="1967" ht="42" customHeight="1"/>
    <row r="1968" ht="42" customHeight="1"/>
    <row r="1969" ht="42" customHeight="1"/>
    <row r="1970" ht="42" customHeight="1"/>
    <row r="1971" ht="42" customHeight="1"/>
    <row r="1972" ht="42" customHeight="1"/>
    <row r="1973" ht="42" customHeight="1"/>
    <row r="1974" ht="42" customHeight="1"/>
    <row r="1975" ht="42" customHeight="1"/>
    <row r="1976" ht="42" customHeight="1"/>
    <row r="1977" ht="42" customHeight="1"/>
    <row r="1978" ht="42" customHeight="1"/>
    <row r="1979" ht="42" customHeight="1"/>
    <row r="1980" ht="42" customHeight="1"/>
    <row r="1981" ht="42" customHeight="1"/>
    <row r="1982" ht="42" customHeight="1"/>
    <row r="1983" ht="42" customHeight="1"/>
    <row r="1984" ht="42" customHeight="1"/>
    <row r="1985" ht="42" customHeight="1"/>
    <row r="1986" ht="42" customHeight="1"/>
    <row r="1987" ht="42" customHeight="1"/>
    <row r="1988" ht="42" customHeight="1"/>
    <row r="1989" ht="42" customHeight="1"/>
    <row r="1990" ht="42" customHeight="1"/>
    <row r="1991" ht="42" customHeight="1"/>
    <row r="1992" ht="42" customHeight="1"/>
    <row r="1993" ht="42" customHeight="1"/>
    <row r="1994" ht="42" customHeight="1"/>
    <row r="1995" ht="42" customHeight="1"/>
    <row r="1996" ht="42" customHeight="1"/>
    <row r="1997" ht="42" customHeight="1"/>
    <row r="1998" ht="42" customHeight="1"/>
    <row r="1999" ht="42" customHeight="1"/>
    <row r="2000" ht="42" customHeight="1"/>
    <row r="2001" ht="42" customHeight="1"/>
    <row r="2002" ht="42" customHeight="1"/>
    <row r="2003" ht="42" customHeight="1"/>
    <row r="2004" ht="42" customHeight="1"/>
    <row r="2005" ht="42" customHeight="1"/>
    <row r="2006" ht="42" customHeight="1"/>
    <row r="2007" ht="42" customHeight="1"/>
    <row r="2008" ht="42" customHeight="1"/>
    <row r="2009" ht="42" customHeight="1"/>
    <row r="2010" ht="42" customHeight="1"/>
    <row r="2011" ht="42" customHeight="1"/>
    <row r="2012" ht="42" customHeight="1"/>
    <row r="2013" ht="42" customHeight="1"/>
    <row r="2014" ht="42" customHeight="1"/>
    <row r="2015" ht="42" customHeight="1"/>
    <row r="2016" ht="42" customHeight="1"/>
    <row r="2017" ht="42" customHeight="1"/>
    <row r="2018" ht="42" customHeight="1"/>
    <row r="2019" ht="42" customHeight="1"/>
    <row r="2020" ht="42" customHeight="1"/>
    <row r="2021" ht="42" customHeight="1"/>
    <row r="2022" ht="42" customHeight="1"/>
    <row r="2023" ht="42" customHeight="1"/>
    <row r="2024" ht="42" customHeight="1"/>
    <row r="2025" ht="42" customHeight="1"/>
    <row r="2026" ht="42" customHeight="1"/>
    <row r="2027" ht="42" customHeight="1"/>
    <row r="2028" ht="42" customHeight="1"/>
    <row r="2029" ht="42" customHeight="1"/>
    <row r="2030" ht="42" customHeight="1"/>
    <row r="2031" ht="42" customHeight="1"/>
    <row r="2032" ht="42" customHeight="1"/>
    <row r="2033" ht="42" customHeight="1"/>
    <row r="2034" ht="42" customHeight="1"/>
    <row r="2035" ht="42" customHeight="1"/>
    <row r="2036" ht="42" customHeight="1"/>
    <row r="2037" ht="42" customHeight="1"/>
    <row r="2038" ht="42" customHeight="1"/>
    <row r="2039" ht="42" customHeight="1"/>
    <row r="2040" ht="42" customHeight="1"/>
    <row r="2041" ht="42" customHeight="1"/>
    <row r="2042" ht="42" customHeight="1"/>
    <row r="2043" ht="42" customHeight="1"/>
    <row r="2044" ht="42" customHeight="1"/>
    <row r="2045" ht="42" customHeight="1"/>
    <row r="2046" ht="42" customHeight="1"/>
    <row r="2047" ht="42" customHeight="1"/>
    <row r="2048" ht="42" customHeight="1"/>
    <row r="2049" ht="42" customHeight="1"/>
    <row r="2050" ht="42" customHeight="1"/>
    <row r="2051" ht="42" customHeight="1"/>
    <row r="2052" ht="42" customHeight="1"/>
    <row r="2053" ht="42" customHeight="1"/>
    <row r="2054" ht="42" customHeight="1"/>
    <row r="2055" ht="42" customHeight="1"/>
    <row r="2056" ht="42" customHeight="1"/>
    <row r="2057" ht="42" customHeight="1"/>
    <row r="2058" ht="42" customHeight="1"/>
    <row r="2059" ht="42" customHeight="1"/>
    <row r="2060" ht="42" customHeight="1"/>
    <row r="2061" ht="42" customHeight="1"/>
    <row r="2062" ht="42" customHeight="1"/>
    <row r="2063" ht="42" customHeight="1"/>
    <row r="2064" ht="42" customHeight="1"/>
    <row r="2065" ht="42" customHeight="1"/>
    <row r="2066" ht="42" customHeight="1"/>
    <row r="2067" ht="42" customHeight="1"/>
    <row r="2068" ht="42" customHeight="1"/>
    <row r="2069" ht="42" customHeight="1"/>
    <row r="2070" ht="42" customHeight="1"/>
    <row r="2071" ht="42" customHeight="1"/>
    <row r="2072" ht="42" customHeight="1"/>
    <row r="2073" ht="42" customHeight="1"/>
    <row r="2074" ht="42" customHeight="1"/>
    <row r="2075" ht="42" customHeight="1"/>
    <row r="2076" ht="42" customHeight="1"/>
    <row r="2077" ht="42" customHeight="1"/>
    <row r="2078" ht="42" customHeight="1"/>
    <row r="2079" ht="42" customHeight="1"/>
    <row r="2080" ht="42" customHeight="1"/>
    <row r="2081" ht="42" customHeight="1"/>
  </sheetData>
  <autoFilter ref="A1:AN2081"/>
  <hyperlinks>
    <hyperlink xmlns:r="http://schemas.openxmlformats.org/officeDocument/2006/relationships" ref="E2" display="http://www.readspeaker.com/" r:id="rId1"/>
    <hyperlink xmlns:r="http://schemas.openxmlformats.org/officeDocument/2006/relationships" ref="T2" display="https://www.linkedin.com/company/readspeaker/" r:id="rId2"/>
    <hyperlink xmlns:r="http://schemas.openxmlformats.org/officeDocument/2006/relationships" ref="Y2" display="https://drive.google.com/uc?export=view&amp;id=1EoXAOyrAChJ2L1USkuThFZzlJENfPDQl" r:id="rId3"/>
    <hyperlink xmlns:r="http://schemas.openxmlformats.org/officeDocument/2006/relationships" ref="E3" display="https://www.rm.com/assessment" r:id="rId4"/>
    <hyperlink xmlns:r="http://schemas.openxmlformats.org/officeDocument/2006/relationships" ref="T3" display="https://www.linkedin.com/company/assessment-from-rm/" r:id="rId5"/>
    <hyperlink xmlns:r="http://schemas.openxmlformats.org/officeDocument/2006/relationships" ref="Y3" display="https://drive.google.com/uc?export=view&amp;id=1swdiVSteVfaTfMJH_O2uzZ7Ux33ZPFg9" r:id="rId6"/>
    <hyperlink xmlns:r="http://schemas.openxmlformats.org/officeDocument/2006/relationships" ref="E4" display="http://mappi.ai/" r:id="rId7"/>
    <hyperlink xmlns:r="http://schemas.openxmlformats.org/officeDocument/2006/relationships" ref="T4" display="https://www.linkedin.com/company/mappi-ab/" r:id="rId8"/>
    <hyperlink xmlns:r="http://schemas.openxmlformats.org/officeDocument/2006/relationships" ref="Y4" display="https://drive.google.com/uc?export=view&amp;id=1w0trt3dI4DobGqTes3kogcZMRJAewoEl" r:id="rId9"/>
    <hyperlink xmlns:r="http://schemas.openxmlformats.org/officeDocument/2006/relationships" ref="E5" display="http://www.gamifactory.eu/" r:id="rId10"/>
    <hyperlink xmlns:r="http://schemas.openxmlformats.org/officeDocument/2006/relationships" ref="R5" display="https://www.instagram.com/gamifactory.sk/" r:id="rId11"/>
    <hyperlink xmlns:r="http://schemas.openxmlformats.org/officeDocument/2006/relationships" ref="T5" display="https://www.linkedin.com/company/impact-games-eu/?viewAsMember=true" r:id="rId12"/>
    <hyperlink xmlns:r="http://schemas.openxmlformats.org/officeDocument/2006/relationships" ref="Y5" display="https://drive.google.com/uc?export=view&amp;id=1mHvSbKO5pkeYTqYnPAnUI8EGtyu3v3Ud" r:id="rId13"/>
    <hyperlink xmlns:r="http://schemas.openxmlformats.org/officeDocument/2006/relationships" ref="AE5" display="https://www.facebook.com/gamifactory" r:id="rId14"/>
    <hyperlink xmlns:r="http://schemas.openxmlformats.org/officeDocument/2006/relationships" ref="E6" display="https://www.gaptain.com/" r:id="rId15"/>
    <hyperlink xmlns:r="http://schemas.openxmlformats.org/officeDocument/2006/relationships" ref="S6" display="https://x.com/gaptain_es" r:id="rId16"/>
    <hyperlink xmlns:r="http://schemas.openxmlformats.org/officeDocument/2006/relationships" ref="T6" display="https://www.linkedin.com/company/gaptain/" r:id="rId17"/>
    <hyperlink xmlns:r="http://schemas.openxmlformats.org/officeDocument/2006/relationships" ref="Y6" display="https://drive.google.com/uc?export=view&amp;id=1qv6JLxuvHhgUTrGgL-x15UdG-UOzxjwd" r:id="rId18"/>
    <hyperlink xmlns:r="http://schemas.openxmlformats.org/officeDocument/2006/relationships" ref="E7" display="http://www.edtest.se/" r:id="rId19"/>
    <hyperlink xmlns:r="http://schemas.openxmlformats.org/officeDocument/2006/relationships" ref="T7" display="https://www.linkedin.com/company/36990427/" r:id="rId20"/>
    <hyperlink xmlns:r="http://schemas.openxmlformats.org/officeDocument/2006/relationships" ref="Y7" display="https://drive.google.com/uc?export=view&amp;id=1cukMspgiP1DtGqXqXD7IpjKHf8trfj7J" r:id="rId21"/>
    <hyperlink xmlns:r="http://schemas.openxmlformats.org/officeDocument/2006/relationships" ref="E8" display="http://ginntech.com/" r:id="rId22"/>
    <hyperlink xmlns:r="http://schemas.openxmlformats.org/officeDocument/2006/relationships" ref="Y8" display="https://drive.google.com/uc?export=view&amp;id=1Qw2pCy3j6SVJnkQI4ylpqV81k7oquK-y" r:id="rId23"/>
    <hyperlink xmlns:r="http://schemas.openxmlformats.org/officeDocument/2006/relationships" ref="E9" display="https://swedishedtechindustry.se/" r:id="rId24"/>
    <hyperlink xmlns:r="http://schemas.openxmlformats.org/officeDocument/2006/relationships" ref="T9" display="https://www.linkedin.com/company/16192020" r:id="rId25"/>
    <hyperlink xmlns:r="http://schemas.openxmlformats.org/officeDocument/2006/relationships" ref="U9" display="http://edtechkartan.se/" r:id="rId26"/>
    <hyperlink xmlns:r="http://schemas.openxmlformats.org/officeDocument/2006/relationships" ref="Y9" display="https://drive.google.com/uc?export=view&amp;id=1Gmx6dOrRjsFoS8t19Icqm0hQBJj1ywwv" r:id="rId27"/>
    <hyperlink xmlns:r="http://schemas.openxmlformats.org/officeDocument/2006/relationships" ref="E10" display="http://www.seidor.es/" r:id="rId28"/>
    <hyperlink xmlns:r="http://schemas.openxmlformats.org/officeDocument/2006/relationships" ref="Y10" display="https://drive.google.com/uc?export=view&amp;id=1P0Vufy_g3qa4ULHMIUOn058E_3962hMh" r:id="rId29"/>
    <hyperlink xmlns:r="http://schemas.openxmlformats.org/officeDocument/2006/relationships" ref="E11" display="https://www.climb2learn.com/" r:id="rId30"/>
    <hyperlink xmlns:r="http://schemas.openxmlformats.org/officeDocument/2006/relationships" ref="T11" display="https://www.linkedin.com/company/climb2learn/posts/?feedView=all" r:id="rId31"/>
    <hyperlink xmlns:r="http://schemas.openxmlformats.org/officeDocument/2006/relationships" ref="Y11" display="https://drive.google.com/uc?export=view&amp;id=1r5ES3ZwlkS74wDjc4NLkLGPnQxGvZ08c" r:id="rId32"/>
    <hyperlink xmlns:r="http://schemas.openxmlformats.org/officeDocument/2006/relationships" ref="E12" display="http://www.glifing.com/" r:id="rId33"/>
    <hyperlink xmlns:r="http://schemas.openxmlformats.org/officeDocument/2006/relationships" ref="R12" display="https://www.instagram.com/glifing/" r:id="rId34"/>
    <hyperlink xmlns:r="http://schemas.openxmlformats.org/officeDocument/2006/relationships" ref="S12" display="https://x.com/glifing" r:id="rId35"/>
    <hyperlink xmlns:r="http://schemas.openxmlformats.org/officeDocument/2006/relationships" ref="T12" display="https://www.linkedin.com/company/glifing/posts/?feedView=all" r:id="rId36"/>
    <hyperlink xmlns:r="http://schemas.openxmlformats.org/officeDocument/2006/relationships" ref="Y12" display="https://drive.google.com/uc?export=view&amp;id=1BP-iD8dOWKxZ0rR_R_FUp6iO3_mg7QMK" r:id="rId37"/>
    <hyperlink xmlns:r="http://schemas.openxmlformats.org/officeDocument/2006/relationships" ref="AE12" display="https://www.facebook.com/glifing" r:id="rId38"/>
    <hyperlink xmlns:r="http://schemas.openxmlformats.org/officeDocument/2006/relationships" ref="E13" display="https://www.labirinth.it/" r:id="rId39"/>
    <hyperlink xmlns:r="http://schemas.openxmlformats.org/officeDocument/2006/relationships" ref="T13" display="https://www.linkedin.com/company/labirinth" r:id="rId40"/>
    <hyperlink xmlns:r="http://schemas.openxmlformats.org/officeDocument/2006/relationships" ref="Y13" display="https://drive.google.com/uc?export=view&amp;id=1JOwHJVCkhPDmSAZxn4vHyUHpoaKDitRa" r:id="rId41"/>
    <hyperlink xmlns:r="http://schemas.openxmlformats.org/officeDocument/2006/relationships" ref="E14" display="http://www.smartsymbols.com/" r:id="rId42"/>
    <hyperlink xmlns:r="http://schemas.openxmlformats.org/officeDocument/2006/relationships" ref="R14" display="https://www.instagram.com/smartsymbols/" r:id="rId43"/>
    <hyperlink xmlns:r="http://schemas.openxmlformats.org/officeDocument/2006/relationships" ref="S14" display="https://www.facebook.com/smartsymbols" r:id="rId44"/>
    <hyperlink xmlns:r="http://schemas.openxmlformats.org/officeDocument/2006/relationships" ref="T14" display="https://www.linkedin.com/company/smart-symbols/" r:id="rId45"/>
    <hyperlink xmlns:r="http://schemas.openxmlformats.org/officeDocument/2006/relationships" ref="Y14" display="https://drive.google.com/uc?export=view&amp;id=1xOy8U-VZt4mrAlob73djAu7aOgxDnA1R" r:id="rId46"/>
    <hyperlink xmlns:r="http://schemas.openxmlformats.org/officeDocument/2006/relationships" ref="E15" display="https://www.ubicast.eu/" r:id="rId47"/>
    <hyperlink xmlns:r="http://schemas.openxmlformats.org/officeDocument/2006/relationships" ref="R15" display="https://www.instagram.com/ubicast_official/" r:id="rId48"/>
    <hyperlink xmlns:r="http://schemas.openxmlformats.org/officeDocument/2006/relationships" ref="T15" display="https://www.linkedin.com/company/ubicast" r:id="rId49"/>
    <hyperlink xmlns:r="http://schemas.openxmlformats.org/officeDocument/2006/relationships" ref="Y15" display="https://drive.google.com/uc?export=view&amp;id=1kBxp-jslfQ-avf9_eMvLk7Wb9zMgy_pK" r:id="rId50"/>
    <hyperlink xmlns:r="http://schemas.openxmlformats.org/officeDocument/2006/relationships" ref="E16" display="http://www.ninefeb.com/" r:id="rId51"/>
    <hyperlink xmlns:r="http://schemas.openxmlformats.org/officeDocument/2006/relationships" ref="Y16" display="https://drive.google.com/uc?export=view&amp;id=1qGWZsyCai52rhZbM-MP3xLMqtBUW95Hf" r:id="rId52"/>
    <hyperlink xmlns:r="http://schemas.openxmlformats.org/officeDocument/2006/relationships" ref="E17" display="https://www.littlebridge.com/" r:id="rId53"/>
    <hyperlink xmlns:r="http://schemas.openxmlformats.org/officeDocument/2006/relationships" ref="R17" display="https://www.instagram.com/littlebridgeworld/" r:id="rId54"/>
    <hyperlink xmlns:r="http://schemas.openxmlformats.org/officeDocument/2006/relationships" ref="S17" display="https://x.com/Little_Bridge" r:id="rId55"/>
    <hyperlink xmlns:r="http://schemas.openxmlformats.org/officeDocument/2006/relationships" ref="T17" display="https://www.linkedin.com/company/little-bridge-world" r:id="rId56"/>
    <hyperlink xmlns:r="http://schemas.openxmlformats.org/officeDocument/2006/relationships" ref="Y17" display="https://drive.google.com/uc?export=view&amp;id=1lcp9F6wIdmfQO3s2l3kM-059qWwG9YlF" r:id="rId57"/>
    <hyperlink xmlns:r="http://schemas.openxmlformats.org/officeDocument/2006/relationships" ref="AE17" display="https://www.facebook.com/LittleBridgeWorld/" r:id="rId58"/>
    <hyperlink xmlns:r="http://schemas.openxmlformats.org/officeDocument/2006/relationships" ref="E18" display="http://www.dokimazo.io/" r:id="rId59"/>
    <hyperlink xmlns:r="http://schemas.openxmlformats.org/officeDocument/2006/relationships" ref="T18" display="https://www.linkedin.com/company/dokimazo" r:id="rId60"/>
    <hyperlink xmlns:r="http://schemas.openxmlformats.org/officeDocument/2006/relationships" ref="Y18" display="https://drive.google.com/uc?export=view&amp;id=1l6XrvSusnNphymMofSdddulF5Vn7h67V" r:id="rId61"/>
    <hyperlink xmlns:r="http://schemas.openxmlformats.org/officeDocument/2006/relationships" ref="E19" display="http://www.scoolsy.lt/" r:id="rId62"/>
    <hyperlink xmlns:r="http://schemas.openxmlformats.org/officeDocument/2006/relationships" ref="R19" display="https://www.instagram.com/scoolsy_/" r:id="rId63"/>
    <hyperlink xmlns:r="http://schemas.openxmlformats.org/officeDocument/2006/relationships" ref="T19" display="https://www.linkedin.com/company/77000831/admin/dashboard/" r:id="rId64"/>
    <hyperlink xmlns:r="http://schemas.openxmlformats.org/officeDocument/2006/relationships" ref="Y19" display="https://drive.google.com/uc?export=view&amp;id=1mavns124-k1cHq0L_Kvy86e3mnLlqpKd" r:id="rId65"/>
    <hyperlink xmlns:r="http://schemas.openxmlformats.org/officeDocument/2006/relationships" ref="AE19" display="https://www.facebook.com/scoolsy" r:id="rId66"/>
    <hyperlink xmlns:r="http://schemas.openxmlformats.org/officeDocument/2006/relationships" ref="E20" display="http://beespeaker.com/" r:id="rId67"/>
    <hyperlink xmlns:r="http://schemas.openxmlformats.org/officeDocument/2006/relationships" ref="R20" display="https://www.instagram.com/beespeakerapp/" r:id="rId68"/>
    <hyperlink xmlns:r="http://schemas.openxmlformats.org/officeDocument/2006/relationships" ref="T20" display="https://pl.linkedin.com/company/beespeaker" r:id="rId69"/>
    <hyperlink xmlns:r="http://schemas.openxmlformats.org/officeDocument/2006/relationships" ref="Y20" display="https://drive.google.com/uc?export=view&amp;id=1a1BExb6wEL2mlyQaDBCzrxeP9iq4t0OW" r:id="rId70"/>
    <hyperlink xmlns:r="http://schemas.openxmlformats.org/officeDocument/2006/relationships" ref="AE20" display="https://www.facebook.com/people/BeeSpeaker-Learn-to-SPEAK-English/61564122652907/" r:id="rId71"/>
    <hyperlink xmlns:r="http://schemas.openxmlformats.org/officeDocument/2006/relationships" ref="E21" display="http://www.kendirstudios.pt/" r:id="rId72"/>
    <hyperlink xmlns:r="http://schemas.openxmlformats.org/officeDocument/2006/relationships" ref="R21" display="https://www.instagram.com/kendirstudios" r:id="rId73"/>
    <hyperlink xmlns:r="http://schemas.openxmlformats.org/officeDocument/2006/relationships" ref="T21" display="https://www.linkedin.com/company/kendir-studios/" r:id="rId74"/>
    <hyperlink xmlns:r="http://schemas.openxmlformats.org/officeDocument/2006/relationships" ref="Y21" display="https://drive.google.com/uc?export=view&amp;id=1iJiEG1O_r9Ed23hGrmkH0WX1yAbeDFA1" r:id="rId75"/>
    <hyperlink xmlns:r="http://schemas.openxmlformats.org/officeDocument/2006/relationships" ref="E22" display="http://www.improovo.com/" r:id="rId76"/>
    <hyperlink xmlns:r="http://schemas.openxmlformats.org/officeDocument/2006/relationships" ref="T22" display="https://www.linkedin.com/company/improovo" r:id="rId77"/>
    <hyperlink xmlns:r="http://schemas.openxmlformats.org/officeDocument/2006/relationships" ref="Y22" display="https://drive.google.com/uc?export=view&amp;id=1LSWaFU_g62NZWmAm_Prsev9HdkJS11uP" r:id="rId78"/>
    <hyperlink xmlns:r="http://schemas.openxmlformats.org/officeDocument/2006/relationships" ref="E23" display="http://www.speaktx.com/" r:id="rId79"/>
    <hyperlink xmlns:r="http://schemas.openxmlformats.org/officeDocument/2006/relationships" ref="R23" display="https://www.instagram.com/speak_tx/" r:id="rId80"/>
    <hyperlink xmlns:r="http://schemas.openxmlformats.org/officeDocument/2006/relationships" ref="T23" display="https://www.linkedin.com/company/speaktx/" r:id="rId81"/>
    <hyperlink xmlns:r="http://schemas.openxmlformats.org/officeDocument/2006/relationships" ref="U23" display="http://speaktx.com/" r:id="rId82"/>
    <hyperlink xmlns:r="http://schemas.openxmlformats.org/officeDocument/2006/relationships" ref="Y23" display="https://drive.google.com/uc?export=view&amp;id=1csWbMWGhVExj_kk_QWgGWzkgzfmkfryK" r:id="rId83"/>
    <hyperlink xmlns:r="http://schemas.openxmlformats.org/officeDocument/2006/relationships" ref="AE23" display="https://www.facebook.com/SpeakTX" r:id="rId84"/>
    <hyperlink xmlns:r="http://schemas.openxmlformats.org/officeDocument/2006/relationships" ref="E24" display="https://www.alfaerdve.lt/" r:id="rId85"/>
    <hyperlink xmlns:r="http://schemas.openxmlformats.org/officeDocument/2006/relationships" ref="Y24" display="https://drive.google.com/uc?export=view&amp;id=19gjHJjrE-ML8_2O0f9WxWElM4kyQIQwt" r:id="rId86"/>
    <hyperlink xmlns:r="http://schemas.openxmlformats.org/officeDocument/2006/relationships" ref="E25" display="http://www.global-exam.com/" r:id="rId87"/>
    <hyperlink xmlns:r="http://schemas.openxmlformats.org/officeDocument/2006/relationships" ref="T25" display="https://www.linkedin.com/company/global-exam/" r:id="rId88"/>
    <hyperlink xmlns:r="http://schemas.openxmlformats.org/officeDocument/2006/relationships" ref="Y25" display="https://drive.google.com/uc?export=view&amp;id=1m34zCDVjTuvNNAlvXK9eJvYVzVn2eaWi" r:id="rId89"/>
    <hyperlink xmlns:r="http://schemas.openxmlformats.org/officeDocument/2006/relationships" ref="E26" display="https://lablife.video/" r:id="rId90"/>
    <hyperlink xmlns:r="http://schemas.openxmlformats.org/officeDocument/2006/relationships" ref="R26" display="https://www.instagram.com/lablife.video" r:id="rId91"/>
    <hyperlink xmlns:r="http://schemas.openxmlformats.org/officeDocument/2006/relationships" ref="T26" display="https://www.linkedin.com/company/lablife-video" r:id="rId92"/>
    <hyperlink xmlns:r="http://schemas.openxmlformats.org/officeDocument/2006/relationships" ref="Y26" display="https://drive.google.com/uc?export=view&amp;id=1a7Yuk6SheSEng9Qy6HNbGtG3ig0-vu-h" r:id="rId93"/>
    <hyperlink xmlns:r="http://schemas.openxmlformats.org/officeDocument/2006/relationships" ref="AE26" display="https://www.facebook.com/lablife.video" r:id="rId94"/>
    <hyperlink xmlns:r="http://schemas.openxmlformats.org/officeDocument/2006/relationships" ref="E27" display="https://www.cabuu.app/" r:id="rId95"/>
    <hyperlink xmlns:r="http://schemas.openxmlformats.org/officeDocument/2006/relationships" ref="R27" display="https://www.instagram.com/cabuu_app/" r:id="rId96"/>
    <hyperlink xmlns:r="http://schemas.openxmlformats.org/officeDocument/2006/relationships" ref="T27" display="https://www.linkedin.com/company/cabuugmbh/" r:id="rId97"/>
    <hyperlink xmlns:r="http://schemas.openxmlformats.org/officeDocument/2006/relationships" ref="Y27" display="https://drive.google.com/uc?export=view&amp;id=1kMJwiMrniLwvbN9nOAh8W-zerYB4a5od" r:id="rId98"/>
    <hyperlink xmlns:r="http://schemas.openxmlformats.org/officeDocument/2006/relationships" ref="AE27" display="https://www.facebook.com/cabuuApp" r:id="rId99"/>
    <hyperlink xmlns:r="http://schemas.openxmlformats.org/officeDocument/2006/relationships" ref="E28" display="http://www.challengeme.online/" r:id="rId100"/>
    <hyperlink xmlns:r="http://schemas.openxmlformats.org/officeDocument/2006/relationships" ref="T28" display="https://fr.linkedin.com/company/challengemesup" r:id="rId101"/>
    <hyperlink xmlns:r="http://schemas.openxmlformats.org/officeDocument/2006/relationships" ref="Y28" display="https://drive.google.com/uc?export=view&amp;id=17JwJJioEu5YypSKT2TU-1YXN8IQxLIS9" r:id="rId102"/>
    <hyperlink xmlns:r="http://schemas.openxmlformats.org/officeDocument/2006/relationships" ref="E29" display="https://www.hopspots.dk/en/" r:id="rId103"/>
    <hyperlink xmlns:r="http://schemas.openxmlformats.org/officeDocument/2006/relationships" ref="R29" display="https://www.instagram.com/hopspots/" r:id="rId104"/>
    <hyperlink xmlns:r="http://schemas.openxmlformats.org/officeDocument/2006/relationships" ref="T29" display="https://www.linkedin.com/company/4848854/" r:id="rId105"/>
    <hyperlink xmlns:r="http://schemas.openxmlformats.org/officeDocument/2006/relationships" ref="Y29" display="https://drive.google.com/uc?export=view&amp;id=1BFWvHl4kPnQ9QndLQ2FZ0v0NKiLnC5FZ" r:id="rId106"/>
    <hyperlink xmlns:r="http://schemas.openxmlformats.org/officeDocument/2006/relationships" ref="AE29" display="https://www.facebook.com/hopspots.tm" r:id="rId107"/>
    <hyperlink xmlns:r="http://schemas.openxmlformats.org/officeDocument/2006/relationships" ref="E30" display="https://ubeeko.com/" r:id="rId108"/>
    <hyperlink xmlns:r="http://schemas.openxmlformats.org/officeDocument/2006/relationships" ref="T30" display="https://linkedin.com/company/ubeeko" r:id="rId109"/>
    <hyperlink xmlns:r="http://schemas.openxmlformats.org/officeDocument/2006/relationships" ref="Y30" display="https://drive.google.com/uc?export=view&amp;id=12GhYpnmV3gizaXgo-COIuYi-17b7BxLC" r:id="rId110"/>
    <hyperlink xmlns:r="http://schemas.openxmlformats.org/officeDocument/2006/relationships" ref="E31" display="http://www.springlab.nl/" r:id="rId111"/>
    <hyperlink xmlns:r="http://schemas.openxmlformats.org/officeDocument/2006/relationships" ref="R31" display="https://www.instagram.com/springlabnl/" r:id="rId112"/>
    <hyperlink xmlns:r="http://schemas.openxmlformats.org/officeDocument/2006/relationships" ref="T31" display="https://www.linkedin.com/company/10009167/admin/dashboard/" r:id="rId113"/>
    <hyperlink xmlns:r="http://schemas.openxmlformats.org/officeDocument/2006/relationships" ref="Y31" display="https://drive.google.com/uc?export=view&amp;id=14nrXAx90b8CDdNRBaDYoUSdxGVtd5OwS" r:id="rId114"/>
    <hyperlink xmlns:r="http://schemas.openxmlformats.org/officeDocument/2006/relationships" ref="AE31" display="https://www.facebook.com/p/Springlab-Learning-61559318542181/" r:id="rId115"/>
    <hyperlink xmlns:r="http://schemas.openxmlformats.org/officeDocument/2006/relationships" ref="E32" display="https://www.2simple.com/" r:id="rId116"/>
    <hyperlink xmlns:r="http://schemas.openxmlformats.org/officeDocument/2006/relationships" ref="R32" display="https://www.instagram.com/2simplesoftware" r:id="rId117"/>
    <hyperlink xmlns:r="http://schemas.openxmlformats.org/officeDocument/2006/relationships" ref="S32" display="https://x.com/2SimpleSoftware" r:id="rId118"/>
    <hyperlink xmlns:r="http://schemas.openxmlformats.org/officeDocument/2006/relationships" ref="T32" display="https://www.linkedin.com/company/2simple" r:id="rId119"/>
    <hyperlink xmlns:r="http://schemas.openxmlformats.org/officeDocument/2006/relationships" ref="Y32" display="https://drive.google.com/uc?export=view&amp;id=1mRNNyYfjQ2oeACEModsUp_ep4dSolv0d" r:id="rId120"/>
    <hyperlink xmlns:r="http://schemas.openxmlformats.org/officeDocument/2006/relationships" ref="AE32" display="https://www.facebook.com/2Simpleuk" r:id="rId121"/>
    <hyperlink xmlns:r="http://schemas.openxmlformats.org/officeDocument/2006/relationships" ref="E33" display="http://www.rflect.ch/" r:id="rId122"/>
    <hyperlink xmlns:r="http://schemas.openxmlformats.org/officeDocument/2006/relationships" ref="T33" display="https://www.linkedin.com/company/79407274/" r:id="rId123"/>
    <hyperlink xmlns:r="http://schemas.openxmlformats.org/officeDocument/2006/relationships" ref="Y33" display="https://drive.google.com/uc?export=view&amp;id=1MtoTpYpsgS5ezHnYGtlZwzhxp5aNBclD" r:id="rId124"/>
    <hyperlink xmlns:r="http://schemas.openxmlformats.org/officeDocument/2006/relationships" ref="R34" display="https://www.instagram.com/bidi.one" r:id="rId125"/>
    <hyperlink xmlns:r="http://schemas.openxmlformats.org/officeDocument/2006/relationships" ref="T34" display="https://www.linkedin.com/company/bidi-one" r:id="rId126"/>
    <hyperlink xmlns:r="http://schemas.openxmlformats.org/officeDocument/2006/relationships" ref="Y34" display="https://drive.google.com/uc?export=view&amp;id=1TUzUzF-siG_7-VJpEzOn8XLg9XY-asKv" r:id="rId127"/>
    <hyperlink xmlns:r="http://schemas.openxmlformats.org/officeDocument/2006/relationships" ref="E35" display="https://learnwise.ai/" r:id="rId128"/>
    <hyperlink xmlns:r="http://schemas.openxmlformats.org/officeDocument/2006/relationships" ref="T35" display="https://www.linkedin.com/company/learnwiseai" r:id="rId129"/>
    <hyperlink xmlns:r="http://schemas.openxmlformats.org/officeDocument/2006/relationships" ref="Y35" display="https://drive.google.com/uc?export=view&amp;id=1XW5-CsbXDZnSKrFVNFynTIEHKkdUJRvY" r:id="rId130"/>
    <hyperlink xmlns:r="http://schemas.openxmlformats.org/officeDocument/2006/relationships" ref="E36" display="https://scealprod.fr/" r:id="rId131"/>
    <hyperlink xmlns:r="http://schemas.openxmlformats.org/officeDocument/2006/relationships" ref="R36" display="https://www.instagram.com/scealprod.fr" r:id="rId132"/>
    <hyperlink xmlns:r="http://schemas.openxmlformats.org/officeDocument/2006/relationships" ref="T36" display="https://www.linkedin.com/in/hugues-avit-callaud/" r:id="rId133"/>
    <hyperlink xmlns:r="http://schemas.openxmlformats.org/officeDocument/2006/relationships" ref="Y36" display="https://drive.google.com/uc?export=view&amp;id=1FG8CD8w8MhntuwRn3BAZIQNA-F_cgyJs" r:id="rId134"/>
    <hyperlink xmlns:r="http://schemas.openxmlformats.org/officeDocument/2006/relationships" ref="AE36" display="https://www.facebook.com/scealstudio" r:id="rId135"/>
    <hyperlink xmlns:r="http://schemas.openxmlformats.org/officeDocument/2006/relationships" ref="T37" display="https://www.linkedin.com/company/11260631/admin/analytics/visitors/" r:id="rId136"/>
    <hyperlink xmlns:r="http://schemas.openxmlformats.org/officeDocument/2006/relationships" ref="Y37" display="https://drive.google.com/uc?export=view&amp;id=1w3MoT4qficFItp0RwQ_gvgJkBrEV_RpY" r:id="rId137"/>
    <hyperlink xmlns:r="http://schemas.openxmlformats.org/officeDocument/2006/relationships" ref="E38" display="https://www.topworksheets.com/" r:id="rId138"/>
    <hyperlink xmlns:r="http://schemas.openxmlformats.org/officeDocument/2006/relationships" ref="R38" display="https://www.instagram.com/topworksheets_en/" r:id="rId139"/>
    <hyperlink xmlns:r="http://schemas.openxmlformats.org/officeDocument/2006/relationships" ref="S38" display="https://x.com/topworksheetsen" r:id="rId140"/>
    <hyperlink xmlns:r="http://schemas.openxmlformats.org/officeDocument/2006/relationships" ref="T38" display="https://es.linkedin.com/company/topworksheets" r:id="rId141"/>
    <hyperlink xmlns:r="http://schemas.openxmlformats.org/officeDocument/2006/relationships" ref="Y38" display="https://drive.google.com/uc?export=view&amp;id=1G4b4LsDZzbr_fAqkrERguKB8Y-kr7h1n" r:id="rId142"/>
    <hyperlink xmlns:r="http://schemas.openxmlformats.org/officeDocument/2006/relationships" ref="E39" display="https://studyflow.nl/" r:id="rId143"/>
    <hyperlink xmlns:r="http://schemas.openxmlformats.org/officeDocument/2006/relationships" ref="T39" display="https://www.linkedin.com/company/studyflow/" r:id="rId144"/>
    <hyperlink xmlns:r="http://schemas.openxmlformats.org/officeDocument/2006/relationships" ref="Y39" display="https://drive.google.com/uc?export=view&amp;id=1jOdIHKDaOAz-t0o7gLr_YOJntr3nJixI" r:id="rId145"/>
    <hyperlink xmlns:r="http://schemas.openxmlformats.org/officeDocument/2006/relationships" ref="E40" display="http://bloomcoding.ro/" r:id="rId146"/>
    <hyperlink xmlns:r="http://schemas.openxmlformats.org/officeDocument/2006/relationships" ref="R40" display="https://www.instagram.com/bloomcoding.ro/" r:id="rId147"/>
    <hyperlink xmlns:r="http://schemas.openxmlformats.org/officeDocument/2006/relationships" ref="T40" display="https://www.linkedin.com/company/bloomcoding/posts/?feedView=all" r:id="rId148"/>
    <hyperlink xmlns:r="http://schemas.openxmlformats.org/officeDocument/2006/relationships" ref="Y40" display="https://drive.google.com/uc?export=view&amp;id=1wtS_blmrAUsLmLZUJ-DKhfSof1ePnLg3" r:id="rId149"/>
    <hyperlink xmlns:r="http://schemas.openxmlformats.org/officeDocument/2006/relationships" ref="AE40" display="https://www.facebook.com/bloomcodingmoldova/" r:id="rId150"/>
    <hyperlink xmlns:r="http://schemas.openxmlformats.org/officeDocument/2006/relationships" ref="T41" display="https://www.linkedin.com/company/10670987/" r:id="rId151"/>
    <hyperlink xmlns:r="http://schemas.openxmlformats.org/officeDocument/2006/relationships" ref="Y41" display="https://drive.google.com/uc?export=view&amp;id=1trIalvfArdfxqTIPsGQkiENdZYCpc7nq" r:id="rId152"/>
    <hyperlink xmlns:r="http://schemas.openxmlformats.org/officeDocument/2006/relationships" ref="AE41" display="https://www.facebook.com/eliis.international" r:id="rId153"/>
    <hyperlink xmlns:r="http://schemas.openxmlformats.org/officeDocument/2006/relationships" ref="E42" display="https://edventures.ai/" r:id="rId154"/>
    <hyperlink xmlns:r="http://schemas.openxmlformats.org/officeDocument/2006/relationships" ref="R42" display="https://instagram.com/edventures.ai" r:id="rId155"/>
    <hyperlink xmlns:r="http://schemas.openxmlformats.org/officeDocument/2006/relationships" ref="T42" display="https://www.linkedin.com/company/edventuresai" r:id="rId156"/>
    <hyperlink xmlns:r="http://schemas.openxmlformats.org/officeDocument/2006/relationships" ref="Y42" display="https://drive.google.com/uc?export=view&amp;id=1gKJol1g_8zz-6kkrrAzBLnEaA3lkCJ3A" r:id="rId157"/>
    <hyperlink xmlns:r="http://schemas.openxmlformats.org/officeDocument/2006/relationships" ref="AE42" display="https://www.facebook.com/edventuresai" r:id="rId158"/>
    <hyperlink xmlns:r="http://schemas.openxmlformats.org/officeDocument/2006/relationships" ref="E43" display="http://www.setuniversity.edu.ua/" r:id="rId159"/>
    <hyperlink xmlns:r="http://schemas.openxmlformats.org/officeDocument/2006/relationships" ref="R43" display="http://instagram.com/setuniversity/" r:id="rId160"/>
    <hyperlink xmlns:r="http://schemas.openxmlformats.org/officeDocument/2006/relationships" ref="T43" display="https://www.linkedin.com/company/set-university/" r:id="rId161"/>
    <hyperlink xmlns:r="http://schemas.openxmlformats.org/officeDocument/2006/relationships" ref="Y43" display="https://drive.google.com/uc?export=view&amp;id=1JuuyuU2B-dRCEAHqjDddwDB9_iqZz8ck" r:id="rId162"/>
    <hyperlink xmlns:r="http://schemas.openxmlformats.org/officeDocument/2006/relationships" ref="AE43" display="https://www.facebook.com/setuniversity.tech" r:id="rId163"/>
    <hyperlink xmlns:r="http://schemas.openxmlformats.org/officeDocument/2006/relationships" ref="E44" display="https://seniorlingua.com/" r:id="rId164"/>
    <hyperlink xmlns:r="http://schemas.openxmlformats.org/officeDocument/2006/relationships" ref="R44" display="https://www.instagram.com/seniorlingua/" r:id="rId165"/>
    <hyperlink xmlns:r="http://schemas.openxmlformats.org/officeDocument/2006/relationships" ref="S44" display="https://x.com/@Senior_Lingua" r:id="rId166"/>
    <hyperlink xmlns:r="http://schemas.openxmlformats.org/officeDocument/2006/relationships" ref="T44" display="https://www.linkedin.com/company/senior-lingua/" r:id="rId167"/>
    <hyperlink xmlns:r="http://schemas.openxmlformats.org/officeDocument/2006/relationships" ref="Y44" display="https://drive.google.com/uc?export=view&amp;id=1dRgYQgvZRaYW53c6KHK6UECdwmMhTQ7d" r:id="rId168"/>
    <hyperlink xmlns:r="http://schemas.openxmlformats.org/officeDocument/2006/relationships" ref="AE44" display="https://www.facebook.com/Seniorlingua" r:id="rId169"/>
    <hyperlink xmlns:r="http://schemas.openxmlformats.org/officeDocument/2006/relationships" ref="E45" display="https://www.artcentrica.com/" r:id="rId170"/>
    <hyperlink xmlns:r="http://schemas.openxmlformats.org/officeDocument/2006/relationships" ref="R45" display="https://www.instagram.com/artcentrica/" r:id="rId171"/>
    <hyperlink xmlns:r="http://schemas.openxmlformats.org/officeDocument/2006/relationships" ref="T45" display="https://www.linkedin.com/company/artcentrica" r:id="rId172"/>
    <hyperlink xmlns:r="http://schemas.openxmlformats.org/officeDocument/2006/relationships" ref="Y45" display="https://drive.google.com/uc?export=view&amp;id=1YtvHoKbpSptFCweYTXU_tUzyyCYwAur0" r:id="rId173"/>
    <hyperlink xmlns:r="http://schemas.openxmlformats.org/officeDocument/2006/relationships" ref="AE45" display="https://www.facebook.com/ArtCentricaEDU" r:id="rId174"/>
    <hyperlink xmlns:r="http://schemas.openxmlformats.org/officeDocument/2006/relationships" ref="E46" display="http://www.eonesia.com/" r:id="rId175"/>
    <hyperlink xmlns:r="http://schemas.openxmlformats.org/officeDocument/2006/relationships" ref="T46" display="https://www.linkedin.com/company/eonesia/" r:id="rId176"/>
    <hyperlink xmlns:r="http://schemas.openxmlformats.org/officeDocument/2006/relationships" ref="Y46" display="https://drive.google.com/uc?export=view&amp;id=1w07dvcNtGybUXkh1WrMhbWnj6CIeptyJ" r:id="rId177"/>
    <hyperlink xmlns:r="http://schemas.openxmlformats.org/officeDocument/2006/relationships" ref="E47" display="http://www.brightgame.com/" r:id="rId178"/>
    <hyperlink xmlns:r="http://schemas.openxmlformats.org/officeDocument/2006/relationships" ref="Y47" display="https://drive.google.com/uc?export=view&amp;id=1z1-TgwQMGhrksvrZxWQo8vf91N92IOWf" r:id="rId179"/>
    <hyperlink xmlns:r="http://schemas.openxmlformats.org/officeDocument/2006/relationships" ref="E48" display="https://magma.app/" r:id="rId180"/>
    <hyperlink xmlns:r="http://schemas.openxmlformats.org/officeDocument/2006/relationships" ref="R48" display="https://www.instagram.com/insidemagma/" r:id="rId181"/>
    <hyperlink xmlns:r="http://schemas.openxmlformats.org/officeDocument/2006/relationships" ref="T48" display="https://www.linkedin.com/company/magmaapp/" r:id="rId182"/>
    <hyperlink xmlns:r="http://schemas.openxmlformats.org/officeDocument/2006/relationships" ref="Y48" display="https://drive.google.com/uc?export=view&amp;id=18YC9a1B3Qq2QWEZm4wDKCD_Vf5kdnS7H" r:id="rId183"/>
    <hyperlink xmlns:r="http://schemas.openxmlformats.org/officeDocument/2006/relationships" ref="E49" display="http://thesimulationcrew.com/" r:id="rId184"/>
    <hyperlink xmlns:r="http://schemas.openxmlformats.org/officeDocument/2006/relationships" ref="T49" display="https://www.linkedin.com/company/the-simulation-crew/" r:id="rId185"/>
    <hyperlink xmlns:r="http://schemas.openxmlformats.org/officeDocument/2006/relationships" ref="Y49" display="https://drive.google.com/uc?export=view&amp;id=1Yv5qHlxyR3HWPugMr-7X-15nvWNU50My" r:id="rId186"/>
    <hyperlink xmlns:r="http://schemas.openxmlformats.org/officeDocument/2006/relationships" ref="E50" display="http://www.mimbus.com/" r:id="rId187"/>
    <hyperlink xmlns:r="http://schemas.openxmlformats.org/officeDocument/2006/relationships" ref="Y50" display="https://drive.google.com/uc?export=view&amp;id=1I5zW4Dd8VyabeRw2_Fi5OJvvUdNMTQ41" r:id="rId188"/>
    <hyperlink xmlns:r="http://schemas.openxmlformats.org/officeDocument/2006/relationships" ref="E51" display="http://www.alteredu.it/" r:id="rId189"/>
    <hyperlink xmlns:r="http://schemas.openxmlformats.org/officeDocument/2006/relationships" ref="Y51" display="https://drive.google.com/uc?export=view&amp;id=15fECYvvE62nx_hSNDXX-eIQccg0DrTWp" r:id="rId190"/>
    <hyperlink xmlns:r="http://schemas.openxmlformats.org/officeDocument/2006/relationships" ref="E52" display="https://www.examiner.ch/" r:id="rId191"/>
    <hyperlink xmlns:r="http://schemas.openxmlformats.org/officeDocument/2006/relationships" ref="R52" display="https://www.instagram.com/examiner_official" r:id="rId192"/>
    <hyperlink xmlns:r="http://schemas.openxmlformats.org/officeDocument/2006/relationships" ref="T52" display="https://www.linkedin.com/showcase/examiner" r:id="rId193"/>
    <hyperlink xmlns:r="http://schemas.openxmlformats.org/officeDocument/2006/relationships" ref="Y52" display="https://drive.google.com/uc?export=view&amp;id=1Ykfu1dmT6MyuVeI3FBpoIlWIcPC6lNX7" r:id="rId194"/>
    <hyperlink xmlns:r="http://schemas.openxmlformats.org/officeDocument/2006/relationships" ref="E53" display="https://www.mindonsite.com/en/" r:id="rId195"/>
    <hyperlink xmlns:r="http://schemas.openxmlformats.org/officeDocument/2006/relationships" ref="T53" display="https://www.linkedin.com/company/mos-mindonsite/" r:id="rId196"/>
    <hyperlink xmlns:r="http://schemas.openxmlformats.org/officeDocument/2006/relationships" ref="Y53" display="https://drive.google.com/uc?export=view&amp;id=1LPr2HuEyJD1OeaIMx7b7yQXHRn0L3SLu" r:id="rId197"/>
    <hyperlink xmlns:r="http://schemas.openxmlformats.org/officeDocument/2006/relationships" ref="E54" display="http://www.axcultures.com/" r:id="rId198"/>
    <hyperlink xmlns:r="http://schemas.openxmlformats.org/officeDocument/2006/relationships" ref="R54" display="http://www.instagram.com/ealteaching/" r:id="rId199"/>
    <hyperlink xmlns:r="http://schemas.openxmlformats.org/officeDocument/2006/relationships" ref="S54" display="http://x.com/eal_teaching" r:id="rId200"/>
    <hyperlink xmlns:r="http://schemas.openxmlformats.org/officeDocument/2006/relationships" ref="T54" display="http://www.linkedin.com/company/axcultures/" r:id="rId201"/>
    <hyperlink xmlns:r="http://schemas.openxmlformats.org/officeDocument/2006/relationships" ref="Y54" display="https://drive.google.com/uc?export=view&amp;id=16UWZgMj-_8hJyBhu5eH6ohDC5EhgiOxb" r:id="rId202"/>
    <hyperlink xmlns:r="http://schemas.openxmlformats.org/officeDocument/2006/relationships" ref="AE54" display="http://www.facebook.com/ealteaching" r:id="rId203"/>
    <hyperlink xmlns:r="http://schemas.openxmlformats.org/officeDocument/2006/relationships" ref="E55" display="http://3cl.org/" r:id="rId204"/>
    <hyperlink xmlns:r="http://schemas.openxmlformats.org/officeDocument/2006/relationships" ref="S55" display="https://x.com/3CLMT" r:id="rId205"/>
    <hyperlink xmlns:r="http://schemas.openxmlformats.org/officeDocument/2006/relationships" ref="T55" display="https://www.3cl.org/" r:id="rId206"/>
    <hyperlink xmlns:r="http://schemas.openxmlformats.org/officeDocument/2006/relationships" ref="Y55" display="https://drive.google.com/uc?export=view&amp;id=1k6p0pkuni8njarBYF9HrfSx9ZtUuAUg4" r:id="rId207"/>
    <hyperlink xmlns:r="http://schemas.openxmlformats.org/officeDocument/2006/relationships" ref="E56" display="http://www.edsyl.ai/" r:id="rId208"/>
    <hyperlink xmlns:r="http://schemas.openxmlformats.org/officeDocument/2006/relationships" ref="R56" display="https://www.instagram.com/edsyl.ai" r:id="rId209"/>
    <hyperlink xmlns:r="http://schemas.openxmlformats.org/officeDocument/2006/relationships" ref="S56" display="https://x.com/edsylai" r:id="rId210"/>
    <hyperlink xmlns:r="http://schemas.openxmlformats.org/officeDocument/2006/relationships" ref="T56" display="https://www.linkedin.com/company/edsyl-ai" r:id="rId211"/>
    <hyperlink xmlns:r="http://schemas.openxmlformats.org/officeDocument/2006/relationships" ref="Y56" display="https://drive.google.com/uc?export=view&amp;id=1qF_yEYkDjPr2Bu2Yde5-5CXht29RHw8Y" r:id="rId212"/>
    <hyperlink xmlns:r="http://schemas.openxmlformats.org/officeDocument/2006/relationships" ref="AE56" display="https://www.facebook.com/edsyl.edu" r:id="rId213"/>
    <hyperlink xmlns:r="http://schemas.openxmlformats.org/officeDocument/2006/relationships" ref="E57" display="https://www.warchild.net/intervention-cwtl/" r:id="rId214"/>
    <hyperlink xmlns:r="http://schemas.openxmlformats.org/officeDocument/2006/relationships" ref="T57" display="https://www.linkedin.com/showcase/cant-wait-to-learn/posts/?feedView=all" r:id="rId215"/>
    <hyperlink xmlns:r="http://schemas.openxmlformats.org/officeDocument/2006/relationships" ref="Y57" display="https://drive.google.com/uc?export=view&amp;id=1Zuz8_AQqUm3EzLHRvXLy_POYn2qMNIX_" r:id="rId216"/>
    <hyperlink xmlns:r="http://schemas.openxmlformats.org/officeDocument/2006/relationships" ref="E58" display="https://www.ludo-vic.com/" r:id="rId217"/>
    <hyperlink xmlns:r="http://schemas.openxmlformats.org/officeDocument/2006/relationships" ref="T58" display="https://www.linkedin.com/company/ludo-vic/?originalSubdomain=fr" r:id="rId218"/>
    <hyperlink xmlns:r="http://schemas.openxmlformats.org/officeDocument/2006/relationships" ref="Y58" display="https://drive.google.com/uc?export=view&amp;id=1_ngIySarFNZUMAFisHM1K-t8CRMoipoZ" r:id="rId219"/>
    <hyperlink xmlns:r="http://schemas.openxmlformats.org/officeDocument/2006/relationships" ref="E59" display="https://pharmuni.com/" r:id="rId220"/>
    <hyperlink xmlns:r="http://schemas.openxmlformats.org/officeDocument/2006/relationships" ref="T59" display="https://www.linkedin.com/company/pharmuni" r:id="rId221"/>
    <hyperlink xmlns:r="http://schemas.openxmlformats.org/officeDocument/2006/relationships" ref="Y59" display="https://drive.google.com/uc?export=view&amp;id=1uM2CN7jn-3tF2ACwOCabO91vRCL00SAk" r:id="rId222"/>
    <hyperlink xmlns:r="http://schemas.openxmlformats.org/officeDocument/2006/relationships" ref="E60" display="https://www.impactconnecting.education/" r:id="rId223"/>
    <hyperlink xmlns:r="http://schemas.openxmlformats.org/officeDocument/2006/relationships" ref="T60" display="https://www.linkedin.com/company/impactconnecting" r:id="rId224"/>
    <hyperlink xmlns:r="http://schemas.openxmlformats.org/officeDocument/2006/relationships" ref="Y60" display="https://drive.google.com/uc?export=view&amp;id=1cSoLFQaqSsOMFv0HgUmEblCgK16_CKHG" r:id="rId225"/>
    <hyperlink xmlns:r="http://schemas.openxmlformats.org/officeDocument/2006/relationships" ref="E61" display="http://www.selfstartglobal.com/" r:id="rId226"/>
    <hyperlink xmlns:r="http://schemas.openxmlformats.org/officeDocument/2006/relationships" ref="R61" display="https://www.instagram.com/selfstartglobal/?hl=en" r:id="rId227"/>
    <hyperlink xmlns:r="http://schemas.openxmlformats.org/officeDocument/2006/relationships" ref="T61" display="https://www.linkedin.com/company/selfstartglobal/" r:id="rId228"/>
    <hyperlink xmlns:r="http://schemas.openxmlformats.org/officeDocument/2006/relationships" ref="Y61" display="https://drive.google.com/uc?export=view&amp;id=1dmCHGfpHUkV3WCkWGPKk15INYid5QViz" r:id="rId229"/>
    <hyperlink xmlns:r="http://schemas.openxmlformats.org/officeDocument/2006/relationships" ref="E62" display="http://www.mysynergy.eu/" r:id="rId230"/>
    <hyperlink xmlns:r="http://schemas.openxmlformats.org/officeDocument/2006/relationships" ref="T62" display="https://www.linkedin.com/company/my-synergy/" r:id="rId231"/>
    <hyperlink xmlns:r="http://schemas.openxmlformats.org/officeDocument/2006/relationships" ref="Y62" display="https://drive.google.com/uc?export=view&amp;id=1IQ5N3_AAmRpf9ZLvwwh9pZrYXiIyDm9b" r:id="rId232"/>
    <hyperlink xmlns:r="http://schemas.openxmlformats.org/officeDocument/2006/relationships" ref="AE62" display="https://www.facebook.com/mysynergybg" r:id="rId233"/>
    <hyperlink xmlns:r="http://schemas.openxmlformats.org/officeDocument/2006/relationships" ref="E63" display="https://short-edition.com/en/" r:id="rId234"/>
    <hyperlink xmlns:r="http://schemas.openxmlformats.org/officeDocument/2006/relationships" ref="T63" display="https://www.linkedin.com/company/shortedition/" r:id="rId235"/>
    <hyperlink xmlns:r="http://schemas.openxmlformats.org/officeDocument/2006/relationships" ref="Y63" display="https://drive.google.com/uc?export=view&amp;id=1jwlI1Lx0JqqiTuHmcMtZ3_HG89g08B6M" r:id="rId236"/>
    <hyperlink xmlns:r="http://schemas.openxmlformats.org/officeDocument/2006/relationships" ref="E64" display="http://infomentor.se/" r:id="rId237"/>
    <hyperlink xmlns:r="http://schemas.openxmlformats.org/officeDocument/2006/relationships" ref="Y64" display="https://drive.google.com/uc?export=view&amp;id=1RlMZE-ri4cPI48lkNTdojz5E82sVcQjE" r:id="rId238"/>
    <hyperlink xmlns:r="http://schemas.openxmlformats.org/officeDocument/2006/relationships" ref="E65" display="https://www.indicia.sk/english" r:id="rId239"/>
    <hyperlink xmlns:r="http://schemas.openxmlformats.org/officeDocument/2006/relationships" ref="R65" display="https://www.instagram.com/indicia.sk/" r:id="rId240"/>
    <hyperlink xmlns:r="http://schemas.openxmlformats.org/officeDocument/2006/relationships" ref="T65" display="https://www.linkedin.com/company/ind%C3%ADcia/" r:id="rId241"/>
    <hyperlink xmlns:r="http://schemas.openxmlformats.org/officeDocument/2006/relationships" ref="Y65" display="https://drive.google.com/uc?export=view&amp;id=1O5HAo1AWzGFpEdXmpaW7-baLeCciN6kk" r:id="rId242"/>
    <hyperlink xmlns:r="http://schemas.openxmlformats.org/officeDocument/2006/relationships" ref="AE65" display="https://www.facebook.com/indicia.sk/" r:id="rId243"/>
    <hyperlink xmlns:r="http://schemas.openxmlformats.org/officeDocument/2006/relationships" ref="E66" display="http://www.emraude.com/" r:id="rId244"/>
    <hyperlink xmlns:r="http://schemas.openxmlformats.org/officeDocument/2006/relationships" ref="T66" display="https://fr.linkedin.com/company/emraudeagency" r:id="rId245"/>
    <hyperlink xmlns:r="http://schemas.openxmlformats.org/officeDocument/2006/relationships" ref="Y66" display="https://drive.google.com/uc?export=view&amp;id=13ofQrWW3m0jZuNl40tybQmeDvTkOmcF-" r:id="rId246"/>
    <hyperlink xmlns:r="http://schemas.openxmlformats.org/officeDocument/2006/relationships" ref="E67" display="http://www.deepskill.com/" r:id="rId247"/>
    <hyperlink xmlns:r="http://schemas.openxmlformats.org/officeDocument/2006/relationships" ref="T67" display="http://linkedin.com/company/deepskillpeopledevelopment" r:id="rId248"/>
    <hyperlink xmlns:r="http://schemas.openxmlformats.org/officeDocument/2006/relationships" ref="Y67" display="https://drive.google.com/uc?export=view&amp;id=1bYYmlYF0LwB8sIaW3SZrYP7M6YsTG1bB" r:id="rId249"/>
    <hyperlink xmlns:r="http://schemas.openxmlformats.org/officeDocument/2006/relationships" ref="E68" display="https://dibl.eu/" r:id="rId250"/>
    <hyperlink xmlns:r="http://schemas.openxmlformats.org/officeDocument/2006/relationships" ref="T68" display="https://www.linkedin.com/company/dibl" r:id="rId251"/>
    <hyperlink xmlns:r="http://schemas.openxmlformats.org/officeDocument/2006/relationships" ref="Y68" display="https://drive.google.com/uc?export=view&amp;id=1Kg3IE5kyajgJV6CCM9QjyCOtscIasdlh" r:id="rId252"/>
    <hyperlink xmlns:r="http://schemas.openxmlformats.org/officeDocument/2006/relationships" ref="E69" display="https://www.mama.codes/" r:id="rId253"/>
    <hyperlink xmlns:r="http://schemas.openxmlformats.org/officeDocument/2006/relationships" ref="Y69" display="https://drive.google.com/uc?export=view&amp;id=1BlDrMluB82zk2zT09rXfTvM1kmdUaBuE" r:id="rId254"/>
    <hyperlink xmlns:r="http://schemas.openxmlformats.org/officeDocument/2006/relationships" ref="E70" display="https://www.readlax.com/" r:id="rId255"/>
    <hyperlink xmlns:r="http://schemas.openxmlformats.org/officeDocument/2006/relationships" ref="R70" display="https://www.instagram.com/readlax/" r:id="rId256"/>
    <hyperlink xmlns:r="http://schemas.openxmlformats.org/officeDocument/2006/relationships" ref="S70" display="https://x.com/Readlax_Reading" r:id="rId257"/>
    <hyperlink xmlns:r="http://schemas.openxmlformats.org/officeDocument/2006/relationships" ref="T70" display="https://www.linkedin.com/company/readlax/" r:id="rId258"/>
    <hyperlink xmlns:r="http://schemas.openxmlformats.org/officeDocument/2006/relationships" ref="Y70" display="https://drive.google.com/uc?export=view&amp;id=1jmPiJ4_I0qMU0PTRySRqYrSires3Mt7x" r:id="rId259"/>
    <hyperlink xmlns:r="http://schemas.openxmlformats.org/officeDocument/2006/relationships" ref="AE70" display="https://www.facebook.com/ReadlaxBrainFitness" r:id="rId260"/>
    <hyperlink xmlns:r="http://schemas.openxmlformats.org/officeDocument/2006/relationships" ref="E71" display="http://www.codingpark.io/en" r:id="rId261"/>
    <hyperlink xmlns:r="http://schemas.openxmlformats.org/officeDocument/2006/relationships" ref="R71" display="https://www.instagram.com/coding.park/" r:id="rId262"/>
    <hyperlink xmlns:r="http://schemas.openxmlformats.org/officeDocument/2006/relationships" ref="S71" display="https://x.com/codingpark" r:id="rId263"/>
    <hyperlink xmlns:r="http://schemas.openxmlformats.org/officeDocument/2006/relationships" ref="T71" display="https://www.linkedin.com/company/codingpark" r:id="rId264"/>
    <hyperlink xmlns:r="http://schemas.openxmlformats.org/officeDocument/2006/relationships" ref="Y71" display="https://drive.google.com/uc?export=view&amp;id=1sduAWNqCWBa8mIxWzgE76I0WZD-WMwmh" r:id="rId265"/>
    <hyperlink xmlns:r="http://schemas.openxmlformats.org/officeDocument/2006/relationships" ref="AE71" display="https://www.facebook.com/codingpark" r:id="rId266"/>
    <hyperlink xmlns:r="http://schemas.openxmlformats.org/officeDocument/2006/relationships" ref="E72" display="http://www.campustore.it/" r:id="rId267"/>
    <hyperlink xmlns:r="http://schemas.openxmlformats.org/officeDocument/2006/relationships" ref="R72" display="https://www.instagram.com/campustore.it/" r:id="rId268"/>
    <hyperlink xmlns:r="http://schemas.openxmlformats.org/officeDocument/2006/relationships" ref="Y72" display="https://drive.google.com/uc?export=view&amp;id=1MqDQw_vI1Gpg7WGZyUfK0z7c2wze2CN0" r:id="rId269"/>
    <hyperlink xmlns:r="http://schemas.openxmlformats.org/officeDocument/2006/relationships" ref="AE72" display="https://www.facebook.com/CampuStoreIT" r:id="rId270"/>
    <hyperlink xmlns:r="http://schemas.openxmlformats.org/officeDocument/2006/relationships" ref="E73" display="http://www.doctoratehub.com/" r:id="rId271"/>
    <hyperlink xmlns:r="http://schemas.openxmlformats.org/officeDocument/2006/relationships" ref="T73" display="https://www.linkedin.com/company/doctoratehub/" r:id="rId272"/>
    <hyperlink xmlns:r="http://schemas.openxmlformats.org/officeDocument/2006/relationships" ref="Y73" display="https://drive.google.com/uc?export=view&amp;id=1q8iROPw_nnHJLJH4hVnwjnnqrhbj-f3g" r:id="rId273"/>
    <hyperlink xmlns:r="http://schemas.openxmlformats.org/officeDocument/2006/relationships" ref="E74" display="https://www.beyond-words-vr.com/" r:id="rId274"/>
    <hyperlink xmlns:r="http://schemas.openxmlformats.org/officeDocument/2006/relationships" ref="T74" display="https://www.linkedin.com/company/103495283" r:id="rId275"/>
    <hyperlink xmlns:r="http://schemas.openxmlformats.org/officeDocument/2006/relationships" ref="Y74" display="https://drive.google.com/uc?export=view&amp;id=1Ub6xdMbyHW9gJ3cK5QHGSGkGeGeTBpoC" r:id="rId276"/>
    <hyperlink xmlns:r="http://schemas.openxmlformats.org/officeDocument/2006/relationships" ref="E75" display="http://www.digitallearningassociates.com/" r:id="rId277"/>
    <hyperlink xmlns:r="http://schemas.openxmlformats.org/officeDocument/2006/relationships" ref="T75" display="https://www.linkedin.com/company/11021563/admin/dashboard/" r:id="rId278"/>
    <hyperlink xmlns:r="http://schemas.openxmlformats.org/officeDocument/2006/relationships" ref="Y75" display="https://drive.google.com/uc?export=view&amp;id=1AiJq0FT_096KxQJAfi_UZf8_7dq-J-be" r:id="rId279"/>
    <hyperlink xmlns:r="http://schemas.openxmlformats.org/officeDocument/2006/relationships" ref="E76" display="http://www.diotima.ai/" r:id="rId280"/>
    <hyperlink xmlns:r="http://schemas.openxmlformats.org/officeDocument/2006/relationships" ref="Y76" display="https://drive.google.com/uc?export=view&amp;id=1ft0POUMKUhH4sqf9z8ZyCpWGKGP4yyJ6" r:id="rId281"/>
    <hyperlink xmlns:r="http://schemas.openxmlformats.org/officeDocument/2006/relationships" ref="E77" display="https://www.qubo.nl/" r:id="rId282"/>
    <hyperlink xmlns:r="http://schemas.openxmlformats.org/officeDocument/2006/relationships" ref="R77" display="https://www.instagram.com/quboonderwijs" r:id="rId283"/>
    <hyperlink xmlns:r="http://schemas.openxmlformats.org/officeDocument/2006/relationships" ref="T77" display="https://www.linkedin.com/company/qubo-onderwijs/" r:id="rId284"/>
    <hyperlink xmlns:r="http://schemas.openxmlformats.org/officeDocument/2006/relationships" ref="Y77" display="https://drive.google.com/uc?export=view&amp;id=1Z22JIHvsIA0qqqajx_pdnzjuRIQNGVg_" r:id="rId285"/>
    <hyperlink xmlns:r="http://schemas.openxmlformats.org/officeDocument/2006/relationships" ref="AE77" display="https://www.facebook.com/QuboOnderwijs" r:id="rId286"/>
    <hyperlink xmlns:r="http://schemas.openxmlformats.org/officeDocument/2006/relationships" ref="E78" display="http://www.spotiself.com/" r:id="rId287"/>
    <hyperlink xmlns:r="http://schemas.openxmlformats.org/officeDocument/2006/relationships" ref="R78" display="https://www.instagram.com/spotiself/" r:id="rId288"/>
    <hyperlink xmlns:r="http://schemas.openxmlformats.org/officeDocument/2006/relationships" ref="T78" display="https://www.linkedin.com/company/79924424/" r:id="rId289"/>
    <hyperlink xmlns:r="http://schemas.openxmlformats.org/officeDocument/2006/relationships" ref="Y78" display="https://drive.google.com/uc?export=view&amp;id=10RZ3zFxPVmkNygXenjAwUpvKAg02j8O7" r:id="rId290"/>
    <hyperlink xmlns:r="http://schemas.openxmlformats.org/officeDocument/2006/relationships" ref="AE78" display="https://www.facebook.com/spotiself" r:id="rId291"/>
    <hyperlink xmlns:r="http://schemas.openxmlformats.org/officeDocument/2006/relationships" ref="E79" display="http://www.knoocker.com/" r:id="rId292"/>
    <hyperlink xmlns:r="http://schemas.openxmlformats.org/officeDocument/2006/relationships" ref="T79" display="https://www.linkedin.com/company/knoocker" r:id="rId293"/>
    <hyperlink xmlns:r="http://schemas.openxmlformats.org/officeDocument/2006/relationships" ref="Y79" display="https://drive.google.com/uc?export=view&amp;id=15Q5QCJ4oJByURFhTtJAcyc5VwbhaqVeR" r:id="rId294"/>
    <hyperlink xmlns:r="http://schemas.openxmlformats.org/officeDocument/2006/relationships" ref="E80" display="http://thexpa.com/" r:id="rId295"/>
    <hyperlink xmlns:r="http://schemas.openxmlformats.org/officeDocument/2006/relationships" ref="R80" display="https://www.instagram.com/experientialacademyltd/" r:id="rId296"/>
    <hyperlink xmlns:r="http://schemas.openxmlformats.org/officeDocument/2006/relationships" ref="T80" display="https://www.linkedin.com/company/experiential-academy/" r:id="rId297"/>
    <hyperlink xmlns:r="http://schemas.openxmlformats.org/officeDocument/2006/relationships" ref="Y80" display="https://drive.google.com/uc?export=view&amp;id=1CErKlSEjgjpiyA-cqrQBx3lte6O0gqsx" r:id="rId298"/>
    <hyperlink xmlns:r="http://schemas.openxmlformats.org/officeDocument/2006/relationships" ref="E81" display="http://www.clairelabs.ai/" r:id="rId299"/>
    <hyperlink xmlns:r="http://schemas.openxmlformats.org/officeDocument/2006/relationships" ref="Y81" display="https://drive.google.com/uc?export=view&amp;id=1YejLRnX3y_vRlzHoeMfz3GFYrx9nCCxC" r:id="rId300"/>
    <hyperlink xmlns:r="http://schemas.openxmlformats.org/officeDocument/2006/relationships" ref="E82" display="https://lanura.ai/" r:id="rId301"/>
    <hyperlink xmlns:r="http://schemas.openxmlformats.org/officeDocument/2006/relationships" ref="T82" display="https://www.linkedin.com/company/lanura" r:id="rId302"/>
    <hyperlink xmlns:r="http://schemas.openxmlformats.org/officeDocument/2006/relationships" ref="Y82" display="https://drive.google.com/uc?export=view&amp;id=19CqXhx5xMEGc6IqgdTY1V4QN9bhwvloS" r:id="rId303"/>
    <hyperlink xmlns:r="http://schemas.openxmlformats.org/officeDocument/2006/relationships" ref="E83" display="http://www.edf.global/" r:id="rId304"/>
    <hyperlink xmlns:r="http://schemas.openxmlformats.org/officeDocument/2006/relationships" ref="T83" display="https://www.linkedin.com/company/entornosdeformacion" r:id="rId305"/>
    <hyperlink xmlns:r="http://schemas.openxmlformats.org/officeDocument/2006/relationships" ref="Y83" display="https://drive.google.com/uc?export=view&amp;id=1_5FFc0p4GboJDTMh4c41dGsyiuOo62cq" r:id="rId306"/>
    <hyperlink xmlns:r="http://schemas.openxmlformats.org/officeDocument/2006/relationships" ref="D84" display="http://slide-speed.com/" r:id="rId307"/>
    <hyperlink xmlns:r="http://schemas.openxmlformats.org/officeDocument/2006/relationships" ref="E84" display="https://slide-speed.com/" r:id="rId308"/>
    <hyperlink xmlns:r="http://schemas.openxmlformats.org/officeDocument/2006/relationships" ref="T84" display="https://www.linkedin.com/company/101921502/" r:id="rId309"/>
    <hyperlink xmlns:r="http://schemas.openxmlformats.org/officeDocument/2006/relationships" ref="U84" display="http://slide-speed.com/" r:id="rId310"/>
    <hyperlink xmlns:r="http://schemas.openxmlformats.org/officeDocument/2006/relationships" ref="Y84" display="https://drive.google.com/uc?export=view&amp;id=1-r-GPRf1nbw6dA7J-2VbYoUrQlIt2SDO" r:id="rId311"/>
    <hyperlink xmlns:r="http://schemas.openxmlformats.org/officeDocument/2006/relationships" ref="E85" display="https://bloom.study/" r:id="rId312"/>
    <hyperlink xmlns:r="http://schemas.openxmlformats.org/officeDocument/2006/relationships" ref="S85" display="http://x.com/BloomAITutor" r:id="rId313"/>
    <hyperlink xmlns:r="http://schemas.openxmlformats.org/officeDocument/2006/relationships" ref="T85" display="https://www.linkedin.com/company/aibloom" r:id="rId314"/>
    <hyperlink xmlns:r="http://schemas.openxmlformats.org/officeDocument/2006/relationships" ref="Y85" display="https://drive.google.com/uc?export=view&amp;id=1VUyCiwF_39xVJ1SlgUV2qUcvXLdtAPob" r:id="rId315"/>
    <hyperlink xmlns:r="http://schemas.openxmlformats.org/officeDocument/2006/relationships" ref="D86" display="http://motionstorybooks.com/" r:id="rId316"/>
    <hyperlink xmlns:r="http://schemas.openxmlformats.org/officeDocument/2006/relationships" ref="E86" display="http://www.motionstorybooks.com/" r:id="rId317"/>
    <hyperlink xmlns:r="http://schemas.openxmlformats.org/officeDocument/2006/relationships" ref="Y86" display="https://drive.google.com/uc?export=view&amp;id=1HNWtPP2x65WIpINASPC7_BeE9gnUVgcE" r:id="rId318"/>
    <hyperlink xmlns:r="http://schemas.openxmlformats.org/officeDocument/2006/relationships" ref="E87" display="https://www.medexlab.co/explorerrazgar.html" r:id="rId319"/>
    <hyperlink xmlns:r="http://schemas.openxmlformats.org/officeDocument/2006/relationships" ref="T87" display="https://www.linkedin.com/company/medex-lab/" r:id="rId320"/>
    <hyperlink xmlns:r="http://schemas.openxmlformats.org/officeDocument/2006/relationships" ref="Y87" display="https://drive.google.com/uc?export=view&amp;id=12HhjDKydLTy0-YGW27FQn84tcSvv3_iU" r:id="rId321"/>
    <hyperlink xmlns:r="http://schemas.openxmlformats.org/officeDocument/2006/relationships" ref="E88" display="http://www.lessonapp.fi/" r:id="rId322"/>
    <hyperlink xmlns:r="http://schemas.openxmlformats.org/officeDocument/2006/relationships" ref="R88" display="https://www.instagram.com/lesson_app/" r:id="rId323"/>
    <hyperlink xmlns:r="http://schemas.openxmlformats.org/officeDocument/2006/relationships" ref="T88" display="https://www.linkedin.com/company/lessonapp-oy/" r:id="rId324"/>
    <hyperlink xmlns:r="http://schemas.openxmlformats.org/officeDocument/2006/relationships" ref="Y88" display="https://drive.google.com/uc?export=view&amp;id=16E9joFzZbQCv95wOg9gg647_FA8gwJax" r:id="rId325"/>
    <hyperlink xmlns:r="http://schemas.openxmlformats.org/officeDocument/2006/relationships" ref="E89" display="http://www.levelupacademy.nl/" r:id="rId326"/>
    <hyperlink xmlns:r="http://schemas.openxmlformats.org/officeDocument/2006/relationships" ref="R89" display="https://www.instagram.com/levelupacademynl/" r:id="rId327"/>
    <hyperlink xmlns:r="http://schemas.openxmlformats.org/officeDocument/2006/relationships" ref="T89" display="https://www.linkedin.com/company/level-up-academy-language-school/" r:id="rId328"/>
    <hyperlink xmlns:r="http://schemas.openxmlformats.org/officeDocument/2006/relationships" ref="Y89" display="https://drive.google.com/uc?export=view&amp;id=1kr98jna08RnRMWiTK7FeaFbbn4ZbF3zp" r:id="rId329"/>
    <hyperlink xmlns:r="http://schemas.openxmlformats.org/officeDocument/2006/relationships" ref="E90" display="https://www.atermon.nl/" r:id="rId330"/>
    <hyperlink xmlns:r="http://schemas.openxmlformats.org/officeDocument/2006/relationships" ref="T90" display="https://www.linkedin.com/company/atermon-rotterdam" r:id="rId331"/>
    <hyperlink xmlns:r="http://schemas.openxmlformats.org/officeDocument/2006/relationships" ref="Y90" display="https://drive.google.com/uc?export=view&amp;id=1LvFjqm729253h5uH_CEIoD_nZh9I_U66" r:id="rId332"/>
    <hyperlink xmlns:r="http://schemas.openxmlformats.org/officeDocument/2006/relationships" ref="AE90" display="https://www.instagram.com/atermonnl?igsh=Y2JleXpxcmNrYWN5" r:id="rId333"/>
    <hyperlink xmlns:r="http://schemas.openxmlformats.org/officeDocument/2006/relationships" ref="E91" display="https://datasweep.app/" r:id="rId334"/>
    <hyperlink xmlns:r="http://schemas.openxmlformats.org/officeDocument/2006/relationships" ref="R91" display="https://www.instagram.com/datasweep.app/" r:id="rId335"/>
    <hyperlink xmlns:r="http://schemas.openxmlformats.org/officeDocument/2006/relationships" ref="T91" display="https://www.linkedin.com/company/data-sweep/" r:id="rId336"/>
    <hyperlink xmlns:r="http://schemas.openxmlformats.org/officeDocument/2006/relationships" ref="Y91" display="https://drive.google.com/uc?export=view&amp;id=1BAr6DR9Ungz7HdK6w-J6xDDjWSVoxTlI" r:id="rId337"/>
    <hyperlink xmlns:r="http://schemas.openxmlformats.org/officeDocument/2006/relationships" ref="AE91" display="https://www.facebook.com/profile.php?id=61558460196916" r:id="rId338"/>
    <hyperlink xmlns:r="http://schemas.openxmlformats.org/officeDocument/2006/relationships" ref="E92" display="http://www.qureca.com/" r:id="rId339"/>
    <hyperlink xmlns:r="http://schemas.openxmlformats.org/officeDocument/2006/relationships" ref="T92" display="https://www.linkedin.com/company/qureca/" r:id="rId340"/>
    <hyperlink xmlns:r="http://schemas.openxmlformats.org/officeDocument/2006/relationships" ref="Y92" display="https://drive.google.com/uc?export=view&amp;id=1lFcWRjooXNT56pmDxkhqE41BlbNbPoML" r:id="rId341"/>
    <hyperlink xmlns:r="http://schemas.openxmlformats.org/officeDocument/2006/relationships" ref="E93" display="http://signlab.co/" r:id="rId342"/>
    <hyperlink xmlns:r="http://schemas.openxmlformats.org/officeDocument/2006/relationships" ref="Y93" display="https://drive.google.com/uc?export=view&amp;id=1saUjsf9BF5NlKnKdaZChRoEMtsDZOYDD" r:id="rId343"/>
    <hyperlink xmlns:r="http://schemas.openxmlformats.org/officeDocument/2006/relationships" ref="R94" display="https://www.instagram.com/miranda.works/" r:id="rId344"/>
    <hyperlink xmlns:r="http://schemas.openxmlformats.org/officeDocument/2006/relationships" ref="T94" display="https://www.linkedin.com/company/miranda-42/" r:id="rId345"/>
    <hyperlink xmlns:r="http://schemas.openxmlformats.org/officeDocument/2006/relationships" ref="Y94" display="https://drive.google.com/uc?export=view&amp;id=1irRSo7kC1lBOb-U5tQyrK-pSeR9Zq1EV" r:id="rId346"/>
    <hyperlink xmlns:r="http://schemas.openxmlformats.org/officeDocument/2006/relationships" ref="AE94" display="https://www.facebook.com/profile.php?id=100077751545307" r:id="rId347"/>
    <hyperlink xmlns:r="http://schemas.openxmlformats.org/officeDocument/2006/relationships" ref="E95" display="http://www.digied.si/" r:id="rId348"/>
    <hyperlink xmlns:r="http://schemas.openxmlformats.org/officeDocument/2006/relationships" ref="T95" display="https://www.linkedin.com/company/digied-keep-learning/" r:id="rId349"/>
    <hyperlink xmlns:r="http://schemas.openxmlformats.org/officeDocument/2006/relationships" ref="Y95" display="https://drive.google.com/uc?export=view&amp;id=1zVKysMN-1eSsw_H-0iWumVhljG7W6UeZ" r:id="rId350"/>
    <hyperlink xmlns:r="http://schemas.openxmlformats.org/officeDocument/2006/relationships" ref="E96" display="https://inventorio.de/" r:id="rId351"/>
    <hyperlink xmlns:r="http://schemas.openxmlformats.org/officeDocument/2006/relationships" ref="R96" display="https://www.instagram.com/inventorio_edu/" r:id="rId352"/>
    <hyperlink xmlns:r="http://schemas.openxmlformats.org/officeDocument/2006/relationships" ref="T96" display="https://www.linkedin.com/company/inventorio/" r:id="rId353"/>
    <hyperlink xmlns:r="http://schemas.openxmlformats.org/officeDocument/2006/relationships" ref="Y96" display="https://drive.google.com/uc?export=view&amp;id=1s11TI5XrrZGgGXsOi_hrmRMiXUn4azmF" r:id="rId354"/>
    <hyperlink xmlns:r="http://schemas.openxmlformats.org/officeDocument/2006/relationships" ref="E97" display="https://www.magicedtech.com/" r:id="rId355"/>
    <hyperlink xmlns:r="http://schemas.openxmlformats.org/officeDocument/2006/relationships" ref="R97" display="https://www.instagram.com/magic_edtech/" r:id="rId356"/>
    <hyperlink xmlns:r="http://schemas.openxmlformats.org/officeDocument/2006/relationships" ref="T97" display="https://www.linkedin.com/company/magic-edtech/posts/?feedView=all" r:id="rId357"/>
    <hyperlink xmlns:r="http://schemas.openxmlformats.org/officeDocument/2006/relationships" ref="Y97" display="https://drive.google.com/uc?export=view&amp;id=1sW632izew8MXPUp6d4LHYe4SU99fm8fY" r:id="rId358"/>
    <hyperlink xmlns:r="http://schemas.openxmlformats.org/officeDocument/2006/relationships" ref="E98" display="http://www.learningglass.eu/" r:id="rId359"/>
    <hyperlink xmlns:r="http://schemas.openxmlformats.org/officeDocument/2006/relationships" ref="T98" display="https://www.linkedin.com/company/learning-glass-europe/" r:id="rId360"/>
    <hyperlink xmlns:r="http://schemas.openxmlformats.org/officeDocument/2006/relationships" ref="Y98" display="https://drive.google.com/uc?export=view&amp;id=1EqHAkGuHBwTl0erMDeO6TQMYBfmUjTV5" r:id="rId361"/>
    <hyperlink xmlns:r="http://schemas.openxmlformats.org/officeDocument/2006/relationships" ref="E99" display="https://www.habitatlearn.com/" r:id="rId362"/>
    <hyperlink xmlns:r="http://schemas.openxmlformats.org/officeDocument/2006/relationships" ref="T99" display="https://www.linkedin.com/in/habitatlearn/" r:id="rId363"/>
    <hyperlink xmlns:r="http://schemas.openxmlformats.org/officeDocument/2006/relationships" ref="Y99" display="https://drive.google.com/uc?export=view&amp;id=110FklqyoCXTSEZO2C_sdzWgMFhrzzAUo" r:id="rId364"/>
    <hyperlink xmlns:r="http://schemas.openxmlformats.org/officeDocument/2006/relationships" ref="E100" display="https://www.ubimaster.com/de/" r:id="rId365"/>
    <hyperlink xmlns:r="http://schemas.openxmlformats.org/officeDocument/2006/relationships" ref="T100" display="https://www.linkedin.com/company/30168127/" r:id="rId366"/>
    <hyperlink xmlns:r="http://schemas.openxmlformats.org/officeDocument/2006/relationships" ref="Y100" display="https://drive.google.com/uc?export=view&amp;id=1gEigOctT9xnQYJQKPPH1RKLtIPciV-Jx" r:id="rId367"/>
    <hyperlink xmlns:r="http://schemas.openxmlformats.org/officeDocument/2006/relationships" ref="AE100" display="https://www.facebook.com/ubiMasterNachhilfe/" r:id="rId368"/>
    <hyperlink xmlns:r="http://schemas.openxmlformats.org/officeDocument/2006/relationships" ref="E101" display="http://www.lektor.nl/" r:id="rId369"/>
    <hyperlink xmlns:r="http://schemas.openxmlformats.org/officeDocument/2006/relationships" ref="R101" display="https://www.instagram.com/lektor.nl/" r:id="rId370"/>
    <hyperlink xmlns:r="http://schemas.openxmlformats.org/officeDocument/2006/relationships" ref="T101" display="https://www.linkedin.com/company/lektor-nl/" r:id="rId371"/>
    <hyperlink xmlns:r="http://schemas.openxmlformats.org/officeDocument/2006/relationships" ref="Y101" display="https://drive.google.com/uc?export=view&amp;id=1Tu9XT6t2LD-hGaNGYfrG-7pqsZ2tBrFq" r:id="rId372"/>
    <hyperlink xmlns:r="http://schemas.openxmlformats.org/officeDocument/2006/relationships" ref="E102" display="https://www.doheglobal.com/" r:id="rId373"/>
    <hyperlink xmlns:r="http://schemas.openxmlformats.org/officeDocument/2006/relationships" ref="T102" display="https://www.linkedin.com/company/dohe/?viewAsMember=true" r:id="rId374"/>
    <hyperlink xmlns:r="http://schemas.openxmlformats.org/officeDocument/2006/relationships" ref="Y102" display="https://drive.google.com/uc?export=view&amp;id=1s4AmWun650ghFYBfaw8jwFfPOSHI4WBf" r:id="rId375"/>
    <hyperlink xmlns:r="http://schemas.openxmlformats.org/officeDocument/2006/relationships" ref="E103" display="http://gamsplatform.com/" r:id="rId376"/>
    <hyperlink xmlns:r="http://schemas.openxmlformats.org/officeDocument/2006/relationships" ref="R103" display="https://www.instagram.com/GAMSPlatform/" r:id="rId377"/>
    <hyperlink xmlns:r="http://schemas.openxmlformats.org/officeDocument/2006/relationships" ref="T103" display="https://it.linkedin.com/company/gamsplatform" r:id="rId378"/>
    <hyperlink xmlns:r="http://schemas.openxmlformats.org/officeDocument/2006/relationships" ref="Y103" display="https://drive.google.com/uc?export=view&amp;id=1F_A5P5S2_zwTQaXCzAJN9bxRyiPi-0nb" r:id="rId379"/>
    <hyperlink xmlns:r="http://schemas.openxmlformats.org/officeDocument/2006/relationships" ref="AE103" display="https://www.facebook.com/GAMSPlatform/" r:id="rId380"/>
    <hyperlink xmlns:r="http://schemas.openxmlformats.org/officeDocument/2006/relationships" ref="E104" display="http://veriable.at/" r:id="rId381"/>
    <hyperlink xmlns:r="http://schemas.openxmlformats.org/officeDocument/2006/relationships" ref="Y104" display="https://drive.google.com/uc?export=view&amp;id=1BN9OJF5Juaq106GKb1e6AXvcgLu3YmWE" r:id="rId382"/>
    <hyperlink xmlns:r="http://schemas.openxmlformats.org/officeDocument/2006/relationships" ref="E105" display="http://www.plvsvltra.eu/" r:id="rId383"/>
    <hyperlink xmlns:r="http://schemas.openxmlformats.org/officeDocument/2006/relationships" ref="T105" display="https://www.linkedin.com/company/plvsvltra" r:id="rId384"/>
    <hyperlink xmlns:r="http://schemas.openxmlformats.org/officeDocument/2006/relationships" ref="Y105" display="https://drive.google.com/uc?export=view&amp;id=17Ke66KDL60pnSVUlDiUC3sGjWbpiKNpG" r:id="rId385"/>
    <hyperlink xmlns:r="http://schemas.openxmlformats.org/officeDocument/2006/relationships" ref="E106" display="http://www.prowise.com/" r:id="rId386"/>
    <hyperlink xmlns:r="http://schemas.openxmlformats.org/officeDocument/2006/relationships" ref="R106" display="https://www.instagram.com/prowise_nl/" r:id="rId387"/>
    <hyperlink xmlns:r="http://schemas.openxmlformats.org/officeDocument/2006/relationships" ref="T106" display="https://www.linkedin.com/company/prowise-nl/" r:id="rId388"/>
    <hyperlink xmlns:r="http://schemas.openxmlformats.org/officeDocument/2006/relationships" ref="Y106" display="https://drive.google.com/uc?export=view&amp;id=17HFmQK-h6ioQCxt9laEm1gDqEDOEWraR" r:id="rId389"/>
    <hyperlink xmlns:r="http://schemas.openxmlformats.org/officeDocument/2006/relationships" ref="E107" display="http://www.sog.gg/" r:id="rId390"/>
    <hyperlink xmlns:r="http://schemas.openxmlformats.org/officeDocument/2006/relationships" ref="R107" display="https://www.instagram.com/sogversum" r:id="rId391"/>
    <hyperlink xmlns:r="http://schemas.openxmlformats.org/officeDocument/2006/relationships" ref="T107" display="https://www.linkedin.com/company/school-of-gaming" r:id="rId392"/>
    <hyperlink xmlns:r="http://schemas.openxmlformats.org/officeDocument/2006/relationships" ref="Y107" display="https://drive.google.com/uc?export=view&amp;id=1ABgSkKl-btHRZkgk0RHCbMzeztsWqo3Z" r:id="rId393"/>
    <hyperlink xmlns:r="http://schemas.openxmlformats.org/officeDocument/2006/relationships" ref="AE107" display="https://www.facebook.com/sogversum" r:id="rId394"/>
    <hyperlink xmlns:r="http://schemas.openxmlformats.org/officeDocument/2006/relationships" ref="E108" display="http://www.electude.com/" r:id="rId395"/>
    <hyperlink xmlns:r="http://schemas.openxmlformats.org/officeDocument/2006/relationships" ref="R108" display="https://www.instagram.com/electudeinternational/" r:id="rId396"/>
    <hyperlink xmlns:r="http://schemas.openxmlformats.org/officeDocument/2006/relationships" ref="T108" display="https://www.linkedin.com/company/electudeinternational/" r:id="rId397"/>
    <hyperlink xmlns:r="http://schemas.openxmlformats.org/officeDocument/2006/relationships" ref="Y108" display="https://drive.google.com/uc?export=view&amp;id=1F5ktQbNj5i1vdnSX8F_SdYNtJLk7gN23" r:id="rId398"/>
    <hyperlink xmlns:r="http://schemas.openxmlformats.org/officeDocument/2006/relationships" ref="AE108" display="https://www.facebook.com/electudeinternational" r:id="rId399"/>
    <hyperlink xmlns:r="http://schemas.openxmlformats.org/officeDocument/2006/relationships" ref="E109" display="http://www.reducate.com/" r:id="rId400"/>
    <hyperlink xmlns:r="http://schemas.openxmlformats.org/officeDocument/2006/relationships" ref="T109" display="https://www.linkedin.com/company/reducate" r:id="rId401"/>
    <hyperlink xmlns:r="http://schemas.openxmlformats.org/officeDocument/2006/relationships" ref="Y109" display="https://drive.google.com/uc?export=view&amp;id=1ph_qR9AGcEvmgHGTduIQA76BecAgAxwJ" r:id="rId402"/>
    <hyperlink xmlns:r="http://schemas.openxmlformats.org/officeDocument/2006/relationships" ref="E110" display="https://vittascience.com/" r:id="rId403"/>
    <hyperlink xmlns:r="http://schemas.openxmlformats.org/officeDocument/2006/relationships" ref="Y110" display="https://drive.google.com/uc?export=view&amp;id=1s4dUBrdKBYzXviTJIfizi3OcYvwmznnh" r:id="rId404"/>
    <hyperlink xmlns:r="http://schemas.openxmlformats.org/officeDocument/2006/relationships" ref="E111" display="http://www.matcha.mobi/" r:id="rId405"/>
    <hyperlink xmlns:r="http://schemas.openxmlformats.org/officeDocument/2006/relationships" ref="Y111" display="https://drive.google.com/uc?export=view&amp;id=1fBuMdbLYafOXaY7gSHoh2Jjcw4NOfJW8" r:id="rId406"/>
    <hyperlink xmlns:r="http://schemas.openxmlformats.org/officeDocument/2006/relationships" ref="E112" display="http://www.happykids.ai/" r:id="rId407"/>
    <hyperlink xmlns:r="http://schemas.openxmlformats.org/officeDocument/2006/relationships" ref="T112" display="https://lu.linkedin.com/company/happykids-ai-the-book-of-life" r:id="rId408"/>
    <hyperlink xmlns:r="http://schemas.openxmlformats.org/officeDocument/2006/relationships" ref="Y112" display="https://drive.google.com/uc?export=view&amp;id=1SOdb4oi6XSFkgFjGRpoTKIUB2LRDQ8tj" r:id="rId409"/>
    <hyperlink xmlns:r="http://schemas.openxmlformats.org/officeDocument/2006/relationships" ref="E113" display="https://finanzwissen.club/" r:id="rId410"/>
    <hyperlink xmlns:r="http://schemas.openxmlformats.org/officeDocument/2006/relationships" ref="Y113" display="https://drive.google.com/uc?export=view&amp;id=18Dcn90NsEdIkbnCVQWGgIQel8nCAPAxx" r:id="rId411"/>
    <hyperlink xmlns:r="http://schemas.openxmlformats.org/officeDocument/2006/relationships" ref="E114" display="https://www.investling.org/" r:id="rId412"/>
    <hyperlink xmlns:r="http://schemas.openxmlformats.org/officeDocument/2006/relationships" ref="T114" display="https://www.linkedin.com/company/investlingedu" r:id="rId413"/>
    <hyperlink xmlns:r="http://schemas.openxmlformats.org/officeDocument/2006/relationships" ref="Y114" display="https://drive.google.com/uc?export=view&amp;id=1WW59X-VbdGlZ9ZP9cLsOo22MLYxYDoMp" r:id="rId414"/>
    <hyperlink xmlns:r="http://schemas.openxmlformats.org/officeDocument/2006/relationships" ref="E115" display="https://www.mobidys.com/" r:id="rId415"/>
    <hyperlink xmlns:r="http://schemas.openxmlformats.org/officeDocument/2006/relationships" ref="Y115" display="https://drive.google.com/uc?export=view&amp;id=1MeI4x-m8gyZKfSnJMXiXVIA7fLzipoJc" r:id="rId416"/>
    <hyperlink xmlns:r="http://schemas.openxmlformats.org/officeDocument/2006/relationships" ref="E116" display="https://madmagz.com/" r:id="rId417"/>
    <hyperlink xmlns:r="http://schemas.openxmlformats.org/officeDocument/2006/relationships" ref="R116" display="https://www.instagram.com/madmagz.live/" r:id="rId418"/>
    <hyperlink xmlns:r="http://schemas.openxmlformats.org/officeDocument/2006/relationships" ref="S116" display="https://x.com/madmagz" r:id="rId419"/>
    <hyperlink xmlns:r="http://schemas.openxmlformats.org/officeDocument/2006/relationships" ref="T116" display="https://www.linkedin.com/company/949712" r:id="rId420"/>
    <hyperlink xmlns:r="http://schemas.openxmlformats.org/officeDocument/2006/relationships" ref="Y116" display="https://drive.google.com/uc?export=view&amp;id=1FJIWR9LmUM8N4YxuB61JBlNHJFYCwOph" r:id="rId421"/>
    <hyperlink xmlns:r="http://schemas.openxmlformats.org/officeDocument/2006/relationships" ref="E117" display="http://www.skribu.pl/" r:id="rId422"/>
    <hyperlink xmlns:r="http://schemas.openxmlformats.org/officeDocument/2006/relationships" ref="Y117" display="https://drive.google.com/uc?export=view&amp;id=1mzOrg3CgHSFQVlWJIZmsdq0-Ej8ofjBo" r:id="rId423"/>
    <hyperlink xmlns:r="http://schemas.openxmlformats.org/officeDocument/2006/relationships" ref="E118" display="https://schul.tools/" r:id="rId424"/>
    <hyperlink xmlns:r="http://schemas.openxmlformats.org/officeDocument/2006/relationships" ref="Y118" display="https://drive.google.com/uc?export=view&amp;id=1BBVx4jFaYCviovsBSI75OoQculWcwQWk" r:id="rId425"/>
    <hyperlink xmlns:r="http://schemas.openxmlformats.org/officeDocument/2006/relationships" ref="E119" display="https://online-vertretungsstunden.de/" r:id="rId426"/>
    <hyperlink xmlns:r="http://schemas.openxmlformats.org/officeDocument/2006/relationships" ref="R119" display="https://www.instagram.com/online_vertretungsstunden/" r:id="rId427"/>
    <hyperlink xmlns:r="http://schemas.openxmlformats.org/officeDocument/2006/relationships" ref="T119" display="https://www.linkedin.com/company/online-vertretungsstunden" r:id="rId428"/>
    <hyperlink xmlns:r="http://schemas.openxmlformats.org/officeDocument/2006/relationships" ref="Y119" display="https://drive.google.com/uc?export=view&amp;id=1725e6LWSJjE_TnG7IyyvFGSTHIdbVyDY" r:id="rId429"/>
    <hyperlink xmlns:r="http://schemas.openxmlformats.org/officeDocument/2006/relationships" ref="AE119" display="https://www.facebook.com/onlinevertretungsstunden" r:id="rId430"/>
    <hyperlink xmlns:r="http://schemas.openxmlformats.org/officeDocument/2006/relationships" ref="E120" display="https://paradoxlearning.com/" r:id="rId431"/>
    <hyperlink xmlns:r="http://schemas.openxmlformats.org/officeDocument/2006/relationships" ref="T120" display="https://www.linkedin.com/in/stellal/" r:id="rId432"/>
    <hyperlink xmlns:r="http://schemas.openxmlformats.org/officeDocument/2006/relationships" ref="Y120" display="https://drive.google.com/uc?export=view&amp;id=1lxriF7cOtykTwCYM2tcqphwRMe2eZc85" r:id="rId433"/>
    <hyperlink xmlns:r="http://schemas.openxmlformats.org/officeDocument/2006/relationships" ref="E121" display="https://www.edcortex.com/" r:id="rId434"/>
    <hyperlink xmlns:r="http://schemas.openxmlformats.org/officeDocument/2006/relationships" ref="T121" display="https://www.linkedin.com/company/edcortex/?viewAsMember=true" r:id="rId435"/>
    <hyperlink xmlns:r="http://schemas.openxmlformats.org/officeDocument/2006/relationships" ref="Y121" display="https://drive.google.com/uc?export=view&amp;id=1QYCY1FiwZbZ6CoiFXQviCoy9nSxXDXCq" r:id="rId436"/>
    <hyperlink xmlns:r="http://schemas.openxmlformats.org/officeDocument/2006/relationships" ref="E122" display="http://www.eduplaces.de/" r:id="rId437"/>
    <hyperlink xmlns:r="http://schemas.openxmlformats.org/officeDocument/2006/relationships" ref="R122" display="https://www.instagram.com/eduplaces_apps/" r:id="rId438"/>
    <hyperlink xmlns:r="http://schemas.openxmlformats.org/officeDocument/2006/relationships" ref="T122" display="https://www.linkedin.com/company/eduplaces" r:id="rId439"/>
    <hyperlink xmlns:r="http://schemas.openxmlformats.org/officeDocument/2006/relationships" ref="Y122" display="https://drive.google.com/uc?export=view&amp;id=1rWBjrUeAr1BGlaDHKRO-tn-VzWPHt9k2" r:id="rId440"/>
    <hyperlink xmlns:r="http://schemas.openxmlformats.org/officeDocument/2006/relationships" ref="AE122" display="https://www.facebook.com/eduplaces.apps" r:id="rId441"/>
    <hyperlink xmlns:r="http://schemas.openxmlformats.org/officeDocument/2006/relationships" ref="E123" display="https://eduva.ai/" r:id="rId442"/>
    <hyperlink xmlns:r="http://schemas.openxmlformats.org/officeDocument/2006/relationships" ref="Y123" display="https://drive.google.com/uc?export=view&amp;id=1HtPQnlQhvX1LIMnd3a1frkP0AkWHrkal" r:id="rId443"/>
    <hyperlink xmlns:r="http://schemas.openxmlformats.org/officeDocument/2006/relationships" ref="E124" display="https://educa360.com/" r:id="rId444"/>
    <hyperlink xmlns:r="http://schemas.openxmlformats.org/officeDocument/2006/relationships" ref="Y124" display="https://drive.google.com/uc?export=view&amp;id=1un6L5sA7Yz6VhwYt7BsWsyRxQFmQFNcD" r:id="rId445"/>
    <hyperlink xmlns:r="http://schemas.openxmlformats.org/officeDocument/2006/relationships" ref="E125" display="https://learnademy.com/" r:id="rId446"/>
    <hyperlink xmlns:r="http://schemas.openxmlformats.org/officeDocument/2006/relationships" ref="S125" display="https://x.com/Learnademy" r:id="rId447"/>
    <hyperlink xmlns:r="http://schemas.openxmlformats.org/officeDocument/2006/relationships" ref="T125" display="http://linkedin.com/company/learnademy" r:id="rId448"/>
    <hyperlink xmlns:r="http://schemas.openxmlformats.org/officeDocument/2006/relationships" ref="Y125" display="https://drive.google.com/uc?export=view&amp;id=1mc7i_viZt324IwhPVuDrQ-djto9T6D6M" r:id="rId449"/>
    <hyperlink xmlns:r="http://schemas.openxmlformats.org/officeDocument/2006/relationships" ref="AE125" display="https://www.facebook.com/Learnademy" r:id="rId450"/>
    <hyperlink xmlns:r="http://schemas.openxmlformats.org/officeDocument/2006/relationships" ref="E126" display="https://www.alpaca-assessment.com/" r:id="rId451"/>
    <hyperlink xmlns:r="http://schemas.openxmlformats.org/officeDocument/2006/relationships" ref="R126" display="https://www.instagram.com/alpaca_learn/" r:id="rId452"/>
    <hyperlink xmlns:r="http://schemas.openxmlformats.org/officeDocument/2006/relationships" ref="S126" display="https://x.com/alpaca_learn" r:id="rId453"/>
    <hyperlink xmlns:r="http://schemas.openxmlformats.org/officeDocument/2006/relationships" ref="T126" display="https://www.linkedin.com/company/alpaca-assessment/" r:id="rId454"/>
    <hyperlink xmlns:r="http://schemas.openxmlformats.org/officeDocument/2006/relationships" ref="Y126" display="https://drive.google.com/uc?export=view&amp;id=1GR__JWSzsRThlXEQCdxocuhvLKFJnQ8L" r:id="rId455"/>
    <hyperlink xmlns:r="http://schemas.openxmlformats.org/officeDocument/2006/relationships" ref="AE126" display="https://www.facebook.com/alpaca.assessment/" r:id="rId456"/>
    <hyperlink xmlns:r="http://schemas.openxmlformats.org/officeDocument/2006/relationships" ref="E127" display="https://opinoma.dk/" r:id="rId457"/>
    <hyperlink xmlns:r="http://schemas.openxmlformats.org/officeDocument/2006/relationships" ref="T127" display="https://www.linkedin.com/company/opinoma" r:id="rId458"/>
    <hyperlink xmlns:r="http://schemas.openxmlformats.org/officeDocument/2006/relationships" ref="Y127" display="https://drive.google.com/uc?export=view&amp;id=1hFuIe5s4kv3giJvjnqpYsfEFWjQnaDJQ" r:id="rId459"/>
    <hyperlink xmlns:r="http://schemas.openxmlformats.org/officeDocument/2006/relationships" ref="E128" display="http://norvalid.com/" r:id="rId460"/>
    <hyperlink xmlns:r="http://schemas.openxmlformats.org/officeDocument/2006/relationships" ref="T128" display="https://www.linkedin.com/company/norvalid" r:id="rId461"/>
    <hyperlink xmlns:r="http://schemas.openxmlformats.org/officeDocument/2006/relationships" ref="Y128" display="https://drive.google.com/uc?export=view&amp;id=1Vh_Z8wEcwUfwTPbw42UwagWxZds8m0Y5" r:id="rId462"/>
    <hyperlink xmlns:r="http://schemas.openxmlformats.org/officeDocument/2006/relationships" ref="E129" display="https://www.compilatio.net/en" r:id="rId463"/>
    <hyperlink xmlns:r="http://schemas.openxmlformats.org/officeDocument/2006/relationships" ref="T129" display="https://fr.linkedin.com/company/compilatio" r:id="rId464"/>
    <hyperlink xmlns:r="http://schemas.openxmlformats.org/officeDocument/2006/relationships" ref="Y129" display="https://drive.google.com/uc?export=view&amp;id=15ucyQppAtJC6hfnUmxbiWYqUUMQhp7lX" r:id="rId465"/>
    <hyperlink xmlns:r="http://schemas.openxmlformats.org/officeDocument/2006/relationships" ref="AE129" display="https://www.facebook.com/compilatio.net/" r:id="rId466"/>
    <hyperlink xmlns:r="http://schemas.openxmlformats.org/officeDocument/2006/relationships" ref="E130" display="http://www.brainly.com/" r:id="rId467"/>
    <hyperlink xmlns:r="http://schemas.openxmlformats.org/officeDocument/2006/relationships" ref="R130" display="https://www.instagram.com/brainly/" r:id="rId468"/>
    <hyperlink xmlns:r="http://schemas.openxmlformats.org/officeDocument/2006/relationships" ref="T130" display="https://www.linkedin.com/company/2745890/" r:id="rId469"/>
    <hyperlink xmlns:r="http://schemas.openxmlformats.org/officeDocument/2006/relationships" ref="Y130" display="https://drive.google.com/uc?export=view&amp;id=1qXUu5h1k_3WHPILqs4OFCSn2Mp0bkYco" r:id="rId470"/>
    <hyperlink xmlns:r="http://schemas.openxmlformats.org/officeDocument/2006/relationships" ref="AE130" display="https://www.facebook.com/search/top?q=brainly" r:id="rId471"/>
    <hyperlink xmlns:r="http://schemas.openxmlformats.org/officeDocument/2006/relationships" ref="E131" display="http://www.reslocate.net/" r:id="rId472"/>
    <hyperlink xmlns:r="http://schemas.openxmlformats.org/officeDocument/2006/relationships" ref="R131" display="https://www.instagram.com/reslocate" r:id="rId473"/>
    <hyperlink xmlns:r="http://schemas.openxmlformats.org/officeDocument/2006/relationships" ref="T131" display="https://www.linkedin.com/reslocate" r:id="rId474"/>
    <hyperlink xmlns:r="http://schemas.openxmlformats.org/officeDocument/2006/relationships" ref="Y131" display="https://drive.google.com/uc?export=view&amp;id=1P7jGRj-Y-_sAB2roxONwjssLWMyol3Hj" r:id="rId475"/>
    <hyperlink xmlns:r="http://schemas.openxmlformats.org/officeDocument/2006/relationships" ref="AE131" display="https://www.facebook.com/reslocate" r:id="rId476"/>
    <hyperlink xmlns:r="http://schemas.openxmlformats.org/officeDocument/2006/relationships" ref="E132" display="https://www.adaptemy.com/" r:id="rId477"/>
    <hyperlink xmlns:r="http://schemas.openxmlformats.org/officeDocument/2006/relationships" ref="S132" display="https://x.com/adaptemy" r:id="rId478"/>
    <hyperlink xmlns:r="http://schemas.openxmlformats.org/officeDocument/2006/relationships" ref="T132" display="https://www.linkedin.com/company/adaptemy/" r:id="rId479"/>
    <hyperlink xmlns:r="http://schemas.openxmlformats.org/officeDocument/2006/relationships" ref="Y132" display="https://drive.google.com/uc?export=view&amp;id=1m8hIRAJERyB0cNSN6syn26vAd5IWz-63" r:id="rId480"/>
    <hyperlink xmlns:r="http://schemas.openxmlformats.org/officeDocument/2006/relationships" ref="AE132" display="https://www.facebook.com/adaptemy/" r:id="rId481"/>
    <hyperlink xmlns:r="http://schemas.openxmlformats.org/officeDocument/2006/relationships" ref="E133" display="http://www.equalteaching.com/" r:id="rId482"/>
    <hyperlink xmlns:r="http://schemas.openxmlformats.org/officeDocument/2006/relationships" ref="T133" display="https://www.linkedin.com/company/equal-teaching/" r:id="rId483"/>
    <hyperlink xmlns:r="http://schemas.openxmlformats.org/officeDocument/2006/relationships" ref="Y133" display="https://drive.google.com/uc?export=view&amp;id=1mlTvG2pEQ-RmmnF0Gk7pq18ExVrLG2X6" r:id="rId484"/>
    <hyperlink xmlns:r="http://schemas.openxmlformats.org/officeDocument/2006/relationships" ref="E134" display="http://www.finncaraconsulting.com/" r:id="rId485"/>
    <hyperlink xmlns:r="http://schemas.openxmlformats.org/officeDocument/2006/relationships" ref="Y134" display="https://drive.google.com/uc?export=view&amp;id=151CotRLwUK6pHPzRr0mhHN_Ejw0uE0Ti" r:id="rId486"/>
    <hyperlink xmlns:r="http://schemas.openxmlformats.org/officeDocument/2006/relationships" ref="E135" display="https://www.inokufu.com/" r:id="rId487"/>
    <hyperlink xmlns:r="http://schemas.openxmlformats.org/officeDocument/2006/relationships" ref="T135" display="https://www.linkedin.com/company/inokufu/" r:id="rId488"/>
    <hyperlink xmlns:r="http://schemas.openxmlformats.org/officeDocument/2006/relationships" ref="Y135" display="https://drive.google.com/uc?export=view&amp;id=1rdcHG-U7xI7377px4SMmXQmfmoFO6UyL" r:id="rId489"/>
    <hyperlink xmlns:r="http://schemas.openxmlformats.org/officeDocument/2006/relationships" ref="E136" display="http://wwwskoltavlan.nu/" r:id="rId490"/>
    <hyperlink xmlns:r="http://schemas.openxmlformats.org/officeDocument/2006/relationships" ref="R136" display="https://www.instagram.com/skoltavlan/" r:id="rId491"/>
    <hyperlink xmlns:r="http://schemas.openxmlformats.org/officeDocument/2006/relationships" ref="T136" display="https://www.linkedin.com/showcase/skoltavlan" r:id="rId492"/>
    <hyperlink xmlns:r="http://schemas.openxmlformats.org/officeDocument/2006/relationships" ref="Y136" display="https://drive.google.com/uc?export=view&amp;id=1T-uX_D7vbGqPstxVZ2RiVPronZFMzlm4" r:id="rId493"/>
    <hyperlink xmlns:r="http://schemas.openxmlformats.org/officeDocument/2006/relationships" ref="AE136" display="https://www.facebook.com/skoltavlan" r:id="rId494"/>
    <hyperlink xmlns:r="http://schemas.openxmlformats.org/officeDocument/2006/relationships" ref="E137" display="http://www.catwise.com/" r:id="rId495"/>
    <hyperlink xmlns:r="http://schemas.openxmlformats.org/officeDocument/2006/relationships" ref="T137" display="https://www.linkedin.com/company/catwise" r:id="rId496"/>
    <hyperlink xmlns:r="http://schemas.openxmlformats.org/officeDocument/2006/relationships" ref="Y137" display="https://drive.google.com/uc?export=view&amp;id=1QPWmAK34ATuMRnhEhDPfWpWR8DDRZA68" r:id="rId497"/>
    <hyperlink xmlns:r="http://schemas.openxmlformats.org/officeDocument/2006/relationships" ref="E138" display="https://cases.media/" r:id="rId498"/>
    <hyperlink xmlns:r="http://schemas.openxmlformats.org/officeDocument/2006/relationships" ref="T138" display="https://www.linkedin.com/company/cases-media/" r:id="rId499"/>
    <hyperlink xmlns:r="http://schemas.openxmlformats.org/officeDocument/2006/relationships" ref="Y138" display="https://drive.google.com/uc?export=view&amp;id=1CoxN7dVygrQI9IcXWJo2unPNl6ykmJwE" r:id="rId500"/>
    <hyperlink xmlns:r="http://schemas.openxmlformats.org/officeDocument/2006/relationships" ref="E139" display="http://www.tresipunt.com/" r:id="rId501"/>
    <hyperlink xmlns:r="http://schemas.openxmlformats.org/officeDocument/2006/relationships" ref="T139" display="https://www.linkedin.com/company/tresipunt" r:id="rId502"/>
    <hyperlink xmlns:r="http://schemas.openxmlformats.org/officeDocument/2006/relationships" ref="Y139" display="https://drive.google.com/uc?export=view&amp;id=1fbl4Z7zEurlOTJGg_E1vzY_IFz5uHa7u" r:id="rId503"/>
    <hyperlink xmlns:r="http://schemas.openxmlformats.org/officeDocument/2006/relationships" ref="E140" display="https://www.polycular.com/" r:id="rId504"/>
    <hyperlink xmlns:r="http://schemas.openxmlformats.org/officeDocument/2006/relationships" ref="T140" display="https://www.linkedin.com/company/polycular" r:id="rId505"/>
    <hyperlink xmlns:r="http://schemas.openxmlformats.org/officeDocument/2006/relationships" ref="Y140" display="https://drive.google.com/uc?export=view&amp;id=1GQS_qov5F8SYBniukGyJQp3JYUO17nK8" r:id="rId506"/>
    <hyperlink xmlns:r="http://schemas.openxmlformats.org/officeDocument/2006/relationships" ref="E141" display="http://learnlab.net/" r:id="rId507"/>
    <hyperlink xmlns:r="http://schemas.openxmlformats.org/officeDocument/2006/relationships" ref="T141" display="https://www.linkedin.com/company/17944144" r:id="rId508"/>
    <hyperlink xmlns:r="http://schemas.openxmlformats.org/officeDocument/2006/relationships" ref="Y141" display="https://drive.google.com/uc?export=view&amp;id=1_ICx_y-PM3l1hmd-AdIzAExoL-WdR8f7" r:id="rId509"/>
    <hyperlink xmlns:r="http://schemas.openxmlformats.org/officeDocument/2006/relationships" ref="AE141" display="https://www.facebook.com/learnlab1" r:id="rId510"/>
    <hyperlink xmlns:r="http://schemas.openxmlformats.org/officeDocument/2006/relationships" ref="E142" display="https://deutschfuchs.de/" r:id="rId511"/>
    <hyperlink xmlns:r="http://schemas.openxmlformats.org/officeDocument/2006/relationships" ref="Y142" display="https://drive.google.com/uc?export=view&amp;id=1K-GsPexYYsXO-dcdm9M5Nuh5G0HXhzPY" r:id="rId512"/>
    <hyperlink xmlns:r="http://schemas.openxmlformats.org/officeDocument/2006/relationships" ref="E143" display="https://authot.com/" r:id="rId513"/>
    <hyperlink xmlns:r="http://schemas.openxmlformats.org/officeDocument/2006/relationships" ref="T143" display="https://www.linkedin.com/company/authot/" r:id="rId514"/>
    <hyperlink xmlns:r="http://schemas.openxmlformats.org/officeDocument/2006/relationships" ref="Y143" display="https://drive.google.com/uc?export=view&amp;id=1rbMWHybJOUWJpEvO6hosVdOwXbbJ0tJN" r:id="rId515"/>
    <hyperlink xmlns:r="http://schemas.openxmlformats.org/officeDocument/2006/relationships" ref="E144" display="https://rlconsultora.com/" r:id="rId516"/>
    <hyperlink xmlns:r="http://schemas.openxmlformats.org/officeDocument/2006/relationships" ref="T144" display="http://www.linkedin.com/in/rlconsultoraedtech" r:id="rId517"/>
    <hyperlink xmlns:r="http://schemas.openxmlformats.org/officeDocument/2006/relationships" ref="Y144" display="https://drive.google.com/uc?export=view&amp;id=12wUAwmxHqryTMkPS9f_ZsC5KYPkNKzwL" r:id="rId518"/>
    <hyperlink xmlns:r="http://schemas.openxmlformats.org/officeDocument/2006/relationships" ref="E145" display="https://redmenta.com/" r:id="rId519"/>
    <hyperlink xmlns:r="http://schemas.openxmlformats.org/officeDocument/2006/relationships" ref="R145" display="https://www.instagram.com/redmenta.ai" r:id="rId520"/>
    <hyperlink xmlns:r="http://schemas.openxmlformats.org/officeDocument/2006/relationships" ref="T145" display="https://www.linkedin.com/company/redmenta/" r:id="rId521"/>
    <hyperlink xmlns:r="http://schemas.openxmlformats.org/officeDocument/2006/relationships" ref="Y145" display="https://drive.google.com/uc?export=view&amp;id=163XKtvUd1ku4CvTen-scXTDbynL0I3PF" r:id="rId522"/>
    <hyperlink xmlns:r="http://schemas.openxmlformats.org/officeDocument/2006/relationships" ref="AE145" display="https://www.facebook.com/redmenta" r:id="rId523"/>
    <hyperlink xmlns:r="http://schemas.openxmlformats.org/officeDocument/2006/relationships" ref="Y146" display="https://drive.google.com/uc?export=view&amp;id=1JgIYxzwQjcTfn3_gxYipeyiC67WVYKZe" r:id="rId524"/>
    <hyperlink xmlns:r="http://schemas.openxmlformats.org/officeDocument/2006/relationships" ref="E147" display="https://uqualio.com/" r:id="rId525"/>
    <hyperlink xmlns:r="http://schemas.openxmlformats.org/officeDocument/2006/relationships" ref="R147" display="https://www.instagram.com/uqualio/" r:id="rId526"/>
    <hyperlink xmlns:r="http://schemas.openxmlformats.org/officeDocument/2006/relationships" ref="S147" display="https://x.com/uqualio" r:id="rId527"/>
    <hyperlink xmlns:r="http://schemas.openxmlformats.org/officeDocument/2006/relationships" ref="T147" display="https://www.linkedin.com/company/uqualio/" r:id="rId528"/>
    <hyperlink xmlns:r="http://schemas.openxmlformats.org/officeDocument/2006/relationships" ref="Y147" display="https://drive.google.com/uc?export=view&amp;id=1KeDm4xsql4-7StUrmUAHfRCtp5c-hLKO" r:id="rId529"/>
    <hyperlink xmlns:r="http://schemas.openxmlformats.org/officeDocument/2006/relationships" ref="AE147" display="https://www.facebook.com/uqualio" r:id="rId530"/>
    <hyperlink xmlns:r="http://schemas.openxmlformats.org/officeDocument/2006/relationships" ref="E148" display="http://www.carlboel.be/" r:id="rId531"/>
    <hyperlink xmlns:r="http://schemas.openxmlformats.org/officeDocument/2006/relationships" ref="T148" display="https://www.linkedin.com/in/boelcarl/" r:id="rId532"/>
    <hyperlink xmlns:r="http://schemas.openxmlformats.org/officeDocument/2006/relationships" ref="Y148" display="https://drive.google.com/uc?export=view&amp;id=1-WsN-PGvwbWhyzJoMc2G8O7AiEbJNWXZ" r:id="rId533"/>
    <hyperlink xmlns:r="http://schemas.openxmlformats.org/officeDocument/2006/relationships" ref="E149" display="http://www.goinconnect.com/" r:id="rId534"/>
    <hyperlink xmlns:r="http://schemas.openxmlformats.org/officeDocument/2006/relationships" ref="T149" display="https://www.linkedin.com/company/goinconnect/?viewAsMember=true" r:id="rId535"/>
    <hyperlink xmlns:r="http://schemas.openxmlformats.org/officeDocument/2006/relationships" ref="Y149" display="https://drive.google.com/uc?export=view&amp;id=1FqSw1mnp4xJiofHRcMFB75HCr-FW9etj" r:id="rId536"/>
    <hyperlink xmlns:r="http://schemas.openxmlformats.org/officeDocument/2006/relationships" ref="E150" display="https://synap.ac/" r:id="rId537"/>
    <hyperlink xmlns:r="http://schemas.openxmlformats.org/officeDocument/2006/relationships" ref="S150" display="https://x.com/synap" r:id="rId538"/>
    <hyperlink xmlns:r="http://schemas.openxmlformats.org/officeDocument/2006/relationships" ref="T150" display="https://www.linkedin.com/company/synap-lms" r:id="rId539"/>
    <hyperlink xmlns:r="http://schemas.openxmlformats.org/officeDocument/2006/relationships" ref="Y150" display="https://drive.google.com/uc?export=view&amp;id=18A5fbfNVXyIXMZpdyHAMZq3PTVfPNqBI" r:id="rId540"/>
    <hyperlink xmlns:r="http://schemas.openxmlformats.org/officeDocument/2006/relationships" ref="E151" display="https://anemon.co/" r:id="rId541"/>
    <hyperlink xmlns:r="http://schemas.openxmlformats.org/officeDocument/2006/relationships" ref="T151" display="https://fr.linkedin.com/company/withanemon" r:id="rId542"/>
    <hyperlink xmlns:r="http://schemas.openxmlformats.org/officeDocument/2006/relationships" ref="Y151" display="https://drive.google.com/uc?export=view&amp;id=1vHeUFHnB7iAIMvUrZyZfNtJYuDWvSVEh" r:id="rId543"/>
    <hyperlink xmlns:r="http://schemas.openxmlformats.org/officeDocument/2006/relationships" ref="D152" display="http://youforget.me/" r:id="rId544"/>
    <hyperlink xmlns:r="http://schemas.openxmlformats.org/officeDocument/2006/relationships" ref="E152" display="http://www.youforget.me/" r:id="rId545"/>
    <hyperlink xmlns:r="http://schemas.openxmlformats.org/officeDocument/2006/relationships" ref="Y152" display="https://drive.google.com/uc?export=view&amp;id=13iZbo3W7k4QpTT6Pfn_tLRaJw0bfJetw" r:id="rId546"/>
    <hyperlink xmlns:r="http://schemas.openxmlformats.org/officeDocument/2006/relationships" ref="E153" display="http://www.forclassmates.com/" r:id="rId547"/>
    <hyperlink xmlns:r="http://schemas.openxmlformats.org/officeDocument/2006/relationships" ref="T153" display="https://www.linkedin.com/company/forclassmates/" r:id="rId548"/>
    <hyperlink xmlns:r="http://schemas.openxmlformats.org/officeDocument/2006/relationships" ref="Y153" display="https://drive.google.com/uc?export=view&amp;id=1mx-bi5orSGvVOsKiUb4PC90Cetz3kLAA" r:id="rId549"/>
    <hyperlink xmlns:r="http://schemas.openxmlformats.org/officeDocument/2006/relationships" ref="E154" display="https://sainaptic.com/" r:id="rId550"/>
    <hyperlink xmlns:r="http://schemas.openxmlformats.org/officeDocument/2006/relationships" ref="T154" display="https://www.linkedin.com/company/67557578/admin/dashboard/" r:id="rId551"/>
    <hyperlink xmlns:r="http://schemas.openxmlformats.org/officeDocument/2006/relationships" ref="Y154" display="https://drive.google.com/uc?export=view&amp;id=1DhzLDf5vKzaafQ1Fw2UTirhvvAMFFZwH" r:id="rId552"/>
    <hyperlink xmlns:r="http://schemas.openxmlformats.org/officeDocument/2006/relationships" ref="E155" display="http://www.amuze-interactive.com/" r:id="rId553"/>
    <hyperlink xmlns:r="http://schemas.openxmlformats.org/officeDocument/2006/relationships" ref="Y155" display="https://drive.google.com/uc?export=view&amp;id=1ube_7AHS-tY4qdUVHBGVPnlcYDSr8wtd" r:id="rId554"/>
    <hyperlink xmlns:r="http://schemas.openxmlformats.org/officeDocument/2006/relationships" ref="E156" display="https://www.rosariosis.org/" r:id="rId555"/>
    <hyperlink xmlns:r="http://schemas.openxmlformats.org/officeDocument/2006/relationships" ref="Y156" display="https://drive.google.com/uc?export=view&amp;id=1oT_Sl7MpAWvx9CMW5Dfi1C3ImWV1vQxE" r:id="rId556"/>
    <hyperlink xmlns:r="http://schemas.openxmlformats.org/officeDocument/2006/relationships" ref="E157" display="http://engineeringtrainer.com/" r:id="rId557"/>
    <hyperlink xmlns:r="http://schemas.openxmlformats.org/officeDocument/2006/relationships" ref="T157" display="https://www.linkedin.com/school/12648209/" r:id="rId558"/>
    <hyperlink xmlns:r="http://schemas.openxmlformats.org/officeDocument/2006/relationships" ref="Y157" display="https://drive.google.com/uc?export=view&amp;id=1DQCRe50KhT1Ss5FT4WOBWLQR5vA54yFa" r:id="rId559"/>
    <hyperlink xmlns:r="http://schemas.openxmlformats.org/officeDocument/2006/relationships" ref="E158" display="https://ste.education/" r:id="rId560"/>
    <hyperlink xmlns:r="http://schemas.openxmlformats.org/officeDocument/2006/relationships" ref="R158" display="https://www.instagram.com/ste.education/" r:id="rId561"/>
    <hyperlink xmlns:r="http://schemas.openxmlformats.org/officeDocument/2006/relationships" ref="Y158" display="https://drive.google.com/uc?export=view&amp;id=1xEAsOt6AHQJZtbzgNlddHPdsoOtOgWtT" r:id="rId562"/>
    <hyperlink xmlns:r="http://schemas.openxmlformats.org/officeDocument/2006/relationships" ref="AE158" display="https://www.facebook.com/science.technology.engineering.education/" r:id="rId563"/>
    <hyperlink xmlns:r="http://schemas.openxmlformats.org/officeDocument/2006/relationships" ref="E159" display="http://steamprogramedu.com/" r:id="rId564"/>
    <hyperlink xmlns:r="http://schemas.openxmlformats.org/officeDocument/2006/relationships" ref="Y159" display="https://drive.google.com/uc?export=view&amp;id=1vnkWDnS-70JVOMoBWh2U5DdmcIifoNhq" r:id="rId565"/>
    <hyperlink xmlns:r="http://schemas.openxmlformats.org/officeDocument/2006/relationships" ref="AE159" display="https://www.facebook.com/profile.php?id=100063712953645" r:id="rId566"/>
    <hyperlink xmlns:r="http://schemas.openxmlformats.org/officeDocument/2006/relationships" ref="E160" display="https://onspect.nl/" r:id="rId567"/>
    <hyperlink xmlns:r="http://schemas.openxmlformats.org/officeDocument/2006/relationships" ref="T160" display="https://www.linkedin.com/company/onspect" r:id="rId568"/>
    <hyperlink xmlns:r="http://schemas.openxmlformats.org/officeDocument/2006/relationships" ref="Y160" display="https://drive.google.com/uc?export=view&amp;id=1AU0NzWzHHkGRM43EKQg_qELwdJ8MHZPI" r:id="rId569"/>
    <hyperlink xmlns:r="http://schemas.openxmlformats.org/officeDocument/2006/relationships" ref="E161" display="http://www.lbq.org/" r:id="rId570"/>
    <hyperlink xmlns:r="http://schemas.openxmlformats.org/officeDocument/2006/relationships" ref="S161" display="https://x.com/lbqorg" r:id="rId571"/>
    <hyperlink xmlns:r="http://schemas.openxmlformats.org/officeDocument/2006/relationships" ref="T161" display="https://www.linkedin.com/company/learning-by-questions" r:id="rId572"/>
    <hyperlink xmlns:r="http://schemas.openxmlformats.org/officeDocument/2006/relationships" ref="Y161" display="https://drive.google.com/uc?export=view&amp;id=1c2EyY9L3T6lky5RkyKEeD-hrPUtVf4c0" r:id="rId573"/>
    <hyperlink xmlns:r="http://schemas.openxmlformats.org/officeDocument/2006/relationships" ref="AE161" display="https://www.facebook.com/LearningbyQuestions" r:id="rId574"/>
    <hyperlink xmlns:r="http://schemas.openxmlformats.org/officeDocument/2006/relationships" ref="E162" display="http://www.desku.fi/" r:id="rId575"/>
    <hyperlink xmlns:r="http://schemas.openxmlformats.org/officeDocument/2006/relationships" ref="T162" display="https://www.linkedin.com/company/opentunti-oy" r:id="rId576"/>
    <hyperlink xmlns:r="http://schemas.openxmlformats.org/officeDocument/2006/relationships" ref="E163" display="https://co-gito.coml/" r:id="rId577"/>
    <hyperlink xmlns:r="http://schemas.openxmlformats.org/officeDocument/2006/relationships" ref="T163" display="https://www.linkedin.com/company/co-gito" r:id="rId578"/>
    <hyperlink xmlns:r="http://schemas.openxmlformats.org/officeDocument/2006/relationships" ref="Y163" display="https://drive.google.com/uc?export=view&amp;id=11YmoB_x8Xh0TbjPHSoRb664nIXO_Ur9S" r:id="rId579"/>
    <hyperlink xmlns:r="http://schemas.openxmlformats.org/officeDocument/2006/relationships" ref="E164" display="https://www.pomelabs.com/" r:id="rId580"/>
    <hyperlink xmlns:r="http://schemas.openxmlformats.org/officeDocument/2006/relationships" ref="R164" display="https://www.instagram.com/pome.labs/" r:id="rId581"/>
    <hyperlink xmlns:r="http://schemas.openxmlformats.org/officeDocument/2006/relationships" ref="T164" display="https://www.linkedin.com/company/pomelabs" r:id="rId582"/>
    <hyperlink xmlns:r="http://schemas.openxmlformats.org/officeDocument/2006/relationships" ref="Y164" display="https://drive.google.com/uc?export=view&amp;id=1jTenh2OnHwPh3-xtOXPYNR2LStGOerQV" r:id="rId583"/>
    <hyperlink xmlns:r="http://schemas.openxmlformats.org/officeDocument/2006/relationships" ref="T165" display="https://www.linkedin.com/company/1000i" r:id="rId584"/>
    <hyperlink xmlns:r="http://schemas.openxmlformats.org/officeDocument/2006/relationships" ref="E166" display="http://www.edisconet.com/" r:id="rId585"/>
    <hyperlink xmlns:r="http://schemas.openxmlformats.org/officeDocument/2006/relationships" ref="T166" display="https://www.linkedin.com/company/edisconet/" r:id="rId586"/>
    <hyperlink xmlns:r="http://schemas.openxmlformats.org/officeDocument/2006/relationships" ref="E167" display="https://zicklearn.com/" r:id="rId587"/>
    <hyperlink xmlns:r="http://schemas.openxmlformats.org/officeDocument/2006/relationships" ref="T167" display="https://www.linkedin.com/company/zick" r:id="rId588"/>
    <hyperlink xmlns:r="http://schemas.openxmlformats.org/officeDocument/2006/relationships" ref="E168" display="http://www.classroomscreen.com/" r:id="rId589"/>
    <hyperlink xmlns:r="http://schemas.openxmlformats.org/officeDocument/2006/relationships" ref="T168" display="https://www.linkedin.com/company/classroomscreen/" r:id="rId590"/>
    <hyperlink xmlns:r="http://schemas.openxmlformats.org/officeDocument/2006/relationships" ref="E169" display="https://edusign.com/" r:id="rId591"/>
    <hyperlink xmlns:r="http://schemas.openxmlformats.org/officeDocument/2006/relationships" ref="T169" display="https://www.linkedin.com/company/edusign/" r:id="rId592"/>
    <hyperlink xmlns:r="http://schemas.openxmlformats.org/officeDocument/2006/relationships" ref="T170" display="https://www.linkedin.com/company/persona" r:id="rId593"/>
    <hyperlink xmlns:r="http://schemas.openxmlformats.org/officeDocument/2006/relationships" ref="AE170" display="https://www.facebook.com/personalifeskills" r:id="rId594"/>
    <hyperlink xmlns:r="http://schemas.openxmlformats.org/officeDocument/2006/relationships" ref="E171" display="http://elever.ch/" r:id="rId595"/>
    <hyperlink xmlns:r="http://schemas.openxmlformats.org/officeDocument/2006/relationships" ref="T171" display="https://www.linkedin.com/company/elever" r:id="rId596"/>
    <hyperlink xmlns:r="http://schemas.openxmlformats.org/officeDocument/2006/relationships" ref="E172" display="https://www.collaborationlaboratory.com/" r:id="rId597"/>
    <hyperlink xmlns:r="http://schemas.openxmlformats.org/officeDocument/2006/relationships" ref="R172" display="https://www.instagram.com/colab_global_/" r:id="rId598"/>
    <hyperlink xmlns:r="http://schemas.openxmlformats.org/officeDocument/2006/relationships" ref="T172" display="https://www.linkedin.com/company/collaboration" r:id="rId599"/>
    <hyperlink xmlns:r="http://schemas.openxmlformats.org/officeDocument/2006/relationships" ref="E173" display="http://ilorobot.com/" r:id="rId600"/>
    <hyperlink xmlns:r="http://schemas.openxmlformats.org/officeDocument/2006/relationships" ref="T173" display="https://www.linkedin.com/company/ilorobot/" r:id="rId601"/>
    <hyperlink xmlns:r="http://schemas.openxmlformats.org/officeDocument/2006/relationships" ref="E174" display="https://www.aiuc.se/" r:id="rId602"/>
    <hyperlink xmlns:r="http://schemas.openxmlformats.org/officeDocument/2006/relationships" ref="T174" display="http://linkedin.com/company/aiucse" r:id="rId603"/>
    <hyperlink xmlns:r="http://schemas.openxmlformats.org/officeDocument/2006/relationships" ref="E175" display="https://about.edumus.org/" r:id="rId604"/>
    <hyperlink xmlns:r="http://schemas.openxmlformats.org/officeDocument/2006/relationships" ref="E176" display="http://www.epistemes-formation.fr/" r:id="rId605"/>
    <hyperlink xmlns:r="http://schemas.openxmlformats.org/officeDocument/2006/relationships" ref="T176" display="https://www.linkedin.com/company/episteme" r:id="rId606"/>
    <hyperlink xmlns:r="http://schemas.openxmlformats.org/officeDocument/2006/relationships" ref="E177" display="http://www.wiris.com/" r:id="rId607"/>
    <hyperlink xmlns:r="http://schemas.openxmlformats.org/officeDocument/2006/relationships" ref="T177" display="https://www.linkedin.com/company/maths" r:id="rId608"/>
    <hyperlink xmlns:r="http://schemas.openxmlformats.org/officeDocument/2006/relationships" ref="E178" display="http://www.memorylab.nl/" r:id="rId609"/>
    <hyperlink xmlns:r="http://schemas.openxmlformats.org/officeDocument/2006/relationships" ref="E179" display="https://eindexamensite.nl/" r:id="rId610"/>
    <hyperlink xmlns:r="http://schemas.openxmlformats.org/officeDocument/2006/relationships" ref="T179" display="https://www.linkedin.com/company/eindexamensite/" r:id="rId611"/>
    <hyperlink xmlns:r="http://schemas.openxmlformats.org/officeDocument/2006/relationships" ref="E180" display="http://exoclass.io/" r:id="rId612"/>
    <hyperlink xmlns:r="http://schemas.openxmlformats.org/officeDocument/2006/relationships" ref="R180" display="https://www.instagram.com/exoclass_com/" r:id="rId613"/>
    <hyperlink xmlns:r="http://schemas.openxmlformats.org/officeDocument/2006/relationships" ref="T180" display="https://www.linkedin.com/company/exoclass" r:id="rId614"/>
    <hyperlink xmlns:r="http://schemas.openxmlformats.org/officeDocument/2006/relationships" ref="E181" display="http://www.01edu.ai/" r:id="rId615"/>
    <hyperlink xmlns:r="http://schemas.openxmlformats.org/officeDocument/2006/relationships" ref="T181" display="https://www.linkedin.com/company/01edu/posts/?feedView=all" r:id="rId616"/>
    <hyperlink xmlns:r="http://schemas.openxmlformats.org/officeDocument/2006/relationships" ref="E182" display="https://slonig.org/" r:id="rId617"/>
    <hyperlink xmlns:r="http://schemas.openxmlformats.org/officeDocument/2006/relationships" ref="E183" display="https://zimsalabim.webflow.io/" r:id="rId618"/>
    <hyperlink xmlns:r="http://schemas.openxmlformats.org/officeDocument/2006/relationships" ref="T183" display="https://www.linkedin.com/in/karel" r:id="rId619"/>
    <hyperlink xmlns:r="http://schemas.openxmlformats.org/officeDocument/2006/relationships" ref="E184" display="https://dfe.org.ua/" r:id="rId620"/>
    <hyperlink xmlns:r="http://schemas.openxmlformats.org/officeDocument/2006/relationships" ref="T184" display="https://www.linkedin.com/in/nataliya" r:id="rId621"/>
    <hyperlink xmlns:r="http://schemas.openxmlformats.org/officeDocument/2006/relationships" ref="E185" display="https://gioschool.com/" r:id="rId622"/>
    <hyperlink xmlns:r="http://schemas.openxmlformats.org/officeDocument/2006/relationships" ref="T185" display="https://www.linkedin.com/company/gios" r:id="rId623"/>
    <hyperlink xmlns:r="http://schemas.openxmlformats.org/officeDocument/2006/relationships" ref="AE185" display="https://www.facebook.com/GIOS.school" r:id="rId624"/>
    <hyperlink xmlns:r="http://schemas.openxmlformats.org/officeDocument/2006/relationships" ref="E186" display="http://betterstudy.ch/" r:id="rId625"/>
    <hyperlink xmlns:r="http://schemas.openxmlformats.org/officeDocument/2006/relationships" ref="E187" display="https://www.susydiario.it/" r:id="rId626"/>
    <hyperlink xmlns:r="http://schemas.openxmlformats.org/officeDocument/2006/relationships" ref="E188" display="http://www.fedu.ai/" r:id="rId627"/>
    <hyperlink xmlns:r="http://schemas.openxmlformats.org/officeDocument/2006/relationships" ref="T188" display="https://www.linkedin.com/company/mentalup" r:id="rId628"/>
    <hyperlink xmlns:r="http://schemas.openxmlformats.org/officeDocument/2006/relationships" ref="E189" display="http://www.fortissimo.education/en" r:id="rId629"/>
    <hyperlink xmlns:r="http://schemas.openxmlformats.org/officeDocument/2006/relationships" ref="R189" display="https://www.instagram.com/fortissimo.education" r:id="rId630"/>
    <hyperlink xmlns:r="http://schemas.openxmlformats.org/officeDocument/2006/relationships" ref="T189" display="https://www.linkedin.com/company/fortissimo" r:id="rId631"/>
    <hyperlink xmlns:r="http://schemas.openxmlformats.org/officeDocument/2006/relationships" ref="AE189" display="https://www.facebook.com/p/Fortissimo" r:id="rId632"/>
    <hyperlink xmlns:r="http://schemas.openxmlformats.org/officeDocument/2006/relationships" ref="E190" display="http://www.educacode.com/" r:id="rId633"/>
    <hyperlink xmlns:r="http://schemas.openxmlformats.org/officeDocument/2006/relationships" ref="T190" display="https://www.linkedin.com/company/educacode" r:id="rId634"/>
    <hyperlink xmlns:r="http://schemas.openxmlformats.org/officeDocument/2006/relationships" ref="E191" display="http://www.quizzability.com/" r:id="rId635"/>
    <hyperlink xmlns:r="http://schemas.openxmlformats.org/officeDocument/2006/relationships" ref="T191" display="https://pt.linkedin.com/company/quizzability" r:id="rId636"/>
    <hyperlink xmlns:r="http://schemas.openxmlformats.org/officeDocument/2006/relationships" ref="E192" display="https://tgi-platform.com/" r:id="rId637"/>
    <hyperlink xmlns:r="http://schemas.openxmlformats.org/officeDocument/2006/relationships" ref="T192" display="https://www.linkedin.com/in/valya" r:id="rId638"/>
    <hyperlink xmlns:r="http://schemas.openxmlformats.org/officeDocument/2006/relationships" ref="E193" display="https://widid.fr/" r:id="rId639"/>
    <hyperlink xmlns:r="http://schemas.openxmlformats.org/officeDocument/2006/relationships" ref="T193" display="https://www.linkedin.com/company/11763645/" r:id="rId640"/>
    <hyperlink xmlns:r="http://schemas.openxmlformats.org/officeDocument/2006/relationships" ref="AE194" display="https://www.facebook.com/TraiNex24" r:id="rId641"/>
    <hyperlink xmlns:r="http://schemas.openxmlformats.org/officeDocument/2006/relationships" ref="E195" display="https://www.ode.systems/" r:id="rId642"/>
    <hyperlink xmlns:r="http://schemas.openxmlformats.org/officeDocument/2006/relationships" ref="T195" display="https://www.linkedin.com/company/odeeasychoice/" r:id="rId643"/>
    <hyperlink xmlns:r="http://schemas.openxmlformats.org/officeDocument/2006/relationships" ref="AE195" display="https://www.facebook.com/ODE.systems" r:id="rId644"/>
    <hyperlink xmlns:r="http://schemas.openxmlformats.org/officeDocument/2006/relationships" ref="E196" display="http://unicef.org/" r:id="rId645"/>
    <hyperlink xmlns:r="http://schemas.openxmlformats.org/officeDocument/2006/relationships" ref="E197" display="http://mathscircle.com/" r:id="rId646"/>
    <hyperlink xmlns:r="http://schemas.openxmlformats.org/officeDocument/2006/relationships" ref="E198" display="http://quikwise.ai/" r:id="rId647"/>
    <hyperlink xmlns:r="http://schemas.openxmlformats.org/officeDocument/2006/relationships" ref="T198" display="https://www.instagram.com/quikwise.ai" r:id="rId648"/>
    <hyperlink xmlns:r="http://schemas.openxmlformats.org/officeDocument/2006/relationships" ref="AE198" display="https://www.facebook.com/quikwise" r:id="rId649"/>
    <hyperlink xmlns:r="http://schemas.openxmlformats.org/officeDocument/2006/relationships" ref="E199" display="http://www.analytikus.com/" r:id="rId650"/>
    <hyperlink xmlns:r="http://schemas.openxmlformats.org/officeDocument/2006/relationships" ref="T199" display="https://www.linkedin.com/company/analytikus/" r:id="rId651"/>
    <hyperlink xmlns:r="http://schemas.openxmlformats.org/officeDocument/2006/relationships" ref="E200" display="http://corolair.com/" r:id="rId652"/>
    <hyperlink xmlns:r="http://schemas.openxmlformats.org/officeDocument/2006/relationships" ref="E201" display="http://www.brightbook.io/" r:id="rId653"/>
    <hyperlink xmlns:r="http://schemas.openxmlformats.org/officeDocument/2006/relationships" ref="T201" display="https://www.linkedin.com/company/86933752/admin/dashboard/" r:id="rId654"/>
    <hyperlink xmlns:r="http://schemas.openxmlformats.org/officeDocument/2006/relationships" ref="AE201" display="https://www.facebook.com/p/Brightbook" r:id="rId655"/>
    <hyperlink xmlns:r="http://schemas.openxmlformats.org/officeDocument/2006/relationships" ref="E202" display="https://wellbased.nl/" r:id="rId656"/>
    <hyperlink xmlns:r="http://schemas.openxmlformats.org/officeDocument/2006/relationships" ref="E203" display="https://beeznest.com/" r:id="rId657"/>
    <hyperlink xmlns:r="http://schemas.openxmlformats.org/officeDocument/2006/relationships" ref="T203" display="https://www.linkedin.com/company/206029/" r:id="rId658"/>
    <hyperlink xmlns:r="http://schemas.openxmlformats.org/officeDocument/2006/relationships" ref="E204" display="http://morphoses.io/" r:id="rId659"/>
    <hyperlink xmlns:r="http://schemas.openxmlformats.org/officeDocument/2006/relationships" ref="T204" display="https://www.linkedin.com/company/74557040" r:id="rId660"/>
    <hyperlink xmlns:r="http://schemas.openxmlformats.org/officeDocument/2006/relationships" ref="E205" display="https://singularity-experts.com/en/" r:id="rId661"/>
    <hyperlink xmlns:r="http://schemas.openxmlformats.org/officeDocument/2006/relationships" ref="T205" display="https://www.linkedin.com/company/singularity" r:id="rId662"/>
    <hyperlink xmlns:r="http://schemas.openxmlformats.org/officeDocument/2006/relationships" ref="E206" display="https://www.snackson.com/" r:id="rId663"/>
    <hyperlink xmlns:r="http://schemas.openxmlformats.org/officeDocument/2006/relationships" ref="T206" display="https://www.linkedin.com/company/snackson/" r:id="rId664"/>
    <hyperlink xmlns:r="http://schemas.openxmlformats.org/officeDocument/2006/relationships" ref="E207" display="http://www.academicsoftware.com/" r:id="rId665"/>
    <hyperlink xmlns:r="http://schemas.openxmlformats.org/officeDocument/2006/relationships" ref="T207" display="http://www.linkedin.com/company/academic" r:id="rId666"/>
    <hyperlink xmlns:r="http://schemas.openxmlformats.org/officeDocument/2006/relationships" ref="E208" display="http://www.eduintel.io/" r:id="rId667"/>
    <hyperlink xmlns:r="http://schemas.openxmlformats.org/officeDocument/2006/relationships" ref="E209" display="http://unowhy.com/" r:id="rId668"/>
    <hyperlink xmlns:r="http://schemas.openxmlformats.org/officeDocument/2006/relationships" ref="E210" display="https://global.exatech-group.com/" r:id="rId669"/>
    <hyperlink xmlns:r="http://schemas.openxmlformats.org/officeDocument/2006/relationships" ref="S210" display="https://x.com/exatechgroup;" r:id="rId670"/>
    <hyperlink xmlns:r="http://schemas.openxmlformats.org/officeDocument/2006/relationships" ref="T210" display="https://fr.linkedin.com/company/exatech" r:id="rId671"/>
    <hyperlink xmlns:r="http://schemas.openxmlformats.org/officeDocument/2006/relationships" ref="E211" display="http://lanterna.com/" r:id="rId672"/>
    <hyperlink xmlns:r="http://schemas.openxmlformats.org/officeDocument/2006/relationships" ref="T211" display="https://www.linkedin.com/company/1227848" r:id="rId673"/>
    <hyperlink xmlns:r="http://schemas.openxmlformats.org/officeDocument/2006/relationships" ref="E212" display="https://www.tempusinfo.se/" r:id="rId674"/>
    <hyperlink xmlns:r="http://schemas.openxmlformats.org/officeDocument/2006/relationships" ref="R212" display="https://www.instagram.com/tempus_information_systems_ab/" r:id="rId675"/>
    <hyperlink xmlns:r="http://schemas.openxmlformats.org/officeDocument/2006/relationships" ref="T212" display="https://www.linkedin.com/company/tempus" r:id="rId676"/>
    <hyperlink xmlns:r="http://schemas.openxmlformats.org/officeDocument/2006/relationships" ref="AE212" display="https://www.facebook.com/tempusinfo/" r:id="rId677"/>
    <hyperlink xmlns:r="http://schemas.openxmlformats.org/officeDocument/2006/relationships" ref="E213" display="http://www.myfaba.com/" r:id="rId678"/>
    <hyperlink xmlns:r="http://schemas.openxmlformats.org/officeDocument/2006/relationships" ref="T213" display="https://www.linkedin.com/company/faba" r:id="rId679"/>
    <hyperlink xmlns:r="http://schemas.openxmlformats.org/officeDocument/2006/relationships" ref="E214" display="http://www.reteach.com/" r:id="rId680"/>
    <hyperlink xmlns:r="http://schemas.openxmlformats.org/officeDocument/2006/relationships" ref="E215" display="https://alec-edu.com/" r:id="rId681"/>
    <hyperlink xmlns:r="http://schemas.openxmlformats.org/officeDocument/2006/relationships" ref="E216" display="http://algebrakit.com/" r:id="rId682"/>
    <hyperlink xmlns:r="http://schemas.openxmlformats.org/officeDocument/2006/relationships" ref="T216" display="https://www.linkedin.com/company/algebrakit" r:id="rId683"/>
    <hyperlink xmlns:r="http://schemas.openxmlformats.org/officeDocument/2006/relationships" ref="E217" display="http://www.maxbrain.com/" r:id="rId684"/>
    <hyperlink xmlns:r="http://schemas.openxmlformats.org/officeDocument/2006/relationships" ref="T217" display="https://www.linkedin.com/company/maxbrain" r:id="rId685"/>
    <hyperlink xmlns:r="http://schemas.openxmlformats.org/officeDocument/2006/relationships" ref="E218" display="http://kiwix.org/" r:id="rId686"/>
    <hyperlink xmlns:r="http://schemas.openxmlformats.org/officeDocument/2006/relationships" ref="T218" display="https://www.linkedin.com/company/kiwixoffline" r:id="rId687"/>
    <hyperlink xmlns:r="http://schemas.openxmlformats.org/officeDocument/2006/relationships" ref="E219" display="https://lutz.education/" r:id="rId688"/>
    <hyperlink xmlns:r="http://schemas.openxmlformats.org/officeDocument/2006/relationships" ref="T219" display="https://www.linkedin.com/company/lutz" r:id="rId689"/>
    <hyperlink xmlns:r="http://schemas.openxmlformats.org/officeDocument/2006/relationships" ref="E220" display="http://www.learningstone.com/" r:id="rId690"/>
    <hyperlink xmlns:r="http://schemas.openxmlformats.org/officeDocument/2006/relationships" ref="T220" display="https://www.linkedin.com/company/learningstone" r:id="rId691"/>
    <hyperlink xmlns:r="http://schemas.openxmlformats.org/officeDocument/2006/relationships" ref="E221" display="http://www.edunexis.com/" r:id="rId692"/>
    <hyperlink xmlns:r="http://schemas.openxmlformats.org/officeDocument/2006/relationships" ref="E222" display="https://cards-microlearning.com/" r:id="rId693"/>
    <hyperlink xmlns:r="http://schemas.openxmlformats.org/officeDocument/2006/relationships" ref="T222" display="https://www.linkedin.com/company/cards" r:id="rId694"/>
    <hyperlink xmlns:r="http://schemas.openxmlformats.org/officeDocument/2006/relationships" ref="E223" display="http://www.readmio.com/" r:id="rId695"/>
    <hyperlink xmlns:r="http://schemas.openxmlformats.org/officeDocument/2006/relationships" ref="T223" display="https://www.linkedin.com/company/42912604/admin/dashboard/" r:id="rId696"/>
    <hyperlink xmlns:r="http://schemas.openxmlformats.org/officeDocument/2006/relationships" ref="E224" display="https://humanaitech.com/" r:id="rId697"/>
    <hyperlink xmlns:r="http://schemas.openxmlformats.org/officeDocument/2006/relationships" ref="R224" display="https://www.instagram.com/humanai_tech/" r:id="rId698"/>
    <hyperlink xmlns:r="http://schemas.openxmlformats.org/officeDocument/2006/relationships" ref="T224" display="https://www.linkedin.com/company/aplicaciones" r:id="rId699"/>
    <hyperlink xmlns:r="http://schemas.openxmlformats.org/officeDocument/2006/relationships" ref="E225" display="https://onebonsai.com/" r:id="rId700"/>
    <hyperlink xmlns:r="http://schemas.openxmlformats.org/officeDocument/2006/relationships" ref="T225" display="https://www.linkedin.com/company/onebonsai" r:id="rId701"/>
    <hyperlink xmlns:r="http://schemas.openxmlformats.org/officeDocument/2006/relationships" ref="E226" display="https://business.metalearnapps.com/" r:id="rId702"/>
    <hyperlink xmlns:r="http://schemas.openxmlformats.org/officeDocument/2006/relationships" ref="T226" display="https://www.linkedin.com/company/meta" r:id="rId703"/>
    <hyperlink xmlns:r="http://schemas.openxmlformats.org/officeDocument/2006/relationships" ref="E227" display="https://www.schubu.org/" r:id="rId704"/>
    <hyperlink xmlns:r="http://schemas.openxmlformats.org/officeDocument/2006/relationships" ref="T227" display="https://at.linkedin.com/company/schubuwien" r:id="rId705"/>
    <hyperlink xmlns:r="http://schemas.openxmlformats.org/officeDocument/2006/relationships" ref="E228" display="https://www.kwizie.ai/" r:id="rId706"/>
    <hyperlink xmlns:r="http://schemas.openxmlformats.org/officeDocument/2006/relationships" ref="T228" display="https://www.linkedin.com/company/kwizie/" r:id="rId707"/>
    <hyperlink xmlns:r="http://schemas.openxmlformats.org/officeDocument/2006/relationships" ref="E229" display="https://scenesnap.co/" r:id="rId708"/>
    <hyperlink xmlns:r="http://schemas.openxmlformats.org/officeDocument/2006/relationships" ref="T229" display="https://www.linkedin.com/company/scenesnap/" r:id="rId709"/>
    <hyperlink xmlns:r="http://schemas.openxmlformats.org/officeDocument/2006/relationships" ref="E230" display="http://www.edchild.com/" r:id="rId710"/>
    <hyperlink xmlns:r="http://schemas.openxmlformats.org/officeDocument/2006/relationships" ref="AE230" display="https://www.facebook.com/edChildECEAcademy" r:id="rId711"/>
    <hyperlink xmlns:r="http://schemas.openxmlformats.org/officeDocument/2006/relationships" ref="E231" display="https://yournextconcepts.com/" r:id="rId712"/>
    <hyperlink xmlns:r="http://schemas.openxmlformats.org/officeDocument/2006/relationships" ref="T231" display="https://www.linkedin.com/company/yournextconcepts/" r:id="rId713"/>
    <hyperlink xmlns:r="http://schemas.openxmlformats.org/officeDocument/2006/relationships" ref="E232" display="https://redox-interactive.com/" r:id="rId714"/>
    <hyperlink xmlns:r="http://schemas.openxmlformats.org/officeDocument/2006/relationships" ref="E233" display="http://uglyducklinggames.com/" r:id="rId715"/>
    <hyperlink xmlns:r="http://schemas.openxmlformats.org/officeDocument/2006/relationships" ref="T233" display="https://www.linkedin.com/company/uglyducklinggames/" r:id="rId716"/>
    <hyperlink xmlns:r="http://schemas.openxmlformats.org/officeDocument/2006/relationships" ref="E234" display="https://epaportfolio.com/" r:id="rId717"/>
    <hyperlink xmlns:r="http://schemas.openxmlformats.org/officeDocument/2006/relationships" ref="T234" display="https://www.linkedin.com/showcase/epa" r:id="rId718"/>
    <hyperlink xmlns:r="http://schemas.openxmlformats.org/officeDocument/2006/relationships" ref="E235" display="https://braingaze.com/" r:id="rId719"/>
    <hyperlink xmlns:r="http://schemas.openxmlformats.org/officeDocument/2006/relationships" ref="T235" display="https://www.linkedin.com/company/braingaze" r:id="rId720"/>
    <hyperlink xmlns:r="http://schemas.openxmlformats.org/officeDocument/2006/relationships" ref="E236" display="https://www.edruptiva.org/" r:id="rId721"/>
    <hyperlink xmlns:r="http://schemas.openxmlformats.org/officeDocument/2006/relationships" ref="T236" display="https://www.linkedin.com/company/edruptiva/" r:id="rId722"/>
    <hyperlink xmlns:r="http://schemas.openxmlformats.org/officeDocument/2006/relationships" ref="E237" display="https://www.fluxlearning.net/" r:id="rId723"/>
    <hyperlink xmlns:r="http://schemas.openxmlformats.org/officeDocument/2006/relationships" ref="T237" display="https://www.linkedin.com/company/13041153/" r:id="rId724"/>
    <hyperlink xmlns:r="http://schemas.openxmlformats.org/officeDocument/2006/relationships" ref="E238" display="https://www.habitatlearn.com/" r:id="rId725"/>
    <hyperlink xmlns:r="http://schemas.openxmlformats.org/officeDocument/2006/relationships" ref="T238" display="https://www.linkedin.com/in/habitatlearn/" r:id="rId726"/>
    <hyperlink xmlns:r="http://schemas.openxmlformats.org/officeDocument/2006/relationships" ref="E239" display="http://www.conexus.no/" r:id="rId727"/>
    <hyperlink xmlns:r="http://schemas.openxmlformats.org/officeDocument/2006/relationships" ref="E240" display="http://www.robotech.si/" r:id="rId728"/>
    <hyperlink xmlns:r="http://schemas.openxmlformats.org/officeDocument/2006/relationships" ref="T240" display="https://www.linkedin.com/in/obucek/" r:id="rId729"/>
    <hyperlink xmlns:r="http://schemas.openxmlformats.org/officeDocument/2006/relationships" ref="E241" display="http://www.greenscreenbox.eu/" r:id="rId730"/>
    <hyperlink xmlns:r="http://schemas.openxmlformats.org/officeDocument/2006/relationships" ref="R241" display="https://www.instagram.com/greenscreenbox/" r:id="rId731"/>
    <hyperlink xmlns:r="http://schemas.openxmlformats.org/officeDocument/2006/relationships" ref="T241" display="https://nl.linkedin.com/company/monop" r:id="rId732"/>
    <hyperlink xmlns:r="http://schemas.openxmlformats.org/officeDocument/2006/relationships" ref="AE241" display="https://www.facebook.com/Greenscreenbox/" r:id="rId733"/>
    <hyperlink xmlns:r="http://schemas.openxmlformats.org/officeDocument/2006/relationships" ref="E242" display="https://happycode.pt/" r:id="rId734"/>
    <hyperlink xmlns:r="http://schemas.openxmlformats.org/officeDocument/2006/relationships" ref="T242" display="https://www.linkedin.com/company/happycodept/" r:id="rId735"/>
    <hyperlink xmlns:r="http://schemas.openxmlformats.org/officeDocument/2006/relationships" ref="E243" display="https://www.x2mobile.net/" r:id="rId736"/>
    <hyperlink xmlns:r="http://schemas.openxmlformats.org/officeDocument/2006/relationships" ref="T243" display="https://www.linkedin.com/company/x2mobile/" r:id="rId737"/>
    <hyperlink xmlns:r="http://schemas.openxmlformats.org/officeDocument/2006/relationships" ref="E244" display="http://www.skillgym.com/" r:id="rId738"/>
    <hyperlink xmlns:r="http://schemas.openxmlformats.org/officeDocument/2006/relationships" ref="T244" display="https://www.linkedin.com/company/skillgym/" r:id="rId739"/>
    <hyperlink xmlns:r="http://schemas.openxmlformats.org/officeDocument/2006/relationships" ref="E245" display="http://www.frontread.com/" r:id="rId740"/>
    <hyperlink xmlns:r="http://schemas.openxmlformats.org/officeDocument/2006/relationships" ref="T245" display="https://www.linkedin.com/company/5352422/admin/dashboard/" r:id="rId741"/>
    <hyperlink xmlns:r="http://schemas.openxmlformats.org/officeDocument/2006/relationships" ref="E246" display="https://www.levebee.com/" r:id="rId742"/>
    <hyperlink xmlns:r="http://schemas.openxmlformats.org/officeDocument/2006/relationships" ref="S246" display="https://x.com/levebeeapp" r:id="rId743"/>
    <hyperlink xmlns:r="http://schemas.openxmlformats.org/officeDocument/2006/relationships" ref="E247" display="https://discentis.it/" r:id="rId744"/>
    <hyperlink xmlns:r="http://schemas.openxmlformats.org/officeDocument/2006/relationships" ref="R247" display="https://www.instagram.com/discentis.it/" r:id="rId745"/>
    <hyperlink xmlns:r="http://schemas.openxmlformats.org/officeDocument/2006/relationships" ref="T247" display="https://www.linkedin.com/company/discentis/" r:id="rId746"/>
    <hyperlink xmlns:r="http://schemas.openxmlformats.org/officeDocument/2006/relationships" ref="E248" display="https://ecwt.eu/" r:id="rId747"/>
    <hyperlink xmlns:r="http://schemas.openxmlformats.org/officeDocument/2006/relationships" ref="T248" display="https://www.linkedin.com/in/womenandtechnology/" r:id="rId748"/>
    <hyperlink xmlns:r="http://schemas.openxmlformats.org/officeDocument/2006/relationships" ref="AE248" display="https://www.facebook.com/w4techEU" r:id="rId749"/>
    <hyperlink xmlns:r="http://schemas.openxmlformats.org/officeDocument/2006/relationships" ref="E249" display="http://www.equalmate.it/" r:id="rId750"/>
    <hyperlink xmlns:r="http://schemas.openxmlformats.org/officeDocument/2006/relationships" ref="E250" display="http://genio.co/" r:id="rId751"/>
    <hyperlink xmlns:r="http://schemas.openxmlformats.org/officeDocument/2006/relationships" ref="T250" display="https://www.linkedin.com/company/geniolearn/posts/?feedView=all" r:id="rId752"/>
    <hyperlink xmlns:r="http://schemas.openxmlformats.org/officeDocument/2006/relationships" ref="E251" display="https://www.collaborationlaboratory.com/" r:id="rId753"/>
    <hyperlink xmlns:r="http://schemas.openxmlformats.org/officeDocument/2006/relationships" ref="R251" display="https://www.instagram.com/colab_global_/" r:id="rId754"/>
    <hyperlink xmlns:r="http://schemas.openxmlformats.org/officeDocument/2006/relationships" ref="T251" display="https://www.linkedin.com/company/collaboration-laboratory" r:id="rId755"/>
    <hyperlink xmlns:r="http://schemas.openxmlformats.org/officeDocument/2006/relationships" ref="Y251" display="https://drive.google.com/uc?export=view&amp;id=1pp0MjmL9-4UG_ExR4bmn0dL7jzDG9rfh" r:id="rId756"/>
    <hyperlink xmlns:r="http://schemas.openxmlformats.org/officeDocument/2006/relationships" ref="E252" display="https://delenta.com/" r:id="rId757"/>
    <hyperlink xmlns:r="http://schemas.openxmlformats.org/officeDocument/2006/relationships" ref="S252" display="https://x.com/Delentacoaching" r:id="rId758"/>
    <hyperlink xmlns:r="http://schemas.openxmlformats.org/officeDocument/2006/relationships" ref="T252" display="https://www.linkedin.com/company/delenta/" r:id="rId759"/>
    <hyperlink xmlns:r="http://schemas.openxmlformats.org/officeDocument/2006/relationships" ref="Y252" display="https://drive.google.com/uc?export=view&amp;id=1Av2BZ8tnQWdhBGiebJMLzkbAfKIxxrQb" r:id="rId760"/>
    <hyperlink xmlns:r="http://schemas.openxmlformats.org/officeDocument/2006/relationships" ref="E253" display="https://decriancaparacrianca.com.br/en/" r:id="rId761"/>
    <hyperlink xmlns:r="http://schemas.openxmlformats.org/officeDocument/2006/relationships" ref="Y253" display="https://drive.google.com/uc?export=view&amp;id=1bkq3-JDoXwLUVn21hzq0wRqLJugI4tVN" r:id="rId762"/>
    <hyperlink xmlns:r="http://schemas.openxmlformats.org/officeDocument/2006/relationships" ref="E254" display="https://learngraph.org/" r:id="rId763"/>
    <hyperlink xmlns:r="http://schemas.openxmlformats.org/officeDocument/2006/relationships" ref="R254" display="https://www.instagram.com/learngraph_org/" r:id="rId764"/>
    <hyperlink xmlns:r="http://schemas.openxmlformats.org/officeDocument/2006/relationships" ref="T254" display="https://www.linkedin.com/company/learngraph" r:id="rId765"/>
    <hyperlink xmlns:r="http://schemas.openxmlformats.org/officeDocument/2006/relationships" ref="Y254" display="https://drive.google.com/uc?export=view&amp;id=1rDs6ulz-x6nHoolDDj8x-q62ECbHgpPG" r:id="rId766"/>
    <hyperlink xmlns:r="http://schemas.openxmlformats.org/officeDocument/2006/relationships" ref="E255" display="https://niftylearning.io/" r:id="rId767"/>
    <hyperlink xmlns:r="http://schemas.openxmlformats.org/officeDocument/2006/relationships" ref="T255" display="https://www.linkedin.com/company/niftylearning" r:id="rId768"/>
    <hyperlink xmlns:r="http://schemas.openxmlformats.org/officeDocument/2006/relationships" ref="Y255" display="https://drive.google.com/uc?export=view&amp;id=1Z0dmTKUX9yTViMacAayWbSSQUqY3KroY" r:id="rId769"/>
    <hyperlink xmlns:r="http://schemas.openxmlformats.org/officeDocument/2006/relationships" ref="E256" display="http://englishtherapy.co.uk/" r:id="rId770"/>
    <hyperlink xmlns:r="http://schemas.openxmlformats.org/officeDocument/2006/relationships" ref="T256" display="https://www.linkedin.com/company/english-learning-therapy" r:id="rId771"/>
    <hyperlink xmlns:r="http://schemas.openxmlformats.org/officeDocument/2006/relationships" ref="Y256" display="https://drive.google.com/uc?export=view&amp;id=1XTssh_x714NNGecEqwot8Cfhro1BheCX" r:id="rId772"/>
    <hyperlink xmlns:r="http://schemas.openxmlformats.org/officeDocument/2006/relationships" ref="E257" display="https://www.indipaed.de/" r:id="rId773"/>
    <hyperlink xmlns:r="http://schemas.openxmlformats.org/officeDocument/2006/relationships" ref="R257" display="https://www.instagram.com/indipaed/" r:id="rId774"/>
    <hyperlink xmlns:r="http://schemas.openxmlformats.org/officeDocument/2006/relationships" ref="S257" display="https://x.com/indipaed" r:id="rId775"/>
    <hyperlink xmlns:r="http://schemas.openxmlformats.org/officeDocument/2006/relationships" ref="T257" display="https://www.linkedin.com/company/indipaed/" r:id="rId776"/>
    <hyperlink xmlns:r="http://schemas.openxmlformats.org/officeDocument/2006/relationships" ref="Y257" display="https://drive.google.com/uc?export=view&amp;id=1gxzvStaQfeWptb4M8zzRQHyYxVr9xCB5" r:id="rId777"/>
    <hyperlink xmlns:r="http://schemas.openxmlformats.org/officeDocument/2006/relationships" ref="E258" display="http://www.cogniphant.org/" r:id="rId778"/>
    <hyperlink xmlns:r="http://schemas.openxmlformats.org/officeDocument/2006/relationships" ref="T258" display="https://www.linkedin.com/company/cogniphant/" r:id="rId779"/>
    <hyperlink xmlns:r="http://schemas.openxmlformats.org/officeDocument/2006/relationships" ref="Y258" display="https://drive.google.com/uc?export=view&amp;id=1tNQQjGpLMpZq0NUXaDWsYG7bQp11K-ex" r:id="rId780"/>
    <hyperlink xmlns:r="http://schemas.openxmlformats.org/officeDocument/2006/relationships" ref="E259" display="https://icobc.net/" r:id="rId781"/>
    <hyperlink xmlns:r="http://schemas.openxmlformats.org/officeDocument/2006/relationships" ref="T259" display="https://www.linkedin.com/groups/2702395/" r:id="rId782"/>
    <hyperlink xmlns:r="http://schemas.openxmlformats.org/officeDocument/2006/relationships" ref="Y259" display="https://drive.google.com/uc?export=view&amp;id=17H9DkNZkFru5Crf0tlm584D0e5wZeeVX" r:id="rId783"/>
    <hyperlink xmlns:r="http://schemas.openxmlformats.org/officeDocument/2006/relationships" ref="E260" display="https://www.savremena-osnovna.edu.rs/" r:id="rId784"/>
    <hyperlink xmlns:r="http://schemas.openxmlformats.org/officeDocument/2006/relationships" ref="Y260" display="https://drive.google.com/uc?export=view&amp;id=1XejP6Ukcua5ebT53yQlgLv218KZITvbe" r:id="rId785"/>
    <hyperlink xmlns:r="http://schemas.openxmlformats.org/officeDocument/2006/relationships" ref="E261" display="https://www.msq.at/" r:id="rId786"/>
    <hyperlink xmlns:r="http://schemas.openxmlformats.org/officeDocument/2006/relationships" ref="T261" display="https://www.linkedin.com/company/mediasquad/" r:id="rId787"/>
    <hyperlink xmlns:r="http://schemas.openxmlformats.org/officeDocument/2006/relationships" ref="Y261" display="https://drive.google.com/uc?export=view&amp;id=1LbiAPO8qu2foB2y5sB157iBfWaQUen8n" r:id="rId788"/>
    <hyperlink xmlns:r="http://schemas.openxmlformats.org/officeDocument/2006/relationships" ref="E262" display="https://lekon.dk/kurser" r:id="rId789"/>
    <hyperlink xmlns:r="http://schemas.openxmlformats.org/officeDocument/2006/relationships" ref="T262" display="https://www.linkedin.com/company/lekon-r-dgivning/" r:id="rId790"/>
    <hyperlink xmlns:r="http://schemas.openxmlformats.org/officeDocument/2006/relationships" ref="Y262" display="https://drive.google.com/uc?export=view&amp;id=1SzSXE1GkFxvFgGUY6rVWz18PD140gM_Q" r:id="rId791"/>
    <hyperlink xmlns:r="http://schemas.openxmlformats.org/officeDocument/2006/relationships" ref="E263" display="https://enlightware.ch/" r:id="rId792"/>
    <hyperlink xmlns:r="http://schemas.openxmlformats.org/officeDocument/2006/relationships" ref="R263" display="https://www.instagram.com/candlicreate/" r:id="rId793"/>
    <hyperlink xmlns:r="http://schemas.openxmlformats.org/officeDocument/2006/relationships" ref="T263" display="https://www.linkedin.com/company/enlightware/" r:id="rId794"/>
    <hyperlink xmlns:r="http://schemas.openxmlformats.org/officeDocument/2006/relationships" ref="Y263" display="https://drive.google.com/uc?export=view&amp;id=1Igk-3Vp9zFZmQ8R3vq-eBIHQTlnnYo5b" r:id="rId795"/>
    <hyperlink xmlns:r="http://schemas.openxmlformats.org/officeDocument/2006/relationships" ref="D264" display="http://humy.ai/" r:id="rId796"/>
    <hyperlink xmlns:r="http://schemas.openxmlformats.org/officeDocument/2006/relationships" ref="E264" display="http://www.humy.ai/" r:id="rId797"/>
    <hyperlink xmlns:r="http://schemas.openxmlformats.org/officeDocument/2006/relationships" ref="T264" display="https://www.linkedin.com/company/humy-ai" r:id="rId798"/>
    <hyperlink xmlns:r="http://schemas.openxmlformats.org/officeDocument/2006/relationships" ref="U264" display="http://humy.ai/" r:id="rId799"/>
    <hyperlink xmlns:r="http://schemas.openxmlformats.org/officeDocument/2006/relationships" ref="Y264" display="https://drive.google.com/uc?export=view&amp;id=1fRQno2W7cdNRA99pWW_RsameowepV7hG" r:id="rId800"/>
    <hyperlink xmlns:r="http://schemas.openxmlformats.org/officeDocument/2006/relationships" ref="E265" display="https://meritus.ai/" r:id="rId801"/>
    <hyperlink xmlns:r="http://schemas.openxmlformats.org/officeDocument/2006/relationships" ref="R265" display="https://www.instagram.com/meritus.ai/" r:id="rId802"/>
    <hyperlink xmlns:r="http://schemas.openxmlformats.org/officeDocument/2006/relationships" ref="S265" display="https://x.com/MeritusAI/status/1881586399260144079" r:id="rId803"/>
    <hyperlink xmlns:r="http://schemas.openxmlformats.org/officeDocument/2006/relationships" ref="T265" display="https://in.linkedin.com/company/meritusai" r:id="rId804"/>
    <hyperlink xmlns:r="http://schemas.openxmlformats.org/officeDocument/2006/relationships" ref="Y265" display="https://drive.google.com/uc?export=view&amp;id=16aLvrT2kF38VQQf5z4ooy4zyhc-eUrVW" r:id="rId805"/>
    <hyperlink xmlns:r="http://schemas.openxmlformats.org/officeDocument/2006/relationships" ref="E266" display="https://www.worldhistory.org/" r:id="rId806"/>
    <hyperlink xmlns:r="http://schemas.openxmlformats.org/officeDocument/2006/relationships" ref="Y266" display="https://drive.google.com/uc?export=view&amp;id=1PEWxHZqkip7lExnXHsUW-sQZ6WJ4OIop" r:id="rId807"/>
    <hyperlink xmlns:r="http://schemas.openxmlformats.org/officeDocument/2006/relationships" ref="E267" display="https://vergilai.com/" r:id="rId808"/>
    <hyperlink xmlns:r="http://schemas.openxmlformats.org/officeDocument/2006/relationships" ref="T267" display="https://www.linkedin.com/company/103983727" r:id="rId809"/>
    <hyperlink xmlns:r="http://schemas.openxmlformats.org/officeDocument/2006/relationships" ref="Y267" display="https://drive.google.com/uc?export=view&amp;id=1eXgfFFfccBmC9EXuMDN_x9QRPlqdkJjn" r:id="rId810"/>
    <hyperlink xmlns:r="http://schemas.openxmlformats.org/officeDocument/2006/relationships" ref="E268" display="http://www.wearelearning.io/" r:id="rId811"/>
    <hyperlink xmlns:r="http://schemas.openxmlformats.org/officeDocument/2006/relationships" ref="T268" display="https://www.linkedin.com/company/83500375/admin/feed/posts/" r:id="rId812"/>
    <hyperlink xmlns:r="http://schemas.openxmlformats.org/officeDocument/2006/relationships" ref="Y268" display="https://drive.google.com/uc?export=view&amp;id=1nbBOFp8Nqv3zAjZuJtkckT1fbor7CK2_" r:id="rId813"/>
    <hyperlink xmlns:r="http://schemas.openxmlformats.org/officeDocument/2006/relationships" ref="E269" display="https://fujour.com/" r:id="rId814"/>
    <hyperlink xmlns:r="http://schemas.openxmlformats.org/officeDocument/2006/relationships" ref="R269" display="https://www.instagram.com/fujour_app/" r:id="rId815"/>
    <hyperlink xmlns:r="http://schemas.openxmlformats.org/officeDocument/2006/relationships" ref="S269" display="https://twitter.com/FUJOUR_App" r:id="rId816"/>
    <hyperlink xmlns:r="http://schemas.openxmlformats.org/officeDocument/2006/relationships" ref="T269" display="https://www.linkedin.com/company/98164769" r:id="rId817"/>
    <hyperlink xmlns:r="http://schemas.openxmlformats.org/officeDocument/2006/relationships" ref="Y269" display="https://drive.google.com/uc?export=view&amp;id=1C790PtDnC8uXh3_tj4mo2UuS1-eQnriz" r:id="rId818"/>
    <hyperlink xmlns:r="http://schemas.openxmlformats.org/officeDocument/2006/relationships" ref="E270" display="http://www.oursmarttown.de/" r:id="rId819"/>
    <hyperlink xmlns:r="http://schemas.openxmlformats.org/officeDocument/2006/relationships" ref="T270" display="https://www.linkedin.com/company/oursmart-town/" r:id="rId820"/>
    <hyperlink xmlns:r="http://schemas.openxmlformats.org/officeDocument/2006/relationships" ref="Y270" display="https://drive.google.com/uc?export=view&amp;id=1syp5wyoPwASgHaNyK-29dG01RGPj8kR-" r:id="rId821"/>
    <hyperlink xmlns:r="http://schemas.openxmlformats.org/officeDocument/2006/relationships" ref="E271" display="http://www.binogi.de/" r:id="rId822"/>
    <hyperlink xmlns:r="http://schemas.openxmlformats.org/officeDocument/2006/relationships" ref="Y271" display="https://drive.google.com/uc?export=view&amp;id=1ExBLbD-i887-J2b5qUeRsJBDSYW6oN_J" r:id="rId823"/>
    <hyperlink xmlns:r="http://schemas.openxmlformats.org/officeDocument/2006/relationships" ref="E272" display="https://education.arte.tv/" r:id="rId824"/>
    <hyperlink xmlns:r="http://schemas.openxmlformats.org/officeDocument/2006/relationships" ref="S272" display="https://twitter.com/EducARTEfr" r:id="rId825"/>
    <hyperlink xmlns:r="http://schemas.openxmlformats.org/officeDocument/2006/relationships" ref="T272" display="https://www.linkedin.com/company/arte-education/" r:id="rId826"/>
    <hyperlink xmlns:r="http://schemas.openxmlformats.org/officeDocument/2006/relationships" ref="Y272" display="https://drive.google.com/uc?export=view&amp;id=1-jc7-jGrO6YWvJf-2uXwoRZ_M1SmgIKt" r:id="rId827"/>
    <hyperlink xmlns:r="http://schemas.openxmlformats.org/officeDocument/2006/relationships" ref="E273" display="https://www.freeed.com/" r:id="rId828"/>
    <hyperlink xmlns:r="http://schemas.openxmlformats.org/officeDocument/2006/relationships" ref="T273" display="https://www.linkedin.com/company/freeed/" r:id="rId829"/>
    <hyperlink xmlns:r="http://schemas.openxmlformats.org/officeDocument/2006/relationships" ref="Y273" display="https://drive.google.com/uc?export=view&amp;id=1nRwl2xwkT9jqH1RxBqf5y_A9c59pzS0i" r:id="rId830"/>
    <hyperlink xmlns:r="http://schemas.openxmlformats.org/officeDocument/2006/relationships" ref="E274" display="https://editor.wix.com/html/editor/web/renderer/edit/9a0d6075-831a-4ec5-b816-f69be1cb10af?metaSiteId=b00b86c7-bb2e-4d0a-af84-75b944f65834" r:id="rId831"/>
    <hyperlink xmlns:r="http://schemas.openxmlformats.org/officeDocument/2006/relationships" ref="T274" display="https://www.linkedin.com/in/mar%C3%ADa-de-los-%C3%A1ngeles-%C3%A1lvarez-laso-39a906a/" r:id="rId832"/>
    <hyperlink xmlns:r="http://schemas.openxmlformats.org/officeDocument/2006/relationships" ref="Y274" display="https://drive.google.com/uc?export=view&amp;id=1JGzYVGoxxpYYEtzJAWcolUS5Ec9y8jhZ" r:id="rId833"/>
    <hyperlink xmlns:r="http://schemas.openxmlformats.org/officeDocument/2006/relationships" ref="E275" display="https://fobizz.com/" r:id="rId834"/>
    <hyperlink xmlns:r="http://schemas.openxmlformats.org/officeDocument/2006/relationships" ref="R275" display="https://www.instagram.com/fobizz_com/" r:id="rId835"/>
    <hyperlink xmlns:r="http://schemas.openxmlformats.org/officeDocument/2006/relationships" ref="S275" display="https://twitter.com/fobizz" r:id="rId836"/>
    <hyperlink xmlns:r="http://schemas.openxmlformats.org/officeDocument/2006/relationships" ref="T275" display="https://www.linkedin.com/company/fobizz/" r:id="rId837"/>
    <hyperlink xmlns:r="http://schemas.openxmlformats.org/officeDocument/2006/relationships" ref="Y275" display="https://drive.google.com/uc?export=view&amp;id=1Vp-SeLr-OxTerw9CCP6GWnKGyrNG2qfN" r:id="rId838"/>
    <hyperlink xmlns:r="http://schemas.openxmlformats.org/officeDocument/2006/relationships" ref="E276" display="https://www.viewsonic.com/eu/" r:id="rId839"/>
    <hyperlink xmlns:r="http://schemas.openxmlformats.org/officeDocument/2006/relationships" ref="T276" display="https://www.linkedin.com/company/viewsonic" r:id="rId840"/>
    <hyperlink xmlns:r="http://schemas.openxmlformats.org/officeDocument/2006/relationships" ref="Y276" display="https://drive.google.com/uc?export=view&amp;id=1CMOe4vD8XWve4uAp-SqJvYo9fSVCAz5h" r:id="rId841"/>
    <hyperlink xmlns:r="http://schemas.openxmlformats.org/officeDocument/2006/relationships" ref="Y277" display="https://drive.google.com/uc?export=view&amp;id=1-uX7IgQqyKiQ7EXVfRUpNvgjy4T-HbK8" r:id="rId842"/>
    <hyperlink xmlns:r="http://schemas.openxmlformats.org/officeDocument/2006/relationships" ref="E278" display="https://www.reedu.de/" r:id="rId843"/>
    <hyperlink xmlns:r="http://schemas.openxmlformats.org/officeDocument/2006/relationships" ref="Y278" display="https://drive.google.com/uc?export=view&amp;id=1rY4MqTHd467dc4qCsAeBv2MKVAtAazyD" r:id="rId844"/>
    <hyperlink xmlns:r="http://schemas.openxmlformats.org/officeDocument/2006/relationships" ref="E279" display="https://www.salamandersoft.co.uk/" r:id="rId845"/>
    <hyperlink xmlns:r="http://schemas.openxmlformats.org/officeDocument/2006/relationships" ref="T279" display="https://www.linkedin.com/company/salamandersoft" r:id="rId846"/>
    <hyperlink xmlns:r="http://schemas.openxmlformats.org/officeDocument/2006/relationships" ref="Y279" display="https://drive.google.com/uc?export=view&amp;id=1rch5litgCLh1OA0p_I3t-JAutjPVSKeN" r:id="rId847"/>
    <hyperlink xmlns:r="http://schemas.openxmlformats.org/officeDocument/2006/relationships" ref="E280" display="http://www.learningladders.info/" r:id="rId848"/>
    <hyperlink xmlns:r="http://schemas.openxmlformats.org/officeDocument/2006/relationships" ref="S280" display="https://twitter.com/LearningLadder5" r:id="rId849"/>
    <hyperlink xmlns:r="http://schemas.openxmlformats.org/officeDocument/2006/relationships" ref="T280" display="https://www.linkedin.com/company/5234901" r:id="rId850"/>
    <hyperlink xmlns:r="http://schemas.openxmlformats.org/officeDocument/2006/relationships" ref="Y280" display="https://drive.google.com/uc?export=view&amp;id=1Kdo86D53Gm-hGdx2f19wayRjFepEnJT4" r:id="rId851"/>
    <hyperlink xmlns:r="http://schemas.openxmlformats.org/officeDocument/2006/relationships" ref="E281" display="https://brainyoo.de/" r:id="rId852"/>
    <hyperlink xmlns:r="http://schemas.openxmlformats.org/officeDocument/2006/relationships" ref="R281" display="https://www.instagram.com/brainyoo.lernen/" r:id="rId853"/>
    <hyperlink xmlns:r="http://schemas.openxmlformats.org/officeDocument/2006/relationships" ref="S281" display="https://twitter.com/brainyoo" r:id="rId854"/>
    <hyperlink xmlns:r="http://schemas.openxmlformats.org/officeDocument/2006/relationships" ref="Y281" display="https://drive.google.com/uc?export=view&amp;id=1albQ3mmC_TwFTVrvGjFA1ghlH-bAMukT" r:id="rId855"/>
    <hyperlink xmlns:r="http://schemas.openxmlformats.org/officeDocument/2006/relationships" ref="R282" display="https://www.instagram.com/coolcloudwise/" r:id="rId856"/>
    <hyperlink xmlns:r="http://schemas.openxmlformats.org/officeDocument/2006/relationships" ref="T282" display="https://www.linkedin.com/company/64560789/admin/" r:id="rId857"/>
    <hyperlink xmlns:r="http://schemas.openxmlformats.org/officeDocument/2006/relationships" ref="Y282" display="https://drive.google.com/uc?export=view&amp;id=1ILaxrDs73EMaq1bq33tkHKLoTmggcbD6" r:id="rId858"/>
    <hyperlink xmlns:r="http://schemas.openxmlformats.org/officeDocument/2006/relationships" ref="E283" display="http://www.learningvillage.net/" r:id="rId859"/>
    <hyperlink xmlns:r="http://schemas.openxmlformats.org/officeDocument/2006/relationships" ref="Y283" display="https://drive.google.com/uc?export=view&amp;id=14bnpIju9FVkz3SuiZslenFuaBkjhf1WP" r:id="rId860"/>
    <hyperlink xmlns:r="http://schemas.openxmlformats.org/officeDocument/2006/relationships" ref="E284" display="http://www.ec-play.com/" r:id="rId861"/>
    <hyperlink xmlns:r="http://schemas.openxmlformats.org/officeDocument/2006/relationships" ref="Y284" display="https://drive.google.com/uc?export=view&amp;id=12UbLBbJOGaWuGhfZGOMRhKvtTamRnIML" r:id="rId862"/>
    <hyperlink xmlns:r="http://schemas.openxmlformats.org/officeDocument/2006/relationships" ref="D285" display="http://apprend.ly/" r:id="rId863"/>
    <hyperlink xmlns:r="http://schemas.openxmlformats.org/officeDocument/2006/relationships" ref="E285" display="https://www.apprend.ly/" r:id="rId864"/>
    <hyperlink xmlns:r="http://schemas.openxmlformats.org/officeDocument/2006/relationships" ref="R285" display="https://www.instagram.com/apprendly/" r:id="rId865"/>
    <hyperlink xmlns:r="http://schemas.openxmlformats.org/officeDocument/2006/relationships" ref="S285" display="https://twitter.com/apprendly" r:id="rId866"/>
    <hyperlink xmlns:r="http://schemas.openxmlformats.org/officeDocument/2006/relationships" ref="T285" display="https://www.linkedin.com/company/apprend-ly" r:id="rId867"/>
    <hyperlink xmlns:r="http://schemas.openxmlformats.org/officeDocument/2006/relationships" ref="U285" display="http://apprend.ly/" r:id="rId868"/>
    <hyperlink xmlns:r="http://schemas.openxmlformats.org/officeDocument/2006/relationships" ref="Y285" display="https://drive.google.com/uc?export=view&amp;id=1v8B93echWXMC1blx4mRZXhqjJ8hJwlOJ" r:id="rId869"/>
    <hyperlink xmlns:r="http://schemas.openxmlformats.org/officeDocument/2006/relationships" ref="E286" display="https://educationai.co.uk/" r:id="rId870"/>
    <hyperlink xmlns:r="http://schemas.openxmlformats.org/officeDocument/2006/relationships" ref="Y286" display="https://drive.google.com/uc?export=view&amp;id=1VS8VzrOw56U-jnmmmPncKUAZ-JPcd-pU" r:id="rId871"/>
    <hyperlink xmlns:r="http://schemas.openxmlformats.org/officeDocument/2006/relationships" ref="E287" display="http://www.fictionexpress.com/" r:id="rId872"/>
    <hyperlink xmlns:r="http://schemas.openxmlformats.org/officeDocument/2006/relationships" ref="T287" display="https://www.linkedin.com/company/fictionexpress" r:id="rId873"/>
    <hyperlink xmlns:r="http://schemas.openxmlformats.org/officeDocument/2006/relationships" ref="Y287" display="https://drive.google.com/uc?export=view&amp;id=1YEMxIuHxIAzumD-5Gqqkiy750hAd1o-g" r:id="rId874"/>
    <hyperlink xmlns:r="http://schemas.openxmlformats.org/officeDocument/2006/relationships" ref="E288" display="https://moki.health/" r:id="rId875"/>
    <hyperlink xmlns:r="http://schemas.openxmlformats.org/officeDocument/2006/relationships" ref="S288" display="https://twitter.com/moki_health/" r:id="rId876"/>
    <hyperlink xmlns:r="http://schemas.openxmlformats.org/officeDocument/2006/relationships" ref="T288" display="https://www.linkedin.com/company/mokihealth/" r:id="rId877"/>
    <hyperlink xmlns:r="http://schemas.openxmlformats.org/officeDocument/2006/relationships" ref="Y288" display="https://drive.google.com/uc?export=view&amp;id=1VUvR_9xfjcV7MIHWOALUndFWTyt-sVl6" r:id="rId878"/>
    <hyperlink xmlns:r="http://schemas.openxmlformats.org/officeDocument/2006/relationships" ref="E289" display="https://natterhub.com/" r:id="rId879"/>
    <hyperlink xmlns:r="http://schemas.openxmlformats.org/officeDocument/2006/relationships" ref="Y289" display="https://drive.google.com/uc?export=view&amp;id=1UAhVY1YCtKJvDnSAe66k3shjcKoFaTMJ" r:id="rId880"/>
    <hyperlink xmlns:r="http://schemas.openxmlformats.org/officeDocument/2006/relationships" ref="E290" display="https://www.twinscience.com/" r:id="rId881"/>
    <hyperlink xmlns:r="http://schemas.openxmlformats.org/officeDocument/2006/relationships" ref="R290" display="https://www.instagram.com/twinscience" r:id="rId882"/>
    <hyperlink xmlns:r="http://schemas.openxmlformats.org/officeDocument/2006/relationships" ref="T290" display="https://www.linkedin.com/company/29024499/" r:id="rId883"/>
    <hyperlink xmlns:r="http://schemas.openxmlformats.org/officeDocument/2006/relationships" ref="Y290" display="https://drive.google.com/uc?export=view&amp;id=1Bc5bXdGUZG9027zDw_iDGwOtTCaEjnMo" r:id="rId884"/>
    <hyperlink xmlns:r="http://schemas.openxmlformats.org/officeDocument/2006/relationships" ref="E291" display="http://www.worktripp.com/" r:id="rId885"/>
    <hyperlink xmlns:r="http://schemas.openxmlformats.org/officeDocument/2006/relationships" ref="R291" display="https://www.instagram.com/work.tripp/" r:id="rId886"/>
    <hyperlink xmlns:r="http://schemas.openxmlformats.org/officeDocument/2006/relationships" ref="S291" display="https://twitter.com/work_tripp" r:id="rId887"/>
    <hyperlink xmlns:r="http://schemas.openxmlformats.org/officeDocument/2006/relationships" ref="T291" display="https://www.linkedin.com/company/worktripp/" r:id="rId888"/>
    <hyperlink xmlns:r="http://schemas.openxmlformats.org/officeDocument/2006/relationships" ref="Y291" display="https://drive.google.com/uc?export=view&amp;id=1h-xeVx118Gx0xIWAVdBTTXJ3ILocN72G" r:id="rId889"/>
    <hyperlink xmlns:r="http://schemas.openxmlformats.org/officeDocument/2006/relationships" ref="E292" display="https://dreamapply.com/" r:id="rId890"/>
    <hyperlink xmlns:r="http://schemas.openxmlformats.org/officeDocument/2006/relationships" ref="T292" display="https://www.linkedin.com/company/dreamapply" r:id="rId891"/>
    <hyperlink xmlns:r="http://schemas.openxmlformats.org/officeDocument/2006/relationships" ref="Y292" display="https://drive.google.com/uc?export=view&amp;id=1FMsUk88f4izpSQ0onFxW2ipAbyuZJVXn" r:id="rId892"/>
    <hyperlink xmlns:r="http://schemas.openxmlformats.org/officeDocument/2006/relationships" ref="E293" display="https://www.kortext.com/" r:id="rId893"/>
    <hyperlink xmlns:r="http://schemas.openxmlformats.org/officeDocument/2006/relationships" ref="S293" display="https://twitter.com/Kortext" r:id="rId894"/>
    <hyperlink xmlns:r="http://schemas.openxmlformats.org/officeDocument/2006/relationships" ref="T293" display="https://www.linkedin.com/company/kortext/" r:id="rId895"/>
    <hyperlink xmlns:r="http://schemas.openxmlformats.org/officeDocument/2006/relationships" ref="Y293" display="https://drive.google.com/uc?export=view&amp;id=1iDx1dFzc7GiYqFatYkfY-s549Cw1jrp9" r:id="rId896"/>
    <hyperlink xmlns:r="http://schemas.openxmlformats.org/officeDocument/2006/relationships" ref="E294" display="https://mussila.com/" r:id="rId897"/>
    <hyperlink xmlns:r="http://schemas.openxmlformats.org/officeDocument/2006/relationships" ref="R294" display="https://www.instagram.com/mussila_apps/" r:id="rId898"/>
    <hyperlink xmlns:r="http://schemas.openxmlformats.org/officeDocument/2006/relationships" ref="T294" display="https://www.linkedin.com/in/jongunnarthordarson/" r:id="rId899"/>
    <hyperlink xmlns:r="http://schemas.openxmlformats.org/officeDocument/2006/relationships" ref="Y294" display="https://drive.google.com/uc?export=view&amp;id=1CugYaWJjQygOychkFnQ7QOmI9Jel0jF1" r:id="rId900"/>
    <hyperlink xmlns:r="http://schemas.openxmlformats.org/officeDocument/2006/relationships" ref="E295" display="https://www.texthelp.com/en-gb/" r:id="rId901"/>
    <hyperlink xmlns:r="http://schemas.openxmlformats.org/officeDocument/2006/relationships" ref="R295" display="https://www.instagram.com/texthelpers/?hl=en" r:id="rId902"/>
    <hyperlink xmlns:r="http://schemas.openxmlformats.org/officeDocument/2006/relationships" ref="S295" display="https://twitter.com/texthelp" r:id="rId903"/>
    <hyperlink xmlns:r="http://schemas.openxmlformats.org/officeDocument/2006/relationships" ref="T295" display="https://www.linkedin.com/company/texthelp/mycompany/" r:id="rId904"/>
    <hyperlink xmlns:r="http://schemas.openxmlformats.org/officeDocument/2006/relationships" ref="Y295" display="https://drive.google.com/uc?export=view&amp;id=1IiuEPKZpGt7mOTtPZABGmkr-rWNXWJjG" r:id="rId905"/>
    <hyperlink xmlns:r="http://schemas.openxmlformats.org/officeDocument/2006/relationships" ref="E296" display="http://www.whizzeducation.com/" r:id="rId906"/>
    <hyperlink xmlns:r="http://schemas.openxmlformats.org/officeDocument/2006/relationships" ref="Y296" display="https://drive.google.com/uc?export=view&amp;id=1HgiulYJF2Q8dxQSXsFN6vbLdkR9j8Qsg" r:id="rId907"/>
    <hyperlink xmlns:r="http://schemas.openxmlformats.org/officeDocument/2006/relationships" ref="E297" display="http://www.chartlearningsolutions.com/" r:id="rId908"/>
    <hyperlink xmlns:r="http://schemas.openxmlformats.org/officeDocument/2006/relationships" ref="T297" display="https://www.linkedin.com/company/chart-learning-solutions-international/" r:id="rId909"/>
    <hyperlink xmlns:r="http://schemas.openxmlformats.org/officeDocument/2006/relationships" ref="Y297" display="https://drive.google.com/uc?export=view&amp;id=1R2pjUni_iEWRJ0PzrcVEI775e2HHlLmy" r:id="rId910"/>
    <hyperlink xmlns:r="http://schemas.openxmlformats.org/officeDocument/2006/relationships" ref="E298" display="https://itslearning.com/global/" r:id="rId911"/>
    <hyperlink xmlns:r="http://schemas.openxmlformats.org/officeDocument/2006/relationships" ref="S298" display="https://twitter.com/itslearning" r:id="rId912"/>
    <hyperlink xmlns:r="http://schemas.openxmlformats.org/officeDocument/2006/relationships" ref="T298" display="https://www.linkedin.com/company/itslearning-as" r:id="rId913"/>
    <hyperlink xmlns:r="http://schemas.openxmlformats.org/officeDocument/2006/relationships" ref="Y298" display="https://drive.google.com/uc?export=view&amp;id=1L2ZJs-VbMlvtebHw5l_1nsjxIJ6vY8X8" r:id="rId914"/>
    <hyperlink xmlns:r="http://schemas.openxmlformats.org/officeDocument/2006/relationships" ref="E299" display="http://www.archipel.academy/" r:id="rId915"/>
    <hyperlink xmlns:r="http://schemas.openxmlformats.org/officeDocument/2006/relationships" ref="T299" display="https://www.linkedin.com/company/archipel-academy/" r:id="rId916"/>
    <hyperlink xmlns:r="http://schemas.openxmlformats.org/officeDocument/2006/relationships" ref="Y299" display="https://drive.google.com/uc?export=view&amp;id=1jTPXcAwTZj6mGTcn-3xdeT67Ydw8hoWY" r:id="rId917"/>
    <hyperlink xmlns:r="http://schemas.openxmlformats.org/officeDocument/2006/relationships" ref="E300" display="http://www.bool.ie/" r:id="rId918"/>
    <hyperlink xmlns:r="http://schemas.openxmlformats.org/officeDocument/2006/relationships" ref="Y300" display="https://drive.google.com/uc?export=view&amp;id=1DZNSVGV5GfJ1_P88ASD3e77QGXgkQFJm" r:id="rId919"/>
    <hyperlink xmlns:r="http://schemas.openxmlformats.org/officeDocument/2006/relationships" ref="E301" display="https://foxeducation.com/" r:id="rId920"/>
    <hyperlink xmlns:r="http://schemas.openxmlformats.org/officeDocument/2006/relationships" ref="R301" display="https://www.instagram.com/foxeducation_dach/" r:id="rId921"/>
    <hyperlink xmlns:r="http://schemas.openxmlformats.org/officeDocument/2006/relationships" ref="T301" display="https://at.linkedin.com/company/schoolfox" r:id="rId922"/>
    <hyperlink xmlns:r="http://schemas.openxmlformats.org/officeDocument/2006/relationships" ref="Y301" display="https://drive.google.com/uc?export=view&amp;id=1ykvgwsRTkJKB1TRdhRNy9v1TVafzC9ad" r:id="rId923"/>
    <hyperlink xmlns:r="http://schemas.openxmlformats.org/officeDocument/2006/relationships" ref="E302" display="https://www.classlist.com/" r:id="rId924"/>
    <hyperlink xmlns:r="http://schemas.openxmlformats.org/officeDocument/2006/relationships" ref="R302" display="https://www.instagram.com/classlist/" r:id="rId925"/>
    <hyperlink xmlns:r="http://schemas.openxmlformats.org/officeDocument/2006/relationships" ref="S302" display="https://twitter.com/goClasslist" r:id="rId926"/>
    <hyperlink xmlns:r="http://schemas.openxmlformats.org/officeDocument/2006/relationships" ref="T302" display="https://www.linkedin.com/company/5244730/admin/" r:id="rId927"/>
    <hyperlink xmlns:r="http://schemas.openxmlformats.org/officeDocument/2006/relationships" ref="Y302" display="https://drive.google.com/uc?export=view&amp;id=1WbnoXs7lAtAC_HjhkRCZWuSNczy35m9P" r:id="rId928"/>
    <hyperlink xmlns:r="http://schemas.openxmlformats.org/officeDocument/2006/relationships" ref="E303" display="https://www.evolytes.com/" r:id="rId929"/>
    <hyperlink xmlns:r="http://schemas.openxmlformats.org/officeDocument/2006/relationships" ref="Y303" display="https://drive.google.com/uc?export=view&amp;id=1fEWMTM4pxdghdnZhmTwZgC7oom6dneqH" r:id="rId930"/>
    <hyperlink xmlns:r="http://schemas.openxmlformats.org/officeDocument/2006/relationships" ref="E304" display="https://developingexperts.com/" r:id="rId931"/>
    <hyperlink xmlns:r="http://schemas.openxmlformats.org/officeDocument/2006/relationships" ref="Y304" display="https://drive.google.com/uc?export=view&amp;id=1h_21bBQbP4BO_UAjBkNF0aGp4TQ9Upud" r:id="rId932"/>
    <hyperlink xmlns:r="http://schemas.openxmlformats.org/officeDocument/2006/relationships" ref="E305" display="https://emathstudio.com/" r:id="rId933"/>
    <hyperlink xmlns:r="http://schemas.openxmlformats.org/officeDocument/2006/relationships" ref="Y305" display="https://drive.google.com/uc?export=view&amp;id=1RI6o8BHyIE7NwVyGsref3RwDIPvgpqdv" r:id="rId934"/>
    <hyperlink xmlns:r="http://schemas.openxmlformats.org/officeDocument/2006/relationships" ref="E306" display="https://schultech.de/" r:id="rId935"/>
    <hyperlink xmlns:r="http://schemas.openxmlformats.org/officeDocument/2006/relationships" ref="Y306" display="https://drive.google.com/uc?export=view&amp;id=1si3RjDN2FziyYQLs-IdFc5LuFgN0V92M" r:id="rId936"/>
    <hyperlink xmlns:r="http://schemas.openxmlformats.org/officeDocument/2006/relationships" ref="E307" display="http://www.bettermarks.com/" r:id="rId937"/>
    <hyperlink xmlns:r="http://schemas.openxmlformats.org/officeDocument/2006/relationships" ref="R307" display="https://www.instagram.com/bettermarks_de/" r:id="rId938"/>
    <hyperlink xmlns:r="http://schemas.openxmlformats.org/officeDocument/2006/relationships" ref="T307" display="https://www.linkedin.com/company/bettermarks-gmbh" r:id="rId939"/>
    <hyperlink xmlns:r="http://schemas.openxmlformats.org/officeDocument/2006/relationships" ref="Y307" display="https://drive.google.com/uc?export=view&amp;id=12_SAB9zbqMpaEFmmqU3KLKSZlqshHc4I" r:id="rId940"/>
    <hyperlink xmlns:r="http://schemas.openxmlformats.org/officeDocument/2006/relationships" ref="E308" display="https://chatterstars.co.uk/" r:id="rId941"/>
    <hyperlink xmlns:r="http://schemas.openxmlformats.org/officeDocument/2006/relationships" ref="R308" display="https://www.instagram.com/chatterstarsthevocabapp/?hl=en-gb" r:id="rId942"/>
    <hyperlink xmlns:r="http://schemas.openxmlformats.org/officeDocument/2006/relationships" ref="S308" display="https://twitter.com/ChatterStarsApp" r:id="rId943"/>
    <hyperlink xmlns:r="http://schemas.openxmlformats.org/officeDocument/2006/relationships" ref="T308" display="https://www.linkedin.com/company/chatterstars/?viewAsMember=true" r:id="rId944"/>
    <hyperlink xmlns:r="http://schemas.openxmlformats.org/officeDocument/2006/relationships" ref="Y308" display="https://drive.google.com/uc?export=view&amp;id=1BALNGzv5ruw3Nv7Pyc1WWQzmHKvPy13g" r:id="rId945"/>
    <hyperlink xmlns:r="http://schemas.openxmlformats.org/officeDocument/2006/relationships" ref="E309" display="http://www.creaza.com/" r:id="rId946"/>
    <hyperlink xmlns:r="http://schemas.openxmlformats.org/officeDocument/2006/relationships" ref="R309" display="https://www.instagram.com/creazaas/" r:id="rId947"/>
    <hyperlink xmlns:r="http://schemas.openxmlformats.org/officeDocument/2006/relationships" ref="S309" display="https://twitter.com/creazatweet" r:id="rId948"/>
    <hyperlink xmlns:r="http://schemas.openxmlformats.org/officeDocument/2006/relationships" ref="T309" display="https://www.linkedin.com/company/creaza-as/" r:id="rId949"/>
    <hyperlink xmlns:r="http://schemas.openxmlformats.org/officeDocument/2006/relationships" ref="Y309" display="https://drive.google.com/uc?export=view&amp;id=1jFoxufYAGNcdzl8wXldllljMQsrtKljA" r:id="rId950"/>
    <hyperlink xmlns:r="http://schemas.openxmlformats.org/officeDocument/2006/relationships" ref="E310" display="https://www.graphogame.com/index.html" r:id="rId951"/>
    <hyperlink xmlns:r="http://schemas.openxmlformats.org/officeDocument/2006/relationships" ref="R310" display="https://www.instagram.com/graphogame/" r:id="rId952"/>
    <hyperlink xmlns:r="http://schemas.openxmlformats.org/officeDocument/2006/relationships" ref="S310" display="https://twitter.com/GraphoGame" r:id="rId953"/>
    <hyperlink xmlns:r="http://schemas.openxmlformats.org/officeDocument/2006/relationships" ref="T310" display="https://www.linkedin.com/company/11290942/" r:id="rId954"/>
    <hyperlink xmlns:r="http://schemas.openxmlformats.org/officeDocument/2006/relationships" ref="Y310" display="https://drive.google.com/uc?export=view&amp;id=1OX7G1PdT0jMCXOsQEj-9eGlmOC-X2F5A" r:id="rId955"/>
    <hyperlink xmlns:r="http://schemas.openxmlformats.org/officeDocument/2006/relationships" ref="E311" display="https://www.kaligo-apps.com/" r:id="rId956"/>
    <hyperlink xmlns:r="http://schemas.openxmlformats.org/officeDocument/2006/relationships" ref="R311" display="https://www.instagram.com/kaligoapps_en/" r:id="rId957"/>
    <hyperlink xmlns:r="http://schemas.openxmlformats.org/officeDocument/2006/relationships" ref="S311" display="https://twitter.com/KaligoApps_EN" r:id="rId958"/>
    <hyperlink xmlns:r="http://schemas.openxmlformats.org/officeDocument/2006/relationships" ref="T311" display="https://www.linkedin.com/company/kaligo-uk/" r:id="rId959"/>
    <hyperlink xmlns:r="http://schemas.openxmlformats.org/officeDocument/2006/relationships" ref="Y311" display="https://drive.google.com/uc?export=view&amp;id=1BdgBQQvg41LeVdgIMlUt3Mxu2jxAvDRv" r:id="rId960"/>
    <hyperlink xmlns:r="http://schemas.openxmlformats.org/officeDocument/2006/relationships" ref="E312" display="https://imagilabs.com/" r:id="rId961"/>
    <hyperlink xmlns:r="http://schemas.openxmlformats.org/officeDocument/2006/relationships" ref="Y312" display="https://drive.google.com/uc?export=view&amp;id=1bM2NWtF-4CPy8GQwfSEvJodSLmwoR1em" r:id="rId962"/>
    <hyperlink xmlns:r="http://schemas.openxmlformats.org/officeDocument/2006/relationships" ref="E313" display="https://www.evidenceb.com/" r:id="rId963"/>
    <hyperlink xmlns:r="http://schemas.openxmlformats.org/officeDocument/2006/relationships" ref="R313" display="https://www.instagram.com/adaptivmath/" r:id="rId964"/>
    <hyperlink xmlns:r="http://schemas.openxmlformats.org/officeDocument/2006/relationships" ref="S313" display="https://twitter.com/T_EvidenceB" r:id="rId965"/>
    <hyperlink xmlns:r="http://schemas.openxmlformats.org/officeDocument/2006/relationships" ref="T313" display="https://www.linkedin.com/company/evidenceb-inside" r:id="rId966"/>
    <hyperlink xmlns:r="http://schemas.openxmlformats.org/officeDocument/2006/relationships" ref="Y313" display="https://drive.google.com/uc?export=view&amp;id=1f32KSaOBheKkP9KbCtUGu_nhD6qcnqts" r:id="rId967"/>
    <hyperlink xmlns:r="http://schemas.openxmlformats.org/officeDocument/2006/relationships" ref="E314" display="http://www.good2learn.com/" r:id="rId968"/>
    <hyperlink xmlns:r="http://schemas.openxmlformats.org/officeDocument/2006/relationships" ref="Y314" display="https://drive.google.com/uc?export=view&amp;id=1SLTz3Q6pM1s_z-7lmLEcJFDvbrrJgKjJ" r:id="rId969"/>
    <hyperlink xmlns:r="http://schemas.openxmlformats.org/officeDocument/2006/relationships" ref="E315" display="https://www.hypatia-learning.com/" r:id="rId970"/>
    <hyperlink xmlns:r="http://schemas.openxmlformats.org/officeDocument/2006/relationships" ref="R315" display="https://www.instagram.com/hypatialearning/" r:id="rId971"/>
    <hyperlink xmlns:r="http://schemas.openxmlformats.org/officeDocument/2006/relationships" ref="T315" display="https://www.linkedin.com/company/hypatialearning/" r:id="rId972"/>
    <hyperlink xmlns:r="http://schemas.openxmlformats.org/officeDocument/2006/relationships" ref="Y315" display="https://drive.google.com/uc?export=view&amp;id=1I5QwkeyEy4LKDT1vkYVANXOWLEsR8KeV" r:id="rId973"/>
    <hyperlink xmlns:r="http://schemas.openxmlformats.org/officeDocument/2006/relationships" ref="E316" display="http://www.phase6.de/" r:id="rId974"/>
    <hyperlink xmlns:r="http://schemas.openxmlformats.org/officeDocument/2006/relationships" ref="Y316" display="https://drive.google.com/uc?export=view&amp;id=1HpwGQ0v0w0b08HQ4Xu1Hv2kHv2ie967Q" r:id="rId975"/>
    <hyperlink xmlns:r="http://schemas.openxmlformats.org/officeDocument/2006/relationships" ref="E317" display="http://www.creative-hut.com/" r:id="rId976"/>
    <hyperlink xmlns:r="http://schemas.openxmlformats.org/officeDocument/2006/relationships" ref="Y317" display="https://drive.google.com/uc?export=view&amp;id=1ZZY2AIlTDFjH-D-6_u6USIElYG0fiyEx" r:id="rId977"/>
    <hyperlink xmlns:r="http://schemas.openxmlformats.org/officeDocument/2006/relationships" ref="E318" display="http://www.kikora.no/" r:id="rId978"/>
    <hyperlink xmlns:r="http://schemas.openxmlformats.org/officeDocument/2006/relationships" ref="Y318" display="https://drive.google.com/uc?export=view&amp;id=1ov4oT-5tAvROXFPJRFOSxeAHqgdMQjnH" r:id="rId979"/>
    <hyperlink xmlns:r="http://schemas.openxmlformats.org/officeDocument/2006/relationships" ref="E319" display="https://ludenso.com/" r:id="rId980"/>
    <hyperlink xmlns:r="http://schemas.openxmlformats.org/officeDocument/2006/relationships" ref="R319" display="https://www.instagram.com/byludenso/?hl=en" r:id="rId981"/>
    <hyperlink xmlns:r="http://schemas.openxmlformats.org/officeDocument/2006/relationships" ref="S319" display="https://twitter.com/ByLudenso" r:id="rId982"/>
    <hyperlink xmlns:r="http://schemas.openxmlformats.org/officeDocument/2006/relationships" ref="T319" display="https://www.linkedin.com/company/11865939/admin/feed/posts/" r:id="rId983"/>
    <hyperlink xmlns:r="http://schemas.openxmlformats.org/officeDocument/2006/relationships" ref="Y319" display="https://drive.google.com/uc?export=view&amp;id=1DVzKbCF-0LHGs4q7RsJeIVSAhhMencNj" r:id="rId984"/>
    <hyperlink xmlns:r="http://schemas.openxmlformats.org/officeDocument/2006/relationships" ref="E320" display="http://www.netsupportsoftware.com/" r:id="rId985"/>
    <hyperlink xmlns:r="http://schemas.openxmlformats.org/officeDocument/2006/relationships" ref="R320" display="https://www.instagram.com/netsupportgroup/" r:id="rId986"/>
    <hyperlink xmlns:r="http://schemas.openxmlformats.org/officeDocument/2006/relationships" ref="S320" display="https://twitter.com/NetSupportGroup" r:id="rId987"/>
    <hyperlink xmlns:r="http://schemas.openxmlformats.org/officeDocument/2006/relationships" ref="T320" display="https://www.linkedin.com/company/netsupport-limited" r:id="rId988"/>
    <hyperlink xmlns:r="http://schemas.openxmlformats.org/officeDocument/2006/relationships" ref="Y320" display="https://drive.google.com/uc?export=view&amp;id=1eMMfNPHgCkxXpGghUe-hDcdVPmsIYz1O" r:id="rId989"/>
    <hyperlink xmlns:r="http://schemas.openxmlformats.org/officeDocument/2006/relationships" ref="E321" display="https://schoolday.com/" r:id="rId990"/>
    <hyperlink xmlns:r="http://schemas.openxmlformats.org/officeDocument/2006/relationships" ref="R321" display="https://www.instagram.com/schooldaycom/" r:id="rId991"/>
    <hyperlink xmlns:r="http://schemas.openxmlformats.org/officeDocument/2006/relationships" ref="S321" display="https://twitter.com/schooldaycom" r:id="rId992"/>
    <hyperlink xmlns:r="http://schemas.openxmlformats.org/officeDocument/2006/relationships" ref="T321" display="https://www.linkedin.com/company/school-day-finland" r:id="rId993"/>
    <hyperlink xmlns:r="http://schemas.openxmlformats.org/officeDocument/2006/relationships" ref="Y321" display="https://drive.google.com/uc?export=view&amp;id=1goqD6_U9g5P0YYzhp8tuO3xcstCF0zPF" r:id="rId994"/>
    <hyperlink xmlns:r="http://schemas.openxmlformats.org/officeDocument/2006/relationships" ref="E322" display="https://twigeducation.com/" r:id="rId995"/>
    <hyperlink xmlns:r="http://schemas.openxmlformats.org/officeDocument/2006/relationships" ref="Y322" display="https://drive.google.com/uc?export=view&amp;id=1eSfjJfWhZKB3KKlP6h83gQs3K0EZq9Op" r:id="rId996"/>
    <hyperlink xmlns:r="http://schemas.openxmlformats.org/officeDocument/2006/relationships" ref="E323" display="http://www.studentlitteratur.se/" r:id="rId997"/>
    <hyperlink xmlns:r="http://schemas.openxmlformats.org/officeDocument/2006/relationships" ref="S323" display="https://twitter.com/Studentlitterat" r:id="rId998"/>
    <hyperlink xmlns:r="http://schemas.openxmlformats.org/officeDocument/2006/relationships" ref="T323" display="https://www.linkedin.com/company/studentlitteratur" r:id="rId999"/>
    <hyperlink xmlns:r="http://schemas.openxmlformats.org/officeDocument/2006/relationships" ref="Y323" display="https://drive.google.com/uc?export=view&amp;id=1YI85j1TsJqXtkzktcC5bY27csS3YzOt4" r:id="rId1000"/>
    <hyperlink xmlns:r="http://schemas.openxmlformats.org/officeDocument/2006/relationships" ref="E324" display="https://www.123chemie.de/" r:id="rId1001"/>
    <hyperlink xmlns:r="http://schemas.openxmlformats.org/officeDocument/2006/relationships" ref="Y324" display="https://drive.google.com/uc?export=view&amp;id=1vFSvaLUqKh21Cw2NbHFQv6efYz4RIJUd" r:id="rId1002"/>
    <hyperlink xmlns:r="http://schemas.openxmlformats.org/officeDocument/2006/relationships" ref="E325" display="http://hypocampus.fr/" r:id="rId1003"/>
    <hyperlink xmlns:r="http://schemas.openxmlformats.org/officeDocument/2006/relationships" ref="R325" display="https://www.instagram.com/hypocampus.fr/" r:id="rId1004"/>
    <hyperlink xmlns:r="http://schemas.openxmlformats.org/officeDocument/2006/relationships" ref="T325" display="https://www.linkedin.com/company/hypocampus-ab" r:id="rId1005"/>
    <hyperlink xmlns:r="http://schemas.openxmlformats.org/officeDocument/2006/relationships" ref="Y325" display="https://drive.google.com/uc?export=view&amp;id=1tCps8JSGsBupSeghtYCTZRPP53HwAy9L" r:id="rId1006"/>
    <hyperlink xmlns:r="http://schemas.openxmlformats.org/officeDocument/2006/relationships" ref="E326" display="https://www.webweaver.de/" r:id="rId1007"/>
    <hyperlink xmlns:r="http://schemas.openxmlformats.org/officeDocument/2006/relationships" ref="S326" display="https://twitter.com/WebWeaver_DE" r:id="rId1008"/>
    <hyperlink xmlns:r="http://schemas.openxmlformats.org/officeDocument/2006/relationships" ref="T326" display="https://www.linkedin.com/company/digionline-gmbh" r:id="rId1009"/>
    <hyperlink xmlns:r="http://schemas.openxmlformats.org/officeDocument/2006/relationships" ref="Y326" display="https://drive.google.com/uc?export=view&amp;id=1P1lg9lrdRe-sgmaVY9m39qJNzldk-m_S" r:id="rId1010"/>
    <hyperlink xmlns:r="http://schemas.openxmlformats.org/officeDocument/2006/relationships" ref="E327" display="http://www.esquirrel.com/" r:id="rId1011"/>
    <hyperlink xmlns:r="http://schemas.openxmlformats.org/officeDocument/2006/relationships" ref="R327" display="https://www.instagram.com/esquirrelapp/" r:id="rId1012"/>
    <hyperlink xmlns:r="http://schemas.openxmlformats.org/officeDocument/2006/relationships" ref="S327" display="https://twitter.com/esquirrelapp" r:id="rId1013"/>
    <hyperlink xmlns:r="http://schemas.openxmlformats.org/officeDocument/2006/relationships" ref="T327" display="https://www.linkedin.com/company/esquirrel/" r:id="rId1014"/>
    <hyperlink xmlns:r="http://schemas.openxmlformats.org/officeDocument/2006/relationships" ref="Y327" display="https://drive.google.com/uc?export=view&amp;id=1j7oIooMD7COCTlXxIaeXerlBJUggNYVU" r:id="rId1015"/>
    <hyperlink xmlns:r="http://schemas.openxmlformats.org/officeDocument/2006/relationships" ref="E328" display="https://www.medienlb.de/" r:id="rId1016"/>
    <hyperlink xmlns:r="http://schemas.openxmlformats.org/officeDocument/2006/relationships" ref="S328" display="https://mobile.twitter.com/medienlb" r:id="rId1017"/>
    <hyperlink xmlns:r="http://schemas.openxmlformats.org/officeDocument/2006/relationships" ref="Y328" display="https://drive.google.com/uc?export=view&amp;id=1Mr4emRSVu5BmOvihMgDy5HAa4hNjVUFA" r:id="rId1018"/>
    <hyperlink xmlns:r="http://schemas.openxmlformats.org/officeDocument/2006/relationships" ref="E329" display="https://oxedandassessment.com/" r:id="rId1019"/>
    <hyperlink xmlns:r="http://schemas.openxmlformats.org/officeDocument/2006/relationships" ref="Y329" display="https://drive.google.com/uc?export=view&amp;id=1X6uAHzsZ90xjGcfWdWp_mMag6_zvXihy" r:id="rId1020"/>
    <hyperlink xmlns:r="http://schemas.openxmlformats.org/officeDocument/2006/relationships" ref="E330" display="http://www.didactmedia.eu/" r:id="rId1021"/>
    <hyperlink xmlns:r="http://schemas.openxmlformats.org/officeDocument/2006/relationships" ref="Y330" display="https://drive.google.com/uc?export=view&amp;id=189hh6gcu3MRjjqFzoTLQ5nlYZyjgZgoT" r:id="rId1022"/>
    <hyperlink xmlns:r="http://schemas.openxmlformats.org/officeDocument/2006/relationships" ref="E331" display="http://www.eduversum.de/" r:id="rId1023"/>
    <hyperlink xmlns:r="http://schemas.openxmlformats.org/officeDocument/2006/relationships" ref="R331" display="https://www.instagram.com/lehrer_online/" r:id="rId1024"/>
    <hyperlink xmlns:r="http://schemas.openxmlformats.org/officeDocument/2006/relationships" ref="S331" display="https://twitter.com/lehrer_online/" r:id="rId1025"/>
    <hyperlink xmlns:r="http://schemas.openxmlformats.org/officeDocument/2006/relationships" ref="T331" display="https://www.linkedin.com/company/6994438/admin/" r:id="rId1026"/>
    <hyperlink xmlns:r="http://schemas.openxmlformats.org/officeDocument/2006/relationships" ref="Y331" display="https://drive.google.com/uc?export=view&amp;id=1sxJCvbjVoBaZ4FLp21VNZWkmJys561Td" r:id="rId1027"/>
    <hyperlink xmlns:r="http://schemas.openxmlformats.org/officeDocument/2006/relationships" ref="E332" display="http://kidescience.com/" r:id="rId1028"/>
    <hyperlink xmlns:r="http://schemas.openxmlformats.org/officeDocument/2006/relationships" ref="R332" display="https://www.instagram.com/kidescience/" r:id="rId1029"/>
    <hyperlink xmlns:r="http://schemas.openxmlformats.org/officeDocument/2006/relationships" ref="S332" display="https://twitter.com/kidescience" r:id="rId1030"/>
    <hyperlink xmlns:r="http://schemas.openxmlformats.org/officeDocument/2006/relationships" ref="T332" display="https://www.linkedin.com/company/kidescience" r:id="rId1031"/>
    <hyperlink xmlns:r="http://schemas.openxmlformats.org/officeDocument/2006/relationships" ref="Y332" display="https://drive.google.com/uc?export=view&amp;id=1ZT4h_fG_NW6YggQEdj8GsiNEAncp5ymh" r:id="rId1032"/>
    <hyperlink xmlns:r="http://schemas.openxmlformats.org/officeDocument/2006/relationships" ref="E333" display="http://learnesy.com/" r:id="rId1033"/>
    <hyperlink xmlns:r="http://schemas.openxmlformats.org/officeDocument/2006/relationships" ref="R333" display="https://www.instagram.com/learnesycom/" r:id="rId1034"/>
    <hyperlink xmlns:r="http://schemas.openxmlformats.org/officeDocument/2006/relationships" ref="T333" display="https://www.linkedin.com/company/learnesy" r:id="rId1035"/>
    <hyperlink xmlns:r="http://schemas.openxmlformats.org/officeDocument/2006/relationships" ref="Y333" display="https://drive.google.com/uc?export=view&amp;id=1epfOEeCxm3mBwkuNDYkxL4zTbL3SNozR" r:id="rId1036"/>
    <hyperlink xmlns:r="http://schemas.openxmlformats.org/officeDocument/2006/relationships" ref="E334" display="https://www.canopy.education/" r:id="rId1037"/>
    <hyperlink xmlns:r="http://schemas.openxmlformats.org/officeDocument/2006/relationships" ref="R334" display="https://www.instagram.com/canopyCIC/" r:id="rId1038"/>
    <hyperlink xmlns:r="http://schemas.openxmlformats.org/officeDocument/2006/relationships" ref="S334" display="https://twitter.com/CanopyCIC" r:id="rId1039"/>
    <hyperlink xmlns:r="http://schemas.openxmlformats.org/officeDocument/2006/relationships" ref="T334" display="https://www.linkedin.com/company/canopy-cic/" r:id="rId1040"/>
    <hyperlink xmlns:r="http://schemas.openxmlformats.org/officeDocument/2006/relationships" ref="Y334" display="https://drive.google.com/uc?export=view&amp;id=1nClQ2zRx4ICHQCySSWjpCKI4dXBa3Nj4" r:id="rId1041"/>
    <hyperlink xmlns:r="http://schemas.openxmlformats.org/officeDocument/2006/relationships" ref="E335" display="http://www.doodlelearning.com/" r:id="rId1042"/>
    <hyperlink xmlns:r="http://schemas.openxmlformats.org/officeDocument/2006/relationships" ref="R335" display="https://www.instagram.com/doodlelearning_" r:id="rId1043"/>
    <hyperlink xmlns:r="http://schemas.openxmlformats.org/officeDocument/2006/relationships" ref="S335" display="https://twitter.com/doodlelearning" r:id="rId1044"/>
    <hyperlink xmlns:r="http://schemas.openxmlformats.org/officeDocument/2006/relationships" ref="T335" display="https://www.linkedin.com/company/ez-education" r:id="rId1045"/>
    <hyperlink xmlns:r="http://schemas.openxmlformats.org/officeDocument/2006/relationships" ref="Y335" display="https://drive.google.com/uc?export=view&amp;id=1Xb-guwRv1ellecf5cssaz0sbwKizGtur" r:id="rId1046"/>
    <hyperlink xmlns:r="http://schemas.openxmlformats.org/officeDocument/2006/relationships" ref="E336" display="https://klett.bg/" r:id="rId1047"/>
    <hyperlink xmlns:r="http://schemas.openxmlformats.org/officeDocument/2006/relationships" ref="T336" display="https://bg.linkedin.com/company/klett-bulgaria-ltd-" r:id="rId1048"/>
    <hyperlink xmlns:r="http://schemas.openxmlformats.org/officeDocument/2006/relationships" ref="Y336" display="https://drive.google.com/uc?export=view&amp;id=1faisBA-XFRyH0gPYkLTwiZeaH4qaQSlB" r:id="rId1049"/>
    <hyperlink xmlns:r="http://schemas.openxmlformats.org/officeDocument/2006/relationships" ref="E337" display="https://www.voovostudy.com/" r:id="rId1050"/>
    <hyperlink xmlns:r="http://schemas.openxmlformats.org/officeDocument/2006/relationships" ref="R337" display="https://www.instagram.com/voovo.study/" r:id="rId1051"/>
    <hyperlink xmlns:r="http://schemas.openxmlformats.org/officeDocument/2006/relationships" ref="T337" display="https://www.linkedin.com/company/voovo/" r:id="rId1052"/>
    <hyperlink xmlns:r="http://schemas.openxmlformats.org/officeDocument/2006/relationships" ref="Y337" display="https://drive.google.com/uc?export=view&amp;id=10dJftsvR6OavYjXB-_NvpyqUrDQH9BaL" r:id="rId1053"/>
    <hyperlink xmlns:r="http://schemas.openxmlformats.org/officeDocument/2006/relationships" ref="E338" display="https://lablife.video/" r:id="rId1054"/>
    <hyperlink xmlns:r="http://schemas.openxmlformats.org/officeDocument/2006/relationships" ref="R338" display="https://www.instagram.com/lablife.video" r:id="rId1055"/>
    <hyperlink xmlns:r="http://schemas.openxmlformats.org/officeDocument/2006/relationships" ref="T338" display="https://www.linkedin.com/company/lablife-video" r:id="rId1056"/>
    <hyperlink xmlns:r="http://schemas.openxmlformats.org/officeDocument/2006/relationships" ref="Y338" display="https://drive.google.com/uc?export=view&amp;id=1fWlurD-Fj05QYhJlZxtCEej2m8z4Z0w3" r:id="rId1057"/>
    <hyperlink xmlns:r="http://schemas.openxmlformats.org/officeDocument/2006/relationships" ref="E339" display="https://teach.supportsquare.io/" r:id="rId1058"/>
    <hyperlink xmlns:r="http://schemas.openxmlformats.org/officeDocument/2006/relationships" ref="T339" display="https://be.linkedin.com/company/supportsquare" r:id="rId1059"/>
    <hyperlink xmlns:r="http://schemas.openxmlformats.org/officeDocument/2006/relationships" ref="Y339" display="https://drive.google.com/uc?export=view&amp;id=16gVhWPopyINvEcWTYUIGmZhERhZtdpEt" r:id="rId1060"/>
    <hyperlink xmlns:r="http://schemas.openxmlformats.org/officeDocument/2006/relationships" ref="E340" display="https://docfield.com/" r:id="rId1061"/>
    <hyperlink xmlns:r="http://schemas.openxmlformats.org/officeDocument/2006/relationships" ref="T340" display="https://www.linkedin.com/company/docfield/?viewAsMember=true" r:id="rId1062"/>
    <hyperlink xmlns:r="http://schemas.openxmlformats.org/officeDocument/2006/relationships" ref="Y340" display="https://drive.google.com/uc?export=view&amp;id=1RtR1ImCPOfkWTq1DE653TvPdF88gNCu4" r:id="rId1063"/>
    <hyperlink xmlns:r="http://schemas.openxmlformats.org/officeDocument/2006/relationships" ref="E341" display="https://elevatehealth.eu/" r:id="rId1064"/>
    <hyperlink xmlns:r="http://schemas.openxmlformats.org/officeDocument/2006/relationships" ref="T341" display="https://www.linkedin.com/company/elevate-health" r:id="rId1065"/>
    <hyperlink xmlns:r="http://schemas.openxmlformats.org/officeDocument/2006/relationships" ref="Y341" display="https://drive.google.com/uc?export=view&amp;id=1xrsBXkj2Qt-smxYvgp_2rDo4sHz6PBC_" r:id="rId1066"/>
    <hyperlink xmlns:r="http://schemas.openxmlformats.org/officeDocument/2006/relationships" ref="E342" display="https://gradebuilder.tech/" r:id="rId1067"/>
    <hyperlink xmlns:r="http://schemas.openxmlformats.org/officeDocument/2006/relationships" ref="S342" display="https://x.com/gradebuildertec" r:id="rId1068"/>
    <hyperlink xmlns:r="http://schemas.openxmlformats.org/officeDocument/2006/relationships" ref="T342" display="https://www.linkedin.com/company/gradebuilder/" r:id="rId1069"/>
    <hyperlink xmlns:r="http://schemas.openxmlformats.org/officeDocument/2006/relationships" ref="Y342" display="https://drive.google.com/uc?export=view&amp;id=1Iw2roVLWgYa61t_7ewNalQqq-iJH6y2D" r:id="rId1070"/>
    <hyperlink xmlns:r="http://schemas.openxmlformats.org/officeDocument/2006/relationships" ref="E343" display="http://edavia.se/" r:id="rId1071"/>
    <hyperlink xmlns:r="http://schemas.openxmlformats.org/officeDocument/2006/relationships" ref="T343" display="https://www.linkedin.com/company/edavia" r:id="rId1072"/>
    <hyperlink xmlns:r="http://schemas.openxmlformats.org/officeDocument/2006/relationships" ref="U343" display="http://pluggamatte.se/" r:id="rId1073"/>
    <hyperlink xmlns:r="http://schemas.openxmlformats.org/officeDocument/2006/relationships" ref="Y343" display="https://drive.google.com/uc?export=view&amp;id=1h_V6egrH56YualvffdRsgWlBIrAoOlrV" r:id="rId1074"/>
    <hyperlink xmlns:r="http://schemas.openxmlformats.org/officeDocument/2006/relationships" ref="E344" display="http://www.ampliro.com/" r:id="rId1075"/>
    <hyperlink xmlns:r="http://schemas.openxmlformats.org/officeDocument/2006/relationships" ref="S344" display="http://x.com/ampliro" r:id="rId1076"/>
    <hyperlink xmlns:r="http://schemas.openxmlformats.org/officeDocument/2006/relationships" ref="T344" display="http://linkedin.com/company/ampliro" r:id="rId1077"/>
    <hyperlink xmlns:r="http://schemas.openxmlformats.org/officeDocument/2006/relationships" ref="Y344" display="https://drive.google.com/uc?export=view&amp;id=1PDemQsPeAvE6tGwxdS0ZWc1ROLWdpBn0" r:id="rId1078"/>
    <hyperlink xmlns:r="http://schemas.openxmlformats.org/officeDocument/2006/relationships" ref="E345" display="https://www.talesofmello.com/" r:id="rId1079"/>
    <hyperlink xmlns:r="http://schemas.openxmlformats.org/officeDocument/2006/relationships" ref="R345" display="https://www.instagram.com/daidream.io/" r:id="rId1080"/>
    <hyperlink xmlns:r="http://schemas.openxmlformats.org/officeDocument/2006/relationships" ref="T345" display="https://www.linkedin.com/company/daidream-io" r:id="rId1081"/>
    <hyperlink xmlns:r="http://schemas.openxmlformats.org/officeDocument/2006/relationships" ref="Y345" display="https://drive.google.com/uc?export=view&amp;id=1JOZaRIUNolSpDcQQ9ri9xZGFBbIRKJIf" r:id="rId1082"/>
    <hyperlink xmlns:r="http://schemas.openxmlformats.org/officeDocument/2006/relationships" ref="E346" display="https://kumo-cloud.com/" r:id="rId1083"/>
    <hyperlink xmlns:r="http://schemas.openxmlformats.org/officeDocument/2006/relationships" ref="T346" display="https://www.linkedin.com/company/kumocloud/" r:id="rId1084"/>
    <hyperlink xmlns:r="http://schemas.openxmlformats.org/officeDocument/2006/relationships" ref="Y346" display="https://drive.google.com/uc?export=view&amp;id=1s3OGLRI-um-cVDJAKoMk4UcOJQLgsn1W" r:id="rId1085"/>
    <hyperlink xmlns:r="http://schemas.openxmlformats.org/officeDocument/2006/relationships" ref="E347" display="https://lms.contipso.com/" r:id="rId1086"/>
    <hyperlink xmlns:r="http://schemas.openxmlformats.org/officeDocument/2006/relationships" ref="T347" display="https://bg.linkedin.com/company/contipso" r:id="rId1087"/>
    <hyperlink xmlns:r="http://schemas.openxmlformats.org/officeDocument/2006/relationships" ref="Y347" display="https://drive.google.com/uc?export=view&amp;id=1voPW9jbG7PNJmAnsFRHwoq4NZog2FX9Y" r:id="rId1088"/>
    <hyperlink xmlns:r="http://schemas.openxmlformats.org/officeDocument/2006/relationships" ref="E348" display="https://uni-sofia.bg/index.php/eng/the_university/faculties/faculty_of_education/faculty_clubs_museums_and_centres/centre_of_educational_technologies" r:id="rId1089"/>
    <hyperlink xmlns:r="http://schemas.openxmlformats.org/officeDocument/2006/relationships" ref="Y348" display="https://drive.google.com/uc?export=view&amp;id=1ShSw-bOsMcLviGufDGf9zrLkkNnLtx-2" r:id="rId1090"/>
    <hyperlink xmlns:r="http://schemas.openxmlformats.org/officeDocument/2006/relationships" ref="E349" display="https://www.stem-y.com/" r:id="rId1091"/>
    <hyperlink xmlns:r="http://schemas.openxmlformats.org/officeDocument/2006/relationships" ref="T349" display="https://www.linkedin.com/in/stemy-kids-1724162b2/" r:id="rId1092"/>
    <hyperlink xmlns:r="http://schemas.openxmlformats.org/officeDocument/2006/relationships" ref="Y349" display="https://drive.google.com/uc?export=view&amp;id=1sjECQtGKlO7qfiVnU3UapMeCsHOXuR30" r:id="rId1093"/>
    <hyperlink xmlns:r="http://schemas.openxmlformats.org/officeDocument/2006/relationships" ref="E350" display="http://www.skip-institut.de/" r:id="rId1094"/>
    <hyperlink xmlns:r="http://schemas.openxmlformats.org/officeDocument/2006/relationships" ref="Y350" display="https://drive.google.com/uc?export=view&amp;id=1e2uz5ktifjh8G1d3nHm5ldBqOIzLFP3C" r:id="rId1095"/>
    <hyperlink xmlns:r="http://schemas.openxmlformats.org/officeDocument/2006/relationships" ref="E351" display="http://www.tbs.tech/" r:id="rId1096"/>
    <hyperlink xmlns:r="http://schemas.openxmlformats.org/officeDocument/2006/relationships" ref="T351" display="https://www.linkedin.com/company/telelink-business-services/posts/?feedView=all" r:id="rId1097"/>
    <hyperlink xmlns:r="http://schemas.openxmlformats.org/officeDocument/2006/relationships" ref="Y351" display="https://drive.google.com/uc?export=view&amp;id=1aX4sGAG0rjlxjfZ9YIDtqJw2WWmGVILD" r:id="rId1098"/>
    <hyperlink xmlns:r="http://schemas.openxmlformats.org/officeDocument/2006/relationships" ref="E352" display="http://setuniversity.edu.ua/" r:id="rId1099"/>
    <hyperlink xmlns:r="http://schemas.openxmlformats.org/officeDocument/2006/relationships" ref="R352" display="https://www.linkedin.com/company/set-university/" r:id="rId1100"/>
    <hyperlink xmlns:r="http://schemas.openxmlformats.org/officeDocument/2006/relationships" ref="S352" display="https://x.com/SetUniversity" r:id="rId1101"/>
    <hyperlink xmlns:r="http://schemas.openxmlformats.org/officeDocument/2006/relationships" ref="T352" display="https://www.linkedin.com/company/set-university/" r:id="rId1102"/>
    <hyperlink xmlns:r="http://schemas.openxmlformats.org/officeDocument/2006/relationships" ref="Y352" display="https://drive.google.com/uc?export=view&amp;id=1JzN45ABSg914ydPxoeifRXovDQvFSnCV" r:id="rId1103"/>
    <hyperlink xmlns:r="http://schemas.openxmlformats.org/officeDocument/2006/relationships" ref="E353" display="http://www.rollama.com/" r:id="rId1104"/>
    <hyperlink xmlns:r="http://schemas.openxmlformats.org/officeDocument/2006/relationships" ref="R353" display="http://instagram.com/rollama_edu" r:id="rId1105"/>
    <hyperlink xmlns:r="http://schemas.openxmlformats.org/officeDocument/2006/relationships" ref="S353" display="http://www.twitter.com/RollamaEdu" r:id="rId1106"/>
    <hyperlink xmlns:r="http://schemas.openxmlformats.org/officeDocument/2006/relationships" ref="T353" display="https://www.linkedin.com/company/81532461" r:id="rId1107"/>
    <hyperlink xmlns:r="http://schemas.openxmlformats.org/officeDocument/2006/relationships" ref="Y353" display="https://drive.google.com/uc?export=view&amp;id=1nh5JWNrnLpafBIWOPt5GQcErQFORchnt" r:id="rId1108"/>
    <hyperlink xmlns:r="http://schemas.openxmlformats.org/officeDocument/2006/relationships" ref="E354" display="https://thecoderz.estate/" r:id="rId1109"/>
    <hyperlink xmlns:r="http://schemas.openxmlformats.org/officeDocument/2006/relationships" ref="R354" display="https://www.instagram.com/thecoderz.estate/" r:id="rId1110"/>
    <hyperlink xmlns:r="http://schemas.openxmlformats.org/officeDocument/2006/relationships" ref="T354" display="https://www.linkedin.com/company/thecoderz" r:id="rId1111"/>
    <hyperlink xmlns:r="http://schemas.openxmlformats.org/officeDocument/2006/relationships" ref="Y354" display="https://drive.google.com/uc?export=view&amp;id=1C7lE_PMViq9qCdUuukK7dc8rw7RxA0w4" r:id="rId1112"/>
    <hyperlink xmlns:r="http://schemas.openxmlformats.org/officeDocument/2006/relationships" ref="E355" display="https://greenscreenbox.nl/" r:id="rId1113"/>
    <hyperlink xmlns:r="http://schemas.openxmlformats.org/officeDocument/2006/relationships" ref="R355" display="https://www.instagram.com/greenscreenbox/" r:id="rId1114"/>
    <hyperlink xmlns:r="http://schemas.openxmlformats.org/officeDocument/2006/relationships" ref="T355" display="https://nl.linkedin.com/company/monop-greenscreenbox" r:id="rId1115"/>
    <hyperlink xmlns:r="http://schemas.openxmlformats.org/officeDocument/2006/relationships" ref="Y355" display="https://drive.google.com/uc?export=view&amp;id=15VHYoGIclV0qDYbhqVvkwPtb6PCSybbN" r:id="rId1116"/>
    <hyperlink xmlns:r="http://schemas.openxmlformats.org/officeDocument/2006/relationships" ref="E356" display="https://skills4impact.org/" r:id="rId1117"/>
    <hyperlink xmlns:r="http://schemas.openxmlformats.org/officeDocument/2006/relationships" ref="T356" display="https://www.linkedin.com/company/101066262/" r:id="rId1118"/>
    <hyperlink xmlns:r="http://schemas.openxmlformats.org/officeDocument/2006/relationships" ref="Y356" display="https://drive.google.com/uc?export=view&amp;id=1G4xV9DzTPEqEGbHZUjiM32zuF9qT4JuB" r:id="rId1119"/>
    <hyperlink xmlns:r="http://schemas.openxmlformats.org/officeDocument/2006/relationships" ref="E357" display="http://www.ubbu.io/" r:id="rId1120"/>
    <hyperlink xmlns:r="http://schemas.openxmlformats.org/officeDocument/2006/relationships" ref="Y357" display="https://drive.google.com/uc?export=view&amp;id=1j29iI04XkhEf8bWBFEWn1ltr1PIdI5iB" r:id="rId1121"/>
    <hyperlink xmlns:r="http://schemas.openxmlformats.org/officeDocument/2006/relationships" ref="D358" display="http://ikleeralles.nl/" r:id="rId1122"/>
    <hyperlink xmlns:r="http://schemas.openxmlformats.org/officeDocument/2006/relationships" ref="E358" display="https://ikleeralles.nl/" r:id="rId1123"/>
    <hyperlink xmlns:r="http://schemas.openxmlformats.org/officeDocument/2006/relationships" ref="T358" display="https://www.linkedin.com/company/ikleerallesnl/" r:id="rId1124"/>
    <hyperlink xmlns:r="http://schemas.openxmlformats.org/officeDocument/2006/relationships" ref="U358" display="http://ikleeralles.nl/" r:id="rId1125"/>
    <hyperlink xmlns:r="http://schemas.openxmlformats.org/officeDocument/2006/relationships" ref="Y358" display="https://drive.google.com/uc?export=view&amp;id=1TiqSZzyLpcbTsG_4q84WsD2qdweR6kqB" r:id="rId1126"/>
    <hyperlink xmlns:r="http://schemas.openxmlformats.org/officeDocument/2006/relationships" ref="E359" display="http://www.test.de/" r:id="rId1127"/>
    <hyperlink xmlns:r="http://schemas.openxmlformats.org/officeDocument/2006/relationships" ref="Y359" display="https://drive.google.com/uc?export=view&amp;id=1PmgMWazcSa1IhCndw7vA8M8Zubt54xxJ" r:id="rId1128"/>
    <hyperlink xmlns:r="http://schemas.openxmlformats.org/officeDocument/2006/relationships" ref="E360" display="http://www.matematcasuperpiatta.it/en" r:id="rId1129"/>
    <hyperlink xmlns:r="http://schemas.openxmlformats.org/officeDocument/2006/relationships" ref="R360" display="https://www.instagram.com/matematica.superpiatta/" r:id="rId1130"/>
    <hyperlink xmlns:r="http://schemas.openxmlformats.org/officeDocument/2006/relationships" ref="T360" display="https://www.linkedin.com/company/90944851" r:id="rId1131"/>
    <hyperlink xmlns:r="http://schemas.openxmlformats.org/officeDocument/2006/relationships" ref="Y360" display="https://drive.google.com/uc?export=view&amp;id=1iQlptGSiUdAY0yMZ5XqAV8Y4WOUPuvaj" r:id="rId1132"/>
    <hyperlink xmlns:r="http://schemas.openxmlformats.org/officeDocument/2006/relationships" ref="E361" display="http://www.aryzon.world/" r:id="rId1133"/>
    <hyperlink xmlns:r="http://schemas.openxmlformats.org/officeDocument/2006/relationships" ref="R361" display="https://www.instagram.com/aryzon.world/" r:id="rId1134"/>
    <hyperlink xmlns:r="http://schemas.openxmlformats.org/officeDocument/2006/relationships" ref="T361" display="https://www.linkedin.com/company/aryzon-world/" r:id="rId1135"/>
    <hyperlink xmlns:r="http://schemas.openxmlformats.org/officeDocument/2006/relationships" ref="Y361" display="https://drive.google.com/uc?export=view&amp;id=17gGzTxu8z7JDFZhDx6pTXyBkfZB6xsKj" r:id="rId1136"/>
    <hyperlink xmlns:r="http://schemas.openxmlformats.org/officeDocument/2006/relationships" ref="E362" display="https://seniorlingua.com/en" r:id="rId1137"/>
    <hyperlink xmlns:r="http://schemas.openxmlformats.org/officeDocument/2006/relationships" ref="R362" display="https://www.instagram.com/seniorlingua/" r:id="rId1138"/>
    <hyperlink xmlns:r="http://schemas.openxmlformats.org/officeDocument/2006/relationships" ref="T362" display="https://www.linkedin.com/company/senior-lingua/" r:id="rId1139"/>
    <hyperlink xmlns:r="http://schemas.openxmlformats.org/officeDocument/2006/relationships" ref="Y362" display="https://drive.google.com/uc?export=view&amp;id=1-i87-HBKuqKykDNFFC45hu1J7-D6F2ka" r:id="rId1140"/>
    <hyperlink xmlns:r="http://schemas.openxmlformats.org/officeDocument/2006/relationships" ref="D363" display="http://codeeasy.io/" r:id="rId1141"/>
    <hyperlink xmlns:r="http://schemas.openxmlformats.org/officeDocument/2006/relationships" ref="E363" display="https://codeeasy.io/" r:id="rId1142"/>
    <hyperlink xmlns:r="http://schemas.openxmlformats.org/officeDocument/2006/relationships" ref="R363" display="https://www.instagram.com/codeeasy.io" r:id="rId1143"/>
    <hyperlink xmlns:r="http://schemas.openxmlformats.org/officeDocument/2006/relationships" ref="T363" display="https://www.linkedin.com/company/codeasy" r:id="rId1144"/>
    <hyperlink xmlns:r="http://schemas.openxmlformats.org/officeDocument/2006/relationships" ref="Y363" display="https://drive.google.com/uc?export=view&amp;id=1737Gy13sr1wxQ-piMFje3qVHTzuLYuma" r:id="rId1145"/>
    <hyperlink xmlns:r="http://schemas.openxmlformats.org/officeDocument/2006/relationships" ref="E364" display="http://www.furhatrobotics.com/" r:id="rId1146"/>
    <hyperlink xmlns:r="http://schemas.openxmlformats.org/officeDocument/2006/relationships" ref="R364" display="https://www.instagram.com/furhatrobotics/" r:id="rId1147"/>
    <hyperlink xmlns:r="http://schemas.openxmlformats.org/officeDocument/2006/relationships" ref="S364" display="https://twitter.com/furhatrobotics" r:id="rId1148"/>
    <hyperlink xmlns:r="http://schemas.openxmlformats.org/officeDocument/2006/relationships" ref="T364" display="https://www.linkedin.com/company/furhat-robotics/" r:id="rId1149"/>
    <hyperlink xmlns:r="http://schemas.openxmlformats.org/officeDocument/2006/relationships" ref="Y364" display="https://drive.google.com/uc?export=view&amp;id=1J2gXlRTPiN96thhQdpX_p62OHT_DZICI" r:id="rId1150"/>
    <hyperlink xmlns:r="http://schemas.openxmlformats.org/officeDocument/2006/relationships" ref="E365" display="http://publiceringsverkyg.mobilestories.se/" r:id="rId1151"/>
    <hyperlink xmlns:r="http://schemas.openxmlformats.org/officeDocument/2006/relationships" ref="T365" display="https://www.linkedin.com/company/mobile-stories/https:/www.linkedin.com/company/mobile-stories/" r:id="rId1152"/>
    <hyperlink xmlns:r="http://schemas.openxmlformats.org/officeDocument/2006/relationships" ref="Y365" display="https://drive.google.com/uc?export=view&amp;id=1UwEw4Amf-Lz2GxT4TLkEQQnwi2jvZH_U" r:id="rId1153"/>
    <hyperlink xmlns:r="http://schemas.openxmlformats.org/officeDocument/2006/relationships" ref="E366" display="https://www.nuiteq.com/" r:id="rId1154"/>
    <hyperlink xmlns:r="http://schemas.openxmlformats.org/officeDocument/2006/relationships" ref="T366" display="https://www.linkedin.com/company/nuiteq/" r:id="rId1155"/>
    <hyperlink xmlns:r="http://schemas.openxmlformats.org/officeDocument/2006/relationships" ref="Y366" display="https://drive.google.com/uc?export=view&amp;id=1L645_RcN44Qfw_NjO1NP77PGezF0L5S0" r:id="rId1156"/>
    <hyperlink xmlns:r="http://schemas.openxmlformats.org/officeDocument/2006/relationships" ref="E367" display="https://www.wacano.se/" r:id="rId1157"/>
    <hyperlink xmlns:r="http://schemas.openxmlformats.org/officeDocument/2006/relationships" ref="S367" display="https://twitter.com/WacanoSE" r:id="rId1158"/>
    <hyperlink xmlns:r="http://schemas.openxmlformats.org/officeDocument/2006/relationships" ref="E368" display="https://booksquare.se/" r:id="rId1159"/>
    <hyperlink xmlns:r="http://schemas.openxmlformats.org/officeDocument/2006/relationships" ref="R368" display="https://www.instagram.com/booksquare.se/" r:id="rId1160"/>
    <hyperlink xmlns:r="http://schemas.openxmlformats.org/officeDocument/2006/relationships" ref="S368" display="https://twitter.com/booksquare_se" r:id="rId1161"/>
    <hyperlink xmlns:r="http://schemas.openxmlformats.org/officeDocument/2006/relationships" ref="T368" display="https://www.linkedin.com/company/booksquaresweden" r:id="rId1162"/>
    <hyperlink xmlns:r="http://schemas.openxmlformats.org/officeDocument/2006/relationships" ref="Y368" display="https://drive.google.com/uc?export=view&amp;id=1zZsO_Rs9yi_YIDyxQS1AwOQzAaFw3Hw8" r:id="rId1163"/>
    <hyperlink xmlns:r="http://schemas.openxmlformats.org/officeDocument/2006/relationships" ref="E369" display="http://www.baobabooks.com/" r:id="rId1164"/>
    <hyperlink xmlns:r="http://schemas.openxmlformats.org/officeDocument/2006/relationships" ref="R369" display="https://www.instagram.com/baobabooks/" r:id="rId1165"/>
    <hyperlink xmlns:r="http://schemas.openxmlformats.org/officeDocument/2006/relationships" ref="S369" display="https://twitter.com/Baobabooks1" r:id="rId1166"/>
    <hyperlink xmlns:r="http://schemas.openxmlformats.org/officeDocument/2006/relationships" ref="T369" display="https://www.linkedin.com/company/baobabooks/mycompany/" r:id="rId1167"/>
    <hyperlink xmlns:r="http://schemas.openxmlformats.org/officeDocument/2006/relationships" ref="U369" display="http://baobabooks.com/" r:id="rId1168"/>
    <hyperlink xmlns:r="http://schemas.openxmlformats.org/officeDocument/2006/relationships" ref="Y369" display="https://drive.google.com/uc?export=view&amp;id=1wUE_3FzSjcwmqUmfAXHJaH6PeErA0M_M" r:id="rId1169"/>
    <hyperlink xmlns:r="http://schemas.openxmlformats.org/officeDocument/2006/relationships" ref="E370" display="https://brainy.gr/" r:id="rId1170"/>
    <hyperlink xmlns:r="http://schemas.openxmlformats.org/officeDocument/2006/relationships" ref="R370" display="https://www.instagram.com/brainy.gr/" r:id="rId1171"/>
    <hyperlink xmlns:r="http://schemas.openxmlformats.org/officeDocument/2006/relationships" ref="T370" display="https://www.linkedin.com/company/brainy-gr/" r:id="rId1172"/>
    <hyperlink xmlns:r="http://schemas.openxmlformats.org/officeDocument/2006/relationships" ref="Y370" display="https://drive.google.com/uc?export=view&amp;id=1AUtQaow05e4Omzorl2DvTpmPb82s_8-0" r:id="rId1173"/>
    <hyperlink xmlns:r="http://schemas.openxmlformats.org/officeDocument/2006/relationships" ref="E371" display="https://abstract-technology.de/de" r:id="rId1174"/>
    <hyperlink xmlns:r="http://schemas.openxmlformats.org/officeDocument/2006/relationships" ref="S371" display="https://x.com/abstractGmbH" r:id="rId1175"/>
    <hyperlink xmlns:r="http://schemas.openxmlformats.org/officeDocument/2006/relationships" ref="T371" display="https://www.linkedin.com/company/abstract-technology-gmbh/" r:id="rId1176"/>
    <hyperlink xmlns:r="http://schemas.openxmlformats.org/officeDocument/2006/relationships" ref="Y371" display="https://drive.google.com/uc?export=view&amp;id=1QkRC8kOa_-tyPVsRmP5ZgKp8pJ3Wby4h" r:id="rId1177"/>
    <hyperlink xmlns:r="http://schemas.openxmlformats.org/officeDocument/2006/relationships" ref="E372" display="http://music-crab.com/" r:id="rId1178"/>
    <hyperlink xmlns:r="http://schemas.openxmlformats.org/officeDocument/2006/relationships" ref="Y372" display="https://drive.google.com/uc?export=view&amp;id=1QmrwTrHQvRjELUHeOStYw9nzi28tEzMp" r:id="rId1179"/>
    <hyperlink xmlns:r="http://schemas.openxmlformats.org/officeDocument/2006/relationships" ref="E373" display="https://orbit8.app/" r:id="rId1180"/>
    <hyperlink xmlns:r="http://schemas.openxmlformats.org/officeDocument/2006/relationships" ref="R373" display="https://www.instagram.com/orbit8_app" r:id="rId1181"/>
    <hyperlink xmlns:r="http://schemas.openxmlformats.org/officeDocument/2006/relationships" ref="T373" display="https://www.linkedin.com/company/orbit8" r:id="rId1182"/>
    <hyperlink xmlns:r="http://schemas.openxmlformats.org/officeDocument/2006/relationships" ref="Y373" display="https://drive.google.com/uc?export=view&amp;id=1S-o6oAGOyNyhT2_yR9VWFtHh96doI8Zm" r:id="rId1183"/>
    <hyperlink xmlns:r="http://schemas.openxmlformats.org/officeDocument/2006/relationships" ref="E374" display="http://www.itenlearning.com/" r:id="rId1184"/>
    <hyperlink xmlns:r="http://schemas.openxmlformats.org/officeDocument/2006/relationships" ref="R374" display="https://www.instagram.com/itenlearning_es/" r:id="rId1185"/>
    <hyperlink xmlns:r="http://schemas.openxmlformats.org/officeDocument/2006/relationships" ref="T374" display="https://www.linkedin.com/company/itenlearning/?viewAsMember=true" r:id="rId1186"/>
    <hyperlink xmlns:r="http://schemas.openxmlformats.org/officeDocument/2006/relationships" ref="Y374" display="https://drive.google.com/uc?export=view&amp;id=1nzx25kkpfwvU2Kg6a1ai5UBtOQRShJU9" r:id="rId1187"/>
    <hyperlink xmlns:r="http://schemas.openxmlformats.org/officeDocument/2006/relationships" ref="E375" display="http://www.classinthebox.com/" r:id="rId1188"/>
    <hyperlink xmlns:r="http://schemas.openxmlformats.org/officeDocument/2006/relationships" ref="Y375" display="https://drive.google.com/uc?export=view&amp;id=1mBKlYZ4EI0W4_wmMvDlMDsNmW7aLVUvH" r:id="rId1189"/>
    <hyperlink xmlns:r="http://schemas.openxmlformats.org/officeDocument/2006/relationships" ref="E376" display="http://www.springlab.nl/" r:id="rId1190"/>
    <hyperlink xmlns:r="http://schemas.openxmlformats.org/officeDocument/2006/relationships" ref="R376" display="https://www.instagram.com/springlabnl/" r:id="rId1191"/>
    <hyperlink xmlns:r="http://schemas.openxmlformats.org/officeDocument/2006/relationships" ref="T376" display="https://www.linkedin.com/company/springlab-nl/" r:id="rId1192"/>
    <hyperlink xmlns:r="http://schemas.openxmlformats.org/officeDocument/2006/relationships" ref="Y376" display="https://drive.google.com/uc?export=view&amp;id=1KSkqvo-u2ciar63nVbxtjj-r4lX2kASh" r:id="rId1193"/>
    <hyperlink xmlns:r="http://schemas.openxmlformats.org/officeDocument/2006/relationships" ref="E377" display="http://www.ninefeb.com/" r:id="rId1194"/>
    <hyperlink xmlns:r="http://schemas.openxmlformats.org/officeDocument/2006/relationships" ref="T377" display="https://www.linkedin.com/company/6522826/" r:id="rId1195"/>
    <hyperlink xmlns:r="http://schemas.openxmlformats.org/officeDocument/2006/relationships" ref="Y377" display="https://drive.google.com/uc?export=view&amp;id=11R7b7YRJ28NDU3GzDmXVqunBFjZHY6RP" r:id="rId1196"/>
    <hyperlink xmlns:r="http://schemas.openxmlformats.org/officeDocument/2006/relationships" ref="E378" display="https://www.eduvolutionx.com/" r:id="rId1197"/>
    <hyperlink xmlns:r="http://schemas.openxmlformats.org/officeDocument/2006/relationships" ref="T378" display="https://www.linkedin.com/company/eduvolutionx/" r:id="rId1198"/>
    <hyperlink xmlns:r="http://schemas.openxmlformats.org/officeDocument/2006/relationships" ref="Y378" display="https://drive.google.com/uc?export=view&amp;id=1-uJgN80nDfAzGxhggOO9sQIJ8cVAERHc" r:id="rId1199"/>
    <hyperlink xmlns:r="http://schemas.openxmlformats.org/officeDocument/2006/relationships" ref="E379" display="https://www.mywizzie.com/" r:id="rId1200"/>
    <hyperlink xmlns:r="http://schemas.openxmlformats.org/officeDocument/2006/relationships" ref="R379" display="https://www.instagram.com/wizzieapp/" r:id="rId1201"/>
    <hyperlink xmlns:r="http://schemas.openxmlformats.org/officeDocument/2006/relationships" ref="S379" display="https://twitter.com/wizzieapp/" r:id="rId1202"/>
    <hyperlink xmlns:r="http://schemas.openxmlformats.org/officeDocument/2006/relationships" ref="T379" display="https://www.linkedin.com/company/wizzieapp/" r:id="rId1203"/>
    <hyperlink xmlns:r="http://schemas.openxmlformats.org/officeDocument/2006/relationships" ref="Y379" display="https://drive.google.com/uc?export=view&amp;id=1UJsFCFwMIKbVPwHMUYqvCOCvrzcoRYCY" r:id="rId1204"/>
    <hyperlink xmlns:r="http://schemas.openxmlformats.org/officeDocument/2006/relationships" ref="E380" display="https://piogroup.net/" r:id="rId1205"/>
    <hyperlink xmlns:r="http://schemas.openxmlformats.org/officeDocument/2006/relationships" ref="R380" display="https://www.instagram.com/piogroup_software/" r:id="rId1206"/>
    <hyperlink xmlns:r="http://schemas.openxmlformats.org/officeDocument/2006/relationships" ref="T380" display="https://www.linkedin.com/company/10346147" r:id="rId1207"/>
    <hyperlink xmlns:r="http://schemas.openxmlformats.org/officeDocument/2006/relationships" ref="Y380" display="https://drive.google.com/uc?export=view&amp;id=1yNu9dj0CWalapMprBk9pXWyfmWIeERzp" r:id="rId1208"/>
    <hyperlink xmlns:r="http://schemas.openxmlformats.org/officeDocument/2006/relationships" ref="E381" display="https://everyonecodes.io/" r:id="rId1209"/>
    <hyperlink xmlns:r="http://schemas.openxmlformats.org/officeDocument/2006/relationships" ref="T381" display="https://www.linkedin.com/company/everyonecodes" r:id="rId1210"/>
    <hyperlink xmlns:r="http://schemas.openxmlformats.org/officeDocument/2006/relationships" ref="Y381" display="https://drive.google.com/uc?export=view&amp;id=192mk0iNtChldVg6kvO3cwrdf7HY1snVY" r:id="rId1211"/>
    <hyperlink xmlns:r="http://schemas.openxmlformats.org/officeDocument/2006/relationships" ref="E382" display="https://www.kialo-edu.com/" r:id="rId1212"/>
    <hyperlink xmlns:r="http://schemas.openxmlformats.org/officeDocument/2006/relationships" ref="S382" display="https://x.com/kialoedu" r:id="rId1213"/>
    <hyperlink xmlns:r="http://schemas.openxmlformats.org/officeDocument/2006/relationships" ref="T382" display="https://www.linkedin.com/company/kialo" r:id="rId1214"/>
    <hyperlink xmlns:r="http://schemas.openxmlformats.org/officeDocument/2006/relationships" ref="Y382" display="https://drive.google.com/uc?export=view&amp;id=1qBZSNkvwyTDywYSbXUHzoTr8vKa3pDAZ" r:id="rId1215"/>
    <hyperlink xmlns:r="http://schemas.openxmlformats.org/officeDocument/2006/relationships" ref="E383" display="https://www.omniabuildings.nl/" r:id="rId1216"/>
    <hyperlink xmlns:r="http://schemas.openxmlformats.org/officeDocument/2006/relationships" ref="R383" display="https://www.instagram.com/pleqcampus/" r:id="rId1217"/>
    <hyperlink xmlns:r="http://schemas.openxmlformats.org/officeDocument/2006/relationships" ref="T383" display="https://www.linkedin.com/company/omnia-smartcampus" r:id="rId1218"/>
    <hyperlink xmlns:r="http://schemas.openxmlformats.org/officeDocument/2006/relationships" ref="Y383" display="https://drive.google.com/uc?export=view&amp;id=1QNUskMomrN-D6pcAJZrEWNyB-PW1kFUk" r:id="rId1219"/>
    <hyperlink xmlns:r="http://schemas.openxmlformats.org/officeDocument/2006/relationships" ref="E384" display="http://www.kognity.com/" r:id="rId1220"/>
    <hyperlink xmlns:r="http://schemas.openxmlformats.org/officeDocument/2006/relationships" ref="Y384" display="https://drive.google.com/uc?export=view&amp;id=167feE1eCXHjsG-MQX51cNOmfbB3CLdWU" r:id="rId1221"/>
    <hyperlink xmlns:r="http://schemas.openxmlformats.org/officeDocument/2006/relationships" ref="E385" display="http://www.beta.vision/" r:id="rId1222"/>
    <hyperlink xmlns:r="http://schemas.openxmlformats.org/officeDocument/2006/relationships" ref="T385" display="https://www.linkedin.com/company/betabusinessinnovation/" r:id="rId1223"/>
    <hyperlink xmlns:r="http://schemas.openxmlformats.org/officeDocument/2006/relationships" ref="Y385" display="https://drive.google.com/uc?export=view&amp;id=1X61aJMZlBJT5HelyXP0H9KAMZ3FXbd5s" r:id="rId1224"/>
    <hyperlink xmlns:r="http://schemas.openxmlformats.org/officeDocument/2006/relationships" ref="E386" display="https://www.bitdegree.org/" r:id="rId1225"/>
    <hyperlink xmlns:r="http://schemas.openxmlformats.org/officeDocument/2006/relationships" ref="R386" display="https://www.instagram.com/bitdegree/" r:id="rId1226"/>
    <hyperlink xmlns:r="http://schemas.openxmlformats.org/officeDocument/2006/relationships" ref="S386" display="https://wwww.x.com/BitDegree" r:id="rId1227"/>
    <hyperlink xmlns:r="http://schemas.openxmlformats.org/officeDocument/2006/relationships" ref="T386" display="https://www.linkedin.com/company/bitdegree/" r:id="rId1228"/>
    <hyperlink xmlns:r="http://schemas.openxmlformats.org/officeDocument/2006/relationships" ref="Y386" display="https://drive.google.com/uc?export=view&amp;id=1P3zWqrukiddfcpqhqtBcqiqQsZSiD9jK" r:id="rId1229"/>
    <hyperlink xmlns:r="http://schemas.openxmlformats.org/officeDocument/2006/relationships" ref="E387" display="https://www.edtake.com/en" r:id="rId1230"/>
    <hyperlink xmlns:r="http://schemas.openxmlformats.org/officeDocument/2006/relationships" ref="T387" display="https://www.linkedin.com/company/edtake" r:id="rId1231"/>
    <hyperlink xmlns:r="http://schemas.openxmlformats.org/officeDocument/2006/relationships" ref="U387" display="http://edtake.ai/" r:id="rId1232"/>
    <hyperlink xmlns:r="http://schemas.openxmlformats.org/officeDocument/2006/relationships" ref="Y387" display="https://drive.google.com/uc?export=view&amp;id=1W837jH_PBeQCejmQDYnqrlBsC2vgSvJC" r:id="rId1233"/>
    <hyperlink xmlns:r="http://schemas.openxmlformats.org/officeDocument/2006/relationships" ref="E388" display="https://micromate.ai/" r:id="rId1234"/>
    <hyperlink xmlns:r="http://schemas.openxmlformats.org/officeDocument/2006/relationships" ref="R388" display="https://www.instagram.com/micromate_learning/" r:id="rId1235"/>
    <hyperlink xmlns:r="http://schemas.openxmlformats.org/officeDocument/2006/relationships" ref="S388" display="https://x.com/Micromate_ai" r:id="rId1236"/>
    <hyperlink xmlns:r="http://schemas.openxmlformats.org/officeDocument/2006/relationships" ref="T388" display="https://www.linkedin.com/company/micromate-learning/" r:id="rId1237"/>
    <hyperlink xmlns:r="http://schemas.openxmlformats.org/officeDocument/2006/relationships" ref="Y388" display="https://drive.google.com/uc?export=view&amp;id=1SciFpk85YUHxS9T94o3c5k55XiyDA3vj" r:id="rId1238"/>
    <hyperlink xmlns:r="http://schemas.openxmlformats.org/officeDocument/2006/relationships" ref="E389" display="https://edulia.it/company/" r:id="rId1239"/>
    <hyperlink xmlns:r="http://schemas.openxmlformats.org/officeDocument/2006/relationships" ref="T389" display="https://www.linkedin.com/company/eduliatreccani" r:id="rId1240"/>
    <hyperlink xmlns:r="http://schemas.openxmlformats.org/officeDocument/2006/relationships" ref="Y389" display="https://drive.google.com/uc?export=view&amp;id=1TZOr6Iw9uQt6xALwF3Fh--g9WCsMR5VR" r:id="rId1241"/>
    <hyperlink xmlns:r="http://schemas.openxmlformats.org/officeDocument/2006/relationships" ref="E390" display="https://www.lmddc.lu/" r:id="rId1242"/>
    <hyperlink xmlns:r="http://schemas.openxmlformats.org/officeDocument/2006/relationships" ref="S390" display="https://x.com/skilltech_LU" r:id="rId1243"/>
    <hyperlink xmlns:r="http://schemas.openxmlformats.org/officeDocument/2006/relationships" ref="T390" display="https://www.linkedin.com/company/81318169/admin/dashboard/" r:id="rId1244"/>
    <hyperlink xmlns:r="http://schemas.openxmlformats.org/officeDocument/2006/relationships" ref="Y390" display="https://drive.google.com/uc?export=view&amp;id=14yRcdY7sOmfImPt84e8ZpwdVqqPvulXK" r:id="rId1245"/>
    <hyperlink xmlns:r="http://schemas.openxmlformats.org/officeDocument/2006/relationships" ref="E391" display="https://astra.si/en/astra-ai/" r:id="rId1246"/>
    <hyperlink xmlns:r="http://schemas.openxmlformats.org/officeDocument/2006/relationships" ref="R391" display="https://www.instagram.com/astra_ai_official/" r:id="rId1247"/>
    <hyperlink xmlns:r="http://schemas.openxmlformats.org/officeDocument/2006/relationships" ref="T391" display="https://www.linkedin.com/company/astra-si/" r:id="rId1248"/>
    <hyperlink xmlns:r="http://schemas.openxmlformats.org/officeDocument/2006/relationships" ref="Y391" display="https://drive.google.com/uc?export=view&amp;id=1paK-hsfO4S6AEZyLP000Cdiio1c969Eo" r:id="rId1249"/>
    <hyperlink xmlns:r="http://schemas.openxmlformats.org/officeDocument/2006/relationships" ref="E392" display="http://www.nightzookeeper.com/" r:id="rId1250"/>
    <hyperlink xmlns:r="http://schemas.openxmlformats.org/officeDocument/2006/relationships" ref="R392" display="https://www.instagram.com/nightzookeeper/?hl=en" r:id="rId1251"/>
    <hyperlink xmlns:r="http://schemas.openxmlformats.org/officeDocument/2006/relationships" ref="S392" display="https://x.com/nightzookeeper?lang=en&amp;mx=2" r:id="rId1252"/>
    <hyperlink xmlns:r="http://schemas.openxmlformats.org/officeDocument/2006/relationships" ref="T392" display="https://www.linkedin.com/company/night-zookeeper/?viewAsMember=true" r:id="rId1253"/>
    <hyperlink xmlns:r="http://schemas.openxmlformats.org/officeDocument/2006/relationships" ref="Y392" display="https://drive.google.com/uc?export=view&amp;id=1cT2fOYtlYB09QjCpRET3Q5kNmicoP2eU" r:id="rId1254"/>
    <hyperlink xmlns:r="http://schemas.openxmlformats.org/officeDocument/2006/relationships" ref="E393" display="https://exr.education/" r:id="rId1255"/>
    <hyperlink xmlns:r="http://schemas.openxmlformats.org/officeDocument/2006/relationships" ref="T393" display="https://www.linkedin.com/company/exrsolutions/" r:id="rId1256"/>
    <hyperlink xmlns:r="http://schemas.openxmlformats.org/officeDocument/2006/relationships" ref="Y393" display="https://drive.google.com/uc?export=view&amp;id=1wv6ERHE1kOQM4b5DqeDX2f1eguka5LIZ" r:id="rId1257"/>
    <hyperlink xmlns:r="http://schemas.openxmlformats.org/officeDocument/2006/relationships" ref="E394" display="https://aktiedysten.dk/" r:id="rId1258"/>
    <hyperlink xmlns:r="http://schemas.openxmlformats.org/officeDocument/2006/relationships" ref="R394" display="https://www.instagram.com/aktiedysten" r:id="rId1259"/>
    <hyperlink xmlns:r="http://schemas.openxmlformats.org/officeDocument/2006/relationships" ref="S394" display="https://www.instagram.com/aktiedysten/" r:id="rId1260"/>
    <hyperlink xmlns:r="http://schemas.openxmlformats.org/officeDocument/2006/relationships" ref="T394" display="https://www.linkedin.com/company/12662458" r:id="rId1261"/>
    <hyperlink xmlns:r="http://schemas.openxmlformats.org/officeDocument/2006/relationships" ref="Y394" display="https://drive.google.com/uc?export=view&amp;id=1V5iQ3jqJOhe-NJ0N59xMg0Q9dOz1CeTN" r:id="rId1262"/>
    <hyperlink xmlns:r="http://schemas.openxmlformats.org/officeDocument/2006/relationships" ref="E395" display="https://mydys.app/fr/" r:id="rId1263"/>
    <hyperlink xmlns:r="http://schemas.openxmlformats.org/officeDocument/2006/relationships" ref="R395" display="https://www.instagram.com/facil_iti/" r:id="rId1264"/>
    <hyperlink xmlns:r="http://schemas.openxmlformats.org/officeDocument/2006/relationships" ref="S395" display="https://twitter.com/facil_iti" r:id="rId1265"/>
    <hyperlink xmlns:r="http://schemas.openxmlformats.org/officeDocument/2006/relationships" ref="T395" display="https://www.linkedin.com/company/facil-iti-france/mycompany/" r:id="rId1266"/>
    <hyperlink xmlns:r="http://schemas.openxmlformats.org/officeDocument/2006/relationships" ref="Y395" display="https://drive.google.com/uc?export=view&amp;id=1DwKrB6fjFGNMmxGxF89k6T46U5XDWwF8" r:id="rId1267"/>
    <hyperlink xmlns:r="http://schemas.openxmlformats.org/officeDocument/2006/relationships" ref="E396" display="https://acco.be/en/learning-solutions-for-businesses/" r:id="rId1268"/>
    <hyperlink xmlns:r="http://schemas.openxmlformats.org/officeDocument/2006/relationships" ref="E397" display="https://altereyes.com/" r:id="rId1269"/>
    <hyperlink xmlns:r="http://schemas.openxmlformats.org/officeDocument/2006/relationships" ref="E399" display="http://www.cyberneticwalrus.be/" r:id="rId1270"/>
    <hyperlink xmlns:r="http://schemas.openxmlformats.org/officeDocument/2006/relationships" ref="E400" display="https://denkie.com/" r:id="rId1271"/>
    <hyperlink xmlns:r="http://schemas.openxmlformats.org/officeDocument/2006/relationships" ref="E401" display="https://www.diekeure.be/educatief/kabas/" r:id="rId1272"/>
    <hyperlink xmlns:r="http://schemas.openxmlformats.org/officeDocument/2006/relationships" ref="E402" display="https://www.flowsparks.com/" r:id="rId1273"/>
    <hyperlink xmlns:r="http://schemas.openxmlformats.org/officeDocument/2006/relationships" ref="E403" display="https://www.gynzy.com/nl-be" r:id="rId1274"/>
    <hyperlink xmlns:r="http://schemas.openxmlformats.org/officeDocument/2006/relationships" ref="E404" display="https://www.laurea.be/" r:id="rId1275"/>
    <hyperlink xmlns:r="http://schemas.openxmlformats.org/officeDocument/2006/relationships" ref="E405" display="https://lexima.be/" r:id="rId1276"/>
    <hyperlink xmlns:r="http://schemas.openxmlformats.org/officeDocument/2006/relationships" ref="E406" display="https://lexima.nl/" r:id="rId1277"/>
    <hyperlink xmlns:r="http://schemas.openxmlformats.org/officeDocument/2006/relationships" ref="E407" display="https://www.ulia.be/" r:id="rId1278"/>
    <hyperlink xmlns:r="http://schemas.openxmlformats.org/officeDocument/2006/relationships" ref="E408" display="https://uqalify.com/" r:id="rId1279"/>
    <hyperlink xmlns:r="http://schemas.openxmlformats.org/officeDocument/2006/relationships" ref="E409" display="https://neolearning.eu/" r:id="rId1280"/>
    <hyperlink xmlns:r="http://schemas.openxmlformats.org/officeDocument/2006/relationships" ref="E410" display="http://eworking.it/" r:id="rId1281"/>
    <hyperlink xmlns:r="http://schemas.openxmlformats.org/officeDocument/2006/relationships" ref="R410" display="https://www.instagram.com/eworking.it/" r:id="rId1282"/>
    <hyperlink xmlns:r="http://schemas.openxmlformats.org/officeDocument/2006/relationships" ref="T410" display="https://www.linkedin.com/company/eworking/" r:id="rId1283"/>
    <hyperlink xmlns:r="http://schemas.openxmlformats.org/officeDocument/2006/relationships" ref="Y410" display="https://drive.google.com/uc?export=view&amp;id=13qNKJfXDG2UBpRQF-FV-xMKaVYU4KrOx" r:id="rId1284"/>
    <hyperlink xmlns:r="http://schemas.openxmlformats.org/officeDocument/2006/relationships" ref="E411" display="https://www.futurehorizonseducation.com/" r:id="rId1285"/>
    <hyperlink xmlns:r="http://schemas.openxmlformats.org/officeDocument/2006/relationships" ref="S411" display="https://x.com/FutureHori56378" r:id="rId1286"/>
    <hyperlink xmlns:r="http://schemas.openxmlformats.org/officeDocument/2006/relationships" ref="T411" display="https://www.linkedin.com/company/future-horizons-education/?viewAsMember=true" r:id="rId1287"/>
    <hyperlink xmlns:r="http://schemas.openxmlformats.org/officeDocument/2006/relationships" ref="Y411" display="https://drive.google.com/uc?export=view&amp;id=1bUPEk2zZot9Phg5yrvJ3mCyBwZOZoSEb" r:id="rId1288"/>
    <hyperlink xmlns:r="http://schemas.openxmlformats.org/officeDocument/2006/relationships" ref="E412" display="http://www.sentiraxr.com/" r:id="rId1289"/>
    <hyperlink xmlns:r="http://schemas.openxmlformats.org/officeDocument/2006/relationships" ref="S412" display="https://x.com/SentiraXR" r:id="rId1290"/>
    <hyperlink xmlns:r="http://schemas.openxmlformats.org/officeDocument/2006/relationships" ref="T412" display="https://www.linkedin.com/company/sentira-xr/" r:id="rId1291"/>
    <hyperlink xmlns:r="http://schemas.openxmlformats.org/officeDocument/2006/relationships" ref="Y412" display="https://drive.google.com/uc?export=view&amp;id=1bVRbQFiresO2WZ4OysIzVcZFULkiTvrZ" r:id="rId1292"/>
    <hyperlink xmlns:r="http://schemas.openxmlformats.org/officeDocument/2006/relationships" ref="E413" display="https://braincore.swiss/en/" r:id="rId1293"/>
    <hyperlink xmlns:r="http://schemas.openxmlformats.org/officeDocument/2006/relationships" ref="T413" display="https://www.linkedin.com/company/braincore" r:id="rId1294"/>
    <hyperlink xmlns:r="http://schemas.openxmlformats.org/officeDocument/2006/relationships" ref="Y413" display="https://drive.google.com/uc?export=view&amp;id=1NusC2PGeYj-w8E-YQ20NrDz0CNjBasyi" r:id="rId1295"/>
    <hyperlink xmlns:r="http://schemas.openxmlformats.org/officeDocument/2006/relationships" ref="E414" display="http://www.peek.app/" r:id="rId1296"/>
    <hyperlink xmlns:r="http://schemas.openxmlformats.org/officeDocument/2006/relationships" ref="T414" display="https://www.linkedin.com/company/67243846" r:id="rId1297"/>
    <hyperlink xmlns:r="http://schemas.openxmlformats.org/officeDocument/2006/relationships" ref="Y414" display="https://drive.google.com/uc?export=view&amp;id=1y5UIFYXs4VpmnXEWjQpJLP-JYsoU_O43" r:id="rId1298"/>
    <hyperlink xmlns:r="http://schemas.openxmlformats.org/officeDocument/2006/relationships" ref="E415" display="https://chattutor.io/" r:id="rId1299"/>
    <hyperlink xmlns:r="http://schemas.openxmlformats.org/officeDocument/2006/relationships" ref="Y415" display="https://drive.google.com/uc?export=view&amp;id=1xmTXbr2Jqt8Aeq-guApVl_WfW_6NtKyO" r:id="rId1300"/>
    <hyperlink xmlns:r="http://schemas.openxmlformats.org/officeDocument/2006/relationships" ref="E416" display="http://www.jetlearn.com/" r:id="rId1301"/>
    <hyperlink xmlns:r="http://schemas.openxmlformats.org/officeDocument/2006/relationships" ref="T416" display="https://www.linkedin.com/company/jet-learn" r:id="rId1302"/>
    <hyperlink xmlns:r="http://schemas.openxmlformats.org/officeDocument/2006/relationships" ref="Y416" display="https://drive.google.com/uc?export=view&amp;id=1u--uHxIjbQgF02WtElFk3ViF4HuWMSIa" r:id="rId1303"/>
    <hyperlink xmlns:r="http://schemas.openxmlformats.org/officeDocument/2006/relationships" ref="E417" display="https://automated.education/" r:id="rId1304"/>
    <hyperlink xmlns:r="http://schemas.openxmlformats.org/officeDocument/2006/relationships" ref="R417" display="https://www.instagram.com/automated.education/" r:id="rId1305"/>
    <hyperlink xmlns:r="http://schemas.openxmlformats.org/officeDocument/2006/relationships" ref="T417" display="https://www.linkedin.com/company/102511543/" r:id="rId1306"/>
    <hyperlink xmlns:r="http://schemas.openxmlformats.org/officeDocument/2006/relationships" ref="Y417" display="https://drive.google.com/uc?export=view&amp;id=1NDVO3PpnqAdmtHlJndyfeKhCzAZkLTG3" r:id="rId1307"/>
    <hyperlink xmlns:r="http://schemas.openxmlformats.org/officeDocument/2006/relationships" ref="E418" display="https://gamsplatform.com/" r:id="rId1308"/>
    <hyperlink xmlns:r="http://schemas.openxmlformats.org/officeDocument/2006/relationships" ref="R418" display="https://www.instagram.com/gamsplatform" r:id="rId1309"/>
    <hyperlink xmlns:r="http://schemas.openxmlformats.org/officeDocument/2006/relationships" ref="T418" display="https://www.linkedin.com/company/gamsplatform/" r:id="rId1310"/>
    <hyperlink xmlns:r="http://schemas.openxmlformats.org/officeDocument/2006/relationships" ref="Y418" display="https://drive.google.com/uc?export=view&amp;id=1i1-mMnEgGLU3pXOkVVLruKtD8j2x6nxl" r:id="rId1311"/>
    <hyperlink xmlns:r="http://schemas.openxmlformats.org/officeDocument/2006/relationships" ref="E419" display="https://hihaho.com/" r:id="rId1312"/>
    <hyperlink xmlns:r="http://schemas.openxmlformats.org/officeDocument/2006/relationships" ref="T419" display="https://www.linkedin.com/company/hihaho/mycompany/" r:id="rId1313"/>
    <hyperlink xmlns:r="http://schemas.openxmlformats.org/officeDocument/2006/relationships" ref="Y419" display="https://drive.google.com/uc?export=view&amp;id=1xZJOt-CBkTwrccfTksl4xvGr3-IUGkRq" r:id="rId1314"/>
    <hyperlink xmlns:r="http://schemas.openxmlformats.org/officeDocument/2006/relationships" ref="E420" display="http://www.brightgame.com/" r:id="rId1315"/>
    <hyperlink xmlns:r="http://schemas.openxmlformats.org/officeDocument/2006/relationships" ref="T420" display="https://www.linkedin.com/company/skillsplay-ltd/" r:id="rId1316"/>
    <hyperlink xmlns:r="http://schemas.openxmlformats.org/officeDocument/2006/relationships" ref="Y420" display="https://drive.google.com/uc?export=view&amp;id=1_2paPPiy2gOHouf52PfmtDL5txb3SPJy" r:id="rId1317"/>
    <hyperlink xmlns:r="http://schemas.openxmlformats.org/officeDocument/2006/relationships" ref="E421" display="http://www.dibs-school.com/" r:id="rId1318"/>
    <hyperlink xmlns:r="http://schemas.openxmlformats.org/officeDocument/2006/relationships" ref="Y421" display="https://drive.google.com/uc?export=view&amp;id=1enyRbrKQ8mYyOnjJnl_hm6APAsdZEP_s" r:id="rId1319"/>
    <hyperlink xmlns:r="http://schemas.openxmlformats.org/officeDocument/2006/relationships" ref="E422" display="https://eddilake.de/" r:id="rId1320"/>
    <hyperlink xmlns:r="http://schemas.openxmlformats.org/officeDocument/2006/relationships" ref="T422" display="https://www.linkedin.com/company/eddilake" r:id="rId1321"/>
    <hyperlink xmlns:r="http://schemas.openxmlformats.org/officeDocument/2006/relationships" ref="Y422" display="https://drive.google.com/uc?export=view&amp;id=1VqLlUTJ3BACoceEolhBv7YdBOm9zNDiq" r:id="rId1322"/>
    <hyperlink xmlns:r="http://schemas.openxmlformats.org/officeDocument/2006/relationships" ref="D423" display="http://brainbite.ai/" r:id="rId1323"/>
    <hyperlink xmlns:r="http://schemas.openxmlformats.org/officeDocument/2006/relationships" ref="E423" display="http://www.brainbite.ai/" r:id="rId1324"/>
    <hyperlink xmlns:r="http://schemas.openxmlformats.org/officeDocument/2006/relationships" ref="R423" display="https://www.instagram.com/brainbiteai/" r:id="rId1325"/>
    <hyperlink xmlns:r="http://schemas.openxmlformats.org/officeDocument/2006/relationships" ref="T423" display="https://www.linkedin.com/company/brainbite/about/" r:id="rId1326"/>
    <hyperlink xmlns:r="http://schemas.openxmlformats.org/officeDocument/2006/relationships" ref="U423" display="http://brainbite.ai/" r:id="rId1327"/>
    <hyperlink xmlns:r="http://schemas.openxmlformats.org/officeDocument/2006/relationships" ref="Y423" display="https://drive.google.com/uc?export=view&amp;id=18mp-kr9smhowzLVPVFN12YfYsfzs5ux6" r:id="rId1328"/>
    <hyperlink xmlns:r="http://schemas.openxmlformats.org/officeDocument/2006/relationships" ref="E424" display="http://www.solion.it/" r:id="rId1329"/>
    <hyperlink xmlns:r="http://schemas.openxmlformats.org/officeDocument/2006/relationships" ref="R424" display="https://www.instagram.com/solion.it/" r:id="rId1330"/>
    <hyperlink xmlns:r="http://schemas.openxmlformats.org/officeDocument/2006/relationships" ref="T424" display="https://www.linkedin.com/company/solion/?viewAsMember=true" r:id="rId1331"/>
    <hyperlink xmlns:r="http://schemas.openxmlformats.org/officeDocument/2006/relationships" ref="Y424" display="https://drive.google.com/uc?export=view&amp;id=1tAWEyGEvnqjBEa0joButTPJgr3EYYg6d" r:id="rId1332"/>
    <hyperlink xmlns:r="http://schemas.openxmlformats.org/officeDocument/2006/relationships" ref="E425" display="http://classofwonders.com/" r:id="rId1333"/>
    <hyperlink xmlns:r="http://schemas.openxmlformats.org/officeDocument/2006/relationships" ref="T425" display="https://www.linkedin.com/company/class-of-wonders/" r:id="rId1334"/>
    <hyperlink xmlns:r="http://schemas.openxmlformats.org/officeDocument/2006/relationships" ref="Y425" display="https://drive.google.com/uc?export=view&amp;id=1VeNfrgrFYc7vecE8BTymFzLiDZH3nAal" r:id="rId1335"/>
    <hyperlink xmlns:r="http://schemas.openxmlformats.org/officeDocument/2006/relationships" ref="E426" display="https://learnosity.com/" r:id="rId1336"/>
    <hyperlink xmlns:r="http://schemas.openxmlformats.org/officeDocument/2006/relationships" ref="S426" display="https://twitter.com/learnosity?ref_src=twsrc%5Egoogle%7Ctwcamp%5Eserp%7Ctwgr%5Eauthor" r:id="rId1337"/>
    <hyperlink xmlns:r="http://schemas.openxmlformats.org/officeDocument/2006/relationships" ref="T426" display="https://ie.linkedin.com/company/learnosity" r:id="rId1338"/>
    <hyperlink xmlns:r="http://schemas.openxmlformats.org/officeDocument/2006/relationships" ref="Y426" display="https://drive.google.com/uc?export=view&amp;id=1mYockqmBTtzVjrtxlrfRnwHCO7QEV1P1" r:id="rId1339"/>
    <hyperlink xmlns:r="http://schemas.openxmlformats.org/officeDocument/2006/relationships" ref="E427" display="http://www.skill-full.com/" r:id="rId1340"/>
    <hyperlink xmlns:r="http://schemas.openxmlformats.org/officeDocument/2006/relationships" ref="T427" display="https://www.linkedin.com/company/skillfull-serious-games" r:id="rId1341"/>
    <hyperlink xmlns:r="http://schemas.openxmlformats.org/officeDocument/2006/relationships" ref="Y427" display="https://drive.google.com/uc?export=view&amp;id=1El6Sa0FxfPnluinRA8dH8A56fpEL6rPE" r:id="rId1342"/>
    <hyperlink xmlns:r="http://schemas.openxmlformats.org/officeDocument/2006/relationships" ref="E428" display="https://careerfit.com/" r:id="rId1343"/>
    <hyperlink xmlns:r="http://schemas.openxmlformats.org/officeDocument/2006/relationships" ref="R428" display="https://instagram.com/careerfitcom" r:id="rId1344"/>
    <hyperlink xmlns:r="http://schemas.openxmlformats.org/officeDocument/2006/relationships" ref="T428" display="https://www.linkedin.com/company/careerfitcom" r:id="rId1345"/>
    <hyperlink xmlns:r="http://schemas.openxmlformats.org/officeDocument/2006/relationships" ref="Y428" display="https://drive.google.com/uc?export=view&amp;id=1Um1Wg56X6JSN2xa0swgBcQolyG9SpW6K" r:id="rId1346"/>
    <hyperlink xmlns:r="http://schemas.openxmlformats.org/officeDocument/2006/relationships" ref="E429" display="http://www.galvia.ai/" r:id="rId1347"/>
    <hyperlink xmlns:r="http://schemas.openxmlformats.org/officeDocument/2006/relationships" ref="S429" display="https://twitter.com/GalviaAI" r:id="rId1348"/>
    <hyperlink xmlns:r="http://schemas.openxmlformats.org/officeDocument/2006/relationships" ref="T429" display="https://www.linkedin.com/company/galviaai/?viewAsMember=true" r:id="rId1349"/>
    <hyperlink xmlns:r="http://schemas.openxmlformats.org/officeDocument/2006/relationships" ref="Y429" display="https://drive.google.com/uc?export=view&amp;id=1CU6lOzb65kBDTxNZkpgJsa_ES6MqPFhi" r:id="rId1350"/>
    <hyperlink xmlns:r="http://schemas.openxmlformats.org/officeDocument/2006/relationships" ref="E430" display="https://graasp.org/" r:id="rId1351"/>
    <hyperlink xmlns:r="http://schemas.openxmlformats.org/officeDocument/2006/relationships" ref="S430" display="https://twitter.com/graasp" r:id="rId1352"/>
    <hyperlink xmlns:r="http://schemas.openxmlformats.org/officeDocument/2006/relationships" ref="T430" display="https://www.linkedin.com/company/graasp/" r:id="rId1353"/>
    <hyperlink xmlns:r="http://schemas.openxmlformats.org/officeDocument/2006/relationships" ref="Y430" display="https://drive.google.com/uc?export=view&amp;id=1LI1SxQPy-ypu3ewip_D7N0MozzZGR-DB" r:id="rId1354"/>
    <hyperlink xmlns:r="http://schemas.openxmlformats.org/officeDocument/2006/relationships" ref="E431" display="https://www.betterexaminations.com/" r:id="rId1355"/>
    <hyperlink xmlns:r="http://schemas.openxmlformats.org/officeDocument/2006/relationships" ref="T431" display="https://www.linkedin.com/company/betterexaminations/" r:id="rId1356"/>
    <hyperlink xmlns:r="http://schemas.openxmlformats.org/officeDocument/2006/relationships" ref="Y431" display="https://drive.google.com/uc?export=view&amp;id=1bI7kDflBEy6QOZrE7cyHsVTRc9jTFU1r" r:id="rId1357"/>
    <hyperlink xmlns:r="http://schemas.openxmlformats.org/officeDocument/2006/relationships" ref="E432" display="https://www.bluetea.eu/" r:id="rId1358"/>
    <hyperlink xmlns:r="http://schemas.openxmlformats.org/officeDocument/2006/relationships" ref="T432" display="https://www.linkedin.com/company/bluetea" r:id="rId1359"/>
    <hyperlink xmlns:r="http://schemas.openxmlformats.org/officeDocument/2006/relationships" ref="Y432" display="https://drive.google.com/uc?export=view&amp;id=1rdp8qIMwEmiSJPy8eYMerHQbtg6nXs2u" r:id="rId1360"/>
    <hyperlink xmlns:r="http://schemas.openxmlformats.org/officeDocument/2006/relationships" ref="E433" display="https://www.anywyse.nl/" r:id="rId1361"/>
    <hyperlink xmlns:r="http://schemas.openxmlformats.org/officeDocument/2006/relationships" ref="E434" display="https://www.bodyscratch.academy/index.html" r:id="rId1362"/>
    <hyperlink xmlns:r="http://schemas.openxmlformats.org/officeDocument/2006/relationships" ref="E435" display="https://www.booqio.com/" r:id="rId1363"/>
    <hyperlink xmlns:r="http://schemas.openxmlformats.org/officeDocument/2006/relationships" ref="E436" display="https://cma-science.nl/home-2" r:id="rId1364"/>
    <hyperlink xmlns:r="http://schemas.openxmlformats.org/officeDocument/2006/relationships" ref="E437" display="https://edutrainers.com/" r:id="rId1365"/>
    <hyperlink xmlns:r="http://schemas.openxmlformats.org/officeDocument/2006/relationships" ref="R437" display="http://instagram.com/edutrainersbv/" r:id="rId1366"/>
    <hyperlink xmlns:r="http://schemas.openxmlformats.org/officeDocument/2006/relationships" ref="S437" display="https://twitter.com/EdutrainersNL" r:id="rId1367"/>
    <hyperlink xmlns:r="http://schemas.openxmlformats.org/officeDocument/2006/relationships" ref="T437" display="https://www.linkedin.com/company/edutrainers/" r:id="rId1368"/>
    <hyperlink xmlns:r="http://schemas.openxmlformats.org/officeDocument/2006/relationships" ref="Y437" display="https://drive.google.com/uc?export=view&amp;id=1e8jVCYWfoIxgUMSb6NsmNqwTpnMvWc32" r:id="rId1369"/>
    <hyperlink xmlns:r="http://schemas.openxmlformats.org/officeDocument/2006/relationships" ref="E438" display="https://www.holofil.com/" r:id="rId1370"/>
    <hyperlink xmlns:r="http://schemas.openxmlformats.org/officeDocument/2006/relationships" ref="R438" display="http://www.instagram.com/holofil3d" r:id="rId1371"/>
    <hyperlink xmlns:r="http://schemas.openxmlformats.org/officeDocument/2006/relationships" ref="S438" display="http://www.twitter.com/holofil3D" r:id="rId1372"/>
    <hyperlink xmlns:r="http://schemas.openxmlformats.org/officeDocument/2006/relationships" ref="T438" display="https://www.linkedin.com/company/holofil/about/" r:id="rId1373"/>
    <hyperlink xmlns:r="http://schemas.openxmlformats.org/officeDocument/2006/relationships" ref="Y438" display="https://drive.google.com/uc?export=view&amp;id=15sjM993yT_E9xKLYxRUi-1GWoqj-Ovx1" r:id="rId1374"/>
    <hyperlink xmlns:r="http://schemas.openxmlformats.org/officeDocument/2006/relationships" ref="E439" display="https://www.komensky.nl/" r:id="rId1375"/>
    <hyperlink xmlns:r="http://schemas.openxmlformats.org/officeDocument/2006/relationships" ref="T439" display="https://www.linkedin.com/company/komensky/" r:id="rId1376"/>
    <hyperlink xmlns:r="http://schemas.openxmlformats.org/officeDocument/2006/relationships" ref="Y439" display="https://drive.google.com/uc?export=view&amp;id=1AhM_ClYPoOOB0uvkGFUfvE9k6xMxyS1M" r:id="rId1377"/>
    <hyperlink xmlns:r="http://schemas.openxmlformats.org/officeDocument/2006/relationships" ref="E440" display="https://www.liveryvideo.com/" r:id="rId1378"/>
    <hyperlink xmlns:r="http://schemas.openxmlformats.org/officeDocument/2006/relationships" ref="E441" display="https://www.myndr.nl/" r:id="rId1379"/>
    <hyperlink xmlns:r="http://schemas.openxmlformats.org/officeDocument/2006/relationships" ref="E442" display="https://pluvo.co/" r:id="rId1380"/>
    <hyperlink xmlns:r="http://schemas.openxmlformats.org/officeDocument/2006/relationships" ref="R442" display="https://www.instagram.com/pluvo.nl/" r:id="rId1381"/>
    <hyperlink xmlns:r="http://schemas.openxmlformats.org/officeDocument/2006/relationships" ref="T442" display="https://www.linkedin.com/company/pluvo" r:id="rId1382"/>
    <hyperlink xmlns:r="http://schemas.openxmlformats.org/officeDocument/2006/relationships" ref="Y442" display="https://drive.google.com/uc?export=view&amp;id=1UwTw09s7ZTNN09abWtWDyeiUx6KR_sOl" r:id="rId1383"/>
    <hyperlink xmlns:r="http://schemas.openxmlformats.org/officeDocument/2006/relationships" ref="E443" display="https://rakoo.com/" r:id="rId1384"/>
    <hyperlink xmlns:r="http://schemas.openxmlformats.org/officeDocument/2006/relationships" ref="R443" display="https://www.instagram.com/workingatrakoo/" r:id="rId1385"/>
    <hyperlink xmlns:r="http://schemas.openxmlformats.org/officeDocument/2006/relationships" ref="S443" display="https://twitter.com/rakoocom" r:id="rId1386"/>
    <hyperlink xmlns:r="http://schemas.openxmlformats.org/officeDocument/2006/relationships" ref="T443" display="https://www.linkedin.com/company/rakoo" r:id="rId1387"/>
    <hyperlink xmlns:r="http://schemas.openxmlformats.org/officeDocument/2006/relationships" ref="Y443" display="https://drive.google.com/uc?export=view&amp;id=1_swJ2f7Of4znvxpsxNXnAK5eTaCGtt7j" r:id="rId1388"/>
    <hyperlink xmlns:r="http://schemas.openxmlformats.org/officeDocument/2006/relationships" ref="E444" display="http://revise.ly/" r:id="rId1389"/>
    <hyperlink xmlns:r="http://schemas.openxmlformats.org/officeDocument/2006/relationships" ref="T444" display="https://www.linkedin.com/company/revisely" r:id="rId1390"/>
    <hyperlink xmlns:r="http://schemas.openxmlformats.org/officeDocument/2006/relationships" ref="Y444" display="https://drive.google.com/uc?export=view&amp;id=1qVeM1C7spVg_DT4zpEGi5L8FlVsageFu" r:id="rId1391"/>
    <hyperlink xmlns:r="http://schemas.openxmlformats.org/officeDocument/2006/relationships" ref="E445" display="https://wrts.nl/homepage" r:id="rId1392"/>
    <hyperlink xmlns:r="http://schemas.openxmlformats.org/officeDocument/2006/relationships" ref="E446" display="http://voordeklas.com/" r:id="rId1393"/>
    <hyperlink xmlns:r="http://schemas.openxmlformats.org/officeDocument/2006/relationships" ref="R446" display="https://instagram.com/voordeklas" r:id="rId1394"/>
    <hyperlink xmlns:r="http://schemas.openxmlformats.org/officeDocument/2006/relationships" ref="Y446" display="https://drive.google.com/uc?export=view&amp;id=1AaEX-1idixIzvDbxGQPjUqQjkwM0IykB" r:id="rId1395"/>
    <hyperlink xmlns:r="http://schemas.openxmlformats.org/officeDocument/2006/relationships" ref="E447" display="https://vrnederland.nl/" r:id="rId1396"/>
    <hyperlink xmlns:r="http://schemas.openxmlformats.org/officeDocument/2006/relationships" ref="E448" display="https://youngcoders.nl/" r:id="rId1397"/>
    <hyperlink xmlns:r="http://schemas.openxmlformats.org/officeDocument/2006/relationships" ref="T448" display="https://www.linkedin.com/company/youngcoders" r:id="rId1398"/>
    <hyperlink xmlns:r="http://schemas.openxmlformats.org/officeDocument/2006/relationships" ref="Y448" display="https://drive.google.com/uc?export=view&amp;id=19Te_Ug2MjPmWAFGQfKj9uADqhSxc0zp4" r:id="rId1399"/>
    <hyperlink xmlns:r="http://schemas.openxmlformats.org/officeDocument/2006/relationships" ref="E449" display="https://escritoriodeeinstein.com/" r:id="rId1400"/>
    <hyperlink xmlns:r="http://schemas.openxmlformats.org/officeDocument/2006/relationships" ref="R449" display="https://www.instagram.com/escritoriodeeinstein/" r:id="rId1401"/>
    <hyperlink xmlns:r="http://schemas.openxmlformats.org/officeDocument/2006/relationships" ref="T449" display="https://www.linkedin.com/company/elescritoriodeeinstein" r:id="rId1402"/>
    <hyperlink xmlns:r="http://schemas.openxmlformats.org/officeDocument/2006/relationships" ref="Y449" display="https://drive.google.com/uc?export=view&amp;id=1JZPvT7sKx3iJanbBRUE4Bgan0SqcaWsp" r:id="rId1403"/>
    <hyperlink xmlns:r="http://schemas.openxmlformats.org/officeDocument/2006/relationships" ref="E450" display="http://www.escuelasvisuales.com/" r:id="rId1404"/>
    <hyperlink xmlns:r="http://schemas.openxmlformats.org/officeDocument/2006/relationships" ref="Y450" display="https://drive.google.com/uc?export=view&amp;id=1HDwuXEvEurOey4O4ddUewnLkluViiI8V" r:id="rId1405"/>
    <hyperlink xmlns:r="http://schemas.openxmlformats.org/officeDocument/2006/relationships" ref="E451" display="https://www.foxize.com/en/" r:id="rId1406"/>
    <hyperlink xmlns:r="http://schemas.openxmlformats.org/officeDocument/2006/relationships" ref="S451" display="https://twitter.com/foxize" r:id="rId1407"/>
    <hyperlink xmlns:r="http://schemas.openxmlformats.org/officeDocument/2006/relationships" ref="T451" display="https://www.linkedin.com/company/foxize-school" r:id="rId1408"/>
    <hyperlink xmlns:r="http://schemas.openxmlformats.org/officeDocument/2006/relationships" ref="Y451" display="https://drive.google.com/uc?export=view&amp;id=1xBbeclGTrARFLeDzyPo2Cxmjn9THMK68" r:id="rId1409"/>
    <hyperlink xmlns:r="http://schemas.openxmlformats.org/officeDocument/2006/relationships" ref="E452" display="https://greatlittlepeople.com/" r:id="rId1410"/>
    <hyperlink xmlns:r="http://schemas.openxmlformats.org/officeDocument/2006/relationships" ref="R452" display="https://www.instagram.com/great_little_people/?hl=es" r:id="rId1411"/>
    <hyperlink xmlns:r="http://schemas.openxmlformats.org/officeDocument/2006/relationships" ref="T452" display="https://www.linkedin.com/company/14058095/admin/feed/posts/" r:id="rId1412"/>
    <hyperlink xmlns:r="http://schemas.openxmlformats.org/officeDocument/2006/relationships" ref="Y452" display="https://drive.google.com/uc?export=view&amp;id=1oD5JNu59mqjNTbM4Sz7KQpnao1m9UQzI" r:id="rId1413"/>
    <hyperlink xmlns:r="http://schemas.openxmlformats.org/officeDocument/2006/relationships" ref="E453" display="http://ilike.education/" r:id="rId1414"/>
    <hyperlink xmlns:r="http://schemas.openxmlformats.org/officeDocument/2006/relationships" ref="T453" display="https://www.linkedin.com/company/67935195" r:id="rId1415"/>
    <hyperlink xmlns:r="http://schemas.openxmlformats.org/officeDocument/2006/relationships" ref="Y453" display="https://drive.google.com/uc?export=view&amp;id=1mjgpr3RTHqf6DFg96VqeXUO9XXJrdE3F" r:id="rId1416"/>
    <hyperlink xmlns:r="http://schemas.openxmlformats.org/officeDocument/2006/relationships" ref="E454" display="http://www.pupil.ch/" r:id="rId1417"/>
    <hyperlink xmlns:r="http://schemas.openxmlformats.org/officeDocument/2006/relationships" ref="T454" display="https://www.linkedin.com/company/pupil-ag" r:id="rId1418"/>
    <hyperlink xmlns:r="http://schemas.openxmlformats.org/officeDocument/2006/relationships" ref="Y454" display="https://drive.google.com/uc?export=view&amp;id=1IFrfUvM7vAdtoZSg7mL-aqelyVeVyDd4" r:id="rId1419"/>
    <hyperlink xmlns:r="http://schemas.openxmlformats.org/officeDocument/2006/relationships" ref="E455" display="https://escuelaturisteach.com/" r:id="rId1420"/>
    <hyperlink xmlns:r="http://schemas.openxmlformats.org/officeDocument/2006/relationships" ref="R455" display="https://www.instagram.com/turisteach/?hl=es" r:id="rId1421"/>
    <hyperlink xmlns:r="http://schemas.openxmlformats.org/officeDocument/2006/relationships" ref="T455" display="https://www.linkedin.com/company/89635760" r:id="rId1422"/>
    <hyperlink xmlns:r="http://schemas.openxmlformats.org/officeDocument/2006/relationships" ref="Y455" display="https://drive.google.com/uc?export=view&amp;id=1xa19r25apnM60W3YqUo7D5lppSAJr52K" r:id="rId1423"/>
    <hyperlink xmlns:r="http://schemas.openxmlformats.org/officeDocument/2006/relationships" ref="E456" display="https://4geeksacademy.com/" r:id="rId1424"/>
    <hyperlink xmlns:r="http://schemas.openxmlformats.org/officeDocument/2006/relationships" ref="R456" display="https://instagram.com/4geeksacademyes" r:id="rId1425"/>
    <hyperlink xmlns:r="http://schemas.openxmlformats.org/officeDocument/2006/relationships" ref="S456" display="https://twitter.com/4geeksacademyes" r:id="rId1426"/>
    <hyperlink xmlns:r="http://schemas.openxmlformats.org/officeDocument/2006/relationships" ref="T456" display="https://www.linkedin.com/school/4geeksacademyes/" r:id="rId1427"/>
    <hyperlink xmlns:r="http://schemas.openxmlformats.org/officeDocument/2006/relationships" ref="Y456" display="https://drive.google.com/uc?export=view&amp;id=1hGryxjgZt9uqi7LuGcqPN-pZ1p2HryvD" r:id="rId1428"/>
    <hyperlink xmlns:r="http://schemas.openxmlformats.org/officeDocument/2006/relationships" ref="E457" display="https://b-resol.com/" r:id="rId1429"/>
    <hyperlink xmlns:r="http://schemas.openxmlformats.org/officeDocument/2006/relationships" ref="R457" display="https://www.instagram.com/bresolapp/" r:id="rId1430"/>
    <hyperlink xmlns:r="http://schemas.openxmlformats.org/officeDocument/2006/relationships" ref="S457" display="https://twitter.com/b_resol" r:id="rId1431"/>
    <hyperlink xmlns:r="http://schemas.openxmlformats.org/officeDocument/2006/relationships" ref="T457" display="https://es.linkedin.com/company/bcnresol" r:id="rId1432"/>
    <hyperlink xmlns:r="http://schemas.openxmlformats.org/officeDocument/2006/relationships" ref="Y457" display="https://drive.google.com/uc?export=view&amp;id=1Y61TtKbIPV4GDR23GBqRwFWTJX0GyqvT" r:id="rId1433"/>
    <hyperlink xmlns:r="http://schemas.openxmlformats.org/officeDocument/2006/relationships" ref="E458" display="http://drumap.com/" r:id="rId1434"/>
    <hyperlink xmlns:r="http://schemas.openxmlformats.org/officeDocument/2006/relationships" ref="R458" display="https://www.instagram.com/drumap.studio/" r:id="rId1435"/>
    <hyperlink xmlns:r="http://schemas.openxmlformats.org/officeDocument/2006/relationships" ref="T458" display="https://www.linkedin.com/company/drumap" r:id="rId1436"/>
    <hyperlink xmlns:r="http://schemas.openxmlformats.org/officeDocument/2006/relationships" ref="Y458" display="https://drive.google.com/uc?export=view&amp;id=1PjXf55T1qC6TOgPwumYrMwTYH7I35YlX" r:id="rId1437"/>
    <hyperlink xmlns:r="http://schemas.openxmlformats.org/officeDocument/2006/relationships" ref="E459" display="http://www.elingua.es/" r:id="rId1438"/>
    <hyperlink xmlns:r="http://schemas.openxmlformats.org/officeDocument/2006/relationships" ref="R459" display="https://www.instagram.com/elingua.es/" r:id="rId1439"/>
    <hyperlink xmlns:r="http://schemas.openxmlformats.org/officeDocument/2006/relationships" ref="S459" display="https://twitter.com/Elingua_app" r:id="rId1440"/>
    <hyperlink xmlns:r="http://schemas.openxmlformats.org/officeDocument/2006/relationships" ref="T459" display="https://www.linkedin.com/company/elingua-s.l./" r:id="rId1441"/>
    <hyperlink xmlns:r="http://schemas.openxmlformats.org/officeDocument/2006/relationships" ref="Y459" display="https://drive.google.com/uc?export=view&amp;id=1TG56jM5jxE3P0HfbcQD5i80U1wHukWkU" r:id="rId1442"/>
    <hyperlink xmlns:r="http://schemas.openxmlformats.org/officeDocument/2006/relationships" ref="E460" display="https://geekshubsacademy.com/" r:id="rId1443"/>
    <hyperlink xmlns:r="http://schemas.openxmlformats.org/officeDocument/2006/relationships" ref="R460" display="https://www.instagram.com/geekshubs/" r:id="rId1444"/>
    <hyperlink xmlns:r="http://schemas.openxmlformats.org/officeDocument/2006/relationships" ref="S460" display="https://twitter.com/geeks_academy" r:id="rId1445"/>
    <hyperlink xmlns:r="http://schemas.openxmlformats.org/officeDocument/2006/relationships" ref="T460" display="https://www.linkedin.com/school/35548299/admin/feed/posts/" r:id="rId1446"/>
    <hyperlink xmlns:r="http://schemas.openxmlformats.org/officeDocument/2006/relationships" ref="Y460" display="https://drive.google.com/uc?export=view&amp;id=18OdKsEPLZ2VYqP8-Vz9TD0gVWv0QbZoH" r:id="rId1447"/>
    <hyperlink xmlns:r="http://schemas.openxmlformats.org/officeDocument/2006/relationships" ref="E461" display="http://www.idiena.com/" r:id="rId1448"/>
    <hyperlink xmlns:r="http://schemas.openxmlformats.org/officeDocument/2006/relationships" ref="T461" display="https://www.linkedin.com/company/56442841/admin/feed/posts/" r:id="rId1449"/>
    <hyperlink xmlns:r="http://schemas.openxmlformats.org/officeDocument/2006/relationships" ref="Y461" display="https://drive.google.com/uc?export=view&amp;id=1BXffqO8j52qEsqy_o80C1hvqex1Y7Q2q" r:id="rId1450"/>
    <hyperlink xmlns:r="http://schemas.openxmlformats.org/officeDocument/2006/relationships" ref="E462" display="https://www.langoo.io/" r:id="rId1451"/>
    <hyperlink xmlns:r="http://schemas.openxmlformats.org/officeDocument/2006/relationships" ref="R462" display="https://www.instagram.com/langoo.io/" r:id="rId1452"/>
    <hyperlink xmlns:r="http://schemas.openxmlformats.org/officeDocument/2006/relationships" ref="S462" display="https://twitter.com/LANGOO_IO" r:id="rId1453"/>
    <hyperlink xmlns:r="http://schemas.openxmlformats.org/officeDocument/2006/relationships" ref="T462" display="https://www.linkedin.com/company/langoo-io/" r:id="rId1454"/>
    <hyperlink xmlns:r="http://schemas.openxmlformats.org/officeDocument/2006/relationships" ref="Y462" display="https://drive.google.com/uc?export=view&amp;id=10q8XPSHmU3p6i7Ku7aiY60Y7YfbULt7N" r:id="rId1455"/>
    <hyperlink xmlns:r="http://schemas.openxmlformats.org/officeDocument/2006/relationships" ref="E463" display="https://makeandlearn.cat/" r:id="rId1456"/>
    <hyperlink xmlns:r="http://schemas.openxmlformats.org/officeDocument/2006/relationships" ref="R463" display="http://instagram.com/make_and_learn/" r:id="rId1457"/>
    <hyperlink xmlns:r="http://schemas.openxmlformats.org/officeDocument/2006/relationships" ref="S463" display="http://twitter.com/Make_and_Learn" r:id="rId1458"/>
    <hyperlink xmlns:r="http://schemas.openxmlformats.org/officeDocument/2006/relationships" ref="T463" display="http://linkedin.com/company/make-and-learn" r:id="rId1459"/>
    <hyperlink xmlns:r="http://schemas.openxmlformats.org/officeDocument/2006/relationships" ref="Y463" display="https://drive.google.com/uc?export=view&amp;id=1U2HDTqjuHfAaGm5ID2OpIxYPoaZZwH69" r:id="rId1460"/>
    <hyperlink xmlns:r="http://schemas.openxmlformats.org/officeDocument/2006/relationships" ref="E464" display="http://www.musescenelab.com/" r:id="rId1461"/>
    <hyperlink xmlns:r="http://schemas.openxmlformats.org/officeDocument/2006/relationships" ref="R464" display="https://www.instagram.com/musescenelab/" r:id="rId1462"/>
    <hyperlink xmlns:r="http://schemas.openxmlformats.org/officeDocument/2006/relationships" ref="S464" display="https://twitter.com/musescenelab" r:id="rId1463"/>
    <hyperlink xmlns:r="http://schemas.openxmlformats.org/officeDocument/2006/relationships" ref="T464" display="https://www.linkedin.com/company/81293308/admin/feed/posts/" r:id="rId1464"/>
    <hyperlink xmlns:r="http://schemas.openxmlformats.org/officeDocument/2006/relationships" ref="Y464" display="https://drive.google.com/uc?export=view&amp;id=1qRgejgwovd5_q2cG3YEAZtDv45usPU7n" r:id="rId1465"/>
    <hyperlink xmlns:r="http://schemas.openxmlformats.org/officeDocument/2006/relationships" ref="E465" display="https://www.studi.com/fr" r:id="rId1466"/>
    <hyperlink xmlns:r="http://schemas.openxmlformats.org/officeDocument/2006/relationships" ref="R465" display="https://www.instagram.com/ecole_studi" r:id="rId1467"/>
    <hyperlink xmlns:r="http://schemas.openxmlformats.org/officeDocument/2006/relationships" ref="S465" display="https://twitter.com/ecolestudi" r:id="rId1468"/>
    <hyperlink xmlns:r="http://schemas.openxmlformats.org/officeDocument/2006/relationships" ref="T465" display="https://www.linkedin.com/school/studi-digital-education/" r:id="rId1469"/>
    <hyperlink xmlns:r="http://schemas.openxmlformats.org/officeDocument/2006/relationships" ref="Y465" display="https://drive.google.com/uc?export=view&amp;id=1NCla_8DERnRsgd7_FAaJLTZhPFEH9Eu1" r:id="rId1470"/>
    <hyperlink xmlns:r="http://schemas.openxmlformats.org/officeDocument/2006/relationships" ref="E466" display="http://www.itn.co.uk/education" r:id="rId1471"/>
    <hyperlink xmlns:r="http://schemas.openxmlformats.org/officeDocument/2006/relationships" ref="T466" display="https://www.linkedin.com/showcase/itnedu/?viewAsMember=true" r:id="rId1472"/>
    <hyperlink xmlns:r="http://schemas.openxmlformats.org/officeDocument/2006/relationships" ref="Y466" display="https://drive.google.com/uc?export=view&amp;id=1bhzZ7kBM3jdzageqvjK9r2b3hl23E8S8" r:id="rId1473"/>
    <hyperlink xmlns:r="http://schemas.openxmlformats.org/officeDocument/2006/relationships" ref="E467" display="http://www.lacasitadeingles.com/" r:id="rId1474"/>
    <hyperlink xmlns:r="http://schemas.openxmlformats.org/officeDocument/2006/relationships" ref="R467" display="https://instagram.com/casitadeingles" r:id="rId1475"/>
    <hyperlink xmlns:r="http://schemas.openxmlformats.org/officeDocument/2006/relationships" ref="T467" display="https://www.linkedin.com/company/casitadeingles/" r:id="rId1476"/>
    <hyperlink xmlns:r="http://schemas.openxmlformats.org/officeDocument/2006/relationships" ref="Y467" display="https://drive.google.com/uc?export=view&amp;id=1uM67PzqGbql6IebwWRpSPblYmTJT0P0i" r:id="rId1477"/>
    <hyperlink xmlns:r="http://schemas.openxmlformats.org/officeDocument/2006/relationships" ref="E468" display="http://www.mandatorytrainings.com/" r:id="rId1478"/>
    <hyperlink xmlns:r="http://schemas.openxmlformats.org/officeDocument/2006/relationships" ref="T468" display="https://www.linkedin.com/in/parneetsb" r:id="rId1479"/>
    <hyperlink xmlns:r="http://schemas.openxmlformats.org/officeDocument/2006/relationships" ref="Y468" display="https://drive.google.com/uc?export=view&amp;id=1kfn4Hd9j12lC1iLcsjAhGeVkf_ZVcGf5" r:id="rId1480"/>
    <hyperlink xmlns:r="http://schemas.openxmlformats.org/officeDocument/2006/relationships" ref="E469" display="https://www.atermon.nl/" r:id="rId1481"/>
    <hyperlink xmlns:r="http://schemas.openxmlformats.org/officeDocument/2006/relationships" ref="T469" display="https://www.linkedin.com/company/atermon-rotterdam" r:id="rId1482"/>
    <hyperlink xmlns:r="http://schemas.openxmlformats.org/officeDocument/2006/relationships" ref="Y469" display="https://drive.google.com/uc?export=view&amp;id=19Vb79HH-Z5obvWMmo3neHJhmjZikg9ME" r:id="rId1483"/>
    <hyperlink xmlns:r="http://schemas.openxmlformats.org/officeDocument/2006/relationships" ref="E470" display="https://math-center.org/" r:id="rId1484"/>
    <hyperlink xmlns:r="http://schemas.openxmlformats.org/officeDocument/2006/relationships" ref="T470" display="https://www.linkedin.com/company/mathcenter/" r:id="rId1485"/>
    <hyperlink xmlns:r="http://schemas.openxmlformats.org/officeDocument/2006/relationships" ref="Y470" display="https://drive.google.com/uc?export=view&amp;id=19n47qN8_HvnR6RUzscpDoLtAmlWMP-_a" r:id="rId1486"/>
    <hyperlink xmlns:r="http://schemas.openxmlformats.org/officeDocument/2006/relationships" ref="E471" display="http://www.nanoga.com/" r:id="rId1487"/>
    <hyperlink xmlns:r="http://schemas.openxmlformats.org/officeDocument/2006/relationships" ref="T471" display="https://www.linkedin.com/company/nanoga/?viewAsMember=true" r:id="rId1488"/>
    <hyperlink xmlns:r="http://schemas.openxmlformats.org/officeDocument/2006/relationships" ref="E472" display="https://zoeimmersive.com/" r:id="rId1489"/>
    <hyperlink xmlns:r="http://schemas.openxmlformats.org/officeDocument/2006/relationships" ref="R472" display="https://www.instagram.com/zoeimmersive/?hl=en" r:id="rId1490"/>
    <hyperlink xmlns:r="http://schemas.openxmlformats.org/officeDocument/2006/relationships" ref="T472" display="https://ch.linkedin.com/company/zoe-immersive" r:id="rId1491"/>
    <hyperlink xmlns:r="http://schemas.openxmlformats.org/officeDocument/2006/relationships" ref="Y472" display="https://drive.google.com/uc?export=view&amp;id=1QqnTeGTA-or17kmLEMPNMskgH65uj9Vm" r:id="rId1492"/>
    <hyperlink xmlns:r="http://schemas.openxmlformats.org/officeDocument/2006/relationships" ref="E473" display="https://bealink.io/en/" r:id="rId1493"/>
    <hyperlink xmlns:r="http://schemas.openxmlformats.org/officeDocument/2006/relationships" ref="T473" display="https://www.linkedin.com/company/bealink/" r:id="rId1494"/>
    <hyperlink xmlns:r="http://schemas.openxmlformats.org/officeDocument/2006/relationships" ref="E474" display="https://stbv-bremen.de/services/smaletax/" r:id="rId1495"/>
    <hyperlink xmlns:r="http://schemas.openxmlformats.org/officeDocument/2006/relationships" ref="T474" display="https://www.linkedin.com/company/smaletax/" r:id="rId1496"/>
    <hyperlink xmlns:r="http://schemas.openxmlformats.org/officeDocument/2006/relationships" ref="Y474" display="https://drive.google.com/uc?export=view&amp;id=1kIXOrzx5eUvGDB0Mhe0pl1dt9xpAWEzs" r:id="rId1497"/>
    <hyperlink xmlns:r="http://schemas.openxmlformats.org/officeDocument/2006/relationships" ref="E475" display="http://www.youniversapp.com/" r:id="rId1498"/>
    <hyperlink xmlns:r="http://schemas.openxmlformats.org/officeDocument/2006/relationships" ref="T475" display="https://www.linkedin.com/company/youniversapp/" r:id="rId1499"/>
    <hyperlink xmlns:r="http://schemas.openxmlformats.org/officeDocument/2006/relationships" ref="Y475" display="https://drive.google.com/uc?export=view&amp;id=1sMSwCJn0D06nj710y3LSPJIrNKbL8Uc-" r:id="rId1500"/>
    <hyperlink xmlns:r="http://schemas.openxmlformats.org/officeDocument/2006/relationships" ref="E476" display="http://www.thembakids.com/" r:id="rId1501"/>
    <hyperlink xmlns:r="http://schemas.openxmlformats.org/officeDocument/2006/relationships" ref="R476" display="https://instagram.com/mba_kids" r:id="rId1502"/>
    <hyperlink xmlns:r="http://schemas.openxmlformats.org/officeDocument/2006/relationships" ref="T476" display="https://www.linkedin.com/company/mba-kids/" r:id="rId1503"/>
    <hyperlink xmlns:r="http://schemas.openxmlformats.org/officeDocument/2006/relationships" ref="Y476" display="https://drive.google.com/uc?export=view&amp;id=1-LDu6bFvUKENDicvH7oKbW7jer1MhYSf" r:id="rId1504"/>
    <hyperlink xmlns:r="http://schemas.openxmlformats.org/officeDocument/2006/relationships" ref="E477" location="/landing/home" display="https://www.studentgator.com/ - /landing/home" r:id="rId1505"/>
    <hyperlink xmlns:r="http://schemas.openxmlformats.org/officeDocument/2006/relationships" ref="R477" display="https://www.instagram.com/studentgator/" r:id="rId1506"/>
    <hyperlink xmlns:r="http://schemas.openxmlformats.org/officeDocument/2006/relationships" ref="T477" display="https://fr.linkedin.com/company/studentgator" r:id="rId1507"/>
    <hyperlink xmlns:r="http://schemas.openxmlformats.org/officeDocument/2006/relationships" ref="Y477" display="https://drive.google.com/uc?export=view&amp;id=1C8XbdzilFmzpteNDid7gINeTIzk0sgBv" r:id="rId1508"/>
    <hyperlink xmlns:r="http://schemas.openxmlformats.org/officeDocument/2006/relationships" ref="E478" display="https://ans.app/landing" r:id="rId1509"/>
    <hyperlink xmlns:r="http://schemas.openxmlformats.org/officeDocument/2006/relationships" ref="T478" display="https://www.linkedin.com/company/ans-exam" r:id="rId1510"/>
    <hyperlink xmlns:r="http://schemas.openxmlformats.org/officeDocument/2006/relationships" ref="Y478" display="https://drive.google.com/uc?export=view&amp;id=1jYxeDcgQ59nUKCu4OWNzvlOmUo_XpIKN" r:id="rId1511"/>
    <hyperlink xmlns:r="http://schemas.openxmlformats.org/officeDocument/2006/relationships" ref="E479" display="https://claned.com/" r:id="rId1512"/>
    <hyperlink xmlns:r="http://schemas.openxmlformats.org/officeDocument/2006/relationships" ref="T479" display="https://www.linkedin.com/company/claned-group" r:id="rId1513"/>
    <hyperlink xmlns:r="http://schemas.openxmlformats.org/officeDocument/2006/relationships" ref="Y479" display="https://drive.google.com/uc?export=view&amp;id=1pnlI5WeAgXQF1rw00C-bYZQalLXG5VsK" r:id="rId1514"/>
    <hyperlink xmlns:r="http://schemas.openxmlformats.org/officeDocument/2006/relationships" ref="E480" display="https://coursensu.com/" r:id="rId1515"/>
    <hyperlink xmlns:r="http://schemas.openxmlformats.org/officeDocument/2006/relationships" ref="S480" display="https://twitter.com/coursensu" r:id="rId1516"/>
    <hyperlink xmlns:r="http://schemas.openxmlformats.org/officeDocument/2006/relationships" ref="T480" display="https://linkedin.com/company/coursensu" r:id="rId1517"/>
    <hyperlink xmlns:r="http://schemas.openxmlformats.org/officeDocument/2006/relationships" ref="Y480" display="https://drive.google.com/uc?export=view&amp;id=1_tZy5H578Ie0VRin5L_dFLPUqjzqYP7S" r:id="rId1518"/>
    <hyperlink xmlns:r="http://schemas.openxmlformats.org/officeDocument/2006/relationships" ref="E481" display="https://linguverse.com/" r:id="rId1519"/>
    <hyperlink xmlns:r="http://schemas.openxmlformats.org/officeDocument/2006/relationships" ref="R481" display="https://www.instagram.com/mangododigital/" r:id="rId1520"/>
    <hyperlink xmlns:r="http://schemas.openxmlformats.org/officeDocument/2006/relationships" ref="T481" display="https://www.linkedin.com/company/mangodo-digital/" r:id="rId1521"/>
    <hyperlink xmlns:r="http://schemas.openxmlformats.org/officeDocument/2006/relationships" ref="Y481" display="https://drive.google.com/uc?export=view&amp;id=1nSoDNznA0GLdKwtsnEgt2NEwFe3x2zkI" r:id="rId1522"/>
    <hyperlink xmlns:r="http://schemas.openxmlformats.org/officeDocument/2006/relationships" ref="E482" display="http://pelephant.com/mo" r:id="rId1523"/>
    <hyperlink xmlns:r="http://schemas.openxmlformats.org/officeDocument/2006/relationships" ref="T482" display="https://www.linkedin.com/company/pelephant/" r:id="rId1524"/>
    <hyperlink xmlns:r="http://schemas.openxmlformats.org/officeDocument/2006/relationships" ref="Y482" display="https://drive.google.com/uc?export=view&amp;id=1OCQDKvmEYzOXeSV8t_0B8LlFA_B9pz0b" r:id="rId1525"/>
    <hyperlink xmlns:r="http://schemas.openxmlformats.org/officeDocument/2006/relationships" ref="E483" display="http://www.chatlicense.com/" r:id="rId1526"/>
    <hyperlink xmlns:r="http://schemas.openxmlformats.org/officeDocument/2006/relationships" ref="R483" display="https://www.instagram.com/chatlicense" r:id="rId1527"/>
    <hyperlink xmlns:r="http://schemas.openxmlformats.org/officeDocument/2006/relationships" ref="T483" display="https://www.linkedin.com/company/chatlicense/" r:id="rId1528"/>
    <hyperlink xmlns:r="http://schemas.openxmlformats.org/officeDocument/2006/relationships" ref="Y483" display="https://drive.google.com/uc?export=view&amp;id=19HMKy6oLFZxKEdC7uEXkiS3-7CQp7vmm" r:id="rId1529"/>
    <hyperlink xmlns:r="http://schemas.openxmlformats.org/officeDocument/2006/relationships" ref="E484" display="https://sparkon.org/" r:id="rId1530"/>
    <hyperlink xmlns:r="http://schemas.openxmlformats.org/officeDocument/2006/relationships" ref="R484" display="https://www.instagram.com/sparkon_org/" r:id="rId1531"/>
    <hyperlink xmlns:r="http://schemas.openxmlformats.org/officeDocument/2006/relationships" ref="S484" display="https://twitter.com/SparkOn_org" r:id="rId1532"/>
    <hyperlink xmlns:r="http://schemas.openxmlformats.org/officeDocument/2006/relationships" ref="T484" display="https://www.linkedin.com/company/spark-on" r:id="rId1533"/>
    <hyperlink xmlns:r="http://schemas.openxmlformats.org/officeDocument/2006/relationships" ref="Y484" display="https://drive.google.com/uc?export=view&amp;id=1fanAQlpkGrvrX-axIxK4WUj9hkYG47ST" r:id="rId1534"/>
    <hyperlink xmlns:r="http://schemas.openxmlformats.org/officeDocument/2006/relationships" ref="E485" display="https://teacherspro.com/contacto/" r:id="rId1535"/>
    <hyperlink xmlns:r="http://schemas.openxmlformats.org/officeDocument/2006/relationships" ref="S485" display="https://twitter.com/TeachersPro_Es" r:id="rId1536"/>
    <hyperlink xmlns:r="http://schemas.openxmlformats.org/officeDocument/2006/relationships" ref="T485" display="https://www.linkedin.com/company/teacherspro/" r:id="rId1537"/>
    <hyperlink xmlns:r="http://schemas.openxmlformats.org/officeDocument/2006/relationships" ref="Y485" display="https://drive.google.com/uc?export=view&amp;id=1zwCK6yKmNUsOgujDgjy_gqmMsAwz8sCt" r:id="rId1538"/>
    <hyperlink xmlns:r="http://schemas.openxmlformats.org/officeDocument/2006/relationships" ref="D486" display="http://steamprogramedu.com/" r:id="rId1539"/>
    <hyperlink xmlns:r="http://schemas.openxmlformats.org/officeDocument/2006/relationships" ref="E486" display="https://steamprogramedu.com/" r:id="rId1540"/>
    <hyperlink xmlns:r="http://schemas.openxmlformats.org/officeDocument/2006/relationships" ref="Y486" display="https://drive.google.com/uc?export=view&amp;id=1DXDkljr6ULI_DAQMXq4E39Bmu4zCw-Gi" r:id="rId1541"/>
    <hyperlink xmlns:r="http://schemas.openxmlformats.org/officeDocument/2006/relationships" ref="E487" display="https://editai.co/" r:id="rId1542"/>
    <hyperlink xmlns:r="http://schemas.openxmlformats.org/officeDocument/2006/relationships" ref="T487" display="https://www.linkedin.com/company/editai/" r:id="rId1543"/>
    <hyperlink xmlns:r="http://schemas.openxmlformats.org/officeDocument/2006/relationships" ref="Y487" display="https://drive.google.com/uc?export=view&amp;id=16R8qaQOaegMszn2Nr1smiXRj1kNf9mas" r:id="rId1544"/>
    <hyperlink xmlns:r="http://schemas.openxmlformats.org/officeDocument/2006/relationships" ref="E488" display="http://www.joinacirkel.com/" r:id="rId1545"/>
    <hyperlink xmlns:r="http://schemas.openxmlformats.org/officeDocument/2006/relationships" ref="Y488" display="https://drive.google.com/uc?export=view&amp;id=1-hxqjNVZznLRMfLGvxjDwpVr661TWlK6" r:id="rId1546"/>
    <hyperlink xmlns:r="http://schemas.openxmlformats.org/officeDocument/2006/relationships" ref="E489" display="http://www.emeraude-escape.com/en" r:id="rId1547"/>
    <hyperlink xmlns:r="http://schemas.openxmlformats.org/officeDocument/2006/relationships" ref="S489" display="https://twitter.com/EmeraudeEscape" r:id="rId1548"/>
    <hyperlink xmlns:r="http://schemas.openxmlformats.org/officeDocument/2006/relationships" ref="T489" display="https://www.linkedin.com/company/emeraude-escape-game" r:id="rId1549"/>
    <hyperlink xmlns:r="http://schemas.openxmlformats.org/officeDocument/2006/relationships" ref="Y489" display="https://drive.google.com/uc?export=view&amp;id=1GIfCjZj49Kfbby7Cj7lbjfyVbC52HUPI" r:id="rId1550"/>
    <hyperlink xmlns:r="http://schemas.openxmlformats.org/officeDocument/2006/relationships" ref="E490" display="http://www.whippy.se/" r:id="rId1551"/>
    <hyperlink xmlns:r="http://schemas.openxmlformats.org/officeDocument/2006/relationships" ref="T490" display="http://www.whippy.se/company/whippyonboarding" r:id="rId1552"/>
    <hyperlink xmlns:r="http://schemas.openxmlformats.org/officeDocument/2006/relationships" ref="Y490" display="https://drive.google.com/uc?export=view&amp;id=1VVvCKLhxQEjbwgeQT3rjCkKwV_1clZGX" r:id="rId1553"/>
    <hyperlink xmlns:r="http://schemas.openxmlformats.org/officeDocument/2006/relationships" ref="E491" display="http://www.kurve.nl/" r:id="rId1554"/>
    <hyperlink xmlns:r="http://schemas.openxmlformats.org/officeDocument/2006/relationships" ref="R491" display="https://www.instagram.com/kurve.nl/" r:id="rId1555"/>
    <hyperlink xmlns:r="http://schemas.openxmlformats.org/officeDocument/2006/relationships" ref="T491" display="https://www.linkedin.com/search/results/all/?fetchDeterministicClustersOnly=true&amp;heroEntityKey=urn%3Ali%3Aorganization%3A3090886&amp;keywords=kurve&amp;origin=RICH_QUERY_TYPEAHEAD_HISTORY&amp;position=0&amp;searchId=4f2d41e7-f5e2-453c-bcb3-c6e12091e03a&amp;sid=iZd&amp;spellCorrectionEnabled=true" r:id="rId1556"/>
    <hyperlink xmlns:r="http://schemas.openxmlformats.org/officeDocument/2006/relationships" ref="Y491" display="https://drive.google.com/uc?export=view&amp;id=1-rkRNoTzCFTRmkSCR2zqG84E1Sos-fYy" r:id="rId1557"/>
    <hyperlink xmlns:r="http://schemas.openxmlformats.org/officeDocument/2006/relationships" ref="E492" display="http://grpsitic-blanquerna.cat/?page_id=2293" r:id="rId1558"/>
    <hyperlink xmlns:r="http://schemas.openxmlformats.org/officeDocument/2006/relationships" ref="Y492" display="https://drive.google.com/uc?export=view&amp;id=1Q0AajItqjoqjXcbqPx6Ncsp_hphjR1ch" r:id="rId1559"/>
    <hyperlink xmlns:r="http://schemas.openxmlformats.org/officeDocument/2006/relationships" ref="E493" display="http://www.lasco.io/" r:id="rId1560"/>
    <hyperlink xmlns:r="http://schemas.openxmlformats.org/officeDocument/2006/relationships" ref="T493" display="https://www.linkedin.com/company/lascosrl/" r:id="rId1561"/>
    <hyperlink xmlns:r="http://schemas.openxmlformats.org/officeDocument/2006/relationships" ref="Y493" display="https://drive.google.com/uc?export=view&amp;id=1G2gqzAuU_dScdYSSFvsyDeCBtDu7n2L7" r:id="rId1562"/>
    <hyperlink xmlns:r="http://schemas.openxmlformats.org/officeDocument/2006/relationships" ref="E494" display="https://www.macademia.com/" r:id="rId1563"/>
    <hyperlink xmlns:r="http://schemas.openxmlformats.org/officeDocument/2006/relationships" ref="R494" display="https://www.instagram.com/davincikids_/" r:id="rId1564"/>
    <hyperlink xmlns:r="http://schemas.openxmlformats.org/officeDocument/2006/relationships" ref="T494" display="https://www.linkedin.com/company/da-vinci-kids/global/mycompany/" r:id="rId1565"/>
    <hyperlink xmlns:r="http://schemas.openxmlformats.org/officeDocument/2006/relationships" ref="Y494" display="https://drive.google.com/uc?export=view&amp;id=1xRhz6QsQpmva_P0hTp6sEvfMMK2PhF2m" r:id="rId1566"/>
    <hyperlink xmlns:r="http://schemas.openxmlformats.org/officeDocument/2006/relationships" ref="E495" display="https://geevoo.de/" r:id="rId1567"/>
    <hyperlink xmlns:r="http://schemas.openxmlformats.org/officeDocument/2006/relationships" ref="R495" display="https://www.instagram.com/geevoo.de/" r:id="rId1568"/>
    <hyperlink xmlns:r="http://schemas.openxmlformats.org/officeDocument/2006/relationships" ref="S495" display="https://twitter.com/Geevoo_de" r:id="rId1569"/>
    <hyperlink xmlns:r="http://schemas.openxmlformats.org/officeDocument/2006/relationships" ref="T495" display="https://www.linkedin.com/company/geevoo/" r:id="rId1570"/>
    <hyperlink xmlns:r="http://schemas.openxmlformats.org/officeDocument/2006/relationships" ref="Y495" display="https://drive.google.com/uc?export=view&amp;id=1YTOOiazMLn-8rnXIqFWyyKwzUdKTaer0" r:id="rId1571"/>
    <hyperlink xmlns:r="http://schemas.openxmlformats.org/officeDocument/2006/relationships" ref="E496" display="https://www.yellowtoad.agency/" r:id="rId1572"/>
    <hyperlink xmlns:r="http://schemas.openxmlformats.org/officeDocument/2006/relationships" ref="T496" display="https://www.linkedin.com/company/98131770/admin/feed/posts/" r:id="rId1573"/>
    <hyperlink xmlns:r="http://schemas.openxmlformats.org/officeDocument/2006/relationships" ref="Y496" display="https://drive.google.com/uc?export=view&amp;id=1oZKLrzOj_ejMf89SxKtUcqJt0TThRdNf" r:id="rId1574"/>
    <hyperlink xmlns:r="http://schemas.openxmlformats.org/officeDocument/2006/relationships" ref="E497" display="https://upstrivesystem.com/" r:id="rId1575"/>
    <hyperlink xmlns:r="http://schemas.openxmlformats.org/officeDocument/2006/relationships" ref="T497" display="https://www.linkedin.com/company/upstrive-well-being" r:id="rId1576"/>
    <hyperlink xmlns:r="http://schemas.openxmlformats.org/officeDocument/2006/relationships" ref="Y497" display="https://drive.google.com/uc?export=view&amp;id=1W6T8lVwr8EwmuWUZIqR9zmoFMDEpocza" r:id="rId1577"/>
    <hyperlink xmlns:r="http://schemas.openxmlformats.org/officeDocument/2006/relationships" ref="E498" display="https://www.davinci.tv/" r:id="rId1578"/>
    <hyperlink xmlns:r="http://schemas.openxmlformats.org/officeDocument/2006/relationships" ref="E499" display="https://leato.io/" r:id="rId1579"/>
    <hyperlink xmlns:r="http://schemas.openxmlformats.org/officeDocument/2006/relationships" ref="Y499" display="https://drive.google.com/uc?export=view&amp;id=1TnzliLUQtG4QgpgshTHilbw-h_hNK_4L" r:id="rId1580"/>
    <hyperlink xmlns:r="http://schemas.openxmlformats.org/officeDocument/2006/relationships" ref="E500" display="https://subschool.us/" r:id="rId1581"/>
    <hyperlink xmlns:r="http://schemas.openxmlformats.org/officeDocument/2006/relationships" ref="Y500" display="https://drive.google.com/uc?export=view&amp;id=11YVu7SYOCDeNKgFkXjxiTyd_xLBPofiC" r:id="rId1582"/>
    <hyperlink xmlns:r="http://schemas.openxmlformats.org/officeDocument/2006/relationships" ref="E501" display="http://www.studyhall.ai/" r:id="rId1583"/>
    <hyperlink xmlns:r="http://schemas.openxmlformats.org/officeDocument/2006/relationships" ref="Y501" display="https://drive.google.com/uc?export=view&amp;id=1WYrsrSVqPQOKD4P6im9zYwaNrirwHUml" r:id="rId1584"/>
    <hyperlink xmlns:r="http://schemas.openxmlformats.org/officeDocument/2006/relationships" ref="E502" display="http://www.edulyzer.com/en" r:id="rId1585"/>
    <hyperlink xmlns:r="http://schemas.openxmlformats.org/officeDocument/2006/relationships" ref="Y502" display="https://drive.google.com/uc?export=view&amp;id=1TODQbxVXmpxGxsC0AhlXsXYyn8pSBB8E" r:id="rId1586"/>
    <hyperlink xmlns:r="http://schemas.openxmlformats.org/officeDocument/2006/relationships" ref="E503" display="http://www.modulu.io/" r:id="rId1587"/>
    <hyperlink xmlns:r="http://schemas.openxmlformats.org/officeDocument/2006/relationships" ref="Y503" display="https://drive.google.com/uc?export=view&amp;id=1bl0xvooRC2MeJc_6d5bEhLEsopEVrhEN" r:id="rId1588"/>
    <hyperlink xmlns:r="http://schemas.openxmlformats.org/officeDocument/2006/relationships" ref="E504" display="https://abodoo.com/" r:id="rId1589"/>
    <hyperlink xmlns:r="http://schemas.openxmlformats.org/officeDocument/2006/relationships" ref="S504" display="https://twitter.com/AbodooLtd" r:id="rId1590"/>
    <hyperlink xmlns:r="http://schemas.openxmlformats.org/officeDocument/2006/relationships" ref="T504" display="https://www.linkedin.com/company/abodoo" r:id="rId1591"/>
    <hyperlink xmlns:r="http://schemas.openxmlformats.org/officeDocument/2006/relationships" ref="Y504" display="https://drive.google.com/uc?export=view&amp;id=19cU-xdFsCsZ6-hY3nr4J_QyaAfsMkYwA" r:id="rId1592"/>
    <hyperlink xmlns:r="http://schemas.openxmlformats.org/officeDocument/2006/relationships" ref="E505" display="https://bravorimusic.com/" r:id="rId1593"/>
    <hyperlink xmlns:r="http://schemas.openxmlformats.org/officeDocument/2006/relationships" ref="Y505" display="https://drive.google.com/uc?export=view&amp;id=1VMpThMhzwnxeTJHeqVjuRi-d7I6v-WHA" r:id="rId1594"/>
    <hyperlink xmlns:r="http://schemas.openxmlformats.org/officeDocument/2006/relationships" ref="E506" display="https://www.careersmarter.com/" r:id="rId1595"/>
    <hyperlink xmlns:r="http://schemas.openxmlformats.org/officeDocument/2006/relationships" ref="Y506" display="https://drive.google.com/uc?export=view&amp;id=1AySUL-CPKuo8zTAXo-tX-n7QO43r-anA" r:id="rId1596"/>
    <hyperlink xmlns:r="http://schemas.openxmlformats.org/officeDocument/2006/relationships" ref="E507" display="http://classid.be/" r:id="rId1597"/>
    <hyperlink xmlns:r="http://schemas.openxmlformats.org/officeDocument/2006/relationships" ref="R507" display="https://www.instagram.com/classid_io/" r:id="rId1598"/>
    <hyperlink xmlns:r="http://schemas.openxmlformats.org/officeDocument/2006/relationships" ref="S507" display="https://twitter.com/classid_io" r:id="rId1599"/>
    <hyperlink xmlns:r="http://schemas.openxmlformats.org/officeDocument/2006/relationships" ref="T507" display="https://www.linkedin.com/company/classid/" r:id="rId1600"/>
    <hyperlink xmlns:r="http://schemas.openxmlformats.org/officeDocument/2006/relationships" ref="Y507" display="https://drive.google.com/uc?export=view&amp;id=1tLnjp0RlXOypc_KyUNP7Eq_AOGD2GAUB" r:id="rId1601"/>
    <hyperlink xmlns:r="http://schemas.openxmlformats.org/officeDocument/2006/relationships" ref="E508" display="http://www.whizzkids.online/" r:id="rId1602"/>
    <hyperlink xmlns:r="http://schemas.openxmlformats.org/officeDocument/2006/relationships" ref="R508" display="https://www.instagram.com/whizzkidswedstrijd/" r:id="rId1603"/>
    <hyperlink xmlns:r="http://schemas.openxmlformats.org/officeDocument/2006/relationships" ref="T508" display="https://www.linkedin.com/company/vzw-whizzkids/" r:id="rId1604"/>
    <hyperlink xmlns:r="http://schemas.openxmlformats.org/officeDocument/2006/relationships" ref="Y508" display="https://drive.google.com/uc?export=view&amp;id=1LxN6KZwVT6AxGlIwhbimJKE9sYGmpzuK" r:id="rId1605"/>
    <hyperlink xmlns:r="http://schemas.openxmlformats.org/officeDocument/2006/relationships" ref="E509" display="http://coyotiv.com/" r:id="rId1606"/>
    <hyperlink xmlns:r="http://schemas.openxmlformats.org/officeDocument/2006/relationships" ref="R509" display="https://www.instagram.com/coyotiv/" r:id="rId1607"/>
    <hyperlink xmlns:r="http://schemas.openxmlformats.org/officeDocument/2006/relationships" ref="T509" display="https://www.linkedin.com/school/coyotiv/" r:id="rId1608"/>
    <hyperlink xmlns:r="http://schemas.openxmlformats.org/officeDocument/2006/relationships" ref="Y509" display="https://drive.google.com/uc?export=view&amp;id=1N6TyLJrYNGy1Ih8OL12qvoXwYz2W-Yru" r:id="rId1609"/>
    <hyperlink xmlns:r="http://schemas.openxmlformats.org/officeDocument/2006/relationships" ref="E510" display="http://www.nxtlearning.com/" r:id="rId1610"/>
    <hyperlink xmlns:r="http://schemas.openxmlformats.org/officeDocument/2006/relationships" ref="Y510" display="https://drive.google.com/uc?export=view&amp;id=1tMttNEffoM4diplDozFJMAb0QSLuIDcN" r:id="rId1611"/>
    <hyperlink xmlns:r="http://schemas.openxmlformats.org/officeDocument/2006/relationships" ref="E511" display="https://www.openstudycollege.com/" r:id="rId1612"/>
    <hyperlink xmlns:r="http://schemas.openxmlformats.org/officeDocument/2006/relationships" ref="Y511" display="https://drive.google.com/uc?export=view&amp;id=1JoHhQme8Q5g-4CS6rzPDK-5yHFmBT_O5" r:id="rId1613"/>
    <hyperlink xmlns:r="http://schemas.openxmlformats.org/officeDocument/2006/relationships" ref="E512" display="http://explorateurdemetiers.tv/" r:id="rId1614"/>
    <hyperlink xmlns:r="http://schemas.openxmlformats.org/officeDocument/2006/relationships" ref="T512" display="https://www.linkedin.com/company/explorateurdemetiers" r:id="rId1615"/>
    <hyperlink xmlns:r="http://schemas.openxmlformats.org/officeDocument/2006/relationships" ref="Y512" display="https://drive.google.com/uc?export=view&amp;id=1OQtPL8KyG-bQldMHpJUZEnvcRDONKMWg" r:id="rId1616"/>
    <hyperlink xmlns:r="http://schemas.openxmlformats.org/officeDocument/2006/relationships" ref="E513" display="https://www.egos.co.at/" r:id="rId1617"/>
    <hyperlink xmlns:r="http://schemas.openxmlformats.org/officeDocument/2006/relationships" ref="V513" display="https://www.egos.co.at/seminare/alle/alle" r:id="rId1618"/>
    <hyperlink xmlns:r="http://schemas.openxmlformats.org/officeDocument/2006/relationships" ref="X513" display="https://www.egos.co.at/elearning/lernsoftware" r:id="rId1619"/>
    <hyperlink xmlns:r="http://schemas.openxmlformats.org/officeDocument/2006/relationships" ref="Y513" display="https://drive.google.com/uc?export=view&amp;id=1xblqNMVF63cD4JMua2QFSHZXLWMngBj3" r:id="rId1620"/>
    <hyperlink xmlns:r="http://schemas.openxmlformats.org/officeDocument/2006/relationships" ref="E514" display="https://getjobsdone.nl/" r:id="rId1621"/>
    <hyperlink xmlns:r="http://schemas.openxmlformats.org/officeDocument/2006/relationships" ref="R514" display="https://www.instagram.com/getjobsdone.nl/" r:id="rId1622"/>
    <hyperlink xmlns:r="http://schemas.openxmlformats.org/officeDocument/2006/relationships" ref="T514" display="https://www.linkedin.com/company/getjobsdone/" r:id="rId1623"/>
    <hyperlink xmlns:r="http://schemas.openxmlformats.org/officeDocument/2006/relationships" ref="Y514" display="https://drive.google.com/uc?export=view&amp;id=17-comaZu1VJH1PN6mwn9WlMkEPyaaQPX" r:id="rId1624"/>
    <hyperlink xmlns:r="http://schemas.openxmlformats.org/officeDocument/2006/relationships" ref="E515" display="https://hejsyv.se/" r:id="rId1625"/>
    <hyperlink xmlns:r="http://schemas.openxmlformats.org/officeDocument/2006/relationships" ref="U515" display="https://hejframtidsval.se/" r:id="rId1626"/>
    <hyperlink xmlns:r="http://schemas.openxmlformats.org/officeDocument/2006/relationships" ref="Y515" display="https://drive.google.com/uc?export=view&amp;id=14RyJiS6wNocDJX4OzkpbHpuo9mJXU6Kf" r:id="rId1627"/>
    <hyperlink xmlns:r="http://schemas.openxmlformats.org/officeDocument/2006/relationships" ref="E516" display="https://onevofloor.com/en" r:id="rId1628"/>
    <hyperlink xmlns:r="http://schemas.openxmlformats.org/officeDocument/2006/relationships" ref="R516" display="https://www.instagram.com/onevo_floor" r:id="rId1629"/>
    <hyperlink xmlns:r="http://schemas.openxmlformats.org/officeDocument/2006/relationships" ref="T516" display="https://www.linkedin.com/company/onevo-floor" r:id="rId1630"/>
    <hyperlink xmlns:r="http://schemas.openxmlformats.org/officeDocument/2006/relationships" ref="Y516" display="https://drive.google.com/uc?export=view&amp;id=1myDP9D7Ww-TsOgocU5vuYVBEBlOIm2Y_" r:id="rId1631"/>
    <hyperlink xmlns:r="http://schemas.openxmlformats.org/officeDocument/2006/relationships" ref="E517" display="https://www.vars.at/" r:id="rId1632"/>
    <hyperlink xmlns:r="http://schemas.openxmlformats.org/officeDocument/2006/relationships" ref="R517" display="https://www.instagram.com/vr_ar_vienna/?hl=en" r:id="rId1633"/>
    <hyperlink xmlns:r="http://schemas.openxmlformats.org/officeDocument/2006/relationships" ref="S517" display="https://twitter.com/vars_at" r:id="rId1634"/>
    <hyperlink xmlns:r="http://schemas.openxmlformats.org/officeDocument/2006/relationships" ref="T517" display="https://www.linkedin.com/company/vars-vienna/?viewAsMember=true" r:id="rId1635"/>
    <hyperlink xmlns:r="http://schemas.openxmlformats.org/officeDocument/2006/relationships" ref="Y517" display="https://drive.google.com/uc?export=view&amp;id=14WuffxMAuUyZPf62hFz4Gk7rNUJYnu5p" r:id="rId1636"/>
    <hyperlink xmlns:r="http://schemas.openxmlformats.org/officeDocument/2006/relationships" ref="E518" display="https://xprtise.com/" r:id="rId1637"/>
    <hyperlink xmlns:r="http://schemas.openxmlformats.org/officeDocument/2006/relationships" ref="S518" display="https://twitter.com/xprtise" r:id="rId1638"/>
    <hyperlink xmlns:r="http://schemas.openxmlformats.org/officeDocument/2006/relationships" ref="T518" display="https://www.linkedin.com/company/7801396/" r:id="rId1639"/>
    <hyperlink xmlns:r="http://schemas.openxmlformats.org/officeDocument/2006/relationships" ref="Y518" display="https://drive.google.com/uc?export=view&amp;id=1fO7egaLub0UPf2zDgyTX5lMuv3DwiFOh" r:id="rId1640"/>
    <hyperlink xmlns:r="http://schemas.openxmlformats.org/officeDocument/2006/relationships" ref="E519" display="http://www.robomaniac.at/" r:id="rId1641"/>
    <hyperlink xmlns:r="http://schemas.openxmlformats.org/officeDocument/2006/relationships" ref="T519" display="https://www.linkedin.com/company/robomaniac/" r:id="rId1642"/>
    <hyperlink xmlns:r="http://schemas.openxmlformats.org/officeDocument/2006/relationships" ref="Y519" display="https://drive.google.com/uc?export=view&amp;id=1lt_KIEIzlpHdpTh2LVLJe-Iytltj0Vwn" r:id="rId1643"/>
    <hyperlink xmlns:r="http://schemas.openxmlformats.org/officeDocument/2006/relationships" ref="E520" display="https://topicus.nl/sectoren/onderwijs" r:id="rId1644"/>
    <hyperlink xmlns:r="http://schemas.openxmlformats.org/officeDocument/2006/relationships" ref="T520" display="https://www.linkedin.com/company/topicus/" r:id="rId1645"/>
    <hyperlink xmlns:r="http://schemas.openxmlformats.org/officeDocument/2006/relationships" ref="Y520" display="https://drive.google.com/uc?export=view&amp;id=1-N_AFzlGLpS3ViFkRQxnkOttsEudMaD1" r:id="rId1646"/>
    <hyperlink xmlns:r="http://schemas.openxmlformats.org/officeDocument/2006/relationships" ref="E521" display="http://www.wincacademy.com/" r:id="rId1647"/>
    <hyperlink xmlns:r="http://schemas.openxmlformats.org/officeDocument/2006/relationships" ref="R521" display="https://www.instagram.com/wincacademy/" r:id="rId1648"/>
    <hyperlink xmlns:r="http://schemas.openxmlformats.org/officeDocument/2006/relationships" ref="T521" display="https://www.linkedin.com/school/wincacademy" r:id="rId1649"/>
    <hyperlink xmlns:r="http://schemas.openxmlformats.org/officeDocument/2006/relationships" ref="Y521" display="https://drive.google.com/uc?export=view&amp;id=1uMe6DyDeKNkp26A4a6nRNUGH9e6o0Scq" r:id="rId1650"/>
    <hyperlink xmlns:r="http://schemas.openxmlformats.org/officeDocument/2006/relationships" ref="E522" display="https://eduwerk.acp.at/" r:id="rId1651"/>
    <hyperlink xmlns:r="http://schemas.openxmlformats.org/officeDocument/2006/relationships" ref="R522" display="https://www.instagram.com/acp_eduwerk/" r:id="rId1652"/>
    <hyperlink xmlns:r="http://schemas.openxmlformats.org/officeDocument/2006/relationships" ref="Y522" display="https://drive.google.com/uc?export=view&amp;id=1q3ou6J9cU8RCPI97w0ecNrZMxwKxqzr4" r:id="rId1653"/>
    <hyperlink xmlns:r="http://schemas.openxmlformats.org/officeDocument/2006/relationships" ref="E523" display="https://www.jungeroemer.net/" r:id="rId1654"/>
    <hyperlink xmlns:r="http://schemas.openxmlformats.org/officeDocument/2006/relationships" ref="R523" display="https://www.instagram.com/jungeroemerwien/" r:id="rId1655"/>
    <hyperlink xmlns:r="http://schemas.openxmlformats.org/officeDocument/2006/relationships" ref="S523" display="https://twitter.com/jungeroemerwien" r:id="rId1656"/>
    <hyperlink xmlns:r="http://schemas.openxmlformats.org/officeDocument/2006/relationships" ref="T523" display="https://www.linkedin.com/company/jungeroemer-gmbh/" r:id="rId1657"/>
    <hyperlink xmlns:r="http://schemas.openxmlformats.org/officeDocument/2006/relationships" ref="Y523" display="https://drive.google.com/uc?export=view&amp;id=1LTOFtAyz5LfA0RCiLu2Ee0h_U2oa28Av" r:id="rId1658"/>
    <hyperlink xmlns:r="http://schemas.openxmlformats.org/officeDocument/2006/relationships" ref="E524" display="http://www.siriusgame.it/" r:id="rId1659"/>
    <hyperlink xmlns:r="http://schemas.openxmlformats.org/officeDocument/2006/relationships" ref="R524" display="https://www.instagram.com/siriusgame_/?hl=en" r:id="rId1660"/>
    <hyperlink xmlns:r="http://schemas.openxmlformats.org/officeDocument/2006/relationships" ref="T524" display="https://www.linkedin.com/company/siriusgame" r:id="rId1661"/>
    <hyperlink xmlns:r="http://schemas.openxmlformats.org/officeDocument/2006/relationships" ref="Y524" display="https://drive.google.com/uc?export=view&amp;id=1j4FCMTkSCnYCcps7VWF8AXVyu7SQKcUB" r:id="rId1662"/>
    <hyperlink xmlns:r="http://schemas.openxmlformats.org/officeDocument/2006/relationships" ref="E525" display="http://www.studyly.com/" r:id="rId1663"/>
    <hyperlink xmlns:r="http://schemas.openxmlformats.org/officeDocument/2006/relationships" ref="Y525" display="https://drive.google.com/uc?export=view&amp;id=1V8MVoREM-RxXOR7KbjtpIi5wo3HoL4JO" r:id="rId1664"/>
    <hyperlink xmlns:r="http://schemas.openxmlformats.org/officeDocument/2006/relationships" ref="E526" display="https://alfons.education/en" r:id="rId1665"/>
    <hyperlink xmlns:r="http://schemas.openxmlformats.org/officeDocument/2006/relationships" ref="Y526" display="https://drive.google.com/uc?export=view&amp;id=1RnipJYMISa1cyLOilmx8csrKA2kMn_76" r:id="rId1666"/>
    <hyperlink xmlns:r="http://schemas.openxmlformats.org/officeDocument/2006/relationships" ref="E527" display="https://beetrootacademy.com/" r:id="rId1667"/>
    <hyperlink xmlns:r="http://schemas.openxmlformats.org/officeDocument/2006/relationships" ref="R527" display="https://www.instagram.com/beetrootacademy.global/" r:id="rId1668"/>
    <hyperlink xmlns:r="http://schemas.openxmlformats.org/officeDocument/2006/relationships" ref="T527" display="https://www.linkedin.com/school/beetrootacademy/mycompany/" r:id="rId1669"/>
    <hyperlink xmlns:r="http://schemas.openxmlformats.org/officeDocument/2006/relationships" ref="Y527" display="https://drive.google.com/uc?export=view&amp;id=1OW3vF64h_wKNMaQfQ7DZHH45KYTjhXoZ" r:id="rId1670"/>
    <hyperlink xmlns:r="http://schemas.openxmlformats.org/officeDocument/2006/relationships" ref="E528" display="http://www.common-sense.at/" r:id="rId1671"/>
    <hyperlink xmlns:r="http://schemas.openxmlformats.org/officeDocument/2006/relationships" ref="T528" display="https://www.linkedin.com/company/common-sense-elearning-&amp;-training-consultants" r:id="rId1672"/>
    <hyperlink xmlns:r="http://schemas.openxmlformats.org/officeDocument/2006/relationships" ref="Y528" display="https://drive.google.com/uc?export=view&amp;id=1Hq2j5oSVvUpfUO6aY5TLi-roBlGQTIyN" r:id="rId1673"/>
    <hyperlink xmlns:r="http://schemas.openxmlformats.org/officeDocument/2006/relationships" ref="E529" display="https://www.corsmed.com/" r:id="rId1674"/>
    <hyperlink xmlns:r="http://schemas.openxmlformats.org/officeDocument/2006/relationships" ref="S529" display="https://twitter.com/corsmed" r:id="rId1675"/>
    <hyperlink xmlns:r="http://schemas.openxmlformats.org/officeDocument/2006/relationships" ref="T529" display="https://www.linkedin.com/company/corsmed/" r:id="rId1676"/>
    <hyperlink xmlns:r="http://schemas.openxmlformats.org/officeDocument/2006/relationships" ref="Y529" display="https://drive.google.com/uc?export=view&amp;id=145eCQ4sqKpWM77IgMlnXGMRPevpuWzDa" r:id="rId1677"/>
    <hyperlink xmlns:r="http://schemas.openxmlformats.org/officeDocument/2006/relationships" ref="E530" display="https://www.easy-business.cc/e-learning" r:id="rId1678"/>
    <hyperlink xmlns:r="http://schemas.openxmlformats.org/officeDocument/2006/relationships" ref="Y530" display="https://drive.google.com/uc?export=view&amp;id=1uVHtDu1BXSP-1dpNzSWAgVHVF5KwsNKc" r:id="rId1679"/>
    <hyperlink xmlns:r="http://schemas.openxmlformats.org/officeDocument/2006/relationships" ref="E531" display="https://eddler.se/" r:id="rId1680"/>
    <hyperlink xmlns:r="http://schemas.openxmlformats.org/officeDocument/2006/relationships" ref="R531" display="https://www.instagram.com/eddler.se/" r:id="rId1681"/>
    <hyperlink xmlns:r="http://schemas.openxmlformats.org/officeDocument/2006/relationships" ref="S531" display="https://twitter.com/eddler_se" r:id="rId1682"/>
    <hyperlink xmlns:r="http://schemas.openxmlformats.org/officeDocument/2006/relationships" ref="T531" display="https://www.linkedin.com/company/eddler" r:id="rId1683"/>
    <hyperlink xmlns:r="http://schemas.openxmlformats.org/officeDocument/2006/relationships" ref="Y531" display="https://drive.google.com/uc?export=view&amp;id=1XR5dUf6rMlfQfLf228Z71P3lVHcOU_HV" r:id="rId1684"/>
    <hyperlink xmlns:r="http://schemas.openxmlformats.org/officeDocument/2006/relationships" ref="E532" display="https://www.eduexpert.eu/en/" r:id="rId1685"/>
    <hyperlink xmlns:r="http://schemas.openxmlformats.org/officeDocument/2006/relationships" ref="R532" display="https://www.instagram.cm/eduexpert.multimedia/" r:id="rId1686"/>
    <hyperlink xmlns:r="http://schemas.openxmlformats.org/officeDocument/2006/relationships" ref="Y532" display="https://drive.google.com/uc?export=view&amp;id=13LGHuZgC71MGwptj3m8v0z1GNvsmAmPD" r:id="rId1687"/>
    <hyperlink xmlns:r="http://schemas.openxmlformats.org/officeDocument/2006/relationships" ref="E533" display="https://esybee-com.webnode.se/" r:id="rId1688"/>
    <hyperlink xmlns:r="http://schemas.openxmlformats.org/officeDocument/2006/relationships" ref="T533" display="https://esybee-com.webnode.se/tjanster/" r:id="rId1689"/>
    <hyperlink xmlns:r="http://schemas.openxmlformats.org/officeDocument/2006/relationships" ref="Y533" display="https://drive.google.com/uc?export=view&amp;id=17CCnykQCUeSjmPGxs1VUVHC541kykOY8" r:id="rId1690"/>
    <hyperlink xmlns:r="http://schemas.openxmlformats.org/officeDocument/2006/relationships" ref="E534" display="https://www.eyelearn.at/" r:id="rId1691"/>
    <hyperlink xmlns:r="http://schemas.openxmlformats.org/officeDocument/2006/relationships" ref="R534" display="https://www.instagram.com/eyelearn_/" r:id="rId1692"/>
    <hyperlink xmlns:r="http://schemas.openxmlformats.org/officeDocument/2006/relationships" ref="T534" display="https://www.linkedin.com/company/eyelearn-gmbh/" r:id="rId1693"/>
    <hyperlink xmlns:r="http://schemas.openxmlformats.org/officeDocument/2006/relationships" ref="Y534" display="https://drive.google.com/uc?export=view&amp;id=1dbiTReU4JCwGtk6ShEyY4vDzcr8HXiYC" r:id="rId1694"/>
    <hyperlink xmlns:r="http://schemas.openxmlformats.org/officeDocument/2006/relationships" ref="E535" display="http://www.ilteducation.fi/" r:id="rId1695"/>
    <hyperlink xmlns:r="http://schemas.openxmlformats.org/officeDocument/2006/relationships" ref="R535" display="https://www.instagram.com/lukulumo" r:id="rId1696"/>
    <hyperlink xmlns:r="http://schemas.openxmlformats.org/officeDocument/2006/relationships" ref="T535" display="https://www.linkedin.com/company/ilt-education-finland" r:id="rId1697"/>
    <hyperlink xmlns:r="http://schemas.openxmlformats.org/officeDocument/2006/relationships" ref="Y535" display="https://drive.google.com/uc?export=view&amp;id=1xkGMVb2gJSombO-gnmK8YfqsvL9vFeAq" r:id="rId1698"/>
    <hyperlink xmlns:r="http://schemas.openxmlformats.org/officeDocument/2006/relationships" ref="E536" display="http://lorugames.com/" r:id="rId1699"/>
    <hyperlink xmlns:r="http://schemas.openxmlformats.org/officeDocument/2006/relationships" ref="S536" display="https://twitter.com/LoruGames?t=w52r4VkuFOBgaRazzl0GvQ&amp;s=09" r:id="rId1700"/>
    <hyperlink xmlns:r="http://schemas.openxmlformats.org/officeDocument/2006/relationships" ref="T536" display="https://www.linkedin.com/company/lorugames/" r:id="rId1701"/>
    <hyperlink xmlns:r="http://schemas.openxmlformats.org/officeDocument/2006/relationships" ref="U536" display="http://lorugames.com/" r:id="rId1702"/>
    <hyperlink xmlns:r="http://schemas.openxmlformats.org/officeDocument/2006/relationships" ref="Y536" display="https://drive.google.com/uc?export=view&amp;id=1UsT7BsuNK_lkLbuD4cqVaYQJwHP_OvE2" r:id="rId1703"/>
    <hyperlink xmlns:r="http://schemas.openxmlformats.org/officeDocument/2006/relationships" ref="E537" display="https://nextlearningvalley.com/" r:id="rId1704"/>
    <hyperlink xmlns:r="http://schemas.openxmlformats.org/officeDocument/2006/relationships" ref="R537" display="https://www.instagram.com/nextlearningvalley/" r:id="rId1705"/>
    <hyperlink xmlns:r="http://schemas.openxmlformats.org/officeDocument/2006/relationships" ref="S537" display="https://twitter.com/NLV_LXP" r:id="rId1706"/>
    <hyperlink xmlns:r="http://schemas.openxmlformats.org/officeDocument/2006/relationships" ref="T537" display="https://www.linkedin.com/company/nextlearningvalley/?viewAsMember=true" r:id="rId1707"/>
    <hyperlink xmlns:r="http://schemas.openxmlformats.org/officeDocument/2006/relationships" ref="Y537" display="https://drive.google.com/uc?export=view&amp;id=1GJHQwc08-diCyzMa7B_7CMFNGc1_IOiE" r:id="rId1708"/>
    <hyperlink xmlns:r="http://schemas.openxmlformats.org/officeDocument/2006/relationships" ref="E538" display="http://www.mobility-era.com/" r:id="rId1709"/>
    <hyperlink xmlns:r="http://schemas.openxmlformats.org/officeDocument/2006/relationships" ref="T538" display="https://www.linkedin.com/groups/13758292/" r:id="rId1710"/>
    <hyperlink xmlns:r="http://schemas.openxmlformats.org/officeDocument/2006/relationships" ref="Y538" display="https://drive.google.com/uc?export=view&amp;id=1Niqqpgvch3XNceic8tK78qMpmbgFYfcb" r:id="rId1711"/>
    <hyperlink xmlns:r="http://schemas.openxmlformats.org/officeDocument/2006/relationships" ref="E539" display="http://www.schoolsoft.se/" r:id="rId1712"/>
    <hyperlink xmlns:r="http://schemas.openxmlformats.org/officeDocument/2006/relationships" ref="Y539" display="https://drive.google.com/uc?export=view&amp;id=1rL1Ls6V_WKVsDoDs9Vcy2xIkeokNhDPU" r:id="rId1713"/>
    <hyperlink xmlns:r="http://schemas.openxmlformats.org/officeDocument/2006/relationships" ref="E540" display="http://www.unikum.net/" r:id="rId1714"/>
    <hyperlink xmlns:r="http://schemas.openxmlformats.org/officeDocument/2006/relationships" ref="R540" display="https://www.instagram.com/unikum_net/" r:id="rId1715"/>
    <hyperlink xmlns:r="http://schemas.openxmlformats.org/officeDocument/2006/relationships" ref="S540" display="https://twitter.com/unikum_net" r:id="rId1716"/>
    <hyperlink xmlns:r="http://schemas.openxmlformats.org/officeDocument/2006/relationships" ref="T540" display="https://www.linkedin.com/company/unikum-%E2%80%93-unikt-l%C3%A4rande-f%C3%B6r-unika-barn/" r:id="rId1717"/>
    <hyperlink xmlns:r="http://schemas.openxmlformats.org/officeDocument/2006/relationships" ref="Y540" display="https://drive.google.com/uc?export=view&amp;id=1ijaM9pYTlWQEKOkjFkGReJj_Ck09yKq1" r:id="rId1718"/>
    <hyperlink xmlns:r="http://schemas.openxmlformats.org/officeDocument/2006/relationships" ref="E541" display="http://www.vorsen.nl/" r:id="rId1719"/>
    <hyperlink xmlns:r="http://schemas.openxmlformats.org/officeDocument/2006/relationships" ref="T541" display="https://www.linkedin.com/company/vorsen" r:id="rId1720"/>
    <hyperlink xmlns:r="http://schemas.openxmlformats.org/officeDocument/2006/relationships" ref="Y541" display="https://drive.google.com/uc?export=view&amp;id=1edyYlGP2wRu5pDxNTi14g4za5UVWVS2y" r:id="rId1721"/>
    <hyperlink xmlns:r="http://schemas.openxmlformats.org/officeDocument/2006/relationships" ref="E542" display="https://skriware.com/" r:id="rId1722"/>
    <hyperlink xmlns:r="http://schemas.openxmlformats.org/officeDocument/2006/relationships" ref="R542" display="https://www.instagram.com/skriware/" r:id="rId1723"/>
    <hyperlink xmlns:r="http://schemas.openxmlformats.org/officeDocument/2006/relationships" ref="S542" display="https://twitter.com/Skriware" r:id="rId1724"/>
    <hyperlink xmlns:r="http://schemas.openxmlformats.org/officeDocument/2006/relationships" ref="T542" display="https://www.linkedin.com/company/skriware/" r:id="rId1725"/>
    <hyperlink xmlns:r="http://schemas.openxmlformats.org/officeDocument/2006/relationships" ref="E543" display="https://wideservices.gr/en/" r:id="rId1726"/>
    <hyperlink xmlns:r="http://schemas.openxmlformats.org/officeDocument/2006/relationships" ref="T543" display="https://www.linkedin.com/company/wide-services-p-c/" r:id="rId1727"/>
    <hyperlink xmlns:r="http://schemas.openxmlformats.org/officeDocument/2006/relationships" ref="Y543" display="https://drive.google.com/uc?export=view&amp;id=1Kq7nMzdCA9IOmsFZ5-whWkFjg87h9ERJ" r:id="rId1728"/>
    <hyperlink xmlns:r="http://schemas.openxmlformats.org/officeDocument/2006/relationships" ref="E544" display="http://www.moxliukas.lt/" r:id="rId1729"/>
    <hyperlink xmlns:r="http://schemas.openxmlformats.org/officeDocument/2006/relationships" ref="R544" display="https://www.instagram.com/moxliukas/" r:id="rId1730"/>
    <hyperlink xmlns:r="http://schemas.openxmlformats.org/officeDocument/2006/relationships" ref="T544" display="https://www.linkedin.com/company/moxliukas" r:id="rId1731"/>
    <hyperlink xmlns:r="http://schemas.openxmlformats.org/officeDocument/2006/relationships" ref="Y544" display="https://drive.google.com/uc?export=view&amp;id=1jcfesTQdI25lTFtzHbuH81w-XVKX6QIp" r:id="rId1732"/>
    <hyperlink xmlns:r="http://schemas.openxmlformats.org/officeDocument/2006/relationships" ref="E545" display="https://scealprod.fr/" r:id="rId1733"/>
    <hyperlink xmlns:r="http://schemas.openxmlformats.org/officeDocument/2006/relationships" ref="R545" display="https://www.instagram.com/scealprod.fr/" r:id="rId1734"/>
    <hyperlink xmlns:r="http://schemas.openxmlformats.org/officeDocument/2006/relationships" ref="S545" display="https://twitter.com/scealprod/" r:id="rId1735"/>
    <hyperlink xmlns:r="http://schemas.openxmlformats.org/officeDocument/2006/relationships" ref="T545" display="https://www.linkedin.com/company/scealprod/" r:id="rId1736"/>
    <hyperlink xmlns:r="http://schemas.openxmlformats.org/officeDocument/2006/relationships" ref="Y545" display="https://drive.google.com/uc?export=view&amp;id=1TLxrujCs0vos9yH_HCQdjFgqxSNz1dwp" r:id="rId1737"/>
    <hyperlink xmlns:r="http://schemas.openxmlformats.org/officeDocument/2006/relationships" ref="E546" display="https://ditto.education/" r:id="rId1738"/>
    <hyperlink xmlns:r="http://schemas.openxmlformats.org/officeDocument/2006/relationships" ref="R546" display="https://www.instagram.com/ditto.educacion/" r:id="rId1739"/>
    <hyperlink xmlns:r="http://schemas.openxmlformats.org/officeDocument/2006/relationships" ref="T546" display="https://www.linkedin.com/company/ditto-education/" r:id="rId1740"/>
    <hyperlink xmlns:r="http://schemas.openxmlformats.org/officeDocument/2006/relationships" ref="Y546" display="https://drive.google.com/uc?export=view&amp;id=1A5YCbaAAM6h9BZGNFHUDaDJxJd_ElVSo" r:id="rId1741"/>
    <hyperlink xmlns:r="http://schemas.openxmlformats.org/officeDocument/2006/relationships" ref="E547" display="http://www.tutorhive.co.uk/onehive" r:id="rId1742"/>
    <hyperlink xmlns:r="http://schemas.openxmlformats.org/officeDocument/2006/relationships" ref="R547" display="https://www.instagram.com/tutor.hive/?hl=en" r:id="rId1743"/>
    <hyperlink xmlns:r="http://schemas.openxmlformats.org/officeDocument/2006/relationships" ref="T547" display="https://www.linkedin.com/company/tutorhive/" r:id="rId1744"/>
    <hyperlink xmlns:r="http://schemas.openxmlformats.org/officeDocument/2006/relationships" ref="Y547" display="https://drive.google.com/uc?export=view&amp;id=1nE9-qUre7YTzpdJ_tY9ia4SsYaPTDXT8" r:id="rId1745"/>
    <hyperlink xmlns:r="http://schemas.openxmlformats.org/officeDocument/2006/relationships" ref="E548" display="https://www.effency.fr/" r:id="rId1746"/>
    <hyperlink xmlns:r="http://schemas.openxmlformats.org/officeDocument/2006/relationships" ref="S548" display="https://twitter.com/effency_" r:id="rId1747"/>
    <hyperlink xmlns:r="http://schemas.openxmlformats.org/officeDocument/2006/relationships" ref="T548" display="https://www.linkedin.com/company/effency" r:id="rId1748"/>
    <hyperlink xmlns:r="http://schemas.openxmlformats.org/officeDocument/2006/relationships" ref="Y548" display="https://drive.google.com/uc?export=view&amp;id=1AVrnhOd2wnDz8wl5TQu5mEK1iY39Syuj" r:id="rId1749"/>
    <hyperlink xmlns:r="http://schemas.openxmlformats.org/officeDocument/2006/relationships" ref="E549" display="http://lexivist.com/" r:id="rId1750"/>
    <hyperlink xmlns:r="http://schemas.openxmlformats.org/officeDocument/2006/relationships" ref="Y549" display="https://drive.google.com/uc?export=view&amp;id=1XUxtkZtCV0CK-H2tHTogesPasZmw94pr" r:id="rId1751"/>
    <hyperlink xmlns:r="http://schemas.openxmlformats.org/officeDocument/2006/relationships" ref="E550" display="https://www.whoteach.it/en/" r:id="rId1752"/>
    <hyperlink xmlns:r="http://schemas.openxmlformats.org/officeDocument/2006/relationships" ref="T550" display="https://www.linkedin.com/company/whoteach-it/mycompany/" r:id="rId1753"/>
    <hyperlink xmlns:r="http://schemas.openxmlformats.org/officeDocument/2006/relationships" ref="Y550" display="https://drive.google.com/uc?export=view&amp;id=1Z27e4wiFEJLxIT-3KG5wc3YVpLh2wP8X" r:id="rId1754"/>
    <hyperlink xmlns:r="http://schemas.openxmlformats.org/officeDocument/2006/relationships" ref="E551" display="https://thesmartestway.com/" r:id="rId1755"/>
    <hyperlink xmlns:r="http://schemas.openxmlformats.org/officeDocument/2006/relationships" ref="R551" display="https://www.instagram.com/thesmartestwaycom" r:id="rId1756"/>
    <hyperlink xmlns:r="http://schemas.openxmlformats.org/officeDocument/2006/relationships" ref="T551" display="https://www.linkedin.com/company/thesmartestway" r:id="rId1757"/>
    <hyperlink xmlns:r="http://schemas.openxmlformats.org/officeDocument/2006/relationships" ref="Y551" display="https://drive.google.com/uc?export=view&amp;id=16WNBf6KDRS84qD54vZ5SpXWuTKtz_TQe" r:id="rId1758"/>
    <hyperlink xmlns:r="http://schemas.openxmlformats.org/officeDocument/2006/relationships" ref="E552" display="https://game.edenauts.com/" r:id="rId1759"/>
    <hyperlink xmlns:r="http://schemas.openxmlformats.org/officeDocument/2006/relationships" ref="Y552" display="https://drive.google.com/uc?export=view&amp;id=17vtbrwasu-9HF31FD0Ppqx1RlOSiuqXy" r:id="rId1760"/>
    <hyperlink xmlns:r="http://schemas.openxmlformats.org/officeDocument/2006/relationships" ref="E553" display="https://edulab.work/" r:id="rId1761"/>
    <hyperlink xmlns:r="http://schemas.openxmlformats.org/officeDocument/2006/relationships" ref="Y553" display="https://drive.google.com/uc?export=view&amp;id=1IeLO4HBlM5UFJDTGISayJJaZmIITL5O-" r:id="rId1762"/>
    <hyperlink xmlns:r="http://schemas.openxmlformats.org/officeDocument/2006/relationships" ref="E554" display="https://game-learn.com/" r:id="rId1763"/>
    <hyperlink xmlns:r="http://schemas.openxmlformats.org/officeDocument/2006/relationships" ref="R554" display="https://www.instagram.com/gamelearn/" r:id="rId1764"/>
    <hyperlink xmlns:r="http://schemas.openxmlformats.org/officeDocument/2006/relationships" ref="S554" display="https://twitter.com/Gamelearn" r:id="rId1765"/>
    <hyperlink xmlns:r="http://schemas.openxmlformats.org/officeDocument/2006/relationships" ref="T554" display="http://www.linkedin.com/company/gamelearn" r:id="rId1766"/>
    <hyperlink xmlns:r="http://schemas.openxmlformats.org/officeDocument/2006/relationships" ref="Y554" display="https://drive.google.com/uc?export=view&amp;id=1cLCGvJeaX0PBIajRQyFkolPVPDfZZS5A" r:id="rId1767"/>
    <hyperlink xmlns:r="http://schemas.openxmlformats.org/officeDocument/2006/relationships" ref="E555" display="http://www.mysoly.nl/" r:id="rId1768"/>
    <hyperlink xmlns:r="http://schemas.openxmlformats.org/officeDocument/2006/relationships" ref="T555" display="https://www.linkedin.com/company/82955558/admin/feed/posts/" r:id="rId1769"/>
    <hyperlink xmlns:r="http://schemas.openxmlformats.org/officeDocument/2006/relationships" ref="Y555" display="https://drive.google.com/uc?export=view&amp;id=1eHc5zzooktsrLRbpT-9KtldOoIjnun6g" r:id="rId1770"/>
    <hyperlink xmlns:r="http://schemas.openxmlformats.org/officeDocument/2006/relationships" ref="E556" display="http://blockbook.nl/" r:id="rId1771"/>
    <hyperlink xmlns:r="http://schemas.openxmlformats.org/officeDocument/2006/relationships" ref="T556" display="https://www.linkedin.com/company/98543805/" r:id="rId1772"/>
    <hyperlink xmlns:r="http://schemas.openxmlformats.org/officeDocument/2006/relationships" ref="Y556" display="https://drive.google.com/uc?export=view&amp;id=1Yb95an2gddwNJA6A34PnCBIiQv2N2tQv" r:id="rId1773"/>
    <hyperlink xmlns:r="http://schemas.openxmlformats.org/officeDocument/2006/relationships" ref="E557" display="https://studo.com/en/" r:id="rId1774"/>
    <hyperlink xmlns:r="http://schemas.openxmlformats.org/officeDocument/2006/relationships" ref="R557" display="https://www.instagram.com/studoapp/" r:id="rId1775"/>
    <hyperlink xmlns:r="http://schemas.openxmlformats.org/officeDocument/2006/relationships" ref="S557" display="https://twitter.com/studoapp" r:id="rId1776"/>
    <hyperlink xmlns:r="http://schemas.openxmlformats.org/officeDocument/2006/relationships" ref="T557" display="https://www.linkedin.com/company/studo-app" r:id="rId1777"/>
    <hyperlink xmlns:r="http://schemas.openxmlformats.org/officeDocument/2006/relationships" ref="Y557" display="https://drive.google.com/uc?export=view&amp;id=1rLQ7gOj9Dc630z6hPEWNld0LmI2kdwB5" r:id="rId1778"/>
    <hyperlink xmlns:r="http://schemas.openxmlformats.org/officeDocument/2006/relationships" ref="E558" display="http://www.wyblo.com/" r:id="rId1779"/>
    <hyperlink xmlns:r="http://schemas.openxmlformats.org/officeDocument/2006/relationships" ref="R558" display="https://www.instagram.com/lifeatwyblo/" r:id="rId1780"/>
    <hyperlink xmlns:r="http://schemas.openxmlformats.org/officeDocument/2006/relationships" ref="T558" display="https://www.linkedin.com/company/wyblo" r:id="rId1781"/>
    <hyperlink xmlns:r="http://schemas.openxmlformats.org/officeDocument/2006/relationships" ref="Y558" display="https://drive.google.com/uc?export=view&amp;id=1haqq3swoWn7OZ4SZs1XrGW9u7LMgJQdF" r:id="rId1782"/>
    <hyperlink xmlns:r="http://schemas.openxmlformats.org/officeDocument/2006/relationships" ref="E559" display="http://www.archaeo-now.com/" r:id="rId1783"/>
    <hyperlink xmlns:r="http://schemas.openxmlformats.org/officeDocument/2006/relationships" ref="R559" display="https://www.instagram.com/archaeonow/" r:id="rId1784"/>
    <hyperlink xmlns:r="http://schemas.openxmlformats.org/officeDocument/2006/relationships" ref="T559" display="https://www.linkedin.com/company/archaeonow" r:id="rId1785"/>
    <hyperlink xmlns:r="http://schemas.openxmlformats.org/officeDocument/2006/relationships" ref="E560" display="https://kwark.education/" r:id="rId1786"/>
    <hyperlink xmlns:r="http://schemas.openxmlformats.org/officeDocument/2006/relationships" ref="S560" display="https://twitter.com/KwarkEducation" r:id="rId1787"/>
    <hyperlink xmlns:r="http://schemas.openxmlformats.org/officeDocument/2006/relationships" ref="T560" display="https://www.linkedin.com/company/kwark-education/" r:id="rId1788"/>
    <hyperlink xmlns:r="http://schemas.openxmlformats.org/officeDocument/2006/relationships" ref="Y560" display="https://drive.google.com/uc?export=view&amp;id=1410zBmBoNSbyHch5JMwN0KEU_zobv4YT" r:id="rId1789"/>
    <hyperlink xmlns:r="http://schemas.openxmlformats.org/officeDocument/2006/relationships" ref="E561" display="https://www.theia.fr/en/" r:id="rId1790"/>
    <hyperlink xmlns:r="http://schemas.openxmlformats.org/officeDocument/2006/relationships" ref="S561" display="https://twitter.com/edutheia?lang=en" r:id="rId1791"/>
    <hyperlink xmlns:r="http://schemas.openxmlformats.org/officeDocument/2006/relationships" ref="T561" display="https://www.linkedin.com/company/sas-theia/mycompany/verification/?viewAsMember=true" r:id="rId1792"/>
    <hyperlink xmlns:r="http://schemas.openxmlformats.org/officeDocument/2006/relationships" ref="Y561" display="https://drive.google.com/uc?export=view&amp;id=1r_9D2exC8AK3L6IrC3NPUe5C0PVGzqcJ" r:id="rId1793"/>
    <hyperlink xmlns:r="http://schemas.openxmlformats.org/officeDocument/2006/relationships" ref="E562" display="https://www.ulys-europe.eu/" r:id="rId1794"/>
    <hyperlink xmlns:r="http://schemas.openxmlformats.org/officeDocument/2006/relationships" ref="S562" display="https://twitter.com/EuropeUlys" r:id="rId1795"/>
    <hyperlink xmlns:r="http://schemas.openxmlformats.org/officeDocument/2006/relationships" ref="T562" display="https://www.ulys-europe.eu/" r:id="rId1796"/>
    <hyperlink xmlns:r="http://schemas.openxmlformats.org/officeDocument/2006/relationships" ref="Y562" display="https://drive.google.com/uc?export=view&amp;id=1-TsMHv-6_PhQ_Cfi9mt2zztaSkAzKlCz" r:id="rId1797"/>
    <hyperlink xmlns:r="http://schemas.openxmlformats.org/officeDocument/2006/relationships" ref="E563" display="https://www.limitlessedu.app/" r:id="rId1798"/>
    <hyperlink xmlns:r="http://schemas.openxmlformats.org/officeDocument/2006/relationships" ref="T563" display="https://www.linkedin.com/company/limitlesseduc" r:id="rId1799"/>
    <hyperlink xmlns:r="http://schemas.openxmlformats.org/officeDocument/2006/relationships" ref="Y563" display="https://drive.google.com/uc?export=view&amp;id=1yxfYpDFsuliVSw3C8zzXIDSCqu8xEtHC" r:id="rId1800"/>
    <hyperlink xmlns:r="http://schemas.openxmlformats.org/officeDocument/2006/relationships" ref="E564" display="http://www.psyphy.io/" r:id="rId1801"/>
    <hyperlink xmlns:r="http://schemas.openxmlformats.org/officeDocument/2006/relationships" ref="T564" display="https://www.linkedin.com/company/psyphyamsterdam/" r:id="rId1802"/>
    <hyperlink xmlns:r="http://schemas.openxmlformats.org/officeDocument/2006/relationships" ref="Y564" display="https://drive.google.com/uc?export=view&amp;id=1VQjEWqy3hX5HdvlDLdcJaIjth0LTaKTS" r:id="rId1803"/>
    <hyperlink xmlns:r="http://schemas.openxmlformats.org/officeDocument/2006/relationships" ref="E565" display="http://www.desku.fi/" r:id="rId1804"/>
    <hyperlink xmlns:r="http://schemas.openxmlformats.org/officeDocument/2006/relationships" ref="Y565" display="https://drive.google.com/uc?export=view&amp;id=1u2cRghPZ4KB5LU4WPxrTr1Zckric6s_D" r:id="rId1805"/>
    <hyperlink xmlns:r="http://schemas.openxmlformats.org/officeDocument/2006/relationships" ref="E566" display="http://www.solveitnow.org/" r:id="rId1806"/>
    <hyperlink xmlns:r="http://schemas.openxmlformats.org/officeDocument/2006/relationships" ref="S566" display="https://www.x.com/@hellosolveit" r:id="rId1807"/>
    <hyperlink xmlns:r="http://schemas.openxmlformats.org/officeDocument/2006/relationships" ref="T566" display="https://www.linkedin.com/company/solveitnow-inc" r:id="rId1808"/>
    <hyperlink xmlns:r="http://schemas.openxmlformats.org/officeDocument/2006/relationships" ref="Y566" display="https://drive.google.com/uc?export=view&amp;id=1QdrhPwigUTvHxzGuo0VZIRZi-Hem9Pzg" r:id="rId1809"/>
    <hyperlink xmlns:r="http://schemas.openxmlformats.org/officeDocument/2006/relationships" ref="E567" display="https://www.thehub21.com/" r:id="rId1810"/>
    <hyperlink xmlns:r="http://schemas.openxmlformats.org/officeDocument/2006/relationships" ref="R567" display="https://www.instagram.com/thehub.21/" r:id="rId1811"/>
    <hyperlink xmlns:r="http://schemas.openxmlformats.org/officeDocument/2006/relationships" ref="T567" display="https://www.linkedin.com/company/thehub21/" r:id="rId1812"/>
    <hyperlink xmlns:r="http://schemas.openxmlformats.org/officeDocument/2006/relationships" ref="Y567" display="https://drive.google.com/uc?export=view&amp;id=18nhXpewqQxL6GXRuSEQW1ZqJjyhSMTx8" r:id="rId1813"/>
    <hyperlink xmlns:r="http://schemas.openxmlformats.org/officeDocument/2006/relationships" ref="E568" display="https://www.kickstart-innovation.com/" r:id="rId1814"/>
    <hyperlink xmlns:r="http://schemas.openxmlformats.org/officeDocument/2006/relationships" ref="Y568" display="https://drive.google.com/uc?export=view&amp;id=1dYlK1Jr0nRaW9vaXtUAIPKDN3QpINK4Z" r:id="rId1815"/>
    <hyperlink xmlns:r="http://schemas.openxmlformats.org/officeDocument/2006/relationships" ref="E569" display="https://langly.ai/en/" r:id="rId1816"/>
    <hyperlink xmlns:r="http://schemas.openxmlformats.org/officeDocument/2006/relationships" ref="R569" display="https://www.instagram.com/langly.app/" r:id="rId1817"/>
    <hyperlink xmlns:r="http://schemas.openxmlformats.org/officeDocument/2006/relationships" ref="S569" display="https://twitter.com/langly_inc?s=21&amp;t=c9l-3xJat7s1nB0RAhFVuA" r:id="rId1818"/>
    <hyperlink xmlns:r="http://schemas.openxmlformats.org/officeDocument/2006/relationships" ref="T569" display="https://www.linkedin.com/company/langly/" r:id="rId1819"/>
    <hyperlink xmlns:r="http://schemas.openxmlformats.org/officeDocument/2006/relationships" ref="Y569" display="https://drive.google.com/uc?export=view&amp;id=1Qyn5w3tIGIHv_gcqjvEElpEe-lxi2wsC" r:id="rId1820"/>
    <hyperlink xmlns:r="http://schemas.openxmlformats.org/officeDocument/2006/relationships" ref="E570" display="https://puro.education/" r:id="rId1821"/>
    <hyperlink xmlns:r="http://schemas.openxmlformats.org/officeDocument/2006/relationships" ref="R570" display="https://www.instagram.com/puro.education/" r:id="rId1822"/>
    <hyperlink xmlns:r="http://schemas.openxmlformats.org/officeDocument/2006/relationships" ref="T570" display="https://fi.linkedin.com/company/pisara-learning" r:id="rId1823"/>
    <hyperlink xmlns:r="http://schemas.openxmlformats.org/officeDocument/2006/relationships" ref="Y570" display="https://drive.google.com/uc?export=view&amp;id=1SHEUQa0-3zT5OC8pKjduKLw2Spw7oTsh" r:id="rId1824"/>
    <hyperlink xmlns:r="http://schemas.openxmlformats.org/officeDocument/2006/relationships" ref="E571" display="https://edneo.de/de/" r:id="rId1825"/>
    <hyperlink xmlns:r="http://schemas.openxmlformats.org/officeDocument/2006/relationships" ref="T571" display="https://www.linkedin.com/company/edneo" r:id="rId1826"/>
    <hyperlink xmlns:r="http://schemas.openxmlformats.org/officeDocument/2006/relationships" ref="Y571" display="https://drive.google.com/uc?export=view&amp;id=1w7Cm7cEXN6Ubct8OCoWjnF10Uu_-a4u6" r:id="rId1827"/>
    <hyperlink xmlns:r="http://schemas.openxmlformats.org/officeDocument/2006/relationships" ref="E572" display="https://www.activequiz.com/" r:id="rId1828"/>
    <hyperlink xmlns:r="http://schemas.openxmlformats.org/officeDocument/2006/relationships" ref="T572" display="https://www.linkedin.com/company/10925962/" r:id="rId1829"/>
    <hyperlink xmlns:r="http://schemas.openxmlformats.org/officeDocument/2006/relationships" ref="Y572" display="https://drive.google.com/uc?export=view&amp;id=1QkxuS-6Qd_42daMy7NPu1oRPO_SJBm6k" r:id="rId1830"/>
    <hyperlink xmlns:r="http://schemas.openxmlformats.org/officeDocument/2006/relationships" ref="E573" display="http://www.cogknit.io/" r:id="rId1831"/>
    <hyperlink xmlns:r="http://schemas.openxmlformats.org/officeDocument/2006/relationships" ref="Y573" display="https://drive.google.com/uc?export=view&amp;id=1apOpji-VeKvbAxJ-jvoGXRb-IGTwlhqG" r:id="rId1832"/>
    <hyperlink xmlns:r="http://schemas.openxmlformats.org/officeDocument/2006/relationships" ref="E574" display="http://www.theenglishquest.com/" r:id="rId1833"/>
    <hyperlink xmlns:r="http://schemas.openxmlformats.org/officeDocument/2006/relationships" ref="Y574" display="https://drive.google.com/uc?export=view&amp;id=1AO8egDtgp4ae8j0_eOJTgkMGoLCepFQa" r:id="rId1834"/>
    <hyperlink xmlns:r="http://schemas.openxmlformats.org/officeDocument/2006/relationships" ref="E575" display="http://phrasecat.com/" r:id="rId1835"/>
    <hyperlink xmlns:r="http://schemas.openxmlformats.org/officeDocument/2006/relationships" ref="T575" display="https://www.linkedin.com/company/phrasecat" r:id="rId1836"/>
    <hyperlink xmlns:r="http://schemas.openxmlformats.org/officeDocument/2006/relationships" ref="Y575" display="https://drive.google.com/uc?export=view&amp;id=13_o5FgEAJoR_ef4JnohgoH1PCVby8wDG" r:id="rId1837"/>
    <hyperlink xmlns:r="http://schemas.openxmlformats.org/officeDocument/2006/relationships" ref="E576" display="https://www.videocation.no/" r:id="rId1838"/>
    <hyperlink xmlns:r="http://schemas.openxmlformats.org/officeDocument/2006/relationships" ref="R576" display="http://videocation.no/" r:id="rId1839"/>
    <hyperlink xmlns:r="http://schemas.openxmlformats.org/officeDocument/2006/relationships" ref="S576" display="http://videocation.no/" r:id="rId1840"/>
    <hyperlink xmlns:r="http://schemas.openxmlformats.org/officeDocument/2006/relationships" ref="T576" display="https://www.linkedin.com/company/videocation.no/" r:id="rId1841"/>
    <hyperlink xmlns:r="http://schemas.openxmlformats.org/officeDocument/2006/relationships" ref="Y576" display="https://drive.google.com/uc?export=view&amp;id=1CHnSGSuqd_FJXQH9rv55xI9zzFHZKDuG" r:id="rId1842"/>
    <hyperlink xmlns:r="http://schemas.openxmlformats.org/officeDocument/2006/relationships" ref="E577" display="http://www.ewink.es/" r:id="rId1843"/>
    <hyperlink xmlns:r="http://schemas.openxmlformats.org/officeDocument/2006/relationships" ref="T577" display="https://www.linkedin.com/company/ewink/?viewAsMember=true" r:id="rId1844"/>
    <hyperlink xmlns:r="http://schemas.openxmlformats.org/officeDocument/2006/relationships" ref="E578" display="http://fast-ai-movies.de/" r:id="rId1845"/>
    <hyperlink xmlns:r="http://schemas.openxmlformats.org/officeDocument/2006/relationships" ref="R578" display="https://www.instagram.com/fast.ai.movies" r:id="rId1846"/>
    <hyperlink xmlns:r="http://schemas.openxmlformats.org/officeDocument/2006/relationships" ref="T578" display="https://www.linkedin.com/company/fast-ai-movies" r:id="rId1847"/>
    <hyperlink xmlns:r="http://schemas.openxmlformats.org/officeDocument/2006/relationships" ref="Y578" display="https://drive.google.com/uc?export=view&amp;id=1Epoe16em4hCJovTvlRRSrunnKgZHHftK" r:id="rId1848"/>
    <hyperlink xmlns:r="http://schemas.openxmlformats.org/officeDocument/2006/relationships" ref="E579" display="https://inkubator-kocevje.si/" r:id="rId1849"/>
    <hyperlink xmlns:r="http://schemas.openxmlformats.org/officeDocument/2006/relationships" ref="R579" display="https://www.instagram.com/inkubator_kocevje/" r:id="rId1850"/>
    <hyperlink xmlns:r="http://schemas.openxmlformats.org/officeDocument/2006/relationships" ref="T579" display="https://www.linkedin.com/company/podjetni%C5%A1ki-inkubator-ko%C4%8Devje" r:id="rId1851"/>
    <hyperlink xmlns:r="http://schemas.openxmlformats.org/officeDocument/2006/relationships" ref="Y579" display="https://drive.google.com/uc?export=view&amp;id=17AxyioVPLeP4s-WWbiuP9r5u8LE8XLTQ" r:id="rId1852"/>
    <hyperlink xmlns:r="http://schemas.openxmlformats.org/officeDocument/2006/relationships" ref="E580" display="https://www.thelearninghub.be/" r:id="rId1853"/>
    <hyperlink xmlns:r="http://schemas.openxmlformats.org/officeDocument/2006/relationships" ref="R580" display="https://www.instagram.com/thelearninghub.be/" r:id="rId1854"/>
    <hyperlink xmlns:r="http://schemas.openxmlformats.org/officeDocument/2006/relationships" ref="T580" display="https://www.linkedin.com/company/the-learning-hub" r:id="rId1855"/>
    <hyperlink xmlns:r="http://schemas.openxmlformats.org/officeDocument/2006/relationships" ref="Y580" display="https://drive.google.com/uc?export=view&amp;id=1llXNwGOGh3atxAT7mvrh_vliV2IPkwzy" r:id="rId1856"/>
    <hyperlink xmlns:r="http://schemas.openxmlformats.org/officeDocument/2006/relationships" ref="D581" display="http://3dcamp.us/" r:id="rId1857"/>
    <hyperlink xmlns:r="http://schemas.openxmlformats.org/officeDocument/2006/relationships" ref="E581" display="https://www.3dcamp.us/" r:id="rId1858"/>
    <hyperlink xmlns:r="http://schemas.openxmlformats.org/officeDocument/2006/relationships" ref="R581" display="https://www.instagram.com/3dcamp.us/" r:id="rId1859"/>
    <hyperlink xmlns:r="http://schemas.openxmlformats.org/officeDocument/2006/relationships" ref="S581" display="https://twitter.com/3dcampus_" r:id="rId1860"/>
    <hyperlink xmlns:r="http://schemas.openxmlformats.org/officeDocument/2006/relationships" ref="T581" display="https://www.linkedin.com/company/3dcampus/" r:id="rId1861"/>
    <hyperlink xmlns:r="http://schemas.openxmlformats.org/officeDocument/2006/relationships" ref="U581" display="http://3dcamp.us/" r:id="rId1862"/>
    <hyperlink xmlns:r="http://schemas.openxmlformats.org/officeDocument/2006/relationships" ref="Y581" display="https://drive.google.com/uc?export=view&amp;id=1iETgsNDPB_6UrEYn4K-sFWNaS19epLUe" r:id="rId1863"/>
    <hyperlink xmlns:r="http://schemas.openxmlformats.org/officeDocument/2006/relationships" ref="E582" display="http://www.happycode.com.es/" r:id="rId1864"/>
    <hyperlink xmlns:r="http://schemas.openxmlformats.org/officeDocument/2006/relationships" ref="R582" display="https://www.instagram.com/happycodees/" r:id="rId1865"/>
    <hyperlink xmlns:r="http://schemas.openxmlformats.org/officeDocument/2006/relationships" ref="S582" display="https://twitter.com/HappyCode_ES" r:id="rId1866"/>
    <hyperlink xmlns:r="http://schemas.openxmlformats.org/officeDocument/2006/relationships" ref="T582" display="https://www.linkedin.com/company/happy-code-educacion-espana/?viewAsMember=true" r:id="rId1867"/>
    <hyperlink xmlns:r="http://schemas.openxmlformats.org/officeDocument/2006/relationships" ref="Y582" display="https://drive.google.com/uc?export=view&amp;id=1u-f71kF00FaRWDkWwTN234dqiABEbKnP" r:id="rId1868"/>
    <hyperlink xmlns:r="http://schemas.openxmlformats.org/officeDocument/2006/relationships" ref="E583" display="https://www.evolmind.com/" r:id="rId1869"/>
    <hyperlink xmlns:r="http://schemas.openxmlformats.org/officeDocument/2006/relationships" ref="S583" display="https://twitter.com/evolcampus" r:id="rId1870"/>
    <hyperlink xmlns:r="http://schemas.openxmlformats.org/officeDocument/2006/relationships" ref="T583" display="https://www.linkedin.com/company/evolmind/?originalSubdomain=es" r:id="rId1871"/>
    <hyperlink xmlns:r="http://schemas.openxmlformats.org/officeDocument/2006/relationships" ref="Y583" display="https://drive.google.com/uc?export=view&amp;id=13_SnqIRpOM2l7VlpKNJ_v4uREcpG67M2" r:id="rId1872"/>
    <hyperlink xmlns:r="http://schemas.openxmlformats.org/officeDocument/2006/relationships" ref="E584" display="https://www.kura-app.com/" r:id="rId1873"/>
    <hyperlink xmlns:r="http://schemas.openxmlformats.org/officeDocument/2006/relationships" ref="T584" display="https://www.linkedin.com/company/kura-app/" r:id="rId1874"/>
    <hyperlink xmlns:r="http://schemas.openxmlformats.org/officeDocument/2006/relationships" ref="Y584" display="https://drive.google.com/uc?export=view&amp;id=1_Y-ZMPSQ93OhP6SMS5SmzkUFV5A3H8nB" r:id="rId1875"/>
    <hyperlink xmlns:r="http://schemas.openxmlformats.org/officeDocument/2006/relationships" ref="E585" display="https://myscol.com/" r:id="rId1876"/>
    <hyperlink xmlns:r="http://schemas.openxmlformats.org/officeDocument/2006/relationships" ref="R585" display="https://www.instagram.com/myscol.english/?next=%2F" r:id="rId1877"/>
    <hyperlink xmlns:r="http://schemas.openxmlformats.org/officeDocument/2006/relationships" ref="S585" display="https://twitter.com/MyScolOfficiel" r:id="rId1878"/>
    <hyperlink xmlns:r="http://schemas.openxmlformats.org/officeDocument/2006/relationships" ref="T585" display="https://www.linkedin.com/showcase/myscol/" r:id="rId1879"/>
    <hyperlink xmlns:r="http://schemas.openxmlformats.org/officeDocument/2006/relationships" ref="Y585" display="https://drive.google.com/uc?export=view&amp;id=1c42WFAHcbHl_gkrmw7-O3HXwPokOQTZQ" r:id="rId1880"/>
    <hyperlink xmlns:r="http://schemas.openxmlformats.org/officeDocument/2006/relationships" ref="E586" display="https://learneron.net/" r:id="rId1881"/>
    <hyperlink xmlns:r="http://schemas.openxmlformats.org/officeDocument/2006/relationships" ref="T586" display="https://www.linkedin.com/company/learneron-net/" r:id="rId1882"/>
    <hyperlink xmlns:r="http://schemas.openxmlformats.org/officeDocument/2006/relationships" ref="Y586" display="https://drive.google.com/uc?export=view&amp;id=1gqUKMY25dfY2gUf9S7vHyXEKvFU2C4-e" r:id="rId1883"/>
    <hyperlink xmlns:r="http://schemas.openxmlformats.org/officeDocument/2006/relationships" ref="E587" display="https://digitalfamily.es/" r:id="rId1884"/>
    <hyperlink xmlns:r="http://schemas.openxmlformats.org/officeDocument/2006/relationships" ref="R587" display="https://www.instagram.com/digitalfamily_es/" r:id="rId1885"/>
    <hyperlink xmlns:r="http://schemas.openxmlformats.org/officeDocument/2006/relationships" ref="S587" display="https://twitter.com/digitalfamilyes" r:id="rId1886"/>
    <hyperlink xmlns:r="http://schemas.openxmlformats.org/officeDocument/2006/relationships" ref="T587" display="https://www.linkedin.com/company/digital-family-espa%C3%B1a" r:id="rId1887"/>
    <hyperlink xmlns:r="http://schemas.openxmlformats.org/officeDocument/2006/relationships" ref="Y587" display="https://drive.google.com/uc?export=view&amp;id=1Ms5vZ9oLKJatRj3fDEW1vtsBelmMAR2l" r:id="rId1888"/>
    <hyperlink xmlns:r="http://schemas.openxmlformats.org/officeDocument/2006/relationships" ref="E588" display="http://www.bool.ie/" r:id="rId1889"/>
    <hyperlink xmlns:r="http://schemas.openxmlformats.org/officeDocument/2006/relationships" ref="T588" display="https://www.linkedin.com/company/80011597" r:id="rId1890"/>
    <hyperlink xmlns:r="http://schemas.openxmlformats.org/officeDocument/2006/relationships" ref="Y588" display="https://drive.google.com/uc?export=view&amp;id=15dG44nquMlVuA-wY3fuqjkCJUuru1ull" r:id="rId1891"/>
    <hyperlink xmlns:r="http://schemas.openxmlformats.org/officeDocument/2006/relationships" ref="E589" display="http://www.edf.global/" r:id="rId1892"/>
    <hyperlink xmlns:r="http://schemas.openxmlformats.org/officeDocument/2006/relationships" ref="T589" display="https://www.linkedin.com/company/entornosdeformacion" r:id="rId1893"/>
    <hyperlink xmlns:r="http://schemas.openxmlformats.org/officeDocument/2006/relationships" ref="Y589" display="https://drive.google.com/uc?export=view&amp;id=1tFQjY9wqdhNQrB-Kd77v9a3arifqxHV-" r:id="rId1894"/>
    <hyperlink xmlns:r="http://schemas.openxmlformats.org/officeDocument/2006/relationships" ref="E590" display="https://www.wiseworld.ai/" r:id="rId1895"/>
    <hyperlink xmlns:r="http://schemas.openxmlformats.org/officeDocument/2006/relationships" ref="R590" display="https://www.instagram.com/wiseworld.ai/https:/www.instagram.com/wiseworld.ai/" r:id="rId1896"/>
    <hyperlink xmlns:r="http://schemas.openxmlformats.org/officeDocument/2006/relationships" ref="S590" display="https://twitter.com/WiseWorldai" r:id="rId1897"/>
    <hyperlink xmlns:r="http://schemas.openxmlformats.org/officeDocument/2006/relationships" ref="T590" display="https://www.linkedin.com/company/wiseworld-ai/https:/www.linkedin.com/company/wiseworld-ai/" r:id="rId1898"/>
    <hyperlink xmlns:r="http://schemas.openxmlformats.org/officeDocument/2006/relationships" ref="Y590" display="https://drive.google.com/uc?export=view&amp;id=1nTYiN92m_rGp20blGt8OL5ICLbcw6cPQ" r:id="rId1899"/>
    <hyperlink xmlns:r="http://schemas.openxmlformats.org/officeDocument/2006/relationships" ref="E591" display="http://www.gamifactory.eu/" r:id="rId1900"/>
    <hyperlink xmlns:r="http://schemas.openxmlformats.org/officeDocument/2006/relationships" ref="R591" display="https://www.instagram.com/impactgames.eu/" r:id="rId1901"/>
    <hyperlink xmlns:r="http://schemas.openxmlformats.org/officeDocument/2006/relationships" ref="T591" display="https://www.linkedin.com/company/42421041/admin/feed/posts/" r:id="rId1902"/>
    <hyperlink xmlns:r="http://schemas.openxmlformats.org/officeDocument/2006/relationships" ref="Y591" display="https://drive.google.com/uc?export=view&amp;id=1kKC8hcHFRafq_3rfBAmdsG6vsr1Ltr1y" r:id="rId1903"/>
    <hyperlink xmlns:r="http://schemas.openxmlformats.org/officeDocument/2006/relationships" ref="E592" display="http://www.emprendeconmigo.com/" r:id="rId1904"/>
    <hyperlink xmlns:r="http://schemas.openxmlformats.org/officeDocument/2006/relationships" ref="T592" display="https://www.linkedin.com/in/gina-de-echeona/" r:id="rId1905"/>
    <hyperlink xmlns:r="http://schemas.openxmlformats.org/officeDocument/2006/relationships" ref="Y592" display="https://drive.google.com/uc?export=view&amp;id=1X8M1f_HbLIdGLVVKo8ItjlgmjBwOGZTP" r:id="rId1906"/>
    <hyperlink xmlns:r="http://schemas.openxmlformats.org/officeDocument/2006/relationships" ref="E593" display="http://www.meloom.com/" r:id="rId1907"/>
    <hyperlink xmlns:r="http://schemas.openxmlformats.org/officeDocument/2006/relationships" ref="R593" display="https://www.instagram.com/meloom_music/?hl=es" r:id="rId1908"/>
    <hyperlink xmlns:r="http://schemas.openxmlformats.org/officeDocument/2006/relationships" ref="S593" display="https://twitter.com/Meloom_Music" r:id="rId1909"/>
    <hyperlink xmlns:r="http://schemas.openxmlformats.org/officeDocument/2006/relationships" ref="T593" display="https://www.linkedin.com/company/meloom/" r:id="rId1910"/>
    <hyperlink xmlns:r="http://schemas.openxmlformats.org/officeDocument/2006/relationships" ref="Y593" display="https://drive.google.com/uc?export=view&amp;id=1hqKNKXvhuQ-Bk2k-IB0UJITIKWAmQ6vu" r:id="rId1911"/>
    <hyperlink xmlns:r="http://schemas.openxmlformats.org/officeDocument/2006/relationships" ref="E594" display="https://www.mastercole.com/" r:id="rId1912"/>
    <hyperlink xmlns:r="http://schemas.openxmlformats.org/officeDocument/2006/relationships" ref="R594" display="https://www.instagram.com/mastercoleoficial/" r:id="rId1913"/>
    <hyperlink xmlns:r="http://schemas.openxmlformats.org/officeDocument/2006/relationships" ref="S594" display="https://twitter.com/somosmastercole" r:id="rId1914"/>
    <hyperlink xmlns:r="http://schemas.openxmlformats.org/officeDocument/2006/relationships" ref="T594" display="https://www.linkedin.com/company/MASTERCOLE" r:id="rId1915"/>
    <hyperlink xmlns:r="http://schemas.openxmlformats.org/officeDocument/2006/relationships" ref="Y594" display="https://drive.google.com/uc?export=view&amp;id=14N9eZ1U4sXMwL7AeoH3m3lAhZpN26DDi" r:id="rId1916"/>
    <hyperlink xmlns:r="http://schemas.openxmlformats.org/officeDocument/2006/relationships" ref="E595" display="https://denglischdocs.com/" r:id="rId1917"/>
    <hyperlink xmlns:r="http://schemas.openxmlformats.org/officeDocument/2006/relationships" ref="R595" display="https://www.instagram.com/denglisch_docs/" r:id="rId1918"/>
    <hyperlink xmlns:r="http://schemas.openxmlformats.org/officeDocument/2006/relationships" ref="S595" display="https://twitter.com/Denglisch_Docs" r:id="rId1919"/>
    <hyperlink xmlns:r="http://schemas.openxmlformats.org/officeDocument/2006/relationships" ref="T595" display="https://de.linkedin.com/company/denglisch-docs" r:id="rId1920"/>
    <hyperlink xmlns:r="http://schemas.openxmlformats.org/officeDocument/2006/relationships" ref="Y595" display="https://drive.google.com/uc?export=view&amp;id=14ybFmUcamVYKavEBHkvH79pIvT4zgTZn" r:id="rId1921"/>
    <hyperlink xmlns:r="http://schemas.openxmlformats.org/officeDocument/2006/relationships" ref="E596" display="https://www.matharena.net/" r:id="rId1922"/>
    <hyperlink xmlns:r="http://schemas.openxmlformats.org/officeDocument/2006/relationships" ref="R596" display="https://www.instagram.com/mathearena/?hl=de" r:id="rId1923"/>
    <hyperlink xmlns:r="http://schemas.openxmlformats.org/officeDocument/2006/relationships" ref="T596" display="https://www.linkedin.com/company/mathearena" r:id="rId1924"/>
    <hyperlink xmlns:r="http://schemas.openxmlformats.org/officeDocument/2006/relationships" ref="Y596" display="https://drive.google.com/uc?export=view&amp;id=1UTiovnQvPEPyUN3vBn7jZGxixPzyXgdf" r:id="rId1925"/>
    <hyperlink xmlns:r="http://schemas.openxmlformats.org/officeDocument/2006/relationships" ref="E597" display="http://www.cogniti.es/" r:id="rId1926"/>
    <hyperlink xmlns:r="http://schemas.openxmlformats.org/officeDocument/2006/relationships" ref="R597" display="https://www.instagram.com/cognitiapp/" r:id="rId1927"/>
    <hyperlink xmlns:r="http://schemas.openxmlformats.org/officeDocument/2006/relationships" ref="T597" display="https://www.linkedin.com/company/cognitiapp/" r:id="rId1928"/>
    <hyperlink xmlns:r="http://schemas.openxmlformats.org/officeDocument/2006/relationships" ref="Y597" display="https://drive.google.com/uc?export=view&amp;id=1GXC8eV_96hzpnv7j6dseBuU7CLlU9CnO" r:id="rId1929"/>
    <hyperlink xmlns:r="http://schemas.openxmlformats.org/officeDocument/2006/relationships" ref="D598" display="http://lernpfad.ch/" r:id="rId1930"/>
    <hyperlink xmlns:r="http://schemas.openxmlformats.org/officeDocument/2006/relationships" ref="E598" display="https://www.lernpfad.ch/" r:id="rId1931"/>
    <hyperlink xmlns:r="http://schemas.openxmlformats.org/officeDocument/2006/relationships" ref="R598" display="https://www.instagram.com/lernpfad/" r:id="rId1932"/>
    <hyperlink xmlns:r="http://schemas.openxmlformats.org/officeDocument/2006/relationships" ref="S598" display="https://twitter.com/lernpfad" r:id="rId1933"/>
    <hyperlink xmlns:r="http://schemas.openxmlformats.org/officeDocument/2006/relationships" ref="T598" display="https://www.linkedin.com/company/lernpfad/" r:id="rId1934"/>
    <hyperlink xmlns:r="http://schemas.openxmlformats.org/officeDocument/2006/relationships" ref="U598" display="http://lernpfad.ch/" r:id="rId1935"/>
    <hyperlink xmlns:r="http://schemas.openxmlformats.org/officeDocument/2006/relationships" ref="Y598" display="https://drive.google.com/uc?export=view&amp;id=1E2fm98KxIYHWBwdTwObKIuZB7WT-_06E" r:id="rId1936"/>
    <hyperlink xmlns:r="http://schemas.openxmlformats.org/officeDocument/2006/relationships" ref="E599" display="https://www.esinstitute.com/" r:id="rId1937"/>
    <hyperlink xmlns:r="http://schemas.openxmlformats.org/officeDocument/2006/relationships" ref="T599" display="https://www.linkedin.com/company/esinstitute/mycompany/?viewAsMember=true" r:id="rId1938"/>
    <hyperlink xmlns:r="http://schemas.openxmlformats.org/officeDocument/2006/relationships" ref="Y599" display="https://drive.google.com/uc?export=view&amp;id=1lA79senTrE-MZtML_Bm0JgmdTJdGmE5D" r:id="rId1939"/>
    <hyperlink xmlns:r="http://schemas.openxmlformats.org/officeDocument/2006/relationships" ref="D600" display="http://elai.io/" r:id="rId1940"/>
    <hyperlink xmlns:r="http://schemas.openxmlformats.org/officeDocument/2006/relationships" ref="E600" display="https://elai.io/" r:id="rId1941"/>
    <hyperlink xmlns:r="http://schemas.openxmlformats.org/officeDocument/2006/relationships" ref="T600" display="https://www.linkedin.com/company/elai-io" r:id="rId1942"/>
    <hyperlink xmlns:r="http://schemas.openxmlformats.org/officeDocument/2006/relationships" ref="Y600" display="https://drive.google.com/uc?export=view&amp;id=1OlbOgo5DYZoMunuUDmP7aNKEISqJWBtN" r:id="rId1943"/>
    <hyperlink xmlns:r="http://schemas.openxmlformats.org/officeDocument/2006/relationships" ref="E601" display="http://www.askiraski.dk/" r:id="rId1944"/>
    <hyperlink xmlns:r="http://schemas.openxmlformats.org/officeDocument/2006/relationships" ref="R601" display="https://www.instagram.com/askiraskidanmark/" r:id="rId1945"/>
    <hyperlink xmlns:r="http://schemas.openxmlformats.org/officeDocument/2006/relationships" ref="T601" display="https://www.linkedin.com/company/aski-raski-danmark-aps/" r:id="rId1946"/>
    <hyperlink xmlns:r="http://schemas.openxmlformats.org/officeDocument/2006/relationships" ref="Y601" display="https://drive.google.com/uc?export=view&amp;id=1_rAjfXUw-ld9XLKhEysP7U2piYRmNEvX" r:id="rId1947"/>
    <hyperlink xmlns:r="http://schemas.openxmlformats.org/officeDocument/2006/relationships" ref="E602" display="https://grammazzle.com/" r:id="rId1948"/>
    <hyperlink xmlns:r="http://schemas.openxmlformats.org/officeDocument/2006/relationships" ref="R602" display="https://www.instagram.com/Grammazzle/" r:id="rId1949"/>
    <hyperlink xmlns:r="http://schemas.openxmlformats.org/officeDocument/2006/relationships" ref="S602" display="https://twitter.com/grammazzle?lang=es" r:id="rId1950"/>
    <hyperlink xmlns:r="http://schemas.openxmlformats.org/officeDocument/2006/relationships" ref="T602" display="https://www.linkedin.com/company/grammazzle/" r:id="rId1951"/>
    <hyperlink xmlns:r="http://schemas.openxmlformats.org/officeDocument/2006/relationships" ref="Y602" display="https://drive.google.com/uc?export=view&amp;id=1cc1iOybicJoPeXRCXWAhvoc1GmvXkdki" r:id="rId1952"/>
    <hyperlink xmlns:r="http://schemas.openxmlformats.org/officeDocument/2006/relationships" ref="D603" display="http://mytalents.ai/" r:id="rId1953"/>
    <hyperlink xmlns:r="http://schemas.openxmlformats.org/officeDocument/2006/relationships" ref="E603" display="http://mytalents.ai/" r:id="rId1954"/>
    <hyperlink xmlns:r="http://schemas.openxmlformats.org/officeDocument/2006/relationships" ref="R603" display="http://mytalents.ai/" r:id="rId1955"/>
    <hyperlink xmlns:r="http://schemas.openxmlformats.org/officeDocument/2006/relationships" ref="T603" display="https://www.linkedin.com/company/mytalents-ai" r:id="rId1956"/>
    <hyperlink xmlns:r="http://schemas.openxmlformats.org/officeDocument/2006/relationships" ref="Y603" display="https://drive.google.com/uc?export=view&amp;id=1hHmh0ZAqsmkrl_JGY-3IFzOcXoOQEGWZ" r:id="rId1957"/>
    <hyperlink xmlns:r="http://schemas.openxmlformats.org/officeDocument/2006/relationships" ref="E604" display="https://startuplab.neoma-bs.fr/en/neoma-edtech-accelerator-2/" r:id="rId1958"/>
    <hyperlink xmlns:r="http://schemas.openxmlformats.org/officeDocument/2006/relationships" ref="T604" display="https://www.linkedin.com/company/neoma-edtech-accelerator/?viewAsMember=true" r:id="rId1959"/>
    <hyperlink xmlns:r="http://schemas.openxmlformats.org/officeDocument/2006/relationships" ref="Y604" display="https://drive.google.com/uc?export=view&amp;id=1serLgfS6N9E9FZvvKCVWomBohU_V92xC" r:id="rId1960"/>
    <hyperlink xmlns:r="http://schemas.openxmlformats.org/officeDocument/2006/relationships" ref="E605" display="https://brainspro.com/" r:id="rId1961"/>
    <hyperlink xmlns:r="http://schemas.openxmlformats.org/officeDocument/2006/relationships" ref="R605" display="https://www.instagram.com/brainsprocom" r:id="rId1962"/>
    <hyperlink xmlns:r="http://schemas.openxmlformats.org/officeDocument/2006/relationships" ref="S605" display="https://www.twitter.com/brainspro" r:id="rId1963"/>
    <hyperlink xmlns:r="http://schemas.openxmlformats.org/officeDocument/2006/relationships" ref="T605" display="https://www.linkedin.com/company/brainspro" r:id="rId1964"/>
    <hyperlink xmlns:r="http://schemas.openxmlformats.org/officeDocument/2006/relationships" ref="Y605" display="https://drive.google.com/uc?export=view&amp;id=1LhjpUsyd9K5Ng6bmSdbemsFPUEa4HvYe" r:id="rId1965"/>
    <hyperlink xmlns:r="http://schemas.openxmlformats.org/officeDocument/2006/relationships" ref="E606" display="https://founderz.com/" r:id="rId1966"/>
    <hyperlink xmlns:r="http://schemas.openxmlformats.org/officeDocument/2006/relationships" ref="R606" display="https://www.instagram.com/founderzschool/" r:id="rId1967"/>
    <hyperlink xmlns:r="http://schemas.openxmlformats.org/officeDocument/2006/relationships" ref="S606" display="https://twitter.com/founderz" r:id="rId1968"/>
    <hyperlink xmlns:r="http://schemas.openxmlformats.org/officeDocument/2006/relationships" ref="T606" display="https://www.linkedin.com/school/founderz-digital-business-school/" r:id="rId1969"/>
    <hyperlink xmlns:r="http://schemas.openxmlformats.org/officeDocument/2006/relationships" ref="Y606" display="https://drive.google.com/uc?export=view&amp;id=1adVZVlafUKvZZkGM-TCOiL1K-iP-EWw7" r:id="rId1970"/>
    <hyperlink xmlns:r="http://schemas.openxmlformats.org/officeDocument/2006/relationships" ref="E607" display="http://www.learnio.eu/" r:id="rId1971"/>
    <hyperlink xmlns:r="http://schemas.openxmlformats.org/officeDocument/2006/relationships" ref="R607" display="https://www.instagram.com/learnio.eu/" r:id="rId1972"/>
    <hyperlink xmlns:r="http://schemas.openxmlformats.org/officeDocument/2006/relationships" ref="T607" display="http://www.linkedin.com/company/learniodigitalskills" r:id="rId1973"/>
    <hyperlink xmlns:r="http://schemas.openxmlformats.org/officeDocument/2006/relationships" ref="Y607" display="https://drive.google.com/uc?export=view&amp;id=172JXXOZAZS7K_0KwHWz0-O_GhuasXhjq" r:id="rId1974"/>
    <hyperlink xmlns:r="http://schemas.openxmlformats.org/officeDocument/2006/relationships" ref="E608" display="http://www.neurekalab.com/" r:id="rId1975"/>
    <hyperlink xmlns:r="http://schemas.openxmlformats.org/officeDocument/2006/relationships" ref="R608" display="https://www.instagram.com/neurekalab_es/" r:id="rId1976"/>
    <hyperlink xmlns:r="http://schemas.openxmlformats.org/officeDocument/2006/relationships" ref="S608" display="https://twitter.com/neurekalab_es" r:id="rId1977"/>
    <hyperlink xmlns:r="http://schemas.openxmlformats.org/officeDocument/2006/relationships" ref="T608" display="https://www.linkedin.com/company/neurekalab" r:id="rId1978"/>
    <hyperlink xmlns:r="http://schemas.openxmlformats.org/officeDocument/2006/relationships" ref="Y608" display="https://drive.google.com/uc?export=view&amp;id=1xakJDkEhu7G25MGiUycwzkVbld1CWtG2" r:id="rId1979"/>
    <hyperlink xmlns:r="http://schemas.openxmlformats.org/officeDocument/2006/relationships" ref="E609" display="https://oxinity.com/" r:id="rId1980"/>
    <hyperlink xmlns:r="http://schemas.openxmlformats.org/officeDocument/2006/relationships" ref="R609" display="https://www.instagram.com/oxinitycom/" r:id="rId1981"/>
    <hyperlink xmlns:r="http://schemas.openxmlformats.org/officeDocument/2006/relationships" ref="S609" display="https://twitter.com/OxinityCom" r:id="rId1982"/>
    <hyperlink xmlns:r="http://schemas.openxmlformats.org/officeDocument/2006/relationships" ref="T609" display="https://www.linkedin.com/company/oxinity" r:id="rId1983"/>
    <hyperlink xmlns:r="http://schemas.openxmlformats.org/officeDocument/2006/relationships" ref="Y609" display="https://drive.google.com/uc?export=view&amp;id=1ESeX3-vOPt_yAa__kuPHBChZ-rWofShp" r:id="rId1984"/>
    <hyperlink xmlns:r="http://schemas.openxmlformats.org/officeDocument/2006/relationships" ref="E610" display="https://zukunft-digitale-bildung.de/" r:id="rId1985"/>
    <hyperlink xmlns:r="http://schemas.openxmlformats.org/officeDocument/2006/relationships" ref="T610" display="https://www.linkedin.com/company/67175440/admin/feed/posts/" r:id="rId1986"/>
    <hyperlink xmlns:r="http://schemas.openxmlformats.org/officeDocument/2006/relationships" ref="Y610" display="https://drive.google.com/uc?export=view&amp;id=1o6WJVUinuKNMp5HuKnvUk3x-2--MkI0D" r:id="rId1987"/>
    <hyperlink xmlns:r="http://schemas.openxmlformats.org/officeDocument/2006/relationships" ref="E611" display="http://www.meitner.se/" r:id="rId1988"/>
    <hyperlink xmlns:r="http://schemas.openxmlformats.org/officeDocument/2006/relationships" ref="R611" display="http://meitner.se/" r:id="rId1989"/>
    <hyperlink xmlns:r="http://schemas.openxmlformats.org/officeDocument/2006/relationships" ref="T611" display="https://www.linkedin.com/company/74203088/admin/" r:id="rId1990"/>
    <hyperlink xmlns:r="http://schemas.openxmlformats.org/officeDocument/2006/relationships" ref="Y611" display="https://drive.google.com/uc?export=view&amp;id=1FivRUs-pq3vnt4jLd4OEAH4YQUl8rLEP" r:id="rId1991"/>
    <hyperlink xmlns:r="http://schemas.openxmlformats.org/officeDocument/2006/relationships" ref="D612" display="http://uugot.it/" r:id="rId1992"/>
    <hyperlink xmlns:r="http://schemas.openxmlformats.org/officeDocument/2006/relationships" ref="E612" display="http://www.uugot.it/" r:id="rId1993"/>
    <hyperlink xmlns:r="http://schemas.openxmlformats.org/officeDocument/2006/relationships" ref="S612" display="https://twitter.com/uugot_it" r:id="rId1994"/>
    <hyperlink xmlns:r="http://schemas.openxmlformats.org/officeDocument/2006/relationships" ref="T612" display="https://www.linkedin.com/company/uugot-it" r:id="rId1995"/>
    <hyperlink xmlns:r="http://schemas.openxmlformats.org/officeDocument/2006/relationships" ref="Y612" display="https://drive.google.com/uc?export=view&amp;id=1dx_lckXUR1DsidocERH5VR2EGbz4X4Z_" r:id="rId1996"/>
    <hyperlink xmlns:r="http://schemas.openxmlformats.org/officeDocument/2006/relationships" ref="E613" display="https://captic.io/" r:id="rId1997"/>
    <hyperlink xmlns:r="http://schemas.openxmlformats.org/officeDocument/2006/relationships" ref="S613" display="https://twitter.com/capticio" r:id="rId1998"/>
    <hyperlink xmlns:r="http://schemas.openxmlformats.org/officeDocument/2006/relationships" ref="T613" display="https://www.linkedin.com/company/captic-io" r:id="rId1999"/>
    <hyperlink xmlns:r="http://schemas.openxmlformats.org/officeDocument/2006/relationships" ref="Y613" display="https://drive.google.com/uc?export=view&amp;id=1UIdTm3wOI0rbYT_a7-SBPrcJUJ301zqg" r:id="rId2000"/>
    <hyperlink xmlns:r="http://schemas.openxmlformats.org/officeDocument/2006/relationships" ref="E614" display="https://www.classonlive.com/" r:id="rId2001"/>
    <hyperlink xmlns:r="http://schemas.openxmlformats.org/officeDocument/2006/relationships" ref="Y614" display="https://drive.google.com/uc?export=view&amp;id=17O8dhZxFJRSBOTONVTlo-SX6T-0fQnn6" r:id="rId2002"/>
    <hyperlink xmlns:r="http://schemas.openxmlformats.org/officeDocument/2006/relationships" ref="E615" display="https://epapa.eu/" r:id="rId2003"/>
    <hyperlink xmlns:r="http://schemas.openxmlformats.org/officeDocument/2006/relationships" ref="T615" display="https://www.linkedin.com/company/epapa/" r:id="rId2004"/>
    <hyperlink xmlns:r="http://schemas.openxmlformats.org/officeDocument/2006/relationships" ref="Y615" display="https://drive.google.com/uc?export=view&amp;id=1XaN7DHKFzLqIUITkp73VnVPIW52ECw50" r:id="rId2005"/>
    <hyperlink xmlns:r="http://schemas.openxmlformats.org/officeDocument/2006/relationships" ref="E616" display="http://www.lingokids.com/" r:id="rId2006"/>
    <hyperlink xmlns:r="http://schemas.openxmlformats.org/officeDocument/2006/relationships" ref="R616" display="https://www.instagram.com/lingokids/?hl=en" r:id="rId2007"/>
    <hyperlink xmlns:r="http://schemas.openxmlformats.org/officeDocument/2006/relationships" ref="T616" display="https://www.linkedin.com/company/lingokids/mycompany/verification/" r:id="rId2008"/>
    <hyperlink xmlns:r="http://schemas.openxmlformats.org/officeDocument/2006/relationships" ref="Y616" display="https://drive.google.com/uc?export=view&amp;id=1VxVY4aXtzo3qAkwZ1wOOTaAtkt-nKHxe" r:id="rId2009"/>
    <hyperlink xmlns:r="http://schemas.openxmlformats.org/officeDocument/2006/relationships" ref="E617" display="http://www.stellia.ai/" r:id="rId2010"/>
    <hyperlink xmlns:r="http://schemas.openxmlformats.org/officeDocument/2006/relationships" ref="T617" display="https://www.linkedin.com/company/professorbob/mycompany/" r:id="rId2011"/>
    <hyperlink xmlns:r="http://schemas.openxmlformats.org/officeDocument/2006/relationships" ref="E618" display="http://www.coesu.com/" r:id="rId2012"/>
    <hyperlink xmlns:r="http://schemas.openxmlformats.org/officeDocument/2006/relationships" ref="T618" display="https://www.linkedin.com/company/10259262/admin/feed/posts/" r:id="rId2013"/>
    <hyperlink xmlns:r="http://schemas.openxmlformats.org/officeDocument/2006/relationships" ref="Y618" display="https://drive.google.com/uc?export=view&amp;id=1HePMm4aDs6jCUiZKnCGGLNFO0Gm4b_Vu" r:id="rId2014"/>
    <hyperlink xmlns:r="http://schemas.openxmlformats.org/officeDocument/2006/relationships" ref="E619" display="https://maeducationusa.com/" r:id="rId2015"/>
    <hyperlink xmlns:r="http://schemas.openxmlformats.org/officeDocument/2006/relationships" ref="R619" display="https://www.instagram.com/mae.sports/" r:id="rId2016"/>
    <hyperlink xmlns:r="http://schemas.openxmlformats.org/officeDocument/2006/relationships" ref="T619" display="https://es.linkedin.com/company/mae-sports-education" r:id="rId2017"/>
    <hyperlink xmlns:r="http://schemas.openxmlformats.org/officeDocument/2006/relationships" ref="Y619" display="https://drive.google.com/uc?export=view&amp;id=1ojkGYtbsHwKUPyST4-O9rlL6-NgEPd3L" r:id="rId2018"/>
    <hyperlink xmlns:r="http://schemas.openxmlformats.org/officeDocument/2006/relationships" ref="E620" display="https://www.novelingo.com/" r:id="rId2019"/>
    <hyperlink xmlns:r="http://schemas.openxmlformats.org/officeDocument/2006/relationships" ref="S620" display="https://twitter.com/novelingo" r:id="rId2020"/>
    <hyperlink xmlns:r="http://schemas.openxmlformats.org/officeDocument/2006/relationships" ref="T620" display="https://www.linkedin.com/company/novelingo" r:id="rId2021"/>
    <hyperlink xmlns:r="http://schemas.openxmlformats.org/officeDocument/2006/relationships" ref="Y620" display="https://drive.google.com/uc?export=view&amp;id=1fwe-91vK9KC-CkHvXb3vGD0469byOpsc" r:id="rId2022"/>
    <hyperlink xmlns:r="http://schemas.openxmlformats.org/officeDocument/2006/relationships" ref="E621" display="http://www.edpuzzle.com/" r:id="rId2023"/>
    <hyperlink xmlns:r="http://schemas.openxmlformats.org/officeDocument/2006/relationships" ref="R621" display="https://www.instagram.com/edpuzzle/" r:id="rId2024"/>
    <hyperlink xmlns:r="http://schemas.openxmlformats.org/officeDocument/2006/relationships" ref="S621" display="https://twitter.com/edpuzzle" r:id="rId2025"/>
    <hyperlink xmlns:r="http://schemas.openxmlformats.org/officeDocument/2006/relationships" ref="T621" display="https://www.linkedin.com/company/edpuzzle-inc-" r:id="rId2026"/>
    <hyperlink xmlns:r="http://schemas.openxmlformats.org/officeDocument/2006/relationships" ref="E622" display="https://sciado.fr/dynamic-learning-solutions/" r:id="rId2027"/>
    <hyperlink xmlns:r="http://schemas.openxmlformats.org/officeDocument/2006/relationships" ref="R622" display="https://www.instagram.com/sciadop/" r:id="rId2028"/>
    <hyperlink xmlns:r="http://schemas.openxmlformats.org/officeDocument/2006/relationships" ref="S622" display="https://twitter.com/SciadoP" r:id="rId2029"/>
    <hyperlink xmlns:r="http://schemas.openxmlformats.org/officeDocument/2006/relationships" ref="T622" display="https://www.linkedin.com/company/22344441/admin/" r:id="rId2030"/>
    <hyperlink xmlns:r="http://schemas.openxmlformats.org/officeDocument/2006/relationships" ref="Y622" display="https://drive.google.com/uc?export=view&amp;id=1Sb0BOCYGyjexIsrhcug4FVFrNFZEH6dH" r:id="rId2031"/>
    <hyperlink xmlns:r="http://schemas.openxmlformats.org/officeDocument/2006/relationships" ref="E623" display="https://www.beegup.com/" r:id="rId2032"/>
    <hyperlink xmlns:r="http://schemas.openxmlformats.org/officeDocument/2006/relationships" ref="R623" display="https://instagram.com/beegupeducation?igshid=MzRlODBiNWFlZA==" r:id="rId2033"/>
    <hyperlink xmlns:r="http://schemas.openxmlformats.org/officeDocument/2006/relationships" ref="T623" display="https://www.linkedin.com/company/beegup/" r:id="rId2034"/>
    <hyperlink xmlns:r="http://schemas.openxmlformats.org/officeDocument/2006/relationships" ref="Y623" display="https://drive.google.com/uc?export=view&amp;id=1OW2Y8oU09F4R2YkCzqXBauMNCWu4mX6a" r:id="rId2035"/>
    <hyperlink xmlns:r="http://schemas.openxmlformats.org/officeDocument/2006/relationships" ref="E624" display="https://discover.innovamat.com/" r:id="rId2036"/>
    <hyperlink xmlns:r="http://schemas.openxmlformats.org/officeDocument/2006/relationships" ref="R624" display="https://www.instagram.com/innovamat_es/?hl=en" r:id="rId2037"/>
    <hyperlink xmlns:r="http://schemas.openxmlformats.org/officeDocument/2006/relationships" ref="S624" display="https://twitter.com/innovamat_es?lang=en" r:id="rId2038"/>
    <hyperlink xmlns:r="http://schemas.openxmlformats.org/officeDocument/2006/relationships" ref="T624" display="https://www.linkedin.com/company/innovamat-education/" r:id="rId2039"/>
    <hyperlink xmlns:r="http://schemas.openxmlformats.org/officeDocument/2006/relationships" ref="Y624" display="https://drive.google.com/uc?export=view&amp;id=1mK3f17BYc7PeRzkU_do1YmDskzzM95sS" r:id="rId2040"/>
    <hyperlink xmlns:r="http://schemas.openxmlformats.org/officeDocument/2006/relationships" ref="E625" display="https://www.happinessplay.com/" r:id="rId2041"/>
    <hyperlink xmlns:r="http://schemas.openxmlformats.org/officeDocument/2006/relationships" ref="R625" display="https://www.instagram.com/Happiness_Play/" r:id="rId2042"/>
    <hyperlink xmlns:r="http://schemas.openxmlformats.org/officeDocument/2006/relationships" ref="S625" display="https://twitter.com/autocoaching" r:id="rId2043"/>
    <hyperlink xmlns:r="http://schemas.openxmlformats.org/officeDocument/2006/relationships" ref="T625" display="http://www.linkedin.com/company/autocoaching" r:id="rId2044"/>
    <hyperlink xmlns:r="http://schemas.openxmlformats.org/officeDocument/2006/relationships" ref="Y625" display="https://drive.google.com/uc?export=view&amp;id=1rl_tBauPeclAN9Phi_XPiRRuu5w5VZUR" r:id="rId2045"/>
    <hyperlink xmlns:r="http://schemas.openxmlformats.org/officeDocument/2006/relationships" ref="E626" display="https://eedi.com/" r:id="rId2046"/>
    <hyperlink xmlns:r="http://schemas.openxmlformats.org/officeDocument/2006/relationships" ref="S626" display="https://twitter.com/helloeedi" r:id="rId2047"/>
    <hyperlink xmlns:r="http://schemas.openxmlformats.org/officeDocument/2006/relationships" ref="T626" display="https://uk.linkedin.com/company/eedi" r:id="rId2048"/>
    <hyperlink xmlns:r="http://schemas.openxmlformats.org/officeDocument/2006/relationships" ref="Y626" display="https://drive.google.com/uc?export=view&amp;id=1sfchL9URJosLfHDrANZvCUD_IiEeRVby" r:id="rId2049"/>
    <hyperlink xmlns:r="http://schemas.openxmlformats.org/officeDocument/2006/relationships" ref="E627" display="http://www.beebio.net/" r:id="rId2050"/>
    <hyperlink xmlns:r="http://schemas.openxmlformats.org/officeDocument/2006/relationships" ref="T627" display="https://www.linkedin.com/company/beebioedtech" r:id="rId2051"/>
    <hyperlink xmlns:r="http://schemas.openxmlformats.org/officeDocument/2006/relationships" ref="Y627" display="https://drive.google.com/uc?export=view&amp;id=1AzL4RFquWwq0r2QKTUhXXGkmyF8eabZq" r:id="rId2052"/>
    <hyperlink xmlns:r="http://schemas.openxmlformats.org/officeDocument/2006/relationships" ref="E628" display="http://www.wooclap.com/" r:id="rId2053"/>
    <hyperlink xmlns:r="http://schemas.openxmlformats.org/officeDocument/2006/relationships" ref="S628" display="https://twitter.com/wooclap" r:id="rId2054"/>
    <hyperlink xmlns:r="http://schemas.openxmlformats.org/officeDocument/2006/relationships" ref="T628" display="https://www.linkedin.com/company/9264419/" r:id="rId2055"/>
    <hyperlink xmlns:r="http://schemas.openxmlformats.org/officeDocument/2006/relationships" ref="Y628" display="https://drive.google.com/uc?export=view&amp;id=14xsZpMhFz5HIdqALWh4fin1it2tDFCHe" r:id="rId2056"/>
    <hyperlink xmlns:r="http://schemas.openxmlformats.org/officeDocument/2006/relationships" ref="E629" display="https://schoolwiselearning.com/" r:id="rId2057"/>
    <hyperlink xmlns:r="http://schemas.openxmlformats.org/officeDocument/2006/relationships" ref="S629" display="https://twitter.com/myschoolwise" r:id="rId2058"/>
    <hyperlink xmlns:r="http://schemas.openxmlformats.org/officeDocument/2006/relationships" ref="T629" display="https://ie.linkedin.com/company/schoolwise-learning" r:id="rId2059"/>
    <hyperlink xmlns:r="http://schemas.openxmlformats.org/officeDocument/2006/relationships" ref="Y629" display="https://drive.google.com/uc?export=view&amp;id=1AH-7Fz6Q2PulHsALLcq69jlzYAz0u0CO" r:id="rId2060"/>
    <hyperlink xmlns:r="http://schemas.openxmlformats.org/officeDocument/2006/relationships" ref="E630" display="https://www.recursosparaclase.es/" r:id="rId2061"/>
    <hyperlink xmlns:r="http://schemas.openxmlformats.org/officeDocument/2006/relationships" ref="Y630" display="https://drive.google.com/uc?export=view&amp;id=1_WJVPwCEfn9_b1KBqpRu0WdnHfFhpdcy" r:id="rId2062"/>
    <hyperlink xmlns:r="http://schemas.openxmlformats.org/officeDocument/2006/relationships" ref="E631" display="https://www.i3-technologies.com/" r:id="rId2063"/>
    <hyperlink xmlns:r="http://schemas.openxmlformats.org/officeDocument/2006/relationships" ref="R631" display="https://www.instagram.com/i3_technologies/" r:id="rId2064"/>
    <hyperlink xmlns:r="http://schemas.openxmlformats.org/officeDocument/2006/relationships" ref="S631" display="https://twitter.com/i3_Technologies" r:id="rId2065"/>
    <hyperlink xmlns:r="http://schemas.openxmlformats.org/officeDocument/2006/relationships" ref="T631" display="https://www.linkedin.com/company/i3technologies/" r:id="rId2066"/>
    <hyperlink xmlns:r="http://schemas.openxmlformats.org/officeDocument/2006/relationships" ref="Y631" display="https://drive.google.com/uc?export=view&amp;id=1Pe0hOpqbgIVtAn_UgEDZlTn2OwWjclaV" r:id="rId2067"/>
    <hyperlink xmlns:r="http://schemas.openxmlformats.org/officeDocument/2006/relationships" ref="E632" display="https://www.eduka.lt/" r:id="rId2068"/>
    <hyperlink xmlns:r="http://schemas.openxmlformats.org/officeDocument/2006/relationships" ref="T632" display="https://www.linkedin.com/company/edukaklase/" r:id="rId2069"/>
    <hyperlink xmlns:r="http://schemas.openxmlformats.org/officeDocument/2006/relationships" ref="Y632" display="https://drive.google.com/uc?export=view&amp;id=1b_l9fhrsngwomSImaSF0QBdkymxplvKL" r:id="rId2070"/>
    <hyperlink xmlns:r="http://schemas.openxmlformats.org/officeDocument/2006/relationships" ref="E633" display="https://www.tamo.lt/" r:id="rId2071"/>
    <hyperlink xmlns:r="http://schemas.openxmlformats.org/officeDocument/2006/relationships" ref="T633" display="https://www.linkedin.com/company/tavomokykla/mycompany/" r:id="rId2072"/>
    <hyperlink xmlns:r="http://schemas.openxmlformats.org/officeDocument/2006/relationships" ref="Y633" display="https://drive.google.com/uc?export=view&amp;id=18f5iXiZTC0A-9NkJpV8Jn79GG5BMY8UB" r:id="rId2073"/>
    <hyperlink xmlns:r="http://schemas.openxmlformats.org/officeDocument/2006/relationships" ref="E634" display="http://joinhyphen.com/" r:id="rId2074"/>
    <hyperlink xmlns:r="http://schemas.openxmlformats.org/officeDocument/2006/relationships" ref="T634" display="https://www.linkedin.com/school/hyphen-/" r:id="rId2075"/>
    <hyperlink xmlns:r="http://schemas.openxmlformats.org/officeDocument/2006/relationships" ref="Y634" display="https://drive.google.com/uc?export=view&amp;id=1GbGSJXYGnVVsRV7oLEy9LuXjy_X_DVOJ" r:id="rId2076"/>
    <hyperlink xmlns:r="http://schemas.openxmlformats.org/officeDocument/2006/relationships" ref="E635" display="http://www.academator.com/" r:id="rId2077"/>
    <hyperlink xmlns:r="http://schemas.openxmlformats.org/officeDocument/2006/relationships" ref="T635" display="https://www.linkedin.com/company/academator" r:id="rId2078"/>
    <hyperlink xmlns:r="http://schemas.openxmlformats.org/officeDocument/2006/relationships" ref="Y635" display="https://drive.google.com/uc?export=view&amp;id=1Ihmme8abNtP_d_j5O3LTsGs0F49dWOX2" r:id="rId2079"/>
    <hyperlink xmlns:r="http://schemas.openxmlformats.org/officeDocument/2006/relationships" ref="E636" display="https://projectset.com/" r:id="rId2080"/>
    <hyperlink xmlns:r="http://schemas.openxmlformats.org/officeDocument/2006/relationships" ref="R636" display="https://www.instagram.com/project.set/" r:id="rId2081"/>
    <hyperlink xmlns:r="http://schemas.openxmlformats.org/officeDocument/2006/relationships" ref="S636" display="https://twitter.com/ProjectSetUK" r:id="rId2082"/>
    <hyperlink xmlns:r="http://schemas.openxmlformats.org/officeDocument/2006/relationships" ref="T636" display="https://www.linkedin.com/company/projectset" r:id="rId2083"/>
    <hyperlink xmlns:r="http://schemas.openxmlformats.org/officeDocument/2006/relationships" ref="Y636" display="https://drive.google.com/uc?export=view&amp;id=18MUSW8Fa5YdMMmquBUz4rdHM53IsMHCc" r:id="rId2084"/>
    <hyperlink xmlns:r="http://schemas.openxmlformats.org/officeDocument/2006/relationships" ref="E637" display="https://www.trezorium.com/" r:id="rId2085"/>
    <hyperlink xmlns:r="http://schemas.openxmlformats.org/officeDocument/2006/relationships" ref="R637" display="https://www.instagram.com/trezorium/" r:id="rId2086"/>
    <hyperlink xmlns:r="http://schemas.openxmlformats.org/officeDocument/2006/relationships" ref="S637" display="https://twitter.com/trezorium" r:id="rId2087"/>
    <hyperlink xmlns:r="http://schemas.openxmlformats.org/officeDocument/2006/relationships" ref="T637" display="https://www.linkedin.com/company/trezorium" r:id="rId2088"/>
    <hyperlink xmlns:r="http://schemas.openxmlformats.org/officeDocument/2006/relationships" ref="W637" display="http://makerium.fr/" r:id="rId2089"/>
    <hyperlink xmlns:r="http://schemas.openxmlformats.org/officeDocument/2006/relationships" ref="Y637" display="https://drive.google.com/uc?export=view&amp;id=1VfXIx7UC-5AMX9sgzh53wray6f5ifzhi" r:id="rId2090"/>
    <hyperlink xmlns:r="http://schemas.openxmlformats.org/officeDocument/2006/relationships" ref="E638" display="https://flowley.nl/" r:id="rId2091"/>
    <hyperlink xmlns:r="http://schemas.openxmlformats.org/officeDocument/2006/relationships" ref="T638" display="https://www.linkedin.com/company/flowley/" r:id="rId2092"/>
    <hyperlink xmlns:r="http://schemas.openxmlformats.org/officeDocument/2006/relationships" ref="Y638" display="https://drive.google.com/uc?export=view&amp;id=1PNUN4QlQ1H_gG3a5iCZkRRim6upBiIx2" r:id="rId2093"/>
    <hyperlink xmlns:r="http://schemas.openxmlformats.org/officeDocument/2006/relationships" ref="E639" display="http://www.feelandplay.com/" r:id="rId2094"/>
    <hyperlink xmlns:r="http://schemas.openxmlformats.org/officeDocument/2006/relationships" ref="R639" display="https://www.instagram.com/musicfairytales_official/" r:id="rId2095"/>
    <hyperlink xmlns:r="http://schemas.openxmlformats.org/officeDocument/2006/relationships" ref="T639" display="https://www.linkedin.com/company/musicfairytales/" r:id="rId2096"/>
    <hyperlink xmlns:r="http://schemas.openxmlformats.org/officeDocument/2006/relationships" ref="Y639" display="https://drive.google.com/uc?export=view&amp;id=1lcAN0Etrc75KAPTRDi3fSTcnGTo8UTtK" r:id="rId2097"/>
    <hyperlink xmlns:r="http://schemas.openxmlformats.org/officeDocument/2006/relationships" ref="E640" display="http://www.mirroco.ch/" r:id="rId2098"/>
    <hyperlink xmlns:r="http://schemas.openxmlformats.org/officeDocument/2006/relationships" ref="T640" display="https://cl.linkedin.com/company/mirroco" r:id="rId2099"/>
    <hyperlink xmlns:r="http://schemas.openxmlformats.org/officeDocument/2006/relationships" ref="Y640" display="https://drive.google.com/uc?export=view&amp;id=1I8sFHhKtUk23qZOUzfd4OJEt5GSzC_CF" r:id="rId2100"/>
    <hyperlink xmlns:r="http://schemas.openxmlformats.org/officeDocument/2006/relationships" ref="E641" display="https://liirn.space/" r:id="rId2101"/>
    <hyperlink xmlns:r="http://schemas.openxmlformats.org/officeDocument/2006/relationships" ref="T641" display="https://www.linkedin.com/company/liirn-by-grbll" r:id="rId2102"/>
    <hyperlink xmlns:r="http://schemas.openxmlformats.org/officeDocument/2006/relationships" ref="Y641" display="https://drive.google.com/uc?export=view&amp;id=1cy8acoX6GthKWrVuzNLZLQ6DejzhpZjP" r:id="rId2103"/>
    <hyperlink xmlns:r="http://schemas.openxmlformats.org/officeDocument/2006/relationships" ref="E642" display="https://hussaracademy.fr/" r:id="rId2104"/>
    <hyperlink xmlns:r="http://schemas.openxmlformats.org/officeDocument/2006/relationships" ref="R642" display="https://www.instagram.com/accounts/login/?next=/hussaracademy/" r:id="rId2105"/>
    <hyperlink xmlns:r="http://schemas.openxmlformats.org/officeDocument/2006/relationships" ref="T642" display="https://www.linkedin.com/company/hussar-academy" r:id="rId2106"/>
    <hyperlink xmlns:r="http://schemas.openxmlformats.org/officeDocument/2006/relationships" ref="Y642" display="https://drive.google.com/uc?export=view&amp;id=1ho0NrSLEGTUlC1EnR723oJOTGWzu9h-6" r:id="rId2107"/>
    <hyperlink xmlns:r="http://schemas.openxmlformats.org/officeDocument/2006/relationships" ref="E643" display="http://www.prorenata.se/" r:id="rId2108"/>
    <hyperlink xmlns:r="http://schemas.openxmlformats.org/officeDocument/2006/relationships" ref="T643" display="https://www.linkedin.com/company/prorenata-ab/" r:id="rId2109"/>
    <hyperlink xmlns:r="http://schemas.openxmlformats.org/officeDocument/2006/relationships" ref="Y643" display="https://drive.google.com/uc?export=view&amp;id=1lykj_qNCeVccYOpWuJtzJ9An-uRJfwwo" r:id="rId2110"/>
    <hyperlink xmlns:r="http://schemas.openxmlformats.org/officeDocument/2006/relationships" ref="E644" display="https://gaptain.com/" r:id="rId2111"/>
    <hyperlink xmlns:r="http://schemas.openxmlformats.org/officeDocument/2006/relationships" ref="S644" display="https://twitter.com/gaptain_es" r:id="rId2112"/>
    <hyperlink xmlns:r="http://schemas.openxmlformats.org/officeDocument/2006/relationships" ref="T644" display="https://www.linkedin.com/company/gaptain/" r:id="rId2113"/>
    <hyperlink xmlns:r="http://schemas.openxmlformats.org/officeDocument/2006/relationships" ref="Y644" display="https://drive.google.com/uc?export=view&amp;id=1H5ppKG8Zmq4-878ZbnflGTjI_8t5wTpN" r:id="rId2114"/>
    <hyperlink xmlns:r="http://schemas.openxmlformats.org/officeDocument/2006/relationships" ref="E645" display="https://webstrive.be/edtech" r:id="rId2115"/>
    <hyperlink xmlns:r="http://schemas.openxmlformats.org/officeDocument/2006/relationships" ref="R645" display="https://instagram.com/webstrive.be?igshid=MzRlODBiNWFlZA==" r:id="rId2116"/>
    <hyperlink xmlns:r="http://schemas.openxmlformats.org/officeDocument/2006/relationships" ref="T645" display="https://www.linkedin.com/company/webstrive" r:id="rId2117"/>
    <hyperlink xmlns:r="http://schemas.openxmlformats.org/officeDocument/2006/relationships" ref="Y645" display="https://drive.google.com/uc?export=view&amp;id=147owgE83rY8f1kJTh_1xSWugbKMjqooh" r:id="rId2118"/>
    <hyperlink xmlns:r="http://schemas.openxmlformats.org/officeDocument/2006/relationships" ref="E646" display="http://app.biakil.com/" r:id="rId2119"/>
    <hyperlink xmlns:r="http://schemas.openxmlformats.org/officeDocument/2006/relationships" ref="R646" display="https://www.instagram.com/biakilapp/" r:id="rId2120"/>
    <hyperlink xmlns:r="http://schemas.openxmlformats.org/officeDocument/2006/relationships" ref="T646" display="https://tr.linkedin.com/company/biakil" r:id="rId2121"/>
    <hyperlink xmlns:r="http://schemas.openxmlformats.org/officeDocument/2006/relationships" ref="Y646" display="https://drive.google.com/uc?export=view&amp;id=1GxHliWRODC0EXyrFMrDukl9lfqsDMKv5" r:id="rId2122"/>
    <hyperlink xmlns:r="http://schemas.openxmlformats.org/officeDocument/2006/relationships" ref="E647" display="http://www.rockstepper.com/" r:id="rId2123"/>
    <hyperlink xmlns:r="http://schemas.openxmlformats.org/officeDocument/2006/relationships" ref="Y647" display="https://drive.google.com/uc?export=view&amp;id=1OB1RlWPL00Tw8pYe4h74p6ZUgAJ5LF_4" r:id="rId2124"/>
    <hyperlink xmlns:r="http://schemas.openxmlformats.org/officeDocument/2006/relationships" ref="E648" display="http://kids.gamester.com.tr/" r:id="rId2125"/>
    <hyperlink xmlns:r="http://schemas.openxmlformats.org/officeDocument/2006/relationships" ref="R648" display="https://www.instagram.com/tinyminies.en" r:id="rId2126"/>
    <hyperlink xmlns:r="http://schemas.openxmlformats.org/officeDocument/2006/relationships" ref="T648" display="https://www.linkedin.com/company/gamester-kids" r:id="rId2127"/>
    <hyperlink xmlns:r="http://schemas.openxmlformats.org/officeDocument/2006/relationships" ref="Y648" display="https://drive.google.com/uc?export=view&amp;id=1GP2ADUPi8oFL8Vd4n-WREMpGx2tyLL5F" r:id="rId2128"/>
    <hyperlink xmlns:r="http://schemas.openxmlformats.org/officeDocument/2006/relationships" ref="E649" display="http://www.cobie.io/" r:id="rId2129"/>
    <hyperlink xmlns:r="http://schemas.openxmlformats.org/officeDocument/2006/relationships" ref="Y649" display="https://drive.google.com/uc?export=view&amp;id=1T-b8lhNrHhvGXoL5huQrjfu3kGjWxUbV" r:id="rId2130"/>
    <hyperlink xmlns:r="http://schemas.openxmlformats.org/officeDocument/2006/relationships" ref="E650" display="https://geintegreerd-onderwijs.nl/" r:id="rId2131"/>
    <hyperlink xmlns:r="http://schemas.openxmlformats.org/officeDocument/2006/relationships" ref="R650" display="https://www.instagram.com/leerplatformgo/" r:id="rId2132"/>
    <hyperlink xmlns:r="http://schemas.openxmlformats.org/officeDocument/2006/relationships" ref="T650" display="https://www.linkedin.com/company/leerplatformgo/" r:id="rId2133"/>
    <hyperlink xmlns:r="http://schemas.openxmlformats.org/officeDocument/2006/relationships" ref="Y650" display="https://drive.google.com/uc?export=view&amp;id=1cuYVQNevOuFIuEqiuDkSDdEMYoOf0zr3" r:id="rId2134"/>
    <hyperlink xmlns:r="http://schemas.openxmlformats.org/officeDocument/2006/relationships" ref="E651" display="https://mathiasvandermeulen.com/" r:id="rId2135"/>
    <hyperlink xmlns:r="http://schemas.openxmlformats.org/officeDocument/2006/relationships" ref="T651" display="https://www.linkedin.com/in/mathiasvdmeulen/" r:id="rId2136"/>
    <hyperlink xmlns:r="http://schemas.openxmlformats.org/officeDocument/2006/relationships" ref="Y651" display="https://drive.google.com/uc?export=view&amp;id=115nRIRHDDeAxCGhTLWx68tnRSYQP6WgW" r:id="rId2137"/>
    <hyperlink xmlns:r="http://schemas.openxmlformats.org/officeDocument/2006/relationships" ref="E652" display="https://bijlesaanhuis.nl/" r:id="rId2138"/>
    <hyperlink xmlns:r="http://schemas.openxmlformats.org/officeDocument/2006/relationships" ref="T652" display="https://www.linkedin.com/company/29026232/" r:id="rId2139"/>
    <hyperlink xmlns:r="http://schemas.openxmlformats.org/officeDocument/2006/relationships" ref="Y652" display="https://drive.google.com/uc?export=view&amp;id=1Vef0A8emCDpb6iSeE-9zlmGhiDdTP-t1" r:id="rId2140"/>
    <hyperlink xmlns:r="http://schemas.openxmlformats.org/officeDocument/2006/relationships" ref="E653" display="http://www.discov.ai/" r:id="rId2141"/>
    <hyperlink xmlns:r="http://schemas.openxmlformats.org/officeDocument/2006/relationships" ref="R653" display="https://www.instagram.com/the_discov/?hl=en" r:id="rId2142"/>
    <hyperlink xmlns:r="http://schemas.openxmlformats.org/officeDocument/2006/relationships" ref="T653" display="https://www.linkedin.com/company/the-discov/" r:id="rId2143"/>
    <hyperlink xmlns:r="http://schemas.openxmlformats.org/officeDocument/2006/relationships" ref="Y653" display="https://drive.google.com/uc?export=view&amp;id=1tcgy0MoIDy9pWFXi4XbgHG5p9pLv2Rn3" r:id="rId2144"/>
    <hyperlink xmlns:r="http://schemas.openxmlformats.org/officeDocument/2006/relationships" ref="E654" display="https://teo.training/" r:id="rId2145"/>
    <hyperlink xmlns:r="http://schemas.openxmlformats.org/officeDocument/2006/relationships" ref="T654" display="https://www.linkedin.com/company/12650098/" r:id="rId2146"/>
    <hyperlink xmlns:r="http://schemas.openxmlformats.org/officeDocument/2006/relationships" ref="Y654" display="https://drive.google.com/uc?export=view&amp;id=1X5wSDb0k_BND9b1OKWPstYfUAquP5nrm" r:id="rId2147"/>
    <hyperlink xmlns:r="http://schemas.openxmlformats.org/officeDocument/2006/relationships" ref="E655" display="http://www.blueskills.nl/" r:id="rId2148"/>
    <hyperlink xmlns:r="http://schemas.openxmlformats.org/officeDocument/2006/relationships" ref="R655" display="https://www.google.com/url?sa=t&amp;rct=j&amp;q=&amp;esrc=s&amp;source=web&amp;cd=&amp;cad=rja&amp;uact=8&amp;ved=2ahUKEwiJnL2ShImBAxUTrKQKHS17CkMQFnoECBYQAQ&amp;url=https%3A%2F%2Fwww.instagram.com%2Fblueskillsnederland%2F&amp;usg=AOvVaw3OCHsS8CbdyCa7rKlrnX6b&amp;opi=89978449" r:id="rId2149"/>
    <hyperlink xmlns:r="http://schemas.openxmlformats.org/officeDocument/2006/relationships" ref="T655" display="https://www.google.com/url?sa=t&amp;rct=j&amp;q=&amp;esrc=s&amp;source=web&amp;cd=&amp;cad=rja&amp;uact=8&amp;ved=2ahUKEwjx_o6IhImBAxUWxQIHHd27A-IQFnoECA0QAQ&amp;url=https%3A%2F%2Fnl.linkedin.com%2Fcompany%2Fblueskills&amp;usg=AOvVaw0fgBQky32Abs-DLGP8oGEV&amp;opi=89978449" r:id="rId2150"/>
    <hyperlink xmlns:r="http://schemas.openxmlformats.org/officeDocument/2006/relationships" ref="Y655" display="https://drive.google.com/uc?export=view&amp;id=14JLKp2AkA-4C8Q4RHdBJ-eOHKMZ8IIg-" r:id="rId2151"/>
    <hyperlink xmlns:r="http://schemas.openxmlformats.org/officeDocument/2006/relationships" ref="E656" display="https://pocketcampus.org/" r:id="rId2152"/>
    <hyperlink xmlns:r="http://schemas.openxmlformats.org/officeDocument/2006/relationships" ref="T656" display="https://www.linkedin.com/company/9198942/" r:id="rId2153"/>
    <hyperlink xmlns:r="http://schemas.openxmlformats.org/officeDocument/2006/relationships" ref="Y656" display="https://drive.google.com/uc?export=view&amp;id=1Smt2yb_ymHPwkEGK24hKt1nKevh8NqsI" r:id="rId2154"/>
    <hyperlink xmlns:r="http://schemas.openxmlformats.org/officeDocument/2006/relationships" ref="E657" display="https://neuromindset.com/" r:id="rId2155"/>
    <hyperlink xmlns:r="http://schemas.openxmlformats.org/officeDocument/2006/relationships" ref="R657" display="https://www.instagram.com/neuromindset/" r:id="rId2156"/>
    <hyperlink xmlns:r="http://schemas.openxmlformats.org/officeDocument/2006/relationships" ref="S657" display="https://twitter.com/mindsetneuroedu" r:id="rId2157"/>
    <hyperlink xmlns:r="http://schemas.openxmlformats.org/officeDocument/2006/relationships" ref="T657" display="https://www.linkedin.com/company/mindsetneuroeducacion/" r:id="rId2158"/>
    <hyperlink xmlns:r="http://schemas.openxmlformats.org/officeDocument/2006/relationships" ref="Y657" display="https://drive.google.com/uc?export=view&amp;id=1zkkgfkZgHtq_3NEbDYsHnd1I-a4nDCCX" r:id="rId2159"/>
    <hyperlink xmlns:r="http://schemas.openxmlformats.org/officeDocument/2006/relationships" ref="E658" display="https://qizify.com/en/" r:id="rId2160"/>
    <hyperlink xmlns:r="http://schemas.openxmlformats.org/officeDocument/2006/relationships" ref="T658" display="https://www.linkedin.com/company/49113282" r:id="rId2161"/>
    <hyperlink xmlns:r="http://schemas.openxmlformats.org/officeDocument/2006/relationships" ref="Y658" display="https://drive.google.com/uc?export=view&amp;id=1SKKw6FOwmLm_SAgWiqDrRz-MbV35HDtO" r:id="rId2162"/>
    <hyperlink xmlns:r="http://schemas.openxmlformats.org/officeDocument/2006/relationships" ref="E659" display="https://sparkfore.com/" r:id="rId2163"/>
    <hyperlink xmlns:r="http://schemas.openxmlformats.org/officeDocument/2006/relationships" ref="T659" display="https://www.linkedin.com/company/75495005/" r:id="rId2164"/>
    <hyperlink xmlns:r="http://schemas.openxmlformats.org/officeDocument/2006/relationships" ref="Y659" display="https://drive.google.com/uc?export=view&amp;id=13v98nEfi268VwSnqHuHKp9YHbm6NXh7c" r:id="rId2165"/>
    <hyperlink xmlns:r="http://schemas.openxmlformats.org/officeDocument/2006/relationships" ref="E660" display="http://www.thebinaschool.com/" r:id="rId2166"/>
    <hyperlink xmlns:r="http://schemas.openxmlformats.org/officeDocument/2006/relationships" ref="R660" display="https://www.instagram.com/thebinaschool/" r:id="rId2167"/>
    <hyperlink xmlns:r="http://schemas.openxmlformats.org/officeDocument/2006/relationships" ref="T660" display="https://www.linkedin.com/company/42467969/admin/feed/posts/" r:id="rId2168"/>
    <hyperlink xmlns:r="http://schemas.openxmlformats.org/officeDocument/2006/relationships" ref="E661" display="https://eggheads.ai/" r:id="rId2169"/>
    <hyperlink xmlns:r="http://schemas.openxmlformats.org/officeDocument/2006/relationships" ref="S661" display="http://twitter.com/eggheads_ai" r:id="rId2170"/>
    <hyperlink xmlns:r="http://schemas.openxmlformats.org/officeDocument/2006/relationships" ref="T661" display="http://linkedin.com/company/eggheads-ai" r:id="rId2171"/>
    <hyperlink xmlns:r="http://schemas.openxmlformats.org/officeDocument/2006/relationships" ref="Y661" display="https://drive.google.com/uc?export=view&amp;id=1MeQC6XRZKLpHJ9avfgCNg4UBYgEo-LJ7" r:id="rId2172"/>
    <hyperlink xmlns:r="http://schemas.openxmlformats.org/officeDocument/2006/relationships" ref="E662" display="https://aschehoug.no/" r:id="rId2173"/>
    <hyperlink xmlns:r="http://schemas.openxmlformats.org/officeDocument/2006/relationships" ref="R662" display="https://www.instagram.com/aunivers.no/" r:id="rId2174"/>
    <hyperlink xmlns:r="http://schemas.openxmlformats.org/officeDocument/2006/relationships" ref="T662" display="https://www.linkedin.com/company/aschehoug/" r:id="rId2175"/>
    <hyperlink xmlns:r="http://schemas.openxmlformats.org/officeDocument/2006/relationships" ref="Y662" display="https://drive.google.com/uc?export=view&amp;id=1UkU0hEBVgUcYgMVAJ9K0oAtUcZ3EbnaC" r:id="rId2176"/>
    <hyperlink xmlns:r="http://schemas.openxmlformats.org/officeDocument/2006/relationships" ref="E663" display="https://bitandr.com/" r:id="rId2177"/>
    <hyperlink xmlns:r="http://schemas.openxmlformats.org/officeDocument/2006/relationships" ref="Y663" display="https://drive.google.com/uc?export=view&amp;id=179K0T3FoXcA3shqszwPE2LALUh0cOn_0" r:id="rId2178"/>
    <hyperlink xmlns:r="http://schemas.openxmlformats.org/officeDocument/2006/relationships" ref="E664" display="https://www.logic-app.ch/en/" r:id="rId2179"/>
    <hyperlink xmlns:r="http://schemas.openxmlformats.org/officeDocument/2006/relationships" ref="T664" display="https://www.linkedin.com/company/reallience/" r:id="rId2180"/>
    <hyperlink xmlns:r="http://schemas.openxmlformats.org/officeDocument/2006/relationships" ref="Y664" display="https://drive.google.com/uc?export=view&amp;id=1nP_SCNAFqXpMC4W1gu4FVr8-AHZIh83x" r:id="rId2181"/>
    <hyperlink xmlns:r="http://schemas.openxmlformats.org/officeDocument/2006/relationships" ref="E665" display="https://sowiso.nl/en/" r:id="rId2182"/>
    <hyperlink xmlns:r="http://schemas.openxmlformats.org/officeDocument/2006/relationships" ref="S665" display="https://twitter.com/sowisobv" r:id="rId2183"/>
    <hyperlink xmlns:r="http://schemas.openxmlformats.org/officeDocument/2006/relationships" ref="T665" display="https://www.linkedin.com/company/sowiso/" r:id="rId2184"/>
    <hyperlink xmlns:r="http://schemas.openxmlformats.org/officeDocument/2006/relationships" ref="Y665" display="https://drive.google.com/uc?export=view&amp;id=126DlVncFDmXSQhjYEGvK3Zq6UkeN4RQI" r:id="rId2185"/>
    <hyperlink xmlns:r="http://schemas.openxmlformats.org/officeDocument/2006/relationships" ref="E666" display="https://www.digitalemethode.be/" r:id="rId2186"/>
    <hyperlink xmlns:r="http://schemas.openxmlformats.org/officeDocument/2006/relationships" ref="Y666" display="https://drive.google.com/uc?export=view&amp;id=1wPVQobLnkHtCZzX7_yXygdYOrwu1wusT" r:id="rId2187"/>
    <hyperlink xmlns:r="http://schemas.openxmlformats.org/officeDocument/2006/relationships" ref="E667" display="http://www.reducate.com/" r:id="rId2188"/>
    <hyperlink xmlns:r="http://schemas.openxmlformats.org/officeDocument/2006/relationships" ref="T667" display="https://www.linkedin.com/company/reducate/" r:id="rId2189"/>
    <hyperlink xmlns:r="http://schemas.openxmlformats.org/officeDocument/2006/relationships" ref="Y667" display="https://drive.google.com/uc?export=view&amp;id=1zYaJfbhr60-aCi9Zs1aJsMrklPRgE_BG" r:id="rId2190"/>
    <hyperlink xmlns:r="http://schemas.openxmlformats.org/officeDocument/2006/relationships" ref="E668" display="https://en.risinguparis.com/" r:id="rId2191"/>
    <hyperlink xmlns:r="http://schemas.openxmlformats.org/officeDocument/2006/relationships" ref="S668" display="https://twitter.com/risinguparis" r:id="rId2192"/>
    <hyperlink xmlns:r="http://schemas.openxmlformats.org/officeDocument/2006/relationships" ref="T668" display="https://www.linkedin.com/company/18324967/admin/" r:id="rId2193"/>
    <hyperlink xmlns:r="http://schemas.openxmlformats.org/officeDocument/2006/relationships" ref="Y668" display="https://drive.google.com/uc?export=view&amp;id=1X9Rs-K3iSmEoAAjiAUTjAjVTKoKQ8hx_" r:id="rId2194"/>
    <hyperlink xmlns:r="http://schemas.openxmlformats.org/officeDocument/2006/relationships" ref="E669" display="http://www.communico.nu/" r:id="rId2195"/>
    <hyperlink xmlns:r="http://schemas.openxmlformats.org/officeDocument/2006/relationships" ref="T669" display="https://www.linkedin.com/company/communico-aps" r:id="rId2196"/>
    <hyperlink xmlns:r="http://schemas.openxmlformats.org/officeDocument/2006/relationships" ref="Y669" display="https://drive.google.com/uc?export=view&amp;id=1USHO4twK-obtqCcafU931Df1EPRm3NmV" r:id="rId2197"/>
    <hyperlink xmlns:r="http://schemas.openxmlformats.org/officeDocument/2006/relationships" ref="E670" display="http://www.e-wise.com/" r:id="rId2198"/>
    <hyperlink xmlns:r="http://schemas.openxmlformats.org/officeDocument/2006/relationships" ref="T670" display="https://www.linkedin.com/company/100983/admin/feed/posts/" r:id="rId2199"/>
    <hyperlink xmlns:r="http://schemas.openxmlformats.org/officeDocument/2006/relationships" ref="Y670" display="https://drive.google.com/uc?export=view&amp;id=1qKSB9-Nc-RyQu42y_rfYmz57JcgDQ3Lr" r:id="rId2200"/>
    <hyperlink xmlns:r="http://schemas.openxmlformats.org/officeDocument/2006/relationships" ref="E671" display="https://www.oscar-campus.com/" r:id="rId2201"/>
    <hyperlink xmlns:r="http://schemas.openxmlformats.org/officeDocument/2006/relationships" ref="T671" display="https://www.linkedin.com/company/oscar-campus-crm/" r:id="rId2202"/>
    <hyperlink xmlns:r="http://schemas.openxmlformats.org/officeDocument/2006/relationships" ref="Y671" display="https://drive.google.com/uc?export=view&amp;id=19cgLA5jkLRuqtHGMWOP4lMtAlhw6pkwW" r:id="rId2203"/>
    <hyperlink xmlns:r="http://schemas.openxmlformats.org/officeDocument/2006/relationships" ref="E672" display="http://www.emys.co/" r:id="rId2204"/>
    <hyperlink xmlns:r="http://schemas.openxmlformats.org/officeDocument/2006/relationships" ref="R672" display="https://www.instagram.com/emysrobot/" r:id="rId2205"/>
    <hyperlink xmlns:r="http://schemas.openxmlformats.org/officeDocument/2006/relationships" ref="T672" display="https://www.linkedin.com/company/emysrobot" r:id="rId2206"/>
    <hyperlink xmlns:r="http://schemas.openxmlformats.org/officeDocument/2006/relationships" ref="Y672" display="https://drive.google.com/uc?export=view&amp;id=1DGMjRGLEEnKt_1cYd5BIhHEtFqqM7Sda" r:id="rId2207"/>
    <hyperlink xmlns:r="http://schemas.openxmlformats.org/officeDocument/2006/relationships" ref="E673" display="https://visuon.com/" r:id="rId2208"/>
    <hyperlink xmlns:r="http://schemas.openxmlformats.org/officeDocument/2006/relationships" ref="S673" display="https://twitter.com/visuonco" r:id="rId2209"/>
    <hyperlink xmlns:r="http://schemas.openxmlformats.org/officeDocument/2006/relationships" ref="T673" display="https://www.linkedin.com/company/visuon" r:id="rId2210"/>
    <hyperlink xmlns:r="http://schemas.openxmlformats.org/officeDocument/2006/relationships" ref="Y673" display="https://drive.google.com/uc?export=view&amp;id=1T3VTfZaIb3JpFJnbapeHEbWIyiC3-2fV" r:id="rId2211"/>
    <hyperlink xmlns:r="http://schemas.openxmlformats.org/officeDocument/2006/relationships" ref="E674" display="http://www.chabadoo.com/" r:id="rId2212"/>
    <hyperlink xmlns:r="http://schemas.openxmlformats.org/officeDocument/2006/relationships" ref="R674" display="https://www.instagram.com/chabadoo_elearning/" r:id="rId2213"/>
    <hyperlink xmlns:r="http://schemas.openxmlformats.org/officeDocument/2006/relationships" ref="T674" display="https://www.linkedin.com/company/chabadoo" r:id="rId2214"/>
    <hyperlink xmlns:r="http://schemas.openxmlformats.org/officeDocument/2006/relationships" ref="Y674" display="https://drive.google.com/uc?export=view&amp;id=1XhmU4Qfi53OasTFeA5WzwAil4nDt6jXv" r:id="rId2215"/>
    <hyperlink xmlns:r="http://schemas.openxmlformats.org/officeDocument/2006/relationships" ref="E675" display="https://lernfamilie.at/" r:id="rId2216"/>
    <hyperlink xmlns:r="http://schemas.openxmlformats.org/officeDocument/2006/relationships" ref="R675" display="https://www.instagram.com/lernfamilie/" r:id="rId2217"/>
    <hyperlink xmlns:r="http://schemas.openxmlformats.org/officeDocument/2006/relationships" ref="S675" display="https://twitter.com/LernFamilie/" r:id="rId2218"/>
    <hyperlink xmlns:r="http://schemas.openxmlformats.org/officeDocument/2006/relationships" ref="T675" display="https://lernfamilie.at/nachhilfeinstitut/online/" r:id="rId2219"/>
    <hyperlink xmlns:r="http://schemas.openxmlformats.org/officeDocument/2006/relationships" ref="Y675" display="https://drive.google.com/uc?export=view&amp;id=1Y-F33F2SJzlWQXyojY8mF-kWr56kts2e" r:id="rId2220"/>
    <hyperlink xmlns:r="http://schemas.openxmlformats.org/officeDocument/2006/relationships" ref="E676" display="https://lernfamilie.com/" r:id="rId2221"/>
    <hyperlink xmlns:r="http://schemas.openxmlformats.org/officeDocument/2006/relationships" ref="R676" display="https://www.instagram.com/lernfamilie/" r:id="rId2222"/>
    <hyperlink xmlns:r="http://schemas.openxmlformats.org/officeDocument/2006/relationships" ref="S676" display="https://twitter.com/LernFamilie/" r:id="rId2223"/>
    <hyperlink xmlns:r="http://schemas.openxmlformats.org/officeDocument/2006/relationships" ref="T676" display="https://lernfamilie.com/nachhilfeinstitut/online/" r:id="rId2224"/>
    <hyperlink xmlns:r="http://schemas.openxmlformats.org/officeDocument/2006/relationships" ref="Y676" display="https://drive.google.com/uc?export=view&amp;id=13CBPLdl5-bT3MCH2Eo4LisE0fz2nP7IK" r:id="rId2225"/>
    <hyperlink xmlns:r="http://schemas.openxmlformats.org/officeDocument/2006/relationships" ref="E677" display="https://www.amoreperilsapere.it/" r:id="rId2226"/>
    <hyperlink xmlns:r="http://schemas.openxmlformats.org/officeDocument/2006/relationships" ref="Y677" display="https://drive.google.com/uc?export=view&amp;id=1uDcnOcMJaHRE3ftchN0h8L9waL3OFkt6" r:id="rId2227"/>
    <hyperlink xmlns:r="http://schemas.openxmlformats.org/officeDocument/2006/relationships" ref="E678" display="https://www.edurino.com/" r:id="rId2228"/>
    <hyperlink xmlns:r="http://schemas.openxmlformats.org/officeDocument/2006/relationships" ref="R678" display="https://www.instagram.com/edurino_de/?hl=de" r:id="rId2229"/>
    <hyperlink xmlns:r="http://schemas.openxmlformats.org/officeDocument/2006/relationships" ref="T678" display="https://www.linkedin.com/company/edurinoapp/?originalSubdomain=de" r:id="rId2230"/>
    <hyperlink xmlns:r="http://schemas.openxmlformats.org/officeDocument/2006/relationships" ref="Y678" display="https://drive.google.com/uc?export=view&amp;id=1DoLOWL6YKCB37TcagwdHzqXKr3yA243F" r:id="rId2231"/>
    <hyperlink xmlns:r="http://schemas.openxmlformats.org/officeDocument/2006/relationships" ref="E679" display="https://fuel.education/" r:id="rId2232"/>
    <hyperlink xmlns:r="http://schemas.openxmlformats.org/officeDocument/2006/relationships" ref="T679" display="https://www.linkedin.com/company/fuelverse" r:id="rId2233"/>
    <hyperlink xmlns:r="http://schemas.openxmlformats.org/officeDocument/2006/relationships" ref="Y679" display="https://drive.google.com/uc?export=view&amp;id=1HqXqyE3a0r86KwZfQ4bTMuEyLwWOa5ep" r:id="rId2234"/>
    <hyperlink xmlns:r="http://schemas.openxmlformats.org/officeDocument/2006/relationships" ref="E680" display="https://www.levooba.com/" r:id="rId2235"/>
    <hyperlink xmlns:r="http://schemas.openxmlformats.org/officeDocument/2006/relationships" ref="R680" display="https://www.instagram.com/levooba_de/" r:id="rId2236"/>
    <hyperlink xmlns:r="http://schemas.openxmlformats.org/officeDocument/2006/relationships" ref="S680" display="https://twitter.com/levooba" r:id="rId2237"/>
    <hyperlink xmlns:r="http://schemas.openxmlformats.org/officeDocument/2006/relationships" ref="T680" display="https://www.linkedin.com/company/levooba" r:id="rId2238"/>
    <hyperlink xmlns:r="http://schemas.openxmlformats.org/officeDocument/2006/relationships" ref="Y680" display="https://drive.google.com/uc?export=view&amp;id=1TjdJ-eSGlMTw4EY-Gs0rH7XRNl92h6Ed" r:id="rId2239"/>
    <hyperlink xmlns:r="http://schemas.openxmlformats.org/officeDocument/2006/relationships" ref="D681" display="http://studentpulse.io/" r:id="rId2240"/>
    <hyperlink xmlns:r="http://schemas.openxmlformats.org/officeDocument/2006/relationships" ref="E681" display="https://www.studentpulse.io/" r:id="rId2241"/>
    <hyperlink xmlns:r="http://schemas.openxmlformats.org/officeDocument/2006/relationships" ref="T681" display="https://www.linkedin.com/company/studentpulse-io" r:id="rId2242"/>
    <hyperlink xmlns:r="http://schemas.openxmlformats.org/officeDocument/2006/relationships" ref="Y682" display="https://drive.google.com/uc?export=view&amp;id=1KCh1xg-XUHEu5-Xrew7AM_8Q83FzG5HZ" r:id="rId2243"/>
    <hyperlink xmlns:r="http://schemas.openxmlformats.org/officeDocument/2006/relationships" ref="E683" display="https://www.virtual-dawn.com/" r:id="rId2244"/>
    <hyperlink xmlns:r="http://schemas.openxmlformats.org/officeDocument/2006/relationships" ref="S683" display="https://twitter.com/_VirtualDawn_" r:id="rId2245"/>
    <hyperlink xmlns:r="http://schemas.openxmlformats.org/officeDocument/2006/relationships" ref="T683" display="https://fi.linkedin.com/company/virtual-dawn" r:id="rId2246"/>
    <hyperlink xmlns:r="http://schemas.openxmlformats.org/officeDocument/2006/relationships" ref="Y683" display="https://drive.google.com/uc?export=view&amp;id=1mYXHddY7hIr6cdz_VYJZnz94TD-hHdjf" r:id="rId2247"/>
    <hyperlink xmlns:r="http://schemas.openxmlformats.org/officeDocument/2006/relationships" ref="E684" display="https://www.skillandyou.com/fr/" r:id="rId2248"/>
    <hyperlink xmlns:r="http://schemas.openxmlformats.org/officeDocument/2006/relationships" ref="T684" display="https://www.linkedin.com/search/results/all/?fetchDeterministicClustersOnly=true&amp;heroEntityKey=urn%3Ali%3Aorganization%3A412793&amp;keywords=skill%20and%20you&amp;origin=RICH_QUERY_SUGGESTION&amp;position=0&amp;searchId=ff2fd2b7-b141-41e8-b187-f5a18ea8605b&amp;sid=Goo" r:id="rId2249"/>
    <hyperlink xmlns:r="http://schemas.openxmlformats.org/officeDocument/2006/relationships" ref="Y684" display="https://drive.google.com/uc?export=view&amp;id=1FVTQVdqlW8QVZPZugWJRjsTHhTgAgy7J" r:id="rId2250"/>
    <hyperlink xmlns:r="http://schemas.openxmlformats.org/officeDocument/2006/relationships" ref="E685" display="http://kamusi.org/" r:id="rId2251"/>
    <hyperlink xmlns:r="http://schemas.openxmlformats.org/officeDocument/2006/relationships" ref="T685" display="https://www.linkedin.com/company/kamusi-project-international-usa" r:id="rId2252"/>
    <hyperlink xmlns:r="http://schemas.openxmlformats.org/officeDocument/2006/relationships" ref="Y685" display="https://drive.google.com/uc?export=view&amp;id=1_A1LYDzB8x_zZfwF4QPsDNCpmTEJ8P6x" r:id="rId2253"/>
    <hyperlink xmlns:r="http://schemas.openxmlformats.org/officeDocument/2006/relationships" ref="D686" display="http://mobiletic.com/" r:id="rId2254"/>
    <hyperlink xmlns:r="http://schemas.openxmlformats.org/officeDocument/2006/relationships" ref="E686" display="https://mobiletic.com/fr/" r:id="rId2255"/>
    <hyperlink xmlns:r="http://schemas.openxmlformats.org/officeDocument/2006/relationships" ref="S686" display="https://twitter.com/mobileticsarl" r:id="rId2256"/>
    <hyperlink xmlns:r="http://schemas.openxmlformats.org/officeDocument/2006/relationships" ref="T686" display="https://www.linkedin.com/company/mobiletic.com" r:id="rId2257"/>
    <hyperlink xmlns:r="http://schemas.openxmlformats.org/officeDocument/2006/relationships" ref="Y686" display="https://drive.google.com/uc?export=view&amp;id=1rAIabn65uu_bW2B11f_s4Ul3VfCOGJ0f" r:id="rId2258"/>
    <hyperlink xmlns:r="http://schemas.openxmlformats.org/officeDocument/2006/relationships" ref="E687" display="https://www.wizenoze.com/" r:id="rId2259"/>
    <hyperlink xmlns:r="http://schemas.openxmlformats.org/officeDocument/2006/relationships" ref="R687" display="https://www.instagram.com/Wizenoze" r:id="rId2260"/>
    <hyperlink xmlns:r="http://schemas.openxmlformats.org/officeDocument/2006/relationships" ref="S687" display="https://twitter.com/wizenoze" r:id="rId2261"/>
    <hyperlink xmlns:r="http://schemas.openxmlformats.org/officeDocument/2006/relationships" ref="T687" display="https://www.linkedin.com/company/wizenoze/?originalSubdomain=nl" r:id="rId2262"/>
    <hyperlink xmlns:r="http://schemas.openxmlformats.org/officeDocument/2006/relationships" ref="Y687" display="https://drive.google.com/uc?export=view&amp;id=1tE7CYHHgwwtdq1RoVYEq2VxdQYfR4Gpq" r:id="rId2263"/>
    <hyperlink xmlns:r="http://schemas.openxmlformats.org/officeDocument/2006/relationships" ref="E688" display="https://www.conversationdesigninstitute.com/" r:id="rId2264"/>
    <hyperlink xmlns:r="http://schemas.openxmlformats.org/officeDocument/2006/relationships" ref="R688" display="https://www.instagram.com/accounts/login/?next=/Conversation_Design_Institute/" r:id="rId2265"/>
    <hyperlink xmlns:r="http://schemas.openxmlformats.org/officeDocument/2006/relationships" ref="S688" display="https://twitter.com/CDInstitute_" r:id="rId2266"/>
    <hyperlink xmlns:r="http://schemas.openxmlformats.org/officeDocument/2006/relationships" ref="T688" display="https://www.linkedin.com/company/conversation-design-institute" r:id="rId2267"/>
    <hyperlink xmlns:r="http://schemas.openxmlformats.org/officeDocument/2006/relationships" ref="Y688" display="https://drive.google.com/uc?export=view&amp;id=1CD4fkh4Y6Sh2xaBUVvEzVvVW-CWMkB5y" r:id="rId2268"/>
    <hyperlink xmlns:r="http://schemas.openxmlformats.org/officeDocument/2006/relationships" ref="E689" display="http://www.exploringedtech.ie/" r:id="rId2269"/>
    <hyperlink xmlns:r="http://schemas.openxmlformats.org/officeDocument/2006/relationships" ref="S689" display="https://twitter.com/ExploringEdtech" r:id="rId2270"/>
    <hyperlink xmlns:r="http://schemas.openxmlformats.org/officeDocument/2006/relationships" ref="T689" display="https://www.linkedin.com/company/exploringedtech/" r:id="rId2271"/>
    <hyperlink xmlns:r="http://schemas.openxmlformats.org/officeDocument/2006/relationships" ref="Y689" display="https://drive.google.com/uc?export=view&amp;id=1dx3F8qD5i8DtRCiO4Cvgi49NbL-23e08" r:id="rId2272"/>
    <hyperlink xmlns:r="http://schemas.openxmlformats.org/officeDocument/2006/relationships" ref="E690" display="http://www.grammerstorf-kubon.com/" r:id="rId2273"/>
    <hyperlink xmlns:r="http://schemas.openxmlformats.org/officeDocument/2006/relationships" ref="Y690" display="https://drive.google.com/uc?export=view&amp;id=1WMXAPEz-vUWPBMdvXtgCSk5o--LBxZsd" r:id="rId2274"/>
    <hyperlink xmlns:r="http://schemas.openxmlformats.org/officeDocument/2006/relationships" ref="E691" display="http://mentessa.ai/" r:id="rId2275"/>
    <hyperlink xmlns:r="http://schemas.openxmlformats.org/officeDocument/2006/relationships" ref="T691" display="https://www.linkedin.com/company/mentessa/" r:id="rId2276"/>
    <hyperlink xmlns:r="http://schemas.openxmlformats.org/officeDocument/2006/relationships" ref="Y691" display="https://drive.google.com/uc?export=view&amp;id=1jbVqJEZ84TXubvHG-q4Euc3S-8EMk07n" r:id="rId2277"/>
    <hyperlink xmlns:r="http://schemas.openxmlformats.org/officeDocument/2006/relationships" ref="E692" display="https://modco.fr/" r:id="rId2278"/>
    <hyperlink xmlns:r="http://schemas.openxmlformats.org/officeDocument/2006/relationships" ref="T692" display="https://www.linkedin.com/company/modco-mode-college" r:id="rId2279"/>
    <hyperlink xmlns:r="http://schemas.openxmlformats.org/officeDocument/2006/relationships" ref="Y692" display="https://drive.google.com/uc?export=view&amp;id=1E1Bgm4pZ-jC0uaHUr2fW9rFtKrL0iLqA" r:id="rId2280"/>
    <hyperlink xmlns:r="http://schemas.openxmlformats.org/officeDocument/2006/relationships" ref="E693" display="https://pivotaledtech.com/" r:id="rId2281"/>
    <hyperlink xmlns:r="http://schemas.openxmlformats.org/officeDocument/2006/relationships" ref="T693" display="https://www.linkedin.com/company/pivotal-edtech" r:id="rId2282"/>
    <hyperlink xmlns:r="http://schemas.openxmlformats.org/officeDocument/2006/relationships" ref="Y693" display="https://drive.google.com/uc?export=view&amp;id=1gZJwdJ3UQQeOB2IEO-s4nHW30bY932h3" r:id="rId2283"/>
    <hyperlink xmlns:r="http://schemas.openxmlformats.org/officeDocument/2006/relationships" ref="E694" display="https://rhinox.be/" r:id="rId2284"/>
    <hyperlink xmlns:r="http://schemas.openxmlformats.org/officeDocument/2006/relationships" ref="T694" display="https://www.linkedin.com/company/rhinox-training/" r:id="rId2285"/>
    <hyperlink xmlns:r="http://schemas.openxmlformats.org/officeDocument/2006/relationships" ref="Y694" display="https://drive.google.com/uc?export=view&amp;id=1zgqUqa6mNWZ6G45d7JLPj9bHgbKsd28o" r:id="rId2286"/>
    <hyperlink xmlns:r="http://schemas.openxmlformats.org/officeDocument/2006/relationships" ref="E695" display="https://www.oknoname.com/" r:id="rId2287"/>
    <hyperlink xmlns:r="http://schemas.openxmlformats.org/officeDocument/2006/relationships" ref="T695" display="https://www.linkedin.com/company/oknoname" r:id="rId2288"/>
    <hyperlink xmlns:r="http://schemas.openxmlformats.org/officeDocument/2006/relationships" ref="Y695" display="https://drive.google.com/uc?export=view&amp;id=1h0KdmwBwC7V3H-Ap8s01lSkOfVVLETBt" r:id="rId2289"/>
    <hyperlink xmlns:r="http://schemas.openxmlformats.org/officeDocument/2006/relationships" ref="E696" display="https://www.3cl.org/" r:id="rId2290"/>
    <hyperlink xmlns:r="http://schemas.openxmlformats.org/officeDocument/2006/relationships" ref="Y696" display="https://drive.google.com/uc?export=view&amp;id=1AzE-4qBLTdc3aE13jap8iN0zm4s0QR8I" r:id="rId2291"/>
    <hyperlink xmlns:r="http://schemas.openxmlformats.org/officeDocument/2006/relationships" ref="E697" display="https://cuabi.com/" r:id="rId2292"/>
    <hyperlink xmlns:r="http://schemas.openxmlformats.org/officeDocument/2006/relationships" ref="R697" display="https://instagram.com/cuabi.educa" r:id="rId2293"/>
    <hyperlink xmlns:r="http://schemas.openxmlformats.org/officeDocument/2006/relationships" ref="T697" display="https://es.linkedin.com/company/cuabi" r:id="rId2294"/>
    <hyperlink xmlns:r="http://schemas.openxmlformats.org/officeDocument/2006/relationships" ref="Y697" display="https://drive.google.com/uc?export=view&amp;id=1e3k-TgrMAurhMVJoZ_EY8am_j-A2P9cP" r:id="rId2295"/>
    <hyperlink xmlns:r="http://schemas.openxmlformats.org/officeDocument/2006/relationships" ref="E698" display="https://www.htctw.org/" r:id="rId2296"/>
    <hyperlink xmlns:r="http://schemas.openxmlformats.org/officeDocument/2006/relationships" ref="T698" display="https://www.linkedin.com/company/htctw" r:id="rId2297"/>
    <hyperlink xmlns:r="http://schemas.openxmlformats.org/officeDocument/2006/relationships" ref="Y698" display="https://drive.google.com/uc?export=view&amp;id=12Z7miOyTApH50j1IAoZrG44YweMW_ci4" r:id="rId2298"/>
    <hyperlink xmlns:r="http://schemas.openxmlformats.org/officeDocument/2006/relationships" ref="D699" display="http://manual.to/" r:id="rId2299"/>
    <hyperlink xmlns:r="http://schemas.openxmlformats.org/officeDocument/2006/relationships" ref="E699" display="https://manual.to/" r:id="rId2300"/>
    <hyperlink xmlns:r="http://schemas.openxmlformats.org/officeDocument/2006/relationships" ref="R699" display="https://www.instagram.com/manual.to/" r:id="rId2301"/>
    <hyperlink xmlns:r="http://schemas.openxmlformats.org/officeDocument/2006/relationships" ref="S699" display="https://twitter.com/manual_to" r:id="rId2302"/>
    <hyperlink xmlns:r="http://schemas.openxmlformats.org/officeDocument/2006/relationships" ref="T699" display="https://linkedin.com/company/manual.to" r:id="rId2303"/>
    <hyperlink xmlns:r="http://schemas.openxmlformats.org/officeDocument/2006/relationships" ref="U699" display="http://manual.to/" r:id="rId2304"/>
    <hyperlink xmlns:r="http://schemas.openxmlformats.org/officeDocument/2006/relationships" ref="Y699" display="https://drive.google.com/uc?export=view&amp;id=1Edo0DjlUeOht48soxKOBcXX1V6XHiFQT" r:id="rId2305"/>
    <hyperlink xmlns:r="http://schemas.openxmlformats.org/officeDocument/2006/relationships" ref="E700" display="http://www.wikit.no/" r:id="rId2306"/>
    <hyperlink xmlns:r="http://schemas.openxmlformats.org/officeDocument/2006/relationships" ref="Y700" display="https://drive.google.com/uc?export=view&amp;id=1FAZOQHiO9IquKJx9QLw5NUhuHjwksvIG" r:id="rId2307"/>
    <hyperlink xmlns:r="http://schemas.openxmlformats.org/officeDocument/2006/relationships" ref="E701" display="https://nu.education/en/" r:id="rId2308"/>
    <hyperlink xmlns:r="http://schemas.openxmlformats.org/officeDocument/2006/relationships" ref="T701" display="https://ch.linkedin.com/company/nutechnologyag" r:id="rId2309"/>
    <hyperlink xmlns:r="http://schemas.openxmlformats.org/officeDocument/2006/relationships" ref="Y701" display="https://drive.google.com/uc?export=view&amp;id=1lZ1yoKy6bYNndybS86Zq6okGiGBwPDFp" r:id="rId2310"/>
    <hyperlink xmlns:r="http://schemas.openxmlformats.org/officeDocument/2006/relationships" ref="E702" display="https://www.itonlinelearning.com/" r:id="rId2311"/>
    <hyperlink xmlns:r="http://schemas.openxmlformats.org/officeDocument/2006/relationships" ref="Y702" display="https://drive.google.com/uc?export=view&amp;id=1fSIgWrBfJVoZRdiFw-kIUiW97k6ySVQU" r:id="rId2312"/>
    <hyperlink xmlns:r="http://schemas.openxmlformats.org/officeDocument/2006/relationships" ref="E703" display="https://www.icslearn.co.uk/" r:id="rId2313"/>
    <hyperlink xmlns:r="http://schemas.openxmlformats.org/officeDocument/2006/relationships" ref="Y703" display="https://drive.google.com/uc?export=view&amp;id=1aAj9hyIAjm9CsSy_hITU-vPOjjcjfUYo" r:id="rId2314"/>
    <hyperlink xmlns:r="http://schemas.openxmlformats.org/officeDocument/2006/relationships" ref="E704" display="http://www.teamazing.com/" r:id="rId2315"/>
    <hyperlink xmlns:r="http://schemas.openxmlformats.org/officeDocument/2006/relationships" ref="R704" display="https://www.instagram.com/teamazing.events/" r:id="rId2316"/>
    <hyperlink xmlns:r="http://schemas.openxmlformats.org/officeDocument/2006/relationships" ref="S704" display="https://twitter.com/teamazing_com" r:id="rId2317"/>
    <hyperlink xmlns:r="http://schemas.openxmlformats.org/officeDocument/2006/relationships" ref="T704" display="https://www.linkedin.com/company/teamazing-gmbh" r:id="rId2318"/>
    <hyperlink xmlns:r="http://schemas.openxmlformats.org/officeDocument/2006/relationships" ref="Y704" display="https://drive.google.com/uc?export=view&amp;id=19swaHVvHb3WCDVuIiIn7Kp016RE0o_Sc" r:id="rId2319"/>
    <hyperlink xmlns:r="http://schemas.openxmlformats.org/officeDocument/2006/relationships" ref="Y705" display="https://drive.google.com/uc?export=view&amp;id=1-R51MtZHmElVVSgiZnftLpeFicoOSzFZ" r:id="rId2320"/>
    <hyperlink xmlns:r="http://schemas.openxmlformats.org/officeDocument/2006/relationships" ref="E706" display="https://www.didask.com/" r:id="rId2321"/>
    <hyperlink xmlns:r="http://schemas.openxmlformats.org/officeDocument/2006/relationships" ref="R706" display="https://www.instagram.com/didask_learning/" r:id="rId2322"/>
    <hyperlink xmlns:r="http://schemas.openxmlformats.org/officeDocument/2006/relationships" ref="S706" display="https://twitter.com/Didask" r:id="rId2323"/>
    <hyperlink xmlns:r="http://schemas.openxmlformats.org/officeDocument/2006/relationships" ref="T706" display="https://www.linkedin.com/company/didask/" r:id="rId2324"/>
    <hyperlink xmlns:r="http://schemas.openxmlformats.org/officeDocument/2006/relationships" ref="Y706" display="https://drive.google.com/uc?export=view&amp;id=1xUgM2EG9A1C7zxL4RD9iOPBD7r3cBsQs" r:id="rId2325"/>
    <hyperlink xmlns:r="http://schemas.openxmlformats.org/officeDocument/2006/relationships" ref="E707" display="http://life.dk/" r:id="rId2326"/>
    <hyperlink xmlns:r="http://schemas.openxmlformats.org/officeDocument/2006/relationships" ref="R707" display="https://www.instagram.com/life_fonden/" r:id="rId2327"/>
    <hyperlink xmlns:r="http://schemas.openxmlformats.org/officeDocument/2006/relationships" ref="S707" display="https://twitter.com/LIFEFonden" r:id="rId2328"/>
    <hyperlink xmlns:r="http://schemas.openxmlformats.org/officeDocument/2006/relationships" ref="T707" display="https://www.linkedin.com/company/life-fonden/mycompany/" r:id="rId2329"/>
    <hyperlink xmlns:r="http://schemas.openxmlformats.org/officeDocument/2006/relationships" ref="Y707" display="https://drive.google.com/uc?export=view&amp;id=1-1qRhU9UQZAsKOszo-QFcgvJmxNLPkLH" r:id="rId2330"/>
    <hyperlink xmlns:r="http://schemas.openxmlformats.org/officeDocument/2006/relationships" ref="E708" display="http://a-mazego.dk/" r:id="rId2331"/>
    <hyperlink xmlns:r="http://schemas.openxmlformats.org/officeDocument/2006/relationships" ref="T708" display="https://www.linkedin.com/company/a-mazeaps/" r:id="rId2332"/>
    <hyperlink xmlns:r="http://schemas.openxmlformats.org/officeDocument/2006/relationships" ref="Y708" display="https://drive.google.com/uc?export=view&amp;id=1v9ikIee_AhwJ1kr-o8x42TE2LQq9Pge6" r:id="rId2333"/>
    <hyperlink xmlns:r="http://schemas.openxmlformats.org/officeDocument/2006/relationships" ref="E709" display="https://www.geogebra.org/" r:id="rId2334"/>
    <hyperlink xmlns:r="http://schemas.openxmlformats.org/officeDocument/2006/relationships" ref="Y709" display="https://drive.google.com/uc?export=view&amp;id=1sjPEoqb7PgiNAYPPz44P1ZXCykQXm9r2" r:id="rId2335"/>
    <hyperlink xmlns:r="http://schemas.openxmlformats.org/officeDocument/2006/relationships" ref="E710" display="https://app.kumubox.com/" r:id="rId2336"/>
    <hyperlink xmlns:r="http://schemas.openxmlformats.org/officeDocument/2006/relationships" ref="R710" display="https://www.instagram.com/kumubox/" r:id="rId2337"/>
    <hyperlink xmlns:r="http://schemas.openxmlformats.org/officeDocument/2006/relationships" ref="S710" display="https://twitter.com/kumuboxoficial" r:id="rId2338"/>
    <hyperlink xmlns:r="http://schemas.openxmlformats.org/officeDocument/2006/relationships" ref="T710" display="https://es.linkedin.com/company/kumubox" r:id="rId2339"/>
    <hyperlink xmlns:r="http://schemas.openxmlformats.org/officeDocument/2006/relationships" ref="Y710" display="https://drive.google.com/uc?export=view&amp;id=1DwzkIMY5C7nuEFTNy9EHXRwJVbp4aWFK" r:id="rId2340"/>
    <hyperlink xmlns:r="http://schemas.openxmlformats.org/officeDocument/2006/relationships" ref="E711" display="https://www.tutory.de/" r:id="rId2341"/>
    <hyperlink xmlns:r="http://schemas.openxmlformats.org/officeDocument/2006/relationships" ref="R711" display="https://www.instagram.com/tutoryde/" r:id="rId2342"/>
    <hyperlink xmlns:r="http://schemas.openxmlformats.org/officeDocument/2006/relationships" ref="S711" display="https://twitter.com/tutoryde" r:id="rId2343"/>
    <hyperlink xmlns:r="http://schemas.openxmlformats.org/officeDocument/2006/relationships" ref="T711" display="https://www.linkedin.com/company/tutory-de/" r:id="rId2344"/>
    <hyperlink xmlns:r="http://schemas.openxmlformats.org/officeDocument/2006/relationships" ref="Y711" display="https://drive.google.com/uc?export=view&amp;id=1dlvNSdxBDXg9oikLKHhICwf02gHN12Of" r:id="rId2345"/>
    <hyperlink xmlns:r="http://schemas.openxmlformats.org/officeDocument/2006/relationships" ref="E712" display="https://lingobo.com/" r:id="rId2346"/>
    <hyperlink xmlns:r="http://schemas.openxmlformats.org/officeDocument/2006/relationships" ref="S712" display="https://twitter.com/lingobo_es" r:id="rId2347"/>
    <hyperlink xmlns:r="http://schemas.openxmlformats.org/officeDocument/2006/relationships" ref="T712" display="https://www.linkedin.com/company/lingobo" r:id="rId2348"/>
    <hyperlink xmlns:r="http://schemas.openxmlformats.org/officeDocument/2006/relationships" ref="Y712" display="https://drive.google.com/uc?export=view&amp;id=1FqRpqAOWuDawLl4PIUbcgmY3N6nnHPuE" r:id="rId2349"/>
    <hyperlink xmlns:r="http://schemas.openxmlformats.org/officeDocument/2006/relationships" ref="E713" display="http://eo-space.com/" r:id="rId2350"/>
    <hyperlink xmlns:r="http://schemas.openxmlformats.org/officeDocument/2006/relationships" ref="Y713" display="https://drive.google.com/uc?export=view&amp;id=1qB6GzmSy5oPKKHQoOGmIo-8pjQA5Jefk" r:id="rId2351"/>
    <hyperlink xmlns:r="http://schemas.openxmlformats.org/officeDocument/2006/relationships" ref="E714" display="https://ste.education/en/" r:id="rId2352"/>
    <hyperlink xmlns:r="http://schemas.openxmlformats.org/officeDocument/2006/relationships" ref="Y714" display="https://drive.google.com/uc?export=view&amp;id=1vSmmNno_c5HxQ47ga4u-uBObAzbA7_S_" r:id="rId2353"/>
    <hyperlink xmlns:r="http://schemas.openxmlformats.org/officeDocument/2006/relationships" ref="E715" display="http://www.educabiz.com/" r:id="rId2354"/>
    <hyperlink xmlns:r="http://schemas.openxmlformats.org/officeDocument/2006/relationships" ref="Y715" display="https://drive.google.com/uc?export=view&amp;id=1oYZENRaok24WudfC6n64pfNaHsjoMDhQ" r:id="rId2355"/>
    <hyperlink xmlns:r="http://schemas.openxmlformats.org/officeDocument/2006/relationships" ref="E716" display="http://www.skolenfri.dk/" r:id="rId2356"/>
    <hyperlink xmlns:r="http://schemas.openxmlformats.org/officeDocument/2006/relationships" ref="R716" display="https://www.instagram.com/skolenfri/" r:id="rId2357"/>
    <hyperlink xmlns:r="http://schemas.openxmlformats.org/officeDocument/2006/relationships" ref="T716" display="https://www.linkedin.com/company/77617145" r:id="rId2358"/>
    <hyperlink xmlns:r="http://schemas.openxmlformats.org/officeDocument/2006/relationships" ref="Y716" display="https://drive.google.com/uc?export=view&amp;id=1cZFJB9wD_vCk1pSkTLsHiWVtW4_ZvYTd" r:id="rId2359"/>
    <hyperlink xmlns:r="http://schemas.openxmlformats.org/officeDocument/2006/relationships" ref="E717" display="https://allcourses.ie/" r:id="rId2360"/>
    <hyperlink xmlns:r="http://schemas.openxmlformats.org/officeDocument/2006/relationships" ref="Y717" display="https://drive.google.com/uc?export=view&amp;id=15Q4zvPfU_0Vq87tD9zJWNfQyKKlir97p" r:id="rId2361"/>
    <hyperlink xmlns:r="http://schemas.openxmlformats.org/officeDocument/2006/relationships" ref="E718" display="http://www.robotemil.com/" r:id="rId2362"/>
    <hyperlink xmlns:r="http://schemas.openxmlformats.org/officeDocument/2006/relationships" ref="Y718" display="https://drive.google.com/uc?export=view&amp;id=1Ihn_2r98TvoY226YqSIpj8D3EBCRS4VZ" r:id="rId2363"/>
    <hyperlink xmlns:r="http://schemas.openxmlformats.org/officeDocument/2006/relationships" ref="E719" display="https://grupovertice.com/" r:id="rId2364"/>
    <hyperlink xmlns:r="http://schemas.openxmlformats.org/officeDocument/2006/relationships" ref="Y719" display="https://drive.google.com/uc?export=view&amp;id=1mJy8rh0q7nBZlB9qjdMAiLpZbJixleeU" r:id="rId2365"/>
    <hyperlink xmlns:r="http://schemas.openxmlformats.org/officeDocument/2006/relationships" ref="E720" display="https://www.gamoteca.com/" r:id="rId2366"/>
    <hyperlink xmlns:r="http://schemas.openxmlformats.org/officeDocument/2006/relationships" ref="Y720" display="https://drive.google.com/uc?export=view&amp;id=1YIY0K40cGnCUUtZ0HtjuShn51_07dz5D" r:id="rId2367"/>
    <hyperlink xmlns:r="http://schemas.openxmlformats.org/officeDocument/2006/relationships" ref="E721" display="https://three-cubes.net/" r:id="rId2368"/>
    <hyperlink xmlns:r="http://schemas.openxmlformats.org/officeDocument/2006/relationships" ref="R721" display="https://www.instagram.com/threecubescompany/" r:id="rId2369"/>
    <hyperlink xmlns:r="http://schemas.openxmlformats.org/officeDocument/2006/relationships" ref="T721" display="https://www.linkedin.com/company/three-cubes/" r:id="rId2370"/>
    <hyperlink xmlns:r="http://schemas.openxmlformats.org/officeDocument/2006/relationships" ref="Y721" display="https://drive.google.com/uc?export=view&amp;id=1mmzOosgg2TkNlKmk7kFidY7TZjMHTJNL" r:id="rId2371"/>
    <hyperlink xmlns:r="http://schemas.openxmlformats.org/officeDocument/2006/relationships" ref="E722" display="http://www.timelinefy.com/" r:id="rId2372"/>
    <hyperlink xmlns:r="http://schemas.openxmlformats.org/officeDocument/2006/relationships" ref="Y722" display="https://drive.google.com/uc?export=view&amp;id=1ff7ez4UHFj29d0-3cukPQCjUBR309QEp" r:id="rId2373"/>
    <hyperlink xmlns:r="http://schemas.openxmlformats.org/officeDocument/2006/relationships" ref="E723" display="http://www.uniwise.co.uk/" r:id="rId2374"/>
    <hyperlink xmlns:r="http://schemas.openxmlformats.org/officeDocument/2006/relationships" ref="S723" display="https://twitter.com/UNIwiseDK" r:id="rId2375"/>
    <hyperlink xmlns:r="http://schemas.openxmlformats.org/officeDocument/2006/relationships" ref="T723" display="https://www.linkedin.com/company/uniwise-aps/" r:id="rId2376"/>
    <hyperlink xmlns:r="http://schemas.openxmlformats.org/officeDocument/2006/relationships" ref="Y723" display="https://drive.google.com/uc?export=view&amp;id=1RVBCyR6pERkc5iarVMl1p5lLI-sQr6I3" r:id="rId2377"/>
    <hyperlink xmlns:r="http://schemas.openxmlformats.org/officeDocument/2006/relationships" ref="E724" display="http://smartcoding.se/" r:id="rId2378"/>
    <hyperlink xmlns:r="http://schemas.openxmlformats.org/officeDocument/2006/relationships" ref="Y724" display="https://drive.google.com/uc?export=view&amp;id=1s4hOjStIwnkt_0F89dQIv8a4e4gy3RLi" r:id="rId2379"/>
    <hyperlink xmlns:r="http://schemas.openxmlformats.org/officeDocument/2006/relationships" ref="E725" display="https://nualang.com/" r:id="rId2380"/>
    <hyperlink xmlns:r="http://schemas.openxmlformats.org/officeDocument/2006/relationships" ref="Y725" display="https://drive.google.com/uc?export=view&amp;id=1dj0dmjDlliLUhJQUJCyjWPAxFZlp8_Zn" r:id="rId2381"/>
    <hyperlink xmlns:r="http://schemas.openxmlformats.org/officeDocument/2006/relationships" ref="E726" display="https://datorium.eu/" r:id="rId2382"/>
    <hyperlink xmlns:r="http://schemas.openxmlformats.org/officeDocument/2006/relationships" ref="Y726" display="https://drive.google.com/uc?export=view&amp;id=1ATH7fBNgzG5jtccR774xWsOpHAYYtFqk" r:id="rId2383"/>
    <hyperlink xmlns:r="http://schemas.openxmlformats.org/officeDocument/2006/relationships" ref="E727" display="http://neotica.net/" r:id="rId2384"/>
    <hyperlink xmlns:r="http://schemas.openxmlformats.org/officeDocument/2006/relationships" ref="S727" display="https://twitter.com/neoticasolution?s=20&amp;t=Ok5IOuFs3PMviPFZ2PDQvQ" r:id="rId2385"/>
    <hyperlink xmlns:r="http://schemas.openxmlformats.org/officeDocument/2006/relationships" ref="T727" display="https://www.linkedin.com/company/neotica-solutions/" r:id="rId2386"/>
    <hyperlink xmlns:r="http://schemas.openxmlformats.org/officeDocument/2006/relationships" ref="Y727" display="https://drive.google.com/uc?export=view&amp;id=1FzK_HWgbHCWMc0pGFQ0LefHahvhx2-6v" r:id="rId2387"/>
    <hyperlink xmlns:r="http://schemas.openxmlformats.org/officeDocument/2006/relationships" ref="E728" display="https://synergetics.us/" r:id="rId2388"/>
    <hyperlink xmlns:r="http://schemas.openxmlformats.org/officeDocument/2006/relationships" ref="Y728" display="https://drive.google.com/uc?export=view&amp;id=1yN8Yrn7LtfYhqQudK2RC_Q9QESOLmIkJ" r:id="rId2389"/>
    <hyperlink xmlns:r="http://schemas.openxmlformats.org/officeDocument/2006/relationships" ref="D729" display="http://spatium.bg/" r:id="rId2390"/>
    <hyperlink xmlns:r="http://schemas.openxmlformats.org/officeDocument/2006/relationships" ref="E729" display="https://spatium.bg/" r:id="rId2391"/>
    <hyperlink xmlns:r="http://schemas.openxmlformats.org/officeDocument/2006/relationships" ref="Y729" display="https://drive.google.com/uc?export=view&amp;id=1kgLR5bh9rN9D5WI8QqgWZhahGMXUGaar" r:id="rId2392"/>
    <hyperlink xmlns:r="http://schemas.openxmlformats.org/officeDocument/2006/relationships" ref="E730" display="https://toptutors.dk/" r:id="rId2393"/>
    <hyperlink xmlns:r="http://schemas.openxmlformats.org/officeDocument/2006/relationships" ref="Y730" display="https://drive.google.com/uc?export=view&amp;id=1c_RUpubaZy_QmHPx46iXQhy5rUoL92dJ" r:id="rId2394"/>
    <hyperlink xmlns:r="http://schemas.openxmlformats.org/officeDocument/2006/relationships" ref="E731" display="https://aktivtime.dk/" r:id="rId2395"/>
    <hyperlink xmlns:r="http://schemas.openxmlformats.org/officeDocument/2006/relationships" ref="R731" display="https://www.instagram.com/aktivtime.dk/" r:id="rId2396"/>
    <hyperlink xmlns:r="http://schemas.openxmlformats.org/officeDocument/2006/relationships" ref="T731" display="https://www.linkedin.com/company/aktivtime/" r:id="rId2397"/>
    <hyperlink xmlns:r="http://schemas.openxmlformats.org/officeDocument/2006/relationships" ref="U731" display="http://aktivtime.dk/" r:id="rId2398"/>
    <hyperlink xmlns:r="http://schemas.openxmlformats.org/officeDocument/2006/relationships" ref="Y731" display="https://drive.google.com/uc?export=view&amp;id=1pi4VHV5nWHpT34pZO0fytTJQxq8COk0q" r:id="rId2399"/>
    <hyperlink xmlns:r="http://schemas.openxmlformats.org/officeDocument/2006/relationships" ref="E732" display="http://www.jeulin.com/" r:id="rId2400"/>
    <hyperlink xmlns:r="http://schemas.openxmlformats.org/officeDocument/2006/relationships" ref="S732" display="https://twitter.com/Jeulin_fr" r:id="rId2401"/>
    <hyperlink xmlns:r="http://schemas.openxmlformats.org/officeDocument/2006/relationships" ref="Y732" display="https://drive.google.com/uc?export=view&amp;id=1FqYCzcmA-BNTHznSnWftxBwydxXdgce1" r:id="rId2402"/>
    <hyperlink xmlns:r="http://schemas.openxmlformats.org/officeDocument/2006/relationships" ref="E733" display="https://beespeaker.com/" r:id="rId2403"/>
    <hyperlink xmlns:r="http://schemas.openxmlformats.org/officeDocument/2006/relationships" ref="R733" display="https://www.instagram.com/beespeakerapp" r:id="rId2404"/>
    <hyperlink xmlns:r="http://schemas.openxmlformats.org/officeDocument/2006/relationships" ref="T733" display="https://www.linkedin.com/company/beespeaker/" r:id="rId2405"/>
    <hyperlink xmlns:r="http://schemas.openxmlformats.org/officeDocument/2006/relationships" ref="Y733" display="https://drive.google.com/uc?export=view&amp;id=15IOuQQnvl-ZT9cjW7hRqwiuDbMY6L4st" r:id="rId2406"/>
    <hyperlink xmlns:r="http://schemas.openxmlformats.org/officeDocument/2006/relationships" ref="E734" display="https://www.artologik.com/en/survey-report/solutions/schools-universities" r:id="rId2407"/>
    <hyperlink xmlns:r="http://schemas.openxmlformats.org/officeDocument/2006/relationships" ref="T734" display="https://www.linkedin.com/company/artologik" r:id="rId2408"/>
    <hyperlink xmlns:r="http://schemas.openxmlformats.org/officeDocument/2006/relationships" ref="Y734" display="https://drive.google.com/uc?export=view&amp;id=1svAe06Bmq8_eIcLyFaIV2yCER4w-aSw2" r:id="rId2409"/>
    <hyperlink xmlns:r="http://schemas.openxmlformats.org/officeDocument/2006/relationships" ref="E735" display="https://avetica.nl/" r:id="rId2410"/>
    <hyperlink xmlns:r="http://schemas.openxmlformats.org/officeDocument/2006/relationships" ref="Y735" display="https://drive.google.com/uc?export=view&amp;id=1e-Ep0bWYs2lPGR4xKiPT9HqvutJayA8o" r:id="rId2411"/>
    <hyperlink xmlns:r="http://schemas.openxmlformats.org/officeDocument/2006/relationships" ref="E736" display="http://www.questakids.com/" r:id="rId2412"/>
    <hyperlink xmlns:r="http://schemas.openxmlformats.org/officeDocument/2006/relationships" ref="Y736" display="https://drive.google.com/uc?export=view&amp;id=1klwF-uxPHZzKB5UC-syrd0iZpu66XB06" r:id="rId2413"/>
    <hyperlink xmlns:r="http://schemas.openxmlformats.org/officeDocument/2006/relationships" ref="E737" display="https://unitz.biz/en/" r:id="rId2414"/>
    <hyperlink xmlns:r="http://schemas.openxmlformats.org/officeDocument/2006/relationships" ref="Y737" display="https://drive.google.com/uc?export=view&amp;id=1sOPDuWAwgDwEzDsTp2C24jlkxJ--8PTH" r:id="rId2415"/>
    <hyperlink xmlns:r="http://schemas.openxmlformats.org/officeDocument/2006/relationships" ref="E738" display="https://www.vuhackathon.lt/" r:id="rId2416"/>
    <hyperlink xmlns:r="http://schemas.openxmlformats.org/officeDocument/2006/relationships" ref="Y738" display="https://drive.google.com/uc?export=view&amp;id=1s9AKJ65DnEN5R8ezeRU2-Rwsow5S84mg" r:id="rId2417"/>
    <hyperlink xmlns:r="http://schemas.openxmlformats.org/officeDocument/2006/relationships" ref="E739" display="https://designingeducationprojectlab.notion.site/" r:id="rId2418"/>
    <hyperlink xmlns:r="http://schemas.openxmlformats.org/officeDocument/2006/relationships" ref="Y739" display="https://drive.google.com/uc?export=view&amp;id=1Lh5meoBuGuN7jFEGCkmQNLVVgf5ReHuN" r:id="rId2419"/>
    <hyperlink xmlns:r="http://schemas.openxmlformats.org/officeDocument/2006/relationships" ref="E740" display="https://getsourcer.com/" r:id="rId2420"/>
    <hyperlink xmlns:r="http://schemas.openxmlformats.org/officeDocument/2006/relationships" ref="T740" display="https://www.linkedin.com/company/getsourcer" r:id="rId2421"/>
    <hyperlink xmlns:r="http://schemas.openxmlformats.org/officeDocument/2006/relationships" ref="Y740" display="https://drive.google.com/uc?export=view&amp;id=1TlwrCKAKn1Iwb5U1q9tav-XBPir2n1VS" r:id="rId2422"/>
    <hyperlink xmlns:r="http://schemas.openxmlformats.org/officeDocument/2006/relationships" ref="E741" display="https://chunkx.net/" r:id="rId2423"/>
    <hyperlink xmlns:r="http://schemas.openxmlformats.org/officeDocument/2006/relationships" ref="Y741" display="https://drive.google.com/uc?export=view&amp;id=1KYncQoy4JP9bbNFEFNqcgXOuMDMnoqEU" r:id="rId2424"/>
    <hyperlink xmlns:r="http://schemas.openxmlformats.org/officeDocument/2006/relationships" ref="E742" display="http://www.solutio.app/" r:id="rId2425"/>
    <hyperlink xmlns:r="http://schemas.openxmlformats.org/officeDocument/2006/relationships" ref="R742" display="https://www.instagram.com/solutio.app" r:id="rId2426"/>
    <hyperlink xmlns:r="http://schemas.openxmlformats.org/officeDocument/2006/relationships" ref="T742" display="https://www.linkedin.com/company/solutio-app/" r:id="rId2427"/>
    <hyperlink xmlns:r="http://schemas.openxmlformats.org/officeDocument/2006/relationships" ref="Y742" display="https://drive.google.com/uc?export=view&amp;id=1OI7k7ncHnZSEM4NQe69jWfgTV9E8tQC2" r:id="rId2428"/>
    <hyperlink xmlns:r="http://schemas.openxmlformats.org/officeDocument/2006/relationships" ref="E743" display="https://www.squidll.com/" r:id="rId2429"/>
    <hyperlink xmlns:r="http://schemas.openxmlformats.org/officeDocument/2006/relationships" ref="R743" display="https://www.instagram.com/squidll_languagelearning/" r:id="rId2430"/>
    <hyperlink xmlns:r="http://schemas.openxmlformats.org/officeDocument/2006/relationships" ref="T743" display="https://www.linkedin.com/company/squidll" r:id="rId2431"/>
    <hyperlink xmlns:r="http://schemas.openxmlformats.org/officeDocument/2006/relationships" ref="Y743" display="https://drive.google.com/uc?export=view&amp;id=1l1Fkx4JqoycVDfhVajMOaqh0pkImtsM0" r:id="rId2432"/>
    <hyperlink xmlns:r="http://schemas.openxmlformats.org/officeDocument/2006/relationships" ref="E744" display="http://www.bookwidgets.com/" r:id="rId2433"/>
    <hyperlink xmlns:r="http://schemas.openxmlformats.org/officeDocument/2006/relationships" ref="S744" display="https://twitter.com/ibookwidgets" r:id="rId2434"/>
    <hyperlink xmlns:r="http://schemas.openxmlformats.org/officeDocument/2006/relationships" ref="T744" display="https://www.linkedin.com/company/bookwidgets/" r:id="rId2435"/>
    <hyperlink xmlns:r="http://schemas.openxmlformats.org/officeDocument/2006/relationships" ref="Y744" display="https://drive.google.com/uc?export=view&amp;id=1vPHJvs5pKCIy1msQFUKEn1CP0ZOjfLVY" r:id="rId2436"/>
    <hyperlink xmlns:r="http://schemas.openxmlformats.org/officeDocument/2006/relationships" ref="E745" display="https://www.danberg.org/" r:id="rId2437"/>
    <hyperlink xmlns:r="http://schemas.openxmlformats.org/officeDocument/2006/relationships" ref="T745" display="https://www.linkedin.com/company/82704373/" r:id="rId2438"/>
    <hyperlink xmlns:r="http://schemas.openxmlformats.org/officeDocument/2006/relationships" ref="Y745" display="https://drive.google.com/uc?export=view&amp;id=1aIoPSmLQI1jDjZbZPZfFD-3O0wGIs-Rj" r:id="rId2439"/>
    <hyperlink xmlns:r="http://schemas.openxmlformats.org/officeDocument/2006/relationships" ref="E746" display="https://splended.co/" r:id="rId2440"/>
    <hyperlink xmlns:r="http://schemas.openxmlformats.org/officeDocument/2006/relationships" ref="Y746" display="https://drive.google.com/uc?export=view&amp;id=1fC6OGmsfLLIUZAVqd0JYpl6TYWWHTdHb" r:id="rId2441"/>
    <hyperlink xmlns:r="http://schemas.openxmlformats.org/officeDocument/2006/relationships" ref="E747" display="https://www.totalymage.com/" r:id="rId2442"/>
    <hyperlink xmlns:r="http://schemas.openxmlformats.org/officeDocument/2006/relationships" ref="T747" display="https://www.linkedin.com/company/totalymage/" r:id="rId2443"/>
    <hyperlink xmlns:r="http://schemas.openxmlformats.org/officeDocument/2006/relationships" ref="Y747" display="https://drive.google.com/uc?export=view&amp;id=1lH1ewN-scErwQ5D4ISMxj-LuCIvbPSI5" r:id="rId2444"/>
    <hyperlink xmlns:r="http://schemas.openxmlformats.org/officeDocument/2006/relationships" ref="E748" display="https://betterstudy.ch/" r:id="rId2445"/>
    <hyperlink xmlns:r="http://schemas.openxmlformats.org/officeDocument/2006/relationships" ref="R748" display="https://www.instagram.com/betterstudy_online_course" r:id="rId2446"/>
    <hyperlink xmlns:r="http://schemas.openxmlformats.org/officeDocument/2006/relationships" ref="T748" display="https://www.linkedin.com/school/betterstudy-cours-en-ligne/" r:id="rId2447"/>
    <hyperlink xmlns:r="http://schemas.openxmlformats.org/officeDocument/2006/relationships" ref="Y748" display="https://drive.google.com/uc?export=view&amp;id=153eeYwOMnR9XiUKtTshubB1yRtrXy5zv" r:id="rId2448"/>
    <hyperlink xmlns:r="http://schemas.openxmlformats.org/officeDocument/2006/relationships" ref="E749" display="https://www.tralalere.com/" r:id="rId2449"/>
    <hyperlink xmlns:r="http://schemas.openxmlformats.org/officeDocument/2006/relationships" ref="R749" display="https://www.instagram.com/internetsanscrainte/" r:id="rId2450"/>
    <hyperlink xmlns:r="http://schemas.openxmlformats.org/officeDocument/2006/relationships" ref="S749" display="https://twitter.com/tralalere" r:id="rId2451"/>
    <hyperlink xmlns:r="http://schemas.openxmlformats.org/officeDocument/2006/relationships" ref="T749" display="https://linkedin.com/showcase/tralalere" r:id="rId2452"/>
    <hyperlink xmlns:r="http://schemas.openxmlformats.org/officeDocument/2006/relationships" ref="Y749" display="https://drive.google.com/uc?export=view&amp;id=1v82qqWW9-G2zQOb-ebl6_0VEWMR2-Trs" r:id="rId2453"/>
    <hyperlink xmlns:r="http://schemas.openxmlformats.org/officeDocument/2006/relationships" ref="E750" display="http://younichoice.com/" r:id="rId2454"/>
    <hyperlink xmlns:r="http://schemas.openxmlformats.org/officeDocument/2006/relationships" ref="R750" display="https://instagram.com/younichoice?igshid=MzRlODBiNWFlZA==" r:id="rId2455"/>
    <hyperlink xmlns:r="http://schemas.openxmlformats.org/officeDocument/2006/relationships" ref="T750" display="https://www.linkedin.com/company/younichoice" r:id="rId2456"/>
    <hyperlink xmlns:r="http://schemas.openxmlformats.org/officeDocument/2006/relationships" ref="Y750" display="https://drive.google.com/uc?export=view&amp;id=1P-OeIhNlALtw_mWRRoqF63w8Darlee_0" r:id="rId2457"/>
    <hyperlink xmlns:r="http://schemas.openxmlformats.org/officeDocument/2006/relationships" ref="E751" display="https://lifeteachus.org/" r:id="rId2458"/>
    <hyperlink xmlns:r="http://schemas.openxmlformats.org/officeDocument/2006/relationships" ref="Y751" display="https://drive.google.com/uc?export=view&amp;id=1EgXqwnz-Uen_Iza8AA1gRlpjCkD5zSvW" r:id="rId2459"/>
    <hyperlink xmlns:r="http://schemas.openxmlformats.org/officeDocument/2006/relationships" ref="E752" display="https://www.thing.online/" r:id="rId2460"/>
    <hyperlink xmlns:r="http://schemas.openxmlformats.org/officeDocument/2006/relationships" ref="Y752" display="https://drive.google.com/uc?export=view&amp;id=1nsjh1wzdW1WIepT09Jxoiu0WGloOL0We" r:id="rId2461"/>
    <hyperlink xmlns:r="http://schemas.openxmlformats.org/officeDocument/2006/relationships" ref="E753" display="http://www.gility.it/" r:id="rId2462"/>
    <hyperlink xmlns:r="http://schemas.openxmlformats.org/officeDocument/2006/relationships" ref="T753" display="https://www.linkedin.com/company/gility-italia/" r:id="rId2463"/>
    <hyperlink xmlns:r="http://schemas.openxmlformats.org/officeDocument/2006/relationships" ref="Y753" display="https://drive.google.com/uc?export=view&amp;id=11F5SD1J0H2Gegp816nHzTfnQhjUuiGU2" r:id="rId2464"/>
    <hyperlink xmlns:r="http://schemas.openxmlformats.org/officeDocument/2006/relationships" ref="E754" display="http://etutee.eu/" r:id="rId2465"/>
    <hyperlink xmlns:r="http://schemas.openxmlformats.org/officeDocument/2006/relationships" ref="Y754" display="https://drive.google.com/uc?export=view&amp;id=1QY2kDuDqae0K8W4vr5ifz1-7Zs5qoGh7" r:id="rId2466"/>
    <hyperlink xmlns:r="http://schemas.openxmlformats.org/officeDocument/2006/relationships" ref="E755" display="http://www.edcompass.net/" r:id="rId2467"/>
    <hyperlink xmlns:r="http://schemas.openxmlformats.org/officeDocument/2006/relationships" ref="Y755" display="https://drive.google.com/uc?export=view&amp;id=1bQD0qP6x513BjDXMQs71GVHkAXz4oXwQ" r:id="rId2468"/>
    <hyperlink xmlns:r="http://schemas.openxmlformats.org/officeDocument/2006/relationships" ref="E756" display="https://digiscovery.de/" r:id="rId2469"/>
    <hyperlink xmlns:r="http://schemas.openxmlformats.org/officeDocument/2006/relationships" ref="Y756" display="https://drive.google.com/uc?export=view&amp;id=1iYfS9PxvLej3mZuLJLo_X1YeLkY84BNe" r:id="rId2470"/>
    <hyperlink xmlns:r="http://schemas.openxmlformats.org/officeDocument/2006/relationships" ref="E757" display="http://www.acceleralia.com/" r:id="rId2471"/>
    <hyperlink xmlns:r="http://schemas.openxmlformats.org/officeDocument/2006/relationships" ref="Y757" display="https://drive.google.com/uc?export=view&amp;id=1tFPGwgBx9Y5O9LhRqwdc9Na_NFucrdCs" r:id="rId2472"/>
    <hyperlink xmlns:r="http://schemas.openxmlformats.org/officeDocument/2006/relationships" ref="E758" display="http://www.bidi.one/" r:id="rId2473"/>
    <hyperlink xmlns:r="http://schemas.openxmlformats.org/officeDocument/2006/relationships" ref="Y758" display="https://drive.google.com/uc?export=view&amp;id=1U4yjI2otexzgkvLalSVRamXMfm2s8fVO" r:id="rId2474"/>
    <hyperlink xmlns:r="http://schemas.openxmlformats.org/officeDocument/2006/relationships" ref="E759" display="https://www.databooster.io/" r:id="rId2475"/>
    <hyperlink xmlns:r="http://schemas.openxmlformats.org/officeDocument/2006/relationships" ref="T759" display="https://www.linkedin.com/company/data-booster" r:id="rId2476"/>
    <hyperlink xmlns:r="http://schemas.openxmlformats.org/officeDocument/2006/relationships" ref="Y759" display="https://drive.google.com/uc?export=view&amp;id=1hxKq_gy7X4i88hHpk9PkL-HZfgDVFPAk" r:id="rId2477"/>
    <hyperlink xmlns:r="http://schemas.openxmlformats.org/officeDocument/2006/relationships" ref="E760" display="http://digiep.com/" r:id="rId2478"/>
    <hyperlink xmlns:r="http://schemas.openxmlformats.org/officeDocument/2006/relationships" ref="Y760" display="https://drive.google.com/uc?export=view&amp;id=1DA84O7PM3aTBbui_L9NIFttaWsYRQRuB" r:id="rId2479"/>
    <hyperlink xmlns:r="http://schemas.openxmlformats.org/officeDocument/2006/relationships" ref="E761" display="http://www.eccedu.net/" r:id="rId2480"/>
    <hyperlink xmlns:r="http://schemas.openxmlformats.org/officeDocument/2006/relationships" ref="Y761" display="https://drive.google.com/uc?export=view&amp;id=1doh5HeaKMY1-T140TCP40egIw-z1sba9" r:id="rId2481"/>
    <hyperlink xmlns:r="http://schemas.openxmlformats.org/officeDocument/2006/relationships" ref="E762" display="http://www.lektionsakuten.com/" r:id="rId2482"/>
    <hyperlink xmlns:r="http://schemas.openxmlformats.org/officeDocument/2006/relationships" ref="R762" display="http://www.instagram.com/lektionsakuten_sverige" r:id="rId2483"/>
    <hyperlink xmlns:r="http://schemas.openxmlformats.org/officeDocument/2006/relationships" ref="T762" display="https://www.linkedin.com/company/lektionsakuten/" r:id="rId2484"/>
    <hyperlink xmlns:r="http://schemas.openxmlformats.org/officeDocument/2006/relationships" ref="Y762" display="https://drive.google.com/uc?export=view&amp;id=175VQOERsSyJ0yPCPlyRlFA21REzdD0ad" r:id="rId2485"/>
    <hyperlink xmlns:r="http://schemas.openxmlformats.org/officeDocument/2006/relationships" ref="E763" display="https://skillbest.com/" r:id="rId2486"/>
    <hyperlink xmlns:r="http://schemas.openxmlformats.org/officeDocument/2006/relationships" ref="T763" display="https://www.linkedin.com/company/skillbest/" r:id="rId2487"/>
    <hyperlink xmlns:r="http://schemas.openxmlformats.org/officeDocument/2006/relationships" ref="Y763" display="https://drive.google.com/uc?export=view&amp;id=1Hn3ZnqEZa2Bw3qfxP5c2Kr3SYAZkdmOe" r:id="rId2488"/>
    <hyperlink xmlns:r="http://schemas.openxmlformats.org/officeDocument/2006/relationships" ref="E764" display="https://www.wiseshot.io/" r:id="rId2489"/>
    <hyperlink xmlns:r="http://schemas.openxmlformats.org/officeDocument/2006/relationships" ref="Y764" display="https://drive.google.com/uc?export=view&amp;id=123X7fO-nyjH0zdgvZ2zirwR7egkYcXsW" r:id="rId2490"/>
    <hyperlink xmlns:r="http://schemas.openxmlformats.org/officeDocument/2006/relationships" ref="E765" display="http://scorionportfolio.com/" r:id="rId2491"/>
    <hyperlink xmlns:r="http://schemas.openxmlformats.org/officeDocument/2006/relationships" ref="T765" display="https://www.linkedin.com/showcase/scorion-nederland/" r:id="rId2492"/>
    <hyperlink xmlns:r="http://schemas.openxmlformats.org/officeDocument/2006/relationships" ref="Y765" display="https://drive.google.com/uc?export=view&amp;id=1REP-C_d6joDzOtJ3t0tg0tkoyHk1rh_Y" r:id="rId2493"/>
    <hyperlink xmlns:r="http://schemas.openxmlformats.org/officeDocument/2006/relationships" ref="E766" display="https://www.growify.de/" r:id="rId2494"/>
    <hyperlink xmlns:r="http://schemas.openxmlformats.org/officeDocument/2006/relationships" ref="Y766" display="https://drive.google.com/uc?export=view&amp;id=1Q8NtsauMey7bHakZonsAAiQPemAVU3Gd" r:id="rId2495"/>
    <hyperlink xmlns:r="http://schemas.openxmlformats.org/officeDocument/2006/relationships" ref="E767" display="http://www.doquagroup.com/" r:id="rId2496"/>
    <hyperlink xmlns:r="http://schemas.openxmlformats.org/officeDocument/2006/relationships" ref="T767" display="https://es.linkedin.com/company/doqua" r:id="rId2497"/>
    <hyperlink xmlns:r="http://schemas.openxmlformats.org/officeDocument/2006/relationships" ref="Y767" display="https://drive.google.com/uc?export=view&amp;id=1yYT_VWAC63ZZmDc1bQkFfzDXVJudcZj6" r:id="rId2498"/>
    <hyperlink xmlns:r="http://schemas.openxmlformats.org/officeDocument/2006/relationships" ref="E768" display="https://onlinekidsacademy.org/" r:id="rId2499"/>
    <hyperlink xmlns:r="http://schemas.openxmlformats.org/officeDocument/2006/relationships" ref="Y768" display="https://drive.google.com/uc?export=view&amp;id=1mPLWBnUGuuxQmVcLFbMi6IpEJvNP0nCg" r:id="rId2500"/>
    <hyperlink xmlns:r="http://schemas.openxmlformats.org/officeDocument/2006/relationships" ref="E769" display="https://www.coursesonline.co.uk/" r:id="rId2501"/>
    <hyperlink xmlns:r="http://schemas.openxmlformats.org/officeDocument/2006/relationships" ref="Y769" display="https://drive.google.com/uc?export=view&amp;id=1aS02suLdlUJJPOfa7xXW1WubJLAMHsEl" r:id="rId2502"/>
    <hyperlink xmlns:r="http://schemas.openxmlformats.org/officeDocument/2006/relationships" ref="E770" display="https://www.codum.cc/" r:id="rId2503"/>
    <hyperlink xmlns:r="http://schemas.openxmlformats.org/officeDocument/2006/relationships" ref="Y770" display="https://drive.google.com/uc?export=view&amp;id=16VgmG-LhxpKU8UEk-7q3_kjq2Ye6wq-T" r:id="rId2504"/>
    <hyperlink xmlns:r="http://schemas.openxmlformats.org/officeDocument/2006/relationships" ref="E771" display="http://robocode.uk/" r:id="rId2505"/>
    <hyperlink xmlns:r="http://schemas.openxmlformats.org/officeDocument/2006/relationships" ref="Y771" display="https://drive.google.com/uc?export=view&amp;id=1Em-Y7aLAXPQRKmo0L6qBJ7U67KuxIZya" r:id="rId2506"/>
    <hyperlink xmlns:r="http://schemas.openxmlformats.org/officeDocument/2006/relationships" ref="E772" display="https://scoolsy.com/" r:id="rId2507"/>
    <hyperlink xmlns:r="http://schemas.openxmlformats.org/officeDocument/2006/relationships" ref="T772" display="https://www.linkedin.com/company/scoolsy" r:id="rId2508"/>
    <hyperlink xmlns:r="http://schemas.openxmlformats.org/officeDocument/2006/relationships" ref="Y772" display="https://drive.google.com/uc?export=view&amp;id=1KFPffP8UrrwcWkA2pybECVI3ZfRJ_mBL" r:id="rId2509"/>
    <hyperlink xmlns:r="http://schemas.openxmlformats.org/officeDocument/2006/relationships" ref="Y773" display="https://drive.google.com/uc?export=view&amp;id=12We5N84tGGc6F_1TB6b_TdW6liFeBBuf" r:id="rId2510"/>
    <hyperlink xmlns:r="http://schemas.openxmlformats.org/officeDocument/2006/relationships" ref="E774" display="https://radicalhr.it/" r:id="rId2511"/>
    <hyperlink xmlns:r="http://schemas.openxmlformats.org/officeDocument/2006/relationships" ref="R774" display="https://www.instagram.com/radical_hr/" r:id="rId2512"/>
    <hyperlink xmlns:r="http://schemas.openxmlformats.org/officeDocument/2006/relationships" ref="T774" display="https://www.linkedin.com/school/radicalhr/?viewAsMember=true" r:id="rId2513"/>
    <hyperlink xmlns:r="http://schemas.openxmlformats.org/officeDocument/2006/relationships" ref="Y774" display="https://drive.google.com/uc?export=view&amp;id=15ywo_F2QF6oy5jvXPf0W5yN_1ihPwwQT" r:id="rId2514"/>
    <hyperlink xmlns:r="http://schemas.openxmlformats.org/officeDocument/2006/relationships" ref="T775" display="https://www.linkedin.com/company/skillstown/" r:id="rId2515"/>
    <hyperlink xmlns:r="http://schemas.openxmlformats.org/officeDocument/2006/relationships" ref="Y775" display="https://drive.google.com/uc?export=view&amp;id=1cdFaS1LdnPlz1j8V6gV_2FYEhjsSetf1" r:id="rId2516"/>
    <hyperlink xmlns:r="http://schemas.openxmlformats.org/officeDocument/2006/relationships" ref="E776" display="http://www.studentlink.it/" r:id="rId2517"/>
    <hyperlink xmlns:r="http://schemas.openxmlformats.org/officeDocument/2006/relationships" ref="R776" display="https://www.instagram.com/studentlink_ita/" r:id="rId2518"/>
    <hyperlink xmlns:r="http://schemas.openxmlformats.org/officeDocument/2006/relationships" ref="T776" display="https://www.linkedin.com/company/studentlinkita/?viewAsMember=true" r:id="rId2519"/>
    <hyperlink xmlns:r="http://schemas.openxmlformats.org/officeDocument/2006/relationships" ref="Y776" display="https://drive.google.com/uc?export=view&amp;id=1Q_s-CMGEQWUlgcRM2GpSqqCb-EILYK-L" r:id="rId2520"/>
    <hyperlink xmlns:r="http://schemas.openxmlformats.org/officeDocument/2006/relationships" ref="E777" display="http://www.omniscol.com/" r:id="rId2521"/>
    <hyperlink xmlns:r="http://schemas.openxmlformats.org/officeDocument/2006/relationships" ref="R777" display="https://www.instagram.com/omniscol/" r:id="rId2522"/>
    <hyperlink xmlns:r="http://schemas.openxmlformats.org/officeDocument/2006/relationships" ref="S777" display="https://twitter.com/omniscol" r:id="rId2523"/>
    <hyperlink xmlns:r="http://schemas.openxmlformats.org/officeDocument/2006/relationships" ref="T777" display="https://www.linkedin.com/company/omniscol" r:id="rId2524"/>
    <hyperlink xmlns:r="http://schemas.openxmlformats.org/officeDocument/2006/relationships" ref="Y777" display="https://drive.google.com/uc?export=view&amp;id=1UmzTkbJ0pht1WtBI2g4ZfTpKn9m__Fgd" r:id="rId2525"/>
    <hyperlink xmlns:r="http://schemas.openxmlformats.org/officeDocument/2006/relationships" ref="E778" display="https://www.minnalearn.com/" r:id="rId2526"/>
    <hyperlink xmlns:r="http://schemas.openxmlformats.org/officeDocument/2006/relationships" ref="Y778" display="https://drive.google.com/uc?export=view&amp;id=1LWlcMZcH8IAHVrH__vqdI-qNvyWHZZPd" r:id="rId2527"/>
    <hyperlink xmlns:r="http://schemas.openxmlformats.org/officeDocument/2006/relationships" ref="E779" display="https://www.linkedin.com/company/motivum-games/" r:id="rId2528"/>
    <hyperlink xmlns:r="http://schemas.openxmlformats.org/officeDocument/2006/relationships" ref="Y779" display="https://drive.google.com/uc?export=view&amp;id=1YGz0APIElIvSE_Sdt7u6RVXgkTwOW__j" r:id="rId2529"/>
    <hyperlink xmlns:r="http://schemas.openxmlformats.org/officeDocument/2006/relationships" ref="E780" display="http://www.neukurs.com/" r:id="rId2530"/>
    <hyperlink xmlns:r="http://schemas.openxmlformats.org/officeDocument/2006/relationships" ref="R780" display="https://www.instagram.com/neukurs/?hl=de" r:id="rId2531"/>
    <hyperlink xmlns:r="http://schemas.openxmlformats.org/officeDocument/2006/relationships" ref="T780" display="https://www.linkedin.com/company/neukurs/" r:id="rId2532"/>
    <hyperlink xmlns:r="http://schemas.openxmlformats.org/officeDocument/2006/relationships" ref="Y780" display="https://drive.google.com/uc?export=view&amp;id=1DX0gooIYeIEei_UM52AtLhBtxUMQC6-4" r:id="rId2533"/>
    <hyperlink xmlns:r="http://schemas.openxmlformats.org/officeDocument/2006/relationships" ref="E781" display="http://allright.com/" r:id="rId2534"/>
    <hyperlink xmlns:r="http://schemas.openxmlformats.org/officeDocument/2006/relationships" ref="E782" display="https://www.tomorrow.university/" r:id="rId2535"/>
    <hyperlink xmlns:r="http://schemas.openxmlformats.org/officeDocument/2006/relationships" ref="Y782" display="https://drive.google.com/uc?export=view&amp;id=12MQXfLPoWfWwEsopMf8ey1c-wZ2ZSqF4" r:id="rId2536"/>
    <hyperlink xmlns:r="http://schemas.openxmlformats.org/officeDocument/2006/relationships" ref="E783" display="https://www.azumuta.com/en/how-it-works/learning-management-system/" r:id="rId2537"/>
    <hyperlink xmlns:r="http://schemas.openxmlformats.org/officeDocument/2006/relationships" ref="R783" display="https://www.instagram.com/azumuta" r:id="rId2538"/>
    <hyperlink xmlns:r="http://schemas.openxmlformats.org/officeDocument/2006/relationships" ref="S783" display="https://twitter.com/azumuta" r:id="rId2539"/>
    <hyperlink xmlns:r="http://schemas.openxmlformats.org/officeDocument/2006/relationships" ref="T783" display="https://www.linkedin.com/company/azumuta/" r:id="rId2540"/>
    <hyperlink xmlns:r="http://schemas.openxmlformats.org/officeDocument/2006/relationships" ref="Y783" display="https://drive.google.com/uc?export=view&amp;id=1c3pBPGmkOwR9Dk3XSQe7ObvfVehdlli9" r:id="rId2541"/>
    <hyperlink xmlns:r="http://schemas.openxmlformats.org/officeDocument/2006/relationships" ref="E784" display="http://www.learnworlds.com/" r:id="rId2542"/>
    <hyperlink xmlns:r="http://schemas.openxmlformats.org/officeDocument/2006/relationships" ref="E785" display="https://automatus.be/" r:id="rId2543"/>
    <hyperlink xmlns:r="http://schemas.openxmlformats.org/officeDocument/2006/relationships" ref="T785" display="https://www.linkedin.com/company/automatus-edu/" r:id="rId2544"/>
    <hyperlink xmlns:r="http://schemas.openxmlformats.org/officeDocument/2006/relationships" ref="Y785" display="https://drive.google.com/uc?export=view&amp;id=1drAXtOuKAjv_fNf8QSXIMGJpttPiRC14" r:id="rId2545"/>
    <hyperlink xmlns:r="http://schemas.openxmlformats.org/officeDocument/2006/relationships" ref="E786" display="http://10academy.org/" r:id="rId2546"/>
    <hyperlink xmlns:r="http://schemas.openxmlformats.org/officeDocument/2006/relationships" ref="Y786" display="https://drive.google.com/uc?export=view&amp;id=14Li43vYRdPTZpkMIkjsRDYHF43tWKPzV" r:id="rId2547"/>
    <hyperlink xmlns:r="http://schemas.openxmlformats.org/officeDocument/2006/relationships" ref="E787" display="http://www.aoz.studio/" r:id="rId2548"/>
    <hyperlink xmlns:r="http://schemas.openxmlformats.org/officeDocument/2006/relationships" ref="R787" display="https://www.instagram.com/aozstudioofficial/" r:id="rId2549"/>
    <hyperlink xmlns:r="http://schemas.openxmlformats.org/officeDocument/2006/relationships" ref="S787" display="https://twitter.com/aoz_studio" r:id="rId2550"/>
    <hyperlink xmlns:r="http://schemas.openxmlformats.org/officeDocument/2006/relationships" ref="T787" display="https://www.linkedin.com/company/aoz-studio/" r:id="rId2551"/>
    <hyperlink xmlns:r="http://schemas.openxmlformats.org/officeDocument/2006/relationships" ref="Y787" display="https://drive.google.com/uc?export=view&amp;id=15_IB2EPsBeULnDx-NXyD9JZyj8FnQ81L" r:id="rId2552"/>
    <hyperlink xmlns:r="http://schemas.openxmlformats.org/officeDocument/2006/relationships" ref="E788" display="https://didactech.nl/" r:id="rId2553"/>
    <hyperlink xmlns:r="http://schemas.openxmlformats.org/officeDocument/2006/relationships" ref="T788" display="https://www.linkedin.com/company/didactechnl/" r:id="rId2554"/>
    <hyperlink xmlns:r="http://schemas.openxmlformats.org/officeDocument/2006/relationships" ref="Y788" display="https://drive.google.com/uc?export=view&amp;id=18wr-j_HvN8uM6ZF_ZIQqDsRM3wwulr6J" r:id="rId2555"/>
    <hyperlink xmlns:r="http://schemas.openxmlformats.org/officeDocument/2006/relationships" ref="E789" display="http://www.01talent.com/" r:id="rId2556"/>
    <hyperlink xmlns:r="http://schemas.openxmlformats.org/officeDocument/2006/relationships" ref="Y789" display="https://drive.google.com/uc?export=view&amp;id=1oEcSbcBQHOP5Df81ohvQv1XPasW4uuIb" r:id="rId2557"/>
    <hyperlink xmlns:r="http://schemas.openxmlformats.org/officeDocument/2006/relationships" ref="E790" display="https://www.ist.com/no/" r:id="rId2558"/>
    <hyperlink xmlns:r="http://schemas.openxmlformats.org/officeDocument/2006/relationships" ref="T790" display="https://www.linkedin.com/company/509615/admin/" r:id="rId2559"/>
    <hyperlink xmlns:r="http://schemas.openxmlformats.org/officeDocument/2006/relationships" ref="E791" display="http://thirdroom.org/" r:id="rId2560"/>
    <hyperlink xmlns:r="http://schemas.openxmlformats.org/officeDocument/2006/relationships" ref="Y791" display="https://drive.google.com/uc?export=view&amp;id=1eJbX5AmZT7uh0wWV-qK3lhTJ6O1YXhg_" r:id="rId2561"/>
    <hyperlink xmlns:r="http://schemas.openxmlformats.org/officeDocument/2006/relationships" ref="E792" display="https://www.doctoratehub.com/" r:id="rId2562"/>
    <hyperlink xmlns:r="http://schemas.openxmlformats.org/officeDocument/2006/relationships" ref="Y792" display="https://drive.google.com/uc?export=view&amp;id=11HsBW9G0izPFfixDKJ_edT_Q2Kg2YEyN" r:id="rId2563"/>
    <hyperlink xmlns:r="http://schemas.openxmlformats.org/officeDocument/2006/relationships" ref="E793" display="http://www.signpost.eu/" r:id="rId2564"/>
    <hyperlink xmlns:r="http://schemas.openxmlformats.org/officeDocument/2006/relationships" ref="T793" display="https://www.linkedin.com/company/1739838/admin/notifications/all/" r:id="rId2565"/>
    <hyperlink xmlns:r="http://schemas.openxmlformats.org/officeDocument/2006/relationships" ref="Y793" display="https://drive.google.com/uc?export=view&amp;id=15COuXar2WIG37p919rJuC6Q-l5emfWVA" r:id="rId2566"/>
    <hyperlink xmlns:r="http://schemas.openxmlformats.org/officeDocument/2006/relationships" ref="E794" display="https://www.arduino.cc/education" r:id="rId2567"/>
    <hyperlink xmlns:r="http://schemas.openxmlformats.org/officeDocument/2006/relationships" ref="Y794" display="https://drive.google.com/uc?export=view&amp;id=1YMDsleMIZD80Z5fzMbzy1uDV335yitYZ" r:id="rId2568"/>
    <hyperlink xmlns:r="http://schemas.openxmlformats.org/officeDocument/2006/relationships" ref="E795" display="https://foxeducation.com/fr" r:id="rId2569"/>
    <hyperlink xmlns:r="http://schemas.openxmlformats.org/officeDocument/2006/relationships" ref="R795" display="https://www.instagram.com/foxeducation_fr/" r:id="rId2570"/>
    <hyperlink xmlns:r="http://schemas.openxmlformats.org/officeDocument/2006/relationships" ref="T795" display="https://www.linkedin.com/company/foxeducation-france/" r:id="rId2571"/>
    <hyperlink xmlns:r="http://schemas.openxmlformats.org/officeDocument/2006/relationships" ref="Y795" display="https://drive.google.com/uc?export=view&amp;id=1q_3SDTgatc_qWNB_MCxUNABrcAe9dBjz" r:id="rId2572"/>
    <hyperlink xmlns:r="http://schemas.openxmlformats.org/officeDocument/2006/relationships" ref="E796" display="http://hpappen.se/" r:id="rId2573"/>
    <hyperlink xmlns:r="http://schemas.openxmlformats.org/officeDocument/2006/relationships" ref="Y796" display="https://drive.google.com/uc?export=view&amp;id=1NQnIfzFykDi1DSvhIjBsyUJng4L8bkFI" r:id="rId2574"/>
    <hyperlink xmlns:r="http://schemas.openxmlformats.org/officeDocument/2006/relationships" ref="E797" display="http://www.ml-labs.com/" r:id="rId2575"/>
    <hyperlink xmlns:r="http://schemas.openxmlformats.org/officeDocument/2006/relationships" ref="Y797" display="https://drive.google.com/uc?export=view&amp;id=1hQpW_3yEuyVf-D2tWTHeTVB_6ovLHOum" r:id="rId2576"/>
    <hyperlink xmlns:r="http://schemas.openxmlformats.org/officeDocument/2006/relationships" ref="E798" display="https://www.adaptiv.me/" r:id="rId2577"/>
    <hyperlink xmlns:r="http://schemas.openxmlformats.org/officeDocument/2006/relationships" ref="R798" display="https://www.instagram.com/adaptiv.me/" r:id="rId2578"/>
    <hyperlink xmlns:r="http://schemas.openxmlformats.org/officeDocument/2006/relationships" ref="S798" display="https://twitter.com/adaptiv_me" r:id="rId2579"/>
    <hyperlink xmlns:r="http://schemas.openxmlformats.org/officeDocument/2006/relationships" ref="T798" display="https://www.linkedin.com/company/adaptiv-me" r:id="rId2580"/>
    <hyperlink xmlns:r="http://schemas.openxmlformats.org/officeDocument/2006/relationships" ref="Y798" display="https://drive.google.com/uc?export=view&amp;id=1ZvKT6Z_QgF3m-ji_Emh35Iw1TWAZW2Sf" r:id="rId2581"/>
    <hyperlink xmlns:r="http://schemas.openxmlformats.org/officeDocument/2006/relationships" ref="E799" display="http://www.capitanpomelo.com/" r:id="rId2582"/>
    <hyperlink xmlns:r="http://schemas.openxmlformats.org/officeDocument/2006/relationships" ref="R799" display="https://www.instagram.com/capitan.pomelo/" r:id="rId2583"/>
    <hyperlink xmlns:r="http://schemas.openxmlformats.org/officeDocument/2006/relationships" ref="T799" display="https://www.linkedin.com/in/sanda-luca-939b32140/" r:id="rId2584"/>
    <hyperlink xmlns:r="http://schemas.openxmlformats.org/officeDocument/2006/relationships" ref="Y799" display="https://drive.google.com/uc?export=view&amp;id=1ZxTAqVCIHAu44PZoSP1D462Ebi4Se1Dk" r:id="rId2585"/>
    <hyperlink xmlns:r="http://schemas.openxmlformats.org/officeDocument/2006/relationships" ref="E800" display="http://www.findmyprogramme.com/" r:id="rId2586"/>
    <hyperlink xmlns:r="http://schemas.openxmlformats.org/officeDocument/2006/relationships" ref="Y800" display="https://drive.google.com/uc?export=view&amp;id=1slKGj5SF0KLAUM7kFDXa-957HEIIRA4v" r:id="rId2587"/>
    <hyperlink xmlns:r="http://schemas.openxmlformats.org/officeDocument/2006/relationships" ref="E801" display="https://cephalus.ai/" r:id="rId2588"/>
    <hyperlink xmlns:r="http://schemas.openxmlformats.org/officeDocument/2006/relationships" ref="Y801" display="https://drive.google.com/uc?export=view&amp;id=1wSOF2Mndr2rYocRVnCbYYchVfD1Wyefa" r:id="rId2589"/>
    <hyperlink xmlns:r="http://schemas.openxmlformats.org/officeDocument/2006/relationships" ref="Y802" display="https://drive.google.com/uc?export=view&amp;id=1BT-mXZUoOdNTNUdcbqRuQxQ7oucb1x5m" r:id="rId2590"/>
    <hyperlink xmlns:r="http://schemas.openxmlformats.org/officeDocument/2006/relationships" ref="E803" display="https://open-bootcamp.com/" r:id="rId2591"/>
    <hyperlink xmlns:r="http://schemas.openxmlformats.org/officeDocument/2006/relationships" ref="Y803" display="https://drive.google.com/uc?export=view&amp;id=1OD0nv1m3JInncAGQqVek24VRoCr3Y9IC" r:id="rId2592"/>
    <hyperlink xmlns:r="http://schemas.openxmlformats.org/officeDocument/2006/relationships" ref="E804" display="http://getsession.com/" r:id="rId2593"/>
    <hyperlink xmlns:r="http://schemas.openxmlformats.org/officeDocument/2006/relationships" ref="R804" display="http://getsession.com/" r:id="rId2594"/>
    <hyperlink xmlns:r="http://schemas.openxmlformats.org/officeDocument/2006/relationships" ref="T804" display="https://www.linkedin.com/company/71248948" r:id="rId2595"/>
    <hyperlink xmlns:r="http://schemas.openxmlformats.org/officeDocument/2006/relationships" ref="Y804" display="https://drive.google.com/uc?export=view&amp;id=1Hl_NLJ_KaoYgkg17U1QrM-0s9NU6ktHx" r:id="rId2596"/>
    <hyperlink xmlns:r="http://schemas.openxmlformats.org/officeDocument/2006/relationships" ref="E805" display="https://digitalizap.com/" r:id="rId2597"/>
    <hyperlink xmlns:r="http://schemas.openxmlformats.org/officeDocument/2006/relationships" ref="R805" display="https://www.instagram.com/digitalizap.es/" r:id="rId2598"/>
    <hyperlink xmlns:r="http://schemas.openxmlformats.org/officeDocument/2006/relationships" ref="T805" display="https://www.linkedin.com/company/digitalizap/" r:id="rId2599"/>
    <hyperlink xmlns:r="http://schemas.openxmlformats.org/officeDocument/2006/relationships" ref="Y805" display="https://drive.google.com/uc?export=view&amp;id=1g4v0NOlcnSS4t9hK9U70Mare-6IPIe60" r:id="rId2600"/>
    <hyperlink xmlns:r="http://schemas.openxmlformats.org/officeDocument/2006/relationships" ref="E806" display="https://educ8all.com/" r:id="rId2601"/>
    <hyperlink xmlns:r="http://schemas.openxmlformats.org/officeDocument/2006/relationships" ref="Y806" display="https://drive.google.com/uc?export=view&amp;id=1xYuFlZ-0FvLfFf1Y5YII4VUiN-teA6-f" r:id="rId2602"/>
    <hyperlink xmlns:r="http://schemas.openxmlformats.org/officeDocument/2006/relationships" ref="E807" display="https://www.independent-together.com/" r:id="rId2603"/>
    <hyperlink xmlns:r="http://schemas.openxmlformats.org/officeDocument/2006/relationships" ref="Y807" display="https://drive.google.com/uc?export=view&amp;id=1PMY6h4jIX_XXvo_ySf4kjH1pKHWXjKR_" r:id="rId2604"/>
    <hyperlink xmlns:r="http://schemas.openxmlformats.org/officeDocument/2006/relationships" ref="E808" display="https://foxeducation.com/es/" r:id="rId2605"/>
    <hyperlink xmlns:r="http://schemas.openxmlformats.org/officeDocument/2006/relationships" ref="R808" display="https://www.instagram.com/foxeducation_es/" r:id="rId2606"/>
    <hyperlink xmlns:r="http://schemas.openxmlformats.org/officeDocument/2006/relationships" ref="T808" display="https://www.linkedin.com/company/foxeducation-espana" r:id="rId2607"/>
    <hyperlink xmlns:r="http://schemas.openxmlformats.org/officeDocument/2006/relationships" ref="Y808" display="https://drive.google.com/uc?export=view&amp;id=10jSYGqK0qNd3hBVzcdBQFWbn91Zc8saE" r:id="rId2608"/>
    <hyperlink xmlns:r="http://schemas.openxmlformats.org/officeDocument/2006/relationships" ref="E809" display="https://www.intralineas.com/" r:id="rId2609"/>
    <hyperlink xmlns:r="http://schemas.openxmlformats.org/officeDocument/2006/relationships" ref="Y809" display="https://drive.google.com/uc?export=view&amp;id=1T-ztAP3TrpHpfeY97B3FssXt2YiScdrZ" r:id="rId2610"/>
    <hyperlink xmlns:r="http://schemas.openxmlformats.org/officeDocument/2006/relationships" ref="E810" display="https://simpleclub.com/" r:id="rId2611"/>
    <hyperlink xmlns:r="http://schemas.openxmlformats.org/officeDocument/2006/relationships" ref="Y810" display="https://drive.google.com/uc?export=view&amp;id=1mJ9OZBMs2DTmrPAlAMZ4KyaoGXGXhv3G" r:id="rId2612"/>
    <hyperlink xmlns:r="http://schemas.openxmlformats.org/officeDocument/2006/relationships" ref="E811" display="https://aequaland.com/" r:id="rId2613"/>
    <hyperlink xmlns:r="http://schemas.openxmlformats.org/officeDocument/2006/relationships" ref="R811" display="https://www.instagram.com/aequaland/" r:id="rId2614"/>
    <hyperlink xmlns:r="http://schemas.openxmlformats.org/officeDocument/2006/relationships" ref="S811" display="https://twitter.com/aequaland" r:id="rId2615"/>
    <hyperlink xmlns:r="http://schemas.openxmlformats.org/officeDocument/2006/relationships" ref="T811" display="https://www.linkedin.com/company/equaland" r:id="rId2616"/>
    <hyperlink xmlns:r="http://schemas.openxmlformats.org/officeDocument/2006/relationships" ref="Y811" display="https://drive.google.com/uc?export=view&amp;id=1N5Ty4o3b_NDTZ_bP-Uk2ycUv0WIg1Jd5" r:id="rId2617"/>
    <hyperlink xmlns:r="http://schemas.openxmlformats.org/officeDocument/2006/relationships" ref="E812" display="https://edquip.co/" r:id="rId2618"/>
    <hyperlink xmlns:r="http://schemas.openxmlformats.org/officeDocument/2006/relationships" ref="Y812" display="https://drive.google.com/uc?export=view&amp;id=1USL7CzgOEfx-k5YxDIm-OI5zYys5ycCD" r:id="rId2619"/>
    <hyperlink xmlns:r="http://schemas.openxmlformats.org/officeDocument/2006/relationships" ref="E813" display="https://poppinswayne.com/" r:id="rId2620"/>
    <hyperlink xmlns:r="http://schemas.openxmlformats.org/officeDocument/2006/relationships" ref="Y813" display="https://drive.google.com/uc?export=view&amp;id=1tMglr_S9dNwP6dZCCB3vdoet_hyvcijE" r:id="rId2621"/>
    <hyperlink xmlns:r="http://schemas.openxmlformats.org/officeDocument/2006/relationships" ref="E814" display="https://www.sharelms.com/" r:id="rId2622"/>
    <hyperlink xmlns:r="http://schemas.openxmlformats.org/officeDocument/2006/relationships" ref="Y814" display="https://drive.google.com/uc?export=view&amp;id=1VFsBa-nQCPhfA_JZKlWRG3wvEG59EOIl" r:id="rId2623"/>
    <hyperlink xmlns:r="http://schemas.openxmlformats.org/officeDocument/2006/relationships" ref="E815" display="http://www.veritas.at/" r:id="rId2624"/>
    <hyperlink xmlns:r="http://schemas.openxmlformats.org/officeDocument/2006/relationships" ref="Y815" display="https://drive.google.com/uc?export=view&amp;id=1LTMtc24WebgNhkVQ2QEN8BCCgK4tL_dV" r:id="rId2625"/>
    <hyperlink xmlns:r="http://schemas.openxmlformats.org/officeDocument/2006/relationships" ref="E816" display="http://www.mytribel.com/" r:id="rId2626"/>
    <hyperlink xmlns:r="http://schemas.openxmlformats.org/officeDocument/2006/relationships" ref="R816" display="https://www.instagram.com/mytribel/" r:id="rId2627"/>
    <hyperlink xmlns:r="http://schemas.openxmlformats.org/officeDocument/2006/relationships" ref="S816" display="https://twitter.com/mytribel" r:id="rId2628"/>
    <hyperlink xmlns:r="http://schemas.openxmlformats.org/officeDocument/2006/relationships" ref="T816" display="https://www.linkedin.com/company/mytribel/" r:id="rId2629"/>
    <hyperlink xmlns:r="http://schemas.openxmlformats.org/officeDocument/2006/relationships" ref="Y816" display="https://drive.google.com/uc?export=view&amp;id=1Sb8xQ6F2UwQGU1XyS5BpxS7vWnJX7ye6" r:id="rId2630"/>
    <hyperlink xmlns:r="http://schemas.openxmlformats.org/officeDocument/2006/relationships" ref="D817" display="http://eskills.ch/" r:id="rId2631"/>
    <hyperlink xmlns:r="http://schemas.openxmlformats.org/officeDocument/2006/relationships" ref="E817" display="http://www.eskills.ch/" r:id="rId2632"/>
    <hyperlink xmlns:r="http://schemas.openxmlformats.org/officeDocument/2006/relationships" ref="T817" display="https://www.linkedin.com/company/eskills-ch/" r:id="rId2633"/>
    <hyperlink xmlns:r="http://schemas.openxmlformats.org/officeDocument/2006/relationships" ref="Y817" display="https://drive.google.com/uc?export=view&amp;id=1WWC2109rosuyV4AZjIuexozy9AUr9tjo" r:id="rId2634"/>
    <hyperlink xmlns:r="http://schemas.openxmlformats.org/officeDocument/2006/relationships" ref="E818" display="http://www.headstart.technology/" r:id="rId2635"/>
    <hyperlink xmlns:r="http://schemas.openxmlformats.org/officeDocument/2006/relationships" ref="Y818" display="https://drive.google.com/uc?export=view&amp;id=1qjOEOlz_VoTxML5M-t7UjwZTbHgNi195" r:id="rId2636"/>
    <hyperlink xmlns:r="http://schemas.openxmlformats.org/officeDocument/2006/relationships" ref="E819" display="https://hielearning.com/" r:id="rId2637"/>
    <hyperlink xmlns:r="http://schemas.openxmlformats.org/officeDocument/2006/relationships" ref="Y819" display="https://drive.google.com/uc?export=view&amp;id=1aYTlUjwC-bAGUDScsQdbRWKeB4WMIwHM" r:id="rId2638"/>
    <hyperlink xmlns:r="http://schemas.openxmlformats.org/officeDocument/2006/relationships" ref="E820" display="https://www.writefull.com/" r:id="rId2639"/>
    <hyperlink xmlns:r="http://schemas.openxmlformats.org/officeDocument/2006/relationships" ref="Y820" display="https://drive.google.com/uc?export=view&amp;id=1AyeajYUNfakKsLpSY3MM0t-YfPfLMuaz" r:id="rId2640"/>
    <hyperlink xmlns:r="http://schemas.openxmlformats.org/officeDocument/2006/relationships" ref="E821" display="https://gar.ninja/" r:id="rId2641"/>
    <hyperlink xmlns:r="http://schemas.openxmlformats.org/officeDocument/2006/relationships" ref="S821" display="https://twitter.com/gar_ninja" r:id="rId2642"/>
    <hyperlink xmlns:r="http://schemas.openxmlformats.org/officeDocument/2006/relationships" ref="T821" display="https://www.linkedin.com/company/gar-ninja/" r:id="rId2643"/>
    <hyperlink xmlns:r="http://schemas.openxmlformats.org/officeDocument/2006/relationships" ref="Y821" display="https://drive.google.com/uc?export=view&amp;id=1yIBqi5xEOThUapSO6uN0TSBW8CPCNIN2" r:id="rId2644"/>
    <hyperlink xmlns:r="http://schemas.openxmlformats.org/officeDocument/2006/relationships" ref="E822" display="https://www.quarterfall.com/" r:id="rId2645"/>
    <hyperlink xmlns:r="http://schemas.openxmlformats.org/officeDocument/2006/relationships" ref="T822" display="https://www.linkedin.com/company/quarterfall" r:id="rId2646"/>
    <hyperlink xmlns:r="http://schemas.openxmlformats.org/officeDocument/2006/relationships" ref="Y822" display="https://drive.google.com/uc?export=view&amp;id=1EYpFOzxS-rRqxa0Qgi7fq4llOIRJboe-" r:id="rId2647"/>
    <hyperlink xmlns:r="http://schemas.openxmlformats.org/officeDocument/2006/relationships" ref="E823" display="https://equalifai.com/" r:id="rId2648"/>
    <hyperlink xmlns:r="http://schemas.openxmlformats.org/officeDocument/2006/relationships" ref="R823" display="https://www.instagram.com/equalifai.ro/" r:id="rId2649"/>
    <hyperlink xmlns:r="http://schemas.openxmlformats.org/officeDocument/2006/relationships" ref="T823" display="https://ro.linkedin.com/company/equalifai" r:id="rId2650"/>
    <hyperlink xmlns:r="http://schemas.openxmlformats.org/officeDocument/2006/relationships" ref="Y823" display="https://drive.google.com/uc?export=view&amp;id=1pdNh4NdBID3v8lfHWHLfzAx98_17mnIJ" r:id="rId2651"/>
    <hyperlink xmlns:r="http://schemas.openxmlformats.org/officeDocument/2006/relationships" ref="E824" display="https://codetochange.org/" r:id="rId2652"/>
    <hyperlink xmlns:r="http://schemas.openxmlformats.org/officeDocument/2006/relationships" ref="Y824" display="https://drive.google.com/uc?export=view&amp;id=1XB6mtDEvoe3lFMcxEqYI8IXVFljm5bRD" r:id="rId2653"/>
    <hyperlink xmlns:r="http://schemas.openxmlformats.org/officeDocument/2006/relationships" ref="E825" display="http://gofenix.io/" r:id="rId2654"/>
    <hyperlink xmlns:r="http://schemas.openxmlformats.org/officeDocument/2006/relationships" ref="Y825" display="https://drive.google.com/uc?export=view&amp;id=1cZItaRMVPLUreEGj4-cOHlV544sCCZ5r" r:id="rId2655"/>
    <hyperlink xmlns:r="http://schemas.openxmlformats.org/officeDocument/2006/relationships" ref="E826" display="https://digitalkidz.school/" r:id="rId2656"/>
    <hyperlink xmlns:r="http://schemas.openxmlformats.org/officeDocument/2006/relationships" ref="Y826" display="https://drive.google.com/uc?export=view&amp;id=13ng1Gy2F3FycAh_nAOljjTlIZ974jZwP" r:id="rId2657"/>
    <hyperlink xmlns:r="http://schemas.openxmlformats.org/officeDocument/2006/relationships" ref="E827" display="https://www.millionroads.com/" r:id="rId2658"/>
    <hyperlink xmlns:r="http://schemas.openxmlformats.org/officeDocument/2006/relationships" ref="Y827" display="https://drive.google.com/uc?export=view&amp;id=1FLLz6eloWGc0PASWNw0OUkydyJ3N-Zhu" r:id="rId2659"/>
    <hyperlink xmlns:r="http://schemas.openxmlformats.org/officeDocument/2006/relationships" ref="E828" display="https://www.matific.com/es/es/home/" r:id="rId2660"/>
    <hyperlink xmlns:r="http://schemas.openxmlformats.org/officeDocument/2006/relationships" ref="Y828" display="https://drive.google.com/uc?export=view&amp;id=19bxGe1V5ozPDxqE-YccVuk9jK0QFNLYF" r:id="rId2661"/>
    <hyperlink xmlns:r="http://schemas.openxmlformats.org/officeDocument/2006/relationships" ref="E829" display="https://formacion.ninja/" r:id="rId2662"/>
    <hyperlink xmlns:r="http://schemas.openxmlformats.org/officeDocument/2006/relationships" ref="R829" display="https://www.instagram.com/formacion.ninja/" r:id="rId2663"/>
    <hyperlink xmlns:r="http://schemas.openxmlformats.org/officeDocument/2006/relationships" ref="S829" display="https://twitter.com/FormacionNinja" r:id="rId2664"/>
    <hyperlink xmlns:r="http://schemas.openxmlformats.org/officeDocument/2006/relationships" ref="T829" display="https://www.linkedin.com/company/formacionninja/" r:id="rId2665"/>
    <hyperlink xmlns:r="http://schemas.openxmlformats.org/officeDocument/2006/relationships" ref="Y829" display="https://drive.google.com/uc?export=view&amp;id=1pIP0FW4HcJazFElBq996xDg5VGtEIa1o" r:id="rId2666"/>
    <hyperlink xmlns:r="http://schemas.openxmlformats.org/officeDocument/2006/relationships" ref="E830" display="https://ligaderroboter.de/" r:id="rId2667"/>
    <hyperlink xmlns:r="http://schemas.openxmlformats.org/officeDocument/2006/relationships" ref="E831" display="https://opo.land/" r:id="rId2668"/>
    <hyperlink xmlns:r="http://schemas.openxmlformats.org/officeDocument/2006/relationships" ref="R831" display="https://www.instagram.com/opoland_es/" r:id="rId2669"/>
    <hyperlink xmlns:r="http://schemas.openxmlformats.org/officeDocument/2006/relationships" ref="S831" display="https://twitter.com/opoland_es" r:id="rId2670"/>
    <hyperlink xmlns:r="http://schemas.openxmlformats.org/officeDocument/2006/relationships" ref="T831" display="https://www.linkedin.com/company/opo-land" r:id="rId2671"/>
    <hyperlink xmlns:r="http://schemas.openxmlformats.org/officeDocument/2006/relationships" ref="Y831" display="https://drive.google.com/uc?export=view&amp;id=1X3PDtnknD38ocVPvzQ2zk1I2mVJL8FLo" r:id="rId2672"/>
    <hyperlink xmlns:r="http://schemas.openxmlformats.org/officeDocument/2006/relationships" ref="E832" display="https://cabri.com/" r:id="rId2673"/>
    <hyperlink xmlns:r="http://schemas.openxmlformats.org/officeDocument/2006/relationships" ref="R832" display="https://www.instagram.com/cabrilog_/" r:id="rId2674"/>
    <hyperlink xmlns:r="http://schemas.openxmlformats.org/officeDocument/2006/relationships" ref="S832" display="https://twitter.com/Cabrilog" r:id="rId2675"/>
    <hyperlink xmlns:r="http://schemas.openxmlformats.org/officeDocument/2006/relationships" ref="T832" display="https://www.linkedin.com/company/cabrilog/" r:id="rId2676"/>
    <hyperlink xmlns:r="http://schemas.openxmlformats.org/officeDocument/2006/relationships" ref="Y832" display="https://drive.google.com/uc?export=view&amp;id=1V6uKeA9mVE_k9VmSUWddHTq_byGZF2NA" r:id="rId2677"/>
    <hyperlink xmlns:r="http://schemas.openxmlformats.org/officeDocument/2006/relationships" ref="E833" display="https://nuadu.com/" r:id="rId2678"/>
    <hyperlink xmlns:r="http://schemas.openxmlformats.org/officeDocument/2006/relationships" ref="Y833" display="https://drive.google.com/uc?export=view&amp;id=1vE3zxoXfaxMQZm3zTZWZaEOXVmGV9ksp" r:id="rId2679"/>
    <hyperlink xmlns:r="http://schemas.openxmlformats.org/officeDocument/2006/relationships" ref="E834" display="http://www.digitallatam.com/" r:id="rId2680"/>
    <hyperlink xmlns:r="http://schemas.openxmlformats.org/officeDocument/2006/relationships" ref="Y834" display="https://drive.google.com/uc?export=view&amp;id=1tbJjEwJwD_IAsCio2updvtJgsvJdbQLz" r:id="rId2681"/>
    <hyperlink xmlns:r="http://schemas.openxmlformats.org/officeDocument/2006/relationships" ref="E835" display="https://www.ironhack.com/en" r:id="rId2682"/>
    <hyperlink xmlns:r="http://schemas.openxmlformats.org/officeDocument/2006/relationships" ref="Y835" display="https://drive.google.com/uc?export=view&amp;id=11c_KEW7kPmFpXxFE5mXfU9exo2Rgl34f" r:id="rId2683"/>
    <hyperlink xmlns:r="http://schemas.openxmlformats.org/officeDocument/2006/relationships" ref="E836" display="https://www.readyeducation.com/" r:id="rId2684"/>
    <hyperlink xmlns:r="http://schemas.openxmlformats.org/officeDocument/2006/relationships" ref="S836" display="https://twitter.com/ReadyEducation" r:id="rId2685"/>
    <hyperlink xmlns:r="http://schemas.openxmlformats.org/officeDocument/2006/relationships" ref="T836" display="https://www.linkedin.com/company/ready-education" r:id="rId2686"/>
    <hyperlink xmlns:r="http://schemas.openxmlformats.org/officeDocument/2006/relationships" ref="Y836" display="https://drive.google.com/uc?export=view&amp;id=1k9DzdXfLWVxVMZOIGMd2FQKY3MxSLEvu" r:id="rId2687"/>
    <hyperlink xmlns:r="http://schemas.openxmlformats.org/officeDocument/2006/relationships" ref="E837" display="https://www.altissia.org/" r:id="rId2688"/>
    <hyperlink xmlns:r="http://schemas.openxmlformats.org/officeDocument/2006/relationships" ref="S837" display="https://twitter.com/Altissia" r:id="rId2689"/>
    <hyperlink xmlns:r="http://schemas.openxmlformats.org/officeDocument/2006/relationships" ref="T837" display="https://www.linkedin.com/company/altissia/" r:id="rId2690"/>
    <hyperlink xmlns:r="http://schemas.openxmlformats.org/officeDocument/2006/relationships" ref="Y837" display="https://drive.google.com/uc?export=view&amp;id=19_AokzBOZUAKkW6Sbf6XKuY4WIG0uppG" r:id="rId2691"/>
    <hyperlink xmlns:r="http://schemas.openxmlformats.org/officeDocument/2006/relationships" ref="E838" display="https://www.cantoo.fr/" r:id="rId2692"/>
    <hyperlink xmlns:r="http://schemas.openxmlformats.org/officeDocument/2006/relationships" ref="Y838" display="https://drive.google.com/uc?export=view&amp;id=1ZwrHCsWAKzqlVcCSkMIMXdFWbsQBFtEf" r:id="rId2693"/>
    <hyperlink xmlns:r="http://schemas.openxmlformats.org/officeDocument/2006/relationships" ref="E839" display="http://www.mozaweb.com/" r:id="rId2694"/>
    <hyperlink xmlns:r="http://schemas.openxmlformats.org/officeDocument/2006/relationships" ref="Y839" display="https://drive.google.com/uc?export=view&amp;id=1wje3Qp5PKzXTlM-zF5X3f-wWO8IkiuES" r:id="rId2695"/>
    <hyperlink xmlns:r="http://schemas.openxmlformats.org/officeDocument/2006/relationships" ref="D840" display="http://spearcareer.org/" r:id="rId2696"/>
    <hyperlink xmlns:r="http://schemas.openxmlformats.org/officeDocument/2006/relationships" ref="E840" display="http://www.spearcareer.org/" r:id="rId2697"/>
    <hyperlink xmlns:r="http://schemas.openxmlformats.org/officeDocument/2006/relationships" ref="Y840" display="https://drive.google.com/uc?export=view&amp;id=1cuYdp6j5W5o1I3pGvGpNc3ZUp9ElXoly" r:id="rId2698"/>
    <hyperlink xmlns:r="http://schemas.openxmlformats.org/officeDocument/2006/relationships" ref="E841" display="https://zcooly.se/" r:id="rId2699"/>
    <hyperlink xmlns:r="http://schemas.openxmlformats.org/officeDocument/2006/relationships" ref="R841" display="http://instagram.com/zcooly" r:id="rId2700"/>
    <hyperlink xmlns:r="http://schemas.openxmlformats.org/officeDocument/2006/relationships" ref="Y841" display="https://drive.google.com/uc?export=view&amp;id=1DAYKfW4i6Vu26fOPJ8eLVY-wOP-KyMXa" r:id="rId2701"/>
    <hyperlink xmlns:r="http://schemas.openxmlformats.org/officeDocument/2006/relationships" ref="E842" display="https://www.eduneon.de/" r:id="rId2702"/>
    <hyperlink xmlns:r="http://schemas.openxmlformats.org/officeDocument/2006/relationships" ref="Y842" display="https://drive.google.com/uc?export=view&amp;id=1eI0RhO3i792ytEgC2GiKMEcICeOQqw6R" r:id="rId2703"/>
    <hyperlink xmlns:r="http://schemas.openxmlformats.org/officeDocument/2006/relationships" ref="E843" display="https://www.enkeleksamen.no/" r:id="rId2704"/>
    <hyperlink xmlns:r="http://schemas.openxmlformats.org/officeDocument/2006/relationships" ref="R843" display="https://www.instagram.com/enkeleksamen.no/" r:id="rId2705"/>
    <hyperlink xmlns:r="http://schemas.openxmlformats.org/officeDocument/2006/relationships" ref="T843" display="https://www.linkedin.com/company/enkeleksamen/" r:id="rId2706"/>
    <hyperlink xmlns:r="http://schemas.openxmlformats.org/officeDocument/2006/relationships" ref="Y843" display="https://drive.google.com/uc?export=view&amp;id=14cH94E6EP642ChVg3kCQbfLX61xby-Pt" r:id="rId2707"/>
    <hyperlink xmlns:r="http://schemas.openxmlformats.org/officeDocument/2006/relationships" ref="E844" display="http://futureready.no/" r:id="rId2708"/>
    <hyperlink xmlns:r="http://schemas.openxmlformats.org/officeDocument/2006/relationships" ref="Y844" display="https://drive.google.com/uc?export=view&amp;id=1GaZ5_9j7i_FcOTfMdIlEVCYrMowCRKe2" r:id="rId2709"/>
    <hyperlink xmlns:r="http://schemas.openxmlformats.org/officeDocument/2006/relationships" ref="E845" display="https://laerit.dk/" r:id="rId2710"/>
    <hyperlink xmlns:r="http://schemas.openxmlformats.org/officeDocument/2006/relationships" ref="Y845" display="https://drive.google.com/uc?export=view&amp;id=12Mh4UW-MRSu98-6sFNkZjAUcY-l6o0Ex" r:id="rId2711"/>
    <hyperlink xmlns:r="http://schemas.openxmlformats.org/officeDocument/2006/relationships" ref="E846" display="http://www.studytogether.com/" r:id="rId2712"/>
    <hyperlink xmlns:r="http://schemas.openxmlformats.org/officeDocument/2006/relationships" ref="Y846" display="https://drive.google.com/uc?export=view&amp;id=1ThSGw85y5wFDVZh-pSvRGJcj8W4o9mWM" r:id="rId2713"/>
    <hyperlink xmlns:r="http://schemas.openxmlformats.org/officeDocument/2006/relationships" ref="E847" display="https://www.tuudo.fi/" r:id="rId2714"/>
    <hyperlink xmlns:r="http://schemas.openxmlformats.org/officeDocument/2006/relationships" ref="R847" display="https://www.instagram.com/tuudoapp/?hl=fi" r:id="rId2715"/>
    <hyperlink xmlns:r="http://schemas.openxmlformats.org/officeDocument/2006/relationships" ref="S847" display="https://twitter.com/tuudo_app?lang=fi" r:id="rId2716"/>
    <hyperlink xmlns:r="http://schemas.openxmlformats.org/officeDocument/2006/relationships" ref="T847" display="https://www.linkedin.com/company/tuudo/" r:id="rId2717"/>
    <hyperlink xmlns:r="http://schemas.openxmlformats.org/officeDocument/2006/relationships" ref="Y847" display="https://drive.google.com/uc?export=view&amp;id=1cQJGR9_vGsoMLfncnbMI9zLCxkaARBX2" r:id="rId2718"/>
    <hyperlink xmlns:r="http://schemas.openxmlformats.org/officeDocument/2006/relationships" ref="E848" display="https://www.allaitementpourtous.com/" r:id="rId2719"/>
    <hyperlink xmlns:r="http://schemas.openxmlformats.org/officeDocument/2006/relationships" ref="R848" display="https://www.instagram.com/yongecharlotte/?hl=fr" r:id="rId2720"/>
    <hyperlink xmlns:r="http://schemas.openxmlformats.org/officeDocument/2006/relationships" ref="T848" display="https://www.linkedin.com/in/charlotteyonge/?originalSubdomain=fr" r:id="rId2721"/>
    <hyperlink xmlns:r="http://schemas.openxmlformats.org/officeDocument/2006/relationships" ref="Y848" display="https://drive.google.com/uc?export=view&amp;id=1EVtU8Bo_08vPAfmzHNYM1NI3f4xZ6L1X" r:id="rId2722"/>
    <hyperlink xmlns:r="http://schemas.openxmlformats.org/officeDocument/2006/relationships" ref="E849" display="http://www.clic-campus.fr/" r:id="rId2723"/>
    <hyperlink xmlns:r="http://schemas.openxmlformats.org/officeDocument/2006/relationships" ref="T849" display="https://www.linkedin.com/company/71545098/admin/" r:id="rId2724"/>
    <hyperlink xmlns:r="http://schemas.openxmlformats.org/officeDocument/2006/relationships" ref="Y849" display="https://drive.google.com/uc?export=view&amp;id=1f0biwlJinANNaZhIl_lKLYoA_KkEFSMQ" r:id="rId2725"/>
    <hyperlink xmlns:r="http://schemas.openxmlformats.org/officeDocument/2006/relationships" ref="E850" display="https://schools.by/" r:id="rId2726"/>
    <hyperlink xmlns:r="http://schemas.openxmlformats.org/officeDocument/2006/relationships" ref="Y850" display="https://drive.google.com/uc?export=view&amp;id=18oqMsNnfnUyHAooOaQh0tTTymZutVUxM" r:id="rId2727"/>
    <hyperlink xmlns:r="http://schemas.openxmlformats.org/officeDocument/2006/relationships" ref="E851" display="https://unschooler.me/" r:id="rId2728"/>
    <hyperlink xmlns:r="http://schemas.openxmlformats.org/officeDocument/2006/relationships" ref="R851" display="https://www.instagram.com/unschooler_en/" r:id="rId2729"/>
    <hyperlink xmlns:r="http://schemas.openxmlformats.org/officeDocument/2006/relationships" ref="S851" display="https://twitter.com/unschooler_me" r:id="rId2730"/>
    <hyperlink xmlns:r="http://schemas.openxmlformats.org/officeDocument/2006/relationships" ref="T851" display="https://www.linkedin.com/company/69407492/admin/" r:id="rId2731"/>
    <hyperlink xmlns:r="http://schemas.openxmlformats.org/officeDocument/2006/relationships" ref="Y851" display="https://drive.google.com/uc?export=view&amp;id=14u08dmQm9LLJ2hvlOzs-I10rM0W8i0gz" r:id="rId2732"/>
    <hyperlink xmlns:r="http://schemas.openxmlformats.org/officeDocument/2006/relationships" ref="E852" display="http://www.aonia.es/" r:id="rId2733"/>
    <hyperlink xmlns:r="http://schemas.openxmlformats.org/officeDocument/2006/relationships" ref="E853" display="http://besolver.io/" r:id="rId2734"/>
    <hyperlink xmlns:r="http://schemas.openxmlformats.org/officeDocument/2006/relationships" ref="Y853" display="https://drive.google.com/uc?export=view&amp;id=1Dlxh2oZGh0bAo2cgbDtE1EC-hgpDy671" r:id="rId2735"/>
    <hyperlink xmlns:r="http://schemas.openxmlformats.org/officeDocument/2006/relationships" ref="E854" display="https://cybeerly.com/" r:id="rId2736"/>
    <hyperlink xmlns:r="http://schemas.openxmlformats.org/officeDocument/2006/relationships" ref="Y854" display="https://drive.google.com/uc?export=view&amp;id=1jyM6AWb4T_JqkyUH9dIz6Cx8872G1kqV" r:id="rId2737"/>
    <hyperlink xmlns:r="http://schemas.openxmlformats.org/officeDocument/2006/relationships" ref="E855" display="https://www.etsglobal.org/" r:id="rId2738"/>
    <hyperlink xmlns:r="http://schemas.openxmlformats.org/officeDocument/2006/relationships" ref="S855" display="https://twitter.com/ETSGlobal" r:id="rId2739"/>
    <hyperlink xmlns:r="http://schemas.openxmlformats.org/officeDocument/2006/relationships" ref="T855" display="https://fr.linkedin.com/company/ets-global" r:id="rId2740"/>
    <hyperlink xmlns:r="http://schemas.openxmlformats.org/officeDocument/2006/relationships" ref="Y855" display="https://drive.google.com/uc?export=view&amp;id=18GM1R_idr4ybNaNOmn5WWE6jKVrKgi6-" r:id="rId2741"/>
    <hyperlink xmlns:r="http://schemas.openxmlformats.org/officeDocument/2006/relationships" ref="E856" display="https://www.intrepid-stars.club/" r:id="rId2742"/>
    <hyperlink xmlns:r="http://schemas.openxmlformats.org/officeDocument/2006/relationships" ref="Y856" display="https://drive.google.com/uc?export=view&amp;id=1Mw8diKUFkYVJ33WWDPU1J5AM7Q9fRVXB" r:id="rId2743"/>
    <hyperlink xmlns:r="http://schemas.openxmlformats.org/officeDocument/2006/relationships" ref="E857" display="http://www.learningtour.nl/" r:id="rId2744"/>
    <hyperlink xmlns:r="http://schemas.openxmlformats.org/officeDocument/2006/relationships" ref="T857" display="https://www.linkedin.com/company/learningtour" r:id="rId2745"/>
    <hyperlink xmlns:r="http://schemas.openxmlformats.org/officeDocument/2006/relationships" ref="Y857" display="https://drive.google.com/uc?export=view&amp;id=1TsDz-8LIchFQs71vbcFg_tanRPwU06q1" r:id="rId2746"/>
    <hyperlink xmlns:r="http://schemas.openxmlformats.org/officeDocument/2006/relationships" ref="E858" display="http://www.brainix.org/" r:id="rId2747"/>
    <hyperlink xmlns:r="http://schemas.openxmlformats.org/officeDocument/2006/relationships" ref="Y858" display="https://drive.google.com/uc?export=view&amp;id=1vkhIfbLJO8zK4C-O9jo3nalaFb-1dIsL" r:id="rId2748"/>
    <hyperlink xmlns:r="http://schemas.openxmlformats.org/officeDocument/2006/relationships" ref="E859" display="http://www.fuzu.com/" r:id="rId2749"/>
    <hyperlink xmlns:r="http://schemas.openxmlformats.org/officeDocument/2006/relationships" ref="R859" display="https://www.instagram.com/fuzukenya/" r:id="rId2750"/>
    <hyperlink xmlns:r="http://schemas.openxmlformats.org/officeDocument/2006/relationships" ref="S859" display="https://twitter.com/fuzukenya" r:id="rId2751"/>
    <hyperlink xmlns:r="http://schemas.openxmlformats.org/officeDocument/2006/relationships" ref="T859" display="https://www.linkedin.com/company/5007486/admin/" r:id="rId2752"/>
    <hyperlink xmlns:r="http://schemas.openxmlformats.org/officeDocument/2006/relationships" ref="Y859" display="https://drive.google.com/uc?export=view&amp;id=1YopbASnpX36MiOheo8pUbw3_nIp8DMjI" r:id="rId2753"/>
    <hyperlink xmlns:r="http://schemas.openxmlformats.org/officeDocument/2006/relationships" ref="E860" display="https://www.hackworthltd.uk/" r:id="rId2754"/>
    <hyperlink xmlns:r="http://schemas.openxmlformats.org/officeDocument/2006/relationships" ref="Y860" display="https://drive.google.com/uc?export=view&amp;id=1UF6XJB1eKv2ddV2ioGaCzgesILIZ11rF" r:id="rId2755"/>
    <hyperlink xmlns:r="http://schemas.openxmlformats.org/officeDocument/2006/relationships" ref="E861" display="https://studyflow.nl/" r:id="rId2756"/>
    <hyperlink xmlns:r="http://schemas.openxmlformats.org/officeDocument/2006/relationships" ref="Y861" display="https://drive.google.com/uc?export=view&amp;id=1Jap9sCQQreLhMgsDrM9zbr11yG4yvJDC" r:id="rId2757"/>
    <hyperlink xmlns:r="http://schemas.openxmlformats.org/officeDocument/2006/relationships" ref="E862" display="http://www.tinqwise.com/" r:id="rId2758"/>
    <hyperlink xmlns:r="http://schemas.openxmlformats.org/officeDocument/2006/relationships" ref="Y862" display="https://drive.google.com/uc?export=view&amp;id=1dXdhCEfUM0FGhnoYSUIT1H7-1d0-CWMa" r:id="rId2759"/>
    <hyperlink xmlns:r="http://schemas.openxmlformats.org/officeDocument/2006/relationships" ref="E863" display="http://www.c-learning.net/" r:id="rId2760"/>
    <hyperlink xmlns:r="http://schemas.openxmlformats.org/officeDocument/2006/relationships" ref="T863" display="https://www.linkedin.com/company/18752801" r:id="rId2761"/>
    <hyperlink xmlns:r="http://schemas.openxmlformats.org/officeDocument/2006/relationships" ref="Y863" display="https://drive.google.com/uc?export=view&amp;id=1ZSQl1WN1mPJB9s3Wb3N0WRe1fFoOp4dh" r:id="rId2762"/>
    <hyperlink xmlns:r="http://schemas.openxmlformats.org/officeDocument/2006/relationships" ref="E864" display="https://daxap.no/" r:id="rId2763"/>
    <hyperlink xmlns:r="http://schemas.openxmlformats.org/officeDocument/2006/relationships" ref="E865" display="http://www.drieam.com/" r:id="rId2764"/>
    <hyperlink xmlns:r="http://schemas.openxmlformats.org/officeDocument/2006/relationships" ref="S865" display="https://twitter.com/drieamon?lang=de" r:id="rId2765"/>
    <hyperlink xmlns:r="http://schemas.openxmlformats.org/officeDocument/2006/relationships" ref="T865" display="https://www.linkedin.com/company/drieam/" r:id="rId2766"/>
    <hyperlink xmlns:r="http://schemas.openxmlformats.org/officeDocument/2006/relationships" ref="Y865" display="https://drive.google.com/uc?export=view&amp;id=1URlK7vfUsHHbd1O0v7mNpTkAKtCIdyru" r:id="rId2767"/>
    <hyperlink xmlns:r="http://schemas.openxmlformats.org/officeDocument/2006/relationships" ref="E866" display="http://www.prowise.com/" r:id="rId2768"/>
    <hyperlink xmlns:r="http://schemas.openxmlformats.org/officeDocument/2006/relationships" ref="Y866" display="https://drive.google.com/uc?export=view&amp;id=1syJzcUP07HK5muKYKGf2KUpW8PDoHgin" r:id="rId2769"/>
    <hyperlink xmlns:r="http://schemas.openxmlformats.org/officeDocument/2006/relationships" ref="E867" display="https://znaj.by/" r:id="rId2770"/>
    <hyperlink xmlns:r="http://schemas.openxmlformats.org/officeDocument/2006/relationships" ref="Y867" display="https://drive.google.com/uc?export=view&amp;id=1qKmpOh0qz5tB8e-DCGOQ830A5Rp3zV7G" r:id="rId2771"/>
    <hyperlink xmlns:r="http://schemas.openxmlformats.org/officeDocument/2006/relationships" ref="E868" display="https://alcor.academy/" r:id="rId2772"/>
    <hyperlink xmlns:r="http://schemas.openxmlformats.org/officeDocument/2006/relationships" ref="Y868" display="https://drive.google.com/uc?export=view&amp;id=1FphPkwShRm_z-PDB1y0brdwi2wIyzR26" r:id="rId2773"/>
    <hyperlink xmlns:r="http://schemas.openxmlformats.org/officeDocument/2006/relationships" ref="E869" display="http://www.arketiks.com/" r:id="rId2774"/>
    <hyperlink xmlns:r="http://schemas.openxmlformats.org/officeDocument/2006/relationships" ref="T869" display="https://www.linkedin.com/company/arketiks" r:id="rId2775"/>
    <hyperlink xmlns:r="http://schemas.openxmlformats.org/officeDocument/2006/relationships" ref="Y869" display="https://drive.google.com/uc?export=view&amp;id=1kZZsy8C0Rbs5Bv52cDwmgrXGYb8w6N5f" r:id="rId2776"/>
    <hyperlink xmlns:r="http://schemas.openxmlformats.org/officeDocument/2006/relationships" ref="E870" display="http://www.artcat.dk/" r:id="rId2777"/>
    <hyperlink xmlns:r="http://schemas.openxmlformats.org/officeDocument/2006/relationships" ref="R870" display="https://www.instagram.com/artcat_dk/?hl=da" r:id="rId2778"/>
    <hyperlink xmlns:r="http://schemas.openxmlformats.org/officeDocument/2006/relationships" ref="T870" display="https://www.linkedin.com/company/artcat-aps" r:id="rId2779"/>
    <hyperlink xmlns:r="http://schemas.openxmlformats.org/officeDocument/2006/relationships" ref="Y870" display="https://drive.google.com/uc?export=view&amp;id=1SYhVXDo9Q0dTVbd95Z0Ue9IcgOVnbSoE" r:id="rId2780"/>
    <hyperlink xmlns:r="http://schemas.openxmlformats.org/officeDocument/2006/relationships" ref="E871" display="https://www.ascendia.ro/" r:id="rId2781"/>
    <hyperlink xmlns:r="http://schemas.openxmlformats.org/officeDocument/2006/relationships" ref="Y871" display="https://drive.google.com/uc?export=view&amp;id=1R9mfV5J39CnlVSUMk3iZn0z_pKyIsK4G" r:id="rId2782"/>
    <hyperlink xmlns:r="http://schemas.openxmlformats.org/officeDocument/2006/relationships" ref="E872" display="http://www.lmfnetwork.com/" r:id="rId2783"/>
    <hyperlink xmlns:r="http://schemas.openxmlformats.org/officeDocument/2006/relationships" ref="Y872" display="https://drive.google.com/uc?export=view&amp;id=1XwCkNbP9z7ICAC_eIw5xZbJH099BXy__" r:id="rId2784"/>
    <hyperlink xmlns:r="http://schemas.openxmlformats.org/officeDocument/2006/relationships" ref="E873" display="http://www.123kid.org/" r:id="rId2785"/>
    <hyperlink xmlns:r="http://schemas.openxmlformats.org/officeDocument/2006/relationships" ref="R873" display="https://www.instagram.com/123kid.club/" r:id="rId2786"/>
    <hyperlink xmlns:r="http://schemas.openxmlformats.org/officeDocument/2006/relationships" ref="T873" display="https://www.linkedin.com/company/123kid/?viewAsMember=true" r:id="rId2787"/>
    <hyperlink xmlns:r="http://schemas.openxmlformats.org/officeDocument/2006/relationships" ref="Y873" display="https://drive.google.com/uc?export=view&amp;id=1DJkAf2MqVdnY90t_aXGH3rz4GdM-Jivd" r:id="rId2788"/>
    <hyperlink xmlns:r="http://schemas.openxmlformats.org/officeDocument/2006/relationships" ref="E874" display="http://www.e-numeracy.com/" r:id="rId2789"/>
    <hyperlink xmlns:r="http://schemas.openxmlformats.org/officeDocument/2006/relationships" ref="Y874" display="https://drive.google.com/uc?export=view&amp;id=1plqw43FIAqOA6QGvhY_2jkc6s5q7BOG5" r:id="rId2790"/>
    <hyperlink xmlns:r="http://schemas.openxmlformats.org/officeDocument/2006/relationships" ref="E875" display="http://www.eduten.com/" r:id="rId2791"/>
    <hyperlink xmlns:r="http://schemas.openxmlformats.org/officeDocument/2006/relationships" ref="R875" display="https://www.instagram.com/edutenofficial/" r:id="rId2792"/>
    <hyperlink xmlns:r="http://schemas.openxmlformats.org/officeDocument/2006/relationships" ref="S875" display="https://twitter.com/EdutenOfficial" r:id="rId2793"/>
    <hyperlink xmlns:r="http://schemas.openxmlformats.org/officeDocument/2006/relationships" ref="T875" display="https://www.linkedin.com/company/eduten" r:id="rId2794"/>
    <hyperlink xmlns:r="http://schemas.openxmlformats.org/officeDocument/2006/relationships" ref="Y875" display="https://drive.google.com/uc?export=view&amp;id=1d6zckjbsYCjm4_Yk8KppZJ5ojhjWQs5G" r:id="rId2795"/>
    <hyperlink xmlns:r="http://schemas.openxmlformats.org/officeDocument/2006/relationships" ref="E876" display="http://www.eyejustread.com/" r:id="rId2796"/>
    <hyperlink xmlns:r="http://schemas.openxmlformats.org/officeDocument/2006/relationships" ref="T876" display="https://www.linkedin.com/company/eyejustread/" r:id="rId2797"/>
    <hyperlink xmlns:r="http://schemas.openxmlformats.org/officeDocument/2006/relationships" ref="Y876" display="https://drive.google.com/uc?export=view&amp;id=1PKotzgYYDwWVeWZ-FMwej9N4CrEZ3hXa" r:id="rId2798"/>
    <hyperlink xmlns:r="http://schemas.openxmlformats.org/officeDocument/2006/relationships" ref="E877" display="http://www.playincluded.com/" r:id="rId2799"/>
    <hyperlink xmlns:r="http://schemas.openxmlformats.org/officeDocument/2006/relationships" ref="Y877" display="https://drive.google.com/uc?export=view&amp;id=1xvCpqv8CTcRUcsEqgHnaTlM2mzWPl5to" r:id="rId2800"/>
    <hyperlink xmlns:r="http://schemas.openxmlformats.org/officeDocument/2006/relationships" ref="E878" display="https://www.teachis.net/" r:id="rId2801"/>
    <hyperlink xmlns:r="http://schemas.openxmlformats.org/officeDocument/2006/relationships" ref="R878" display="https://www.instagram.com/teachisnet" r:id="rId2802"/>
    <hyperlink xmlns:r="http://schemas.openxmlformats.org/officeDocument/2006/relationships" ref="S878" display="https://twitter.com/TeachisNet" r:id="rId2803"/>
    <hyperlink xmlns:r="http://schemas.openxmlformats.org/officeDocument/2006/relationships" ref="T878" display="https://www.linkedin.com/company/teachis/" r:id="rId2804"/>
    <hyperlink xmlns:r="http://schemas.openxmlformats.org/officeDocument/2006/relationships" ref="Y878" display="https://drive.google.com/uc?export=view&amp;id=1XQ9jeYSQMNWPVGfy63hYCc4mxb9PXNll" r:id="rId2805"/>
    <hyperlink xmlns:r="http://schemas.openxmlformats.org/officeDocument/2006/relationships" ref="E879" display="http://tutorize.com/" r:id="rId2806"/>
    <hyperlink xmlns:r="http://schemas.openxmlformats.org/officeDocument/2006/relationships" ref="Y879" display="https://drive.google.com/uc?export=view&amp;id=1blUQhduBnzJsjvccg8bLuERy2PzuYHoO" r:id="rId2807"/>
    <hyperlink xmlns:r="http://schemas.openxmlformats.org/officeDocument/2006/relationships" ref="E880" display="https://www.featherbedtales.com/" r:id="rId2808"/>
    <hyperlink xmlns:r="http://schemas.openxmlformats.org/officeDocument/2006/relationships" ref="Y880" display="https://drive.google.com/uc?export=view&amp;id=1zEYMAvtlUZ9hmZN0xo8cyTHTVmvtilx6" r:id="rId2809"/>
    <hyperlink xmlns:r="http://schemas.openxmlformats.org/officeDocument/2006/relationships" ref="E881" display="http://www.kinaps.co/" r:id="rId2810"/>
    <hyperlink xmlns:r="http://schemas.openxmlformats.org/officeDocument/2006/relationships" ref="Y881" display="https://drive.google.com/uc?export=view&amp;id=1pVoRLjGa2FgSvVPo8zsQ0RmkejF8utfi" r:id="rId2811"/>
    <hyperlink xmlns:r="http://schemas.openxmlformats.org/officeDocument/2006/relationships" ref="E882" display="https://www.geegokids.com/" r:id="rId2812"/>
    <hyperlink xmlns:r="http://schemas.openxmlformats.org/officeDocument/2006/relationships" ref="R882" display="http://www.instagram.com/geegokids" r:id="rId2813"/>
    <hyperlink xmlns:r="http://schemas.openxmlformats.org/officeDocument/2006/relationships" ref="T882" display="https://www.linkedin.com/company/geegokids" r:id="rId2814"/>
    <hyperlink xmlns:r="http://schemas.openxmlformats.org/officeDocument/2006/relationships" ref="Y882" display="https://drive.google.com/uc?export=view&amp;id=10a7G3anFZyajIBzXXrue2N8w3uPiZ-n_" r:id="rId2815"/>
    <hyperlink xmlns:r="http://schemas.openxmlformats.org/officeDocument/2006/relationships" ref="E883" display="https://hexlet.io/" r:id="rId2816"/>
    <hyperlink xmlns:r="http://schemas.openxmlformats.org/officeDocument/2006/relationships" ref="Y883" display="https://drive.google.com/uc?export=view&amp;id=1-V4ILeRgAqq75BrZ7oolnHbCgFdHALWi" r:id="rId2817"/>
    <hyperlink xmlns:r="http://schemas.openxmlformats.org/officeDocument/2006/relationships" ref="E884" display="http://marq.cc/" r:id="rId2818"/>
    <hyperlink xmlns:r="http://schemas.openxmlformats.org/officeDocument/2006/relationships" ref="Y884" display="https://drive.google.com/uc?export=view&amp;id=1KiNv57Pzvt2mH1_2GmN9zMz5Y1OSdHNT" r:id="rId2819"/>
    <hyperlink xmlns:r="http://schemas.openxmlformats.org/officeDocument/2006/relationships" ref="E885" display="https://parents-booking.com/" r:id="rId2820"/>
    <hyperlink xmlns:r="http://schemas.openxmlformats.org/officeDocument/2006/relationships" ref="Y885" display="https://drive.google.com/uc?export=view&amp;id=10wv-IP1pHe1YJolykJaJwqcCVlRFiCK-" r:id="rId2821"/>
    <hyperlink xmlns:r="http://schemas.openxmlformats.org/officeDocument/2006/relationships" ref="E886" display="http://www.scoyo.de/" r:id="rId2822"/>
    <hyperlink xmlns:r="http://schemas.openxmlformats.org/officeDocument/2006/relationships" ref="Y886" display="https://drive.google.com/uc?export=view&amp;id=13jx19BsdFrrq2yoe0ElNnWX2wr_J_XNT" r:id="rId2823"/>
    <hyperlink xmlns:r="http://schemas.openxmlformats.org/officeDocument/2006/relationships" ref="E887" display="https://soundlily.com/" r:id="rId2824"/>
    <hyperlink xmlns:r="http://schemas.openxmlformats.org/officeDocument/2006/relationships" ref="Y887" display="https://drive.google.com/uc?export=view&amp;id=1tJgPfnI5GoghyByY9Mmkfktih631dFiq" r:id="rId2825"/>
    <hyperlink xmlns:r="http://schemas.openxmlformats.org/officeDocument/2006/relationships" ref="E888" display="http://stemstudio.org/" r:id="rId2826"/>
    <hyperlink xmlns:r="http://schemas.openxmlformats.org/officeDocument/2006/relationships" ref="Y888" display="https://drive.google.com/uc?export=view&amp;id=1jigST2yCipuVtdQbuiq15awQEeBRwwjl" r:id="rId2827"/>
    <hyperlink xmlns:r="http://schemas.openxmlformats.org/officeDocument/2006/relationships" ref="E889" display="https://www.edtech-collider.ch/" r:id="rId2828"/>
    <hyperlink xmlns:r="http://schemas.openxmlformats.org/officeDocument/2006/relationships" ref="R889" display="https://www.instagram.com/swiss_edtech_collider/?hl=en" r:id="rId2829"/>
    <hyperlink xmlns:r="http://schemas.openxmlformats.org/officeDocument/2006/relationships" ref="S889" display="https://twitter.com/SwissEdTech" r:id="rId2830"/>
    <hyperlink xmlns:r="http://schemas.openxmlformats.org/officeDocument/2006/relationships" ref="T889" display="https://www.linkedin.com/company/swiss-edtech-collider/" r:id="rId2831"/>
    <hyperlink xmlns:r="http://schemas.openxmlformats.org/officeDocument/2006/relationships" ref="Y889" display="https://drive.google.com/uc?export=view&amp;id=15ne04hsguRgfh-DsCieNM2FZnEKu-fP0" r:id="rId2832"/>
    <hyperlink xmlns:r="http://schemas.openxmlformats.org/officeDocument/2006/relationships" ref="E890" display="http://www.terrastudy.com/" r:id="rId2833"/>
    <hyperlink xmlns:r="http://schemas.openxmlformats.org/officeDocument/2006/relationships" ref="Y890" display="https://drive.google.com/uc?export=view&amp;id=1bor2KKz_-hZWQ-1a2ldBFIXKIP7cHRwi" r:id="rId2834"/>
    <hyperlink xmlns:r="http://schemas.openxmlformats.org/officeDocument/2006/relationships" ref="E891" display="http://www.tutor-platform.com/" r:id="rId2835"/>
    <hyperlink xmlns:r="http://schemas.openxmlformats.org/officeDocument/2006/relationships" ref="T891" display="https://www.linkedin.com/company/tutor-platform/mycompany/" r:id="rId2836"/>
    <hyperlink xmlns:r="http://schemas.openxmlformats.org/officeDocument/2006/relationships" ref="Y891" display="https://drive.google.com/uc?export=view&amp;id=1ADYkK0OyR9tPQXcl3gmgPjrvVVaA5h19" r:id="rId2837"/>
    <hyperlink xmlns:r="http://schemas.openxmlformats.org/officeDocument/2006/relationships" ref="E892" display="https://unifit.es/" r:id="rId2838"/>
    <hyperlink xmlns:r="http://schemas.openxmlformats.org/officeDocument/2006/relationships" ref="T892" display="https://www.linkedin.com/company/unifit-sl/?viewAsMember=true" r:id="rId2839"/>
    <hyperlink xmlns:r="http://schemas.openxmlformats.org/officeDocument/2006/relationships" ref="Y892" display="https://drive.google.com/uc?export=view&amp;id=14Gw89oiQ_Id00qEPyT1jrDjd0E2KfPmV" r:id="rId2840"/>
    <hyperlink xmlns:r="http://schemas.openxmlformats.org/officeDocument/2006/relationships" ref="E893" display="http://corneille.io/" r:id="rId2841"/>
    <hyperlink xmlns:r="http://schemas.openxmlformats.org/officeDocument/2006/relationships" ref="R893" display="https://www.instagram.com/appcorneille/" r:id="rId2842"/>
    <hyperlink xmlns:r="http://schemas.openxmlformats.org/officeDocument/2006/relationships" ref="S893" display="https://twitter.com/AppCorneille" r:id="rId2843"/>
    <hyperlink xmlns:r="http://schemas.openxmlformats.org/officeDocument/2006/relationships" ref="T893" display="https://www.linkedin.com/company/appcorneille/" r:id="rId2844"/>
    <hyperlink xmlns:r="http://schemas.openxmlformats.org/officeDocument/2006/relationships" ref="Y893" display="https://drive.google.com/uc?export=view&amp;id=19LWCgVCGFIkSiKjVemA072ityh1CTwyw" r:id="rId2845"/>
    <hyperlink xmlns:r="http://schemas.openxmlformats.org/officeDocument/2006/relationships" ref="E894" display="https://www.curiose.fr/" r:id="rId2846"/>
    <hyperlink xmlns:r="http://schemas.openxmlformats.org/officeDocument/2006/relationships" ref="T894" display="https://www.linkedin.com/company/curiose/?viewAsMember=true" r:id="rId2847"/>
    <hyperlink xmlns:r="http://schemas.openxmlformats.org/officeDocument/2006/relationships" ref="Y894" display="https://drive.google.com/uc?export=view&amp;id=1sFyw71bNVYimApdQP_0SCpr2Cisz6aJl" r:id="rId2848"/>
    <hyperlink xmlns:r="http://schemas.openxmlformats.org/officeDocument/2006/relationships" ref="E895" display="https://elbrusboot.camp/" r:id="rId2849"/>
    <hyperlink xmlns:r="http://schemas.openxmlformats.org/officeDocument/2006/relationships" ref="Y895" display="https://drive.google.com/uc?export=view&amp;id=1UPiI7jnF0ATRfi8b0HiYCv_cNYdPzNo8" r:id="rId2850"/>
    <hyperlink xmlns:r="http://schemas.openxmlformats.org/officeDocument/2006/relationships" ref="E896" display="http://www.faculty.nl/" r:id="rId2851"/>
    <hyperlink xmlns:r="http://schemas.openxmlformats.org/officeDocument/2006/relationships" ref="Y896" display="https://drive.google.com/uc?export=view&amp;id=1l-7LfDCZTFLfN3OIWMmSCcLYpD0sERY7" r:id="rId2852"/>
    <hyperlink xmlns:r="http://schemas.openxmlformats.org/officeDocument/2006/relationships" ref="E897" display="https://isavelives.nl/" r:id="rId2853"/>
    <hyperlink xmlns:r="http://schemas.openxmlformats.org/officeDocument/2006/relationships" ref="Y897" display="https://drive.google.com/uc?export=view&amp;id=1X-iOPTK12k75PUxxms4SnHTeV6EEKP3O" r:id="rId2854"/>
    <hyperlink xmlns:r="http://schemas.openxmlformats.org/officeDocument/2006/relationships" ref="E898" display="https://parlangi.net/" r:id="rId2855"/>
    <hyperlink xmlns:r="http://schemas.openxmlformats.org/officeDocument/2006/relationships" ref="Y898" display="https://drive.google.com/uc?export=view&amp;id=1aJJpTRoE-4wQSGynhdTE3v1bOwghMRCr" r:id="rId2856"/>
    <hyperlink xmlns:r="http://schemas.openxmlformats.org/officeDocument/2006/relationships" ref="E899" display="http://www.skillmapper.com/" r:id="rId2857"/>
    <hyperlink xmlns:r="http://schemas.openxmlformats.org/officeDocument/2006/relationships" ref="Y899" display="https://drive.google.com/uc?export=view&amp;id=1D7YA-7w9SYQiMcEO6WP0t1OjK5sYVADE" r:id="rId2858"/>
    <hyperlink xmlns:r="http://schemas.openxmlformats.org/officeDocument/2006/relationships" ref="E900" display="http://www.skillsuptraining.org/" r:id="rId2859"/>
    <hyperlink xmlns:r="http://schemas.openxmlformats.org/officeDocument/2006/relationships" ref="Y900" display="https://drive.google.com/uc?export=view&amp;id=1iF38OdNi1lc_JnMIhYf7bYqIlUVHXpp_" r:id="rId2860"/>
    <hyperlink xmlns:r="http://schemas.openxmlformats.org/officeDocument/2006/relationships" ref="E901" display="https://sustainabilityunlocked.com/" r:id="rId2861"/>
    <hyperlink xmlns:r="http://schemas.openxmlformats.org/officeDocument/2006/relationships" ref="Y901" display="https://drive.google.com/uc?export=view&amp;id=1pwVzxfhCv2CmeZEZzwPWzP8w9_d9kPTa" r:id="rId2862"/>
    <hyperlink xmlns:r="http://schemas.openxmlformats.org/officeDocument/2006/relationships" ref="E902" display="http://www.getacta.com/" r:id="rId2863"/>
    <hyperlink xmlns:r="http://schemas.openxmlformats.org/officeDocument/2006/relationships" ref="Y902" display="https://drive.google.com/uc?export=view&amp;id=1pivTBRttSkipIJktb_kBnoDBkc9D_SZb" r:id="rId2864"/>
    <hyperlink xmlns:r="http://schemas.openxmlformats.org/officeDocument/2006/relationships" ref="E903" display="https://arcadia-consulting.it/" r:id="rId2865"/>
    <hyperlink xmlns:r="http://schemas.openxmlformats.org/officeDocument/2006/relationships" ref="Y903" display="https://drive.google.com/uc?export=view&amp;id=1odQl3-pFyacJEPlOcjRF1JbyQaaeIQ3A" r:id="rId2866"/>
    <hyperlink xmlns:r="http://schemas.openxmlformats.org/officeDocument/2006/relationships" ref="E904" display="https://bonolab.com/" r:id="rId2867"/>
    <hyperlink xmlns:r="http://schemas.openxmlformats.org/officeDocument/2006/relationships" ref="T904" display="https://www.linkedin.com/company/74605646/" r:id="rId2868"/>
    <hyperlink xmlns:r="http://schemas.openxmlformats.org/officeDocument/2006/relationships" ref="Y904" display="https://drive.google.com/uc?export=view&amp;id=1k-vcMbIFdYCm1ca7JS7BmtfyDgOXKPaL" r:id="rId2869"/>
    <hyperlink xmlns:r="http://schemas.openxmlformats.org/officeDocument/2006/relationships" ref="E905" display="https://choice31.com/ua/" r:id="rId2870"/>
    <hyperlink xmlns:r="http://schemas.openxmlformats.org/officeDocument/2006/relationships" ref="Y905" display="https://drive.google.com/uc?export=view&amp;id=1iAP7yLas2id1ymUzPozkgwozxjEFxqEn" r:id="rId2871"/>
    <hyperlink xmlns:r="http://schemas.openxmlformats.org/officeDocument/2006/relationships" ref="E906" display="https://codementum.com/" r:id="rId2872"/>
    <hyperlink xmlns:r="http://schemas.openxmlformats.org/officeDocument/2006/relationships" ref="R906" display="https://www.instagram.com/codementumglobal/" r:id="rId2873"/>
    <hyperlink xmlns:r="http://schemas.openxmlformats.org/officeDocument/2006/relationships" ref="S906" display="https://twitter.com/Codementum1" r:id="rId2874"/>
    <hyperlink xmlns:r="http://schemas.openxmlformats.org/officeDocument/2006/relationships" ref="T906" display="https://www.linkedin.com/company/codementum-coding-technologies/" r:id="rId2875"/>
    <hyperlink xmlns:r="http://schemas.openxmlformats.org/officeDocument/2006/relationships" ref="Y906" display="https://drive.google.com/uc?export=view&amp;id=1rsOYGezw9rklr6P4SZZjhZlf9XIG7P3N" r:id="rId2876"/>
    <hyperlink xmlns:r="http://schemas.openxmlformats.org/officeDocument/2006/relationships" ref="E907" display="https://www.crocodile-health.com/" r:id="rId2877"/>
    <hyperlink xmlns:r="http://schemas.openxmlformats.org/officeDocument/2006/relationships" ref="Y907" display="https://drive.google.com/uc?export=view&amp;id=1MsSzKq69-ZdpOVBrZ0bE6Kar2j1OWfiv" r:id="rId2878"/>
    <hyperlink xmlns:r="http://schemas.openxmlformats.org/officeDocument/2006/relationships" ref="E908" display="http://www.devinsense.com/" r:id="rId2879"/>
    <hyperlink xmlns:r="http://schemas.openxmlformats.org/officeDocument/2006/relationships" ref="Y908" display="https://drive.google.com/uc?export=view&amp;id=114YGKkixXTELLDuWBKY8ECOfP73LzZXE" r:id="rId2880"/>
    <hyperlink xmlns:r="http://schemas.openxmlformats.org/officeDocument/2006/relationships" ref="E909" display="https://www.dieschulapp.de/" r:id="rId2881"/>
    <hyperlink xmlns:r="http://schemas.openxmlformats.org/officeDocument/2006/relationships" ref="Y909" display="https://drive.google.com/uc?export=view&amp;id=1sAZxbMadn9BTBW35yOCuUngYTWfzYqx6" r:id="rId2882"/>
    <hyperlink xmlns:r="http://schemas.openxmlformats.org/officeDocument/2006/relationships" ref="E910" display="https://edkimo.com/" r:id="rId2883"/>
    <hyperlink xmlns:r="http://schemas.openxmlformats.org/officeDocument/2006/relationships" ref="Y910" display="https://drive.google.com/uc?export=view&amp;id=1z9kLKEHcWsuRSlc5PK3Dvlq-hecXFYcX" r:id="rId2884"/>
    <hyperlink xmlns:r="http://schemas.openxmlformats.org/officeDocument/2006/relationships" ref="E911" display="https://www.finalist.nl/" r:id="rId2885"/>
    <hyperlink xmlns:r="http://schemas.openxmlformats.org/officeDocument/2006/relationships" ref="Y911" display="https://drive.google.com/uc?export=view&amp;id=1SDPDUpEw2lixPZu60929iGt4cY3U4jUh" r:id="rId2886"/>
    <hyperlink xmlns:r="http://schemas.openxmlformats.org/officeDocument/2006/relationships" ref="E912" display="https://www.freigeist-app.de/" r:id="rId2887"/>
    <hyperlink xmlns:r="http://schemas.openxmlformats.org/officeDocument/2006/relationships" ref="Y912" display="https://drive.google.com/uc?export=view&amp;id=17G3JI2mHltRfGRdPWOtYsLZ_aSwy3TGV" r:id="rId2888"/>
    <hyperlink xmlns:r="http://schemas.openxmlformats.org/officeDocument/2006/relationships" ref="D913" display="http://inoteam.io/" r:id="rId2889"/>
    <hyperlink xmlns:r="http://schemas.openxmlformats.org/officeDocument/2006/relationships" ref="E913" display="http://www.inoteam.io/" r:id="rId2890"/>
    <hyperlink xmlns:r="http://schemas.openxmlformats.org/officeDocument/2006/relationships" ref="Y913" display="https://drive.google.com/uc?export=view&amp;id=1wn-Jp7aGkD5vEqe9-RflJfVO6KKCmJB9" r:id="rId2891"/>
    <hyperlink xmlns:r="http://schemas.openxmlformats.org/officeDocument/2006/relationships" ref="E914" display="https://www.ismart.org/" r:id="rId2892"/>
    <hyperlink xmlns:r="http://schemas.openxmlformats.org/officeDocument/2006/relationships" ref="Y914" display="https://drive.google.com/uc?export=view&amp;id=118E3ksRTgODEbpu1bTm-av3JOnv7soZi" r:id="rId2893"/>
    <hyperlink xmlns:r="http://schemas.openxmlformats.org/officeDocument/2006/relationships" ref="E915" display="http://www.learntoquest.com/" r:id="rId2894"/>
    <hyperlink xmlns:r="http://schemas.openxmlformats.org/officeDocument/2006/relationships" ref="Y915" display="https://drive.google.com/uc?export=view&amp;id=17pHTlMvva_nCNSL_GJLYAk_xARH35Sq3" r:id="rId2895"/>
    <hyperlink xmlns:r="http://schemas.openxmlformats.org/officeDocument/2006/relationships" ref="E916" display="http://www.nok.se/" r:id="rId2896"/>
    <hyperlink xmlns:r="http://schemas.openxmlformats.org/officeDocument/2006/relationships" ref="Y916" display="https://drive.google.com/uc?export=view&amp;id=1ZfHbthU9ccu-SGdM2i4FLAC9Qf9CdNt0" r:id="rId2897"/>
    <hyperlink xmlns:r="http://schemas.openxmlformats.org/officeDocument/2006/relationships" ref="E917" display="http://www.nextlevelenglish.es/" r:id="rId2898"/>
    <hyperlink xmlns:r="http://schemas.openxmlformats.org/officeDocument/2006/relationships" ref="Y917" display="https://drive.google.com/uc?export=view&amp;id=1yK1e7tCPoXMcXcfMss3686qTmAYo2BPx" r:id="rId2899"/>
    <hyperlink xmlns:r="http://schemas.openxmlformats.org/officeDocument/2006/relationships" ref="E918" display="https://pi-tech.gr/" r:id="rId2900"/>
    <hyperlink xmlns:r="http://schemas.openxmlformats.org/officeDocument/2006/relationships" ref="Y918" display="https://drive.google.com/uc?export=view&amp;id=1vGnRAHtEt_lCpc_8bS-ZcbnqrQ0VrfvB" r:id="rId2901"/>
    <hyperlink xmlns:r="http://schemas.openxmlformats.org/officeDocument/2006/relationships" ref="E919" display="https://sogesnetwork.eu/" r:id="rId2902"/>
    <hyperlink xmlns:r="http://schemas.openxmlformats.org/officeDocument/2006/relationships" ref="Y919" display="https://drive.google.com/uc?export=view&amp;id=10nzIiK-mEFwatKQAbcN-XUC6xdpu1q8f" r:id="rId2903"/>
    <hyperlink xmlns:r="http://schemas.openxmlformats.org/officeDocument/2006/relationships" ref="E920" display="https://thebdschool.com/" r:id="rId2904"/>
    <hyperlink xmlns:r="http://schemas.openxmlformats.org/officeDocument/2006/relationships" ref="Y920" display="https://drive.google.com/uc?export=view&amp;id=1XNCmVxaYzYxjStJilI5ChnclHzKKN3EB" r:id="rId2905"/>
    <hyperlink xmlns:r="http://schemas.openxmlformats.org/officeDocument/2006/relationships" ref="E921" display="https://tutorium.ru/" r:id="rId2906"/>
    <hyperlink xmlns:r="http://schemas.openxmlformats.org/officeDocument/2006/relationships" ref="Y921" display="https://drive.google.com/uc?export=view&amp;id=1LlveplrOJmWjyBx7gp0bWqg5Oks1XQMO" r:id="rId2907"/>
    <hyperlink xmlns:r="http://schemas.openxmlformats.org/officeDocument/2006/relationships" ref="E922" display="http://www.uni-life.nl/" r:id="rId2908"/>
    <hyperlink xmlns:r="http://schemas.openxmlformats.org/officeDocument/2006/relationships" ref="R922" display="https://www.instagram.com/uni_life.nl/" r:id="rId2909"/>
    <hyperlink xmlns:r="http://schemas.openxmlformats.org/officeDocument/2006/relationships" ref="T922" display="https://www.linkedin.com/company/uni-life/" r:id="rId2910"/>
    <hyperlink xmlns:r="http://schemas.openxmlformats.org/officeDocument/2006/relationships" ref="Y922" display="https://drive.google.com/uc?export=view&amp;id=1o9tP7nzRwOBuwW9GnuCxB9aqwgXph-sT" r:id="rId2911"/>
    <hyperlink xmlns:r="http://schemas.openxmlformats.org/officeDocument/2006/relationships" ref="E923" display="https://visionyou.de/" r:id="rId2912"/>
    <hyperlink xmlns:r="http://schemas.openxmlformats.org/officeDocument/2006/relationships" ref="Y923" display="https://drive.google.com/uc?export=view&amp;id=18fdVGLg5YLSbrBZg-iTrqnxAUhsmeddP" r:id="rId2913"/>
    <hyperlink xmlns:r="http://schemas.openxmlformats.org/officeDocument/2006/relationships" ref="E924" display="http://www.wuolah.com/" r:id="rId2914"/>
    <hyperlink xmlns:r="http://schemas.openxmlformats.org/officeDocument/2006/relationships" ref="R924" display="https://www.instagram.com/wuolah_apuntes" r:id="rId2915"/>
    <hyperlink xmlns:r="http://schemas.openxmlformats.org/officeDocument/2006/relationships" ref="S924" display="https://twitter.com/Wuolah" r:id="rId2916"/>
    <hyperlink xmlns:r="http://schemas.openxmlformats.org/officeDocument/2006/relationships" ref="T924" display="https://es.linkedin.com/company/wuolah" r:id="rId2917"/>
    <hyperlink xmlns:r="http://schemas.openxmlformats.org/officeDocument/2006/relationships" ref="U924" display="http://www.wuolah.com/" r:id="rId2918"/>
    <hyperlink xmlns:r="http://schemas.openxmlformats.org/officeDocument/2006/relationships" ref="Y924" display="https://drive.google.com/uc?export=view&amp;id=1QGps9r7HWir5khPo8gucOTRgsVNMJoX6" r:id="rId2919"/>
    <hyperlink xmlns:r="http://schemas.openxmlformats.org/officeDocument/2006/relationships" ref="E925" display="https://www.anvexeducation.com/" r:id="rId2920"/>
    <hyperlink xmlns:r="http://schemas.openxmlformats.org/officeDocument/2006/relationships" ref="Y925" display="https://drive.google.com/uc?export=view&amp;id=14vV3xlmRxPM4ZpVxnSl4dHEttAkfB-26" r:id="rId2921"/>
    <hyperlink xmlns:r="http://schemas.openxmlformats.org/officeDocument/2006/relationships" ref="E926" display="http://www.etwinzacademy.com/" r:id="rId2922"/>
    <hyperlink xmlns:r="http://schemas.openxmlformats.org/officeDocument/2006/relationships" ref="Y926" display="https://drive.google.com/uc?export=view&amp;id=1BS4snD3wzgglNXfoZ_0SwlLH104SeuNu" r:id="rId2923"/>
    <hyperlink xmlns:r="http://schemas.openxmlformats.org/officeDocument/2006/relationships" ref="E927" display="https://www.uoc.edu/portal/en/index.html" r:id="rId2924"/>
    <hyperlink xmlns:r="http://schemas.openxmlformats.org/officeDocument/2006/relationships" ref="T927" display="https://www.linkedin.com/school/uoc/about/" r:id="rId2925"/>
    <hyperlink xmlns:r="http://schemas.openxmlformats.org/officeDocument/2006/relationships" ref="Y927" display="https://drive.google.com/uc?export=view&amp;id=1XaDjMXTqr-n7EEi3rxEp3ibkbJLMTr94" r:id="rId2926"/>
    <hyperlink xmlns:r="http://schemas.openxmlformats.org/officeDocument/2006/relationships" ref="E928" display="http://www.growthtribe.io/" r:id="rId2927"/>
    <hyperlink xmlns:r="http://schemas.openxmlformats.org/officeDocument/2006/relationships" ref="R928" display="https://www.instagram.com/growthtribe/" r:id="rId2928"/>
    <hyperlink xmlns:r="http://schemas.openxmlformats.org/officeDocument/2006/relationships" ref="S928" display="https://twitter.com/GrowthTribe" r:id="rId2929"/>
    <hyperlink xmlns:r="http://schemas.openxmlformats.org/officeDocument/2006/relationships" ref="T928" display="https://www.linkedin.com/school/growth-tribe/" r:id="rId2930"/>
    <hyperlink xmlns:r="http://schemas.openxmlformats.org/officeDocument/2006/relationships" ref="Y928" display="https://drive.google.com/uc?export=view&amp;id=1aDYHmg8ayW68iL46ChG37eUCROnCRR79" r:id="rId2931"/>
    <hyperlink xmlns:r="http://schemas.openxmlformats.org/officeDocument/2006/relationships" ref="E929" display="https://www.mentelista.com/" r:id="rId2932"/>
    <hyperlink xmlns:r="http://schemas.openxmlformats.org/officeDocument/2006/relationships" ref="Y929" display="https://drive.google.com/uc?export=view&amp;id=1oSJliEtTyngjWORrpjCz6ldn5kt09K3Z" r:id="rId2933"/>
    <hyperlink xmlns:r="http://schemas.openxmlformats.org/officeDocument/2006/relationships" ref="E930" display="https://naurok.com.ua/" r:id="rId2934"/>
    <hyperlink xmlns:r="http://schemas.openxmlformats.org/officeDocument/2006/relationships" ref="Y930" display="https://drive.google.com/uc?export=view&amp;id=1JYal9cYA2u3OwXQ2uESALR1Vr40l08vq" r:id="rId2935"/>
    <hyperlink xmlns:r="http://schemas.openxmlformats.org/officeDocument/2006/relationships" ref="E931" display="http://www.ayudame3d.org/colegios" r:id="rId2936"/>
    <hyperlink xmlns:r="http://schemas.openxmlformats.org/officeDocument/2006/relationships" ref="Y931" display="https://drive.google.com/uc?export=view&amp;id=1aismwMvDWm4vlp8ytsu53WzUiO517wCw" r:id="rId2937"/>
    <hyperlink xmlns:r="http://schemas.openxmlformats.org/officeDocument/2006/relationships" ref="E932" display="https://dreamshaper.com/en/" r:id="rId2938"/>
    <hyperlink xmlns:r="http://schemas.openxmlformats.org/officeDocument/2006/relationships" ref="Y932" display="https://drive.google.com/uc?export=view&amp;id=1kJEfMZAR9G4VbQJ_p3TFAKi8gW4oLxAA" r:id="rId2939"/>
    <hyperlink xmlns:r="http://schemas.openxmlformats.org/officeDocument/2006/relationships" ref="E933" display="http://www.druidlearning.com/" r:id="rId2940"/>
    <hyperlink xmlns:r="http://schemas.openxmlformats.org/officeDocument/2006/relationships" ref="T933" display="https://www.linkedin.com/company/druid-learning-limited" r:id="rId2941"/>
    <hyperlink xmlns:r="http://schemas.openxmlformats.org/officeDocument/2006/relationships" ref="Y933" display="https://drive.google.com/uc?export=view&amp;id=1hhY0L_nDI351gW5coFrtlicmzpxVHK_q" r:id="rId2942"/>
    <hyperlink xmlns:r="http://schemas.openxmlformats.org/officeDocument/2006/relationships" ref="E934" display="https://eglencelibilim.com/" r:id="rId2943"/>
    <hyperlink xmlns:r="http://schemas.openxmlformats.org/officeDocument/2006/relationships" ref="Y934" display="https://drive.google.com/uc?export=view&amp;id=1v3_Pps2qRSFmS6KeVZx_wJPDMrG69Syr" r:id="rId2944"/>
    <hyperlink xmlns:r="http://schemas.openxmlformats.org/officeDocument/2006/relationships" ref="E935" display="https://www.strangerskills.com/" r:id="rId2945"/>
    <hyperlink xmlns:r="http://schemas.openxmlformats.org/officeDocument/2006/relationships" ref="Y935" display="https://drive.google.com/uc?export=view&amp;id=1_L4YMpSKTSSWVZFBOK5Hjav0U3LvszWn" r:id="rId2946"/>
    <hyperlink xmlns:r="http://schemas.openxmlformats.org/officeDocument/2006/relationships" ref="E936" display="https://tmi.one/" r:id="rId2947"/>
    <hyperlink xmlns:r="http://schemas.openxmlformats.org/officeDocument/2006/relationships" ref="Y936" display="https://drive.google.com/uc?export=view&amp;id=1BHvXFoqdrxRE5cXcrIvrmj0yJfnXUOnS" r:id="rId2948"/>
    <hyperlink xmlns:r="http://schemas.openxmlformats.org/officeDocument/2006/relationships" ref="E937" display="https://www.atschool.com.ua/en/" r:id="rId2949"/>
    <hyperlink xmlns:r="http://schemas.openxmlformats.org/officeDocument/2006/relationships" ref="Y937" display="https://drive.google.com/uc?export=view&amp;id=13IM4nfdjh8nonsnBQO_Zt3LwxNVuuTiA" r:id="rId2950"/>
    <hyperlink xmlns:r="http://schemas.openxmlformats.org/officeDocument/2006/relationships" ref="E938" display="http://www.blueprintlearning.dk/" r:id="rId2951"/>
    <hyperlink xmlns:r="http://schemas.openxmlformats.org/officeDocument/2006/relationships" ref="U938" display="http://advokurser.dk/" r:id="rId2952"/>
    <hyperlink xmlns:r="http://schemas.openxmlformats.org/officeDocument/2006/relationships" ref="W938" display="http://revikurser.dk/" r:id="rId2953"/>
    <hyperlink xmlns:r="http://schemas.openxmlformats.org/officeDocument/2006/relationships" ref="Y938" display="https://drive.google.com/uc?export=view&amp;id=14IDcCPbIPKeiG90XjrQLNdjlF92sWmuG" r:id="rId2954"/>
    <hyperlink xmlns:r="http://schemas.openxmlformats.org/officeDocument/2006/relationships" ref="E939" display="http://www.cood.fr/" r:id="rId2955"/>
    <hyperlink xmlns:r="http://schemas.openxmlformats.org/officeDocument/2006/relationships" ref="R939" display="http://cood.fr/" r:id="rId2956"/>
    <hyperlink xmlns:r="http://schemas.openxmlformats.org/officeDocument/2006/relationships" ref="T939" display="https://www.linkedin.com/company/cood-fr" r:id="rId2957"/>
    <hyperlink xmlns:r="http://schemas.openxmlformats.org/officeDocument/2006/relationships" ref="Y939" display="https://drive.google.com/uc?export=view&amp;id=1TLnpgwhOIF9nje3Jk9v7WW0fpzQeodz-" r:id="rId2958"/>
    <hyperlink xmlns:r="http://schemas.openxmlformats.org/officeDocument/2006/relationships" ref="E940" display="https://education.eyepass.tech/" r:id="rId2959"/>
    <hyperlink xmlns:r="http://schemas.openxmlformats.org/officeDocument/2006/relationships" ref="Y940" display="https://drive.google.com/uc?export=view&amp;id=1tvUBiyZl68PUmqjaaM9nv0o9ORfHlcM5" r:id="rId2960"/>
    <hyperlink xmlns:r="http://schemas.openxmlformats.org/officeDocument/2006/relationships" ref="E941" display="http://www.kimo.ai/" r:id="rId2961"/>
    <hyperlink xmlns:r="http://schemas.openxmlformats.org/officeDocument/2006/relationships" ref="Y941" display="https://drive.google.com/uc?export=view&amp;id=1LSdf7QVbmsgCzmd_1ghdPq_3zHy7OvJj" r:id="rId2962"/>
    <hyperlink xmlns:r="http://schemas.openxmlformats.org/officeDocument/2006/relationships" ref="E942" display="https://sopuacademy.com/" r:id="rId2963"/>
    <hyperlink xmlns:r="http://schemas.openxmlformats.org/officeDocument/2006/relationships" ref="Y942" display="https://drive.google.com/uc?export=view&amp;id=1GQFjW1yicQjKY1NEWRPXyFuuiNvFNngI" r:id="rId2964"/>
    <hyperlink xmlns:r="http://schemas.openxmlformats.org/officeDocument/2006/relationships" ref="E943" display="https://talken.cloud/" r:id="rId2965"/>
    <hyperlink xmlns:r="http://schemas.openxmlformats.org/officeDocument/2006/relationships" ref="Y943" display="https://drive.google.com/uc?export=view&amp;id=1DhddukPZRSjLCrkuFfdF2LeEjFTbbv5E" r:id="rId2966"/>
    <hyperlink xmlns:r="http://schemas.openxmlformats.org/officeDocument/2006/relationships" ref="E944" display="http://unimuseum.io/" r:id="rId2967"/>
    <hyperlink xmlns:r="http://schemas.openxmlformats.org/officeDocument/2006/relationships" ref="Y944" display="https://drive.google.com/uc?export=view&amp;id=1brpejJtKkInrEX2b2rhYM6DagIW3DOoq" r:id="rId2968"/>
    <hyperlink xmlns:r="http://schemas.openxmlformats.org/officeDocument/2006/relationships" ref="E945" display="https://video.wiki/" r:id="rId2969"/>
    <hyperlink xmlns:r="http://schemas.openxmlformats.org/officeDocument/2006/relationships" ref="Y945" display="https://drive.google.com/uc?export=view&amp;id=1QrJY7rPO3PMZlNuZbkcQ9FTw2YUjgQxI" r:id="rId2970"/>
    <hyperlink xmlns:r="http://schemas.openxmlformats.org/officeDocument/2006/relationships" ref="E946" display="https://www.altris.ai/oct_education/" r:id="rId2971"/>
    <hyperlink xmlns:r="http://schemas.openxmlformats.org/officeDocument/2006/relationships" ref="T946" display="https://www.linkedin.com/showcase/altris-education-oct" r:id="rId2972"/>
    <hyperlink xmlns:r="http://schemas.openxmlformats.org/officeDocument/2006/relationships" ref="Y946" display="https://drive.google.com/uc?export=view&amp;id=1tmrsT1CHNsvJDHj0P6uclIcuN-OpkqbK" r:id="rId2973"/>
    <hyperlink xmlns:r="http://schemas.openxmlformats.org/officeDocument/2006/relationships" ref="E947" display="https://ampli.com.ua/" r:id="rId2974"/>
    <hyperlink xmlns:r="http://schemas.openxmlformats.org/officeDocument/2006/relationships" ref="Y947" display="https://drive.google.com/uc?export=view&amp;id=1HZdJc5mdzf4hw4IJG88PUF2mFtA5XmA4" r:id="rId2975"/>
    <hyperlink xmlns:r="http://schemas.openxmlformats.org/officeDocument/2006/relationships" ref="E948" display="https://www.artips-factory.fr/" r:id="rId2976"/>
    <hyperlink xmlns:r="http://schemas.openxmlformats.org/officeDocument/2006/relationships" ref="S948" display="https://twitter.com/artips_fr?lang=en" r:id="rId2977"/>
    <hyperlink xmlns:r="http://schemas.openxmlformats.org/officeDocument/2006/relationships" ref="T948" display="https://www.linkedin.com/company/artips" r:id="rId2978"/>
    <hyperlink xmlns:r="http://schemas.openxmlformats.org/officeDocument/2006/relationships" ref="Y948" display="https://drive.google.com/uc?export=view&amp;id=10AyvDvrWVrqwkdQGqnVhMrcD-nfqCwx9" r:id="rId2979"/>
    <hyperlink xmlns:r="http://schemas.openxmlformats.org/officeDocument/2006/relationships" ref="E949" display="http://www.autsera.com/" r:id="rId2980"/>
    <hyperlink xmlns:r="http://schemas.openxmlformats.org/officeDocument/2006/relationships" ref="Y949" display="https://drive.google.com/uc?export=view&amp;id=1KCj9VeQnRqV8LZRvr_9etkUdigRfdsAQ" r:id="rId2981"/>
    <hyperlink xmlns:r="http://schemas.openxmlformats.org/officeDocument/2006/relationships" ref="E950" display="https://graffos.es/landing/?lang=en" r:id="rId2982"/>
    <hyperlink xmlns:r="http://schemas.openxmlformats.org/officeDocument/2006/relationships" ref="Y950" display="https://drive.google.com/uc?export=view&amp;id=11BBTnA-6UXHSsc_TcnXShE-vcrCd2MVi" r:id="rId2983"/>
    <hyperlink xmlns:r="http://schemas.openxmlformats.org/officeDocument/2006/relationships" ref="E951" display="http://www.boffin.com.ua/" r:id="rId2984"/>
    <hyperlink xmlns:r="http://schemas.openxmlformats.org/officeDocument/2006/relationships" ref="Y951" display="https://drive.google.com/uc?export=view&amp;id=1xVEVKyhkWNTFJAR9FFLZYdxvhPaUnlik" r:id="rId2985"/>
    <hyperlink xmlns:r="http://schemas.openxmlformats.org/officeDocument/2006/relationships" ref="E952" display="http://choizy.org/" r:id="rId2986"/>
    <hyperlink xmlns:r="http://schemas.openxmlformats.org/officeDocument/2006/relationships" ref="Y952" display="https://drive.google.com/uc?export=view&amp;id=1yC2Ue2eLRGZBZ2S7qqcGU0Tk0s4vPXne" r:id="rId2987"/>
    <hyperlink xmlns:r="http://schemas.openxmlformats.org/officeDocument/2006/relationships" ref="E953" display="https://www.clasee.io/" r:id="rId2988"/>
    <hyperlink xmlns:r="http://schemas.openxmlformats.org/officeDocument/2006/relationships" ref="Y953" display="https://drive.google.com/uc?export=view&amp;id=1YBsygqTNw5FLKvaIHGkigHn6p-6egeWo" r:id="rId2989"/>
    <hyperlink xmlns:r="http://schemas.openxmlformats.org/officeDocument/2006/relationships" ref="E954" display="https://play.google.com/store/apps/details?id=com.realestate.cleverashka" r:id="rId2990"/>
    <hyperlink xmlns:r="http://schemas.openxmlformats.org/officeDocument/2006/relationships" ref="Y954" display="https://drive.google.com/uc?export=view&amp;id=10qR3l5-dAs9cmV70BC8VCWBI6YysfIR7" r:id="rId2991"/>
    <hyperlink xmlns:r="http://schemas.openxmlformats.org/officeDocument/2006/relationships" ref="E955" display="https://clincasequest.hospital/" r:id="rId2992"/>
    <hyperlink xmlns:r="http://schemas.openxmlformats.org/officeDocument/2006/relationships" ref="Y955" display="https://drive.google.com/uc?export=view&amp;id=1JcmbtHrU2Xc1jEvr_0-i_ncYJ1YTvZiO" r:id="rId2993"/>
    <hyperlink xmlns:r="http://schemas.openxmlformats.org/officeDocument/2006/relationships" ref="E956" display="https://creativepractice.com.ua/" r:id="rId2994"/>
    <hyperlink xmlns:r="http://schemas.openxmlformats.org/officeDocument/2006/relationships" ref="Y956" display="https://drive.google.com/uc?export=view&amp;id=1T81wsSJsjubYCwfG5iAbFJHQ77GXMaT4" r:id="rId2995"/>
    <hyperlink xmlns:r="http://schemas.openxmlformats.org/officeDocument/2006/relationships" ref="E957" display="http://www.dito.education/" r:id="rId2996"/>
    <hyperlink xmlns:r="http://schemas.openxmlformats.org/officeDocument/2006/relationships" ref="Y957" display="https://drive.google.com/uc?export=view&amp;id=1r7X2hfEvMLozy3fHYoWMHXkT7ZpyBwCi" r:id="rId2997"/>
    <hyperlink xmlns:r="http://schemas.openxmlformats.org/officeDocument/2006/relationships" ref="E958" display="https://www.facebook.com/eruditoEd" r:id="rId2998"/>
    <hyperlink xmlns:r="http://schemas.openxmlformats.org/officeDocument/2006/relationships" ref="Y958" display="https://drive.google.com/uc?export=view&amp;id=1Jep6x1cXWJNzQli2KCO0tZx16fS0ari2" r:id="rId2999"/>
    <hyperlink xmlns:r="http://schemas.openxmlformats.org/officeDocument/2006/relationships" ref="E959" display="https://esemtia.com/" r:id="rId3000"/>
    <hyperlink xmlns:r="http://schemas.openxmlformats.org/officeDocument/2006/relationships" ref="S959" display="https://twitter.com/esemtia?ref_src=twsrc%5Egoogle%7Ctwcamp%5Eserp%7Ctwgr%5Eauthor" r:id="rId3001"/>
    <hyperlink xmlns:r="http://schemas.openxmlformats.org/officeDocument/2006/relationships" ref="T959" display="https://www.linkedin.com/company/40201048/admin/" r:id="rId3002"/>
    <hyperlink xmlns:r="http://schemas.openxmlformats.org/officeDocument/2006/relationships" ref="Y959" display="https://drive.google.com/uc?export=view&amp;id=1Pk_TyKIhJgGNXFhPWaSA-oI0XOqtnyLL" r:id="rId3003"/>
    <hyperlink xmlns:r="http://schemas.openxmlformats.org/officeDocument/2006/relationships" ref="E960" display="https://goit.global/pl/" r:id="rId3004"/>
    <hyperlink xmlns:r="http://schemas.openxmlformats.org/officeDocument/2006/relationships" ref="Y960" display="https://drive.google.com/uc?export=view&amp;id=1hlGMPtds9ATxm04H5X_F3AfFEM7AKfHQ" r:id="rId3005"/>
    <hyperlink xmlns:r="http://schemas.openxmlformats.org/officeDocument/2006/relationships" ref="E961" display="https://www.hoobi.fun/" r:id="rId3006"/>
    <hyperlink xmlns:r="http://schemas.openxmlformats.org/officeDocument/2006/relationships" ref="Y961" display="https://drive.google.com/uc?export=view&amp;id=1IYtxMRJKDqqHiPnsznoXvXWzt-ycNMsL" r:id="rId3007"/>
    <hyperlink xmlns:r="http://schemas.openxmlformats.org/officeDocument/2006/relationships" ref="E962" display="https://www.humanava.com/" r:id="rId3008"/>
    <hyperlink xmlns:r="http://schemas.openxmlformats.org/officeDocument/2006/relationships" ref="R962" display="https://www.instagram.com/humanava_/" r:id="rId3009"/>
    <hyperlink xmlns:r="http://schemas.openxmlformats.org/officeDocument/2006/relationships" ref="S962" display="https://twitter.com/humanava_" r:id="rId3010"/>
    <hyperlink xmlns:r="http://schemas.openxmlformats.org/officeDocument/2006/relationships" ref="T962" display="https://www.linkedin.com/company/humanava" r:id="rId3011"/>
    <hyperlink xmlns:r="http://schemas.openxmlformats.org/officeDocument/2006/relationships" ref="Y962" display="https://drive.google.com/uc?export=view&amp;id=10gp7nwXnnm9PKAHLRDomV7iFRrzZbQ7F" r:id="rId3012"/>
    <hyperlink xmlns:r="http://schemas.openxmlformats.org/officeDocument/2006/relationships" ref="E963" display="https://www.knowmore365.com/" r:id="rId3013"/>
    <hyperlink xmlns:r="http://schemas.openxmlformats.org/officeDocument/2006/relationships" ref="Y963" display="https://drive.google.com/uc?export=view&amp;id=1qfoyvCuRTimQ1MbCQ6qPQ6YPIiq3fyKF" r:id="rId3014"/>
    <hyperlink xmlns:r="http://schemas.openxmlformats.org/officeDocument/2006/relationships" ref="E964" display="http://www.mysatkit.com/" r:id="rId3015"/>
    <hyperlink xmlns:r="http://schemas.openxmlformats.org/officeDocument/2006/relationships" ref="Y964" display="https://drive.google.com/uc?export=view&amp;id=1BNXJ8UHFyYxGqsaTCcGWCORwgXAD6t8d" r:id="rId3016"/>
    <hyperlink xmlns:r="http://schemas.openxmlformats.org/officeDocument/2006/relationships" ref="D965" display="http://plagiarismcheck.org/" r:id="rId3017"/>
    <hyperlink xmlns:r="http://schemas.openxmlformats.org/officeDocument/2006/relationships" ref="E965" display="https://plagiarismcheck.org/" r:id="rId3018"/>
    <hyperlink xmlns:r="http://schemas.openxmlformats.org/officeDocument/2006/relationships" ref="Y965" display="https://drive.google.com/uc?export=view&amp;id=1BAB96eDg5y0TOB1bYmwMW0CB92N14NgQ" r:id="rId3019"/>
    <hyperlink xmlns:r="http://schemas.openxmlformats.org/officeDocument/2006/relationships" ref="E966" display="https://prjctr.com/" r:id="rId3020"/>
    <hyperlink xmlns:r="http://schemas.openxmlformats.org/officeDocument/2006/relationships" ref="Y966" display="https://drive.google.com/uc?export=view&amp;id=1qWaaqCDL_0xwrMrXS5sry9LmwZFI6zWW" r:id="rId3021"/>
    <hyperlink xmlns:r="http://schemas.openxmlformats.org/officeDocument/2006/relationships" ref="E967" display="https://www.readlax.com/" r:id="rId3022"/>
    <hyperlink xmlns:r="http://schemas.openxmlformats.org/officeDocument/2006/relationships" ref="Y967" display="https://drive.google.com/uc?export=view&amp;id=1Htx1BOPj9fQx9j5FuRZ7nk1qGqzLMBno" r:id="rId3023"/>
    <hyperlink xmlns:r="http://schemas.openxmlformats.org/officeDocument/2006/relationships" ref="E968" display="http://roboriseit.com/" r:id="rId3024"/>
    <hyperlink xmlns:r="http://schemas.openxmlformats.org/officeDocument/2006/relationships" ref="Y968" display="https://drive.google.com/uc?export=view&amp;id=1RpxLwsFNwM3_7HoIqyxMgyxIUK_XXM_-" r:id="rId3025"/>
    <hyperlink xmlns:r="http://schemas.openxmlformats.org/officeDocument/2006/relationships" ref="E969" display="http://www.stellkey.com/" r:id="rId3026"/>
    <hyperlink xmlns:r="http://schemas.openxmlformats.org/officeDocument/2006/relationships" ref="Y969" display="https://drive.google.com/uc?export=view&amp;id=1lO6Y_PiZ0YIOA9tzxNkGuuz1iuAH5KFj" r:id="rId3027"/>
    <hyperlink xmlns:r="http://schemas.openxmlformats.org/officeDocument/2006/relationships" ref="Y970" display="https://drive.google.com/uc?export=view&amp;id=1AKR14Tp8t8FDqPzGd0snr8qh6WOHHfEz" r:id="rId3028"/>
    <hyperlink xmlns:r="http://schemas.openxmlformats.org/officeDocument/2006/relationships" ref="E971" display="http://www.altamar.es/" r:id="rId3029"/>
    <hyperlink xmlns:r="http://schemas.openxmlformats.org/officeDocument/2006/relationships" ref="T971" display="https://www.linkedin.com/company/editorial-altamar-s-l-/" r:id="rId3030"/>
    <hyperlink xmlns:r="http://schemas.openxmlformats.org/officeDocument/2006/relationships" ref="Y971" display="https://drive.google.com/uc?export=view&amp;id=1YYthl1XG24kpopftkXKrLM72OLVIA1sF" r:id="rId3031"/>
    <hyperlink xmlns:r="http://schemas.openxmlformats.org/officeDocument/2006/relationships" ref="E972" display="http://www.alternativedigitale.com/" r:id="rId3032"/>
    <hyperlink xmlns:r="http://schemas.openxmlformats.org/officeDocument/2006/relationships" ref="S972" display="https://twitter.com/mydigitt" r:id="rId3033"/>
    <hyperlink xmlns:r="http://schemas.openxmlformats.org/officeDocument/2006/relationships" ref="T972" display="https://www.linkedin.com/company/alternative-digitale/" r:id="rId3034"/>
    <hyperlink xmlns:r="http://schemas.openxmlformats.org/officeDocument/2006/relationships" ref="Y972" display="https://drive.google.com/uc?export=view&amp;id=1ddiUoKd_TdVGNRVKufAfDhAhEO5n0Zcl" r:id="rId3035"/>
    <hyperlink xmlns:r="http://schemas.openxmlformats.org/officeDocument/2006/relationships" ref="E973" display="https://educacion.bq.com/" r:id="rId3036"/>
    <hyperlink xmlns:r="http://schemas.openxmlformats.org/officeDocument/2006/relationships" ref="Y973" display="https://drive.google.com/uc?export=view&amp;id=1wJuYP6KAalYt9L4ZbIyC0lewQ7h6z2bE" r:id="rId3037"/>
    <hyperlink xmlns:r="http://schemas.openxmlformats.org/officeDocument/2006/relationships" ref="E974" display="https://certifier.me/" r:id="rId3038"/>
    <hyperlink xmlns:r="http://schemas.openxmlformats.org/officeDocument/2006/relationships" ref="Y974" display="https://drive.google.com/uc?export=view&amp;id=1g5hD9HBStTupBYpLTPpZ1JTYzE-A-Sk1" r:id="rId3039"/>
    <hyperlink xmlns:r="http://schemas.openxmlformats.org/officeDocument/2006/relationships" ref="E975" display="http://www.emprendeconmigo.com/" r:id="rId3040"/>
    <hyperlink xmlns:r="http://schemas.openxmlformats.org/officeDocument/2006/relationships" ref="Y975" display="https://drive.google.com/uc?export=view&amp;id=1TZz0miM3mzZk4BRg06prZdOScbbJa_0r" r:id="rId3041"/>
    <hyperlink xmlns:r="http://schemas.openxmlformats.org/officeDocument/2006/relationships" ref="E976" display="https://gimi.com/sv/" r:id="rId3042"/>
    <hyperlink xmlns:r="http://schemas.openxmlformats.org/officeDocument/2006/relationships" ref="Y976" display="https://drive.google.com/uc?export=view&amp;id=1KrCc2XIQuQ_Jsqbg63K4XptZY22X-M55" r:id="rId3043"/>
    <hyperlink xmlns:r="http://schemas.openxmlformats.org/officeDocument/2006/relationships" ref="E977" display="http://www.innobambini.it/" r:id="rId3044"/>
    <hyperlink xmlns:r="http://schemas.openxmlformats.org/officeDocument/2006/relationships" ref="Y977" display="https://drive.google.com/uc?export=view&amp;id=1yAgs0RhWpbNnktpmAVQKOCqgsJDxZe7v" r:id="rId3045"/>
    <hyperlink xmlns:r="http://schemas.openxmlformats.org/officeDocument/2006/relationships" ref="E978" display="http://www.jollylearning.co.uk/" r:id="rId3046"/>
    <hyperlink xmlns:r="http://schemas.openxmlformats.org/officeDocument/2006/relationships" ref="Y978" display="https://drive.google.com/uc?export=view&amp;id=1Nq-vhycI8ptoSa-MLpCc0_-XczeDOSPG" r:id="rId3047"/>
    <hyperlink xmlns:r="http://schemas.openxmlformats.org/officeDocument/2006/relationships" ref="E979" display="https://www.mailo.com/" r:id="rId3048"/>
    <hyperlink xmlns:r="http://schemas.openxmlformats.org/officeDocument/2006/relationships" ref="R979" display="https://www.instagram.com/hellomailo/" r:id="rId3049"/>
    <hyperlink xmlns:r="http://schemas.openxmlformats.org/officeDocument/2006/relationships" ref="S979" display="https://twitter.com/HELLOMAILO" r:id="rId3050"/>
    <hyperlink xmlns:r="http://schemas.openxmlformats.org/officeDocument/2006/relationships" ref="T979" display="https://fr.linkedin.com/company/mailofr?original_referer=https%3A%2F%2Fwww.google.com%2F" r:id="rId3051"/>
    <hyperlink xmlns:r="http://schemas.openxmlformats.org/officeDocument/2006/relationships" ref="Y979" display="https://drive.google.com/uc?export=view&amp;id=1id5DECDQVmqN2uLzb0l5wUL_kejauhXJ" r:id="rId3052"/>
    <hyperlink xmlns:r="http://schemas.openxmlformats.org/officeDocument/2006/relationships" ref="E980" display="http://www.manutan-collectivites.fr/" r:id="rId3053"/>
    <hyperlink xmlns:r="http://schemas.openxmlformats.org/officeDocument/2006/relationships" ref="Y980" display="https://drive.google.com/uc?export=view&amp;id=1flWMdRIBhDqOOhp5_ovJjNxDqxsJeZYm" r:id="rId3054"/>
    <hyperlink xmlns:r="http://schemas.openxmlformats.org/officeDocument/2006/relationships" ref="E981" display="https://memimababy.com/" r:id="rId3055"/>
    <hyperlink xmlns:r="http://schemas.openxmlformats.org/officeDocument/2006/relationships" ref="R981" display="https://www.linkedin.com/company/memimababy/" r:id="rId3056"/>
    <hyperlink xmlns:r="http://schemas.openxmlformats.org/officeDocument/2006/relationships" ref="T981" display="https://www.linkedin.com/company/memimababy/" r:id="rId3057"/>
    <hyperlink xmlns:r="http://schemas.openxmlformats.org/officeDocument/2006/relationships" ref="Y981" display="https://drive.google.com/uc?export=view&amp;id=1vN2ye37nhonXTji71fFuUOyp8BukmIki" r:id="rId3058"/>
    <hyperlink xmlns:r="http://schemas.openxmlformats.org/officeDocument/2006/relationships" ref="E982" display="http://mersys.io/" r:id="rId3059"/>
    <hyperlink xmlns:r="http://schemas.openxmlformats.org/officeDocument/2006/relationships" ref="Y982" display="https://drive.google.com/uc?export=view&amp;id=1ysrz3iV5-0ATDEkOwM6Q5tydS05Jkd29" r:id="rId3060"/>
    <hyperlink xmlns:r="http://schemas.openxmlformats.org/officeDocument/2006/relationships" ref="E983" display="https://lab.mobi/realitymaker" r:id="rId3061"/>
    <hyperlink xmlns:r="http://schemas.openxmlformats.org/officeDocument/2006/relationships" ref="R983" display="https://www.instagram.com/lab.mobi/" r:id="rId3062"/>
    <hyperlink xmlns:r="http://schemas.openxmlformats.org/officeDocument/2006/relationships" ref="S983" display="https://twitter.com/labmobi" r:id="rId3063"/>
    <hyperlink xmlns:r="http://schemas.openxmlformats.org/officeDocument/2006/relationships" ref="T983" display="https://www.linkedin.com/company/mobi-lab/" r:id="rId3064"/>
    <hyperlink xmlns:r="http://schemas.openxmlformats.org/officeDocument/2006/relationships" ref="Y983" display="https://drive.google.com/uc?export=view&amp;id=1TNFiNdVPEJONDt_bQIub7B2A1Ksi0j1N" r:id="rId3065"/>
    <hyperlink xmlns:r="http://schemas.openxmlformats.org/officeDocument/2006/relationships" ref="E984" display="http://www.prosfy.com/" r:id="rId3066"/>
    <hyperlink xmlns:r="http://schemas.openxmlformats.org/officeDocument/2006/relationships" ref="T984" display="https://www.linkedin.com/company/prosfy/" r:id="rId3067"/>
    <hyperlink xmlns:r="http://schemas.openxmlformats.org/officeDocument/2006/relationships" ref="Y984" display="https://drive.google.com/uc?export=view&amp;id=17BYjOyVvgjxrJ4imQz_SfMlZUmOEtVaK" r:id="rId3068"/>
    <hyperlink xmlns:r="http://schemas.openxmlformats.org/officeDocument/2006/relationships" ref="E985" display="https://www.unihelper.dk/?lang=en" r:id="rId3069"/>
    <hyperlink xmlns:r="http://schemas.openxmlformats.org/officeDocument/2006/relationships" ref="T985" display="https://www.linkedin.com/company/unihelper/?viewAsMember=true" r:id="rId3070"/>
    <hyperlink xmlns:r="http://schemas.openxmlformats.org/officeDocument/2006/relationships" ref="Y985" display="https://drive.google.com/uc?export=view&amp;id=1-8P1xcEz6pcTWp9tTeJW8yAe-r41EYpm" r:id="rId3071"/>
    <hyperlink xmlns:r="http://schemas.openxmlformats.org/officeDocument/2006/relationships" ref="E986" display="https://www.uptech.team/" r:id="rId3072"/>
    <hyperlink xmlns:r="http://schemas.openxmlformats.org/officeDocument/2006/relationships" ref="Y986" display="https://drive.google.com/uc?export=view&amp;id=1oOqnZkcX7aBkFQNjWldm3AU4x2UajYfS" r:id="rId3073"/>
    <hyperlink xmlns:r="http://schemas.openxmlformats.org/officeDocument/2006/relationships" ref="E987" display="http://www.vicole.de/" r:id="rId3074"/>
    <hyperlink xmlns:r="http://schemas.openxmlformats.org/officeDocument/2006/relationships" ref="Y987" display="https://drive.google.com/uc?export=view&amp;id=1druVqdZxywwnjXbePIyQFHw31yN69NnP" r:id="rId3075"/>
    <hyperlink xmlns:r="http://schemas.openxmlformats.org/officeDocument/2006/relationships" ref="E988" display="http://www.woonoz.com/" r:id="rId3076"/>
    <hyperlink xmlns:r="http://schemas.openxmlformats.org/officeDocument/2006/relationships" ref="S988" display="https://twitter.com/woonoz" r:id="rId3077"/>
    <hyperlink xmlns:r="http://schemas.openxmlformats.org/officeDocument/2006/relationships" ref="T988" display="https://www.linkedin.com/company/2967089/" r:id="rId3078"/>
    <hyperlink xmlns:r="http://schemas.openxmlformats.org/officeDocument/2006/relationships" ref="Y988" display="https://drive.google.com/uc?export=view&amp;id=1YJcY3evg4ew4L85G9TNh5bNU_YaITTol" r:id="rId3079"/>
    <hyperlink xmlns:r="http://schemas.openxmlformats.org/officeDocument/2006/relationships" ref="E989" display="https://wweeddoo.com/" r:id="rId3080"/>
    <hyperlink xmlns:r="http://schemas.openxmlformats.org/officeDocument/2006/relationships" ref="R989" display="https://www.instagram.com/wweeddoofficiel/" r:id="rId3081"/>
    <hyperlink xmlns:r="http://schemas.openxmlformats.org/officeDocument/2006/relationships" ref="S989" display="https://twitter.com/wweeddoofr" r:id="rId3082"/>
    <hyperlink xmlns:r="http://schemas.openxmlformats.org/officeDocument/2006/relationships" ref="T989" display="https://fr.linkedin.com/company/wweeddoo" r:id="rId3083"/>
    <hyperlink xmlns:r="http://schemas.openxmlformats.org/officeDocument/2006/relationships" ref="Y989" display="https://drive.google.com/uc?export=view&amp;id=1ogzsBuw9EnFu1Nypuk_yKa11nus8sI_I" r:id="rId3084"/>
    <hyperlink xmlns:r="http://schemas.openxmlformats.org/officeDocument/2006/relationships" ref="E990" display="https://www.toplinemedia.fi/" r:id="rId3085"/>
    <hyperlink xmlns:r="http://schemas.openxmlformats.org/officeDocument/2006/relationships" ref="E991" display="https://cyberskiller.com/" r:id="rId3086"/>
    <hyperlink xmlns:r="http://schemas.openxmlformats.org/officeDocument/2006/relationships" ref="Y991" display="https://drive.google.com/uc?export=view&amp;id=1agrw6x52CK4PL6ILlY7aMYnnliKA-hoo" r:id="rId3087"/>
    <hyperlink xmlns:r="http://schemas.openxmlformats.org/officeDocument/2006/relationships" ref="E992" display="https://grasple.com/" r:id="rId3088"/>
    <hyperlink xmlns:r="http://schemas.openxmlformats.org/officeDocument/2006/relationships" ref="S992" display="https://twitter.com/opengrasple" r:id="rId3089"/>
    <hyperlink xmlns:r="http://schemas.openxmlformats.org/officeDocument/2006/relationships" ref="T992" display="https://www.linkedin.com/company/grasple" r:id="rId3090"/>
    <hyperlink xmlns:r="http://schemas.openxmlformats.org/officeDocument/2006/relationships" ref="Y992" display="https://drive.google.com/uc?export=view&amp;id=1_2E3wxPy5209rebyhDsriyK04iQMt25u" r:id="rId3091"/>
    <hyperlink xmlns:r="http://schemas.openxmlformats.org/officeDocument/2006/relationships" ref="E993" display="https://helge.app/" r:id="rId3092"/>
    <hyperlink xmlns:r="http://schemas.openxmlformats.org/officeDocument/2006/relationships" ref="R993" display="https://www.instagram.com/helgeapp/" r:id="rId3093"/>
    <hyperlink xmlns:r="http://schemas.openxmlformats.org/officeDocument/2006/relationships" ref="S993" display="https://twitter.com/helgeapp" r:id="rId3094"/>
    <hyperlink xmlns:r="http://schemas.openxmlformats.org/officeDocument/2006/relationships" ref="T993" display="https://www.linkedin.com/company/helge" r:id="rId3095"/>
    <hyperlink xmlns:r="http://schemas.openxmlformats.org/officeDocument/2006/relationships" ref="Y993" display="https://drive.google.com/uc?export=view&amp;id=1uu2NA_E3EdR6CB0SD5aP2OfyY0KHqIGi" r:id="rId3096"/>
    <hyperlink xmlns:r="http://schemas.openxmlformats.org/officeDocument/2006/relationships" ref="E994" display="http://www.leaplearning.com/" r:id="rId3097"/>
    <hyperlink xmlns:r="http://schemas.openxmlformats.org/officeDocument/2006/relationships" ref="Y994" display="https://drive.google.com/uc?export=view&amp;id=1DtMh9GMJr9PXombxE6wv0fpZoaHOpKRN" r:id="rId3098"/>
    <hyperlink xmlns:r="http://schemas.openxmlformats.org/officeDocument/2006/relationships" ref="E995" display="https://recitaleyes.com/" r:id="rId3099"/>
    <hyperlink xmlns:r="http://schemas.openxmlformats.org/officeDocument/2006/relationships" ref="Y995" display="https://drive.google.com/uc?export=view&amp;id=1-zU2hv-fqMSNVp4RMervJNj0Ojwx4C0r" r:id="rId3100"/>
    <hyperlink xmlns:r="http://schemas.openxmlformats.org/officeDocument/2006/relationships" ref="E996" display="http://www.simulise.com/" r:id="rId3101"/>
    <hyperlink xmlns:r="http://schemas.openxmlformats.org/officeDocument/2006/relationships" ref="Y996" display="https://drive.google.com/uc?export=view&amp;id=1J4kX3JLkCh0qXuXQOJjHVQtUJM_52sBc" r:id="rId3102"/>
    <hyperlink xmlns:r="http://schemas.openxmlformats.org/officeDocument/2006/relationships" ref="D997" display="http://tutor.id/" r:id="rId3103"/>
    <hyperlink xmlns:r="http://schemas.openxmlformats.org/officeDocument/2006/relationships" ref="E997" display="https://tutor.id/" r:id="rId3104"/>
    <hyperlink xmlns:r="http://schemas.openxmlformats.org/officeDocument/2006/relationships" ref="Y997" display="https://drive.google.com/uc?export=view&amp;id=1IYlwzSNhHShda3-X0G6VQ2-YCIIddWXj" r:id="rId3105"/>
    <hyperlink xmlns:r="http://schemas.openxmlformats.org/officeDocument/2006/relationships" ref="E998" display="http://adaptical.io/" r:id="rId3106"/>
    <hyperlink xmlns:r="http://schemas.openxmlformats.org/officeDocument/2006/relationships" ref="Y998" display="https://drive.google.com/uc?export=view&amp;id=1EDV2WX73iI8Xt008pUFSxmgUa12KoO6n" r:id="rId3107"/>
    <hyperlink xmlns:r="http://schemas.openxmlformats.org/officeDocument/2006/relationships" ref="E999" display="https://amanote.com/" r:id="rId3108"/>
    <hyperlink xmlns:r="http://schemas.openxmlformats.org/officeDocument/2006/relationships" ref="Y999" display="https://drive.google.com/uc?export=view&amp;id=1Wb8Mafh3FqpUEFpS6lQ9KbD7_IDA-BJL" r:id="rId3109"/>
    <hyperlink xmlns:r="http://schemas.openxmlformats.org/officeDocument/2006/relationships" ref="E1000" display="https://checknchoose.com/" r:id="rId3110"/>
    <hyperlink xmlns:r="http://schemas.openxmlformats.org/officeDocument/2006/relationships" ref="Y1000" display="https://drive.google.com/uc?export=view&amp;id=1kQJulA3SKEMwCI0Uzokl4ibPWFJLKgTs" r:id="rId3111"/>
    <hyperlink xmlns:r="http://schemas.openxmlformats.org/officeDocument/2006/relationships" ref="E1001" display="https://cirrusassessment.com/" r:id="rId3112"/>
    <hyperlink xmlns:r="http://schemas.openxmlformats.org/officeDocument/2006/relationships" ref="Y1001" display="https://drive.google.com/uc?export=view&amp;id=1hpvReY11SzhgaUfWRN_aiiR57aRYrNG6" r:id="rId3113"/>
    <hyperlink xmlns:r="http://schemas.openxmlformats.org/officeDocument/2006/relationships" ref="E1002" display="http://cloudedu.es/" r:id="rId3114"/>
    <hyperlink xmlns:r="http://schemas.openxmlformats.org/officeDocument/2006/relationships" ref="Y1002" display="https://drive.google.com/uc?export=view&amp;id=1yhtZbhm7reZKsLWYmYLJtNbABf2tNjYC" r:id="rId3115"/>
    <hyperlink xmlns:r="http://schemas.openxmlformats.org/officeDocument/2006/relationships" ref="E1003" display="http://codedarena.com/" r:id="rId3116"/>
    <hyperlink xmlns:r="http://schemas.openxmlformats.org/officeDocument/2006/relationships" ref="T1003" display="https://www.linkedin.com/company/codedarena" r:id="rId3117"/>
    <hyperlink xmlns:r="http://schemas.openxmlformats.org/officeDocument/2006/relationships" ref="Y1003" display="https://drive.google.com/uc?export=view&amp;id=1oB2pztSx7aVYykOi1jzCqv4AxAFApv8P" r:id="rId3118"/>
    <hyperlink xmlns:r="http://schemas.openxmlformats.org/officeDocument/2006/relationships" ref="E1004" display="https://www.culturebuffgames.com/" r:id="rId3119"/>
    <hyperlink xmlns:r="http://schemas.openxmlformats.org/officeDocument/2006/relationships" ref="R1004" display="https://www.instagram.com/culturebuffgames/" r:id="rId3120"/>
    <hyperlink xmlns:r="http://schemas.openxmlformats.org/officeDocument/2006/relationships" ref="S1004" display="https://twitter.com/cultural_games" r:id="rId3121"/>
    <hyperlink xmlns:r="http://schemas.openxmlformats.org/officeDocument/2006/relationships" ref="T1004" display="https://www.linkedin.com/in/lucy-fogarty-76099b8/" r:id="rId3122"/>
    <hyperlink xmlns:r="http://schemas.openxmlformats.org/officeDocument/2006/relationships" ref="Y1004" display="https://drive.google.com/uc?export=view&amp;id=1oeHgEKvWYqpz6AOB0Ti9oQAwv8-qCkq1" r:id="rId3123"/>
    <hyperlink xmlns:r="http://schemas.openxmlformats.org/officeDocument/2006/relationships" ref="E1005" display="https://www.cyberfoxapp.com/" r:id="rId3124"/>
    <hyperlink xmlns:r="http://schemas.openxmlformats.org/officeDocument/2006/relationships" ref="R1005" display="https://www.instagram.com/cyberfox_app/" r:id="rId3125"/>
    <hyperlink xmlns:r="http://schemas.openxmlformats.org/officeDocument/2006/relationships" ref="T1005" display="https://www.linkedin.com/company/76357258/" r:id="rId3126"/>
    <hyperlink xmlns:r="http://schemas.openxmlformats.org/officeDocument/2006/relationships" ref="Y1005" display="https://drive.google.com/uc?export=view&amp;id=1YAbgDwIr1UiUvknyZ3apfnhDGA8J-STL" r:id="rId3127"/>
    <hyperlink xmlns:r="http://schemas.openxmlformats.org/officeDocument/2006/relationships" ref="E1006" display="https://docendo.co/" r:id="rId3128"/>
    <hyperlink xmlns:r="http://schemas.openxmlformats.org/officeDocument/2006/relationships" ref="Y1006" display="https://drive.google.com/uc?export=view&amp;id=1n6t5EM3chtGcC82FK4A_KDhPzTZZpeXC" r:id="rId3129"/>
    <hyperlink xmlns:r="http://schemas.openxmlformats.org/officeDocument/2006/relationships" ref="E1007" display="http://nickvanbreda.com/hackathon" r:id="rId3130"/>
    <hyperlink xmlns:r="http://schemas.openxmlformats.org/officeDocument/2006/relationships" ref="R1007" display="about:blank" r:id="rId3131"/>
    <hyperlink xmlns:r="http://schemas.openxmlformats.org/officeDocument/2006/relationships" ref="S1007" display="about:blank" r:id="rId3132"/>
    <hyperlink xmlns:r="http://schemas.openxmlformats.org/officeDocument/2006/relationships" ref="T1007" display="http://linkedin.com/in/nickvanbreda" r:id="rId3133"/>
    <hyperlink xmlns:r="http://schemas.openxmlformats.org/officeDocument/2006/relationships" ref="Y1007" display="https://drive.google.com/uc?export=view&amp;id=1F_tT22xEBdjbuGobmzrCx_N0cMwq00WA" r:id="rId3134"/>
    <hyperlink xmlns:r="http://schemas.openxmlformats.org/officeDocument/2006/relationships" ref="E1008" display="https://futuclass.com/" r:id="rId3135"/>
    <hyperlink xmlns:r="http://schemas.openxmlformats.org/officeDocument/2006/relationships" ref="R1008" display="https://www.instagram.com/futu_class/" r:id="rId3136"/>
    <hyperlink xmlns:r="http://schemas.openxmlformats.org/officeDocument/2006/relationships" ref="S1008" display="https://twitter.com/Futuclass" r:id="rId3137"/>
    <hyperlink xmlns:r="http://schemas.openxmlformats.org/officeDocument/2006/relationships" ref="T1008" display="https://www.linkedin.com/company/futuclass/" r:id="rId3138"/>
    <hyperlink xmlns:r="http://schemas.openxmlformats.org/officeDocument/2006/relationships" ref="Y1008" display="https://drive.google.com/uc?export=view&amp;id=1vxkVRmDgiR3mwejmjGapvKMNlm9XAVkV" r:id="rId3139"/>
    <hyperlink xmlns:r="http://schemas.openxmlformats.org/officeDocument/2006/relationships" ref="E1009" display="https://infowijs.nl/" r:id="rId3140"/>
    <hyperlink xmlns:r="http://schemas.openxmlformats.org/officeDocument/2006/relationships" ref="R1009" display="https://www.instagram.com/infowijs/" r:id="rId3141"/>
    <hyperlink xmlns:r="http://schemas.openxmlformats.org/officeDocument/2006/relationships" ref="S1009" display="https://twitter.com/infowijs" r:id="rId3142"/>
    <hyperlink xmlns:r="http://schemas.openxmlformats.org/officeDocument/2006/relationships" ref="T1009" display="https://www.linkedin.com/company/infowijs/" r:id="rId3143"/>
    <hyperlink xmlns:r="http://schemas.openxmlformats.org/officeDocument/2006/relationships" ref="Y1009" display="https://drive.google.com/uc?export=view&amp;id=1m5Bs1wsPDh0x7EcBY6ui5IMpci7HCtup" r:id="rId3144"/>
    <hyperlink xmlns:r="http://schemas.openxmlformats.org/officeDocument/2006/relationships" ref="E1010" display="http://www.ist.com/de" r:id="rId3145"/>
    <hyperlink xmlns:r="http://schemas.openxmlformats.org/officeDocument/2006/relationships" ref="Y1010" display="https://drive.google.com/uc?export=view&amp;id=1wRMzIpNnbhSHEACMUQzkjZmcGddy5Jj4" r:id="rId3146"/>
    <hyperlink xmlns:r="http://schemas.openxmlformats.org/officeDocument/2006/relationships" ref="E1011" display="http://learmcove.com/" r:id="rId3147"/>
    <hyperlink xmlns:r="http://schemas.openxmlformats.org/officeDocument/2006/relationships" ref="R1011" display="https://instagram.com/learncove?igshid=YmMyMTA2M2Y=" r:id="rId3148"/>
    <hyperlink xmlns:r="http://schemas.openxmlformats.org/officeDocument/2006/relationships" ref="T1011" display="https://www.linkedin.com/company/learncove/" r:id="rId3149"/>
    <hyperlink xmlns:r="http://schemas.openxmlformats.org/officeDocument/2006/relationships" ref="Y1011" display="https://drive.google.com/uc?export=view&amp;id=1q9ZDMoKOvEscc-CnQwZghZ0_lismnzD6" r:id="rId3150"/>
    <hyperlink xmlns:r="http://schemas.openxmlformats.org/officeDocument/2006/relationships" ref="E1012" display="http://leerzelfonline.nl/" r:id="rId3151"/>
    <hyperlink xmlns:r="http://schemas.openxmlformats.org/officeDocument/2006/relationships" ref="R1012" display="https://www.instagram.com/steffiehelpt/" r:id="rId3152"/>
    <hyperlink xmlns:r="http://schemas.openxmlformats.org/officeDocument/2006/relationships" ref="S1012" display="https://twitter.com/leerzelfonline" r:id="rId3153"/>
    <hyperlink xmlns:r="http://schemas.openxmlformats.org/officeDocument/2006/relationships" ref="T1012" display="https://www.linkedin.com/company/10372565/admin/" r:id="rId3154"/>
    <hyperlink xmlns:r="http://schemas.openxmlformats.org/officeDocument/2006/relationships" ref="Y1012" display="https://drive.google.com/uc?export=view&amp;id=1RxrE5GT7RhcQ1NwkZ07Xw87w3UNG7oW1" r:id="rId3155"/>
    <hyperlink xmlns:r="http://schemas.openxmlformats.org/officeDocument/2006/relationships" ref="E1013" display="https://mereos.eu/" r:id="rId3156"/>
    <hyperlink xmlns:r="http://schemas.openxmlformats.org/officeDocument/2006/relationships" ref="Y1013" display="https://drive.google.com/uc?export=view&amp;id=1MaJou1O684Cuooh5HxLW3gE3JrLkFZCf" r:id="rId3157"/>
    <hyperlink xmlns:r="http://schemas.openxmlformats.org/officeDocument/2006/relationships" ref="E1014" display="https://nominis.es/" r:id="rId3158"/>
    <hyperlink xmlns:r="http://schemas.openxmlformats.org/officeDocument/2006/relationships" ref="Y1014" display="https://drive.google.com/uc?export=view&amp;id=1FRC_djKqUnjYd7I-peVn9gjRY-E8oAXs" r:id="rId3159"/>
    <hyperlink xmlns:r="http://schemas.openxmlformats.org/officeDocument/2006/relationships" ref="E1015" display="http://www.pearup.de/" r:id="rId3160"/>
    <hyperlink xmlns:r="http://schemas.openxmlformats.org/officeDocument/2006/relationships" ref="R1015" display="https://www.instagram.com/pearup_edu/" r:id="rId3161"/>
    <hyperlink xmlns:r="http://schemas.openxmlformats.org/officeDocument/2006/relationships" ref="S1015" display="https://twitter.com/pearup_edu" r:id="rId3162"/>
    <hyperlink xmlns:r="http://schemas.openxmlformats.org/officeDocument/2006/relationships" ref="T1015" display="https://www.linkedin.com/company/11718283" r:id="rId3163"/>
    <hyperlink xmlns:r="http://schemas.openxmlformats.org/officeDocument/2006/relationships" ref="Y1015" display="https://drive.google.com/uc?export=view&amp;id=1ynzuI7VamJj22wIyGKdc0ZgNDr1xXz63" r:id="rId3164"/>
    <hyperlink xmlns:r="http://schemas.openxmlformats.org/officeDocument/2006/relationships" ref="E1016" display="http://www.pebblepad.com/" r:id="rId3165"/>
    <hyperlink xmlns:r="http://schemas.openxmlformats.org/officeDocument/2006/relationships" ref="Y1016" display="https://drive.google.com/uc?export=view&amp;id=1XHo35bAfWcQNKwddSD2vSCuBe0um5hwC" r:id="rId3166"/>
    <hyperlink xmlns:r="http://schemas.openxmlformats.org/officeDocument/2006/relationships" ref="E1017" display="https://www.poikilingo.com/" r:id="rId3167"/>
    <hyperlink xmlns:r="http://schemas.openxmlformats.org/officeDocument/2006/relationships" ref="Y1017" display="https://drive.google.com/uc?export=view&amp;id=1BSjr9gQWpuqlh-FFcGxBOI0LeZEQit5k" r:id="rId3168"/>
    <hyperlink xmlns:r="http://schemas.openxmlformats.org/officeDocument/2006/relationships" ref="E1018" display="http://www.scorecard.school/" r:id="rId3169"/>
    <hyperlink xmlns:r="http://schemas.openxmlformats.org/officeDocument/2006/relationships" ref="T1018" display="https://www.linkedin.com/company/scorecardsuite/" r:id="rId3170"/>
    <hyperlink xmlns:r="http://schemas.openxmlformats.org/officeDocument/2006/relationships" ref="Y1018" display="https://drive.google.com/uc?export=view&amp;id=1oPtTBVD5cK6ckhfn0thL0h55f76ohqPs" r:id="rId3171"/>
    <hyperlink xmlns:r="http://schemas.openxmlformats.org/officeDocument/2006/relationships" ref="E1019" display="http://seethegood.app/" r:id="rId3172"/>
    <hyperlink xmlns:r="http://schemas.openxmlformats.org/officeDocument/2006/relationships" ref="Y1019" display="https://drive.google.com/uc?export=view&amp;id=1S5GdT-S514enTnfi5qkIHFGuOauIMLBQ" r:id="rId3173"/>
    <hyperlink xmlns:r="http://schemas.openxmlformats.org/officeDocument/2006/relationships" ref="E1020" display="https://www.skillogs.com/" r:id="rId3174"/>
    <hyperlink xmlns:r="http://schemas.openxmlformats.org/officeDocument/2006/relationships" ref="S1020" display="https://twitter.com/skillogsacarya" r:id="rId3175"/>
    <hyperlink xmlns:r="http://schemas.openxmlformats.org/officeDocument/2006/relationships" ref="T1020" display="https://www.linkedin.com/company/skillogs/" r:id="rId3176"/>
    <hyperlink xmlns:r="http://schemas.openxmlformats.org/officeDocument/2006/relationships" ref="Y1020" display="https://drive.google.com/uc?export=view&amp;id=17Mw6NyNHr9KMHDR4rOeu-laEzt1VxvDK" r:id="rId3177"/>
    <hyperlink xmlns:r="http://schemas.openxmlformats.org/officeDocument/2006/relationships" ref="E1021" display="http://www.smartmicrooptics.com/" r:id="rId3178"/>
    <hyperlink xmlns:r="http://schemas.openxmlformats.org/officeDocument/2006/relationships" ref="Y1021" display="https://drive.google.com/uc?export=view&amp;id=1VJk6Cntf237suTTIvMcMfwmdEnCEBniD" r:id="rId3179"/>
    <hyperlink xmlns:r="http://schemas.openxmlformats.org/officeDocument/2006/relationships" ref="E1022" display="https://www.habiit.io/en" r:id="rId3180"/>
    <hyperlink xmlns:r="http://schemas.openxmlformats.org/officeDocument/2006/relationships" ref="Y1022" display="https://drive.google.com/uc?export=view&amp;id=1m-BDoKejv_KNvqXZcDAEv9Xxkl2Or2L8" r:id="rId3181"/>
    <hyperlink xmlns:r="http://schemas.openxmlformats.org/officeDocument/2006/relationships" ref="E1023" display="http://tutored.me/" r:id="rId3182"/>
    <hyperlink xmlns:r="http://schemas.openxmlformats.org/officeDocument/2006/relationships" ref="Y1023" display="https://drive.google.com/uc?export=view&amp;id=1O9ew02Zks5fDtiDlgxXrLoUloQKl0MUG" r:id="rId3183"/>
    <hyperlink xmlns:r="http://schemas.openxmlformats.org/officeDocument/2006/relationships" ref="E1024" display="https://www.typetastic.com/" r:id="rId3184"/>
    <hyperlink xmlns:r="http://schemas.openxmlformats.org/officeDocument/2006/relationships" ref="Y1024" display="https://drive.google.com/uc?export=view&amp;id=1zC0BjsbALi1EHz83I3pWTa-rSWlVCUsu" r:id="rId3185"/>
    <hyperlink xmlns:r="http://schemas.openxmlformats.org/officeDocument/2006/relationships" ref="E1025" display="https://virtuleap.com/" r:id="rId3186"/>
    <hyperlink xmlns:r="http://schemas.openxmlformats.org/officeDocument/2006/relationships" ref="Y1025" display="https://drive.google.com/uc?export=view&amp;id=1u3BNYbdWBY54PTDKrxy5Aud74YV7S8kM" r:id="rId3187"/>
    <hyperlink xmlns:r="http://schemas.openxmlformats.org/officeDocument/2006/relationships" ref="E1026" display="http://www.3dbear.io/" r:id="rId3188"/>
    <hyperlink xmlns:r="http://schemas.openxmlformats.org/officeDocument/2006/relationships" ref="Y1026" display="https://drive.google.com/uc?export=view&amp;id=1olng-zvSfFosciqSsSv8-6ASCbpDSzry" r:id="rId3189"/>
    <hyperlink xmlns:r="http://schemas.openxmlformats.org/officeDocument/2006/relationships" ref="E1027" display="https://a-dapttraining.com/" r:id="rId3190"/>
    <hyperlink xmlns:r="http://schemas.openxmlformats.org/officeDocument/2006/relationships" ref="Y1027" display="https://drive.google.com/uc?export=view&amp;id=1x81WWixXtmbuWL1UlAS4QZgy_8D9lP1R" r:id="rId3191"/>
    <hyperlink xmlns:r="http://schemas.openxmlformats.org/officeDocument/2006/relationships" ref="E1028" display="https://www.additioapp.com/en" r:id="rId3192"/>
    <hyperlink xmlns:r="http://schemas.openxmlformats.org/officeDocument/2006/relationships" ref="R1028" display="https://www.instagram.com/additioapp/" r:id="rId3193"/>
    <hyperlink xmlns:r="http://schemas.openxmlformats.org/officeDocument/2006/relationships" ref="S1028" display="https://twitter.com/additioapp_EN" r:id="rId3194"/>
    <hyperlink xmlns:r="http://schemas.openxmlformats.org/officeDocument/2006/relationships" ref="T1028" display="https://es.linkedin.com/company/additio-for-schools" r:id="rId3195"/>
    <hyperlink xmlns:r="http://schemas.openxmlformats.org/officeDocument/2006/relationships" ref="Y1028" display="https://drive.google.com/uc?export=view&amp;id=1pq5o7hkgAkw-2dxHpxVaEYnhDIyzS2BT" r:id="rId3196"/>
    <hyperlink xmlns:r="http://schemas.openxmlformats.org/officeDocument/2006/relationships" ref="E1029" display="http://www.adservio.education/" r:id="rId3197"/>
    <hyperlink xmlns:r="http://schemas.openxmlformats.org/officeDocument/2006/relationships" ref="Y1029" display="https://drive.google.com/uc?export=view&amp;id=1QfpxpWMeGJ86hbTSMo_vmvVPvNcDPg_E" r:id="rId3198"/>
    <hyperlink xmlns:r="http://schemas.openxmlformats.org/officeDocument/2006/relationships" ref="E1030" display="http://ahoiii.com/" r:id="rId3199"/>
    <hyperlink xmlns:r="http://schemas.openxmlformats.org/officeDocument/2006/relationships" ref="Y1030" display="https://drive.google.com/uc?export=view&amp;id=1ldZ47F8A_W7Y-IBF1-pWoP45_ZIyeHyL" r:id="rId3200"/>
    <hyperlink xmlns:r="http://schemas.openxmlformats.org/officeDocument/2006/relationships" ref="E1031" display="https://www.alpakids.com/" r:id="rId3201"/>
    <hyperlink xmlns:r="http://schemas.openxmlformats.org/officeDocument/2006/relationships" ref="R1031" display="https://www.instagram.com/alpa.kids/" r:id="rId3202"/>
    <hyperlink xmlns:r="http://schemas.openxmlformats.org/officeDocument/2006/relationships" ref="T1031" display="https://www.linkedin.com/company/alpa-kids/" r:id="rId3203"/>
    <hyperlink xmlns:r="http://schemas.openxmlformats.org/officeDocument/2006/relationships" ref="Y1031" display="https://drive.google.com/uc?export=view&amp;id=127OWTAFmzA2FE25qCc6bmEoWdHkAQulf" r:id="rId3204"/>
    <hyperlink xmlns:r="http://schemas.openxmlformats.org/officeDocument/2006/relationships" ref="E1032" display="http://altacademy.org/" r:id="rId3205"/>
    <hyperlink xmlns:r="http://schemas.openxmlformats.org/officeDocument/2006/relationships" ref="Y1032" display="https://drive.google.com/uc?export=view&amp;id=1qD-uidGCpG57CETtTr47HPowqTbetHqz" r:id="rId3206"/>
    <hyperlink xmlns:r="http://schemas.openxmlformats.org/officeDocument/2006/relationships" ref="E1033" display="https://www.artsci.fr/" r:id="rId3207"/>
    <hyperlink xmlns:r="http://schemas.openxmlformats.org/officeDocument/2006/relationships" ref="Y1033" display="https://drive.google.com/uc?export=view&amp;id=1Lma8Z2jhTTmcGMxiMhcLmUE7UGXOBRlc" r:id="rId3208"/>
    <hyperlink xmlns:r="http://schemas.openxmlformats.org/officeDocument/2006/relationships" ref="E1034" display="http://www.augmentedclass.com/" r:id="rId3209"/>
    <hyperlink xmlns:r="http://schemas.openxmlformats.org/officeDocument/2006/relationships" ref="Y1034" display="https://drive.google.com/uc?export=view&amp;id=1WoGxbZ9eDL4JGJ2j7z3R0LbNaJG0mP4I" r:id="rId3210"/>
    <hyperlink xmlns:r="http://schemas.openxmlformats.org/officeDocument/2006/relationships" ref="E1035" display="http://www.buya.de/" r:id="rId3211"/>
    <hyperlink xmlns:r="http://schemas.openxmlformats.org/officeDocument/2006/relationships" ref="Y1035" display="https://drive.google.com/uc?export=view&amp;id=1JTPky2jTGHdQfM19qC-B35BRYYG9LFYg" r:id="rId3212"/>
    <hyperlink xmlns:r="http://schemas.openxmlformats.org/officeDocument/2006/relationships" ref="E1036" display="http://www.clickedu.net/" r:id="rId3213"/>
    <hyperlink xmlns:r="http://schemas.openxmlformats.org/officeDocument/2006/relationships" ref="R1036" display="https://www.instagram.com/clickedu.eu/" r:id="rId3214"/>
    <hyperlink xmlns:r="http://schemas.openxmlformats.org/officeDocument/2006/relationships" ref="S1036" display="https://twitter.com/Clickedu" r:id="rId3215"/>
    <hyperlink xmlns:r="http://schemas.openxmlformats.org/officeDocument/2006/relationships" ref="T1036" display="https://www.linkedin.com/company/clickart" r:id="rId3216"/>
    <hyperlink xmlns:r="http://schemas.openxmlformats.org/officeDocument/2006/relationships" ref="Y1036" display="https://drive.google.com/uc?export=view&amp;id=1qceBVyrs2rT7cz31zEOEnGk-Yqq1n0g_" r:id="rId3217"/>
    <hyperlink xmlns:r="http://schemas.openxmlformats.org/officeDocument/2006/relationships" ref="E1037" display="https://cognitivekids.org/" r:id="rId3218"/>
    <hyperlink xmlns:r="http://schemas.openxmlformats.org/officeDocument/2006/relationships" ref="Y1037" display="https://drive.google.com/uc?export=view&amp;id=1Ngn7mRDTCWb2lroudAxMChbZnSp6LMgm" r:id="rId3219"/>
    <hyperlink xmlns:r="http://schemas.openxmlformats.org/officeDocument/2006/relationships" ref="E1038" display="https://www.collegial.com/" r:id="rId3220"/>
    <hyperlink xmlns:r="http://schemas.openxmlformats.org/officeDocument/2006/relationships" ref="T1038" display="https://www.linkedin.com/company/collegial" r:id="rId3221"/>
    <hyperlink xmlns:r="http://schemas.openxmlformats.org/officeDocument/2006/relationships" ref="Y1038" display="https://drive.google.com/uc?export=view&amp;id=1Lqx7jRwazc0Wir5-0OLIP9z1MyGc3D7j" r:id="rId3222"/>
    <hyperlink xmlns:r="http://schemas.openxmlformats.org/officeDocument/2006/relationships" ref="E1039" display="https://constel-education.com/" r:id="rId3223"/>
    <hyperlink xmlns:r="http://schemas.openxmlformats.org/officeDocument/2006/relationships" ref="E1040" display="http://www.differ.chat/" r:id="rId3224"/>
    <hyperlink xmlns:r="http://schemas.openxmlformats.org/officeDocument/2006/relationships" ref="T1040" display="https://www.linkedin.com/company/4858076" r:id="rId3225"/>
    <hyperlink xmlns:r="http://schemas.openxmlformats.org/officeDocument/2006/relationships" ref="Y1040" display="https://drive.google.com/uc?export=view&amp;id=1_tRAy_FvJ-Ot-YMISHJrw6EZI4U18--j" r:id="rId3226"/>
    <hyperlink xmlns:r="http://schemas.openxmlformats.org/officeDocument/2006/relationships" ref="E1041" display="https://dothegap.com/en/" r:id="rId3227"/>
    <hyperlink xmlns:r="http://schemas.openxmlformats.org/officeDocument/2006/relationships" ref="R1041" display="https://www.instagram.com/dothegap_/" r:id="rId3228"/>
    <hyperlink xmlns:r="http://schemas.openxmlformats.org/officeDocument/2006/relationships" ref="S1041" display="https://twitter.com/dothegap_/" r:id="rId3229"/>
    <hyperlink xmlns:r="http://schemas.openxmlformats.org/officeDocument/2006/relationships" ref="T1041" display="https://www.linkedin.com/company/dothegap/" r:id="rId3230"/>
    <hyperlink xmlns:r="http://schemas.openxmlformats.org/officeDocument/2006/relationships" ref="Y1041" display="https://drive.google.com/uc?export=view&amp;id=1ZVfkYVM2r-wvkHOgxkar9wt90WH1f8vT" r:id="rId3231"/>
    <hyperlink xmlns:r="http://schemas.openxmlformats.org/officeDocument/2006/relationships" ref="E1042" display="https://www.edebe.com/" r:id="rId3232"/>
    <hyperlink xmlns:r="http://schemas.openxmlformats.org/officeDocument/2006/relationships" ref="S1042" display="https://twitter.com/GRUPOEDEBE" r:id="rId3233"/>
    <hyperlink xmlns:r="http://schemas.openxmlformats.org/officeDocument/2006/relationships" ref="T1042" display="https://es.linkedin.com/company/editorial-edebe" r:id="rId3234"/>
    <hyperlink xmlns:r="http://schemas.openxmlformats.org/officeDocument/2006/relationships" ref="E1043" display="http://www.educai.io/" r:id="rId3235"/>
    <hyperlink xmlns:r="http://schemas.openxmlformats.org/officeDocument/2006/relationships" ref="Y1043" display="https://drive.google.com/uc?export=view&amp;id=1LtHl4GHi8mq_z-xUJU8CKwAKA7iO0mT1" r:id="rId3236"/>
    <hyperlink xmlns:r="http://schemas.openxmlformats.org/officeDocument/2006/relationships" ref="E1044" display="http://www.education21.eu/" r:id="rId3237"/>
    <hyperlink xmlns:r="http://schemas.openxmlformats.org/officeDocument/2006/relationships" ref="Y1044" display="https://drive.google.com/uc?export=view&amp;id=1yewQgz9lGIx6vIwBydUvhoSDRH27vgbP" r:id="rId3238"/>
    <hyperlink xmlns:r="http://schemas.openxmlformats.org/officeDocument/2006/relationships" ref="E1045" display="http://www.edulai.com/" r:id="rId3239"/>
    <hyperlink xmlns:r="http://schemas.openxmlformats.org/officeDocument/2006/relationships" ref="T1045" display="https://www.linkedin.com/company/edulai/?viewAsMember=true" r:id="rId3240"/>
    <hyperlink xmlns:r="http://schemas.openxmlformats.org/officeDocument/2006/relationships" ref="Y1045" display="https://drive.google.com/uc?export=view&amp;id=1MZcWK6cYNPu312bSWVJNQolzvZJl3gPb" r:id="rId3241"/>
    <hyperlink xmlns:r="http://schemas.openxmlformats.org/officeDocument/2006/relationships" ref="E1046" display="https://www.edunity.co/" r:id="rId3242"/>
    <hyperlink xmlns:r="http://schemas.openxmlformats.org/officeDocument/2006/relationships" ref="Y1046" display="https://drive.google.com/uc?export=view&amp;id=1Xl4iLrsi_HG17hr6iPza5Mh2UTQ-z0VZ" r:id="rId3243"/>
    <hyperlink xmlns:r="http://schemas.openxmlformats.org/officeDocument/2006/relationships" ref="E1047" display="https://www.linkedin.com/company/edvisor-finland" r:id="rId3244"/>
    <hyperlink xmlns:r="http://schemas.openxmlformats.org/officeDocument/2006/relationships" ref="Y1047" display="https://drive.google.com/uc?export=view&amp;id=1sxeT0AR03cWM7ltPrK-AQok2-pYoe0ZZ" r:id="rId3245"/>
    <hyperlink xmlns:r="http://schemas.openxmlformats.org/officeDocument/2006/relationships" ref="E1048" display="http://www.edvisto.com/" r:id="rId3246"/>
    <hyperlink xmlns:r="http://schemas.openxmlformats.org/officeDocument/2006/relationships" ref="Y1048" display="https://drive.google.com/uc?export=view&amp;id=173V9Q6sjBpCD4cCxivSUEwWjnJxnRbvJ" r:id="rId3247"/>
    <hyperlink xmlns:r="http://schemas.openxmlformats.org/officeDocument/2006/relationships" ref="E1049" display="http://square.lepreschools.com/" r:id="rId3248"/>
    <hyperlink xmlns:r="http://schemas.openxmlformats.org/officeDocument/2006/relationships" ref="Y1049" display="https://drive.google.com/uc?export=view&amp;id=1HNwxln9o1bCIFCAmEflCZ9iBrhWsBg3k" r:id="rId3249"/>
    <hyperlink xmlns:r="http://schemas.openxmlformats.org/officeDocument/2006/relationships" ref="E1050" display="http://www.evulpo.com/" r:id="rId3250"/>
    <hyperlink xmlns:r="http://schemas.openxmlformats.org/officeDocument/2006/relationships" ref="Y1050" display="https://drive.google.com/uc?export=view&amp;id=1vAuKQP2l0r89bV89zMzZfeYYFA1Zd-eg" r:id="rId3251"/>
    <hyperlink xmlns:r="http://schemas.openxmlformats.org/officeDocument/2006/relationships" ref="E1051" display="https://examsforzoom.com/" r:id="rId3252"/>
    <hyperlink xmlns:r="http://schemas.openxmlformats.org/officeDocument/2006/relationships" ref="Y1051" display="https://drive.google.com/uc?export=view&amp;id=1cQjKSAkHW43xkuT1CbXedzS81KAOEPZF" r:id="rId3253"/>
    <hyperlink xmlns:r="http://schemas.openxmlformats.org/officeDocument/2006/relationships" ref="E1052" display="http://www.fullspektrum.co.uk/" r:id="rId3254"/>
    <hyperlink xmlns:r="http://schemas.openxmlformats.org/officeDocument/2006/relationships" ref="Y1052" display="https://drive.google.com/uc?export=view&amp;id=1bAvVthCr02Tc_X97oLvmK6WrX7OZeeDv" r:id="rId3255"/>
    <hyperlink xmlns:r="http://schemas.openxmlformats.org/officeDocument/2006/relationships" ref="E1053" display="https://www.gamedoo.it/" r:id="rId3256"/>
    <hyperlink xmlns:r="http://schemas.openxmlformats.org/officeDocument/2006/relationships" ref="T1053" display="https://www.linkedin.com/company/gamedoo" r:id="rId3257"/>
    <hyperlink xmlns:r="http://schemas.openxmlformats.org/officeDocument/2006/relationships" ref="Y1053" display="https://drive.google.com/uc?export=view&amp;id=1xjVYpE8jPDaqO1QnCHXKY9SvC2SvzFVa" r:id="rId3258"/>
    <hyperlink xmlns:r="http://schemas.openxmlformats.org/officeDocument/2006/relationships" ref="E1054" display="http://www.gten.uk/" r:id="rId3259"/>
    <hyperlink xmlns:r="http://schemas.openxmlformats.org/officeDocument/2006/relationships" ref="Y1054" display="https://drive.google.com/uc?export=view&amp;id=1jxnCYv5l03Nd5OrW9uo7EKrV0Rrw2ZgD" r:id="rId3260"/>
    <hyperlink xmlns:r="http://schemas.openxmlformats.org/officeDocument/2006/relationships" ref="E1055" display="http://www.grave.cool/" r:id="rId3261"/>
    <hyperlink xmlns:r="http://schemas.openxmlformats.org/officeDocument/2006/relationships" ref="T1055" display="https://www.linkedin.com/company/grave-cool/" r:id="rId3262"/>
    <hyperlink xmlns:r="http://schemas.openxmlformats.org/officeDocument/2006/relationships" ref="Y1055" display="https://drive.google.com/uc?export=view&amp;id=1ga3CmUt7yGrbhgfZSJxyrPoGz3KV9ckb" r:id="rId3263"/>
    <hyperlink xmlns:r="http://schemas.openxmlformats.org/officeDocument/2006/relationships" ref="E1056" display="http://www.guideeducation.co.uk/" r:id="rId3264"/>
    <hyperlink xmlns:r="http://schemas.openxmlformats.org/officeDocument/2006/relationships" ref="Y1056" display="https://drive.google.com/uc?export=view&amp;id=19VnHOFBYiRYJUWuLO1HZ0W8x7FB2Sl0P" r:id="rId3265"/>
    <hyperlink xmlns:r="http://schemas.openxmlformats.org/officeDocument/2006/relationships" ref="E1057" display="http://www.h4young.it/" r:id="rId3266"/>
    <hyperlink xmlns:r="http://schemas.openxmlformats.org/officeDocument/2006/relationships" ref="T1057" display="https://www.linkedin.com/company/h4young" r:id="rId3267"/>
    <hyperlink xmlns:r="http://schemas.openxmlformats.org/officeDocument/2006/relationships" ref="Y1057" display="https://drive.google.com/uc?export=view&amp;id=1fLoaUuARhF5hJMgNySGm5ze6zpPr2Uvj" r:id="rId3268"/>
    <hyperlink xmlns:r="http://schemas.openxmlformats.org/officeDocument/2006/relationships" ref="E1058" display="https://www.hololink.io/" r:id="rId3269"/>
    <hyperlink xmlns:r="http://schemas.openxmlformats.org/officeDocument/2006/relationships" ref="T1058" display="https://www.linkedin.com/company/23690079" r:id="rId3270"/>
    <hyperlink xmlns:r="http://schemas.openxmlformats.org/officeDocument/2006/relationships" ref="Y1058" display="https://drive.google.com/uc?export=view&amp;id=1s8VP7Fqjc7X3U2J0piL-pI5agyT-Fzhn" r:id="rId3271"/>
    <hyperlink xmlns:r="http://schemas.openxmlformats.org/officeDocument/2006/relationships" ref="E1059" display="https://www.holyowly.com/" r:id="rId3272"/>
    <hyperlink xmlns:r="http://schemas.openxmlformats.org/officeDocument/2006/relationships" ref="R1059" display="https://www.instagram.com/holyowlyapp/?hl=fr" r:id="rId3273"/>
    <hyperlink xmlns:r="http://schemas.openxmlformats.org/officeDocument/2006/relationships" ref="S1059" display="https://twitter.com/HolyOwlyApp?ref_src=twsrc%5Egoogle%7Ctwcamp%5Eserp%7Ctwgr%5Eauthor" r:id="rId3274"/>
    <hyperlink xmlns:r="http://schemas.openxmlformats.org/officeDocument/2006/relationships" ref="T1059" display="https://www.linkedin.com/company/holy-owly-app/?originalSubdomain=fr" r:id="rId3275"/>
    <hyperlink xmlns:r="http://schemas.openxmlformats.org/officeDocument/2006/relationships" ref="Y1059" display="https://drive.google.com/uc?export=view&amp;id=1cMaC9znsQMT5AF9twNzp_kFuIBn-3Y0h" r:id="rId3276"/>
    <hyperlink xmlns:r="http://schemas.openxmlformats.org/officeDocument/2006/relationships" ref="E1060" display="http://www.huhcorporate.com/" r:id="rId3277"/>
    <hyperlink xmlns:r="http://schemas.openxmlformats.org/officeDocument/2006/relationships" ref="Y1060" display="https://drive.google.com/uc?export=view&amp;id=1NJUL6eclXUWLh5YZAVoAV8A735aZLHCw" r:id="rId3278"/>
    <hyperlink xmlns:r="http://schemas.openxmlformats.org/officeDocument/2006/relationships" ref="E1061" display="https://www.iexa.it/" r:id="rId3279"/>
    <hyperlink xmlns:r="http://schemas.openxmlformats.org/officeDocument/2006/relationships" ref="Y1061" display="https://drive.google.com/uc?export=view&amp;id=14lMi8IvIfDpc-U1HSyr850-cIRi2ZF0g" r:id="rId3280"/>
    <hyperlink xmlns:r="http://schemas.openxmlformats.org/officeDocument/2006/relationships" ref="E1062" display="http://www.imtlazarus.com/" r:id="rId3281"/>
    <hyperlink xmlns:r="http://schemas.openxmlformats.org/officeDocument/2006/relationships" ref="S1062" display="https://twitter.com/IMTLazarus_EN" r:id="rId3282"/>
    <hyperlink xmlns:r="http://schemas.openxmlformats.org/officeDocument/2006/relationships" ref="T1062" display="https://es.linkedin.com/company/imtlazarus" r:id="rId3283"/>
    <hyperlink xmlns:r="http://schemas.openxmlformats.org/officeDocument/2006/relationships" ref="Y1062" display="https://drive.google.com/uc?export=view&amp;id=173KfMTzwbhXC9kva11Z4fAZaOcL6S2aP" r:id="rId3284"/>
    <hyperlink xmlns:r="http://schemas.openxmlformats.org/officeDocument/2006/relationships" ref="E1063" display="https://www.interfora-ifaip.fr/" r:id="rId3285"/>
    <hyperlink xmlns:r="http://schemas.openxmlformats.org/officeDocument/2006/relationships" ref="R1063" display="https://www.instagram.com/interfora_ifaip/" r:id="rId3286"/>
    <hyperlink xmlns:r="http://schemas.openxmlformats.org/officeDocument/2006/relationships" ref="S1063" display="https://twitter.com/Interfora_Ifaip" r:id="rId3287"/>
    <hyperlink xmlns:r="http://schemas.openxmlformats.org/officeDocument/2006/relationships" ref="T1063" display="https://www.linkedin.com/company/interfora-ifaip/" r:id="rId3288"/>
    <hyperlink xmlns:r="http://schemas.openxmlformats.org/officeDocument/2006/relationships" ref="Y1063" display="https://drive.google.com/uc?export=view&amp;id=1LOaY9H53U_PbwFFxBCzno9ZLNy9XoUrQ" r:id="rId3289"/>
    <hyperlink xmlns:r="http://schemas.openxmlformats.org/officeDocument/2006/relationships" ref="E1064" display="https://www.jungleprogram.com/" r:id="rId3290"/>
    <hyperlink xmlns:r="http://schemas.openxmlformats.org/officeDocument/2006/relationships" ref="S1064" display="https://twitter.com/jungleprogram" r:id="rId3291"/>
    <hyperlink xmlns:r="http://schemas.openxmlformats.org/officeDocument/2006/relationships" ref="T1064" display="https://www.linkedin.com/school/jungleprogram" r:id="rId3292"/>
    <hyperlink xmlns:r="http://schemas.openxmlformats.org/officeDocument/2006/relationships" ref="E1065" display="https://kiron.digital/" r:id="rId3293"/>
    <hyperlink xmlns:r="http://schemas.openxmlformats.org/officeDocument/2006/relationships" ref="Y1065" display="https://drive.google.com/uc?export=view&amp;id=1LsOoOykKzqrTGROuCPsZETbdb2PRPjFW" r:id="rId3294"/>
    <hyperlink xmlns:r="http://schemas.openxmlformats.org/officeDocument/2006/relationships" ref="E1066" display="https://www.kronos.fr/" r:id="rId3295"/>
    <hyperlink xmlns:r="http://schemas.openxmlformats.org/officeDocument/2006/relationships" ref="Y1066" display="https://drive.google.com/uc?export=view&amp;id=1FEZ6r1CdlG7vxHY_OTIsNF0FnxbHOzPi" r:id="rId3296"/>
    <hyperlink xmlns:r="http://schemas.openxmlformats.org/officeDocument/2006/relationships" ref="E1067" display="http://lainnovationkitchen.com/" r:id="rId3297"/>
    <hyperlink xmlns:r="http://schemas.openxmlformats.org/officeDocument/2006/relationships" ref="Y1067" display="https://drive.google.com/uc?export=view&amp;id=1d0iLg0HA6WZQNwzkpCEa4ROxe7vaKIum" r:id="rId3298"/>
    <hyperlink xmlns:r="http://schemas.openxmlformats.org/officeDocument/2006/relationships" ref="E1068" display="http://www.premifarm.com/" r:id="rId3299"/>
    <hyperlink xmlns:r="http://schemas.openxmlformats.org/officeDocument/2006/relationships" ref="R1068" display="https://www.instagram.com/premifarm/" r:id="rId3300"/>
    <hyperlink xmlns:r="http://schemas.openxmlformats.org/officeDocument/2006/relationships" ref="Y1068" display="https://drive.google.com/uc?export=view&amp;id=1l3HxNAWC1AeSIRDqRCDhl5PvB87X5h-A" r:id="rId3301"/>
    <hyperlink xmlns:r="http://schemas.openxmlformats.org/officeDocument/2006/relationships" ref="E1069" display="http://labla.net/" r:id="rId3302"/>
    <hyperlink xmlns:r="http://schemas.openxmlformats.org/officeDocument/2006/relationships" ref="Y1069" display="https://drive.google.com/uc?export=view&amp;id=1rINpLjvPr4ml2VKhJ0lJf_0610NrjaSG" r:id="rId3303"/>
    <hyperlink xmlns:r="http://schemas.openxmlformats.org/officeDocument/2006/relationships" ref="E1070" display="http://www.languageteams.com/" r:id="rId3304"/>
    <hyperlink xmlns:r="http://schemas.openxmlformats.org/officeDocument/2006/relationships" ref="Y1070" display="https://drive.google.com/uc?export=view&amp;id=1hLqxpjqiJEV7fFTAkA2Ptqt-HOTtUclf" r:id="rId3305"/>
    <hyperlink xmlns:r="http://schemas.openxmlformats.org/officeDocument/2006/relationships" ref="E1071" display="http://www.learn-more.eu/" r:id="rId3306"/>
    <hyperlink xmlns:r="http://schemas.openxmlformats.org/officeDocument/2006/relationships" ref="T1071" display="https://www.linkedin.com/company/learnmore" r:id="rId3307"/>
    <hyperlink xmlns:r="http://schemas.openxmlformats.org/officeDocument/2006/relationships" ref="Y1071" display="https://drive.google.com/uc?export=view&amp;id=1qvdpm26fbOQ2XTHvWJlKI8FqVmfeFeMc" r:id="rId3308"/>
    <hyperlink xmlns:r="http://schemas.openxmlformats.org/officeDocument/2006/relationships" ref="E1072" display="http://www.learnship.com/" r:id="rId3309"/>
    <hyperlink xmlns:r="http://schemas.openxmlformats.org/officeDocument/2006/relationships" ref="Y1072" display="https://drive.google.com/uc?export=view&amp;id=1En0y1sVPIl3ZcYDdaoHgcj2g8m_9Vcb5" r:id="rId3310"/>
    <hyperlink xmlns:r="http://schemas.openxmlformats.org/officeDocument/2006/relationships" ref="E1073" display="http://www.levato.no/" r:id="rId3311"/>
    <hyperlink xmlns:r="http://schemas.openxmlformats.org/officeDocument/2006/relationships" ref="Y1073" display="https://drive.google.com/uc?export=view&amp;id=1FYPmR5doSU53OFph63hwrdX8hWXg31YL" r:id="rId3312"/>
    <hyperlink xmlns:r="http://schemas.openxmlformats.org/officeDocument/2006/relationships" ref="E1074" display="http://lincolnmethod.com/" r:id="rId3313"/>
    <hyperlink xmlns:r="http://schemas.openxmlformats.org/officeDocument/2006/relationships" ref="Y1074" display="https://drive.google.com/uc?export=view&amp;id=1GlHYV1QGYuGK8K0sr1_Z3swv-sn0FA-x" r:id="rId3314"/>
    <hyperlink xmlns:r="http://schemas.openxmlformats.org/officeDocument/2006/relationships" ref="E1075" display="https://www.lingua-amigos.com/" r:id="rId3315"/>
    <hyperlink xmlns:r="http://schemas.openxmlformats.org/officeDocument/2006/relationships" ref="Y1075" display="https://drive.google.com/uc?export=view&amp;id=1DTQu3aOiOyH7AJmTEnJu0oJwYJASxIhF" r:id="rId3316"/>
    <hyperlink xmlns:r="http://schemas.openxmlformats.org/officeDocument/2006/relationships" ref="E1076" display="https://mainbot.me/" r:id="rId3317"/>
    <hyperlink xmlns:r="http://schemas.openxmlformats.org/officeDocument/2006/relationships" ref="S1076" display="https://twitter.com/mainbotme" r:id="rId3318"/>
    <hyperlink xmlns:r="http://schemas.openxmlformats.org/officeDocument/2006/relationships" ref="T1076" display="https://www.linkedin.com/company/mainbot/mycompany/" r:id="rId3319"/>
    <hyperlink xmlns:r="http://schemas.openxmlformats.org/officeDocument/2006/relationships" ref="Y1076" display="https://drive.google.com/uc?export=view&amp;id=1keCWKxnVgGNmXPPT0-Z45l2YAZFFCPFC" r:id="rId3320"/>
    <hyperlink xmlns:r="http://schemas.openxmlformats.org/officeDocument/2006/relationships" ref="E1077" display="http://masttia.com/" r:id="rId3321"/>
    <hyperlink xmlns:r="http://schemas.openxmlformats.org/officeDocument/2006/relationships" ref="Y1077" display="https://drive.google.com/uc?export=view&amp;id=1vCgKxCOBQYOE3mSNfoQStmG48H71zuxc" r:id="rId3322"/>
    <hyperlink xmlns:r="http://schemas.openxmlformats.org/officeDocument/2006/relationships" ref="E1078" display="http://www.meinunterricht.de/" r:id="rId3323"/>
    <hyperlink xmlns:r="http://schemas.openxmlformats.org/officeDocument/2006/relationships" ref="Y1078" display="https://drive.google.com/uc?export=view&amp;id=1PMNCTuK9cqjFrG0k_c9E0dOsb8nFFmX1" r:id="rId3324"/>
    <hyperlink xmlns:r="http://schemas.openxmlformats.org/officeDocument/2006/relationships" ref="E1079" display="https://company.memby.org/" r:id="rId3325"/>
    <hyperlink xmlns:r="http://schemas.openxmlformats.org/officeDocument/2006/relationships" ref="Y1079" display="https://drive.google.com/uc?export=view&amp;id=1X_TduXYnN-dDDNEGVi_-xBdx9nu0sS0b" r:id="rId3326"/>
    <hyperlink xmlns:r="http://schemas.openxmlformats.org/officeDocument/2006/relationships" ref="E1080" display="https://mentorgoal.com/" r:id="rId3327"/>
    <hyperlink xmlns:r="http://schemas.openxmlformats.org/officeDocument/2006/relationships" ref="Y1080" display="https://drive.google.com/uc?export=view&amp;id=16hr25lzjVp1OfT9H3e1fvZfHGo6VFdh1" r:id="rId3328"/>
    <hyperlink xmlns:r="http://schemas.openxmlformats.org/officeDocument/2006/relationships" ref="E1081" display="https://www.metaed.school/" r:id="rId3329"/>
    <hyperlink xmlns:r="http://schemas.openxmlformats.org/officeDocument/2006/relationships" ref="E1082" display="http://www.moipanda.com/" r:id="rId3330"/>
    <hyperlink xmlns:r="http://schemas.openxmlformats.org/officeDocument/2006/relationships" ref="Y1082" display="https://drive.google.com/uc?export=view&amp;id=191pn5U3stLrtaiCKDnAWz8gNidh9l4Al" r:id="rId3331"/>
    <hyperlink xmlns:r="http://schemas.openxmlformats.org/officeDocument/2006/relationships" ref="E1083" display="https://www.mydataprotection.world/" r:id="rId3332"/>
    <hyperlink xmlns:r="http://schemas.openxmlformats.org/officeDocument/2006/relationships" ref="Y1083" display="https://drive.google.com/uc?export=view&amp;id=1HjHBZOFgbvSAalKajK_KY3ax1MzgBsUi" r:id="rId3333"/>
    <hyperlink xmlns:r="http://schemas.openxmlformats.org/officeDocument/2006/relationships" ref="E1084" display="http://naimrod.com/" r:id="rId3334"/>
    <hyperlink xmlns:r="http://schemas.openxmlformats.org/officeDocument/2006/relationships" ref="Y1084" display="https://drive.google.com/uc?export=view&amp;id=1EEuu_E6NqhcxsCHD4ELZ1DsZ30jLYS3J" r:id="rId3335"/>
    <hyperlink xmlns:r="http://schemas.openxmlformats.org/officeDocument/2006/relationships" ref="E1085" display="https://www.novatice.com/" r:id="rId3336"/>
    <hyperlink xmlns:r="http://schemas.openxmlformats.org/officeDocument/2006/relationships" ref="S1085" display="https://twitter.com/NovaticeTech" r:id="rId3337"/>
    <hyperlink xmlns:r="http://schemas.openxmlformats.org/officeDocument/2006/relationships" ref="T1085" display="https://www.linkedin.com/company/novatice/" r:id="rId3338"/>
    <hyperlink xmlns:r="http://schemas.openxmlformats.org/officeDocument/2006/relationships" ref="Y1085" display="https://drive.google.com/uc?export=view&amp;id=17CDnpDVWJVNkjXPjxCeYixjOHlaHb61f" r:id="rId3339"/>
    <hyperlink xmlns:r="http://schemas.openxmlformats.org/officeDocument/2006/relationships" ref="E1086" display="http://www.oktonine.com/" r:id="rId3340"/>
    <hyperlink xmlns:r="http://schemas.openxmlformats.org/officeDocument/2006/relationships" ref="T1086" display="https://www.linkedin.com/company/oktonine" r:id="rId3341"/>
    <hyperlink xmlns:r="http://schemas.openxmlformats.org/officeDocument/2006/relationships" ref="Y1086" display="https://drive.google.com/uc?export=view&amp;id=1S_WdB3w1Yg5rnjw4irIFDSGEqxosxuMU" r:id="rId3342"/>
    <hyperlink xmlns:r="http://schemas.openxmlformats.org/officeDocument/2006/relationships" ref="E1087" display="http://www.placetolearn.fr/" r:id="rId3343"/>
    <hyperlink xmlns:r="http://schemas.openxmlformats.org/officeDocument/2006/relationships" ref="Y1087" display="https://drive.google.com/uc?export=view&amp;id=1mZzi_c5NfU_h2tdxi6AVtiKwTnfy_l3_" r:id="rId3344"/>
    <hyperlink xmlns:r="http://schemas.openxmlformats.org/officeDocument/2006/relationships" ref="E1088" display="https://qlosr.se/skola/" r:id="rId3345"/>
    <hyperlink xmlns:r="http://schemas.openxmlformats.org/officeDocument/2006/relationships" ref="T1088" display="https://www.linkedin.com/company/qlosr-ab/mycompany/" r:id="rId3346"/>
    <hyperlink xmlns:r="http://schemas.openxmlformats.org/officeDocument/2006/relationships" ref="Y1088" display="https://drive.google.com/uc?export=view&amp;id=1WtttCqoXImTMuJLSidez_UBy20amODRP" r:id="rId3347"/>
    <hyperlink xmlns:r="http://schemas.openxmlformats.org/officeDocument/2006/relationships" ref="E1089" display="http://www.fullstreet.co/" r:id="rId3348"/>
    <hyperlink xmlns:r="http://schemas.openxmlformats.org/officeDocument/2006/relationships" ref="T1089" display="https://www.linkedin.com/company/fullstreet" r:id="rId3349"/>
    <hyperlink xmlns:r="http://schemas.openxmlformats.org/officeDocument/2006/relationships" ref="Y1089" display="https://drive.google.com/uc?export=view&amp;id=1FrJe0rEBZ3Fcou02KCujv-DNlgjTUfC4" r:id="rId3350"/>
    <hyperlink xmlns:r="http://schemas.openxmlformats.org/officeDocument/2006/relationships" ref="E1090" display="http://scobees.com/" r:id="rId3351"/>
    <hyperlink xmlns:r="http://schemas.openxmlformats.org/officeDocument/2006/relationships" ref="Y1090" display="https://drive.google.com/uc?export=view&amp;id=1OOtFfs3FVMbshDFilyvReyPuDOH0GF_Q" r:id="rId3352"/>
    <hyperlink xmlns:r="http://schemas.openxmlformats.org/officeDocument/2006/relationships" ref="E1091" display="https://www.skola24.com/" r:id="rId3353"/>
    <hyperlink xmlns:r="http://schemas.openxmlformats.org/officeDocument/2006/relationships" ref="R1091" display="https://www.instagram.com/skola24" r:id="rId3354"/>
    <hyperlink xmlns:r="http://schemas.openxmlformats.org/officeDocument/2006/relationships" ref="T1091" display="https://www.linkedin.com/company/skola24/mycompany/?viewAsMember=true" r:id="rId3355"/>
    <hyperlink xmlns:r="http://schemas.openxmlformats.org/officeDocument/2006/relationships" ref="Y1091" display="https://drive.google.com/uc?export=view&amp;id=1_mYi7St9K0GQSD6pdgL34rwtjLu4myXX" r:id="rId3356"/>
    <hyperlink xmlns:r="http://schemas.openxmlformats.org/officeDocument/2006/relationships" ref="E1092" display="https://www.start2impact.com/" r:id="rId3357"/>
    <hyperlink xmlns:r="http://schemas.openxmlformats.org/officeDocument/2006/relationships" ref="Y1092" display="https://drive.google.com/uc?export=view&amp;id=1jEbBvhLEFTFmQQcyn8D-bJWKTlunt6Ua" r:id="rId3358"/>
    <hyperlink xmlns:r="http://schemas.openxmlformats.org/officeDocument/2006/relationships" ref="E1093" display="https://www.startlab-education.com/en" r:id="rId3359"/>
    <hyperlink xmlns:r="http://schemas.openxmlformats.org/officeDocument/2006/relationships" ref="T1093" display="https://www.linkedin.com/company/fastlane-education/?viewAsMember=true" r:id="rId3360"/>
    <hyperlink xmlns:r="http://schemas.openxmlformats.org/officeDocument/2006/relationships" ref="Y1093" display="https://drive.google.com/uc?export=view&amp;id=1miKp0nzXbN-SMhjJKyfAqB215r20D14v" r:id="rId3361"/>
    <hyperlink xmlns:r="http://schemas.openxmlformats.org/officeDocument/2006/relationships" ref="E1094" display="https://storyals.com/" r:id="rId3362"/>
    <hyperlink xmlns:r="http://schemas.openxmlformats.org/officeDocument/2006/relationships" ref="R1094" display="https://www.instagram.com/storyals_/" r:id="rId3363"/>
    <hyperlink xmlns:r="http://schemas.openxmlformats.org/officeDocument/2006/relationships" ref="S1094" display="https://twitter.com/Storyals_" r:id="rId3364"/>
    <hyperlink xmlns:r="http://schemas.openxmlformats.org/officeDocument/2006/relationships" ref="T1094" display="https://www.linkedin.com/company/storyals/" r:id="rId3365"/>
    <hyperlink xmlns:r="http://schemas.openxmlformats.org/officeDocument/2006/relationships" ref="Y1094" display="https://drive.google.com/uc?export=view&amp;id=1vfqEgCbDipVxz0cKRsRo6A0-4j2O0eWP" r:id="rId3366"/>
    <hyperlink xmlns:r="http://schemas.openxmlformats.org/officeDocument/2006/relationships" ref="E1095" display="http://www.studycentral.eu/" r:id="rId3367"/>
    <hyperlink xmlns:r="http://schemas.openxmlformats.org/officeDocument/2006/relationships" ref="Y1095" display="https://drive.google.com/uc?export=view&amp;id=1YSYfnrNgaLtZH5hubpGOBAaUyXQK393Q" r:id="rId3368"/>
    <hyperlink xmlns:r="http://schemas.openxmlformats.org/officeDocument/2006/relationships" ref="E1096" display="https://stuudium.com/" r:id="rId3369"/>
    <hyperlink xmlns:r="http://schemas.openxmlformats.org/officeDocument/2006/relationships" ref="Y1096" display="https://drive.google.com/uc?export=view&amp;id=1nznwHt_LH3nTgLIr6zXkQDYR4ZSCaNqE" r:id="rId3370"/>
    <hyperlink xmlns:r="http://schemas.openxmlformats.org/officeDocument/2006/relationships" ref="E1098" display="https://usophy.com/" r:id="rId3371"/>
    <hyperlink xmlns:r="http://schemas.openxmlformats.org/officeDocument/2006/relationships" ref="R1098" display="https://www.instagram.com/usophy_books/" r:id="rId3372"/>
    <hyperlink xmlns:r="http://schemas.openxmlformats.org/officeDocument/2006/relationships" ref="T1098" display="https://www.linkedin.com/company/usophy" r:id="rId3373"/>
    <hyperlink xmlns:r="http://schemas.openxmlformats.org/officeDocument/2006/relationships" ref="Y1098" display="https://drive.google.com/uc?export=view&amp;id=1dBnQ0FmUzBP-laXDtmtfx5dtXuUlMKvc" r:id="rId3374"/>
    <hyperlink xmlns:r="http://schemas.openxmlformats.org/officeDocument/2006/relationships" ref="E1099" display="https://visiblyhq.com/" r:id="rId3375"/>
    <hyperlink xmlns:r="http://schemas.openxmlformats.org/officeDocument/2006/relationships" ref="Y1099" display="https://drive.google.com/uc?export=view&amp;id=1UTZF8YwWtwxhOT11z5gDbgymHIVkuX2p" r:id="rId3376"/>
    <hyperlink xmlns:r="http://schemas.openxmlformats.org/officeDocument/2006/relationships" ref="E1100" display="https://wibo.app/" r:id="rId3377"/>
    <hyperlink xmlns:r="http://schemas.openxmlformats.org/officeDocument/2006/relationships" ref="R1100" display="https://www.instagram.com/wibo.family/" r:id="rId3378"/>
    <hyperlink xmlns:r="http://schemas.openxmlformats.org/officeDocument/2006/relationships" ref="T1100" display="https://www.linkedin.com/company/wiboapp/" r:id="rId3379"/>
    <hyperlink xmlns:r="http://schemas.openxmlformats.org/officeDocument/2006/relationships" ref="Y1100" display="https://drive.google.com/uc?export=view&amp;id=1OAe2L3Xn1xHCy5KMWQsykLWYXs92J1vv" r:id="rId3380"/>
    <hyperlink xmlns:r="http://schemas.openxmlformats.org/officeDocument/2006/relationships" ref="E1101" display="https://www.wef.education/" r:id="rId3381"/>
    <hyperlink xmlns:r="http://schemas.openxmlformats.org/officeDocument/2006/relationships" ref="T1101" display="https://it.linkedin.com/company/wonderfuleducation" r:id="rId3382"/>
    <hyperlink xmlns:r="http://schemas.openxmlformats.org/officeDocument/2006/relationships" ref="Y1101" display="https://drive.google.com/uc?export=view&amp;id=1u_ilA_MMlH_8XOOoUrxXAxw81xb5AfUv" r:id="rId3383"/>
    <hyperlink xmlns:r="http://schemas.openxmlformats.org/officeDocument/2006/relationships" ref="E1102" display="https://www.ximdex.com/" r:id="rId3384"/>
    <hyperlink xmlns:r="http://schemas.openxmlformats.org/officeDocument/2006/relationships" ref="S1102" display="https://twitter.com/ximdex" r:id="rId3385"/>
    <hyperlink xmlns:r="http://schemas.openxmlformats.org/officeDocument/2006/relationships" ref="T1102" display="https://www.linkedin.com/company/ximdex" r:id="rId3386"/>
    <hyperlink xmlns:r="http://schemas.openxmlformats.org/officeDocument/2006/relationships" ref="Y1102" display="https://drive.google.com/uc?export=view&amp;id=1YS76ueaqGBQVwjri4R2Mxg-nC6fNm3Ey" r:id="rId3387"/>
    <hyperlink xmlns:r="http://schemas.openxmlformats.org/officeDocument/2006/relationships" ref="E1103" display="http://www.xrconsole.net/" r:id="rId3388"/>
    <hyperlink xmlns:r="http://schemas.openxmlformats.org/officeDocument/2006/relationships" ref="T1103" display="https://www.linkedin.com/company/xrconsole" r:id="rId3389"/>
    <hyperlink xmlns:r="http://schemas.openxmlformats.org/officeDocument/2006/relationships" ref="Y1103" display="https://drive.google.com/uc?export=view&amp;id=1FNlObN3rntGIE_wLr9hXRWcjDrhrHak2" r:id="rId3390"/>
    <hyperlink xmlns:r="http://schemas.openxmlformats.org/officeDocument/2006/relationships" ref="D1104" display="http://zapiens.ai/" r:id="rId3391"/>
    <hyperlink xmlns:r="http://schemas.openxmlformats.org/officeDocument/2006/relationships" ref="E1104" display="https://zapiens.ai/" r:id="rId3392"/>
    <hyperlink xmlns:r="http://schemas.openxmlformats.org/officeDocument/2006/relationships" ref="Y1104" display="https://drive.google.com/uc?export=view&amp;id=1Jug6aKOywa74jh867TJJ3qNGBYzluz7Z" r:id="rId3393"/>
    <hyperlink xmlns:r="http://schemas.openxmlformats.org/officeDocument/2006/relationships" ref="E1105" display="https://4indata.com/fr/" r:id="rId3394"/>
    <hyperlink xmlns:r="http://schemas.openxmlformats.org/officeDocument/2006/relationships" ref="Y1105" display="https://drive.google.com/uc?export=view&amp;id=18O4BIdudHf_Cn21RGpL2QCN0tybnoJ19" r:id="rId3395"/>
    <hyperlink xmlns:r="http://schemas.openxmlformats.org/officeDocument/2006/relationships" ref="E1106" display="https://www.5miles.nl/" r:id="rId3396"/>
    <hyperlink xmlns:r="http://schemas.openxmlformats.org/officeDocument/2006/relationships" ref="R1106" display="https://www.instagram.com/5mileshq/" r:id="rId3397"/>
    <hyperlink xmlns:r="http://schemas.openxmlformats.org/officeDocument/2006/relationships" ref="S1106" display="https://twitter.com/5milesHQ/" r:id="rId3398"/>
    <hyperlink xmlns:r="http://schemas.openxmlformats.org/officeDocument/2006/relationships" ref="T1106" display="https://www.linkedin.com/company/5miles/" r:id="rId3399"/>
    <hyperlink xmlns:r="http://schemas.openxmlformats.org/officeDocument/2006/relationships" ref="Y1106" display="https://drive.google.com/uc?export=view&amp;id=1InudfeaVxj--tjRsSJE3W4hhdKVrU1ps" r:id="rId3400"/>
    <hyperlink xmlns:r="http://schemas.openxmlformats.org/officeDocument/2006/relationships" ref="E1107" display="https://www.algoreducation.com/" r:id="rId3401"/>
    <hyperlink xmlns:r="http://schemas.openxmlformats.org/officeDocument/2006/relationships" ref="Y1107" display="https://drive.google.com/uc?export=view&amp;id=1nCgMiupgH6gzSJbHvg0x5KpUQ_i6v3II" r:id="rId3402"/>
    <hyperlink xmlns:r="http://schemas.openxmlformats.org/officeDocument/2006/relationships" ref="E1108" display="https://askiraski.no/" r:id="rId3403"/>
    <hyperlink xmlns:r="http://schemas.openxmlformats.org/officeDocument/2006/relationships" ref="R1108" display="https://www.instagram.com/askiraskinorge/" r:id="rId3404"/>
    <hyperlink xmlns:r="http://schemas.openxmlformats.org/officeDocument/2006/relationships" ref="T1108" display="https://www.linkedin.com/company/aski-raski-as/" r:id="rId3405"/>
    <hyperlink xmlns:r="http://schemas.openxmlformats.org/officeDocument/2006/relationships" ref="Y1108" display="https://drive.google.com/uc?export=view&amp;id=12ahJ1GmDHL5RsvQf1_BueJp6zLrtwtlE" r:id="rId3406"/>
    <hyperlink xmlns:r="http://schemas.openxmlformats.org/officeDocument/2006/relationships" ref="E1109" display="https://www.aupairbutrfly.com/" r:id="rId3407"/>
    <hyperlink xmlns:r="http://schemas.openxmlformats.org/officeDocument/2006/relationships" ref="Y1109" display="https://drive.google.com/uc?export=view&amp;id=1fl6_hsnV2PD138NPaNgJByG-KFZ1msWS" r:id="rId3408"/>
    <hyperlink xmlns:r="http://schemas.openxmlformats.org/officeDocument/2006/relationships" ref="E1110" display="https://beyondthebox.it/" r:id="rId3409"/>
    <hyperlink xmlns:r="http://schemas.openxmlformats.org/officeDocument/2006/relationships" ref="R1110" display="https://www.instagram.com/_beyondthebox_/" r:id="rId3410"/>
    <hyperlink xmlns:r="http://schemas.openxmlformats.org/officeDocument/2006/relationships" ref="T1110" display="https://www.linkedin.com/company/sharingcompetencies/?viewAsMember=true" r:id="rId3411"/>
    <hyperlink xmlns:r="http://schemas.openxmlformats.org/officeDocument/2006/relationships" ref="Y1110" display="https://drive.google.com/uc?export=view&amp;id=1eAOStAsEFJzYvdYASrhiWfIeSKuj4Vp-" r:id="rId3412"/>
    <hyperlink xmlns:r="http://schemas.openxmlformats.org/officeDocument/2006/relationships" ref="E1111" display="https://boksnok.de/" r:id="rId3413"/>
    <hyperlink xmlns:r="http://schemas.openxmlformats.org/officeDocument/2006/relationships" ref="Y1111" display="https://drive.google.com/uc?export=view&amp;id=1ciBeCVvmEgHTxhdW7i2O7KVetsC79GxP" r:id="rId3414"/>
    <hyperlink xmlns:r="http://schemas.openxmlformats.org/officeDocument/2006/relationships" ref="E1112" display="http://corp.bookrkids.com/" r:id="rId3415"/>
    <hyperlink xmlns:r="http://schemas.openxmlformats.org/officeDocument/2006/relationships" ref="Y1112" display="https://drive.google.com/uc?export=view&amp;id=1zlDBPLKYwmzyt1x9u41pDB6JqNpoLTqR" r:id="rId3416"/>
    <hyperlink xmlns:r="http://schemas.openxmlformats.org/officeDocument/2006/relationships" ref="E1113" display="https://clanbeat.com/" r:id="rId3417"/>
    <hyperlink xmlns:r="http://schemas.openxmlformats.org/officeDocument/2006/relationships" ref="R1113" display="https://instagram.com/clanbeat" r:id="rId3418"/>
    <hyperlink xmlns:r="http://schemas.openxmlformats.org/officeDocument/2006/relationships" ref="S1113" display="https://twitter.com/ClanbeatApp" r:id="rId3419"/>
    <hyperlink xmlns:r="http://schemas.openxmlformats.org/officeDocument/2006/relationships" ref="T1113" display="https://www.linkedin.com/company/clanbeat-education/" r:id="rId3420"/>
    <hyperlink xmlns:r="http://schemas.openxmlformats.org/officeDocument/2006/relationships" ref="Y1113" display="https://drive.google.com/uc?export=view&amp;id=1yqo5yj5FlZY6wmuVmyMVJhT1ADnV2kAV" r:id="rId3421"/>
    <hyperlink xmlns:r="http://schemas.openxmlformats.org/officeDocument/2006/relationships" ref="E1114" display="https://join.courseticket.com/" r:id="rId3422"/>
    <hyperlink xmlns:r="http://schemas.openxmlformats.org/officeDocument/2006/relationships" ref="T1114" display="https://www.linkedin.com/company/courseticket-com" r:id="rId3423"/>
    <hyperlink xmlns:r="http://schemas.openxmlformats.org/officeDocument/2006/relationships" ref="Y1114" display="https://drive.google.com/uc?export=view&amp;id=1E7_a2TFwuEiwZQCppHPJYOnjJupGZQ47" r:id="rId3424"/>
    <hyperlink xmlns:r="http://schemas.openxmlformats.org/officeDocument/2006/relationships" ref="E1115" display="https://cyberedu.ro/" r:id="rId3425"/>
    <hyperlink xmlns:r="http://schemas.openxmlformats.org/officeDocument/2006/relationships" ref="Y1115" display="https://drive.google.com/uc?export=view&amp;id=1Me2Yr-3JYg0rlFMKUX5LvwSPSsVm8rin" r:id="rId3426"/>
    <hyperlink xmlns:r="http://schemas.openxmlformats.org/officeDocument/2006/relationships" ref="E1116" display="https://www.digiexam.com/" r:id="rId3427"/>
    <hyperlink xmlns:r="http://schemas.openxmlformats.org/officeDocument/2006/relationships" ref="S1116" display="https://twitter.com/DigiExam" r:id="rId3428"/>
    <hyperlink xmlns:r="http://schemas.openxmlformats.org/officeDocument/2006/relationships" ref="T1116" display="https://www.linkedin.com/company/digiexams" r:id="rId3429"/>
    <hyperlink xmlns:r="http://schemas.openxmlformats.org/officeDocument/2006/relationships" ref="Y1116" display="https://drive.google.com/uc?export=view&amp;id=1qvs908scc6Aal-klOcbuahuWnTu1LdLs" r:id="rId3430"/>
    <hyperlink xmlns:r="http://schemas.openxmlformats.org/officeDocument/2006/relationships" ref="E1117" display="https://www.educationdigitale.com/" r:id="rId3431"/>
    <hyperlink xmlns:r="http://schemas.openxmlformats.org/officeDocument/2006/relationships" ref="T1117" display="https://www.linkedin.com/company/%C3%A9ducation-digitale/" r:id="rId3432"/>
    <hyperlink xmlns:r="http://schemas.openxmlformats.org/officeDocument/2006/relationships" ref="Y1117" display="https://drive.google.com/uc?export=view&amp;id=1FYhDkLHvQycAP3E_b1nxIpFuP9FrvfVp" r:id="rId3433"/>
    <hyperlink xmlns:r="http://schemas.openxmlformats.org/officeDocument/2006/relationships" ref="E1118" display="http://www.edulinxs.club/" r:id="rId3434"/>
    <hyperlink xmlns:r="http://schemas.openxmlformats.org/officeDocument/2006/relationships" ref="Y1118" display="https://drive.google.com/uc?export=view&amp;id=1MdHnXnvnuV6XXcjUrsDFZIiG1ls7L_dM" r:id="rId3435"/>
    <hyperlink xmlns:r="http://schemas.openxmlformats.org/officeDocument/2006/relationships" ref="E1119" display="https://www.eduxim.com/" r:id="rId3436"/>
    <hyperlink xmlns:r="http://schemas.openxmlformats.org/officeDocument/2006/relationships" ref="S1119" display="https://twitter.com/eduximapp" r:id="rId3437"/>
    <hyperlink xmlns:r="http://schemas.openxmlformats.org/officeDocument/2006/relationships" ref="T1119" display="https://www.linkedin.com/company/eduxim" r:id="rId3438"/>
    <hyperlink xmlns:r="http://schemas.openxmlformats.org/officeDocument/2006/relationships" ref="Y1119" display="https://drive.google.com/uc?export=view&amp;id=1zwmzypNMh3xWzmnktR4CEVROKUIm4iH4" r:id="rId3439"/>
    <hyperlink xmlns:r="http://schemas.openxmlformats.org/officeDocument/2006/relationships" ref="E1120" display="http://www.eisf.fr/" r:id="rId3440"/>
    <hyperlink xmlns:r="http://schemas.openxmlformats.org/officeDocument/2006/relationships" ref="R1120" display="https://www.instagram.com/e_i_s_f/" r:id="rId3441"/>
    <hyperlink xmlns:r="http://schemas.openxmlformats.org/officeDocument/2006/relationships" ref="T1120" display="https://www.linkedin.com/company/27158557/admin/feed/posts/?feedType=following" r:id="rId3442"/>
    <hyperlink xmlns:r="http://schemas.openxmlformats.org/officeDocument/2006/relationships" ref="Y1120" display="https://drive.google.com/uc?export=view&amp;id=1CTWyvYoxaPe_FLOGdKKVjHkGRUZoS9um" r:id="rId3443"/>
    <hyperlink xmlns:r="http://schemas.openxmlformats.org/officeDocument/2006/relationships" ref="E1121" display="https://farmaleaderstalento.com/" r:id="rId3444"/>
    <hyperlink xmlns:r="http://schemas.openxmlformats.org/officeDocument/2006/relationships" ref="Y1121" display="https://drive.google.com/uc?export=view&amp;id=1lwRkUIaufzIjvDHq6iULrUvrn3WVZ7-i" r:id="rId3445"/>
    <hyperlink xmlns:r="http://schemas.openxmlformats.org/officeDocument/2006/relationships" ref="E1122" display="https://www.frenchlab.io/" r:id="rId3446"/>
    <hyperlink xmlns:r="http://schemas.openxmlformats.org/officeDocument/2006/relationships" ref="T1122" display="https://www.linkedin.com/company/french-lab/?viewAsMember=true" r:id="rId3447"/>
    <hyperlink xmlns:r="http://schemas.openxmlformats.org/officeDocument/2006/relationships" ref="Y1122" display="https://drive.google.com/uc?export=view&amp;id=10zIFETR9VnCQbzphZqFNUseA67Zdj6UO" r:id="rId3448"/>
    <hyperlink xmlns:r="http://schemas.openxmlformats.org/officeDocument/2006/relationships" ref="E1123" display="https://halfonse.com/" r:id="rId3449"/>
    <hyperlink xmlns:r="http://schemas.openxmlformats.org/officeDocument/2006/relationships" ref="S1123" display="https://twitter.com/GetHalfonse" r:id="rId3450"/>
    <hyperlink xmlns:r="http://schemas.openxmlformats.org/officeDocument/2006/relationships" ref="T1123" display="https://www.linkedin.com/company/halfonse" r:id="rId3451"/>
    <hyperlink xmlns:r="http://schemas.openxmlformats.org/officeDocument/2006/relationships" ref="Y1123" display="https://drive.google.com/uc?export=view&amp;id=1dhZWAW57pRo4MtrONDpYx4V5CxzN81Gn" r:id="rId3452"/>
    <hyperlink xmlns:r="http://schemas.openxmlformats.org/officeDocument/2006/relationships" ref="E1124" display="https://www.hellowork-group.com/" r:id="rId3453"/>
    <hyperlink xmlns:r="http://schemas.openxmlformats.org/officeDocument/2006/relationships" ref="S1124" display="https://twitter.com/helloworkgroup" r:id="rId3454"/>
    <hyperlink xmlns:r="http://schemas.openxmlformats.org/officeDocument/2006/relationships" ref="T1124" display="https://www.linkedin.com/company/helloworkcom/" r:id="rId3455"/>
    <hyperlink xmlns:r="http://schemas.openxmlformats.org/officeDocument/2006/relationships" ref="U1124" display="http://maformation.fr/" r:id="rId3456"/>
    <hyperlink xmlns:r="http://schemas.openxmlformats.org/officeDocument/2006/relationships" ref="Y1124" display="https://drive.google.com/uc?export=view&amp;id=1y1mKcFMyZQAk-Cu9psKnqN9bF75hOfaL" r:id="rId3457"/>
    <hyperlink xmlns:r="http://schemas.openxmlformats.org/officeDocument/2006/relationships" ref="E1125" display="http://www.hypnoledge.com/" r:id="rId3458"/>
    <hyperlink xmlns:r="http://schemas.openxmlformats.org/officeDocument/2006/relationships" ref="R1125" display="https://www.instagram.com/hypnoledge/" r:id="rId3459"/>
    <hyperlink xmlns:r="http://schemas.openxmlformats.org/officeDocument/2006/relationships" ref="T1125" display="https://www.linkedin.com/company/hypnoledge" r:id="rId3460"/>
    <hyperlink xmlns:r="http://schemas.openxmlformats.org/officeDocument/2006/relationships" ref="Y1125" display="https://drive.google.com/uc?export=view&amp;id=1pRQ55hCd9YswBOb9F2DHaFOPDkdwbZ54" r:id="rId3461"/>
    <hyperlink xmlns:r="http://schemas.openxmlformats.org/officeDocument/2006/relationships" ref="E1126" display="https://kobiapp.io/" r:id="rId3462"/>
    <hyperlink xmlns:r="http://schemas.openxmlformats.org/officeDocument/2006/relationships" ref="Y1126" display="https://drive.google.com/uc?export=view&amp;id=1DKvbZiSfu6NtenK9icr0BAbJfKvTHPqV" r:id="rId3463"/>
    <hyperlink xmlns:r="http://schemas.openxmlformats.org/officeDocument/2006/relationships" ref="E1127" display="http://liber.se/" r:id="rId3464"/>
    <hyperlink xmlns:r="http://schemas.openxmlformats.org/officeDocument/2006/relationships" ref="T1127" display="https://www.linkedin.com/company/liber-ab" r:id="rId3465"/>
    <hyperlink xmlns:r="http://schemas.openxmlformats.org/officeDocument/2006/relationships" ref="Y1127" display="https://drive.google.com/uc?export=view&amp;id=1Z0cvhsQA8I_GgnDTJ64_s1PQHJUOwCDV" r:id="rId3466"/>
    <hyperlink xmlns:r="http://schemas.openxmlformats.org/officeDocument/2006/relationships" ref="E1128" display="https://lifeed.io/en/" r:id="rId3467"/>
    <hyperlink xmlns:r="http://schemas.openxmlformats.org/officeDocument/2006/relationships" ref="Y1128" display="https://drive.google.com/uc?export=view&amp;id=14yaaUe2PSEVHUwQi8Zo7gTqTJPpns8xT" r:id="rId3468"/>
    <hyperlink xmlns:r="http://schemas.openxmlformats.org/officeDocument/2006/relationships" ref="E1129" display="http://www.meek.ventures/" r:id="rId3469"/>
    <hyperlink xmlns:r="http://schemas.openxmlformats.org/officeDocument/2006/relationships" ref="Y1129" display="https://drive.google.com/uc?export=view&amp;id=1os1Xez8U30hKK1JTpHDUCvcK-LvrRvtg" r:id="rId3470"/>
    <hyperlink xmlns:r="http://schemas.openxmlformats.org/officeDocument/2006/relationships" ref="E1130" display="https://mightifier.com/" r:id="rId3471"/>
    <hyperlink xmlns:r="http://schemas.openxmlformats.org/officeDocument/2006/relationships" ref="Y1130" display="https://drive.google.com/uc?export=view&amp;id=1BHhnIib2H2NWAc8-XhTTmarNh3YdPwaI" r:id="rId3472"/>
    <hyperlink xmlns:r="http://schemas.openxmlformats.org/officeDocument/2006/relationships" ref="E1131" display="https://www.myclassevirtuelle.fr/" r:id="rId3473"/>
    <hyperlink xmlns:r="http://schemas.openxmlformats.org/officeDocument/2006/relationships" ref="S1131" display="https://twitter.com/MyVClassroom" r:id="rId3474"/>
    <hyperlink xmlns:r="http://schemas.openxmlformats.org/officeDocument/2006/relationships" ref="T1131" display="https://www.linkedin.com/company/my-virtual-classroom/" r:id="rId3475"/>
    <hyperlink xmlns:r="http://schemas.openxmlformats.org/officeDocument/2006/relationships" ref="Y1131" display="https://drive.google.com/uc?export=view&amp;id=1klq0uLURnL21FWjhjfpJxJhcnzvpB35Q" r:id="rId3476"/>
    <hyperlink xmlns:r="http://schemas.openxmlformats.org/officeDocument/2006/relationships" ref="E1132" display="https://nomadeducation.fr/" r:id="rId3477"/>
    <hyperlink xmlns:r="http://schemas.openxmlformats.org/officeDocument/2006/relationships" ref="R1132" display="https://www.instagram.com/nomad_education/" r:id="rId3478"/>
    <hyperlink xmlns:r="http://schemas.openxmlformats.org/officeDocument/2006/relationships" ref="S1132" display="https://twitter.com/nomadeducation?lang=fr" r:id="rId3479"/>
    <hyperlink xmlns:r="http://schemas.openxmlformats.org/officeDocument/2006/relationships" ref="T1132" display="https://www.linkedin.com/company/nomad-education" r:id="rId3480"/>
    <hyperlink xmlns:r="http://schemas.openxmlformats.org/officeDocument/2006/relationships" ref="Y1132" display="https://drive.google.com/uc?export=view&amp;id=1_wweovvH_7FtaOfaLmIdqqNR4kQ7A276" r:id="rId3481"/>
    <hyperlink xmlns:r="http://schemas.openxmlformats.org/officeDocument/2006/relationships" ref="E1133" display="http://www.perfectlyspoken.com/" r:id="rId3482"/>
    <hyperlink xmlns:r="http://schemas.openxmlformats.org/officeDocument/2006/relationships" ref="Y1133" display="https://drive.google.com/uc?export=view&amp;id=1uKcYx5AuDuhTH0Is6daQe3dj_rD7a7jj" r:id="rId3483"/>
    <hyperlink xmlns:r="http://schemas.openxmlformats.org/officeDocument/2006/relationships" ref="E1134" display="http://www.rockbotic.com/" r:id="rId3484"/>
    <hyperlink xmlns:r="http://schemas.openxmlformats.org/officeDocument/2006/relationships" ref="Y1134" display="https://drive.google.com/uc?export=view&amp;id=1mcTtk7dikufJVG_9_BC-qT47FEHd21nE" r:id="rId3485"/>
    <hyperlink xmlns:r="http://schemas.openxmlformats.org/officeDocument/2006/relationships" ref="E1135" display="https://www.simtrade.com/" r:id="rId3486"/>
    <hyperlink xmlns:r="http://schemas.openxmlformats.org/officeDocument/2006/relationships" ref="Y1135" display="https://drive.google.com/uc?export=view&amp;id=1fKHXcgPf-g0xmCjeuTNRIHN9Z_0juRNC" r:id="rId3487"/>
    <hyperlink xmlns:r="http://schemas.openxmlformats.org/officeDocument/2006/relationships" ref="E1136" display="https://www.spxlab.com/" r:id="rId3488"/>
    <hyperlink xmlns:r="http://schemas.openxmlformats.org/officeDocument/2006/relationships" ref="Y1136" display="https://drive.google.com/uc?export=view&amp;id=1uKSlqxsQEZ1vOH19B0FaL48UwEOAvWBs" r:id="rId3489"/>
    <hyperlink xmlns:r="http://schemas.openxmlformats.org/officeDocument/2006/relationships" ref="E1137" display="https://www.stratsys.com/" r:id="rId3490"/>
    <hyperlink xmlns:r="http://schemas.openxmlformats.org/officeDocument/2006/relationships" ref="T1137" display="https://www.linkedin.com/company/stratsys/mycompany/verification/" r:id="rId3491"/>
    <hyperlink xmlns:r="http://schemas.openxmlformats.org/officeDocument/2006/relationships" ref="E1138" display="https://www.teachonmars.com/" r:id="rId3492"/>
    <hyperlink xmlns:r="http://schemas.openxmlformats.org/officeDocument/2006/relationships" ref="R1138" display="https://www.instagram.com/teachonmarsfr/" r:id="rId3493"/>
    <hyperlink xmlns:r="http://schemas.openxmlformats.org/officeDocument/2006/relationships" ref="S1138" display="https://twitter.com/TeachonMarsfr" r:id="rId3494"/>
    <hyperlink xmlns:r="http://schemas.openxmlformats.org/officeDocument/2006/relationships" ref="T1138" display="https://www.linkedin.com/company/teach-on-mars/" r:id="rId3495"/>
    <hyperlink xmlns:r="http://schemas.openxmlformats.org/officeDocument/2006/relationships" ref="Y1138" display="https://drive.google.com/uc?export=view&amp;id=1pwL-tiOHYjkp1ORNV9aQtNAF2S90Im14" r:id="rId3496"/>
    <hyperlink xmlns:r="http://schemas.openxmlformats.org/officeDocument/2006/relationships" ref="E1139" display="https://www.linkedin.com/company/teachers-lead-tech/mycompany/?viewAsMember=true" r:id="rId3497"/>
    <hyperlink xmlns:r="http://schemas.openxmlformats.org/officeDocument/2006/relationships" ref="T1139" display="https://www.linkedin.com/company/teachers-lead-tech/about/?viewAsMember=true" r:id="rId3498"/>
    <hyperlink xmlns:r="http://schemas.openxmlformats.org/officeDocument/2006/relationships" ref="Y1139" display="https://drive.google.com/uc?export=view&amp;id=1fKPPoRVDCo28EdqAjxHjsTgzJClB4iZ4" r:id="rId3499"/>
    <hyperlink xmlns:r="http://schemas.openxmlformats.org/officeDocument/2006/relationships" ref="E1140" display="http://www.twentyoneskills.de/" r:id="rId3500"/>
    <hyperlink xmlns:r="http://schemas.openxmlformats.org/officeDocument/2006/relationships" ref="Y1140" display="https://drive.google.com/uc?export=view&amp;id=1VzirD7DC1hTZKWXw0vUbkKPoB41CVUik" r:id="rId3501"/>
    <hyperlink xmlns:r="http://schemas.openxmlformats.org/officeDocument/2006/relationships" ref="E1141" display="https://www.holavilma.com/" r:id="rId3502"/>
    <hyperlink xmlns:r="http://schemas.openxmlformats.org/officeDocument/2006/relationships" ref="Y1141" display="https://drive.google.com/uc?export=view&amp;id=1HU9tuKqV6FPahvdKKhpw6vRYIGB-n1s1" r:id="rId3503"/>
    <hyperlink xmlns:r="http://schemas.openxmlformats.org/officeDocument/2006/relationships" ref="E1142" display="https://wf3.fr/" r:id="rId3504"/>
    <hyperlink xmlns:r="http://schemas.openxmlformats.org/officeDocument/2006/relationships" ref="R1142" display="https://www.instagram.com/webforce3" r:id="rId3505"/>
    <hyperlink xmlns:r="http://schemas.openxmlformats.org/officeDocument/2006/relationships" ref="S1142" display="https://twitter.com/WebForce3" r:id="rId3506"/>
    <hyperlink xmlns:r="http://schemas.openxmlformats.org/officeDocument/2006/relationships" ref="T1142" display="https://www.linkedin.com/school/webforce3/mycompany/" r:id="rId3507"/>
    <hyperlink xmlns:r="http://schemas.openxmlformats.org/officeDocument/2006/relationships" ref="Y1142" display="https://drive.google.com/uc?export=view&amp;id=1a19O-fvtUrSnDS6PIVl4Lz3SglmxyVSD" r:id="rId3508"/>
    <hyperlink xmlns:r="http://schemas.openxmlformats.org/officeDocument/2006/relationships" ref="E1143" display="http://www.wiloki.com/" r:id="rId3509"/>
    <hyperlink xmlns:r="http://schemas.openxmlformats.org/officeDocument/2006/relationships" ref="R1143" display="https://www.instagram.com/wiloki_ai/" r:id="rId3510"/>
    <hyperlink xmlns:r="http://schemas.openxmlformats.org/officeDocument/2006/relationships" ref="S1143" display="https://twitter.com/wiloki_ai" r:id="rId3511"/>
    <hyperlink xmlns:r="http://schemas.openxmlformats.org/officeDocument/2006/relationships" ref="T1143" display="https://www.linkedin.com/company/wiloki/" r:id="rId3512"/>
    <hyperlink xmlns:r="http://schemas.openxmlformats.org/officeDocument/2006/relationships" ref="Y1143" display="https://drive.google.com/uc?export=view&amp;id=1aMe-VZ1lnKLVoCBZ34hml29Wb5wOOE98" r:id="rId3513"/>
    <hyperlink xmlns:r="http://schemas.openxmlformats.org/officeDocument/2006/relationships" ref="E1144" display="https://www.beedeez.com/" r:id="rId3514"/>
    <hyperlink xmlns:r="http://schemas.openxmlformats.org/officeDocument/2006/relationships" ref="S1144" display="https://twitter.com/BeedeezApp" r:id="rId3515"/>
    <hyperlink xmlns:r="http://schemas.openxmlformats.org/officeDocument/2006/relationships" ref="T1144" display="https://www.linkedin.com/company/beedeez/" r:id="rId3516"/>
    <hyperlink xmlns:r="http://schemas.openxmlformats.org/officeDocument/2006/relationships" ref="Y1144" display="https://drive.google.com/uc?export=view&amp;id=1xvGBiT6oTPSfkRGtk8TU6yW5Ynszi0bA" r:id="rId3517"/>
    <hyperlink xmlns:r="http://schemas.openxmlformats.org/officeDocument/2006/relationships" ref="E1145" display="http://www.bizexaminer.com/" r:id="rId3518"/>
    <hyperlink xmlns:r="http://schemas.openxmlformats.org/officeDocument/2006/relationships" ref="T1145" display="https://www.linkedin.com/company/18919892/" r:id="rId3519"/>
    <hyperlink xmlns:r="http://schemas.openxmlformats.org/officeDocument/2006/relationships" ref="Y1145" display="https://drive.google.com/uc?export=view&amp;id=1dtutgcB5phIZGSNFjxYvziqprm__qwTd" r:id="rId3520"/>
    <hyperlink xmlns:r="http://schemas.openxmlformats.org/officeDocument/2006/relationships" ref="E1146" display="http://www.cec.com/" r:id="rId3521"/>
    <hyperlink xmlns:r="http://schemas.openxmlformats.org/officeDocument/2006/relationships" ref="Y1146" display="https://drive.google.com/uc?export=view&amp;id=1PUV195jj5VHdsX86t6Pmu28V3H4GiJ4Z" r:id="rId3522"/>
    <hyperlink xmlns:r="http://schemas.openxmlformats.org/officeDocument/2006/relationships" ref="E1147" display="http://www.companygame.com/" r:id="rId3523"/>
    <hyperlink xmlns:r="http://schemas.openxmlformats.org/officeDocument/2006/relationships" ref="R1147" display="https://www.instagram.com/companygame_simuladores" r:id="rId3524"/>
    <hyperlink xmlns:r="http://schemas.openxmlformats.org/officeDocument/2006/relationships" ref="S1147" display="https://twitter.com/companygame" r:id="rId3525"/>
    <hyperlink xmlns:r="http://schemas.openxmlformats.org/officeDocument/2006/relationships" ref="T1147" display="https://es.linkedin.com/company/companygame" r:id="rId3526"/>
    <hyperlink xmlns:r="http://schemas.openxmlformats.org/officeDocument/2006/relationships" ref="Y1147" display="https://drive.google.com/uc?export=view&amp;id=1jrLBtwXWdujkPfQtRF9XAjBZg4n-n_HF" r:id="rId3527"/>
    <hyperlink xmlns:r="http://schemas.openxmlformats.org/officeDocument/2006/relationships" ref="E1148" display="https://www.linkedin.cn/company/cultydata" r:id="rId3528"/>
    <hyperlink xmlns:r="http://schemas.openxmlformats.org/officeDocument/2006/relationships" ref="Y1148" display="https://drive.google.com/uc?export=view&amp;id=1Pb8rf-_bbwpKvcrm2cRyWVgXlUbkiDSn" r:id="rId3529"/>
    <hyperlink xmlns:r="http://schemas.openxmlformats.org/officeDocument/2006/relationships" ref="E1149" display="https://www.im-c.com/de/at/" r:id="rId3530"/>
    <hyperlink xmlns:r="http://schemas.openxmlformats.org/officeDocument/2006/relationships" ref="R1149" display="https://www.instagram.com/imc_learning/?hl=de" r:id="rId3531"/>
    <hyperlink xmlns:r="http://schemas.openxmlformats.org/officeDocument/2006/relationships" ref="S1149" display="https://twitter.com/imc_learning" r:id="rId3532"/>
    <hyperlink xmlns:r="http://schemas.openxmlformats.org/officeDocument/2006/relationships" ref="T1149" display="https://www.linkedin.com/company/109738/admin/" r:id="rId3533"/>
    <hyperlink xmlns:r="http://schemas.openxmlformats.org/officeDocument/2006/relationships" ref="Y1149" display="https://drive.google.com/uc?export=view&amp;id=1gdfZgbJP80bCuX24MmAYHEDY4nxJW2gR" r:id="rId3534"/>
    <hyperlink xmlns:r="http://schemas.openxmlformats.org/officeDocument/2006/relationships" ref="E1150" display="http://www.innoduel.com/" r:id="rId3535"/>
    <hyperlink xmlns:r="http://schemas.openxmlformats.org/officeDocument/2006/relationships" ref="S1150" display="https://twitter.com/innoduel" r:id="rId3536"/>
    <hyperlink xmlns:r="http://schemas.openxmlformats.org/officeDocument/2006/relationships" ref="T1150" display="https://www.linkedin.com/company/innoduel" r:id="rId3537"/>
    <hyperlink xmlns:r="http://schemas.openxmlformats.org/officeDocument/2006/relationships" ref="Y1150" display="https://drive.google.com/uc?export=view&amp;id=1ED0h_SCTDi4w-wsxOF05RHVTItOfJsvW" r:id="rId3538"/>
    <hyperlink xmlns:r="http://schemas.openxmlformats.org/officeDocument/2006/relationships" ref="E1151" display="https://www.lexplore.com/" r:id="rId3539"/>
    <hyperlink xmlns:r="http://schemas.openxmlformats.org/officeDocument/2006/relationships" ref="R1151" display="https://instagram.com/lexploreinc" r:id="rId3540"/>
    <hyperlink xmlns:r="http://schemas.openxmlformats.org/officeDocument/2006/relationships" ref="S1151" display="https://twitter.com/LexploreInc" r:id="rId3541"/>
    <hyperlink xmlns:r="http://schemas.openxmlformats.org/officeDocument/2006/relationships" ref="T1151" display="https://www.linkedin.com/company/lexplore-global/" r:id="rId3542"/>
    <hyperlink xmlns:r="http://schemas.openxmlformats.org/officeDocument/2006/relationships" ref="Y1151" display="https://drive.google.com/uc?export=view&amp;id=1nRJiw6IGZE4MvGV75zFKV811KhrHJdy3" r:id="rId3543"/>
    <hyperlink xmlns:r="http://schemas.openxmlformats.org/officeDocument/2006/relationships" ref="E1152" display="https://www.mrchadd.nl/" r:id="rId3544"/>
    <hyperlink xmlns:r="http://schemas.openxmlformats.org/officeDocument/2006/relationships" ref="Y1152" display="https://drive.google.com/uc?export=view&amp;id=14fT4FXXZ-YiTbXfbqJFqfnbu1XmeJx8C" r:id="rId3545"/>
    <hyperlink xmlns:r="http://schemas.openxmlformats.org/officeDocument/2006/relationships" ref="E1153" display="http://myeducation.company/" r:id="rId3546"/>
    <hyperlink xmlns:r="http://schemas.openxmlformats.org/officeDocument/2006/relationships" ref="Y1153" display="https://drive.google.com/uc?export=view&amp;id=1DsOMND6IPzIUdf6Fhgw3TD4aVaEdsEnu" r:id="rId3547"/>
    <hyperlink xmlns:r="http://schemas.openxmlformats.org/officeDocument/2006/relationships" ref="E1154" display="https://orientoi.fr/" r:id="rId3548"/>
    <hyperlink xmlns:r="http://schemas.openxmlformats.org/officeDocument/2006/relationships" ref="R1154" display="https://www.instagram.com/orientoi.fr/" r:id="rId3549"/>
    <hyperlink xmlns:r="http://schemas.openxmlformats.org/officeDocument/2006/relationships" ref="S1154" display="https://twitter.com/orientoi" r:id="rId3550"/>
    <hyperlink xmlns:r="http://schemas.openxmlformats.org/officeDocument/2006/relationships" ref="T1154" display="https://www.linkedin.com/company/orientoi/" r:id="rId3551"/>
    <hyperlink xmlns:r="http://schemas.openxmlformats.org/officeDocument/2006/relationships" ref="Y1154" display="https://drive.google.com/uc?export=view&amp;id=17moXERTj1ZGNWUaqGQ6UBPoaHz-va5EF" r:id="rId3552"/>
    <hyperlink xmlns:r="http://schemas.openxmlformats.org/officeDocument/2006/relationships" ref="T1155" display="https://www.linkedin.com/company/feedbackbox/" r:id="rId3553"/>
    <hyperlink xmlns:r="http://schemas.openxmlformats.org/officeDocument/2006/relationships" ref="Y1155" display="https://drive.google.com/uc?export=view&amp;id=1RGRmFCFoZkr1QaDuW2XCqtsw2RiGFA4d" r:id="rId3554"/>
    <hyperlink xmlns:r="http://schemas.openxmlformats.org/officeDocument/2006/relationships" ref="E1156" display="http://www.praktikal.ee/en" r:id="rId3555"/>
    <hyperlink xmlns:r="http://schemas.openxmlformats.org/officeDocument/2006/relationships" ref="R1156" display="https://www.instagram.com/praktikal_edu/" r:id="rId3556"/>
    <hyperlink xmlns:r="http://schemas.openxmlformats.org/officeDocument/2006/relationships" ref="T1156" display="https://www.linkedin.com/company/74497960" r:id="rId3557"/>
    <hyperlink xmlns:r="http://schemas.openxmlformats.org/officeDocument/2006/relationships" ref="Y1156" display="https://drive.google.com/uc?export=view&amp;id=1DahPExhIF6iqK5-ftiAVwq9CGfTBMOOF" r:id="rId3558"/>
    <hyperlink xmlns:r="http://schemas.openxmlformats.org/officeDocument/2006/relationships" ref="E1157" display="http://www.qubs.toys/" r:id="rId3559"/>
    <hyperlink xmlns:r="http://schemas.openxmlformats.org/officeDocument/2006/relationships" ref="Y1157" display="https://drive.google.com/uc?export=view&amp;id=18G2xDI5-8mV4ir5tfLVViKDuERCKjdF7" r:id="rId3560"/>
    <hyperlink xmlns:r="http://schemas.openxmlformats.org/officeDocument/2006/relationships" ref="E1158" display="https://re-l.network/" r:id="rId3561"/>
    <hyperlink xmlns:r="http://schemas.openxmlformats.org/officeDocument/2006/relationships" ref="Y1158" display="https://drive.google.com/uc?export=view&amp;id=1Rl0kN3f3VuTBY5fY2ahciCgSG7vkgaaP" r:id="rId3562"/>
    <hyperlink xmlns:r="http://schemas.openxmlformats.org/officeDocument/2006/relationships" ref="E1159" display="https://www.skolengo.com/en/" r:id="rId3563"/>
    <hyperlink xmlns:r="http://schemas.openxmlformats.org/officeDocument/2006/relationships" ref="S1159" display="https://twitter.com/skolengo" r:id="rId3564"/>
    <hyperlink xmlns:r="http://schemas.openxmlformats.org/officeDocument/2006/relationships" ref="Y1159" display="https://drive.google.com/uc?export=view&amp;id=1Fr4xey2vcvAVdqnR9bN2y88ZENlS6Spc" r:id="rId3565"/>
    <hyperlink xmlns:r="http://schemas.openxmlformats.org/officeDocument/2006/relationships" ref="E1160" display="https://skolon.com/" r:id="rId3566"/>
    <hyperlink xmlns:r="http://schemas.openxmlformats.org/officeDocument/2006/relationships" ref="R1160" display="https://www.instagram.com/skolonsverige/?hl=en" r:id="rId3567"/>
    <hyperlink xmlns:r="http://schemas.openxmlformats.org/officeDocument/2006/relationships" ref="T1160" display="https://www.linkedin.com/company/skolon/mycompany/" r:id="rId3568"/>
    <hyperlink xmlns:r="http://schemas.openxmlformats.org/officeDocument/2006/relationships" ref="Y1160" display="https://drive.google.com/uc?export=view&amp;id=1rgxspV0aJxBpygfV6i_6NJHZN9vRBHEU" r:id="rId3569"/>
    <hyperlink xmlns:r="http://schemas.openxmlformats.org/officeDocument/2006/relationships" ref="E1161" display="https://assessmentq.com/?lang=en" r:id="rId3570"/>
    <hyperlink xmlns:r="http://schemas.openxmlformats.org/officeDocument/2006/relationships" ref="Y1161" display="https://drive.google.com/uc?export=view&amp;id=1JROZxNsm7AVJVqIsOsqAzx0nd97mn14k" r:id="rId3571"/>
    <hyperlink xmlns:r="http://schemas.openxmlformats.org/officeDocument/2006/relationships" ref="E1162" display="https://themis.eu/" r:id="rId3572"/>
    <hyperlink xmlns:r="http://schemas.openxmlformats.org/officeDocument/2006/relationships" ref="Y1162" display="https://drive.google.com/uc?export=view&amp;id=1nlVzrTtyGmWy6H-gb8Jp30AwQQWArBiA" r:id="rId3573"/>
    <hyperlink xmlns:r="http://schemas.openxmlformats.org/officeDocument/2006/relationships" ref="E1163" display="http://www.vividbooks.com/" r:id="rId3574"/>
    <hyperlink xmlns:r="http://schemas.openxmlformats.org/officeDocument/2006/relationships" ref="Y1163" display="https://drive.google.com/uc?export=view&amp;id=19kCFsDgYXiSDplXrz0QLBPeOW8Fm6ulA" r:id="rId3575"/>
    <hyperlink xmlns:r="http://schemas.openxmlformats.org/officeDocument/2006/relationships" ref="E1164" display="https://altrifiumi.com/" r:id="rId3576"/>
    <hyperlink xmlns:r="http://schemas.openxmlformats.org/officeDocument/2006/relationships" ref="Y1164" display="https://drive.google.com/uc?export=view&amp;id=1eVPKvX4rFBGdpsV_nVFgQLD7-IW_MxbQ" r:id="rId3577"/>
    <hyperlink xmlns:r="http://schemas.openxmlformats.org/officeDocument/2006/relationships" ref="E1165" display="http://simbound.com/" r:id="rId3578"/>
    <hyperlink xmlns:r="http://schemas.openxmlformats.org/officeDocument/2006/relationships" ref="Y1165" display="https://drive.google.com/uc?export=view&amp;id=1s4OZ7a7GYnpUhRSEZzRrEsNlrBbOoumR" r:id="rId3579"/>
    <hyperlink xmlns:r="http://schemas.openxmlformats.org/officeDocument/2006/relationships" ref="E1166" display="https://www.astrideducation.com/" r:id="rId3580"/>
    <hyperlink xmlns:r="http://schemas.openxmlformats.org/officeDocument/2006/relationships" ref="R1166" display="https://www.instagram.com/astrideducation/" r:id="rId3581"/>
    <hyperlink xmlns:r="http://schemas.openxmlformats.org/officeDocument/2006/relationships" ref="S1166" display="https://twitter.com/astrideducation" r:id="rId3582"/>
    <hyperlink xmlns:r="http://schemas.openxmlformats.org/officeDocument/2006/relationships" ref="T1166" display="https://www.linkedin.com/company/astrid-education" r:id="rId3583"/>
    <hyperlink xmlns:r="http://schemas.openxmlformats.org/officeDocument/2006/relationships" ref="Y1166" display="https://drive.google.com/uc?export=view&amp;id=13lP_0bfeg62-5ZCqTLTk3wnzQv1XKwBw" r:id="rId3584"/>
    <hyperlink xmlns:r="http://schemas.openxmlformats.org/officeDocument/2006/relationships" ref="E1167" display="http://aulab.it/" r:id="rId3585"/>
    <hyperlink xmlns:r="http://schemas.openxmlformats.org/officeDocument/2006/relationships" ref="E1168" display="https://www.bcdiploma.com/" r:id="rId3586"/>
    <hyperlink xmlns:r="http://schemas.openxmlformats.org/officeDocument/2006/relationships" ref="S1168" display="https://twitter.com/BCDiploma" r:id="rId3587"/>
    <hyperlink xmlns:r="http://schemas.openxmlformats.org/officeDocument/2006/relationships" ref="T1168" display="https://www.linkedin.com/company/blockchaincertifieddata" r:id="rId3588"/>
    <hyperlink xmlns:r="http://schemas.openxmlformats.org/officeDocument/2006/relationships" ref="Y1168" display="https://drive.google.com/uc?export=view&amp;id=1jgF-5lSUcH-u8WXqMzbtjbOqyoKtdIns" r:id="rId3589"/>
    <hyperlink xmlns:r="http://schemas.openxmlformats.org/officeDocument/2006/relationships" ref="E1169" display="https://bizplay.ee/" r:id="rId3590"/>
    <hyperlink xmlns:r="http://schemas.openxmlformats.org/officeDocument/2006/relationships" ref="T1169" display="https://www.linkedin.com/company/bizplay-o%C3%BC" r:id="rId3591"/>
    <hyperlink xmlns:r="http://schemas.openxmlformats.org/officeDocument/2006/relationships" ref="Y1169" display="https://drive.google.com/uc?export=view&amp;id=1JlPAvMlMYFYX5A0Bwxvo2YEnp47hgQfy" r:id="rId3592"/>
    <hyperlink xmlns:r="http://schemas.openxmlformats.org/officeDocument/2006/relationships" ref="E1170" display="https://www.dokki.app/" r:id="rId3593"/>
    <hyperlink xmlns:r="http://schemas.openxmlformats.org/officeDocument/2006/relationships" ref="R1170" display="https://www.instagram.com/dokkiapp" r:id="rId3594"/>
    <hyperlink xmlns:r="http://schemas.openxmlformats.org/officeDocument/2006/relationships" ref="S1170" display="https://twitter.com/dokkiapp" r:id="rId3595"/>
    <hyperlink xmlns:r="http://schemas.openxmlformats.org/officeDocument/2006/relationships" ref="T1170" display="https://www.linkedin.com/company/dokki" r:id="rId3596"/>
    <hyperlink xmlns:r="http://schemas.openxmlformats.org/officeDocument/2006/relationships" ref="Y1170" display="https://drive.google.com/uc?export=view&amp;id=1uFPKRU_mc0lOZWYzTkgtx16m4eGYXeF4" r:id="rId3597"/>
    <hyperlink xmlns:r="http://schemas.openxmlformats.org/officeDocument/2006/relationships" ref="E1171" display="https://www.dynseo.com/en" r:id="rId3598"/>
    <hyperlink xmlns:r="http://schemas.openxmlformats.org/officeDocument/2006/relationships" ref="R1171" display="https://www.instagram.com/coco_educationalgames/" r:id="rId3599"/>
    <hyperlink xmlns:r="http://schemas.openxmlformats.org/officeDocument/2006/relationships" ref="T1171" display="https://www.linkedin.com/company/dynseo" r:id="rId3600"/>
    <hyperlink xmlns:r="http://schemas.openxmlformats.org/officeDocument/2006/relationships" ref="Y1171" display="https://drive.google.com/uc?export=view&amp;id=1bV1NLlGEtI69C60Koyh8oEFV7ei_SYTK" r:id="rId3601"/>
    <hyperlink xmlns:r="http://schemas.openxmlformats.org/officeDocument/2006/relationships" ref="E1172" display="http://www.e-pitinglish.com/" r:id="rId3602"/>
    <hyperlink xmlns:r="http://schemas.openxmlformats.org/officeDocument/2006/relationships" ref="Y1172" display="https://drive.google.com/uc?export=view&amp;id=1z3_EfMU529IcyDjE6sICyEfO1KjnSH0C" r:id="rId3603"/>
    <hyperlink xmlns:r="http://schemas.openxmlformats.org/officeDocument/2006/relationships" ref="E1173" display="http://www.edukare.fr/" r:id="rId3604"/>
    <hyperlink xmlns:r="http://schemas.openxmlformats.org/officeDocument/2006/relationships" ref="Y1173" display="https://drive.google.com/uc?export=view&amp;id=1ZV-gB3H0L106StF9dx07y077PVx0mQlJ" r:id="rId3605"/>
    <hyperlink xmlns:r="http://schemas.openxmlformats.org/officeDocument/2006/relationships" ref="E1174" display="https://www.edumundo.com/home" r:id="rId3606"/>
    <hyperlink xmlns:r="http://schemas.openxmlformats.org/officeDocument/2006/relationships" ref="Y1174" display="https://drive.google.com/uc?export=view&amp;id=1_6JWyTz8R897Uo0FOjgZGG1X_jgpfLiY" r:id="rId3607"/>
    <hyperlink xmlns:r="http://schemas.openxmlformats.org/officeDocument/2006/relationships" ref="E1175" display="http://www.evolutiel.com/" r:id="rId3608"/>
    <hyperlink xmlns:r="http://schemas.openxmlformats.org/officeDocument/2006/relationships" ref="Y1175" display="https://drive.google.com/uc?export=view&amp;id=1h7QWrA0dCXYIurTvpeD5ViaF6R_-9k8A" r:id="rId3609"/>
    <hyperlink xmlns:r="http://schemas.openxmlformats.org/officeDocument/2006/relationships" ref="E1176" display="http://www.golearn.dk/" r:id="rId3610"/>
    <hyperlink xmlns:r="http://schemas.openxmlformats.org/officeDocument/2006/relationships" ref="Y1176" display="https://drive.google.com/uc?export=view&amp;id=1cyhB5pk1v9YEuEI-IKFPFWyNGDfTmH4L" r:id="rId3611"/>
    <hyperlink xmlns:r="http://schemas.openxmlformats.org/officeDocument/2006/relationships" ref="E1177" display="http://howdou.net/" r:id="rId3612"/>
    <hyperlink xmlns:r="http://schemas.openxmlformats.org/officeDocument/2006/relationships" ref="T1177" display="https://www.linkedin.com/company/evalve/" r:id="rId3613"/>
    <hyperlink xmlns:r="http://schemas.openxmlformats.org/officeDocument/2006/relationships" ref="Y1177" display="https://drive.google.com/uc?export=view&amp;id=1Fdo-da9NJNiDtDsNWYwwb2D_0_qirjCC" r:id="rId3614"/>
    <hyperlink xmlns:r="http://schemas.openxmlformats.org/officeDocument/2006/relationships" ref="E1178" display="http://www.ist.com/" r:id="rId3615"/>
    <hyperlink xmlns:r="http://schemas.openxmlformats.org/officeDocument/2006/relationships" ref="T1178" display="https://www.linkedin.com/company/ist-sverige-ab/" r:id="rId3616"/>
    <hyperlink xmlns:r="http://schemas.openxmlformats.org/officeDocument/2006/relationships" ref="Y1178" display="https://drive.google.com/uc?export=view&amp;id=1k2TYA4Q6roUCv7_UjExGyhoYLs24gVI1" r:id="rId3617"/>
    <hyperlink xmlns:r="http://schemas.openxmlformats.org/officeDocument/2006/relationships" ref="E1179" display="https://www.kalyzee.com/en/" r:id="rId3618"/>
    <hyperlink xmlns:r="http://schemas.openxmlformats.org/officeDocument/2006/relationships" ref="S1179" display="https://twitter.com/Kalyzee" r:id="rId3619"/>
    <hyperlink xmlns:r="http://schemas.openxmlformats.org/officeDocument/2006/relationships" ref="T1179" display="https://www.linkedin.com/company/kalyz-e" r:id="rId3620"/>
    <hyperlink xmlns:r="http://schemas.openxmlformats.org/officeDocument/2006/relationships" ref="Y1179" display="https://drive.google.com/uc?export=view&amp;id=1B0Hi93eIeepsnwKKq_10us1Gsf78lf7W" r:id="rId3621"/>
    <hyperlink xmlns:r="http://schemas.openxmlformats.org/officeDocument/2006/relationships" ref="E1180" display="http://www.kumullus.com/" r:id="rId3622"/>
    <hyperlink xmlns:r="http://schemas.openxmlformats.org/officeDocument/2006/relationships" ref="Y1180" display="https://drive.google.com/uc?export=view&amp;id=1U-EDrwZld5aZcySe-kRXjQmXTy9b9F3s" r:id="rId3623"/>
    <hyperlink xmlns:r="http://schemas.openxmlformats.org/officeDocument/2006/relationships" ref="E1181" display="https://language-clubhouse.com/" r:id="rId3624"/>
    <hyperlink xmlns:r="http://schemas.openxmlformats.org/officeDocument/2006/relationships" ref="R1181" display="https://www.instagram.com/language_clubhouse/" r:id="rId3625"/>
    <hyperlink xmlns:r="http://schemas.openxmlformats.org/officeDocument/2006/relationships" ref="T1181" display="https://www.linkedin.com/company/language-clubhouse/?viewAsMember=true" r:id="rId3626"/>
    <hyperlink xmlns:r="http://schemas.openxmlformats.org/officeDocument/2006/relationships" ref="Y1181" display="https://drive.google.com/uc?export=view&amp;id=17tPygsG-MVINQNzYMvlgjJQcKDCybL7L" r:id="rId3627"/>
    <hyperlink xmlns:r="http://schemas.openxmlformats.org/officeDocument/2006/relationships" ref="E1182" display="https://www.facebook.com/profile.php?id=100075119155258" r:id="rId3628"/>
    <hyperlink xmlns:r="http://schemas.openxmlformats.org/officeDocument/2006/relationships" ref="Y1182" display="https://drive.google.com/uc?export=view&amp;id=1gYiwJlyjv64UmVy316dVNgGXmJnLuY9S" r:id="rId3629"/>
    <hyperlink xmlns:r="http://schemas.openxmlformats.org/officeDocument/2006/relationships" ref="E1183" display="https://marbotic.com/" r:id="rId3630"/>
    <hyperlink xmlns:r="http://schemas.openxmlformats.org/officeDocument/2006/relationships" ref="R1183" display="https://www.instagram.com/marbotic/" r:id="rId3631"/>
    <hyperlink xmlns:r="http://schemas.openxmlformats.org/officeDocument/2006/relationships" ref="S1183" display="https://twitter.com/marbotic" r:id="rId3632"/>
    <hyperlink xmlns:r="http://schemas.openxmlformats.org/officeDocument/2006/relationships" ref="T1183" display="https://www.linkedin.com/company/marbotic" r:id="rId3633"/>
    <hyperlink xmlns:r="http://schemas.openxmlformats.org/officeDocument/2006/relationships" ref="Y1183" display="https://drive.google.com/uc?export=view&amp;id=1UlKnqcBY5rAjnfV7bY9JsHDlVtEEU1zX" r:id="rId3634"/>
    <hyperlink xmlns:r="http://schemas.openxmlformats.org/officeDocument/2006/relationships" ref="E1184" display="https://www.mathquizily.com/" r:id="rId3635"/>
    <hyperlink xmlns:r="http://schemas.openxmlformats.org/officeDocument/2006/relationships" ref="Y1184" display="https://drive.google.com/uc?export=view&amp;id=1JaM1pBKfA-ru9EnLsTTnFNh-InnHjsLO" r:id="rId3636"/>
    <hyperlink xmlns:r="http://schemas.openxmlformats.org/officeDocument/2006/relationships" ref="E1185" display="http://www.myjobglasses.com/" r:id="rId3637"/>
    <hyperlink xmlns:r="http://schemas.openxmlformats.org/officeDocument/2006/relationships" ref="R1185" display="https://www.instagram.com/myjobglasses/" r:id="rId3638"/>
    <hyperlink xmlns:r="http://schemas.openxmlformats.org/officeDocument/2006/relationships" ref="S1185" display="https://twitter.com/myjobglasses" r:id="rId3639"/>
    <hyperlink xmlns:r="http://schemas.openxmlformats.org/officeDocument/2006/relationships" ref="T1185" display="https://www.linkedin.com/company/7585486" r:id="rId3640"/>
    <hyperlink xmlns:r="http://schemas.openxmlformats.org/officeDocument/2006/relationships" ref="E1186" display="https://niryo.com/" r:id="rId3641"/>
    <hyperlink xmlns:r="http://schemas.openxmlformats.org/officeDocument/2006/relationships" ref="Y1186" display="https://drive.google.com/uc?export=view&amp;id=143_HP-7vU8twA5aAtNgJ9f6-tE0ifHJ_" r:id="rId3642"/>
    <hyperlink xmlns:r="http://schemas.openxmlformats.org/officeDocument/2006/relationships" ref="E1187" display="https://www.nxus.eu/" r:id="rId3643"/>
    <hyperlink xmlns:r="http://schemas.openxmlformats.org/officeDocument/2006/relationships" ref="Y1187" display="https://drive.google.com/uc?export=view&amp;id=1ln8KY8MxUUdo2gxLavfnA-a_BfCWOyhY" r:id="rId3644"/>
    <hyperlink xmlns:r="http://schemas.openxmlformats.org/officeDocument/2006/relationships" ref="E1188" display="https://prepmyfuture.com/fr" r:id="rId3645"/>
    <hyperlink xmlns:r="http://schemas.openxmlformats.org/officeDocument/2006/relationships" ref="R1188" display="https://www.instagram.com/prepmyfuture/" r:id="rId3646"/>
    <hyperlink xmlns:r="http://schemas.openxmlformats.org/officeDocument/2006/relationships" ref="T1188" display="https://www.linkedin.com/company/prepmyfuture/?viewAsMember=true" r:id="rId3647"/>
    <hyperlink xmlns:r="http://schemas.openxmlformats.org/officeDocument/2006/relationships" ref="Y1188" display="https://drive.google.com/uc?export=view&amp;id=1zC0a8h5oU_oAvnI9CmYEKRcbxJlw2IZx" r:id="rId3648"/>
    <hyperlink xmlns:r="http://schemas.openxmlformats.org/officeDocument/2006/relationships" ref="E1189" display="https://www.simskills.io/" r:id="rId3649"/>
    <hyperlink xmlns:r="http://schemas.openxmlformats.org/officeDocument/2006/relationships" ref="Y1189" display="https://drive.google.com/uc?export=view&amp;id=14mzZMCXdARQ978N9OXmW7fBZB7xirp7m" r:id="rId3650"/>
    <hyperlink xmlns:r="http://schemas.openxmlformats.org/officeDocument/2006/relationships" ref="E1190" display="https://www.watura.fr/" r:id="rId3651"/>
    <hyperlink xmlns:r="http://schemas.openxmlformats.org/officeDocument/2006/relationships" ref="Y1190" display="https://drive.google.com/uc?export=view&amp;id=1U6G9KqTp9IkN7UHVWcSl4lOKpg8syK0d" r:id="rId3652"/>
    <hyperlink xmlns:r="http://schemas.openxmlformats.org/officeDocument/2006/relationships" ref="E1191" display="http://www.cleverbooks.eu/" r:id="rId3653"/>
    <hyperlink xmlns:r="http://schemas.openxmlformats.org/officeDocument/2006/relationships" ref="Y1191" display="https://drive.google.com/uc?export=view&amp;id=1Iqh7csED_6gKOfTTjJqV4nq6QiJ4G7ib" r:id="rId3654"/>
    <hyperlink xmlns:r="http://schemas.openxmlformats.org/officeDocument/2006/relationships" ref="E1192" display="https://www.eurekasimulations.com/" r:id="rId3655"/>
    <hyperlink xmlns:r="http://schemas.openxmlformats.org/officeDocument/2006/relationships" ref="Y1192" display="https://drive.google.com/uc?export=view&amp;id=15Ro0uAN97JFc7ZXn7bL6ozpgXvZHZF0o" r:id="rId3656"/>
    <hyperlink xmlns:r="http://schemas.openxmlformats.org/officeDocument/2006/relationships" ref="E1193" display="http://www.flexudy.com/" r:id="rId3657"/>
    <hyperlink xmlns:r="http://schemas.openxmlformats.org/officeDocument/2006/relationships" ref="Y1193" display="https://drive.google.com/uc?export=view&amp;id=1nvH_MPgfOj__RaxgKqCDTVGk5CZcqRY_" r:id="rId3658"/>
    <hyperlink xmlns:r="http://schemas.openxmlformats.org/officeDocument/2006/relationships" ref="E1194" display="https://www.lewagon.com/" r:id="rId3659"/>
    <hyperlink xmlns:r="http://schemas.openxmlformats.org/officeDocument/2006/relationships" ref="R1194" display="https://www.instagram.com/lewagonparis" r:id="rId3660"/>
    <hyperlink xmlns:r="http://schemas.openxmlformats.org/officeDocument/2006/relationships" ref="S1194" display="https://twitter.com/Lewagonparis/" r:id="rId3661"/>
    <hyperlink xmlns:r="http://schemas.openxmlformats.org/officeDocument/2006/relationships" ref="T1194" display="https://www.linkedin.com/school/le-wagon/" r:id="rId3662"/>
    <hyperlink xmlns:r="http://schemas.openxmlformats.org/officeDocument/2006/relationships" ref="Y1194" display="https://drive.google.com/uc?export=view&amp;id=1FCUNWhvhtjLFtJG5N46qPsg0vZq_gRWo" r:id="rId3663"/>
    <hyperlink xmlns:r="http://schemas.openxmlformats.org/officeDocument/2006/relationships" ref="E1195" display="https://lesapprentisdev.fr/" r:id="rId3664"/>
    <hyperlink xmlns:r="http://schemas.openxmlformats.org/officeDocument/2006/relationships" ref="Y1195" display="https://drive.google.com/uc?export=view&amp;id=1TqAQTQvH2Js4KTC0QHHkalZl88rqt0lx" r:id="rId3665"/>
    <hyperlink xmlns:r="http://schemas.openxmlformats.org/officeDocument/2006/relationships" ref="E1196" display="http://www.miralearn.com/" r:id="rId3666"/>
    <hyperlink xmlns:r="http://schemas.openxmlformats.org/officeDocument/2006/relationships" ref="R1196" display="https://www.instagram.com/miralearn_com/" r:id="rId3667"/>
    <hyperlink xmlns:r="http://schemas.openxmlformats.org/officeDocument/2006/relationships" ref="T1196" display="https://www.linkedin.com/company/miralearn" r:id="rId3668"/>
    <hyperlink xmlns:r="http://schemas.openxmlformats.org/officeDocument/2006/relationships" ref="Y1196" display="https://drive.google.com/uc?export=view&amp;id=1SHUzG4dkFvGpN2PyKVU1mFc6kJhwxiaG" r:id="rId3669"/>
    <hyperlink xmlns:r="http://schemas.openxmlformats.org/officeDocument/2006/relationships" ref="D1197" display="http://profe.com/" r:id="rId3670"/>
    <hyperlink xmlns:r="http://schemas.openxmlformats.org/officeDocument/2006/relationships" ref="E1197" display="https://www.profe.com/" r:id="rId3671"/>
    <hyperlink xmlns:r="http://schemas.openxmlformats.org/officeDocument/2006/relationships" ref="Y1197" display="https://drive.google.com/uc?export=view&amp;id=1PlOcLgjfLgqiiVU5ipq-wKU60Eax-X_d" r:id="rId3672"/>
    <hyperlink xmlns:r="http://schemas.openxmlformats.org/officeDocument/2006/relationships" ref="E1198" display="https://www.aiedus.io/" r:id="rId3673"/>
    <hyperlink xmlns:r="http://schemas.openxmlformats.org/officeDocument/2006/relationships" ref="Y1198" display="https://drive.google.com/uc?export=view&amp;id=1BqR_ddLLbHHt7J5yZynQHOjo0OB5Yy3Z" r:id="rId3674"/>
    <hyperlink xmlns:r="http://schemas.openxmlformats.org/officeDocument/2006/relationships" ref="E1199" display="https://www.linguineo.com/" r:id="rId3675"/>
    <hyperlink xmlns:r="http://schemas.openxmlformats.org/officeDocument/2006/relationships" ref="Y1199" display="https://drive.google.com/uc?export=view&amp;id=1i8f0e2ouKQNHCpIh8bVuuP6eByYFJ15g" r:id="rId3676"/>
    <hyperlink xmlns:r="http://schemas.openxmlformats.org/officeDocument/2006/relationships" ref="E1200" display="https://www.pictoescritura.com/" r:id="rId3677"/>
    <hyperlink xmlns:r="http://schemas.openxmlformats.org/officeDocument/2006/relationships" ref="E1201" display="http://www.alinebetter.com/" r:id="rId3678"/>
    <hyperlink xmlns:r="http://schemas.openxmlformats.org/officeDocument/2006/relationships" ref="Y1201" display="https://drive.google.com/uc?export=view&amp;id=17JNUsn2pNnxIwBAEa9Gd3ya6XKjcb65c" r:id="rId3679"/>
    <hyperlink xmlns:r="http://schemas.openxmlformats.org/officeDocument/2006/relationships" ref="E1202" display="https://www.becquerel.es/" r:id="rId3680"/>
    <hyperlink xmlns:r="http://schemas.openxmlformats.org/officeDocument/2006/relationships" ref="Y1202" display="https://drive.google.com/uc?export=view&amp;id=1xpw2qFPjf_Onmwkpf7LPSKbZi-Lrz61r" r:id="rId3681"/>
    <hyperlink xmlns:r="http://schemas.openxmlformats.org/officeDocument/2006/relationships" ref="E1203" display="http://bloomsights.com/" r:id="rId3682"/>
    <hyperlink xmlns:r="http://schemas.openxmlformats.org/officeDocument/2006/relationships" ref="Y1203" display="https://drive.google.com/uc?export=view&amp;id=1r8WZSHmZGHV4m-NRrfGiGMQlnjMALDpK" r:id="rId3683"/>
    <hyperlink xmlns:r="http://schemas.openxmlformats.org/officeDocument/2006/relationships" ref="E1204" display="https://www.clio.me/dk/" r:id="rId3684"/>
    <hyperlink xmlns:r="http://schemas.openxmlformats.org/officeDocument/2006/relationships" ref="T1204" display="https://www.linkedin.com/company/clio-me/mycompany/verification/" r:id="rId3685"/>
    <hyperlink xmlns:r="http://schemas.openxmlformats.org/officeDocument/2006/relationships" ref="Y1204" display="https://drive.google.com/uc?export=view&amp;id=1Ln_pHCAuCUN3KMvvObRYs0eH2z3PyQee" r:id="rId3686"/>
    <hyperlink xmlns:r="http://schemas.openxmlformats.org/officeDocument/2006/relationships" ref="E1205" display="http://www.dotbite.at/" r:id="rId3687"/>
    <hyperlink xmlns:r="http://schemas.openxmlformats.org/officeDocument/2006/relationships" ref="Y1205" display="https://drive.google.com/uc?export=view&amp;id=14hbTScBNlVPFVPqIi1M61DMnbJdsZ4iN" r:id="rId3688"/>
    <hyperlink xmlns:r="http://schemas.openxmlformats.org/officeDocument/2006/relationships" ref="E1206" display="https://www.educaria.com/" r:id="rId3689"/>
    <hyperlink xmlns:r="http://schemas.openxmlformats.org/officeDocument/2006/relationships" ref="T1206" display="https://www.linkedin.com/company/educaria-euro/" r:id="rId3690"/>
    <hyperlink xmlns:r="http://schemas.openxmlformats.org/officeDocument/2006/relationships" ref="Y1206" display="https://drive.google.com/uc?export=view&amp;id=1RXUF60jwgI4jSpZ-ixCr6JN1Fz5fPwtU" r:id="rId3691"/>
    <hyperlink xmlns:r="http://schemas.openxmlformats.org/officeDocument/2006/relationships" ref="E1207" display="https://www.educlever.com/" r:id="rId3692"/>
    <hyperlink xmlns:r="http://schemas.openxmlformats.org/officeDocument/2006/relationships" ref="S1207" display="https://twitter.com/educlever" r:id="rId3693"/>
    <hyperlink xmlns:r="http://schemas.openxmlformats.org/officeDocument/2006/relationships" ref="T1207" display="https://www.linkedin.com/company/educlever" r:id="rId3694"/>
    <hyperlink xmlns:r="http://schemas.openxmlformats.org/officeDocument/2006/relationships" ref="Y1207" display="https://drive.google.com/uc?export=view&amp;id=16yB5zNqchKLEqwXPYbc0f2S2H4h0-ZeR" r:id="rId3695"/>
    <hyperlink xmlns:r="http://schemas.openxmlformats.org/officeDocument/2006/relationships" ref="E1208" display="https://www.funtechrocket.education/" r:id="rId3696"/>
    <hyperlink xmlns:r="http://schemas.openxmlformats.org/officeDocument/2006/relationships" ref="Y1208" display="https://drive.google.com/uc?export=view&amp;id=1DsfRSls4Rt0Dt0T8YISohN3XRJS54XYC" r:id="rId3697"/>
    <hyperlink xmlns:r="http://schemas.openxmlformats.org/officeDocument/2006/relationships" ref="E1209" display="http://www.geds.eu/" r:id="rId3698"/>
    <hyperlink xmlns:r="http://schemas.openxmlformats.org/officeDocument/2006/relationships" ref="Y1209" display="https://drive.google.com/uc?export=view&amp;id=18ei3Uow6vWmoq8TIdUP7L33Y2hA6SXWB" r:id="rId3699"/>
    <hyperlink xmlns:r="http://schemas.openxmlformats.org/officeDocument/2006/relationships" ref="E1210" display="https://www.gleechi.com/" r:id="rId3700"/>
    <hyperlink xmlns:r="http://schemas.openxmlformats.org/officeDocument/2006/relationships" ref="T1210" display="https://www.linkedin.com/company/gleechi" r:id="rId3701"/>
    <hyperlink xmlns:r="http://schemas.openxmlformats.org/officeDocument/2006/relationships" ref="Y1210" display="https://drive.google.com/uc?export=view&amp;id=1efK9du1CESB3KJK_qp7Dm3BAKQy7D9iY" r:id="rId3702"/>
    <hyperlink xmlns:r="http://schemas.openxmlformats.org/officeDocument/2006/relationships" ref="E1211" display="https://www.instructure.com/en-gb" r:id="rId3703"/>
    <hyperlink xmlns:r="http://schemas.openxmlformats.org/officeDocument/2006/relationships" ref="Y1211" display="https://drive.google.com/uc?export=view&amp;id=1A6rcLa-VqlOz2nEshbdpXB4xM64g7zU8" r:id="rId3704"/>
    <hyperlink xmlns:r="http://schemas.openxmlformats.org/officeDocument/2006/relationships" ref="Y1212" display="https://drive.google.com/uc?export=view&amp;id=1H1umrveXjDwdmFwqudd8y248oRSi-3hm" r:id="rId3705"/>
    <hyperlink xmlns:r="http://schemas.openxmlformats.org/officeDocument/2006/relationships" ref="E1213" display="https://mima-campus.com/" r:id="rId3706"/>
    <hyperlink xmlns:r="http://schemas.openxmlformats.org/officeDocument/2006/relationships" ref="T1213" display="https://www.linkedin.com/company/mima-campus" r:id="rId3707"/>
    <hyperlink xmlns:r="http://schemas.openxmlformats.org/officeDocument/2006/relationships" ref="Y1213" display="https://drive.google.com/uc?export=view&amp;id=1ovsluXIcFcfBK8NChkreSxAX9Kn5FUku" r:id="rId3708"/>
    <hyperlink xmlns:r="http://schemas.openxmlformats.org/officeDocument/2006/relationships" ref="E1214" display="http://www.mootion.fr/" r:id="rId3709"/>
    <hyperlink xmlns:r="http://schemas.openxmlformats.org/officeDocument/2006/relationships" ref="Y1214" display="https://drive.google.com/uc?export=view&amp;id=1XzzKcjRiNkr8eThaUjE3EVkcBpXGLtjY" r:id="rId3710"/>
    <hyperlink xmlns:r="http://schemas.openxmlformats.org/officeDocument/2006/relationships" ref="E1215" display="https://www.sanomautbildning.se/" r:id="rId3711"/>
    <hyperlink xmlns:r="http://schemas.openxmlformats.org/officeDocument/2006/relationships" ref="R1215" display="https://www.instagram.com/sanoma_utbildning/" r:id="rId3712"/>
    <hyperlink xmlns:r="http://schemas.openxmlformats.org/officeDocument/2006/relationships" ref="T1215" display="https://www.linkedin.com/company/sanoma-utbildning/" r:id="rId3713"/>
    <hyperlink xmlns:r="http://schemas.openxmlformats.org/officeDocument/2006/relationships" ref="Y1215" display="https://drive.google.com/uc?export=view&amp;id=1890FeLf1stHnwdtQv2JrgtOz4gJd4SqV" r:id="rId3714"/>
    <hyperlink xmlns:r="http://schemas.openxmlformats.org/officeDocument/2006/relationships" ref="E1216" display="https://teachwithseedling.com/" r:id="rId3715"/>
    <hyperlink xmlns:r="http://schemas.openxmlformats.org/officeDocument/2006/relationships" ref="Y1216" display="https://drive.google.com/uc?export=view&amp;id=1xyOn6ajqpvQVC82irrLTbdhEwIACfv1o" r:id="rId3716"/>
    <hyperlink xmlns:r="http://schemas.openxmlformats.org/officeDocument/2006/relationships" ref="E1217" display="http://simbel.fr/" r:id="rId3717"/>
    <hyperlink xmlns:r="http://schemas.openxmlformats.org/officeDocument/2006/relationships" ref="T1217" display="https://www.linkedin.com/company/71783451/admin/feed/posts/" r:id="rId3718"/>
    <hyperlink xmlns:r="http://schemas.openxmlformats.org/officeDocument/2006/relationships" ref="Y1217" display="https://drive.google.com/uc?export=view&amp;id=14xNPUjN_F1jF6zo9kxdfB9vVwoHbLQ3q" r:id="rId3719"/>
    <hyperlink xmlns:r="http://schemas.openxmlformats.org/officeDocument/2006/relationships" ref="E1218" display="https://www.skolenonline.dk/" r:id="rId3720"/>
    <hyperlink xmlns:r="http://schemas.openxmlformats.org/officeDocument/2006/relationships" ref="R1218" display="https://www.instagram.com/skolenonline/" r:id="rId3721"/>
    <hyperlink xmlns:r="http://schemas.openxmlformats.org/officeDocument/2006/relationships" ref="T1218" display="https://www.linkedin.com/company/skolen-online" r:id="rId3722"/>
    <hyperlink xmlns:r="http://schemas.openxmlformats.org/officeDocument/2006/relationships" ref="Y1218" display="https://drive.google.com/uc?export=view&amp;id=1OQppT-C4ZfD0gsbXuUEBkXLiELaoFvSB" r:id="rId3723"/>
    <hyperlink xmlns:r="http://schemas.openxmlformats.org/officeDocument/2006/relationships" ref="E1219" display="http://www.supermood.com/" r:id="rId3724"/>
    <hyperlink xmlns:r="http://schemas.openxmlformats.org/officeDocument/2006/relationships" ref="Y1219" display="https://drive.google.com/uc?export=view&amp;id=1nOoKGPesbFM76tucOE-aWKXpQ-Z2LyJh" r:id="rId3725"/>
    <hyperlink xmlns:r="http://schemas.openxmlformats.org/officeDocument/2006/relationships" ref="E1220" display="https://www.symbaloo.com/" r:id="rId3726"/>
    <hyperlink xmlns:r="http://schemas.openxmlformats.org/officeDocument/2006/relationships" ref="Y1220" display="https://drive.google.com/uc?export=view&amp;id=1eE--0NXX_cPLmxzHsOLWML-hxE2qYwjt" r:id="rId3727"/>
    <hyperlink xmlns:r="http://schemas.openxmlformats.org/officeDocument/2006/relationships" ref="E1221" display="http://www.wipergaming.com/" r:id="rId3728"/>
    <hyperlink xmlns:r="http://schemas.openxmlformats.org/officeDocument/2006/relationships" ref="Y1221" display="https://drive.google.com/uc?export=view&amp;id=1XgWsF2POgCIcBQLvHykU1qKU3jydWOiS" r:id="rId3729"/>
    <hyperlink xmlns:r="http://schemas.openxmlformats.org/officeDocument/2006/relationships" ref="E1222" display="http://www.33trucs.com/" r:id="rId3730"/>
    <hyperlink xmlns:r="http://schemas.openxmlformats.org/officeDocument/2006/relationships" ref="Y1222" display="https://drive.google.com/uc?export=view&amp;id=1egkE2tJl_FZPJDXSWvnYCBZYfyjGhD6C" r:id="rId3731"/>
    <hyperlink xmlns:r="http://schemas.openxmlformats.org/officeDocument/2006/relationships" ref="E1223" display="http://www.aprendicesvisuales.com/" r:id="rId3732"/>
    <hyperlink xmlns:r="http://schemas.openxmlformats.org/officeDocument/2006/relationships" ref="Y1223" display="https://drive.google.com/uc?export=view&amp;id=17s7pCJkdQN8ia8fN46zfgiiSqE0a-iLy" r:id="rId3733"/>
    <hyperlink xmlns:r="http://schemas.openxmlformats.org/officeDocument/2006/relationships" ref="E1224" display="https://atlasprimer.com/" r:id="rId3734"/>
    <hyperlink xmlns:r="http://schemas.openxmlformats.org/officeDocument/2006/relationships" ref="Y1224" display="https://drive.google.com/uc?export=view&amp;id=1UowCD2-3pfVbNsDLoSA1WJGYLH00jHJj" r:id="rId3735"/>
    <hyperlink xmlns:r="http://schemas.openxmlformats.org/officeDocument/2006/relationships" ref="E1225" display="https://scottiego.com/en/" r:id="rId3736"/>
    <hyperlink xmlns:r="http://schemas.openxmlformats.org/officeDocument/2006/relationships" ref="T1225" display="https://www.linkedin.com/company/becreo-technologies/mycompany/" r:id="rId3737"/>
    <hyperlink xmlns:r="http://schemas.openxmlformats.org/officeDocument/2006/relationships" ref="Y1225" display="https://drive.google.com/uc?export=view&amp;id=1NKCYYOFUTViJyTZPcB0rre6WXOm6THFd" r:id="rId3738"/>
    <hyperlink xmlns:r="http://schemas.openxmlformats.org/officeDocument/2006/relationships" ref="E1226" display="https://caira.io/" r:id="rId3739"/>
    <hyperlink xmlns:r="http://schemas.openxmlformats.org/officeDocument/2006/relationships" ref="Y1226" display="https://drive.google.com/uc?export=view&amp;id=1sfr5Y0nH1hvxkczEjzC9mfGbtU-m5swr" r:id="rId3740"/>
    <hyperlink xmlns:r="http://schemas.openxmlformats.org/officeDocument/2006/relationships" ref="E1227" display="https://www.coorpacademy.com/" r:id="rId3741"/>
    <hyperlink xmlns:r="http://schemas.openxmlformats.org/officeDocument/2006/relationships" ref="Y1227" display="https://drive.google.com/uc?export=view&amp;id=1U7quaYZAC0Qu15iU_FwQd7QtjocSjYli" r:id="rId3742"/>
    <hyperlink xmlns:r="http://schemas.openxmlformats.org/officeDocument/2006/relationships" ref="E1228" display="https://dccs-edu.at/" r:id="rId3743"/>
    <hyperlink xmlns:r="http://schemas.openxmlformats.org/officeDocument/2006/relationships" ref="Y1228" display="https://drive.google.com/uc?export=view&amp;id=1BPQztl38z9iZDNXwiQiL_pFQhtSWKzX2" r:id="rId3744"/>
    <hyperlink xmlns:r="http://schemas.openxmlformats.org/officeDocument/2006/relationships" ref="E1229" display="http://www.dugga.com/" r:id="rId3745"/>
    <hyperlink xmlns:r="http://schemas.openxmlformats.org/officeDocument/2006/relationships" ref="R1229" display="https://www.instagram.com/dugga.assessment/" r:id="rId3746"/>
    <hyperlink xmlns:r="http://schemas.openxmlformats.org/officeDocument/2006/relationships" ref="S1229" display="https://twitter.com/DuggaAssessment" r:id="rId3747"/>
    <hyperlink xmlns:r="http://schemas.openxmlformats.org/officeDocument/2006/relationships" ref="T1229" display="https://www.linkedin.com/company/dugga-assessment/" r:id="rId3748"/>
    <hyperlink xmlns:r="http://schemas.openxmlformats.org/officeDocument/2006/relationships" ref="Y1229" display="https://drive.google.com/uc?export=view&amp;id=1iiJjMEiwVXUY8LML9w64_PunY1O48wnu" r:id="rId3749"/>
    <hyperlink xmlns:r="http://schemas.openxmlformats.org/officeDocument/2006/relationships" ref="E1230" display="http://www.edunao.com/" r:id="rId3750"/>
    <hyperlink xmlns:r="http://schemas.openxmlformats.org/officeDocument/2006/relationships" ref="S1230" display="https://twitter.com/edunao?lang=fr" r:id="rId3751"/>
    <hyperlink xmlns:r="http://schemas.openxmlformats.org/officeDocument/2006/relationships" ref="T1230" display="https://fr.linkedin.com/company/edunao" r:id="rId3752"/>
    <hyperlink xmlns:r="http://schemas.openxmlformats.org/officeDocument/2006/relationships" ref="Y1230" display="https://drive.google.com/uc?export=view&amp;id=1Go2AHjjJOHYhHuD2bi6SEWNk95FRiJ0X" r:id="rId3753"/>
    <hyperlink xmlns:r="http://schemas.openxmlformats.org/officeDocument/2006/relationships" ref="E1231" display="https://emplab.org/" r:id="rId3754"/>
    <hyperlink xmlns:r="http://schemas.openxmlformats.org/officeDocument/2006/relationships" ref="R1231" display="https://www.instagram.com/accounts/login/?next=/empowermentlab/" r:id="rId3755"/>
    <hyperlink xmlns:r="http://schemas.openxmlformats.org/officeDocument/2006/relationships" ref="T1231" display="https://www.linkedin.com/company/28668673/admin/" r:id="rId3756"/>
    <hyperlink xmlns:r="http://schemas.openxmlformats.org/officeDocument/2006/relationships" ref="Y1231" display="https://drive.google.com/uc?export=view&amp;id=1MjHUoQVGgMvy84uk35oI_tHrWkiRZFnG" r:id="rId3757"/>
    <hyperlink xmlns:r="http://schemas.openxmlformats.org/officeDocument/2006/relationships" ref="E1232" display="http://www.feedtheirminds.com/" r:id="rId3758"/>
    <hyperlink xmlns:r="http://schemas.openxmlformats.org/officeDocument/2006/relationships" ref="R1232" display="https://www.instagram.com/feed_their_minds/" r:id="rId3759"/>
    <hyperlink xmlns:r="http://schemas.openxmlformats.org/officeDocument/2006/relationships" ref="T1232" display="https://www.linkedin.com/company/72175751/admin/" r:id="rId3760"/>
    <hyperlink xmlns:r="http://schemas.openxmlformats.org/officeDocument/2006/relationships" ref="Y1232" display="https://drive.google.com/uc?export=view&amp;id=19nE234U2T_wjywyQ42JQkTheNgpTpvsX" r:id="rId3761"/>
    <hyperlink xmlns:r="http://schemas.openxmlformats.org/officeDocument/2006/relationships" ref="E1233" display="https://www.gapsmoov.com/en/" r:id="rId3762"/>
    <hyperlink xmlns:r="http://schemas.openxmlformats.org/officeDocument/2006/relationships" ref="Y1233" display="https://drive.google.com/uc?export=view&amp;id=1kIND2YSP2zKwNi_tdbuFkZV3fzbxXXa0" r:id="rId3763"/>
    <hyperlink xmlns:r="http://schemas.openxmlformats.org/officeDocument/2006/relationships" ref="E1234" display="https://www.houseofeducation.com/" r:id="rId3764"/>
    <hyperlink xmlns:r="http://schemas.openxmlformats.org/officeDocument/2006/relationships" ref="Y1234" display="https://drive.google.com/uc?export=view&amp;id=1yBF636V4XR0ryJTh_wCVUWRVPOiwBBJR" r:id="rId3765"/>
    <hyperlink xmlns:r="http://schemas.openxmlformats.org/officeDocument/2006/relationships" ref="E1235" display="http://lemonlearning.com/" r:id="rId3766"/>
    <hyperlink xmlns:r="http://schemas.openxmlformats.org/officeDocument/2006/relationships" ref="S1235" display="https://twitter.com/Lemon_Learning" r:id="rId3767"/>
    <hyperlink xmlns:r="http://schemas.openxmlformats.org/officeDocument/2006/relationships" ref="T1235" display="https://www.linkedin.com/company/lemon-learning/" r:id="rId3768"/>
    <hyperlink xmlns:r="http://schemas.openxmlformats.org/officeDocument/2006/relationships" ref="Y1235" display="https://drive.google.com/uc?export=view&amp;id=10HWr1Jn58jCiai9JJaqORe5yTZBW27O-" r:id="rId3769"/>
    <hyperlink xmlns:r="http://schemas.openxmlformats.org/officeDocument/2006/relationships" ref="E1236" display="https://www.ludo-vic.com/" r:id="rId3770"/>
    <hyperlink xmlns:r="http://schemas.openxmlformats.org/officeDocument/2006/relationships" ref="T1236" display="https://www.linkedin.com/in/jack-amberg-23b18512/?originalSubdomain=fr" r:id="rId3771"/>
    <hyperlink xmlns:r="http://schemas.openxmlformats.org/officeDocument/2006/relationships" ref="Y1236" display="https://drive.google.com/uc?export=view&amp;id=1CHGvbFVENSsXDWEsobdzldfsSYQiY-A7" r:id="rId3772"/>
    <hyperlink xmlns:r="http://schemas.openxmlformats.org/officeDocument/2006/relationships" ref="E1237" display="http://memory-path.com/" r:id="rId3773"/>
    <hyperlink xmlns:r="http://schemas.openxmlformats.org/officeDocument/2006/relationships" ref="R1237" display="https://instagram.com/memory__path" r:id="rId3774"/>
    <hyperlink xmlns:r="http://schemas.openxmlformats.org/officeDocument/2006/relationships" ref="S1237" display="https://twitter.com/PathMemory" r:id="rId3775"/>
    <hyperlink xmlns:r="http://schemas.openxmlformats.org/officeDocument/2006/relationships" ref="T1237" display="https://de.linkedin.com/company/memory-path" r:id="rId3776"/>
    <hyperlink xmlns:r="http://schemas.openxmlformats.org/officeDocument/2006/relationships" ref="Y1237" display="https://drive.google.com/uc?export=view&amp;id=1bcSYu_DBFkKTmbgceevdN80txjL3f8rh" r:id="rId3777"/>
    <hyperlink xmlns:r="http://schemas.openxmlformats.org/officeDocument/2006/relationships" ref="E1238" display="http://www.moneymasters.app/" r:id="rId3778"/>
    <hyperlink xmlns:r="http://schemas.openxmlformats.org/officeDocument/2006/relationships" ref="Y1238" display="https://drive.google.com/uc?export=view&amp;id=1UNoWMPXsk3vE9Pt9sOR1lUWD5jCiKpPK" r:id="rId3779"/>
    <hyperlink xmlns:r="http://schemas.openxmlformats.org/officeDocument/2006/relationships" ref="E1239" display="https://www.moominls.com/" r:id="rId3780"/>
    <hyperlink xmlns:r="http://schemas.openxmlformats.org/officeDocument/2006/relationships" ref="R1239" display="https://www.instagram.com/moominls/" r:id="rId3781"/>
    <hyperlink xmlns:r="http://schemas.openxmlformats.org/officeDocument/2006/relationships" ref="S1239" display="https://twitter.com/moominls" r:id="rId3782"/>
    <hyperlink xmlns:r="http://schemas.openxmlformats.org/officeDocument/2006/relationships" ref="T1239" display="https://www.linkedin.com/company/playvation" r:id="rId3783"/>
    <hyperlink xmlns:r="http://schemas.openxmlformats.org/officeDocument/2006/relationships" ref="Y1239" display="https://drive.google.com/uc?export=view&amp;id=174Et9G6TtkXVIbzq8dqxbmrIBvoWGxE-" r:id="rId3784"/>
    <hyperlink xmlns:r="http://schemas.openxmlformats.org/officeDocument/2006/relationships" ref="E1240" display="http://www.naotic.fr/" r:id="rId3785"/>
    <hyperlink xmlns:r="http://schemas.openxmlformats.org/officeDocument/2006/relationships" ref="S1240" display="https://twitter.com/NaoticFR" r:id="rId3786"/>
    <hyperlink xmlns:r="http://schemas.openxmlformats.org/officeDocument/2006/relationships" ref="T1240" display="https://www.linkedin.com/company/naotic" r:id="rId3787"/>
    <hyperlink xmlns:r="http://schemas.openxmlformats.org/officeDocument/2006/relationships" ref="Y1240" display="https://drive.google.com/uc?export=view&amp;id=19fUOeZqHmdJThOw2ef1SXSoSrqDzTteE" r:id="rId3788"/>
    <hyperlink xmlns:r="http://schemas.openxmlformats.org/officeDocument/2006/relationships" ref="E1241" display="https://getnate.io/" r:id="rId3789"/>
    <hyperlink xmlns:r="http://schemas.openxmlformats.org/officeDocument/2006/relationships" ref="Y1241" display="https://drive.google.com/uc?export=view&amp;id=1HjpA7O-tYOaVsQBBljBl5fycNEHYuY48" r:id="rId3790"/>
    <hyperlink xmlns:r="http://schemas.openxmlformats.org/officeDocument/2006/relationships" ref="E1242" display="https://www.odilo.es/workplace/?gclid=CjwKCAjw9qiTBhBbEiwAp-GE0cPP8txaza_iW_A08wBTK0NGQKLnzpuOAxmgzTsafh0wPixrNAOfDRoCh80QAvD_BwE" r:id="rId3791"/>
    <hyperlink xmlns:r="http://schemas.openxmlformats.org/officeDocument/2006/relationships" ref="Y1242" display="https://drive.google.com/uc?export=view&amp;id=1iFVB7MZA3EDO5gJQQP8GLaxNYeLdOLX6" r:id="rId3792"/>
    <hyperlink xmlns:r="http://schemas.openxmlformats.org/officeDocument/2006/relationships" ref="E1243" display="http://www.oxsico.com/" r:id="rId3793"/>
    <hyperlink xmlns:r="http://schemas.openxmlformats.org/officeDocument/2006/relationships" ref="Y1243" display="https://drive.google.com/uc?export=view&amp;id=1E3Fyn3-LCXW3Y77Hc-ocH9JXvYNVa276" r:id="rId3794"/>
    <hyperlink xmlns:r="http://schemas.openxmlformats.org/officeDocument/2006/relationships" ref="E1244" display="https://photon.education/" r:id="rId3795"/>
    <hyperlink xmlns:r="http://schemas.openxmlformats.org/officeDocument/2006/relationships" ref="R1244" display="https://www.instagram.com/photoneducation/" r:id="rId3796"/>
    <hyperlink xmlns:r="http://schemas.openxmlformats.org/officeDocument/2006/relationships" ref="S1244" display="https://twitter.com/Photon_Official" r:id="rId3797"/>
    <hyperlink xmlns:r="http://schemas.openxmlformats.org/officeDocument/2006/relationships" ref="T1244" display="https://www.linkedin.com/company/photon-entertainment-sp--z-o-o-/mycompany/" r:id="rId3798"/>
    <hyperlink xmlns:r="http://schemas.openxmlformats.org/officeDocument/2006/relationships" ref="Y1244" display="https://drive.google.com/uc?export=view&amp;id=1JaEsNjXJYoeue8G5kTxt_1mD9UhsLrUX" r:id="rId3799"/>
    <hyperlink xmlns:r="http://schemas.openxmlformats.org/officeDocument/2006/relationships" ref="E1245" display="http://www.remotion.live/" r:id="rId3800"/>
    <hyperlink xmlns:r="http://schemas.openxmlformats.org/officeDocument/2006/relationships" ref="Y1245" display="https://drive.google.com/uc?export=view&amp;id=1pKVC9DdZ2fJRiGp5HXn8UukB3AByde2V" r:id="rId3801"/>
    <hyperlink xmlns:r="http://schemas.openxmlformats.org/officeDocument/2006/relationships" ref="D1246" display="http://strikeplagiarism.com/" r:id="rId3802"/>
    <hyperlink xmlns:r="http://schemas.openxmlformats.org/officeDocument/2006/relationships" ref="E1246" display="https://strikeplagiarism.com/" r:id="rId3803"/>
    <hyperlink xmlns:r="http://schemas.openxmlformats.org/officeDocument/2006/relationships" ref="Y1246" display="https://drive.google.com/uc?export=view&amp;id=1mDhSSPOzJp9PEJ6-5YDYHwx7KypM-Lyb" r:id="rId3804"/>
    <hyperlink xmlns:r="http://schemas.openxmlformats.org/officeDocument/2006/relationships" ref="E1247" display="https://www.technext.fr/" r:id="rId3805"/>
    <hyperlink xmlns:r="http://schemas.openxmlformats.org/officeDocument/2006/relationships" ref="Y1247" display="https://drive.google.com/uc?export=view&amp;id=1oMfLUe1X7HpAghr8-H3mZM-KvR5_g1Vv" r:id="rId3806"/>
    <hyperlink xmlns:r="http://schemas.openxmlformats.org/officeDocument/2006/relationships" ref="E1248" display="https://www.tenors.fr/" r:id="rId3807"/>
    <hyperlink xmlns:r="http://schemas.openxmlformats.org/officeDocument/2006/relationships" ref="S1248" display="https://twitter.com/TenorsFrance" r:id="rId3808"/>
    <hyperlink xmlns:r="http://schemas.openxmlformats.org/officeDocument/2006/relationships" ref="T1248" display="https://www.linkedin.com/company/68142561/" r:id="rId3809"/>
    <hyperlink xmlns:r="http://schemas.openxmlformats.org/officeDocument/2006/relationships" ref="E1249" display="http://www.vigilo.no/" r:id="rId3810"/>
    <hyperlink xmlns:r="http://schemas.openxmlformats.org/officeDocument/2006/relationships" ref="R1249" display="https://www.instagram.com/vigilooas/" r:id="rId3811"/>
    <hyperlink xmlns:r="http://schemas.openxmlformats.org/officeDocument/2006/relationships" ref="T1249" display="http://www.linkedin.com/company/vigilo-as/" r:id="rId3812"/>
    <hyperlink xmlns:r="http://schemas.openxmlformats.org/officeDocument/2006/relationships" ref="Y1249" display="https://drive.google.com/uc?export=view&amp;id=1ftgcCVzwNHGBsELjyU1tPyCfQ4rR_F7Z" r:id="rId3813"/>
    <hyperlink xmlns:r="http://schemas.openxmlformats.org/officeDocument/2006/relationships" ref="E1250" display="http://www.amazyf.com/" r:id="rId3814"/>
    <hyperlink xmlns:r="http://schemas.openxmlformats.org/officeDocument/2006/relationships" ref="Y1250" display="https://drive.google.com/uc?export=view&amp;id=19z95nPJbzIE1wzeq2rLUCqrNAkUtdA7I" r:id="rId3815"/>
    <hyperlink xmlns:r="http://schemas.openxmlformats.org/officeDocument/2006/relationships" ref="E1251" display="https://www.brainshakers.es/" r:id="rId3816"/>
    <hyperlink xmlns:r="http://schemas.openxmlformats.org/officeDocument/2006/relationships" ref="Y1251" display="https://drive.google.com/uc?export=view&amp;id=1zrB_KifjeHG9JtYZa5mm01Yvdm5h4Tts" r:id="rId3817"/>
    <hyperlink xmlns:r="http://schemas.openxmlformats.org/officeDocument/2006/relationships" ref="E1252" display="http://www.deeploai.com/" r:id="rId3818"/>
    <hyperlink xmlns:r="http://schemas.openxmlformats.org/officeDocument/2006/relationships" ref="T1252" display="https://www.linkedin.com/company/deeplo-ai/" r:id="rId3819"/>
    <hyperlink xmlns:r="http://schemas.openxmlformats.org/officeDocument/2006/relationships" ref="Y1252" display="https://drive.google.com/uc?export=view&amp;id=1n2i0BCc2eWCS95Z2tQAImk0zbX49YPD9" r:id="rId3820"/>
    <hyperlink xmlns:r="http://schemas.openxmlformats.org/officeDocument/2006/relationships" ref="E1253" location="Accueil" display="https://emaze.me/diginnovative - Accueil" r:id="rId3821"/>
    <hyperlink xmlns:r="http://schemas.openxmlformats.org/officeDocument/2006/relationships" ref="T1253" display="https://www.linkedin.com/company/diginnovative/" r:id="rId3822"/>
    <hyperlink xmlns:r="http://schemas.openxmlformats.org/officeDocument/2006/relationships" ref="Y1253" display="https://drive.google.com/uc?export=view&amp;id=1sVCt5FzqQy0xVl_xu0vRuh3DVa5TlMTE" r:id="rId3823"/>
    <hyperlink xmlns:r="http://schemas.openxmlformats.org/officeDocument/2006/relationships" ref="E1254" display="http://edflex.com/en" r:id="rId3824"/>
    <hyperlink xmlns:r="http://schemas.openxmlformats.org/officeDocument/2006/relationships" ref="R1254" display="https://www.instagram.com/edflex_fr" r:id="rId3825"/>
    <hyperlink xmlns:r="http://schemas.openxmlformats.org/officeDocument/2006/relationships" ref="S1254" display="https://twitter.com/edflex_fr" r:id="rId3826"/>
    <hyperlink xmlns:r="http://schemas.openxmlformats.org/officeDocument/2006/relationships" ref="T1254" display="https://www.linkedin.com/company/edflex-hq" r:id="rId3827"/>
    <hyperlink xmlns:r="http://schemas.openxmlformats.org/officeDocument/2006/relationships" ref="Y1254" display="https://drive.google.com/uc?export=view&amp;id=1oqMbYQMdeDegGd1CtvU_nhKKmPiWwj9k" r:id="rId3828"/>
    <hyperlink xmlns:r="http://schemas.openxmlformats.org/officeDocument/2006/relationships" ref="E1255" display="https://edita.fi/" r:id="rId3829"/>
    <hyperlink xmlns:r="http://schemas.openxmlformats.org/officeDocument/2006/relationships" ref="R1255" display="https://www.instagram.com/edita_oppiminen/?hl=fi" r:id="rId3830"/>
    <hyperlink xmlns:r="http://schemas.openxmlformats.org/officeDocument/2006/relationships" ref="S1255" display="https://twitter.com/editaoppiminen" r:id="rId3831"/>
    <hyperlink xmlns:r="http://schemas.openxmlformats.org/officeDocument/2006/relationships" ref="T1255" display="https://www.linkedin.com/company/edita-oppiminen?originalSubdomain=fi" r:id="rId3832"/>
    <hyperlink xmlns:r="http://schemas.openxmlformats.org/officeDocument/2006/relationships" ref="Y1255" display="https://drive.google.com/uc?export=view&amp;id=1bdGHUz7GG9taDwratfC6lAFQxObaIVq2" r:id="rId3833"/>
    <hyperlink xmlns:r="http://schemas.openxmlformats.org/officeDocument/2006/relationships" ref="E1256" display="https://www.educom.at/" r:id="rId3834"/>
    <hyperlink xmlns:r="http://schemas.openxmlformats.org/officeDocument/2006/relationships" ref="R1256" display="https://www.instagram.com/educom.at/" r:id="rId3835"/>
    <hyperlink xmlns:r="http://schemas.openxmlformats.org/officeDocument/2006/relationships" ref="T1256" display="https://at.linkedin.com/company/educom-at" r:id="rId3836"/>
    <hyperlink xmlns:r="http://schemas.openxmlformats.org/officeDocument/2006/relationships" ref="E1257" display="https://www.elendi.ai/" r:id="rId3837"/>
    <hyperlink xmlns:r="http://schemas.openxmlformats.org/officeDocument/2006/relationships" ref="Y1257" display="https://drive.google.com/uc?export=view&amp;id=16QcgDUU64kqpCbdBvmWkSB-ju3w_zp2n" r:id="rId3838"/>
    <hyperlink xmlns:r="http://schemas.openxmlformats.org/officeDocument/2006/relationships" ref="E1258" display="http://www.examiner.ch/" r:id="rId3839"/>
    <hyperlink xmlns:r="http://schemas.openxmlformats.org/officeDocument/2006/relationships" ref="T1258" display="https://www.linkedin.com/company/examiner" r:id="rId3840"/>
    <hyperlink xmlns:r="http://schemas.openxmlformats.org/officeDocument/2006/relationships" ref="Y1258" display="https://drive.google.com/uc?export=view&amp;id=1WoMAkPAMR9AJFz6YGzNohmcGZatRC_4C" r:id="rId3841"/>
    <hyperlink xmlns:r="http://schemas.openxmlformats.org/officeDocument/2006/relationships" ref="E1259" display="https://www.funzi.fi/" r:id="rId3842"/>
    <hyperlink xmlns:r="http://schemas.openxmlformats.org/officeDocument/2006/relationships" ref="R1259" display="https://www.instagram.com/funzimobi/" r:id="rId3843"/>
    <hyperlink xmlns:r="http://schemas.openxmlformats.org/officeDocument/2006/relationships" ref="S1259" display="https://twitter.com/funzi" r:id="rId3844"/>
    <hyperlink xmlns:r="http://schemas.openxmlformats.org/officeDocument/2006/relationships" ref="T1259" display="https://www.linkedin.com/company/funzi/" r:id="rId3845"/>
    <hyperlink xmlns:r="http://schemas.openxmlformats.org/officeDocument/2006/relationships" ref="U1259" display="http://funzi.mobi/" r:id="rId3846"/>
    <hyperlink xmlns:r="http://schemas.openxmlformats.org/officeDocument/2006/relationships" ref="Y1259" display="https://drive.google.com/uc?export=view&amp;id=1FMsZNqP0LSnIOfNdjIV8P-sHJV8XE4i6" r:id="rId3847"/>
    <hyperlink xmlns:r="http://schemas.openxmlformats.org/officeDocument/2006/relationships" ref="E1260" display="https://makemymusik.fr/" r:id="rId3848"/>
    <hyperlink xmlns:r="http://schemas.openxmlformats.org/officeDocument/2006/relationships" ref="Y1260" display="https://drive.google.com/uc?export=view&amp;id=1b4713yqA-ZbenOGmkNSR261gRoA1OYwC" r:id="rId3849"/>
    <hyperlink xmlns:r="http://schemas.openxmlformats.org/officeDocument/2006/relationships" ref="E1261" display="http://www.marshmallow-games.com/" r:id="rId3850"/>
    <hyperlink xmlns:r="http://schemas.openxmlformats.org/officeDocument/2006/relationships" ref="Y1261" display="https://drive.google.com/uc?export=view&amp;id=1ysUqfmQggAvfVH48LH5yVy2pexegM-cQ" r:id="rId3851"/>
    <hyperlink xmlns:r="http://schemas.openxmlformats.org/officeDocument/2006/relationships" ref="E1262" display="https://nocodehackers.es/" r:id="rId3852"/>
    <hyperlink xmlns:r="http://schemas.openxmlformats.org/officeDocument/2006/relationships" ref="Y1262" display="https://drive.google.com/uc?export=view&amp;id=1dRnaAgzUVM7yOcWex99wbNVWUdBA5IdC" r:id="rId3853"/>
    <hyperlink xmlns:r="http://schemas.openxmlformats.org/officeDocument/2006/relationships" ref="E1263" display="http://www.novo3d.fr/" r:id="rId3854"/>
    <hyperlink xmlns:r="http://schemas.openxmlformats.org/officeDocument/2006/relationships" ref="Y1263" display="https://drive.google.com/uc?export=view&amp;id=1DC6kA7WaS4aFcSYz8nYrVGHtdfIdCY50" r:id="rId3855"/>
    <hyperlink xmlns:r="http://schemas.openxmlformats.org/officeDocument/2006/relationships" ref="E1264" display="https://www.taotesting.com/" r:id="rId3856"/>
    <hyperlink xmlns:r="http://schemas.openxmlformats.org/officeDocument/2006/relationships" ref="S1264" display="https://twitter.com/TAOTesting/" r:id="rId3857"/>
    <hyperlink xmlns:r="http://schemas.openxmlformats.org/officeDocument/2006/relationships" ref="T1264" display="https://www.linkedin.com/company/open-assessment-technologies-s-a-/" r:id="rId3858"/>
    <hyperlink xmlns:r="http://schemas.openxmlformats.org/officeDocument/2006/relationships" ref="Y1264" display="https://drive.google.com/uc?export=view&amp;id=1rPb2uf02C55S5F8wLOgSUtu-U7Bs9vML" r:id="rId3859"/>
    <hyperlink xmlns:r="http://schemas.openxmlformats.org/officeDocument/2006/relationships" ref="E1265" display="http://www.papua.app/" r:id="rId3860"/>
    <hyperlink xmlns:r="http://schemas.openxmlformats.org/officeDocument/2006/relationships" ref="E1266" display="https://www.projet-voltaire.fr/?utm_source=site&amp;utm_medium=referral_partner&amp;utm_campaign=edtech_map" r:id="rId3861"/>
    <hyperlink xmlns:r="http://schemas.openxmlformats.org/officeDocument/2006/relationships" ref="S1266" display="https://www.twitter.com/projet_Voltaire" r:id="rId3862"/>
    <hyperlink xmlns:r="http://schemas.openxmlformats.org/officeDocument/2006/relationships" ref="T1266" display="https://www.linkedin.com/company/projet-voltaire/" r:id="rId3863"/>
    <hyperlink xmlns:r="http://schemas.openxmlformats.org/officeDocument/2006/relationships" ref="Y1266" display="https://drive.google.com/uc?export=view&amp;id=1kD27KIuc1xvAflU1BogUqrB9ZmHzPSIB" r:id="rId3864"/>
    <hyperlink xmlns:r="http://schemas.openxmlformats.org/officeDocument/2006/relationships" ref="E1267" display="https://rainmakersociety.de/" r:id="rId3865"/>
    <hyperlink xmlns:r="http://schemas.openxmlformats.org/officeDocument/2006/relationships" ref="Y1267" display="https://drive.google.com/uc?export=view&amp;id=1BwZUf1hHXXHstkUa7vWvUgjcLKuhT0oL" r:id="rId3866"/>
    <hyperlink xmlns:r="http://schemas.openxmlformats.org/officeDocument/2006/relationships" ref="E1268" display="https://www.riseup.ai/" r:id="rId3867"/>
    <hyperlink xmlns:r="http://schemas.openxmlformats.org/officeDocument/2006/relationships" ref="R1268" display="https://www.instagram.com/riseup.ai/" r:id="rId3868"/>
    <hyperlink xmlns:r="http://schemas.openxmlformats.org/officeDocument/2006/relationships" ref="S1268" display="https://twitter.com/RiseUpAI" r:id="rId3869"/>
    <hyperlink xmlns:r="http://schemas.openxmlformats.org/officeDocument/2006/relationships" ref="T1268" display="https://www.linkedin.com/company/rise-up-ai-france/" r:id="rId3870"/>
    <hyperlink xmlns:r="http://schemas.openxmlformats.org/officeDocument/2006/relationships" ref="Y1268" display="https://drive.google.com/uc?export=view&amp;id=1D5-AmnQ8dY0D9XO9SILfD4ZQeSc-3edu" r:id="rId3871"/>
    <hyperlink xmlns:r="http://schemas.openxmlformats.org/officeDocument/2006/relationships" ref="E1269" display="https://siltaeducation.com/silta-for-companies/" r:id="rId3872"/>
    <hyperlink xmlns:r="http://schemas.openxmlformats.org/officeDocument/2006/relationships" ref="T1269" display="https://www.linkedin.com/company/silta-education/" r:id="rId3873"/>
    <hyperlink xmlns:r="http://schemas.openxmlformats.org/officeDocument/2006/relationships" ref="Y1269" display="https://drive.google.com/uc?export=view&amp;id=1G-8_9A9AguU55tqxoSqhH1CFqqJqwlDa" r:id="rId3874"/>
    <hyperlink xmlns:r="http://schemas.openxmlformats.org/officeDocument/2006/relationships" ref="E1270" display="https://simango.fr/" r:id="rId3875"/>
    <hyperlink xmlns:r="http://schemas.openxmlformats.org/officeDocument/2006/relationships" ref="S1270" display="https://twitter.com/simangosante" r:id="rId3876"/>
    <hyperlink xmlns:r="http://schemas.openxmlformats.org/officeDocument/2006/relationships" ref="T1270" display="https://www.linkedin.com/company/simango/" r:id="rId3877"/>
    <hyperlink xmlns:r="http://schemas.openxmlformats.org/officeDocument/2006/relationships" ref="Y1270" display="https://drive.google.com/uc?export=view&amp;id=1NK4JXnUUy7l_aux-msT6OrjYPsfOiKwq" r:id="rId3878"/>
    <hyperlink xmlns:r="http://schemas.openxmlformats.org/officeDocument/2006/relationships" ref="E1271" display="https://www.smarteo.co/" r:id="rId3879"/>
    <hyperlink xmlns:r="http://schemas.openxmlformats.org/officeDocument/2006/relationships" ref="R1271" display="https://www.instagram.com/smarteo.co" r:id="rId3880"/>
    <hyperlink xmlns:r="http://schemas.openxmlformats.org/officeDocument/2006/relationships" ref="S1271" display="https://twitter.com/smarteo_co" r:id="rId3881"/>
    <hyperlink xmlns:r="http://schemas.openxmlformats.org/officeDocument/2006/relationships" ref="T1271" display="https://www.linkedin.com/company/smarteo-co/" r:id="rId3882"/>
    <hyperlink xmlns:r="http://schemas.openxmlformats.org/officeDocument/2006/relationships" ref="Y1271" display="https://drive.google.com/uc?export=view&amp;id=1HPqZa_ok6oQZ1p_a5i7QEnsE2D9gpEuw" r:id="rId3883"/>
    <hyperlink xmlns:r="http://schemas.openxmlformats.org/officeDocument/2006/relationships" ref="E1272" display="http://www.splashtop.com/" r:id="rId3884"/>
    <hyperlink xmlns:r="http://schemas.openxmlformats.org/officeDocument/2006/relationships" ref="Y1272" display="https://drive.google.com/uc?export=view&amp;id=1sjcwwsCR2fLzzwarvVIassgWUQGLBd72" r:id="rId3885"/>
    <hyperlink xmlns:r="http://schemas.openxmlformats.org/officeDocument/2006/relationships" ref="E1273" display="https://studinventive.com/" r:id="rId3886"/>
    <hyperlink xmlns:r="http://schemas.openxmlformats.org/officeDocument/2006/relationships" ref="Y1273" display="https://drive.google.com/uc?export=view&amp;id=1Z-LiKVWiV1z3GmBa0XWoQvl2VzWlYQsF" r:id="rId3887"/>
    <hyperlink xmlns:r="http://schemas.openxmlformats.org/officeDocument/2006/relationships" ref="E1274" display="https://www.taskbase.com/" r:id="rId3888"/>
    <hyperlink xmlns:r="http://schemas.openxmlformats.org/officeDocument/2006/relationships" ref="T1274" display="https://www.linkedin.com/company/taskbase/" r:id="rId3889"/>
    <hyperlink xmlns:r="http://schemas.openxmlformats.org/officeDocument/2006/relationships" ref="Y1274" display="https://drive.google.com/uc?export=view&amp;id=1iVeObtlTKykrJDkxj1TnO9-zCTG28e_-" r:id="rId3890"/>
    <hyperlink xmlns:r="http://schemas.openxmlformats.org/officeDocument/2006/relationships" ref="E1275" display="https://www.tecive.co.uk/" r:id="rId3891"/>
    <hyperlink xmlns:r="http://schemas.openxmlformats.org/officeDocument/2006/relationships" ref="Y1275" display="https://drive.google.com/uc?export=view&amp;id=1oNvt5HyELhHouUQ_x0t26UtJtA3ovKN4" r:id="rId3892"/>
    <hyperlink xmlns:r="http://schemas.openxmlformats.org/officeDocument/2006/relationships" ref="E1276" display="https://www.tinyapp.biz/" r:id="rId3893"/>
    <hyperlink xmlns:r="http://schemas.openxmlformats.org/officeDocument/2006/relationships" ref="R1276" display="https://www.instagram.com/tinyappes/" r:id="rId3894"/>
    <hyperlink xmlns:r="http://schemas.openxmlformats.org/officeDocument/2006/relationships" ref="T1276" display="https://www.linkedin.com/company/tinyapp/" r:id="rId3895"/>
    <hyperlink xmlns:r="http://schemas.openxmlformats.org/officeDocument/2006/relationships" ref="Y1276" display="https://drive.google.com/uc?export=view&amp;id=1fxtJ2a5U2p0E57z1j80c5smXst2SE569" r:id="rId3896"/>
    <hyperlink xmlns:r="http://schemas.openxmlformats.org/officeDocument/2006/relationships" ref="D1277" display="http://tuto.com/" r:id="rId3897"/>
    <hyperlink xmlns:r="http://schemas.openxmlformats.org/officeDocument/2006/relationships" ref="E1277" display="https://fr.tuto.com/" r:id="rId3898"/>
    <hyperlink xmlns:r="http://schemas.openxmlformats.org/officeDocument/2006/relationships" ref="Y1277" display="https://drive.google.com/uc?export=view&amp;id=1U_41NJP9Vk5YGjSXGHUBTafxvAvWHWZD" r:id="rId3899"/>
    <hyperlink xmlns:r="http://schemas.openxmlformats.org/officeDocument/2006/relationships" ref="E1278" display="https://www.aimaira.fr/" r:id="rId3900"/>
    <hyperlink xmlns:r="http://schemas.openxmlformats.org/officeDocument/2006/relationships" ref="S1278" display="https://twitter.com/aimaira_erp" r:id="rId3901"/>
    <hyperlink xmlns:r="http://schemas.openxmlformats.org/officeDocument/2006/relationships" ref="T1278" display="https://www.linkedin.com/company/aimaira/" r:id="rId3902"/>
    <hyperlink xmlns:r="http://schemas.openxmlformats.org/officeDocument/2006/relationships" ref="Y1278" display="https://drive.google.com/uc?export=view&amp;id=1hFYJVHg1WicHtdtRKW8y4s6uN2pNSpZ_" r:id="rId3903"/>
    <hyperlink xmlns:r="http://schemas.openxmlformats.org/officeDocument/2006/relationships" ref="E1279" display="https://altusform.fr/" r:id="rId3904"/>
    <hyperlink xmlns:r="http://schemas.openxmlformats.org/officeDocument/2006/relationships" ref="T1279" display="https://www.linkedin.com/company/altusform" r:id="rId3905"/>
    <hyperlink xmlns:r="http://schemas.openxmlformats.org/officeDocument/2006/relationships" ref="Y1279" display="https://drive.google.com/uc?export=view&amp;id=1r4CC6FXNc3WjBP9m5ocW05SW04WmeoxA" r:id="rId3906"/>
    <hyperlink xmlns:r="http://schemas.openxmlformats.org/officeDocument/2006/relationships" ref="E1280" display="http://www.aqueduto.com/" r:id="rId3907"/>
    <hyperlink xmlns:r="http://schemas.openxmlformats.org/officeDocument/2006/relationships" ref="Y1280" display="https://drive.google.com/uc?export=view&amp;id=1SvTjU7nQHCZnLmY3tFDzWf7lsk_6qPl7" r:id="rId3908"/>
    <hyperlink xmlns:r="http://schemas.openxmlformats.org/officeDocument/2006/relationships" ref="E1281" display="http://www.attender.uk/" r:id="rId3909"/>
    <hyperlink xmlns:r="http://schemas.openxmlformats.org/officeDocument/2006/relationships" ref="Y1281" display="https://drive.google.com/uc?export=view&amp;id=1_mS3n6n6zPp3FKoXsIJ1NMwxvMkJNKlM" r:id="rId3910"/>
    <hyperlink xmlns:r="http://schemas.openxmlformats.org/officeDocument/2006/relationships" ref="E1282" display="https://beyondeducation.tech/" r:id="rId3911"/>
    <hyperlink xmlns:r="http://schemas.openxmlformats.org/officeDocument/2006/relationships" ref="R1282" display="https://www.instagram.com/beyondeducation21st/" r:id="rId3912"/>
    <hyperlink xmlns:r="http://schemas.openxmlformats.org/officeDocument/2006/relationships" ref="T1282" display="https://www.linkedin.com/company/be-beyond-education-company/?viewAsMember=true" r:id="rId3913"/>
    <hyperlink xmlns:r="http://schemas.openxmlformats.org/officeDocument/2006/relationships" ref="Y1282" display="https://drive.google.com/uc?export=view&amp;id=1wv-QoJp0POrGv7U4efqchrGaBeznFR8V" r:id="rId3914"/>
    <hyperlink xmlns:r="http://schemas.openxmlformats.org/officeDocument/2006/relationships" ref="E1283" display="https://bodyswaps.co/" r:id="rId3915"/>
    <hyperlink xmlns:r="http://schemas.openxmlformats.org/officeDocument/2006/relationships" ref="Y1283" display="https://drive.google.com/uc?export=view&amp;id=1PDDXU8RtDlnZcK0p1xp5t_BYdg2svavC" r:id="rId3916"/>
    <hyperlink xmlns:r="http://schemas.openxmlformats.org/officeDocument/2006/relationships" ref="E1284" display="https://www.cambridgeinternational.academy/" r:id="rId3917"/>
    <hyperlink xmlns:r="http://schemas.openxmlformats.org/officeDocument/2006/relationships" ref="Y1284" display="https://drive.google.com/uc?export=view&amp;id=1PO0oPl0fU1tfhRv0BsjS7hsYj16UMFvT" r:id="rId3918"/>
    <hyperlink xmlns:r="http://schemas.openxmlformats.org/officeDocument/2006/relationships" ref="E1285" display="http://www.civinc.co/" r:id="rId3919"/>
    <hyperlink xmlns:r="http://schemas.openxmlformats.org/officeDocument/2006/relationships" ref="T1285" display="https://www.linkedin.com/company/civinc" r:id="rId3920"/>
    <hyperlink xmlns:r="http://schemas.openxmlformats.org/officeDocument/2006/relationships" ref="Y1285" display="https://drive.google.com/uc?export=view&amp;id=1PUYazmoVsGKYvCrAxXUu4x0JpALZmURc" r:id="rId3921"/>
    <hyperlink xmlns:r="http://schemas.openxmlformats.org/officeDocument/2006/relationships" ref="E1286" display="https://www.classlife.education/" r:id="rId3922"/>
    <hyperlink xmlns:r="http://schemas.openxmlformats.org/officeDocument/2006/relationships" ref="Y1286" display="https://drive.google.com/uc?export=view&amp;id=1KwtNLU1apZdqBSlpxD-EimE7CPxBFit1" r:id="rId3923"/>
    <hyperlink xmlns:r="http://schemas.openxmlformats.org/officeDocument/2006/relationships" ref="E1287" display="https://comproved.com/en/" r:id="rId3924"/>
    <hyperlink xmlns:r="http://schemas.openxmlformats.org/officeDocument/2006/relationships" ref="Y1287" display="https://drive.google.com/uc?export=view&amp;id=1C1o3QWFEkCDG1usz6Jq7z5NpaGjwjeWN" r:id="rId3925"/>
    <hyperlink xmlns:r="http://schemas.openxmlformats.org/officeDocument/2006/relationships" ref="E1288" display="https://www.cornelsen-gruppe.de/en" r:id="rId3926"/>
    <hyperlink xmlns:r="http://schemas.openxmlformats.org/officeDocument/2006/relationships" ref="Y1288" display="https://drive.google.com/uc?export=view&amp;id=19ypDvnjn_4Z12rPjDnNL5MxmdYWeA0l8" r:id="rId3927"/>
    <hyperlink xmlns:r="http://schemas.openxmlformats.org/officeDocument/2006/relationships" ref="E1289" display="https://www.craft.ai/" r:id="rId3928"/>
    <hyperlink xmlns:r="http://schemas.openxmlformats.org/officeDocument/2006/relationships" ref="S1289" display="https://twitter.com/craft_ai" r:id="rId3929"/>
    <hyperlink xmlns:r="http://schemas.openxmlformats.org/officeDocument/2006/relationships" ref="T1289" display="https://www.linkedin.com/company/9460012/" r:id="rId3930"/>
    <hyperlink xmlns:r="http://schemas.openxmlformats.org/officeDocument/2006/relationships" ref="Y1289" display="https://drive.google.com/uc?export=view&amp;id=1GyQym391kyXn4a89-MetLQTbml6Ycm6N" r:id="rId3931"/>
    <hyperlink xmlns:r="http://schemas.openxmlformats.org/officeDocument/2006/relationships" ref="E1290" display="http://www.dokeos.com/" r:id="rId3932"/>
    <hyperlink xmlns:r="http://schemas.openxmlformats.org/officeDocument/2006/relationships" ref="R1290" display="https://www.instagram.com/dokeoslms/?hl=fr" r:id="rId3933"/>
    <hyperlink xmlns:r="http://schemas.openxmlformats.org/officeDocument/2006/relationships" ref="S1290" display="https://twitter.com/dokeos" r:id="rId3934"/>
    <hyperlink xmlns:r="http://schemas.openxmlformats.org/officeDocument/2006/relationships" ref="T1290" display="https://www.linkedin.com/company/dokeos" r:id="rId3935"/>
    <hyperlink xmlns:r="http://schemas.openxmlformats.org/officeDocument/2006/relationships" ref="Y1290" display="https://drive.google.com/uc?export=view&amp;id=1xGugivr8_wiL4QT2_aSQHWNhkSVjI78X" r:id="rId3936"/>
    <hyperlink xmlns:r="http://schemas.openxmlformats.org/officeDocument/2006/relationships" ref="E1291" display="https://www.fasterclass.fr/" r:id="rId3937"/>
    <hyperlink xmlns:r="http://schemas.openxmlformats.org/officeDocument/2006/relationships" ref="T1291" display="https://www.linkedin.com/company/10414242" r:id="rId3938"/>
    <hyperlink xmlns:r="http://schemas.openxmlformats.org/officeDocument/2006/relationships" ref="Y1291" display="https://drive.google.com/uc?export=view&amp;id=1xLZfCI4xD4uQitugXFJz9gmwak0uXHAb" r:id="rId3939"/>
    <hyperlink xmlns:r="http://schemas.openxmlformats.org/officeDocument/2006/relationships" ref="E1292" display="https://grimp.io/" r:id="rId3940"/>
    <hyperlink xmlns:r="http://schemas.openxmlformats.org/officeDocument/2006/relationships" ref="R1292" display="http://grimp.io/" r:id="rId3941"/>
    <hyperlink xmlns:r="http://schemas.openxmlformats.org/officeDocument/2006/relationships" ref="S1292" display="https://twitter.com/grimphq" r:id="rId3942"/>
    <hyperlink xmlns:r="http://schemas.openxmlformats.org/officeDocument/2006/relationships" ref="T1292" display="https://www.linkedin.com/company/grimp-hq" r:id="rId3943"/>
    <hyperlink xmlns:r="http://schemas.openxmlformats.org/officeDocument/2006/relationships" ref="Y1292" display="https://drive.google.com/uc?export=view&amp;id=1lhWB8mgqr3GhKCYp4p7hbREDRcUzAKMi" r:id="rId3944"/>
    <hyperlink xmlns:r="http://schemas.openxmlformats.org/officeDocument/2006/relationships" ref="E1293" display="https://www.gymglish.com/" r:id="rId3945"/>
    <hyperlink xmlns:r="http://schemas.openxmlformats.org/officeDocument/2006/relationships" ref="R1293" display="https://www.instagram.com/gymglish/" r:id="rId3946"/>
    <hyperlink xmlns:r="http://schemas.openxmlformats.org/officeDocument/2006/relationships" ref="S1293" display="https://twitter.com/GymGlish" r:id="rId3947"/>
    <hyperlink xmlns:r="http://schemas.openxmlformats.org/officeDocument/2006/relationships" ref="T1293" display="https://www.linkedin.com/company/gymglish/" r:id="rId3948"/>
    <hyperlink xmlns:r="http://schemas.openxmlformats.org/officeDocument/2006/relationships" ref="Y1293" display="https://drive.google.com/uc?export=view&amp;id=1MdCvkj9qbbjR5gLNr3SUDEyDvjBXRcOe" r:id="rId3949"/>
    <hyperlink xmlns:r="http://schemas.openxmlformats.org/officeDocument/2006/relationships" ref="E1294" display="https://www.hopspots.dk/" r:id="rId3950"/>
    <hyperlink xmlns:r="http://schemas.openxmlformats.org/officeDocument/2006/relationships" ref="R1294" display="https://www.instagram.com/hopspots/" r:id="rId3951"/>
    <hyperlink xmlns:r="http://schemas.openxmlformats.org/officeDocument/2006/relationships" ref="T1294" display="https://www.linkedin.com/company/cxd--child-experience-design" r:id="rId3952"/>
    <hyperlink xmlns:r="http://schemas.openxmlformats.org/officeDocument/2006/relationships" ref="Y1294" display="https://drive.google.com/uc?export=view&amp;id=1avebXazKPl3R0ZemfcD5OxGhaXfQ5-yM" r:id="rId3953"/>
    <hyperlink xmlns:r="http://schemas.openxmlformats.org/officeDocument/2006/relationships" ref="E1295" display="https://www.icdlfrance.org/" r:id="rId3954"/>
    <hyperlink xmlns:r="http://schemas.openxmlformats.org/officeDocument/2006/relationships" ref="R1295" display="https://www.instagram.com/icdl_france/" r:id="rId3955"/>
    <hyperlink xmlns:r="http://schemas.openxmlformats.org/officeDocument/2006/relationships" ref="S1295" display="https://mobile.twitter.com/icdlfrance" r:id="rId3956"/>
    <hyperlink xmlns:r="http://schemas.openxmlformats.org/officeDocument/2006/relationships" ref="T1295" display="https://www.linkedin.com/company/pcie---icdl" r:id="rId3957"/>
    <hyperlink xmlns:r="http://schemas.openxmlformats.org/officeDocument/2006/relationships" ref="Y1295" display="https://drive.google.com/uc?export=view&amp;id=1PVXqrYKHZ7gh0jjLFg7Nu0BnvNbzAFY6" r:id="rId3958"/>
    <hyperlink xmlns:r="http://schemas.openxmlformats.org/officeDocument/2006/relationships" ref="E1296" display="https://idruide.com/" r:id="rId3959"/>
    <hyperlink xmlns:r="http://schemas.openxmlformats.org/officeDocument/2006/relationships" ref="S1296" display="https://twitter.com/idruide" r:id="rId3960"/>
    <hyperlink xmlns:r="http://schemas.openxmlformats.org/officeDocument/2006/relationships" ref="T1296" display="https://www.linkedin.com/company/idruide/" r:id="rId3961"/>
    <hyperlink xmlns:r="http://schemas.openxmlformats.org/officeDocument/2006/relationships" ref="Y1296" display="https://drive.google.com/uc?export=view&amp;id=1Ybwksx-d4kZqR5fjglqp-cOFGqFYMfiI" r:id="rId3962"/>
    <hyperlink xmlns:r="http://schemas.openxmlformats.org/officeDocument/2006/relationships" ref="E1297" display="https://investoryapp.com/" r:id="rId3963"/>
    <hyperlink xmlns:r="http://schemas.openxmlformats.org/officeDocument/2006/relationships" ref="Y1297" display="https://drive.google.com/uc?export=view&amp;id=18abHIP-8RZNT_W0-Xyy8BYLrPvL_NbDi" r:id="rId3964"/>
    <hyperlink xmlns:r="http://schemas.openxmlformats.org/officeDocument/2006/relationships" ref="E1298" display="https://iteach.world/" r:id="rId3965"/>
    <hyperlink xmlns:r="http://schemas.openxmlformats.org/officeDocument/2006/relationships" ref="R1298" display="https://www.facebook.com/Iteachworld" r:id="rId3966"/>
    <hyperlink xmlns:r="http://schemas.openxmlformats.org/officeDocument/2006/relationships" ref="T1298" display="https://www.linkedin.com/company/iteach-world/" r:id="rId3967"/>
    <hyperlink xmlns:r="http://schemas.openxmlformats.org/officeDocument/2006/relationships" ref="Y1298" display="https://drive.google.com/uc?export=view&amp;id=1RQ-FvR9rMM2WaL5ZYatyvb3lpTbL4QUu" r:id="rId3968"/>
    <hyperlink xmlns:r="http://schemas.openxmlformats.org/officeDocument/2006/relationships" ref="E1299" display="http://www.itorium.org/" r:id="rId3969"/>
    <hyperlink xmlns:r="http://schemas.openxmlformats.org/officeDocument/2006/relationships" ref="T1299" display="https://www.linkedin.com/company/itorium/" r:id="rId3970"/>
    <hyperlink xmlns:r="http://schemas.openxmlformats.org/officeDocument/2006/relationships" ref="Y1299" display="https://drive.google.com/uc?export=view&amp;id=172KbpIJyhObW9VNZCgHSi2J8l5LiNMx6" r:id="rId3971"/>
    <hyperlink xmlns:r="http://schemas.openxmlformats.org/officeDocument/2006/relationships" ref="E1300" display="http://www.kalivi.fr/" r:id="rId3972"/>
    <hyperlink xmlns:r="http://schemas.openxmlformats.org/officeDocument/2006/relationships" ref="Y1300" display="https://drive.google.com/uc?export=view&amp;id=19V-c6Vx-zsyibAB_Acb9xWXSDpknN66j" r:id="rId3973"/>
    <hyperlink xmlns:r="http://schemas.openxmlformats.org/officeDocument/2006/relationships" ref="E1301" display="https://www.kingpact.fr/" r:id="rId3974"/>
    <hyperlink xmlns:r="http://schemas.openxmlformats.org/officeDocument/2006/relationships" ref="R1301" display="https://www.instagram.com/king_pact/?hl=en" r:id="rId3975"/>
    <hyperlink xmlns:r="http://schemas.openxmlformats.org/officeDocument/2006/relationships" ref="T1301" display="https://www.linkedin.com/company/kingpact" r:id="rId3976"/>
    <hyperlink xmlns:r="http://schemas.openxmlformats.org/officeDocument/2006/relationships" ref="Y1301" display="https://drive.google.com/uc?export=view&amp;id=1rxycs4aClc-rsFUADSHbP3UvYqQ2ILsZ" r:id="rId3977"/>
    <hyperlink xmlns:r="http://schemas.openxmlformats.org/officeDocument/2006/relationships" ref="E1302" display="http://www.atelierdeschefs.fr/" r:id="rId3978"/>
    <hyperlink xmlns:r="http://schemas.openxmlformats.org/officeDocument/2006/relationships" ref="R1302" display="https://www.instagram.com/atelierdeschefs/?hl=fr" r:id="rId3979"/>
    <hyperlink xmlns:r="http://schemas.openxmlformats.org/officeDocument/2006/relationships" ref="T1302" display="https://www.linkedin.com/school/91825/admin/" r:id="rId3980"/>
    <hyperlink xmlns:r="http://schemas.openxmlformats.org/officeDocument/2006/relationships" ref="Y1302" display="https://drive.google.com/uc?export=view&amp;id=1LDxZPlc9z0_2a_kYkGKR-OE3lfa9_raG" r:id="rId3981"/>
    <hyperlink xmlns:r="http://schemas.openxmlformats.org/officeDocument/2006/relationships" ref="E1303" display="http://www.ladante-in-cambridge.org/" r:id="rId3982"/>
    <hyperlink xmlns:r="http://schemas.openxmlformats.org/officeDocument/2006/relationships" ref="Y1303" display="https://drive.google.com/uc?export=view&amp;id=15dWE7_Jkm0qikbnfw6A3MS6r5NGCXBGC" r:id="rId3983"/>
    <hyperlink xmlns:r="http://schemas.openxmlformats.org/officeDocument/2006/relationships" ref="E1304" display="https://www.lesadultesdedemain.com/" r:id="rId3984"/>
    <hyperlink xmlns:r="http://schemas.openxmlformats.org/officeDocument/2006/relationships" ref="Y1304" display="https://drive.google.com/uc?export=view&amp;id=1XsrIJPCpnCsiEMCc-ffZqiD5ji-O_RuH" r:id="rId3985"/>
    <hyperlink xmlns:r="http://schemas.openxmlformats.org/officeDocument/2006/relationships" ref="E1305" display="http://www.lili.cool/" r:id="rId3986"/>
    <hyperlink xmlns:r="http://schemas.openxmlformats.org/officeDocument/2006/relationships" ref="R1305" display="https://www.instagram.com/lili.cool.app/" r:id="rId3987"/>
    <hyperlink xmlns:r="http://schemas.openxmlformats.org/officeDocument/2006/relationships" ref="T1305" display="https://www.linkedin.com/company/lili-cool-app/" r:id="rId3988"/>
    <hyperlink xmlns:r="http://schemas.openxmlformats.org/officeDocument/2006/relationships" ref="Y1305" display="https://drive.google.com/uc?export=view&amp;id=1WDZQ9Ue3Ry14i48aH2z38cWeGK56QnNs" r:id="rId3989"/>
    <hyperlink xmlns:r="http://schemas.openxmlformats.org/officeDocument/2006/relationships" ref="E1306" display="https://www.lillup.com/" r:id="rId3990"/>
    <hyperlink xmlns:r="http://schemas.openxmlformats.org/officeDocument/2006/relationships" ref="Y1306" display="https://drive.google.com/uc?export=view&amp;id=10jfcbMIxHCWCuPijkl7kdwdYlL3S-Z8M" r:id="rId3991"/>
    <hyperlink xmlns:r="http://schemas.openxmlformats.org/officeDocument/2006/relationships" ref="E1307" display="https://maitrelucas.fr/" r:id="rId3992"/>
    <hyperlink xmlns:r="http://schemas.openxmlformats.org/officeDocument/2006/relationships" ref="R1307" display="https://www.instagram.com/maitre_lucas_officiel/" r:id="rId3993"/>
    <hyperlink xmlns:r="http://schemas.openxmlformats.org/officeDocument/2006/relationships" ref="Y1307" display="https://drive.google.com/uc?export=view&amp;id=1q8FAdIKhIs1konGHCutwoDRTv9W4Q6ke" r:id="rId3994"/>
    <hyperlink xmlns:r="http://schemas.openxmlformats.org/officeDocument/2006/relationships" ref="E1308" display="https://massiveimmersive.com/" r:id="rId3995"/>
    <hyperlink xmlns:r="http://schemas.openxmlformats.org/officeDocument/2006/relationships" ref="R1308" display="https://www.instagram.com/massive_immersive/" r:id="rId3996"/>
    <hyperlink xmlns:r="http://schemas.openxmlformats.org/officeDocument/2006/relationships" ref="S1308" display="https://twitter.com/Mass_Immersive" r:id="rId3997"/>
    <hyperlink xmlns:r="http://schemas.openxmlformats.org/officeDocument/2006/relationships" ref="T1308" display="https://www.linkedin.com/company/massive-immersive/" r:id="rId3998"/>
    <hyperlink xmlns:r="http://schemas.openxmlformats.org/officeDocument/2006/relationships" ref="Y1308" display="https://drive.google.com/uc?export=view&amp;id=1WaFFO26j0-v6HF_oMXt2iTxt3nD46tb4" r:id="rId3999"/>
    <hyperlink xmlns:r="http://schemas.openxmlformats.org/officeDocument/2006/relationships" ref="D1309" display="http://mavoie.org/" r:id="rId4000"/>
    <hyperlink xmlns:r="http://schemas.openxmlformats.org/officeDocument/2006/relationships" ref="E1309" display="http://www.mavoie.org/" r:id="rId4001"/>
    <hyperlink xmlns:r="http://schemas.openxmlformats.org/officeDocument/2006/relationships" ref="R1309" display="https://www.instagram.com/mavoieorg/" r:id="rId4002"/>
    <hyperlink xmlns:r="http://schemas.openxmlformats.org/officeDocument/2006/relationships" ref="S1309" display="https://twitter.com/mavoie_org" r:id="rId4003"/>
    <hyperlink xmlns:r="http://schemas.openxmlformats.org/officeDocument/2006/relationships" ref="T1309" display="https://www.linkedin.com/company/mavoie-org" r:id="rId4004"/>
    <hyperlink xmlns:r="http://schemas.openxmlformats.org/officeDocument/2006/relationships" ref="Y1309" display="https://drive.google.com/uc?export=view&amp;id=1W3ho_mVXPZGwmLvx0PxB1B_JNdKfvZIs" r:id="rId4005"/>
    <hyperlink xmlns:r="http://schemas.openxmlformats.org/officeDocument/2006/relationships" ref="E1310" display="https://mysalesacademy.fr/" r:id="rId4006"/>
    <hyperlink xmlns:r="http://schemas.openxmlformats.org/officeDocument/2006/relationships" ref="T1310" display="https://www.linkedin.com/company/my-sales-academy-lyon/?viewAsMember=true" r:id="rId4007"/>
    <hyperlink xmlns:r="http://schemas.openxmlformats.org/officeDocument/2006/relationships" ref="E1311" display="http://www.nabook.co/" r:id="rId4008"/>
    <hyperlink xmlns:r="http://schemas.openxmlformats.org/officeDocument/2006/relationships" ref="R1311" display="https://www.instagram.com/nabook_app" r:id="rId4009"/>
    <hyperlink xmlns:r="http://schemas.openxmlformats.org/officeDocument/2006/relationships" ref="S1311" display="https://twitter.com/nabook_app" r:id="rId4010"/>
    <hyperlink xmlns:r="http://schemas.openxmlformats.org/officeDocument/2006/relationships" ref="T1311" display="https://www.linkedin.com/company/14454529/" r:id="rId4011"/>
    <hyperlink xmlns:r="http://schemas.openxmlformats.org/officeDocument/2006/relationships" ref="Y1311" display="https://drive.google.com/uc?export=view&amp;id=1e5U0t5OzR3bqBfXsaSt6nh_bprodcnuE" r:id="rId4012"/>
    <hyperlink xmlns:r="http://schemas.openxmlformats.org/officeDocument/2006/relationships" ref="E1312" display="https://labpossible.com/" r:id="rId4013"/>
    <hyperlink xmlns:r="http://schemas.openxmlformats.org/officeDocument/2006/relationships" ref="Y1312" display="https://drive.google.com/uc?export=view&amp;id=1fqIjAMqQw84zXYqcKLZwfaYlMkmPSGRU" r:id="rId4014"/>
    <hyperlink xmlns:r="http://schemas.openxmlformats.org/officeDocument/2006/relationships" ref="E1313" display="https://ww.pro-pulsar.com/" r:id="rId4015"/>
    <hyperlink xmlns:r="http://schemas.openxmlformats.org/officeDocument/2006/relationships" ref="E1314" display="https://www.prosoon.eu/" r:id="rId4016"/>
    <hyperlink xmlns:r="http://schemas.openxmlformats.org/officeDocument/2006/relationships" ref="T1314" display="https://www.linkedin.com/company/prosoon/?viewAsMember=true" r:id="rId4017"/>
    <hyperlink xmlns:r="http://schemas.openxmlformats.org/officeDocument/2006/relationships" ref="Y1314" display="https://drive.google.com/uc?export=view&amp;id=124cnukxbkZeszRLLSs9MGjeT7Ld7q5qG" r:id="rId4018"/>
    <hyperlink xmlns:r="http://schemas.openxmlformats.org/officeDocument/2006/relationships" ref="E1315" display="https://www.readyforred.com/" r:id="rId4019"/>
    <hyperlink xmlns:r="http://schemas.openxmlformats.org/officeDocument/2006/relationships" ref="R1315" display="https://www.instagram.com/erdbeerwoche_/" r:id="rId4020"/>
    <hyperlink xmlns:r="http://schemas.openxmlformats.org/officeDocument/2006/relationships" ref="Y1315" display="https://drive.google.com/uc?export=view&amp;id=1sp0ZYfzfMeCQSgRadItFh_B0vtcD3Z1j" r:id="rId4021"/>
    <hyperlink xmlns:r="http://schemas.openxmlformats.org/officeDocument/2006/relationships" ref="E1316" display="https://www.relevancelearning.com/" r:id="rId4022"/>
    <hyperlink xmlns:r="http://schemas.openxmlformats.org/officeDocument/2006/relationships" ref="T1316" display="https://www.linkedin.com/company/relevance-learning/" r:id="rId4023"/>
    <hyperlink xmlns:r="http://schemas.openxmlformats.org/officeDocument/2006/relationships" ref="Y1316" display="https://drive.google.com/uc?export=view&amp;id=1mbyM4wNtVWoaxfdrBEuYlchV3r4-AZvE" r:id="rId4024"/>
    <hyperlink xmlns:r="http://schemas.openxmlformats.org/officeDocument/2006/relationships" ref="E1317" display="http://www.ro-botica.com/" r:id="rId4025"/>
    <hyperlink xmlns:r="http://schemas.openxmlformats.org/officeDocument/2006/relationships" ref="Y1317" display="https://drive.google.com/uc?export=view&amp;id=1uA0VCcxLClpMRsq5xY3lgTYwBqEskUWt" r:id="rId4026"/>
    <hyperlink xmlns:r="http://schemas.openxmlformats.org/officeDocument/2006/relationships" ref="E1318" display="https://skilit.io/" r:id="rId4027"/>
    <hyperlink xmlns:r="http://schemas.openxmlformats.org/officeDocument/2006/relationships" ref="T1318" display="https://www.linkedin.com/company/skilit-io" r:id="rId4028"/>
    <hyperlink xmlns:r="http://schemas.openxmlformats.org/officeDocument/2006/relationships" ref="Y1318" display="https://drive.google.com/uc?export=view&amp;id=1KKddj_0VgeVWOzVFYEHLzraeeOjynugb" r:id="rId4029"/>
    <hyperlink xmlns:r="http://schemas.openxmlformats.org/officeDocument/2006/relationships" ref="E1319" display="https://www.skilmi.fr/" r:id="rId4030"/>
    <hyperlink xmlns:r="http://schemas.openxmlformats.org/officeDocument/2006/relationships" ref="R1319" display="https://www.instagram.com/skilmi.fr/" r:id="rId4031"/>
    <hyperlink xmlns:r="http://schemas.openxmlformats.org/officeDocument/2006/relationships" ref="S1319" display="https://twitter.com/skilmi_fr" r:id="rId4032"/>
    <hyperlink xmlns:r="http://schemas.openxmlformats.org/officeDocument/2006/relationships" ref="T1319" display="https://www.linkedin.com/company/skilmi/?viewAsMember=true" r:id="rId4033"/>
    <hyperlink xmlns:r="http://schemas.openxmlformats.org/officeDocument/2006/relationships" ref="Y1319" display="https://drive.google.com/uc?export=view&amp;id=1BBWOQ1HPN0JNV9lOFCbdkCjDTOcjaGAJ" r:id="rId4034"/>
    <hyperlink xmlns:r="http://schemas.openxmlformats.org/officeDocument/2006/relationships" ref="E1320" display="http://www.smileandlearn.com/" r:id="rId4035"/>
    <hyperlink xmlns:r="http://schemas.openxmlformats.org/officeDocument/2006/relationships" ref="T1320" display="https://www.linkedin.com/company/9408157" r:id="rId4036"/>
    <hyperlink xmlns:r="http://schemas.openxmlformats.org/officeDocument/2006/relationships" ref="Y1320" display="https://drive.google.com/uc?export=view&amp;id=11EHEP7cc7jGMuFzjvwFcNhWSWrAtbLOd" r:id="rId4037"/>
    <hyperlink xmlns:r="http://schemas.openxmlformats.org/officeDocument/2006/relationships" ref="E1321" display="http://www.smowl.net/" r:id="rId4038"/>
    <hyperlink xmlns:r="http://schemas.openxmlformats.org/officeDocument/2006/relationships" ref="E1322" display="http://www.societycollege.nl/" r:id="rId4039"/>
    <hyperlink xmlns:r="http://schemas.openxmlformats.org/officeDocument/2006/relationships" ref="T1322" display="https://nl.linkedin.com/company/society-college" r:id="rId4040"/>
    <hyperlink xmlns:r="http://schemas.openxmlformats.org/officeDocument/2006/relationships" ref="Y1322" display="https://drive.google.com/uc?export=view&amp;id=1JVjRBSyCS61RMCCu8cRo_OUozBmoPII-" r:id="rId4041"/>
    <hyperlink xmlns:r="http://schemas.openxmlformats.org/officeDocument/2006/relationships" ref="E1323" display="https://www.sparted.com/" r:id="rId4042"/>
    <hyperlink xmlns:r="http://schemas.openxmlformats.org/officeDocument/2006/relationships" ref="Y1323" display="https://drive.google.com/uc?export=view&amp;id=1OUPEQEnOoA0u_eX_5n8RNxiV2t-juSp8" r:id="rId4043"/>
    <hyperlink xmlns:r="http://schemas.openxmlformats.org/officeDocument/2006/relationships" ref="E1324" display="https://sylexapp.com/" r:id="rId4044"/>
    <hyperlink xmlns:r="http://schemas.openxmlformats.org/officeDocument/2006/relationships" ref="R1324" display="https://www.instagram.com/sylexapp/" r:id="rId4045"/>
    <hyperlink xmlns:r="http://schemas.openxmlformats.org/officeDocument/2006/relationships" ref="S1324" display="https://twitter.com/sylexapp" r:id="rId4046"/>
    <hyperlink xmlns:r="http://schemas.openxmlformats.org/officeDocument/2006/relationships" ref="T1324" display="https://www.linkedin.com/company/76330568" r:id="rId4047"/>
    <hyperlink xmlns:r="http://schemas.openxmlformats.org/officeDocument/2006/relationships" ref="Y1324" display="https://drive.google.com/uc?export=view&amp;id=1Uo900LSpwcy0Z-vbp6zejgdb6llCdtqJ" r:id="rId4048"/>
    <hyperlink xmlns:r="http://schemas.openxmlformats.org/officeDocument/2006/relationships" ref="E1325" display="http://syntagmadigital.com/" r:id="rId4049"/>
    <hyperlink xmlns:r="http://schemas.openxmlformats.org/officeDocument/2006/relationships" ref="R1325" display="https://www.instagram.com/syntagma_analizador_sintactico/" r:id="rId4050"/>
    <hyperlink xmlns:r="http://schemas.openxmlformats.org/officeDocument/2006/relationships" ref="S1325" display="https://twitter.com/SyntagmaD" r:id="rId4051"/>
    <hyperlink xmlns:r="http://schemas.openxmlformats.org/officeDocument/2006/relationships" ref="T1325" display="https://www.linkedin.com/company/syntagmadigital" r:id="rId4052"/>
    <hyperlink xmlns:r="http://schemas.openxmlformats.org/officeDocument/2006/relationships" ref="Y1325" display="https://drive.google.com/uc?export=view&amp;id=1GIzpBDb_x7x10sHJ4_EL8XKZGi5BPHka" r:id="rId4053"/>
    <hyperlink xmlns:r="http://schemas.openxmlformats.org/officeDocument/2006/relationships" ref="E1326" display="https://takk.app/" r:id="rId4054"/>
    <hyperlink xmlns:r="http://schemas.openxmlformats.org/officeDocument/2006/relationships" ref="Y1326" display="https://drive.google.com/uc?export=view&amp;id=15CsNMUfypfn7y2BlBmahS1h7EhY_wi13" r:id="rId4055"/>
    <hyperlink xmlns:r="http://schemas.openxmlformats.org/officeDocument/2006/relationships" ref="E1327" display="https://www.talanddev.com/" r:id="rId4056"/>
    <hyperlink xmlns:r="http://schemas.openxmlformats.org/officeDocument/2006/relationships" ref="Y1327" display="https://drive.google.com/uc?export=view&amp;id=1uTk_qyJPZMFsWiW-vLD_vg1Kptk13cOo" r:id="rId4057"/>
    <hyperlink xmlns:r="http://schemas.openxmlformats.org/officeDocument/2006/relationships" ref="E1328" display="http://techkidsacademy.com/" r:id="rId4058"/>
    <hyperlink xmlns:r="http://schemas.openxmlformats.org/officeDocument/2006/relationships" ref="R1328" display="https://www.instagram.com/techkidsacademy/" r:id="rId4059"/>
    <hyperlink xmlns:r="http://schemas.openxmlformats.org/officeDocument/2006/relationships" ref="S1328" display="https://twitter.com/techkidsacademy" r:id="rId4060"/>
    <hyperlink xmlns:r="http://schemas.openxmlformats.org/officeDocument/2006/relationships" ref="T1328" display="https://www.linkedin.com/company/45964857/" r:id="rId4061"/>
    <hyperlink xmlns:r="http://schemas.openxmlformats.org/officeDocument/2006/relationships" ref="Y1328" display="https://drive.google.com/uc?export=view&amp;id=1Te0XaUR4-3wgcmPhqlAwtClFPBJ2cNMn" r:id="rId4062"/>
    <hyperlink xmlns:r="http://schemas.openxmlformats.org/officeDocument/2006/relationships" ref="E1329" display="https://testwe.eu/en/" r:id="rId4063"/>
    <hyperlink xmlns:r="http://schemas.openxmlformats.org/officeDocument/2006/relationships" ref="R1329" display="https://www.instagram.com/testwe_eu/" r:id="rId4064"/>
    <hyperlink xmlns:r="http://schemas.openxmlformats.org/officeDocument/2006/relationships" ref="S1329" display="https://twitter.com/testwe_eu" r:id="rId4065"/>
    <hyperlink xmlns:r="http://schemas.openxmlformats.org/officeDocument/2006/relationships" ref="T1329" display="https://www.linkedin.com/company/testwe" r:id="rId4066"/>
    <hyperlink xmlns:r="http://schemas.openxmlformats.org/officeDocument/2006/relationships" ref="Y1329" display="https://drive.google.com/uc?export=view&amp;id=1iEVw_HadK7sPYKIj1otl8chfgGpbuiFV" r:id="rId4067"/>
    <hyperlink xmlns:r="http://schemas.openxmlformats.org/officeDocument/2006/relationships" ref="E1330" display="http://www.thephotoacademy.com/" r:id="rId4068"/>
    <hyperlink xmlns:r="http://schemas.openxmlformats.org/officeDocument/2006/relationships" ref="Y1330" display="https://drive.google.com/uc?export=view&amp;id=1a9Gs_i2bv-KsdeNnDQsb4Lm0yWvDVIF3" r:id="rId4069"/>
    <hyperlink xmlns:r="http://schemas.openxmlformats.org/officeDocument/2006/relationships" ref="D1331" display="http://toddl.co/" r:id="rId4070"/>
    <hyperlink xmlns:r="http://schemas.openxmlformats.org/officeDocument/2006/relationships" ref="E1331" display="http://www.toddl.co/" r:id="rId4071"/>
    <hyperlink xmlns:r="http://schemas.openxmlformats.org/officeDocument/2006/relationships" ref="E1332" display="https://www.tosa.org/EN/index" r:id="rId4072"/>
    <hyperlink xmlns:r="http://schemas.openxmlformats.org/officeDocument/2006/relationships" ref="T1332" display="https://www.linkedin.com/company/tosacertifications/" r:id="rId4073"/>
    <hyperlink xmlns:r="http://schemas.openxmlformats.org/officeDocument/2006/relationships" ref="Y1332" display="https://drive.google.com/uc?export=view&amp;id=16TJ0KiiE1Fu1-OeWrfghjROa8pbt_KKG" r:id="rId4074"/>
    <hyperlink xmlns:r="http://schemas.openxmlformats.org/officeDocument/2006/relationships" ref="E1333" display="https://unly.org/" r:id="rId4075"/>
    <hyperlink xmlns:r="http://schemas.openxmlformats.org/officeDocument/2006/relationships" ref="R1333" display="https://www.instagram.com/propulseo/" r:id="rId4076"/>
    <hyperlink xmlns:r="http://schemas.openxmlformats.org/officeDocument/2006/relationships" ref="S1333" display="https://twitter.com/unlyed" r:id="rId4077"/>
    <hyperlink xmlns:r="http://schemas.openxmlformats.org/officeDocument/2006/relationships" ref="T1333" display="https://www.linkedin.com/company/unly/" r:id="rId4078"/>
    <hyperlink xmlns:r="http://schemas.openxmlformats.org/officeDocument/2006/relationships" ref="Y1333" display="https://drive.google.com/uc?export=view&amp;id=1xliyHvm-rirbaW4SkkXooG2ouNpBrCl0" r:id="rId4079"/>
    <hyperlink xmlns:r="http://schemas.openxmlformats.org/officeDocument/2006/relationships" ref="E1334" display="http://upskyld.com/" r:id="rId4080"/>
    <hyperlink xmlns:r="http://schemas.openxmlformats.org/officeDocument/2006/relationships" ref="T1334" display="https://www.linkedin.com/company/84367156/" r:id="rId4081"/>
    <hyperlink xmlns:r="http://schemas.openxmlformats.org/officeDocument/2006/relationships" ref="Y1334" display="https://drive.google.com/uc?export=view&amp;id=1Xzopr91dmMwctfgSfU4v-O8hqe2GTrjr" r:id="rId4082"/>
    <hyperlink xmlns:r="http://schemas.openxmlformats.org/officeDocument/2006/relationships" ref="E1335" display="https://www.vbuddies.world/" r:id="rId4083"/>
    <hyperlink xmlns:r="http://schemas.openxmlformats.org/officeDocument/2006/relationships" ref="Y1335" display="https://drive.google.com/uc?export=view&amp;id=10i9jLilfNja6oiGYWjSn4mxhYbB7_55O" r:id="rId4084"/>
    <hyperlink xmlns:r="http://schemas.openxmlformats.org/officeDocument/2006/relationships" ref="E1336" display="http://verifyed.io/" r:id="rId4085"/>
    <hyperlink xmlns:r="http://schemas.openxmlformats.org/officeDocument/2006/relationships" ref="Y1336" display="https://drive.google.com/uc?export=view&amp;id=1pHCmazhqzvaA7TrkPFo6jXqqaA7vX16C" r:id="rId4086"/>
    <hyperlink xmlns:r="http://schemas.openxmlformats.org/officeDocument/2006/relationships" ref="E1337" display="http://weeki.io/" r:id="rId4087"/>
    <hyperlink xmlns:r="http://schemas.openxmlformats.org/officeDocument/2006/relationships" ref="Y1337" display="https://drive.google.com/uc?export=view&amp;id=1WyeJb8cH6GRodx1C35_AgaVsCU2aTXOu" r:id="rId4088"/>
    <hyperlink xmlns:r="http://schemas.openxmlformats.org/officeDocument/2006/relationships" ref="E1338" display="https://www.weschool.com/en" r:id="rId4089"/>
    <hyperlink xmlns:r="http://schemas.openxmlformats.org/officeDocument/2006/relationships" ref="R1338" display="https://www.instagram.com/weschool_it/" r:id="rId4090"/>
    <hyperlink xmlns:r="http://schemas.openxmlformats.org/officeDocument/2006/relationships" ref="S1338" display="https://twitter.com/_weschool" r:id="rId4091"/>
    <hyperlink xmlns:r="http://schemas.openxmlformats.org/officeDocument/2006/relationships" ref="T1338" display="https://www.linkedin.com/company/weschool" r:id="rId4092"/>
    <hyperlink xmlns:r="http://schemas.openxmlformats.org/officeDocument/2006/relationships" ref="E1339" display="https://whaller.com/" r:id="rId4093"/>
    <hyperlink xmlns:r="http://schemas.openxmlformats.org/officeDocument/2006/relationships" ref="S1339" display="https://twitter.com/whaller_en" r:id="rId4094"/>
    <hyperlink xmlns:r="http://schemas.openxmlformats.org/officeDocument/2006/relationships" ref="T1339" display="https://www.linkedin.com/company/whaller" r:id="rId4095"/>
    <hyperlink xmlns:r="http://schemas.openxmlformats.org/officeDocument/2006/relationships" ref="Y1339" display="https://drive.google.com/uc?export=view&amp;id=1rXK3BL3xTvEp6YnOoCvY4uKcofHyRN1m" r:id="rId4096"/>
    <hyperlink xmlns:r="http://schemas.openxmlformats.org/officeDocument/2006/relationships" ref="E1340" display="https://academa.de/" r:id="rId4097"/>
    <hyperlink xmlns:r="http://schemas.openxmlformats.org/officeDocument/2006/relationships" ref="Y1340" display="https://drive.google.com/uc?export=view&amp;id=1AQgpgCyLZeGulCay7lylWpMPdiT_xw-u" r:id="rId4098"/>
    <hyperlink xmlns:r="http://schemas.openxmlformats.org/officeDocument/2006/relationships" ref="E1341" display="http://www.admentum.se/" r:id="rId4099"/>
    <hyperlink xmlns:r="http://schemas.openxmlformats.org/officeDocument/2006/relationships" ref="T1341" display="https://www.linkedin.com/company/skolplattformen" r:id="rId4100"/>
    <hyperlink xmlns:r="http://schemas.openxmlformats.org/officeDocument/2006/relationships" ref="Y1341" display="https://drive.google.com/uc?export=view&amp;id=129cHBdnzZ35rpshNhMzjImatpP0vUtiG" r:id="rId4101"/>
    <hyperlink xmlns:r="http://schemas.openxmlformats.org/officeDocument/2006/relationships" ref="E1342" display="http://www.area9lyceum.com/" r:id="rId4102"/>
    <hyperlink xmlns:r="http://schemas.openxmlformats.org/officeDocument/2006/relationships" ref="S1342" display="https://twitter.com/area9lyceum" r:id="rId4103"/>
    <hyperlink xmlns:r="http://schemas.openxmlformats.org/officeDocument/2006/relationships" ref="T1342" display="https://www.linkedin.com/company/area9lyceum" r:id="rId4104"/>
    <hyperlink xmlns:r="http://schemas.openxmlformats.org/officeDocument/2006/relationships" ref="Y1342" display="https://drive.google.com/uc?export=view&amp;id=1p5SxfRPj34o-oHh8fNB7bBDFC4G6dqB_" r:id="rId4105"/>
    <hyperlink xmlns:r="http://schemas.openxmlformats.org/officeDocument/2006/relationships" ref="E1343" display="https://codegrade.com/" r:id="rId4106"/>
    <hyperlink xmlns:r="http://schemas.openxmlformats.org/officeDocument/2006/relationships" ref="S1343" display="https://twitter.com/CodeGradeCom" r:id="rId4107"/>
    <hyperlink xmlns:r="http://schemas.openxmlformats.org/officeDocument/2006/relationships" ref="T1343" display="https://www.linkedin.com/company/codegrade/" r:id="rId4108"/>
    <hyperlink xmlns:r="http://schemas.openxmlformats.org/officeDocument/2006/relationships" ref="Y1343" display="https://drive.google.com/uc?export=view&amp;id=13iLT4uxN7ff9vwuvbhxw4GGGXhTIjn92" r:id="rId4109"/>
    <hyperlink xmlns:r="http://schemas.openxmlformats.org/officeDocument/2006/relationships" ref="E1344" display="https://globalcoss.com/" r:id="rId4110"/>
    <hyperlink xmlns:r="http://schemas.openxmlformats.org/officeDocument/2006/relationships" ref="Y1344" display="https://drive.google.com/uc?export=view&amp;id=1mR3HjV2Ubt8jIBhiTSGgwHBfr15aRgaL" r:id="rId4111"/>
    <hyperlink xmlns:r="http://schemas.openxmlformats.org/officeDocument/2006/relationships" ref="E1345" display="https://www.digleefy.no/" r:id="rId4112"/>
    <hyperlink xmlns:r="http://schemas.openxmlformats.org/officeDocument/2006/relationships" ref="E1346" display="https://eduki.com/" r:id="rId4113"/>
    <hyperlink xmlns:r="http://schemas.openxmlformats.org/officeDocument/2006/relationships" ref="Y1346" display="https://drive.google.com/uc?export=view&amp;id=1iqds_j-_bNpFZ4qyiPP_03OWWmOH1_Dl" r:id="rId4114"/>
    <hyperlink xmlns:r="http://schemas.openxmlformats.org/officeDocument/2006/relationships" ref="E1347" display="http://www.emotionhack.com/" r:id="rId4115"/>
    <hyperlink xmlns:r="http://schemas.openxmlformats.org/officeDocument/2006/relationships" ref="Y1347" display="https://drive.google.com/uc?export=view&amp;id=1hUDH8ZIJeJAo_8423Be-94k00zOCS1dW" r:id="rId4116"/>
    <hyperlink xmlns:r="http://schemas.openxmlformats.org/officeDocument/2006/relationships" ref="E1348" display="https://www.funacademy.org/" r:id="rId4117"/>
    <hyperlink xmlns:r="http://schemas.openxmlformats.org/officeDocument/2006/relationships" ref="T1348" display="https://www.linkedin.com/search/results/all/?keywords=fun%20academy&amp;origin=GLOBAL_SEARCH_HEADER&amp;sid=u*2" r:id="rId4118"/>
    <hyperlink xmlns:r="http://schemas.openxmlformats.org/officeDocument/2006/relationships" ref="Y1348" display="https://drive.google.com/uc?export=view&amp;id=1DrJgMqXiFPJZnBm-JHUntmb6taLWtvYR" r:id="rId4119"/>
    <hyperlink xmlns:r="http://schemas.openxmlformats.org/officeDocument/2006/relationships" ref="E1349" display="https://heroapp.ai/" r:id="rId4120"/>
    <hyperlink xmlns:r="http://schemas.openxmlformats.org/officeDocument/2006/relationships" ref="Y1349" display="https://drive.google.com/uc?export=view&amp;id=18OoJhR33MvPz61Kpabv7xY6RjXTFGLdm" r:id="rId4121"/>
    <hyperlink xmlns:r="http://schemas.openxmlformats.org/officeDocument/2006/relationships" ref="E1350" display="http://kings.lt/" r:id="rId4122"/>
    <hyperlink xmlns:r="http://schemas.openxmlformats.org/officeDocument/2006/relationships" ref="Y1350" display="https://drive.google.com/uc?export=view&amp;id=15z9REUQowvXlWBZVxxidwFesMKeaVOUn" r:id="rId4123"/>
    <hyperlink xmlns:r="http://schemas.openxmlformats.org/officeDocument/2006/relationships" ref="E1351" display="https://www.lingio.com/en" r:id="rId4124"/>
    <hyperlink xmlns:r="http://schemas.openxmlformats.org/officeDocument/2006/relationships" ref="T1351" display="https://www.linkedin.com/company/lingio" r:id="rId4125"/>
    <hyperlink xmlns:r="http://schemas.openxmlformats.org/officeDocument/2006/relationships" ref="Y1351" display="https://drive.google.com/uc?export=view&amp;id=1UC5IHoaTV757dxz8n9nFVJ_so690SL0z" r:id="rId4126"/>
    <hyperlink xmlns:r="http://schemas.openxmlformats.org/officeDocument/2006/relationships" ref="E1352" display="https://www.magmalearning.com/" r:id="rId4127"/>
    <hyperlink xmlns:r="http://schemas.openxmlformats.org/officeDocument/2006/relationships" ref="T1352" display="https://www.linkedin.com/company/magma-learning" r:id="rId4128"/>
    <hyperlink xmlns:r="http://schemas.openxmlformats.org/officeDocument/2006/relationships" ref="Y1352" display="https://drive.google.com/uc?export=view&amp;id=1u31TDPk-Ut4ct4gTzRgG76gMBrDMOCNw" r:id="rId4129"/>
    <hyperlink xmlns:r="http://schemas.openxmlformats.org/officeDocument/2006/relationships" ref="E1353" display="http://www.magmamath.com/" r:id="rId4130"/>
    <hyperlink xmlns:r="http://schemas.openxmlformats.org/officeDocument/2006/relationships" ref="R1353" display="http://instagram.com/magma_math" r:id="rId4131"/>
    <hyperlink xmlns:r="http://schemas.openxmlformats.org/officeDocument/2006/relationships" ref="S1353" display="http://twitter.com/magmamath" r:id="rId4132"/>
    <hyperlink xmlns:r="http://schemas.openxmlformats.org/officeDocument/2006/relationships" ref="T1353" display="https://www.linkedin.com/company/magma-math" r:id="rId4133"/>
    <hyperlink xmlns:r="http://schemas.openxmlformats.org/officeDocument/2006/relationships" ref="Y1353" display="https://drive.google.com/uc?export=view&amp;id=1KawoERUFQfFikHlRSnMKFNbiaUuZL6xz" r:id="rId4134"/>
    <hyperlink xmlns:r="http://schemas.openxmlformats.org/officeDocument/2006/relationships" ref="E1354" display="https://www.meebook.org/" r:id="rId4135"/>
    <hyperlink xmlns:r="http://schemas.openxmlformats.org/officeDocument/2006/relationships" ref="Y1354" display="https://drive.google.com/uc?export=view&amp;id=1fh3eyiLhJMGGQ4oj8NqA7nVBIL8hCj5L" r:id="rId4136"/>
    <hyperlink xmlns:r="http://schemas.openxmlformats.org/officeDocument/2006/relationships" ref="E1355" display="https://www.mobietrain.com/" r:id="rId4137"/>
    <hyperlink xmlns:r="http://schemas.openxmlformats.org/officeDocument/2006/relationships" ref="Y1355" display="https://drive.google.com/uc?export=view&amp;id=1cZjFsdmcGZsygV0t8hzOKS31SRL_Y1BF" r:id="rId4138"/>
    <hyperlink xmlns:r="http://schemas.openxmlformats.org/officeDocument/2006/relationships" ref="E1356" display="http://www.noobe.es/" r:id="rId4139"/>
    <hyperlink xmlns:r="http://schemas.openxmlformats.org/officeDocument/2006/relationships" ref="R1356" display="https://www.instagram.com/noobeagilelearning/" r:id="rId4140"/>
    <hyperlink xmlns:r="http://schemas.openxmlformats.org/officeDocument/2006/relationships" ref="S1356" display="https://twitter.com/Noobe_AL" r:id="rId4141"/>
    <hyperlink xmlns:r="http://schemas.openxmlformats.org/officeDocument/2006/relationships" ref="T1356" display="https://www.linkedin.com/company/noobeeducation/" r:id="rId4142"/>
    <hyperlink xmlns:r="http://schemas.openxmlformats.org/officeDocument/2006/relationships" ref="Y1356" display="https://drive.google.com/uc?export=view&amp;id=1iKwNLIl1olsJV47PftqjWuIMn13cqmS2" r:id="rId4143"/>
    <hyperlink xmlns:r="http://schemas.openxmlformats.org/officeDocument/2006/relationships" ref="E1357" display="http://www.paideialondon.com/" r:id="rId4144"/>
    <hyperlink xmlns:r="http://schemas.openxmlformats.org/officeDocument/2006/relationships" ref="Y1357" display="https://drive.google.com/uc?export=view&amp;id=10TjOvjGvEVQQ9XiSsjaKtz3Qja5zanBi" r:id="rId4145"/>
    <hyperlink xmlns:r="http://schemas.openxmlformats.org/officeDocument/2006/relationships" ref="E1358" display="https://www.pitchboy.sc/" r:id="rId4146"/>
    <hyperlink xmlns:r="http://schemas.openxmlformats.org/officeDocument/2006/relationships" ref="S1358" display="https://twitter.com/PitchboyVR" r:id="rId4147"/>
    <hyperlink xmlns:r="http://schemas.openxmlformats.org/officeDocument/2006/relationships" ref="T1358" display="https://www.linkedin.com/company/pitchboy/" r:id="rId4148"/>
    <hyperlink xmlns:r="http://schemas.openxmlformats.org/officeDocument/2006/relationships" ref="E1359" display="https://tunteetjataidot.fi/en/home/" r:id="rId4149"/>
    <hyperlink xmlns:r="http://schemas.openxmlformats.org/officeDocument/2006/relationships" ref="Y1359" display="https://drive.google.com/uc?export=view&amp;id=1wpWc5yzNVib6tyQsHwtXaw7z4-7OuqQW" r:id="rId4150"/>
    <hyperlink xmlns:r="http://schemas.openxmlformats.org/officeDocument/2006/relationships" ref="E1360" display="https://www.schoolparrot.co.uk/" r:id="rId4151"/>
    <hyperlink xmlns:r="http://schemas.openxmlformats.org/officeDocument/2006/relationships" ref="R1360" display="https://www.instagram.com/schoolparrot/" r:id="rId4152"/>
    <hyperlink xmlns:r="http://schemas.openxmlformats.org/officeDocument/2006/relationships" ref="S1360" display="https://twitter.com/schoolparrotoff" r:id="rId4153"/>
    <hyperlink xmlns:r="http://schemas.openxmlformats.org/officeDocument/2006/relationships" ref="T1360" display="https://www.linkedin.com/company/schoolparrot" r:id="rId4154"/>
    <hyperlink xmlns:r="http://schemas.openxmlformats.org/officeDocument/2006/relationships" ref="Y1360" display="https://drive.google.com/uc?export=view&amp;id=1v7_UPnE7zhHHqGRBk5PN-tTUGg-ooEC8" r:id="rId4155"/>
    <hyperlink xmlns:r="http://schemas.openxmlformats.org/officeDocument/2006/relationships" ref="E1361" display="http://www.siliconhagen.com/" r:id="rId4156"/>
    <hyperlink xmlns:r="http://schemas.openxmlformats.org/officeDocument/2006/relationships" ref="Y1361" display="https://drive.google.com/uc?export=view&amp;id=1X6vPeqda-H7oxzAQDy45wLVGIVRRYTLy" r:id="rId4157"/>
    <hyperlink xmlns:r="http://schemas.openxmlformats.org/officeDocument/2006/relationships" ref="E1362" display="https://startsteps.org/" r:id="rId4158"/>
    <hyperlink xmlns:r="http://schemas.openxmlformats.org/officeDocument/2006/relationships" ref="Y1362" display="https://drive.google.com/uc?export=view&amp;id=1OHeulynBf601ThHWH1sW_LWaRC6Tcmc1" r:id="rId4159"/>
    <hyperlink xmlns:r="http://schemas.openxmlformats.org/officeDocument/2006/relationships" ref="E1363" display="http://www.swisslearninghub.com/" r:id="rId4160"/>
    <hyperlink xmlns:r="http://schemas.openxmlformats.org/officeDocument/2006/relationships" ref="Y1363" display="https://drive.google.com/uc?export=view&amp;id=1Jbip0Ecr93LrAqFNM0R14EqRBN1t4XQc" r:id="rId4161"/>
    <hyperlink xmlns:r="http://schemas.openxmlformats.org/officeDocument/2006/relationships" ref="E1364" display="http://www.vrplatformen.dk/platform/xpandr/" r:id="rId4162"/>
    <hyperlink xmlns:r="http://schemas.openxmlformats.org/officeDocument/2006/relationships" ref="T1364" display="https://www.linkedin.com/company/takeawalkvr" r:id="rId4163"/>
    <hyperlink xmlns:r="http://schemas.openxmlformats.org/officeDocument/2006/relationships" ref="Y1364" display="https://drive.google.com/uc?export=view&amp;id=1lVtHWRaC-b84Wzm8aDA_mxZ0jOtXABOP" r:id="rId4164"/>
    <hyperlink xmlns:r="http://schemas.openxmlformats.org/officeDocument/2006/relationships" ref="E1365" display="https://tiny-coaching.com/index.php/en/tinycoaching-le-coach-virtuel-english/" r:id="rId4165"/>
    <hyperlink xmlns:r="http://schemas.openxmlformats.org/officeDocument/2006/relationships" ref="Y1365" display="https://drive.google.com/uc?export=view&amp;id=1Yxtxp--q-tMpwRcecGXpcTEGIbo6MKTf" r:id="rId4166"/>
    <hyperlink xmlns:r="http://schemas.openxmlformats.org/officeDocument/2006/relationships" ref="E1366" display="https://www.tokeyfinance.com/home" r:id="rId4167"/>
    <hyperlink xmlns:r="http://schemas.openxmlformats.org/officeDocument/2006/relationships" ref="Y1366" display="https://drive.google.com/uc?export=view&amp;id=18OGAQXEQSJEJx9k3URZP1fYcKiZWtQjT" r:id="rId4168"/>
    <hyperlink xmlns:r="http://schemas.openxmlformats.org/officeDocument/2006/relationships" ref="E1367" display="http://www.valamonacademy.com/" r:id="rId4169"/>
    <hyperlink xmlns:r="http://schemas.openxmlformats.org/officeDocument/2006/relationships" ref="Y1367" display="https://drive.google.com/uc?export=view&amp;id=1bRCKsMWAJeasqV_c_PpH3-MrJ35Mu6cO" r:id="rId4170"/>
    <hyperlink xmlns:r="http://schemas.openxmlformats.org/officeDocument/2006/relationships" ref="E1368" display="http://www.learnmatch.com/" r:id="rId4171"/>
    <hyperlink xmlns:r="http://schemas.openxmlformats.org/officeDocument/2006/relationships" ref="T1368" display="https://www.linkedin.com/company/11433216/" r:id="rId4172"/>
    <hyperlink xmlns:r="http://schemas.openxmlformats.org/officeDocument/2006/relationships" ref="Y1368" display="https://drive.google.com/uc?export=view&amp;id=1-0lZ4gMZAUKZ-peL7fBS4rQZFZdT_1Zl" r:id="rId4173"/>
    <hyperlink xmlns:r="http://schemas.openxmlformats.org/officeDocument/2006/relationships" ref="E1369" display="http://www.weirdsciencelab.com/" r:id="rId4174"/>
    <hyperlink xmlns:r="http://schemas.openxmlformats.org/officeDocument/2006/relationships" ref="Y1369" display="https://drive.google.com/uc?export=view&amp;id=1F7PJijQCKUSeVbq51Il8BWpA9NxcEaoz" r:id="rId4175"/>
    <hyperlink xmlns:r="http://schemas.openxmlformats.org/officeDocument/2006/relationships" ref="E1370" display="http://www.wryte.io/" r:id="rId4176"/>
    <hyperlink xmlns:r="http://schemas.openxmlformats.org/officeDocument/2006/relationships" ref="Y1370" display="https://drive.google.com/uc?export=view&amp;id=1UDmjwmSea9PdNQaL3wzAOugIJunRxHhx" r:id="rId4177"/>
    <hyperlink xmlns:r="http://schemas.openxmlformats.org/officeDocument/2006/relationships" ref="D1371" display="http://jenseigne.fr/" r:id="rId4178"/>
    <hyperlink xmlns:r="http://schemas.openxmlformats.org/officeDocument/2006/relationships" ref="E1371" display="https://www.jenseigne.fr/" r:id="rId4179"/>
    <hyperlink xmlns:r="http://schemas.openxmlformats.org/officeDocument/2006/relationships" ref="U1371" display="http://jenseigne.fr/" r:id="rId4180"/>
    <hyperlink xmlns:r="http://schemas.openxmlformats.org/officeDocument/2006/relationships" ref="W1371" display="http://meseleves.fr/" r:id="rId4181"/>
    <hyperlink xmlns:r="http://schemas.openxmlformats.org/officeDocument/2006/relationships" ref="E1372" display="https://leemons.io/" r:id="rId4182"/>
    <hyperlink xmlns:r="http://schemas.openxmlformats.org/officeDocument/2006/relationships" ref="Y1372" display="https://drive.google.com/uc?export=view&amp;id=1V8OozST_kd9ag9oPJFfAA-e6h54WhTpI" r:id="rId4183"/>
    <hyperlink xmlns:r="http://schemas.openxmlformats.org/officeDocument/2006/relationships" ref="E1373" display="http://wingup.io/" r:id="rId4184"/>
    <hyperlink xmlns:r="http://schemas.openxmlformats.org/officeDocument/2006/relationships" ref="E1374" display="https://comodinuniversitario.com/" r:id="rId4185"/>
    <hyperlink xmlns:r="http://schemas.openxmlformats.org/officeDocument/2006/relationships" ref="T1374" display="https://www.linkedin.com/in/%C3%B3liver-n%C3%BA%C3%B1ez-rozas-84a15681/" r:id="rId4186"/>
    <hyperlink xmlns:r="http://schemas.openxmlformats.org/officeDocument/2006/relationships" ref="Y1374" display="https://drive.google.com/uc?export=view&amp;id=1kXUrFXEOjMgnLtQamvmp00s7RjS74IB5" r:id="rId4187"/>
    <hyperlink xmlns:r="http://schemas.openxmlformats.org/officeDocument/2006/relationships" ref="E1375" display="http://www.moveen.eu/" r:id="rId4188"/>
    <hyperlink xmlns:r="http://schemas.openxmlformats.org/officeDocument/2006/relationships" ref="E1376" display="https://www.paragin.com/" r:id="rId4189"/>
    <hyperlink xmlns:r="http://schemas.openxmlformats.org/officeDocument/2006/relationships" ref="T1376" display="https://nl.linkedin.com/company/paragin" r:id="rId4190"/>
    <hyperlink xmlns:r="http://schemas.openxmlformats.org/officeDocument/2006/relationships" ref="Y1376" display="https://drive.google.com/uc?export=view&amp;id=1qddC_-Ncj4F8miS5vBoVknxYiN2ChOlR" r:id="rId4191"/>
    <hyperlink xmlns:r="http://schemas.openxmlformats.org/officeDocument/2006/relationships" ref="D1377" display="http://voluta.coop/" r:id="rId4192"/>
    <hyperlink xmlns:r="http://schemas.openxmlformats.org/officeDocument/2006/relationships" ref="E1377" display="https://www.voluta.coop/" r:id="rId4193"/>
    <hyperlink xmlns:r="http://schemas.openxmlformats.org/officeDocument/2006/relationships" ref="Y1377" display="https://drive.google.com/uc?export=view&amp;id=1HxQu0nO916M7ioS3S-K4xMDcGUjcLiyU" r:id="rId4194"/>
    <hyperlink xmlns:r="http://schemas.openxmlformats.org/officeDocument/2006/relationships" ref="E1378" display="http://www.wowplayexperience.com/" r:id="rId4195"/>
    <hyperlink xmlns:r="http://schemas.openxmlformats.org/officeDocument/2006/relationships" ref="T1378" display="https://www.linkedin.com/company/wowplayexperience/" r:id="rId4196"/>
    <hyperlink xmlns:r="http://schemas.openxmlformats.org/officeDocument/2006/relationships" ref="Y1378" display="https://drive.google.com/uc?export=view&amp;id=1sK6JVXdKrAhvJ-XQ_8iiAkd_lZ5XoFeS" r:id="rId4197"/>
    <hyperlink xmlns:r="http://schemas.openxmlformats.org/officeDocument/2006/relationships" ref="E1379" display="https://abstract-technology.com/" r:id="rId4198"/>
    <hyperlink xmlns:r="http://schemas.openxmlformats.org/officeDocument/2006/relationships" ref="E1380" display="https://azav-pilot.de/" r:id="rId4199"/>
    <hyperlink xmlns:r="http://schemas.openxmlformats.org/officeDocument/2006/relationships" ref="Y1380" display="https://drive.google.com/uc?export=view&amp;id=1rORReOctkTPBqaGDRxb5BGhjJEaWl52B" r:id="rId4200"/>
    <hyperlink xmlns:r="http://schemas.openxmlformats.org/officeDocument/2006/relationships" ref="E1381" display="https://beedle.co/" r:id="rId4201"/>
    <hyperlink xmlns:r="http://schemas.openxmlformats.org/officeDocument/2006/relationships" ref="Y1381" display="https://drive.google.com/uc?export=view&amp;id=1VLbgHPxO0KpFMX-NHHO-K5X6xke2ezCq" r:id="rId4202"/>
    <hyperlink xmlns:r="http://schemas.openxmlformats.org/officeDocument/2006/relationships" ref="E1382" display="http://buku.io/" r:id="rId4203"/>
    <hyperlink xmlns:r="http://schemas.openxmlformats.org/officeDocument/2006/relationships" ref="T1382" display="https://www.linkedin.com/company/buku-world/mycompany/" r:id="rId4204"/>
    <hyperlink xmlns:r="http://schemas.openxmlformats.org/officeDocument/2006/relationships" ref="Y1382" display="https://drive.google.com/uc?export=view&amp;id=1MODGVJgpEACpQssCBm0hG-9lD8osuEL2" r:id="rId4205"/>
    <hyperlink xmlns:r="http://schemas.openxmlformats.org/officeDocument/2006/relationships" ref="E1383" display="http://cresory.com/" r:id="rId4206"/>
    <hyperlink xmlns:r="http://schemas.openxmlformats.org/officeDocument/2006/relationships" ref="Y1383" display="https://drive.google.com/uc?export=view&amp;id=1QqCfUZo9pe3nBaemrIsGNNVgrFTT-we9" r:id="rId4207"/>
    <hyperlink xmlns:r="http://schemas.openxmlformats.org/officeDocument/2006/relationships" ref="E1384" display="https://www.d-teachschool.com/" r:id="rId4208"/>
    <hyperlink xmlns:r="http://schemas.openxmlformats.org/officeDocument/2006/relationships" ref="T1384" display="https://www.linkedin.com/company/d-teach/about/?viewAsMember=true" r:id="rId4209"/>
    <hyperlink xmlns:r="http://schemas.openxmlformats.org/officeDocument/2006/relationships" ref="Y1384" display="https://drive.google.com/uc?export=view&amp;id=1JTlv8QkiVUaMk8CjNnATToDcSB-XWhkU" r:id="rId4210"/>
    <hyperlink xmlns:r="http://schemas.openxmlformats.org/officeDocument/2006/relationships" ref="E1385" display="https://d-teachtraining.com/" r:id="rId4211"/>
    <hyperlink xmlns:r="http://schemas.openxmlformats.org/officeDocument/2006/relationships" ref="T1385" display="https://www.linkedin.com/company/d-teach-training/about/" r:id="rId4212"/>
    <hyperlink xmlns:r="http://schemas.openxmlformats.org/officeDocument/2006/relationships" ref="Y1385" display="https://drive.google.com/uc?export=view&amp;id=1sgAjrqKrYUVr2gSXwJcoS5WH-w12U4E3" r:id="rId4213"/>
    <hyperlink xmlns:r="http://schemas.openxmlformats.org/officeDocument/2006/relationships" ref="E1386" display="https://www.docsity.com/" r:id="rId4214"/>
    <hyperlink xmlns:r="http://schemas.openxmlformats.org/officeDocument/2006/relationships" ref="Y1386" display="https://drive.google.com/uc?export=view&amp;id=1w22Va9WYBnhGKivKrRUb8C0jllWQpiNQ" r:id="rId4215"/>
    <hyperlink xmlns:r="http://schemas.openxmlformats.org/officeDocument/2006/relationships" ref="E1387" display="http://www.edaider.com/" r:id="rId4216"/>
    <hyperlink xmlns:r="http://schemas.openxmlformats.org/officeDocument/2006/relationships" ref="T1387" display="http://www.linkedin.com/ed-aider" r:id="rId4217"/>
    <hyperlink xmlns:r="http://schemas.openxmlformats.org/officeDocument/2006/relationships" ref="Y1387" display="https://drive.google.com/uc?export=view&amp;id=155jqeHP5qMATmq3awUm7FFDJqW3RGbNs" r:id="rId4218"/>
    <hyperlink xmlns:r="http://schemas.openxmlformats.org/officeDocument/2006/relationships" ref="E1388" display="http://www.edberry.digital/" r:id="rId4219"/>
    <hyperlink xmlns:r="http://schemas.openxmlformats.org/officeDocument/2006/relationships" ref="Y1388" display="https://drive.google.com/uc?export=view&amp;id=1k8e_m0fJVs_g9-h13MDxxSnoEywRk1xP" r:id="rId4220"/>
    <hyperlink xmlns:r="http://schemas.openxmlformats.org/officeDocument/2006/relationships" ref="E1389" display="http://educat.study/" r:id="rId4221"/>
    <hyperlink xmlns:r="http://schemas.openxmlformats.org/officeDocument/2006/relationships" ref="Y1389" display="https://drive.google.com/uc?export=view&amp;id=12SX9CETeukP7HRtY2QHJeHuT7yZrotcN" r:id="rId4222"/>
    <hyperlink xmlns:r="http://schemas.openxmlformats.org/officeDocument/2006/relationships" ref="E1390" display="http://www.edusiia.com/" r:id="rId4223"/>
    <hyperlink xmlns:r="http://schemas.openxmlformats.org/officeDocument/2006/relationships" ref="Y1390" display="https://drive.google.com/uc?export=view&amp;id=18ytvzXk_6I7cdviy4NET-6T-kyzYKjX5" r:id="rId4224"/>
    <hyperlink xmlns:r="http://schemas.openxmlformats.org/officeDocument/2006/relationships" ref="E1391" display="http://www.edutec.one/" r:id="rId4225"/>
    <hyperlink xmlns:r="http://schemas.openxmlformats.org/officeDocument/2006/relationships" ref="Y1391" display="https://drive.google.com/uc?export=view&amp;id=1bv2tYMM1vow-4NBuzGzU1pA3b6_aGh-q" r:id="rId4226"/>
    <hyperlink xmlns:r="http://schemas.openxmlformats.org/officeDocument/2006/relationships" ref="E1392" display="http://www.endurae.com/" r:id="rId4227"/>
    <hyperlink xmlns:r="http://schemas.openxmlformats.org/officeDocument/2006/relationships" ref="Y1392" display="https://drive.google.com/uc?export=view&amp;id=1qU9572SbPFpzBNxo9OFgcu15ZRY4QHk2" r:id="rId4228"/>
    <hyperlink xmlns:r="http://schemas.openxmlformats.org/officeDocument/2006/relationships" ref="E1393" display="https://www.enzima12.com/home-enzima12" r:id="rId4229"/>
    <hyperlink xmlns:r="http://schemas.openxmlformats.org/officeDocument/2006/relationships" ref="Y1393" display="https://drive.google.com/uc?export=view&amp;id=18GZqFcjfZQbp02K-gHONI5uHu8O_F2p2" r:id="rId4230"/>
    <hyperlink xmlns:r="http://schemas.openxmlformats.org/officeDocument/2006/relationships" ref="E1394" display="https://financeunlocked.com/" r:id="rId4231"/>
    <hyperlink xmlns:r="http://schemas.openxmlformats.org/officeDocument/2006/relationships" ref="Y1394" display="https://drive.google.com/uc?export=view&amp;id=1F40JV5OzRdvbu3jMoqGJqGOyF8tvr1dp" r:id="rId4232"/>
    <hyperlink xmlns:r="http://schemas.openxmlformats.org/officeDocument/2006/relationships" ref="E1395" display="http://genyusschool.com/" r:id="rId4233"/>
    <hyperlink xmlns:r="http://schemas.openxmlformats.org/officeDocument/2006/relationships" ref="R1395" display="https://www.instagram.com/genyusschool/" r:id="rId4234"/>
    <hyperlink xmlns:r="http://schemas.openxmlformats.org/officeDocument/2006/relationships" ref="S1395" display="https://twitter.com/GenyusSchool" r:id="rId4235"/>
    <hyperlink xmlns:r="http://schemas.openxmlformats.org/officeDocument/2006/relationships" ref="T1395" display="https://www.linkedin.com/company/genyusschool" r:id="rId4236"/>
    <hyperlink xmlns:r="http://schemas.openxmlformats.org/officeDocument/2006/relationships" ref="Y1395" display="https://drive.google.com/uc?export=view&amp;id=1S3d3GBJlnaUutwUhf6Q_4jCXH0IlBkuI" r:id="rId4237"/>
    <hyperlink xmlns:r="http://schemas.openxmlformats.org/officeDocument/2006/relationships" ref="E1396" display="https://www.gomapped.com/" r:id="rId4238"/>
    <hyperlink xmlns:r="http://schemas.openxmlformats.org/officeDocument/2006/relationships" ref="S1396" display="https://twitter.com/GoMappED" r:id="rId4239"/>
    <hyperlink xmlns:r="http://schemas.openxmlformats.org/officeDocument/2006/relationships" ref="T1396" display="https://ie.linkedin.com/company/gomappedlimited" r:id="rId4240"/>
    <hyperlink xmlns:r="http://schemas.openxmlformats.org/officeDocument/2006/relationships" ref="Y1396" display="https://drive.google.com/uc?export=view&amp;id=1cT2mqK0gPXNkX816R_YXwDO7ElNoaB8W" r:id="rId4241"/>
    <hyperlink xmlns:r="http://schemas.openxmlformats.org/officeDocument/2006/relationships" ref="E1397" display="https://www.guilds42.com/" r:id="rId4242"/>
    <hyperlink xmlns:r="http://schemas.openxmlformats.org/officeDocument/2006/relationships" ref="Y1397" display="https://drive.google.com/uc?export=view&amp;id=1cyqxkHlMBWUyzpqaKUmxdfeUeU6O4Ina" r:id="rId4243"/>
    <hyperlink xmlns:r="http://schemas.openxmlformats.org/officeDocument/2006/relationships" ref="E1398" display="https://www.hostudents.com/" r:id="rId4244"/>
    <hyperlink xmlns:r="http://schemas.openxmlformats.org/officeDocument/2006/relationships" ref="Y1398" display="https://drive.google.com/uc?export=view&amp;id=1DkNYHB9dy5hUiUlafMB6E1OlEvbsaz7d" r:id="rId4245"/>
    <hyperlink xmlns:r="http://schemas.openxmlformats.org/officeDocument/2006/relationships" ref="E1399" display="https://www.impactschool.org.ls/" r:id="rId4246"/>
    <hyperlink xmlns:r="http://schemas.openxmlformats.org/officeDocument/2006/relationships" ref="Y1399" display="https://drive.google.com/uc?export=view&amp;id=18g_v4eJjlefBjRhSqKW_KekZ8KL-hBCN" r:id="rId4247"/>
    <hyperlink xmlns:r="http://schemas.openxmlformats.org/officeDocument/2006/relationships" ref="E1400" display="https://www.edukimple.com/" r:id="rId4248"/>
    <hyperlink xmlns:r="http://schemas.openxmlformats.org/officeDocument/2006/relationships" ref="T1400" display="https://www.linkedin.com/company/kimple-education" r:id="rId4249"/>
    <hyperlink xmlns:r="http://schemas.openxmlformats.org/officeDocument/2006/relationships" ref="Y1400" display="https://drive.google.com/uc?export=view&amp;id=1GXpKDGRSJkHyaIrRrK6hayOpeVcWiAzT" r:id="rId4250"/>
    <hyperlink xmlns:r="http://schemas.openxmlformats.org/officeDocument/2006/relationships" ref="E1401" display="http://www.learnster.com/?utm_source=european_edtech_map&amp;utm_medium=banner&amp;utm_campaign=profile" r:id="rId4251"/>
    <hyperlink xmlns:r="http://schemas.openxmlformats.org/officeDocument/2006/relationships" ref="Y1401" display="https://drive.google.com/uc?export=view&amp;id=1iEqsTf-0-k7DNzKuGL1jnSTTIGG7RMZ7" r:id="rId4252"/>
    <hyperlink xmlns:r="http://schemas.openxmlformats.org/officeDocument/2006/relationships" ref="E1402" display="http://www.makersredbox.com/" r:id="rId4253"/>
    <hyperlink xmlns:r="http://schemas.openxmlformats.org/officeDocument/2006/relationships" ref="E1403" display="http://www.mysnapshot.co/" r:id="rId4254"/>
    <hyperlink xmlns:r="http://schemas.openxmlformats.org/officeDocument/2006/relationships" ref="D1404" display="http://nauczeni.pl/" r:id="rId4255"/>
    <hyperlink xmlns:r="http://schemas.openxmlformats.org/officeDocument/2006/relationships" ref="E1404" display="https://www.nauczeni.pl/" r:id="rId4256"/>
    <hyperlink xmlns:r="http://schemas.openxmlformats.org/officeDocument/2006/relationships" ref="Y1404" display="https://drive.google.com/uc?export=view&amp;id=1vJPvZ3q_jaKPCrSbJTtg49byxy8I9rQa" r:id="rId4257"/>
    <hyperlink xmlns:r="http://schemas.openxmlformats.org/officeDocument/2006/relationships" ref="E1405" display="http://www.ne.se/" r:id="rId4258"/>
    <hyperlink xmlns:r="http://schemas.openxmlformats.org/officeDocument/2006/relationships" ref="Y1405" display="https://drive.google.com/uc?export=view&amp;id=1yU1VBj0VTtBKOCyTkSG_LEq3TlJVz2z6" r:id="rId4259"/>
    <hyperlink xmlns:r="http://schemas.openxmlformats.org/officeDocument/2006/relationships" ref="E1406" display="http://www.neddux.com/" r:id="rId4260"/>
    <hyperlink xmlns:r="http://schemas.openxmlformats.org/officeDocument/2006/relationships" ref="Y1406" display="https://drive.google.com/uc?export=view&amp;id=1uIwIYtLckEWZOje3PQgPJ9-oi3u_452y" r:id="rId4261"/>
    <hyperlink xmlns:r="http://schemas.openxmlformats.org/officeDocument/2006/relationships" ref="E1407" display="http://www.proyectoa.es/" r:id="rId4262"/>
    <hyperlink xmlns:r="http://schemas.openxmlformats.org/officeDocument/2006/relationships" ref="Y1407" display="https://drive.google.com/uc?export=view&amp;id=1qXxbwMbwim-nC9YTV91qI-toCWm0ebRg" r:id="rId4263"/>
    <hyperlink xmlns:r="http://schemas.openxmlformats.org/officeDocument/2006/relationships" ref="D1408" display="http://quaestiones.com/" r:id="rId4264"/>
    <hyperlink xmlns:r="http://schemas.openxmlformats.org/officeDocument/2006/relationships" ref="E1408" display="http://www.quaestiones.com/" r:id="rId4265"/>
    <hyperlink xmlns:r="http://schemas.openxmlformats.org/officeDocument/2006/relationships" ref="Y1408" display="https://drive.google.com/uc?export=view&amp;id=1Ax8xlb8ujECvfwfEi9oDqx0pCOtV-25W" r:id="rId4266"/>
    <hyperlink xmlns:r="http://schemas.openxmlformats.org/officeDocument/2006/relationships" ref="E1409" display="http://www.smartest.io/" r:id="rId4267"/>
    <hyperlink xmlns:r="http://schemas.openxmlformats.org/officeDocument/2006/relationships" ref="T1409" display="https://www.linkedin.com/company/smartestlearning/" r:id="rId4268"/>
    <hyperlink xmlns:r="http://schemas.openxmlformats.org/officeDocument/2006/relationships" ref="Y1409" display="https://drive.google.com/uc?export=view&amp;id=1P-EbPZSLEDTcW4L-OYzmlcSW4PQH7Tdg" r:id="rId4269"/>
    <hyperlink xmlns:r="http://schemas.openxmlformats.org/officeDocument/2006/relationships" ref="E1410" display="https://www.sonant.fi/" r:id="rId4270"/>
    <hyperlink xmlns:r="http://schemas.openxmlformats.org/officeDocument/2006/relationships" ref="T1410" display="https://www.linkedin.com/company/sonant-oy/" r:id="rId4271"/>
    <hyperlink xmlns:r="http://schemas.openxmlformats.org/officeDocument/2006/relationships" ref="Y1410" display="https://drive.google.com/uc?export=view&amp;id=1Hi9nNl9BQ-tHqIGRceyUDUnMLIjYC4wE" r:id="rId4272"/>
    <hyperlink xmlns:r="http://schemas.openxmlformats.org/officeDocument/2006/relationships" ref="E1411" display="https://www.sparkademy.com/" r:id="rId4273"/>
    <hyperlink xmlns:r="http://schemas.openxmlformats.org/officeDocument/2006/relationships" ref="Y1411" display="https://drive.google.com/uc?export=view&amp;id=1QFNLwwwBRmTBan6CH8wyZhFVlONmlj64" r:id="rId4274"/>
    <hyperlink xmlns:r="http://schemas.openxmlformats.org/officeDocument/2006/relationships" ref="E1412" display="http://www.studyhelp.de/" r:id="rId4275"/>
    <hyperlink xmlns:r="http://schemas.openxmlformats.org/officeDocument/2006/relationships" ref="Y1412" display="https://drive.google.com/uc?export=view&amp;id=17U4chQ7FRs1Ivkv4z9sEuBThx3_fhFFX" r:id="rId4276"/>
    <hyperlink xmlns:r="http://schemas.openxmlformats.org/officeDocument/2006/relationships" ref="E1413" display="https://studyportals.com/" r:id="rId4277"/>
    <hyperlink xmlns:r="http://schemas.openxmlformats.org/officeDocument/2006/relationships" ref="T1413" display="https://www.linkedin.com/company/studyportals" r:id="rId4278"/>
    <hyperlink xmlns:r="http://schemas.openxmlformats.org/officeDocument/2006/relationships" ref="Y1413" display="https://drive.google.com/uc?export=view&amp;id=10XymHp0LQLleQBefZZeP6AtwAPBT847V" r:id="rId4279"/>
    <hyperlink xmlns:r="http://schemas.openxmlformats.org/officeDocument/2006/relationships" ref="E1414" display="https://teachup.com/" r:id="rId4280"/>
    <hyperlink xmlns:r="http://schemas.openxmlformats.org/officeDocument/2006/relationships" ref="R1414" display="http://www.instagram.com/teachup_inside/" r:id="rId4281"/>
    <hyperlink xmlns:r="http://schemas.openxmlformats.org/officeDocument/2006/relationships" ref="S1414" display="http://twitter.com/teachup_france?lang=fr" r:id="rId4282"/>
    <hyperlink xmlns:r="http://schemas.openxmlformats.org/officeDocument/2006/relationships" ref="T1414" display="http://www.linkedin.com/company/teachup.com" r:id="rId4283"/>
    <hyperlink xmlns:r="http://schemas.openxmlformats.org/officeDocument/2006/relationships" ref="Y1414" display="https://drive.google.com/uc?export=view&amp;id=1A0ZBEoqgjhz4nipxx5RUsSNNnvHCysEa" r:id="rId4284"/>
    <hyperlink xmlns:r="http://schemas.openxmlformats.org/officeDocument/2006/relationships" ref="E1415" display="https://www.tekmaneducation.com/" r:id="rId4285"/>
    <hyperlink xmlns:r="http://schemas.openxmlformats.org/officeDocument/2006/relationships" ref="T1415" display="https://www.linkedin.com/company/tekman-education" r:id="rId4286"/>
    <hyperlink xmlns:r="http://schemas.openxmlformats.org/officeDocument/2006/relationships" ref="Y1415" display="https://drive.google.com/uc?export=view&amp;id=1sT-_S4FRxtWXjYZD5pSJ8-jyK2fLb8O7" r:id="rId4287"/>
    <hyperlink xmlns:r="http://schemas.openxmlformats.org/officeDocument/2006/relationships" ref="E1416" display="https://academicrouteplanner.com/" r:id="rId4288"/>
    <hyperlink xmlns:r="http://schemas.openxmlformats.org/officeDocument/2006/relationships" ref="Y1416" display="https://drive.google.com/uc?export=view&amp;id=1ePDqr8rU1cldb5f6A06ge_uWfctBBXMF" r:id="rId4289"/>
    <hyperlink xmlns:r="http://schemas.openxmlformats.org/officeDocument/2006/relationships" ref="E1417" display="https://www.atlanticdevices.com/" r:id="rId4290"/>
    <hyperlink xmlns:r="http://schemas.openxmlformats.org/officeDocument/2006/relationships" ref="R1417" display="https://www.instagram.com/atlanticdevices/" r:id="rId4291"/>
    <hyperlink xmlns:r="http://schemas.openxmlformats.org/officeDocument/2006/relationships" ref="S1417" display="https://twitter.com/AtlanticDevices" r:id="rId4292"/>
    <hyperlink xmlns:r="http://schemas.openxmlformats.org/officeDocument/2006/relationships" ref="T1417" display="https://www.linkedin.com/company/1026890/admin/" r:id="rId4293"/>
    <hyperlink xmlns:r="http://schemas.openxmlformats.org/officeDocument/2006/relationships" ref="Y1417" display="https://drive.google.com/uc?export=view&amp;id=1R8wB57vDL7CWaFCFpRI5PbCp69Fn4sWk" r:id="rId4294"/>
    <hyperlink xmlns:r="http://schemas.openxmlformats.org/officeDocument/2006/relationships" ref="E1418" display="http://www.babbu.co.uk/" r:id="rId4295"/>
    <hyperlink xmlns:r="http://schemas.openxmlformats.org/officeDocument/2006/relationships" ref="Y1418" display="https://drive.google.com/uc?export=view&amp;id=1_nlNi-HeOsNsnpOokZUdfwQpqxdrzB0i" r:id="rId4296"/>
    <hyperlink xmlns:r="http://schemas.openxmlformats.org/officeDocument/2006/relationships" ref="E1419" display="http://www.bsmartlabs.com/" r:id="rId4297"/>
    <hyperlink xmlns:r="http://schemas.openxmlformats.org/officeDocument/2006/relationships" ref="Y1419" display="https://drive.google.com/uc?export=view&amp;id=1AnYa065fnserEze0s9ml1AUPJmi2phTQ" r:id="rId4298"/>
    <hyperlink xmlns:r="http://schemas.openxmlformats.org/officeDocument/2006/relationships" ref="E1420" display="https://www.chalkboard.education/" r:id="rId4299"/>
    <hyperlink xmlns:r="http://schemas.openxmlformats.org/officeDocument/2006/relationships" ref="S1420" display="https://twitter.com/TeamChalkboard" r:id="rId4300"/>
    <hyperlink xmlns:r="http://schemas.openxmlformats.org/officeDocument/2006/relationships" ref="T1420" display="https://www.linkedin.com/company/chalkboard-education/" r:id="rId4301"/>
    <hyperlink xmlns:r="http://schemas.openxmlformats.org/officeDocument/2006/relationships" ref="Y1420" display="https://drive.google.com/uc?export=view&amp;id=14q5GQkHObB8spjFVbRHkcLHvSUEW5PjZ" r:id="rId4302"/>
    <hyperlink xmlns:r="http://schemas.openxmlformats.org/officeDocument/2006/relationships" ref="E1421" display="http://www.classtime.com/" r:id="rId4303"/>
    <hyperlink xmlns:r="http://schemas.openxmlformats.org/officeDocument/2006/relationships" ref="R1421" display="https://www.instagram.com/classtimecom/" r:id="rId4304"/>
    <hyperlink xmlns:r="http://schemas.openxmlformats.org/officeDocument/2006/relationships" ref="S1421" display="https://twitter.com/classtimecom" r:id="rId4305"/>
    <hyperlink xmlns:r="http://schemas.openxmlformats.org/officeDocument/2006/relationships" ref="T1421" display="https://www.linkedin.com/company/classtime/mycompany/verification/?viewAsMember=true" r:id="rId4306"/>
    <hyperlink xmlns:r="http://schemas.openxmlformats.org/officeDocument/2006/relationships" ref="Y1421" display="https://drive.google.com/uc?export=view&amp;id=1nR39oqfyoWty5RxWbkqMqjp3B9m3NBkc" r:id="rId4307"/>
    <hyperlink xmlns:r="http://schemas.openxmlformats.org/officeDocument/2006/relationships" ref="E1422" display="http://www.codeschool.fi/" r:id="rId4308"/>
    <hyperlink xmlns:r="http://schemas.openxmlformats.org/officeDocument/2006/relationships" ref="T1422" display="https://www.linkedin.com/company/codeschoolfinland/" r:id="rId4309"/>
    <hyperlink xmlns:r="http://schemas.openxmlformats.org/officeDocument/2006/relationships" ref="Y1422" display="https://drive.google.com/uc?export=view&amp;id=1gs6lHJKYDepBwXxzYj68682CfV15AfFS" r:id="rId4310"/>
    <hyperlink xmlns:r="http://schemas.openxmlformats.org/officeDocument/2006/relationships" ref="E1423" display="http://www.clc-learning.de/" r:id="rId4311"/>
    <hyperlink xmlns:r="http://schemas.openxmlformats.org/officeDocument/2006/relationships" ref="Y1423" display="https://drive.google.com/uc?export=view&amp;id=1MQhH0BwAL92G4hg-R4GYCupwI8wMaiuX" r:id="rId4312"/>
    <hyperlink xmlns:r="http://schemas.openxmlformats.org/officeDocument/2006/relationships" ref="E1424" display="http://www.dialoguetrainer.com/" r:id="rId4313"/>
    <hyperlink xmlns:r="http://schemas.openxmlformats.org/officeDocument/2006/relationships" ref="Y1424" display="https://drive.google.com/uc?export=view&amp;id=1fbbzEf-0XNnqB1hRYxvrq2HgVCWqxSjK" r:id="rId4314"/>
    <hyperlink xmlns:r="http://schemas.openxmlformats.org/officeDocument/2006/relationships" ref="E1425" display="https://www.digitalpioneers.co/" r:id="rId4315"/>
    <hyperlink xmlns:r="http://schemas.openxmlformats.org/officeDocument/2006/relationships" ref="Y1425" display="https://drive.google.com/uc?export=view&amp;id=15C0KNOwjPLBWydHyYP3jwCZoGyTzG-OW" r:id="rId4316"/>
    <hyperlink xmlns:r="http://schemas.openxmlformats.org/officeDocument/2006/relationships" ref="E1426" display="http://www.easyeducation.se/" r:id="rId4317"/>
    <hyperlink xmlns:r="http://schemas.openxmlformats.org/officeDocument/2006/relationships" ref="T1426" display="https://www.linkedin.com/company/easy-education-sweden-ab/?viewAsMember=true" r:id="rId4318"/>
    <hyperlink xmlns:r="http://schemas.openxmlformats.org/officeDocument/2006/relationships" ref="Y1426" display="https://drive.google.com/uc?export=view&amp;id=11XC3qZjGpnOlJgeoShDG6Wb9CqxDOshn" r:id="rId4319"/>
    <hyperlink xmlns:r="http://schemas.openxmlformats.org/officeDocument/2006/relationships" ref="E1427" display="http://www.edds-education.org/" r:id="rId4320"/>
    <hyperlink xmlns:r="http://schemas.openxmlformats.org/officeDocument/2006/relationships" ref="Y1427" display="https://drive.google.com/uc?export=view&amp;id=1vuDdsLuyNRiinUt3mhCkgHEUgzWR3nN9" r:id="rId4321"/>
    <hyperlink xmlns:r="http://schemas.openxmlformats.org/officeDocument/2006/relationships" ref="E1428" display="http://www.edu-suite.com/" r:id="rId4322"/>
    <hyperlink xmlns:r="http://schemas.openxmlformats.org/officeDocument/2006/relationships" ref="R1428" display="https://www.instagram.com/edu_suite_/" r:id="rId4323"/>
    <hyperlink xmlns:r="http://schemas.openxmlformats.org/officeDocument/2006/relationships" ref="T1428" display="https://www.linkedin.com/company/edu-suite/?viewAsMember=true" r:id="rId4324"/>
    <hyperlink xmlns:r="http://schemas.openxmlformats.org/officeDocument/2006/relationships" ref="Y1428" display="https://drive.google.com/uc?export=view&amp;id=1ZOmfUKQ-hetRm1Nh7NP7vEvWQ2SmmLQt" r:id="rId4325"/>
    <hyperlink xmlns:r="http://schemas.openxmlformats.org/officeDocument/2006/relationships" ref="E1429" display="https://www.educaplay.com/" r:id="rId4326"/>
    <hyperlink xmlns:r="http://schemas.openxmlformats.org/officeDocument/2006/relationships" ref="Y1429" display="https://drive.google.com/uc?export=view&amp;id=1USZTeSaV-qGDNpk43W1IT_dafUK2zgzo" r:id="rId4327"/>
    <hyperlink xmlns:r="http://schemas.openxmlformats.org/officeDocument/2006/relationships" ref="E1430" display="https://edugamitec.com/" r:id="rId4328"/>
    <hyperlink xmlns:r="http://schemas.openxmlformats.org/officeDocument/2006/relationships" ref="Y1430" display="https://drive.google.com/uc?export=view&amp;id=1lqUpw_gwVqF-BM0G93ANz22xd7a_dNmE" r:id="rId4329"/>
    <hyperlink xmlns:r="http://schemas.openxmlformats.org/officeDocument/2006/relationships" ref="E1431" display="https://edumentors.co.uk/" r:id="rId4330"/>
    <hyperlink xmlns:r="http://schemas.openxmlformats.org/officeDocument/2006/relationships" ref="R1431" display="https://www.instagram.com/edumentors.co.uk/" r:id="rId4331"/>
    <hyperlink xmlns:r="http://schemas.openxmlformats.org/officeDocument/2006/relationships" ref="S1431" display="https://twitter.com/TEdumentors" r:id="rId4332"/>
    <hyperlink xmlns:r="http://schemas.openxmlformats.org/officeDocument/2006/relationships" ref="T1431" display="https://www.linkedin.com/company/edumentorsuk/" r:id="rId4333"/>
    <hyperlink xmlns:r="http://schemas.openxmlformats.org/officeDocument/2006/relationships" ref="Y1431" display="https://drive.google.com/uc?export=view&amp;id=1TIPhJjPN6yGSisiG0DCFpVEi9KIHuZ5b" r:id="rId4334"/>
    <hyperlink xmlns:r="http://schemas.openxmlformats.org/officeDocument/2006/relationships" ref="E1432" display="https://www.ekidz.eu/" r:id="rId4335"/>
    <hyperlink xmlns:r="http://schemas.openxmlformats.org/officeDocument/2006/relationships" ref="R1432" display="https://www.instagram.com/ekidz.eu/" r:id="rId4336"/>
    <hyperlink xmlns:r="http://schemas.openxmlformats.org/officeDocument/2006/relationships" ref="S1432" display="https://twitter.com/eKidz_eu" r:id="rId4337"/>
    <hyperlink xmlns:r="http://schemas.openxmlformats.org/officeDocument/2006/relationships" ref="T1432" display="https://www.linkedin.com/company/17961410/admin/" r:id="rId4338"/>
    <hyperlink xmlns:r="http://schemas.openxmlformats.org/officeDocument/2006/relationships" ref="Y1432" display="https://drive.google.com/uc?export=view&amp;id=1GDSlTxv2_UqA8HQbwfG8hs0L1OdjHRwl" r:id="rId4339"/>
    <hyperlink xmlns:r="http://schemas.openxmlformats.org/officeDocument/2006/relationships" ref="E1433" display="https://enlighted.app/" r:id="rId4340"/>
    <hyperlink xmlns:r="http://schemas.openxmlformats.org/officeDocument/2006/relationships" ref="Y1433" display="https://drive.google.com/uc?export=view&amp;id=1Tvo__8cEngfyPIdylpneeTwrGRLdjog9" r:id="rId4341"/>
    <hyperlink xmlns:r="http://schemas.openxmlformats.org/officeDocument/2006/relationships" ref="E1434" display="https://www.evrlearn.ch/" r:id="rId4342"/>
    <hyperlink xmlns:r="http://schemas.openxmlformats.org/officeDocument/2006/relationships" ref="Y1434" display="https://drive.google.com/uc?export=view&amp;id=1dMugZR0fP8uORhsyOBfLBnYwn1Li_eL6" r:id="rId4343"/>
    <hyperlink xmlns:r="http://schemas.openxmlformats.org/officeDocument/2006/relationships" ref="D1435" display="http://exam.net/" r:id="rId4344"/>
    <hyperlink xmlns:r="http://schemas.openxmlformats.org/officeDocument/2006/relationships" ref="E1435" display="https://exam.net/" r:id="rId4345"/>
    <hyperlink xmlns:r="http://schemas.openxmlformats.org/officeDocument/2006/relationships" ref="Y1435" display="https://drive.google.com/uc?export=view&amp;id=1r4zx5Dt9TBtRxJGSWVGP3dhERXMiabIL" r:id="rId4346"/>
    <hyperlink xmlns:r="http://schemas.openxmlformats.org/officeDocument/2006/relationships" ref="D1436" display="http://eximiatutor.com/" r:id="rId4347"/>
    <hyperlink xmlns:r="http://schemas.openxmlformats.org/officeDocument/2006/relationships" ref="R1436" display="https://www.instagram.com/valmennustiimi_eximia/channel/?hl=fi" r:id="rId4348"/>
    <hyperlink xmlns:r="http://schemas.openxmlformats.org/officeDocument/2006/relationships" ref="T1436" display="https://www.linkedin.com/company/valmennustiimi-eximia/mycompany/?viewAsMember=true" r:id="rId4349"/>
    <hyperlink xmlns:r="http://schemas.openxmlformats.org/officeDocument/2006/relationships" ref="U1436" display="http://eximiatutor.com/" r:id="rId4350"/>
    <hyperlink xmlns:r="http://schemas.openxmlformats.org/officeDocument/2006/relationships" ref="E1437" display="https://feedbackfruits.com/" r:id="rId4351"/>
    <hyperlink xmlns:r="http://schemas.openxmlformats.org/officeDocument/2006/relationships" ref="R1437" display="https://www.instagram.com/feedbackfruits" r:id="rId4352"/>
    <hyperlink xmlns:r="http://schemas.openxmlformats.org/officeDocument/2006/relationships" ref="S1437" display="https://www.twitter.com/feedbackfruits" r:id="rId4353"/>
    <hyperlink xmlns:r="http://schemas.openxmlformats.org/officeDocument/2006/relationships" ref="T1437" display="https://www.linkedin.com/company/feedbackfruits" r:id="rId4354"/>
    <hyperlink xmlns:r="http://schemas.openxmlformats.org/officeDocument/2006/relationships" ref="Y1437" display="https://drive.google.com/uc?export=view&amp;id=1zJTM2wgDxCMGc2Slc2310Q3G4OE7rsFo" r:id="rId4355"/>
    <hyperlink xmlns:r="http://schemas.openxmlformats.org/officeDocument/2006/relationships" ref="E1438" display="https://www.funnifin.com/" r:id="rId4356"/>
    <hyperlink xmlns:r="http://schemas.openxmlformats.org/officeDocument/2006/relationships" ref="R1438" display="https://instagram.com/funnifin_app?igshid=MzRlODBiNWFlZA==" r:id="rId4357"/>
    <hyperlink xmlns:r="http://schemas.openxmlformats.org/officeDocument/2006/relationships" ref="T1438" display="https://www.linkedin.com/company/funnifin/?viewAsMember=true" r:id="rId4358"/>
    <hyperlink xmlns:r="http://schemas.openxmlformats.org/officeDocument/2006/relationships" ref="Y1438" display="https://drive.google.com/uc?export=view&amp;id=1teAsuFWEpm3Uk29BFk140S5AigUEdQBU" r:id="rId4359"/>
    <hyperlink xmlns:r="http://schemas.openxmlformats.org/officeDocument/2006/relationships" ref="E1439" display="https://genially.com/?utm_source=EuropeanEdtechAllianceMap&amp;utm_medium=web&amp;utm_campaign=EdTechMap" r:id="rId4360"/>
    <hyperlink xmlns:r="http://schemas.openxmlformats.org/officeDocument/2006/relationships" ref="R1439" display="https://www.instagram.com/genially_official/" r:id="rId4361"/>
    <hyperlink xmlns:r="http://schemas.openxmlformats.org/officeDocument/2006/relationships" ref="S1439" display="https://twitter.com/genially" r:id="rId4362"/>
    <hyperlink xmlns:r="http://schemas.openxmlformats.org/officeDocument/2006/relationships" ref="T1439" display="https://www.linkedin.com/company/geniallyofficial/" r:id="rId4363"/>
    <hyperlink xmlns:r="http://schemas.openxmlformats.org/officeDocument/2006/relationships" ref="Y1439" display="https://drive.google.com/uc?export=view&amp;id=1ItOWzrqzN816-Lt2ezVugBj7CswsK9fD" r:id="rId4364"/>
    <hyperlink xmlns:r="http://schemas.openxmlformats.org/officeDocument/2006/relationships" ref="E1440" display="https://ginntech.com/" r:id="rId4365"/>
    <hyperlink xmlns:r="http://schemas.openxmlformats.org/officeDocument/2006/relationships" ref="Y1440" display="https://drive.google.com/uc?export=view&amp;id=1xTlyWrmVQp73geQm72KLEsNfMyc4yEMt" r:id="rId4366"/>
    <hyperlink xmlns:r="http://schemas.openxmlformats.org/officeDocument/2006/relationships" ref="E1441" display="http://www.go4clic.com/" r:id="rId4367"/>
    <hyperlink xmlns:r="http://schemas.openxmlformats.org/officeDocument/2006/relationships" ref="Y1441" display="https://drive.google.com/uc?export=view&amp;id=1ENjkokpe4MYR0tJlreJ8UMynWgPy-yK9" r:id="rId4368"/>
    <hyperlink xmlns:r="http://schemas.openxmlformats.org/officeDocument/2006/relationships" ref="E1442" display="https://www.growthroad.org/" r:id="rId4369"/>
    <hyperlink xmlns:r="http://schemas.openxmlformats.org/officeDocument/2006/relationships" ref="Y1442" display="https://drive.google.com/uc?export=view&amp;id=1R267LQA-4rFGbFVLj4B_iP_z2QGxp3II" r:id="rId4370"/>
    <hyperlink xmlns:r="http://schemas.openxmlformats.org/officeDocument/2006/relationships" ref="E1443" display="https://www.healthinnovationacademy.com/home-en" r:id="rId4371"/>
    <hyperlink xmlns:r="http://schemas.openxmlformats.org/officeDocument/2006/relationships" ref="Y1443" display="https://drive.google.com/uc?export=view&amp;id=1Ytwl4rIf7A4GqxIaDgRdN1NDJnsEyIPv" r:id="rId4372"/>
    <hyperlink xmlns:r="http://schemas.openxmlformats.org/officeDocument/2006/relationships" ref="E1444" display="https://imedu.io/" r:id="rId4373"/>
    <hyperlink xmlns:r="http://schemas.openxmlformats.org/officeDocument/2006/relationships" ref="T1444" display="https://www.linkedin.com/company/imedu" r:id="rId4374"/>
    <hyperlink xmlns:r="http://schemas.openxmlformats.org/officeDocument/2006/relationships" ref="Y1444" display="https://drive.google.com/uc?export=view&amp;id=1PkcolxNXpA_Dx2BWLb18ZcFtqfmjMRqh" r:id="rId4375"/>
    <hyperlink xmlns:r="http://schemas.openxmlformats.org/officeDocument/2006/relationships" ref="E1445" display="http://www.jicki.de/" r:id="rId4376"/>
    <hyperlink xmlns:r="http://schemas.openxmlformats.org/officeDocument/2006/relationships" ref="Y1445" display="https://drive.google.com/uc?export=view&amp;id=1RUoE2kDYdk6IJCNsGpLonkx_2hi7q8QM" r:id="rId4377"/>
    <hyperlink xmlns:r="http://schemas.openxmlformats.org/officeDocument/2006/relationships" ref="E1446" display="https://www.kondeor.at/de/portfolio/aus-und-weiterbildung/marktforschungskurse/" r:id="rId4378"/>
    <hyperlink xmlns:r="http://schemas.openxmlformats.org/officeDocument/2006/relationships" ref="S1446" display="https://twitter.com/kondeor" r:id="rId4379"/>
    <hyperlink xmlns:r="http://schemas.openxmlformats.org/officeDocument/2006/relationships" ref="T1446" display="https://www.linkedin.com/in/kepplinger/" r:id="rId4380"/>
    <hyperlink xmlns:r="http://schemas.openxmlformats.org/officeDocument/2006/relationships" ref="Y1446" display="https://drive.google.com/uc?export=view&amp;id=15aecDF6p63MQgQjoKim1fmM6NOrLqap7" r:id="rId4381"/>
    <hyperlink xmlns:r="http://schemas.openxmlformats.org/officeDocument/2006/relationships" ref="E1447" display="https://www.kendirstudios.org/" r:id="rId4382"/>
    <hyperlink xmlns:r="http://schemas.openxmlformats.org/officeDocument/2006/relationships" ref="Y1447" display="https://drive.google.com/uc?export=view&amp;id=13PwNUObND0mQGoJRqKChaAD5plhH_9JM" r:id="rId4383"/>
    <hyperlink xmlns:r="http://schemas.openxmlformats.org/officeDocument/2006/relationships" ref="E1448" display="http://www.laromedia.se/" r:id="rId4384"/>
    <hyperlink xmlns:r="http://schemas.openxmlformats.org/officeDocument/2006/relationships" ref="Y1448" display="https://drive.google.com/uc?export=view&amp;id=1q4JmcEeiDB2q1L0fvsX94iiqUqgSmjsO" r:id="rId4385"/>
    <hyperlink xmlns:r="http://schemas.openxmlformats.org/officeDocument/2006/relationships" ref="E1449" display="http://lingua-attack.com/" r:id="rId4386"/>
    <hyperlink xmlns:r="http://schemas.openxmlformats.org/officeDocument/2006/relationships" ref="T1449" display="https://www.linkedin.com/company/lingua-attack/" r:id="rId4387"/>
    <hyperlink xmlns:r="http://schemas.openxmlformats.org/officeDocument/2006/relationships" ref="Y1449" display="https://drive.google.com/uc?export=view&amp;id=1srh1zwB-21F_sdzJtB1lH18eUecucIuz" r:id="rId4388"/>
    <hyperlink xmlns:r="http://schemas.openxmlformats.org/officeDocument/2006/relationships" ref="E1450" display="http://www.linguaphone.fr/" r:id="rId4389"/>
    <hyperlink xmlns:r="http://schemas.openxmlformats.org/officeDocument/2006/relationships" ref="T1450" display="https://www.linkedin.com/company/linguaphone-france" r:id="rId4390"/>
    <hyperlink xmlns:r="http://schemas.openxmlformats.org/officeDocument/2006/relationships" ref="Y1450" display="https://drive.google.com/uc?export=view&amp;id=1fQm6YxvQ-DCsRZiwFjw18xmSOJV5_TmL" r:id="rId4391"/>
    <hyperlink xmlns:r="http://schemas.openxmlformats.org/officeDocument/2006/relationships" ref="E1451" display="https://www.mapiblocks.com/" r:id="rId4392"/>
    <hyperlink xmlns:r="http://schemas.openxmlformats.org/officeDocument/2006/relationships" ref="Y1451" display="https://drive.google.com/uc?export=view&amp;id=1JLFoOueAh46f8GUOFccVCBqoThKJqjg2" r:id="rId4393"/>
    <hyperlink xmlns:r="http://schemas.openxmlformats.org/officeDocument/2006/relationships" ref="E1452" display="https://masterchallenge.me/" r:id="rId4394"/>
    <hyperlink xmlns:r="http://schemas.openxmlformats.org/officeDocument/2006/relationships" ref="Y1452" display="https://drive.google.com/uc?export=view&amp;id=1L9zOfzbeIMzLAon3SOpqgLeGAapOmrfq" r:id="rId4395"/>
    <hyperlink xmlns:r="http://schemas.openxmlformats.org/officeDocument/2006/relationships" ref="E1453" display="https://www.mentalup.co/" r:id="rId4396"/>
    <hyperlink xmlns:r="http://schemas.openxmlformats.org/officeDocument/2006/relationships" ref="Y1453" display="https://drive.google.com/uc?export=view&amp;id=1jGBP8RYZMnAxJ-soARIsaan7-14PRCt5" r:id="rId4397"/>
    <hyperlink xmlns:r="http://schemas.openxmlformats.org/officeDocument/2006/relationships" ref="E1454" display="https://nextus.global/en" r:id="rId4398"/>
    <hyperlink xmlns:r="http://schemas.openxmlformats.org/officeDocument/2006/relationships" ref="R1454" display="https://www.instagram.com/nextus_glob/" r:id="rId4399"/>
    <hyperlink xmlns:r="http://schemas.openxmlformats.org/officeDocument/2006/relationships" ref="S1454" display="https://twitter.com/nextus_global" r:id="rId4400"/>
    <hyperlink xmlns:r="http://schemas.openxmlformats.org/officeDocument/2006/relationships" ref="T1454" display="https://www.linkedin.com/company/nextusglobal" r:id="rId4401"/>
    <hyperlink xmlns:r="http://schemas.openxmlformats.org/officeDocument/2006/relationships" ref="Y1454" display="https://drive.google.com/uc?export=view&amp;id=15sXLk9yDs64Zjr-oZi2z63zawKzG0_Vq" r:id="rId4402"/>
    <hyperlink xmlns:r="http://schemas.openxmlformats.org/officeDocument/2006/relationships" ref="E1455" display="https://www.onlineacademy.nl/" r:id="rId4403"/>
    <hyperlink xmlns:r="http://schemas.openxmlformats.org/officeDocument/2006/relationships" ref="T1455" display="https://www.linkedin.com/school/onlineacademy" r:id="rId4404"/>
    <hyperlink xmlns:r="http://schemas.openxmlformats.org/officeDocument/2006/relationships" ref="Y1455" display="https://drive.google.com/uc?export=view&amp;id=1iIdA7xUkMvfR7pRlyWbpCJ2fsgNsQTNU" r:id="rId4405"/>
    <hyperlink xmlns:r="http://schemas.openxmlformats.org/officeDocument/2006/relationships" ref="E1456" display="https://openskool.be/" r:id="rId4406"/>
    <hyperlink xmlns:r="http://schemas.openxmlformats.org/officeDocument/2006/relationships" ref="Y1456" display="https://drive.google.com/uc?export=view&amp;id=1uY-WcQt4KctZXyYgOe9t58FzzYy3MnQT" r:id="rId4407"/>
    <hyperlink xmlns:r="http://schemas.openxmlformats.org/officeDocument/2006/relationships" ref="E1457" display="https://ovos.at/en/" r:id="rId4408"/>
    <hyperlink xmlns:r="http://schemas.openxmlformats.org/officeDocument/2006/relationships" ref="Y1457" display="https://drive.google.com/uc?export=view&amp;id=149yM4qSBX5oPD2QRBAL05Cjxn5LY4Aqg" r:id="rId4409"/>
    <hyperlink xmlns:r="http://schemas.openxmlformats.org/officeDocument/2006/relationships" ref="E1458" display="http://www.playit.training/" r:id="rId4410"/>
    <hyperlink xmlns:r="http://schemas.openxmlformats.org/officeDocument/2006/relationships" ref="T1458" display="https://www.linkedin.com/company/playitsafe" r:id="rId4411"/>
    <hyperlink xmlns:r="http://schemas.openxmlformats.org/officeDocument/2006/relationships" ref="Y1458" display="https://drive.google.com/uc?export=view&amp;id=13Ch-wtltvzv2sEl8hcl_zphtSoy7-Qfl" r:id="rId4412"/>
    <hyperlink xmlns:r="http://schemas.openxmlformats.org/officeDocument/2006/relationships" ref="E1459" display="https://quizco.de/" r:id="rId4413"/>
    <hyperlink xmlns:r="http://schemas.openxmlformats.org/officeDocument/2006/relationships" ref="Y1459" display="https://drive.google.com/uc?export=view&amp;id=1VotAlKN_fdF5VfUNLn5O9-L0I1klWNGi" r:id="rId4414"/>
    <hyperlink xmlns:r="http://schemas.openxmlformats.org/officeDocument/2006/relationships" ref="E1460" display="http://www.quofox.com/" r:id="rId4415"/>
    <hyperlink xmlns:r="http://schemas.openxmlformats.org/officeDocument/2006/relationships" ref="Y1460" display="https://drive.google.com/uc?export=view&amp;id=1UaCY2OOs6xc26pw9Oq_Oz-q-F-eve03X" r:id="rId4416"/>
    <hyperlink xmlns:r="http://schemas.openxmlformats.org/officeDocument/2006/relationships" ref="E1461" display="about:blank" r:id="rId4417"/>
    <hyperlink xmlns:r="http://schemas.openxmlformats.org/officeDocument/2006/relationships" ref="R1461" display="https://www.instagram.com/reactoredcom/?hl=fi" r:id="rId4418"/>
    <hyperlink xmlns:r="http://schemas.openxmlformats.org/officeDocument/2006/relationships" ref="S1461" display="https://twitter.com/reactoredcom" r:id="rId4419"/>
    <hyperlink xmlns:r="http://schemas.openxmlformats.org/officeDocument/2006/relationships" ref="T1461" display="https://www.linkedin.com/company/reactored" r:id="rId4420"/>
    <hyperlink xmlns:r="http://schemas.openxmlformats.org/officeDocument/2006/relationships" ref="Y1461" display="https://drive.google.com/uc?export=view&amp;id=1DWYjoUOP_g6fmJ0dXHhK85a0l9wwZvIB" r:id="rId4421"/>
    <hyperlink xmlns:r="http://schemas.openxmlformats.org/officeDocument/2006/relationships" ref="E1462" display="https://rimud.com/" r:id="rId4422"/>
    <hyperlink xmlns:r="http://schemas.openxmlformats.org/officeDocument/2006/relationships" ref="Y1462" display="https://drive.google.com/uc?export=view&amp;id=1QAO8BT1DX9V9Fv3GSZint0jbCj2Hq4-0" r:id="rId4423"/>
    <hyperlink xmlns:r="http://schemas.openxmlformats.org/officeDocument/2006/relationships" ref="E1463" display="https://schoolr.net/it" r:id="rId4424"/>
    <hyperlink xmlns:r="http://schemas.openxmlformats.org/officeDocument/2006/relationships" ref="R1463" display="https://www.instagram.com/schoolrhq/" r:id="rId4425"/>
    <hyperlink xmlns:r="http://schemas.openxmlformats.org/officeDocument/2006/relationships" ref="S1463" display="https://twitter.com/SchoolrHQ" r:id="rId4426"/>
    <hyperlink xmlns:r="http://schemas.openxmlformats.org/officeDocument/2006/relationships" ref="T1463" display="https://www.linkedin.com/company/schoolr/" r:id="rId4427"/>
    <hyperlink xmlns:r="http://schemas.openxmlformats.org/officeDocument/2006/relationships" ref="Y1463" display="https://drive.google.com/uc?export=view&amp;id=10HfIkY9FC-lenOAg1xioEJ7rHrOkyjlV" r:id="rId4428"/>
    <hyperlink xmlns:r="http://schemas.openxmlformats.org/officeDocument/2006/relationships" ref="E1464" display="https://seppo.io/" r:id="rId4429"/>
    <hyperlink xmlns:r="http://schemas.openxmlformats.org/officeDocument/2006/relationships" ref="S1464" display="http://seppo.io/" r:id="rId4430"/>
    <hyperlink xmlns:r="http://schemas.openxmlformats.org/officeDocument/2006/relationships" ref="T1464" display="https://www.linkedin.com/company/seppo" r:id="rId4431"/>
    <hyperlink xmlns:r="http://schemas.openxmlformats.org/officeDocument/2006/relationships" ref="Y1464" display="https://drive.google.com/uc?export=view&amp;id=1p1G6ywGxGOfd9WLu5YCsDHt0FWywNQLF" r:id="rId4432"/>
    <hyperlink xmlns:r="http://schemas.openxmlformats.org/officeDocument/2006/relationships" ref="E1465" display="http://www.skoledu.dk/" r:id="rId4433"/>
    <hyperlink xmlns:r="http://schemas.openxmlformats.org/officeDocument/2006/relationships" ref="Y1465" display="https://drive.google.com/uc?export=view&amp;id=1P833_KJPmmF9-WiTfnL4hchDBMZNhbTD" r:id="rId4434"/>
    <hyperlink xmlns:r="http://schemas.openxmlformats.org/officeDocument/2006/relationships" ref="E1466" display="http://www.snabbfoting.com/" r:id="rId4435"/>
    <hyperlink xmlns:r="http://schemas.openxmlformats.org/officeDocument/2006/relationships" ref="R1466" display="https://www.instagram.com/snabbfoting/" r:id="rId4436"/>
    <hyperlink xmlns:r="http://schemas.openxmlformats.org/officeDocument/2006/relationships" ref="T1466" display="https://www.linkedin.com/company/snabbfoting" r:id="rId4437"/>
    <hyperlink xmlns:r="http://schemas.openxmlformats.org/officeDocument/2006/relationships" ref="E1467" display="http://www.squla.nl/" r:id="rId4438"/>
    <hyperlink xmlns:r="http://schemas.openxmlformats.org/officeDocument/2006/relationships" ref="Y1467" display="https://drive.google.com/uc?export=view&amp;id=1AXssrq2h0C-kIWHUW6mEuaAzZkg5ieGz" r:id="rId4439"/>
    <hyperlink xmlns:r="http://schemas.openxmlformats.org/officeDocument/2006/relationships" ref="E1468" display="https://www.sylva.ac/" r:id="rId4440"/>
    <hyperlink xmlns:r="http://schemas.openxmlformats.org/officeDocument/2006/relationships" ref="T1468" display="https://www.linkedin.com/company/sylva-education" r:id="rId4441"/>
    <hyperlink xmlns:r="http://schemas.openxmlformats.org/officeDocument/2006/relationships" ref="Y1468" display="https://drive.google.com/uc?export=view&amp;id=1IKhOJxR1Vn7EU4srf04yBuQPJ9lbC-YZ" r:id="rId4442"/>
    <hyperlink xmlns:r="http://schemas.openxmlformats.org/officeDocument/2006/relationships" ref="E1469" display="https://www.teachremote.ch/" r:id="rId4443"/>
    <hyperlink xmlns:r="http://schemas.openxmlformats.org/officeDocument/2006/relationships" ref="S1469" display="https://twitter.com/teachremote?s=20" r:id="rId4444"/>
    <hyperlink xmlns:r="http://schemas.openxmlformats.org/officeDocument/2006/relationships" ref="T1469" display="https://www.linkedin.com/in/teach-remote/" r:id="rId4445"/>
    <hyperlink xmlns:r="http://schemas.openxmlformats.org/officeDocument/2006/relationships" ref="Y1469" display="https://drive.google.com/uc?export=view&amp;id=1tbhYSMRBCY-NhVZSwg2bXQzDz-gdSdTs" r:id="rId4446"/>
    <hyperlink xmlns:r="http://schemas.openxmlformats.org/officeDocument/2006/relationships" ref="E1470" display="https://teenit.app/" r:id="rId4447"/>
    <hyperlink xmlns:r="http://schemas.openxmlformats.org/officeDocument/2006/relationships" ref="T1470" display="https://www.linkedin.com/company/74991718/" r:id="rId4448"/>
    <hyperlink xmlns:r="http://schemas.openxmlformats.org/officeDocument/2006/relationships" ref="Y1470" display="https://drive.google.com/uc?export=view&amp;id=18ZIYf9ZH3CzDZiyytiQ_hU9hDoeTjYfW" r:id="rId4449"/>
    <hyperlink xmlns:r="http://schemas.openxmlformats.org/officeDocument/2006/relationships" ref="E1471" display="http://www.rentcompany.be/" r:id="rId4450"/>
    <hyperlink xmlns:r="http://schemas.openxmlformats.org/officeDocument/2006/relationships" ref="Y1471" display="https://drive.google.com/uc?export=view&amp;id=1v3aUVV6BldpdEGy1SqY0Fjn0XuuNH4sl" r:id="rId4451"/>
    <hyperlink xmlns:r="http://schemas.openxmlformats.org/officeDocument/2006/relationships" ref="E1472" display="https://trueoriginal.com/" r:id="rId4452"/>
    <hyperlink xmlns:r="http://schemas.openxmlformats.org/officeDocument/2006/relationships" ref="R1472" display="https://www.instagram.com/truedocuments/" r:id="rId4453"/>
    <hyperlink xmlns:r="http://schemas.openxmlformats.org/officeDocument/2006/relationships" ref="S1472" display="https://twitter.com/TrueDocuments" r:id="rId4454"/>
    <hyperlink xmlns:r="http://schemas.openxmlformats.org/officeDocument/2006/relationships" ref="T1472" display="https://www.linkedin.com/company/37549025/" r:id="rId4455"/>
    <hyperlink xmlns:r="http://schemas.openxmlformats.org/officeDocument/2006/relationships" ref="Y1472" display="https://drive.google.com/uc?export=view&amp;id=1Hp6dlsWPf6xPtqF8gi9OWhaeb8qK-a28" r:id="rId4456"/>
    <hyperlink xmlns:r="http://schemas.openxmlformats.org/officeDocument/2006/relationships" ref="E1473" display="https://uchronic.ch/" r:id="rId4457"/>
    <hyperlink xmlns:r="http://schemas.openxmlformats.org/officeDocument/2006/relationships" ref="R1473" display="https://www.instagram.com/uchronic.geneve/" r:id="rId4458"/>
    <hyperlink xmlns:r="http://schemas.openxmlformats.org/officeDocument/2006/relationships" ref="T1473" display="https://www.linkedin.com/company/uchronicsarl" r:id="rId4459"/>
    <hyperlink xmlns:r="http://schemas.openxmlformats.org/officeDocument/2006/relationships" ref="Y1473" display="https://drive.google.com/uc?export=view&amp;id=1haAf6-SyxjdUsiKU2YJNX8RM0vwZ5maL" r:id="rId4460"/>
    <hyperlink xmlns:r="http://schemas.openxmlformats.org/officeDocument/2006/relationships" ref="E1474" display="https://www.upgrowz.com/" r:id="rId4461"/>
    <hyperlink xmlns:r="http://schemas.openxmlformats.org/officeDocument/2006/relationships" ref="Y1474" display="https://drive.google.com/uc?export=view&amp;id=1Kv5BTo0NOQBzTzrcR1_EFXZFdI3ww_MH" r:id="rId4462"/>
    <hyperlink xmlns:r="http://schemas.openxmlformats.org/officeDocument/2006/relationships" ref="E1475" display="https://videobit.io/" r:id="rId4463"/>
    <hyperlink xmlns:r="http://schemas.openxmlformats.org/officeDocument/2006/relationships" ref="T1475" display="https://www.linkedin.com/company/videobit" r:id="rId4464"/>
    <hyperlink xmlns:r="http://schemas.openxmlformats.org/officeDocument/2006/relationships" ref="Y1475" display="https://drive.google.com/uc?export=view&amp;id=1AGSL3grrb1zF7lt5ju-NsVHIZJd8Xltd" r:id="rId4465"/>
    <hyperlink xmlns:r="http://schemas.openxmlformats.org/officeDocument/2006/relationships" ref="E1476" display="http://wecoplay.com/" r:id="rId4466"/>
    <hyperlink xmlns:r="http://schemas.openxmlformats.org/officeDocument/2006/relationships" ref="T1476" display="https://www.linkedin.com/company/wecoplay/" r:id="rId4467"/>
    <hyperlink xmlns:r="http://schemas.openxmlformats.org/officeDocument/2006/relationships" ref="Y1476" display="https://drive.google.com/uc?export=view&amp;id=1IxYDWHRgK-yvLdtAnOy9tTGbnsjvxWg5" r:id="rId4468"/>
    <hyperlink xmlns:r="http://schemas.openxmlformats.org/officeDocument/2006/relationships" ref="E1477" display="https://www.wixar.io/" r:id="rId4469"/>
    <hyperlink xmlns:r="http://schemas.openxmlformats.org/officeDocument/2006/relationships" ref="R1477" display="https://www.instagram.com/wixar360/" r:id="rId4470"/>
    <hyperlink xmlns:r="http://schemas.openxmlformats.org/officeDocument/2006/relationships" ref="S1477" display="https://twitter.com/WiXar360" r:id="rId4471"/>
    <hyperlink xmlns:r="http://schemas.openxmlformats.org/officeDocument/2006/relationships" ref="T1477" display="https://www.linkedin.com/company/wixar" r:id="rId4472"/>
    <hyperlink xmlns:r="http://schemas.openxmlformats.org/officeDocument/2006/relationships" ref="Y1477" display="https://drive.google.com/uc?export=view&amp;id=1RzbLMc7JnxU4pxFCgq9ZAZ-8WWYRm4rh" r:id="rId4473"/>
    <hyperlink xmlns:r="http://schemas.openxmlformats.org/officeDocument/2006/relationships" ref="E1478" display="https://theworkademy.com/" r:id="rId4474"/>
    <hyperlink xmlns:r="http://schemas.openxmlformats.org/officeDocument/2006/relationships" ref="Y1478" display="https://drive.google.com/uc?export=view&amp;id=1syQPPcsf4Z4jDM07FG6AwpRrbKit7qZj" r:id="rId4475"/>
    <hyperlink xmlns:r="http://schemas.openxmlformats.org/officeDocument/2006/relationships" ref="E1479" display="http://www.alteredu.it/" r:id="rId4476"/>
    <hyperlink xmlns:r="http://schemas.openxmlformats.org/officeDocument/2006/relationships" ref="R1479" display="https://www.instagram.com/alteredu.it/" r:id="rId4477"/>
    <hyperlink xmlns:r="http://schemas.openxmlformats.org/officeDocument/2006/relationships" ref="T1479" display="https://www.linkedin.com/company/alteredu" r:id="rId4478"/>
    <hyperlink xmlns:r="http://schemas.openxmlformats.org/officeDocument/2006/relationships" ref="Y1479" display="https://drive.google.com/uc?export=view&amp;id=1bmUU4AfeT64l2Rq26L3nxHbTkPZKKnBP" r:id="rId4479"/>
    <hyperlink xmlns:r="http://schemas.openxmlformats.org/officeDocument/2006/relationships" ref="E1480" display="https://alumnelms.com/" r:id="rId4480"/>
    <hyperlink xmlns:r="http://schemas.openxmlformats.org/officeDocument/2006/relationships" ref="S1480" display="https://twitter.com/alumneelearning" r:id="rId4481"/>
    <hyperlink xmlns:r="http://schemas.openxmlformats.org/officeDocument/2006/relationships" ref="T1480" display="https://www.linkedin.com/company/alumneelearning/" r:id="rId4482"/>
    <hyperlink xmlns:r="http://schemas.openxmlformats.org/officeDocument/2006/relationships" ref="Y1480" display="https://drive.google.com/uc?export=view&amp;id=1qvOYvCGScY7oQtnk9qg2GLDet42ATM2k" r:id="rId4483"/>
    <hyperlink xmlns:r="http://schemas.openxmlformats.org/officeDocument/2006/relationships" ref="E1481" display="https://www.atea.se/digitalisering-i-skolan/" r:id="rId4484"/>
    <hyperlink xmlns:r="http://schemas.openxmlformats.org/officeDocument/2006/relationships" ref="R1481" display="https://www.instagram.com/atea_skola/" r:id="rId4485"/>
    <hyperlink xmlns:r="http://schemas.openxmlformats.org/officeDocument/2006/relationships" ref="T1481" display="https://www.linkedin.com/company/atea-sverige/" r:id="rId4486"/>
    <hyperlink xmlns:r="http://schemas.openxmlformats.org/officeDocument/2006/relationships" ref="Y1481" display="https://drive.google.com/uc?export=view&amp;id=1f-dNT9meTB5j-0SsbDqSckMqQcVubXeo" r:id="rId4487"/>
    <hyperlink xmlns:r="http://schemas.openxmlformats.org/officeDocument/2006/relationships" ref="E1482" display="https://batonroute.com/en/" r:id="rId4488"/>
    <hyperlink xmlns:r="http://schemas.openxmlformats.org/officeDocument/2006/relationships" ref="Y1482" display="https://drive.google.com/uc?export=view&amp;id=1ltkX9NQcR_doiTboT2H1jG-0kz3mopQf" r:id="rId4489"/>
    <hyperlink xmlns:r="http://schemas.openxmlformats.org/officeDocument/2006/relationships" ref="E1483" display="https://be-skiller.com/" r:id="rId4490"/>
    <hyperlink xmlns:r="http://schemas.openxmlformats.org/officeDocument/2006/relationships" ref="Y1483" display="https://drive.google.com/uc?export=view&amp;id=16yqCsgbQk5a5Tk8U1K6wQl0V4fNMdb5_" r:id="rId4491"/>
    <hyperlink xmlns:r="http://schemas.openxmlformats.org/officeDocument/2006/relationships" ref="E1484" display="https://bioprofe.com/" r:id="rId4492"/>
    <hyperlink xmlns:r="http://schemas.openxmlformats.org/officeDocument/2006/relationships" ref="T1484" display="https://www.linkedin.com/company/bioprofe" r:id="rId4493"/>
    <hyperlink xmlns:r="http://schemas.openxmlformats.org/officeDocument/2006/relationships" ref="Y1484" display="https://drive.google.com/uc?export=view&amp;id=1FF_kCQ2iRJvoo91Hly1RWppIEaZU9Cqn" r:id="rId4494"/>
    <hyperlink xmlns:r="http://schemas.openxmlformats.org/officeDocument/2006/relationships" ref="E1485" display="https://www.cns-edu.com/" r:id="rId4495"/>
    <hyperlink xmlns:r="http://schemas.openxmlformats.org/officeDocument/2006/relationships" ref="Y1485" display="https://drive.google.com/uc?export=view&amp;id=14SDVazfE5ddoJ9U-32V9w4sI-r57_sRo" r:id="rId4496"/>
    <hyperlink xmlns:r="http://schemas.openxmlformats.org/officeDocument/2006/relationships" ref="E1486" display="https://www.cifraeducacion.com/" r:id="rId4497"/>
    <hyperlink xmlns:r="http://schemas.openxmlformats.org/officeDocument/2006/relationships" ref="Y1486" display="https://drive.google.com/uc?export=view&amp;id=1hpzgWAWbWoJZpu04Ot3F1dlyxwq9lJrm" r:id="rId4498"/>
    <hyperlink xmlns:r="http://schemas.openxmlformats.org/officeDocument/2006/relationships" ref="E1487" display="https://www.edulib.fr/" r:id="rId4499"/>
    <hyperlink xmlns:r="http://schemas.openxmlformats.org/officeDocument/2006/relationships" ref="Y1487" display="https://drive.google.com/uc?export=view&amp;id=1Zty4eoxgO4vUxWIOUvksJg747t-Z9LIn" r:id="rId4500"/>
    <hyperlink xmlns:r="http://schemas.openxmlformats.org/officeDocument/2006/relationships" ref="E1488" display="http://www.etrivium.es/" r:id="rId4501"/>
    <hyperlink xmlns:r="http://schemas.openxmlformats.org/officeDocument/2006/relationships" ref="Y1488" display="https://drive.google.com/uc?export=view&amp;id=1Nd9ed9C5yEtOPAt2RLC0K1FGYI7aFGz7" r:id="rId4502"/>
    <hyperlink xmlns:r="http://schemas.openxmlformats.org/officeDocument/2006/relationships" ref="E1489" display="https://www.forabetterworld.es/" r:id="rId4503"/>
    <hyperlink xmlns:r="http://schemas.openxmlformats.org/officeDocument/2006/relationships" ref="Y1489" display="https://drive.google.com/uc?export=view&amp;id=1dKlWE6998UG98nASQ2hZ00BezZpRZKF8" r:id="rId4504"/>
    <hyperlink xmlns:r="http://schemas.openxmlformats.org/officeDocument/2006/relationships" ref="E1490" display="https://www.hazu.io/" r:id="rId4505"/>
    <hyperlink xmlns:r="http://schemas.openxmlformats.org/officeDocument/2006/relationships" ref="T1490" display="https://www.linkedin.com/company/hazu" r:id="rId4506"/>
    <hyperlink xmlns:r="http://schemas.openxmlformats.org/officeDocument/2006/relationships" ref="Y1490" display="https://drive.google.com/uc?export=view&amp;id=1uvFzUGUxKkvHALoAF2gsmtT3oj5RS0je" r:id="rId4507"/>
    <hyperlink xmlns:r="http://schemas.openxmlformats.org/officeDocument/2006/relationships" ref="E1491" display="https://kjuicer.com/" r:id="rId4508"/>
    <hyperlink xmlns:r="http://schemas.openxmlformats.org/officeDocument/2006/relationships" ref="S1491" display="https://twitter.com/KnowledgeJuicer" r:id="rId4509"/>
    <hyperlink xmlns:r="http://schemas.openxmlformats.org/officeDocument/2006/relationships" ref="T1491" display="https://www.linkedin.com/company/10288288" r:id="rId4510"/>
    <hyperlink xmlns:r="http://schemas.openxmlformats.org/officeDocument/2006/relationships" ref="Y1491" display="https://drive.google.com/uc?export=view&amp;id=1iHy94ihTeZQeW_yBVB8Z5GHtJ2mYB9wc" r:id="rId4511"/>
    <hyperlink xmlns:r="http://schemas.openxmlformats.org/officeDocument/2006/relationships" ref="E1492" display="https://legiland.club/" r:id="rId4512"/>
    <hyperlink xmlns:r="http://schemas.openxmlformats.org/officeDocument/2006/relationships" ref="Y1492" display="https://drive.google.com/uc?export=view&amp;id=1P4-lWlL6mBUUR0-d195aIhMLWHju0Fz1" r:id="rId4513"/>
    <hyperlink xmlns:r="http://schemas.openxmlformats.org/officeDocument/2006/relationships" ref="E1493" display="https://www.makercamp.it/" r:id="rId4514"/>
    <hyperlink xmlns:r="http://schemas.openxmlformats.org/officeDocument/2006/relationships" ref="Y1493" display="https://drive.google.com/uc?export=view&amp;id=1L1-YzOVHTOMSWyQWcZ0daqekwbk2-aQG" r:id="rId4515"/>
    <hyperlink xmlns:r="http://schemas.openxmlformats.org/officeDocument/2006/relationships" ref="E1494" display="https://www.micole.net/" r:id="rId4516"/>
    <hyperlink xmlns:r="http://schemas.openxmlformats.org/officeDocument/2006/relationships" ref="R1494" display="https://www.instagram.com/micoleoficial/" r:id="rId4517"/>
    <hyperlink xmlns:r="http://schemas.openxmlformats.org/officeDocument/2006/relationships" ref="T1494" display="https://www.linkedin.com/company/micole" r:id="rId4518"/>
    <hyperlink xmlns:r="http://schemas.openxmlformats.org/officeDocument/2006/relationships" ref="Y1494" display="https://drive.google.com/uc?export=view&amp;id=1S5IOCUyYAgAYRQabwWLvULfLjDIZRfRm" r:id="rId4519"/>
    <hyperlink xmlns:r="http://schemas.openxmlformats.org/officeDocument/2006/relationships" ref="E1495" display="http://www.mil-edu.es/" r:id="rId4520"/>
    <hyperlink xmlns:r="http://schemas.openxmlformats.org/officeDocument/2006/relationships" ref="Y1495" display="https://drive.google.com/uc?export=view&amp;id=1Fi5KfX9sXAA7Q_TP84huK4UyOh3uu11K" r:id="rId4521"/>
    <hyperlink xmlns:r="http://schemas.openxmlformats.org/officeDocument/2006/relationships" ref="E1496" display="http://www.professorfilm.eu/" r:id="rId4522"/>
    <hyperlink xmlns:r="http://schemas.openxmlformats.org/officeDocument/2006/relationships" ref="Y1496" display="https://drive.google.com/uc?export=view&amp;id=1wFMPtDowA1IpyMcLckUsHMETf_DOCQ8B" r:id="rId4523"/>
    <hyperlink xmlns:r="http://schemas.openxmlformats.org/officeDocument/2006/relationships" ref="E1497" display="https://www.seidor.com/es-es/industrias/educacion" r:id="rId4524"/>
    <hyperlink xmlns:r="http://schemas.openxmlformats.org/officeDocument/2006/relationships" ref="T1497" display="https://www.linkedin.com/company/seidor/mycompany/verification/" r:id="rId4525"/>
    <hyperlink xmlns:r="http://schemas.openxmlformats.org/officeDocument/2006/relationships" ref="Y1497" display="https://drive.google.com/uc?export=view&amp;id=1VzIVXhrczyEw2JMDGU-8KmMuWHDD9NGx" r:id="rId4526"/>
    <hyperlink xmlns:r="http://schemas.openxmlformats.org/officeDocument/2006/relationships" ref="T1498" display="https://www.linkedin.com/company/studentsuccessapp/" r:id="rId4527"/>
    <hyperlink xmlns:r="http://schemas.openxmlformats.org/officeDocument/2006/relationships" ref="Y1498" display="https://drive.google.com/uc?export=view&amp;id=1kSqDPn_fn-Q9DU2lGr6A4wu0WCCYGtZc" r:id="rId4528"/>
    <hyperlink xmlns:r="http://schemas.openxmlformats.org/officeDocument/2006/relationships" ref="E1499" display="http://systematic.com/sverige" r:id="rId4529"/>
    <hyperlink xmlns:r="http://schemas.openxmlformats.org/officeDocument/2006/relationships" ref="S1499" display="https://twitter.com/SystematicGroup" r:id="rId4530"/>
    <hyperlink xmlns:r="http://schemas.openxmlformats.org/officeDocument/2006/relationships" ref="T1499" display="https://www.linkedin.com/company/systematic/" r:id="rId4531"/>
    <hyperlink xmlns:r="http://schemas.openxmlformats.org/officeDocument/2006/relationships" ref="Y1499" display="https://drive.google.com/uc?export=view&amp;id=1Z8c4wyb7v8522EdFeTIhWmugJNN5UDUR" r:id="rId4532"/>
    <hyperlink xmlns:r="http://schemas.openxmlformats.org/officeDocument/2006/relationships" ref="E1500" display="https://www.talky-app.com/" r:id="rId4533"/>
    <hyperlink xmlns:r="http://schemas.openxmlformats.org/officeDocument/2006/relationships" ref="Y1500" display="https://drive.google.com/uc?export=view&amp;id=1bbLWaQlGZO7_PH9s4PaloX9UKWyt6R5d" r:id="rId4534"/>
    <hyperlink xmlns:r="http://schemas.openxmlformats.org/officeDocument/2006/relationships" ref="E1501" display="http://thepowermba.com/" r:id="rId4535"/>
    <hyperlink xmlns:r="http://schemas.openxmlformats.org/officeDocument/2006/relationships" ref="E1502" display="http://tietoevry.com/" r:id="rId4536"/>
    <hyperlink xmlns:r="http://schemas.openxmlformats.org/officeDocument/2006/relationships" ref="T1502" display="https://www.linkedin.com/company/tietoevry" r:id="rId4537"/>
    <hyperlink xmlns:r="http://schemas.openxmlformats.org/officeDocument/2006/relationships" ref="Y1502" display="https://drive.google.com/uc?export=view&amp;id=1-EbNcCFHwSzb_NpxNpwCAhRZTcDNyzxm" r:id="rId4538"/>
    <hyperlink xmlns:r="http://schemas.openxmlformats.org/officeDocument/2006/relationships" ref="E1503" display="http://www.tracker-apps.com/" r:id="rId4539"/>
    <hyperlink xmlns:r="http://schemas.openxmlformats.org/officeDocument/2006/relationships" ref="T1503" display="https://www.linkedin.com/company/trackerapps/" r:id="rId4540"/>
    <hyperlink xmlns:r="http://schemas.openxmlformats.org/officeDocument/2006/relationships" ref="Y1503" display="https://drive.google.com/uc?export=view&amp;id=1bIENNpUnO9giupb46Y4QZUNtTBKd3KHS" r:id="rId4541"/>
    <hyperlink xmlns:r="http://schemas.openxmlformats.org/officeDocument/2006/relationships" ref="E1504" display="https://ucademy.es/" r:id="rId4542"/>
    <hyperlink xmlns:r="http://schemas.openxmlformats.org/officeDocument/2006/relationships" ref="Y1504" display="https://drive.google.com/uc?export=view&amp;id=1lnuKVdhfvGKvlDX1qOFWcWBuscPDnpt3" r:id="rId4543"/>
    <hyperlink xmlns:r="http://schemas.openxmlformats.org/officeDocument/2006/relationships" ref="E1505" display="https://www.wisepath.ai/" r:id="rId4544"/>
    <hyperlink xmlns:r="http://schemas.openxmlformats.org/officeDocument/2006/relationships" ref="T1505" display="https://www.linkedin.com/company/79811623/admin/" r:id="rId4545"/>
    <hyperlink xmlns:r="http://schemas.openxmlformats.org/officeDocument/2006/relationships" ref="Y1505" display="https://drive.google.com/uc?export=view&amp;id=1SciQqwd3YGqSf_PAKBCu6Ao_ZYyUZDPK" r:id="rId4546"/>
    <hyperlink xmlns:r="http://schemas.openxmlformats.org/officeDocument/2006/relationships" ref="E1506" display="https://www.yourstep.ai/" r:id="rId4547"/>
    <hyperlink xmlns:r="http://schemas.openxmlformats.org/officeDocument/2006/relationships" ref="Y1506" display="https://drive.google.com/uc?export=view&amp;id=1ZEN0-h3BgttKje0kFyAkga-GjFAk1wDJ" r:id="rId4548"/>
    <hyperlink xmlns:r="http://schemas.openxmlformats.org/officeDocument/2006/relationships" ref="E1507" display="https://1to1progress.fr/" r:id="rId4549"/>
    <hyperlink xmlns:r="http://schemas.openxmlformats.org/officeDocument/2006/relationships" ref="T1507" display="https://fr.linkedin.com/company/1to1progress" r:id="rId4550"/>
    <hyperlink xmlns:r="http://schemas.openxmlformats.org/officeDocument/2006/relationships" ref="Y1507" display="https://drive.google.com/uc?export=view&amp;id=1h2ZgRt6qY-A_4AHdskLkIaHQrlIxsV9y" r:id="rId4551"/>
    <hyperlink xmlns:r="http://schemas.openxmlformats.org/officeDocument/2006/relationships" ref="E1508" display="https://aulasteam.com/" r:id="rId4552"/>
    <hyperlink xmlns:r="http://schemas.openxmlformats.org/officeDocument/2006/relationships" ref="Y1508" display="https://drive.google.com/uc?export=view&amp;id=1e3CM-y6mNhzmnWuVKYZGkZ1lIZfomlAy" r:id="rId4553"/>
    <hyperlink xmlns:r="http://schemas.openxmlformats.org/officeDocument/2006/relationships" ref="E1509" display="https://www.beunicoos.com/" r:id="rId4554"/>
    <hyperlink xmlns:r="http://schemas.openxmlformats.org/officeDocument/2006/relationships" ref="Y1509" display="https://drive.google.com/uc?export=view&amp;id=18WUxnxQhTvwoSwJxM54qKdNKxpNXkpnN" r:id="rId4555"/>
    <hyperlink xmlns:r="http://schemas.openxmlformats.org/officeDocument/2006/relationships" ref="E1510" display="http://www.ethafa.com/" r:id="rId4556"/>
    <hyperlink xmlns:r="http://schemas.openxmlformats.org/officeDocument/2006/relationships" ref="S1510" display="https://twitter.com/ethafakit" r:id="rId4557"/>
    <hyperlink xmlns:r="http://schemas.openxmlformats.org/officeDocument/2006/relationships" ref="T1510" display="https://www.linkedin.com/company/38148290/admin/" r:id="rId4558"/>
    <hyperlink xmlns:r="http://schemas.openxmlformats.org/officeDocument/2006/relationships" ref="Y1510" display="https://drive.google.com/uc?export=view&amp;id=1j0ccBGU1Mc9rNJRSM3c_RMj5zsRK0IHW" r:id="rId4559"/>
    <hyperlink xmlns:r="http://schemas.openxmlformats.org/officeDocument/2006/relationships" ref="E1511" display="https://www.eventful.se/" r:id="rId4560"/>
    <hyperlink xmlns:r="http://schemas.openxmlformats.org/officeDocument/2006/relationships" ref="T1511" display="https://www.linkedin.com/company/eventful-ab" r:id="rId4561"/>
    <hyperlink xmlns:r="http://schemas.openxmlformats.org/officeDocument/2006/relationships" ref="Y1511" display="https://drive.google.com/uc?export=view&amp;id=1t8NOBcYHZUCax5OgnSJebxH_dI2l4Rbg" r:id="rId4562"/>
    <hyperlink xmlns:r="http://schemas.openxmlformats.org/officeDocument/2006/relationships" ref="E1512" display="http://www.friendbase.com/" r:id="rId4563"/>
    <hyperlink xmlns:r="http://schemas.openxmlformats.org/officeDocument/2006/relationships" ref="R1512" display="https://instagram.com/friendbase.official" r:id="rId4564"/>
    <hyperlink xmlns:r="http://schemas.openxmlformats.org/officeDocument/2006/relationships" ref="T1512" display="https://www.linkedin.com/company/friendbase-ab/" r:id="rId4565"/>
    <hyperlink xmlns:r="http://schemas.openxmlformats.org/officeDocument/2006/relationships" ref="Y1512" display="https://drive.google.com/uc?export=view&amp;id=1EqWvpbJojOr4-HOabS10_go69bu4byuf" r:id="rId4566"/>
    <hyperlink xmlns:r="http://schemas.openxmlformats.org/officeDocument/2006/relationships" ref="E1513" display="https://hackrocks.com/" r:id="rId4567"/>
    <hyperlink xmlns:r="http://schemas.openxmlformats.org/officeDocument/2006/relationships" ref="Y1513" display="https://drive.google.com/uc?export=view&amp;id=1lbCroNa_vVFrL638ElmpzH8V2-F4jNO1" r:id="rId4568"/>
    <hyperlink xmlns:r="http://schemas.openxmlformats.org/officeDocument/2006/relationships" ref="E1514" display="http://www.ikurius.com/" r:id="rId4569"/>
    <hyperlink xmlns:r="http://schemas.openxmlformats.org/officeDocument/2006/relationships" ref="Y1514" display="https://drive.google.com/uc?export=view&amp;id=1UfVeizSejTh_Cz2yTKrkHbXsWu_t-kFD" r:id="rId4570"/>
    <hyperlink xmlns:r="http://schemas.openxmlformats.org/officeDocument/2006/relationships" ref="E1515" display="https://www.inspera.com/" r:id="rId4571"/>
    <hyperlink xmlns:r="http://schemas.openxmlformats.org/officeDocument/2006/relationships" ref="T1515" display="https://www.linkedin.com/company/inspera/mycompany/verification/" r:id="rId4572"/>
    <hyperlink xmlns:r="http://schemas.openxmlformats.org/officeDocument/2006/relationships" ref="Y1515" display="https://drive.google.com/uc?export=view&amp;id=12JBGKFla4CfMtQ6gahyPpeCVHcvUhI1n" r:id="rId4573"/>
    <hyperlink xmlns:r="http://schemas.openxmlformats.org/officeDocument/2006/relationships" ref="E1516" display="https://www.intermatia.com/" r:id="rId4574"/>
    <hyperlink xmlns:r="http://schemas.openxmlformats.org/officeDocument/2006/relationships" ref="Y1516" display="https://drive.google.com/uc?export=view&amp;id=1jEkm6rbgbElk0RItewx0nqlYYbIVLWLI" r:id="rId4575"/>
    <hyperlink xmlns:r="http://schemas.openxmlformats.org/officeDocument/2006/relationships" ref="E1517" display="http://www.jvsp.io/" r:id="rId4576"/>
    <hyperlink xmlns:r="http://schemas.openxmlformats.org/officeDocument/2006/relationships" ref="Y1517" display="https://drive.google.com/uc?export=view&amp;id=1D1XsV6F3U7A6J7aSzM9bXpRnXJ1MfyNJ" r:id="rId4577"/>
    <hyperlink xmlns:r="http://schemas.openxmlformats.org/officeDocument/2006/relationships" ref="E1518" display="https://labsland.com/" r:id="rId4578"/>
    <hyperlink xmlns:r="http://schemas.openxmlformats.org/officeDocument/2006/relationships" ref="Y1518" display="https://drive.google.com/uc?export=view&amp;id=1pGYfGSnBWbO09DrPvqgNwxXSoRPjVGnB" r:id="rId4579"/>
    <hyperlink xmlns:r="http://schemas.openxmlformats.org/officeDocument/2006/relationships" ref="E1519" display="http://learnetic.com/" r:id="rId4580"/>
    <hyperlink xmlns:r="http://schemas.openxmlformats.org/officeDocument/2006/relationships" ref="T1519" display="https://www.linkedin.com/company/learnetic" r:id="rId4581"/>
    <hyperlink xmlns:r="http://schemas.openxmlformats.org/officeDocument/2006/relationships" ref="Y1519" display="https://drive.google.com/uc?export=view&amp;id=10-cWWf6p64z0dCc7L3Lq7nKABUZE85Io" r:id="rId4582"/>
    <hyperlink xmlns:r="http://schemas.openxmlformats.org/officeDocument/2006/relationships" ref="E1520" display="https://www.leialtechnologies.com/" r:id="rId4583"/>
    <hyperlink xmlns:r="http://schemas.openxmlformats.org/officeDocument/2006/relationships" ref="Y1520" display="https://drive.google.com/uc?export=view&amp;id=1jXVc3cvQPrmw3c-hTXD68WYawMa_n6Bx" r:id="rId4584"/>
    <hyperlink xmlns:r="http://schemas.openxmlformats.org/officeDocument/2006/relationships" ref="E1521" display="http://masquelearning.com/" r:id="rId4585"/>
    <hyperlink xmlns:r="http://schemas.openxmlformats.org/officeDocument/2006/relationships" ref="R1521" display="https://www.instagram.com/masquelearning/?hl=es" r:id="rId4586"/>
    <hyperlink xmlns:r="http://schemas.openxmlformats.org/officeDocument/2006/relationships" ref="S1521" display="https://twitter.com/MasQueLearning" r:id="rId4587"/>
    <hyperlink xmlns:r="http://schemas.openxmlformats.org/officeDocument/2006/relationships" ref="T1521" display="https://es.linkedin.com/company/mqlplay" r:id="rId4588"/>
    <hyperlink xmlns:r="http://schemas.openxmlformats.org/officeDocument/2006/relationships" ref="Y1521" display="https://drive.google.com/uc?export=view&amp;id=1D7vaiwp4PWexcF_2EBUHmlqv54u8PMpH" r:id="rId4589"/>
    <hyperlink xmlns:r="http://schemas.openxmlformats.org/officeDocument/2006/relationships" ref="E1522" display="https://quodus.ai/" r:id="rId4590"/>
    <hyperlink xmlns:r="http://schemas.openxmlformats.org/officeDocument/2006/relationships" ref="Y1522" display="https://drive.google.com/uc?export=view&amp;id=1Nij2ibAzNi8pUTJLIEzH953hcsVRMfn2" r:id="rId4591"/>
    <hyperlink xmlns:r="http://schemas.openxmlformats.org/officeDocument/2006/relationships" ref="E1523" display="https://rbean.io/" r:id="rId4592"/>
    <hyperlink xmlns:r="http://schemas.openxmlformats.org/officeDocument/2006/relationships" ref="T1523" display="https://www.linkedin.com/company/30967711/" r:id="rId4593"/>
    <hyperlink xmlns:r="http://schemas.openxmlformats.org/officeDocument/2006/relationships" ref="Y1523" display="https://drive.google.com/uc?export=view&amp;id=1tFTIKiXgS7IteYSGw21rFR2mHqdgXn-n" r:id="rId4594"/>
    <hyperlink xmlns:r="http://schemas.openxmlformats.org/officeDocument/2006/relationships" ref="E1524" display="https://reconcept.nl/" r:id="rId4595"/>
    <hyperlink xmlns:r="http://schemas.openxmlformats.org/officeDocument/2006/relationships" ref="T1524" display="https://www.linkedin.com/company/reconcept-it" r:id="rId4596"/>
    <hyperlink xmlns:r="http://schemas.openxmlformats.org/officeDocument/2006/relationships" ref="Y1524" display="https://drive.google.com/uc?export=view&amp;id=1-QdWXem9dKa6dhy9DV2Ra8cDMGiDBzT4" r:id="rId4597"/>
    <hyperlink xmlns:r="http://schemas.openxmlformats.org/officeDocument/2006/relationships" ref="E1525" display="https://robokidsrobotica.com/" r:id="rId4598"/>
    <hyperlink xmlns:r="http://schemas.openxmlformats.org/officeDocument/2006/relationships" ref="Y1525" display="https://drive.google.com/uc?export=view&amp;id=1l8Lpxo4xv8-MEcnjJ6F6ZsSk2lRevtCH" r:id="rId4599"/>
    <hyperlink xmlns:r="http://schemas.openxmlformats.org/officeDocument/2006/relationships" ref="E1526" display="https://royalschedule.com/" r:id="rId4600"/>
    <hyperlink xmlns:r="http://schemas.openxmlformats.org/officeDocument/2006/relationships" ref="T1526" display="https://www.linkedin.com/company/royalschedule" r:id="rId4601"/>
    <hyperlink xmlns:r="http://schemas.openxmlformats.org/officeDocument/2006/relationships" ref="Y1526" display="https://drive.google.com/uc?export=view&amp;id=1whNpUOMWu7fdOFaS_lOl8JeOV66igEMr" r:id="rId4602"/>
    <hyperlink xmlns:r="http://schemas.openxmlformats.org/officeDocument/2006/relationships" ref="E1527" display="https://www.spacetechies.com/" r:id="rId4603"/>
    <hyperlink xmlns:r="http://schemas.openxmlformats.org/officeDocument/2006/relationships" ref="Y1527" display="https://drive.google.com/uc?export=view&amp;id=1ON1eu7XSyuNfHhKcmFhjZZr1JE5nxSGf" r:id="rId4604"/>
    <hyperlink xmlns:r="http://schemas.openxmlformats.org/officeDocument/2006/relationships" ref="E1528" display="https://www.spuernasenecke.com/" r:id="rId4605"/>
    <hyperlink xmlns:r="http://schemas.openxmlformats.org/officeDocument/2006/relationships" ref="E1529" display="http://www.untis.at/" r:id="rId4606"/>
    <hyperlink xmlns:r="http://schemas.openxmlformats.org/officeDocument/2006/relationships" ref="Y1529" display="https://drive.google.com/uc?export=view&amp;id=1tTgCwOtIBd-WISdDO0cFGJ-sdhIC5FK7" r:id="rId4607"/>
    <hyperlink xmlns:r="http://schemas.openxmlformats.org/officeDocument/2006/relationships" ref="E1530" display="https://www.judicia.app/" r:id="rId4608"/>
    <hyperlink xmlns:r="http://schemas.openxmlformats.org/officeDocument/2006/relationships" ref="Y1530" display="https://drive.google.com/uc?export=view&amp;id=1OobHUoE1398omjrJuU_Jjy2mxrcb_GAA" r:id="rId4609"/>
    <hyperlink xmlns:r="http://schemas.openxmlformats.org/officeDocument/2006/relationships" ref="E1531" display="https://www.7speaking.com/" r:id="rId4610"/>
    <hyperlink xmlns:r="http://schemas.openxmlformats.org/officeDocument/2006/relationships" ref="Y1531" display="https://drive.google.com/uc?export=view&amp;id=1NHaUxnWKf23_Y2ZK_TjavMimWylrYNmv" r:id="rId4611"/>
    <hyperlink xmlns:r="http://schemas.openxmlformats.org/officeDocument/2006/relationships" ref="E1532" display="https://colori.education/" r:id="rId4612"/>
    <hyperlink xmlns:r="http://schemas.openxmlformats.org/officeDocument/2006/relationships" ref="R1532" display="https://www.instagram.com/colori.officiel/" r:id="rId4613"/>
    <hyperlink xmlns:r="http://schemas.openxmlformats.org/officeDocument/2006/relationships" ref="S1532" display="https://twitter.com/COLORIeducation" r:id="rId4614"/>
    <hyperlink xmlns:r="http://schemas.openxmlformats.org/officeDocument/2006/relationships" ref="T1532" display="https://www.linkedin.com/company/colori-montessori" r:id="rId4615"/>
    <hyperlink xmlns:r="http://schemas.openxmlformats.org/officeDocument/2006/relationships" ref="Y1532" display="https://drive.google.com/uc?export=view&amp;id=1b7XVmp7dwOIwtZwFFqOBbnGrm1bkPF4D" r:id="rId4616"/>
    <hyperlink xmlns:r="http://schemas.openxmlformats.org/officeDocument/2006/relationships" ref="E1533" display="https://evaluo.eu/" r:id="rId4617"/>
    <hyperlink xmlns:r="http://schemas.openxmlformats.org/officeDocument/2006/relationships" ref="S1533" display="https://twitter.com/evaluo20" r:id="rId4618"/>
    <hyperlink xmlns:r="http://schemas.openxmlformats.org/officeDocument/2006/relationships" ref="T1533" display="https://www.linkedin.com/company/e-valuo/?viewAsMember=true" r:id="rId4619"/>
    <hyperlink xmlns:r="http://schemas.openxmlformats.org/officeDocument/2006/relationships" ref="Y1533" display="https://drive.google.com/uc?export=view&amp;id=14Ba0fXAI1cuNvOLDuQ_FShFSG1YeO6zR" r:id="rId4620"/>
    <hyperlink xmlns:r="http://schemas.openxmlformats.org/officeDocument/2006/relationships" ref="E1534" display="http://impala.in/" r:id="rId4621"/>
    <hyperlink xmlns:r="http://schemas.openxmlformats.org/officeDocument/2006/relationships" ref="S1534" display="https://twitter.com/ImpalaEdu" r:id="rId4622"/>
    <hyperlink xmlns:r="http://schemas.openxmlformats.org/officeDocument/2006/relationships" ref="T1534" display="https://www.linkedin.com/company/10779330/" r:id="rId4623"/>
    <hyperlink xmlns:r="http://schemas.openxmlformats.org/officeDocument/2006/relationships" ref="Y1534" display="https://drive.google.com/uc?export=view&amp;id=1yE96NIiFdV0L9XjQ05QgNUQGTPd-wZyJ" r:id="rId4624"/>
    <hyperlink xmlns:r="http://schemas.openxmlformats.org/officeDocument/2006/relationships" ref="E1535" display="https://kirae.io/" r:id="rId4625"/>
    <hyperlink xmlns:r="http://schemas.openxmlformats.org/officeDocument/2006/relationships" ref="R1535" display="https://www.instagram.com/kirae.learning/" r:id="rId4626"/>
    <hyperlink xmlns:r="http://schemas.openxmlformats.org/officeDocument/2006/relationships" ref="S1535" display="https://twitter.com/kiraelearning" r:id="rId4627"/>
    <hyperlink xmlns:r="http://schemas.openxmlformats.org/officeDocument/2006/relationships" ref="T1535" display="https://www.linkedin.com/company/kirae/" r:id="rId4628"/>
    <hyperlink xmlns:r="http://schemas.openxmlformats.org/officeDocument/2006/relationships" ref="Y1535" display="https://drive.google.com/uc?export=view&amp;id=1bsx5yJvwRECNfXqdsZiocslTVHdYJ9yr" r:id="rId4629"/>
    <hyperlink xmlns:r="http://schemas.openxmlformats.org/officeDocument/2006/relationships" ref="E1536" display="https://kokorolingua.com/" r:id="rId4630"/>
    <hyperlink xmlns:r="http://schemas.openxmlformats.org/officeDocument/2006/relationships" ref="R1536" display="https://www.instagram.com/kokorolingua/" r:id="rId4631"/>
    <hyperlink xmlns:r="http://schemas.openxmlformats.org/officeDocument/2006/relationships" ref="S1536" display="https://twitter.com/kokoro_lingua" r:id="rId4632"/>
    <hyperlink xmlns:r="http://schemas.openxmlformats.org/officeDocument/2006/relationships" ref="T1536" display="https://www.linkedin.com/company/18446476/" r:id="rId4633"/>
    <hyperlink xmlns:r="http://schemas.openxmlformats.org/officeDocument/2006/relationships" ref="Y1536" display="https://drive.google.com/uc?export=view&amp;id=1XxNXGt-hAyt3oUc1YliLBIKxWi5q2kEl" r:id="rId4634"/>
    <hyperlink xmlns:r="http://schemas.openxmlformats.org/officeDocument/2006/relationships" ref="D1537" display="http://myracle.io/" r:id="rId4635"/>
    <hyperlink xmlns:r="http://schemas.openxmlformats.org/officeDocument/2006/relationships" ref="E1537" display="https://myracle.io/" r:id="rId4636"/>
    <hyperlink xmlns:r="http://schemas.openxmlformats.org/officeDocument/2006/relationships" ref="Y1537" display="https://drive.google.com/uc?export=view&amp;id=1K91tzrcCUGRzk61bkCztQqhMIlKjmNiT" r:id="rId4637"/>
    <hyperlink xmlns:r="http://schemas.openxmlformats.org/officeDocument/2006/relationships" ref="E1538" display="http://www.ipesland.com/" r:id="rId4638"/>
    <hyperlink xmlns:r="http://schemas.openxmlformats.org/officeDocument/2006/relationships" ref="Y1538" display="https://drive.google.com/uc?export=view&amp;id=1_LHB4kmfWswxuwLURNe2O4US1JyMmNEr" r:id="rId4639"/>
    <hyperlink xmlns:r="http://schemas.openxmlformats.org/officeDocument/2006/relationships" ref="E1539" display="http://www.kharty.com/" r:id="rId4640"/>
    <hyperlink xmlns:r="http://schemas.openxmlformats.org/officeDocument/2006/relationships" ref="T1539" display="https://www.linkedin.com/company/kharty" r:id="rId4641"/>
    <hyperlink xmlns:r="http://schemas.openxmlformats.org/officeDocument/2006/relationships" ref="Y1539" display="https://drive.google.com/uc?export=view&amp;id=1KNKPweaMO0jPR7UpNasVC6kXyYRq2qaK" r:id="rId4642"/>
    <hyperlink xmlns:r="http://schemas.openxmlformats.org/officeDocument/2006/relationships" ref="E1540" display="http://www.learnenjoy.com/" r:id="rId4643"/>
    <hyperlink xmlns:r="http://schemas.openxmlformats.org/officeDocument/2006/relationships" ref="S1540" display="https://twitter.com/learnenjoy" r:id="rId4644"/>
    <hyperlink xmlns:r="http://schemas.openxmlformats.org/officeDocument/2006/relationships" ref="T1540" display="https://www.linkedin.com/company/learnenjoy/mycompany/" r:id="rId4645"/>
    <hyperlink xmlns:r="http://schemas.openxmlformats.org/officeDocument/2006/relationships" ref="Y1540" display="https://drive.google.com/uc?export=view&amp;id=1lbQk3vPTUH5MT1DgN1OpgR5RetNEKAFz" r:id="rId4646"/>
    <hyperlink xmlns:r="http://schemas.openxmlformats.org/officeDocument/2006/relationships" ref="E1541" display="https://opendigitaleducation.com/index.php?lang=en" r:id="rId4647"/>
    <hyperlink xmlns:r="http://schemas.openxmlformats.org/officeDocument/2006/relationships" ref="S1541" display="https://twitter.com/OpenDigitEduc" r:id="rId4648"/>
    <hyperlink xmlns:r="http://schemas.openxmlformats.org/officeDocument/2006/relationships" ref="T1541" display="https://fr.linkedin.com/company/open-digital-education" r:id="rId4649"/>
    <hyperlink xmlns:r="http://schemas.openxmlformats.org/officeDocument/2006/relationships" ref="Y1541" display="https://drive.google.com/uc?export=view&amp;id=1v-6iY4N9DA3hgoR68othaWTvbHHaMkTd" r:id="rId4650"/>
    <hyperlink xmlns:r="http://schemas.openxmlformats.org/officeDocument/2006/relationships" ref="E1542" display="https://rapidmooc.com/" r:id="rId4651"/>
    <hyperlink xmlns:r="http://schemas.openxmlformats.org/officeDocument/2006/relationships" ref="S1542" display="https://twitter.com/rapidmooc" r:id="rId4652"/>
    <hyperlink xmlns:r="http://schemas.openxmlformats.org/officeDocument/2006/relationships" ref="T1542" display="https://www.linkedin.com/company/rapidmooc/" r:id="rId4653"/>
    <hyperlink xmlns:r="http://schemas.openxmlformats.org/officeDocument/2006/relationships" ref="Y1542" display="https://drive.google.com/uc?export=view&amp;id=1kZeQu4tt7k_ZJiH40UHm5QmTgaLwisVR" r:id="rId4654"/>
    <hyperlink xmlns:r="http://schemas.openxmlformats.org/officeDocument/2006/relationships" ref="E1543" display="https://unigow.com/" r:id="rId4655"/>
    <hyperlink xmlns:r="http://schemas.openxmlformats.org/officeDocument/2006/relationships" ref="Y1543" display="https://drive.google.com/uc?export=view&amp;id=1GT65GYanEK3HhnNv33ZzqP1GPpZidMgd" r:id="rId4656"/>
    <hyperlink xmlns:r="http://schemas.openxmlformats.org/officeDocument/2006/relationships" ref="E1544" display="http://8bitcade.com/" r:id="rId4657"/>
    <hyperlink xmlns:r="http://schemas.openxmlformats.org/officeDocument/2006/relationships" ref="Y1544" display="https://drive.google.com/uc?export=view&amp;id=14PMhKKlBCnoendBakvE4Szwkjylmz5qj" r:id="rId4658"/>
    <hyperlink xmlns:r="http://schemas.openxmlformats.org/officeDocument/2006/relationships" ref="E1545" display="https://apolearn.com/" r:id="rId4659"/>
    <hyperlink xmlns:r="http://schemas.openxmlformats.org/officeDocument/2006/relationships" ref="S1545" display="https://twitter.com/apolearn" r:id="rId4660"/>
    <hyperlink xmlns:r="http://schemas.openxmlformats.org/officeDocument/2006/relationships" ref="T1545" display="https://www.linkedin.com/company/apolearn" r:id="rId4661"/>
    <hyperlink xmlns:r="http://schemas.openxmlformats.org/officeDocument/2006/relationships" ref="Y1545" display="https://drive.google.com/uc?export=view&amp;id=13xT1Ii3usn9h_dHWUs7-6Zbm7EJzBnJL" r:id="rId4662"/>
    <hyperlink xmlns:r="http://schemas.openxmlformats.org/officeDocument/2006/relationships" ref="E1546" display="https://artivive.com/" r:id="rId4663"/>
    <hyperlink xmlns:r="http://schemas.openxmlformats.org/officeDocument/2006/relationships" ref="R1546" display="https://www.instagram.com/artiviveapp/" r:id="rId4664"/>
    <hyperlink xmlns:r="http://schemas.openxmlformats.org/officeDocument/2006/relationships" ref="S1546" display="https://twitter.com/ArtiviveApp" r:id="rId4665"/>
    <hyperlink xmlns:r="http://schemas.openxmlformats.org/officeDocument/2006/relationships" ref="T1546" display="https://www.linkedin.com/company/artivive/" r:id="rId4666"/>
    <hyperlink xmlns:r="http://schemas.openxmlformats.org/officeDocument/2006/relationships" ref="Y1546" display="https://drive.google.com/uc?export=view&amp;id=1_-TdzL8HNcwYMRN8js9pXwwbfBa8sxXH" r:id="rId4667"/>
    <hyperlink xmlns:r="http://schemas.openxmlformats.org/officeDocument/2006/relationships" ref="E1547" display="https://beekee.ch/" r:id="rId4668"/>
    <hyperlink xmlns:r="http://schemas.openxmlformats.org/officeDocument/2006/relationships" ref="S1547" display="https://twitter.com/beekee_ch" r:id="rId4669"/>
    <hyperlink xmlns:r="http://schemas.openxmlformats.org/officeDocument/2006/relationships" ref="T1547" display="https://www.linkedin.com/company/beekee/" r:id="rId4670"/>
    <hyperlink xmlns:r="http://schemas.openxmlformats.org/officeDocument/2006/relationships" ref="Y1547" display="https://drive.google.com/uc?export=view&amp;id=1ZfxM41Op9Ykoa9z2v1uPL3Y7bLyQI839" r:id="rId4671"/>
    <hyperlink xmlns:r="http://schemas.openxmlformats.org/officeDocument/2006/relationships" ref="E1548" display="https://calerga.com/" r:id="rId4672"/>
    <hyperlink xmlns:r="http://schemas.openxmlformats.org/officeDocument/2006/relationships" ref="Y1548" display="https://drive.google.com/uc?export=view&amp;id=1_5X_I5RCltPHZ5-iFP1HKKVSA3NWQ3He" r:id="rId4673"/>
    <hyperlink xmlns:r="http://schemas.openxmlformats.org/officeDocument/2006/relationships" ref="E1549" display="https://www.doubleyoukids.com/" r:id="rId4674"/>
    <hyperlink xmlns:r="http://schemas.openxmlformats.org/officeDocument/2006/relationships" ref="S1549" display="https://twitter.com/DoubleyouKids" r:id="rId4675"/>
    <hyperlink xmlns:r="http://schemas.openxmlformats.org/officeDocument/2006/relationships" ref="T1549" display="https://www.linkedin.com/company/doubleyoukids/" r:id="rId4676"/>
    <hyperlink xmlns:r="http://schemas.openxmlformats.org/officeDocument/2006/relationships" ref="Y1549" display="https://drive.google.com/uc?export=view&amp;id=1lx8pg1yp2BYUVOxzrIW2AgMAPn3TUTqQ" r:id="rId4677"/>
    <hyperlink xmlns:r="http://schemas.openxmlformats.org/officeDocument/2006/relationships" ref="E1550" display="http://www.edufactory.com/" r:id="rId4678"/>
    <hyperlink xmlns:r="http://schemas.openxmlformats.org/officeDocument/2006/relationships" ref="R1550" display="https://www.instagram.com/_edufactory/?hl=fr" r:id="rId4679"/>
    <hyperlink xmlns:r="http://schemas.openxmlformats.org/officeDocument/2006/relationships" ref="S1550" display="https://twitter.com/_edufactory" r:id="rId4680"/>
    <hyperlink xmlns:r="http://schemas.openxmlformats.org/officeDocument/2006/relationships" ref="T1550" display="https://www.linkedin.com/company/edufactory" r:id="rId4681"/>
    <hyperlink xmlns:r="http://schemas.openxmlformats.org/officeDocument/2006/relationships" ref="Y1550" display="https://drive.google.com/uc?export=view&amp;id=1Cf92a3a8jsgjm5jq7fx2liJwKsWzXxB6" r:id="rId4682"/>
    <hyperlink xmlns:r="http://schemas.openxmlformats.org/officeDocument/2006/relationships" ref="E1551" display="http://www.fifty.do/" r:id="rId4683"/>
    <hyperlink xmlns:r="http://schemas.openxmlformats.org/officeDocument/2006/relationships" ref="T1551" display="https://www.linkedin.com/company/fifty-edoing/" r:id="rId4684"/>
    <hyperlink xmlns:r="http://schemas.openxmlformats.org/officeDocument/2006/relationships" ref="Y1551" display="https://drive.google.com/uc?export=view&amp;id=1x2IVAax4UqTXsiajtvTJ-3jSJo-euwEp" r:id="rId4685"/>
    <hyperlink xmlns:r="http://schemas.openxmlformats.org/officeDocument/2006/relationships" ref="E1552" display="https://hellorse.fr/" r:id="rId4686"/>
    <hyperlink xmlns:r="http://schemas.openxmlformats.org/officeDocument/2006/relationships" ref="T1552" display="https://www.linkedin.com/company/hellorse/mycompany/?viewAsMember=true" r:id="rId4687"/>
    <hyperlink xmlns:r="http://schemas.openxmlformats.org/officeDocument/2006/relationships" ref="Y1552" display="https://drive.google.com/uc?export=view&amp;id=1w_aq8VOojnCK8o31ME7BdTHvAnoaEHuN" r:id="rId4688"/>
    <hyperlink xmlns:r="http://schemas.openxmlformats.org/officeDocument/2006/relationships" ref="E1553" display="http://www.iamprogrez.com/" r:id="rId4689"/>
    <hyperlink xmlns:r="http://schemas.openxmlformats.org/officeDocument/2006/relationships" ref="S1553" display="https://twitter.com/IamProgrez" r:id="rId4690"/>
    <hyperlink xmlns:r="http://schemas.openxmlformats.org/officeDocument/2006/relationships" ref="T1553" display="https://www.linkedin.com/company/5102576/admin/" r:id="rId4691"/>
    <hyperlink xmlns:r="http://schemas.openxmlformats.org/officeDocument/2006/relationships" ref="Y1553" display="https://drive.google.com/uc?export=view&amp;id=1us57gsY4-z0ACSO2K_jYut24iok0oeFi" r:id="rId4692"/>
    <hyperlink xmlns:r="http://schemas.openxmlformats.org/officeDocument/2006/relationships" ref="E1554" display="https://www.isicrunch.com/" r:id="rId4693"/>
    <hyperlink xmlns:r="http://schemas.openxmlformats.org/officeDocument/2006/relationships" ref="S1554" display="https://twitter.com/ISIcrunch" r:id="rId4694"/>
    <hyperlink xmlns:r="http://schemas.openxmlformats.org/officeDocument/2006/relationships" ref="T1554" display="https://www.linkedin.com/in/vincentwartelle/" r:id="rId4695"/>
    <hyperlink xmlns:r="http://schemas.openxmlformats.org/officeDocument/2006/relationships" ref="Y1554" display="https://drive.google.com/uc?export=view&amp;id=1sfm4HtYWhkhcaNfO0Z8NjUlFSnGP1XDO" r:id="rId4696"/>
    <hyperlink xmlns:r="http://schemas.openxmlformats.org/officeDocument/2006/relationships" ref="E1555" display="https://www.learning-boost.com/" r:id="rId4697"/>
    <hyperlink xmlns:r="http://schemas.openxmlformats.org/officeDocument/2006/relationships" ref="S1555" display="https://twitter.com/Learning_Boost" r:id="rId4698"/>
    <hyperlink xmlns:r="http://schemas.openxmlformats.org/officeDocument/2006/relationships" ref="T1555" display="https://www.linkedin.com/showcase/learningboost/" r:id="rId4699"/>
    <hyperlink xmlns:r="http://schemas.openxmlformats.org/officeDocument/2006/relationships" ref="Y1555" display="https://drive.google.com/uc?export=view&amp;id=1LynT39ezg8vDMQvCO437rPsI3Z8SWH3V" r:id="rId4700"/>
    <hyperlink xmlns:r="http://schemas.openxmlformats.org/officeDocument/2006/relationships" ref="E1556" display="https://www.lynxeducate.com/" r:id="rId4701"/>
    <hyperlink xmlns:r="http://schemas.openxmlformats.org/officeDocument/2006/relationships" ref="R1556" display="https://www.instagram.com/lynxeducate/" r:id="rId4702"/>
    <hyperlink xmlns:r="http://schemas.openxmlformats.org/officeDocument/2006/relationships" ref="S1556" display="https://twitter.com/LynxEducate" r:id="rId4703"/>
    <hyperlink xmlns:r="http://schemas.openxmlformats.org/officeDocument/2006/relationships" ref="T1556" display="https://www.linkedin.com/company/lynxeducate/" r:id="rId4704"/>
    <hyperlink xmlns:r="http://schemas.openxmlformats.org/officeDocument/2006/relationships" ref="Y1556" display="https://drive.google.com/uc?export=view&amp;id=1wU9PXCp2dSGAEvNRIuWTFQU7x8xnA32K" r:id="rId4705"/>
    <hyperlink xmlns:r="http://schemas.openxmlformats.org/officeDocument/2006/relationships" ref="D1557" display="http://mokosi.lt/" r:id="rId4706"/>
    <hyperlink xmlns:r="http://schemas.openxmlformats.org/officeDocument/2006/relationships" ref="E1557" display="http://www.mokosi.lt/" r:id="rId4707"/>
    <hyperlink xmlns:r="http://schemas.openxmlformats.org/officeDocument/2006/relationships" ref="R1557" display="https://www.instagram.com/mokosi.lt/" r:id="rId4708"/>
    <hyperlink xmlns:r="http://schemas.openxmlformats.org/officeDocument/2006/relationships" ref="T1557" display="https://www.linkedin.com/search/results/all/?keywords=mokosi&amp;origin=RICH_QUERY_SUGGESTION&amp;position=0&amp;searchId=5d3a9742-42b3-415a-859d-77bcebf2982b&amp;sid=3K0" r:id="rId4709"/>
    <hyperlink xmlns:r="http://schemas.openxmlformats.org/officeDocument/2006/relationships" ref="U1557" display="http://mokosi.lt/" r:id="rId4710"/>
    <hyperlink xmlns:r="http://schemas.openxmlformats.org/officeDocument/2006/relationships" ref="Y1557" display="https://drive.google.com/uc?export=view&amp;id=18an0fgPkiqoP-l5zPehiyE3TED94W9Wk" r:id="rId4711"/>
    <hyperlink xmlns:r="http://schemas.openxmlformats.org/officeDocument/2006/relationships" ref="E1558" display="http://www.mygreentrainingbox.com/" r:id="rId4712"/>
    <hyperlink xmlns:r="http://schemas.openxmlformats.org/officeDocument/2006/relationships" ref="Y1558" display="https://drive.google.com/uc?export=view&amp;id=1IGNvwyYjuTQeDJDDkA9zqH8l3l95Jv69" r:id="rId4713"/>
    <hyperlink xmlns:r="http://schemas.openxmlformats.org/officeDocument/2006/relationships" ref="E1559" display="http://www.neocosmo.de/" r:id="rId4714"/>
    <hyperlink xmlns:r="http://schemas.openxmlformats.org/officeDocument/2006/relationships" ref="S1559" display="https://mobile.twitter.com/neocosmo_" r:id="rId4715"/>
    <hyperlink xmlns:r="http://schemas.openxmlformats.org/officeDocument/2006/relationships" ref="T1559" display="https://www.linkedin.com/company/neocosmo" r:id="rId4716"/>
    <hyperlink xmlns:r="http://schemas.openxmlformats.org/officeDocument/2006/relationships" ref="Y1559" display="https://drive.google.com/uc?export=view&amp;id=1ATZrm0Rq2tmemNqG1-vOmPl-MBXbAi_u" r:id="rId4717"/>
    <hyperlink xmlns:r="http://schemas.openxmlformats.org/officeDocument/2006/relationships" ref="E1560" display="http://www.pingpong.se/" r:id="rId4718"/>
    <hyperlink xmlns:r="http://schemas.openxmlformats.org/officeDocument/2006/relationships" ref="T1560" display="https://www.linkedin.com/company/ping-pong-ab/" r:id="rId4719"/>
    <hyperlink xmlns:r="http://schemas.openxmlformats.org/officeDocument/2006/relationships" ref="Y1560" display="https://drive.google.com/uc?export=view&amp;id=1rIezXc_54H737IYf4NlvTIyg_lNk1bWo" r:id="rId4720"/>
    <hyperlink xmlns:r="http://schemas.openxmlformats.org/officeDocument/2006/relationships" ref="E1561" display="http://www.plume-app.co/" r:id="rId4721"/>
    <hyperlink xmlns:r="http://schemas.openxmlformats.org/officeDocument/2006/relationships" ref="R1561" display="https://www.instagram.com/plume_app" r:id="rId4722"/>
    <hyperlink xmlns:r="http://schemas.openxmlformats.org/officeDocument/2006/relationships" ref="S1561" display="https://twitter.com/plume_app" r:id="rId4723"/>
    <hyperlink xmlns:r="http://schemas.openxmlformats.org/officeDocument/2006/relationships" ref="T1561" display="https://www.linkedin.com/company/plume-app" r:id="rId4724"/>
    <hyperlink xmlns:r="http://schemas.openxmlformats.org/officeDocument/2006/relationships" ref="Y1561" display="https://drive.google.com/uc?export=view&amp;id=184wKg7zOcr7rU8Qkuu3VM2bqyXDhKln2" r:id="rId4725"/>
    <hyperlink xmlns:r="http://schemas.openxmlformats.org/officeDocument/2006/relationships" ref="E1562" display="about:blank" r:id="rId4726"/>
    <hyperlink xmlns:r="http://schemas.openxmlformats.org/officeDocument/2006/relationships" ref="R1562" display="https://www.instagram.com/powerz.official/" r:id="rId4727"/>
    <hyperlink xmlns:r="http://schemas.openxmlformats.org/officeDocument/2006/relationships" ref="S1562" display="https://twitter.com/PowerZ_official" r:id="rId4728"/>
    <hyperlink xmlns:r="http://schemas.openxmlformats.org/officeDocument/2006/relationships" ref="T1562" display="https://www.linkedin.com/company/powerz/" r:id="rId4729"/>
    <hyperlink xmlns:r="http://schemas.openxmlformats.org/officeDocument/2006/relationships" ref="Y1562" display="https://drive.google.com/uc?export=view&amp;id=12hGQ7P-tEKOt3HPdZLVGyJ8dpkn0WXsa" r:id="rId4730"/>
    <hyperlink xmlns:r="http://schemas.openxmlformats.org/officeDocument/2006/relationships" ref="E1563" display="http://www.reflectus.eu/" r:id="rId4731"/>
    <hyperlink xmlns:r="http://schemas.openxmlformats.org/officeDocument/2006/relationships" ref="R1563" display="https://www.instagram.com/reflectus.lt/" r:id="rId4732"/>
    <hyperlink xmlns:r="http://schemas.openxmlformats.org/officeDocument/2006/relationships" ref="T1563" display="https://www.linkedin.com/company/reflectus-lt/" r:id="rId4733"/>
    <hyperlink xmlns:r="http://schemas.openxmlformats.org/officeDocument/2006/relationships" ref="Y1563" display="https://drive.google.com/uc?export=view&amp;id=1t-1eurjLCjufBLFY9VGynI07XlYWkJRZ" r:id="rId4734"/>
    <hyperlink xmlns:r="http://schemas.openxmlformats.org/officeDocument/2006/relationships" ref="E1564" display="https://sproof.io/" r:id="rId4735"/>
    <hyperlink xmlns:r="http://schemas.openxmlformats.org/officeDocument/2006/relationships" ref="T1564" display="http://www.linkedin.com/company/sproof" r:id="rId4736"/>
    <hyperlink xmlns:r="http://schemas.openxmlformats.org/officeDocument/2006/relationships" ref="Y1564" display="https://drive.google.com/uc?export=view&amp;id=1UOop4R32NgNdfohuWNkiWTrjzmCwUZGw" r:id="rId4737"/>
    <hyperlink xmlns:r="http://schemas.openxmlformats.org/officeDocument/2006/relationships" ref="E1565" display="http://traindy.io/" r:id="rId4738"/>
    <hyperlink xmlns:r="http://schemas.openxmlformats.org/officeDocument/2006/relationships" ref="Y1565" display="https://drive.google.com/uc?export=view&amp;id=1-UNejTA3R8cJvZCBIvrxqsYC7QJhg4HK" r:id="rId4739"/>
    <hyperlink xmlns:r="http://schemas.openxmlformats.org/officeDocument/2006/relationships" ref="E1566" display="https://www.tridan.tech/" r:id="rId4740"/>
    <hyperlink xmlns:r="http://schemas.openxmlformats.org/officeDocument/2006/relationships" ref="S1566" display="https://twitter.com/tridan_test" r:id="rId4741"/>
    <hyperlink xmlns:r="http://schemas.openxmlformats.org/officeDocument/2006/relationships" ref="T1566" display="https://www.linkedin.com/company/tridan-test" r:id="rId4742"/>
    <hyperlink xmlns:r="http://schemas.openxmlformats.org/officeDocument/2006/relationships" ref="Y1566" display="https://drive.google.com/uc?export=view&amp;id=1qb7HZ-a9t40qD5db8d2_SVHIbizLNJup" r:id="rId4743"/>
    <hyperlink xmlns:r="http://schemas.openxmlformats.org/officeDocument/2006/relationships" ref="E1567" display="https://vextur.com/" r:id="rId4744"/>
    <hyperlink xmlns:r="http://schemas.openxmlformats.org/officeDocument/2006/relationships" ref="T1567" display="https://www.linkedin.com/company/vextur" r:id="rId4745"/>
    <hyperlink xmlns:r="http://schemas.openxmlformats.org/officeDocument/2006/relationships" ref="Y1567" display="https://drive.google.com/uc?export=view&amp;id=1KTmjupBPRQ4o4Wue9gd9kPBAus666k-m" r:id="rId4746"/>
    <hyperlink xmlns:r="http://schemas.openxmlformats.org/officeDocument/2006/relationships" ref="E1568" display="https://www.alumnforce.com/" r:id="rId4747"/>
    <hyperlink xmlns:r="http://schemas.openxmlformats.org/officeDocument/2006/relationships" ref="S1568" display="https://twitter.com/AlumnForce" r:id="rId4748"/>
    <hyperlink xmlns:r="http://schemas.openxmlformats.org/officeDocument/2006/relationships" ref="T1568" display="https://www.linkedin.com/company/alumnforce-alumni-success-platform/" r:id="rId4749"/>
    <hyperlink xmlns:r="http://schemas.openxmlformats.org/officeDocument/2006/relationships" ref="Y1568" display="https://drive.google.com/uc?export=view&amp;id=1IBGpek4F-8bPP3TbN8NTTeEuDNuLZ0KE" r:id="rId4750"/>
    <hyperlink xmlns:r="http://schemas.openxmlformats.org/officeDocument/2006/relationships" ref="E1569" display="http://www.appscapes.com/" r:id="rId4751"/>
    <hyperlink xmlns:r="http://schemas.openxmlformats.org/officeDocument/2006/relationships" ref="Y1569" display="https://drive.google.com/uc?export=view&amp;id=1jq3TfUnlbKQQ_62vXpvGFO7cD_O0qkOw" r:id="rId4752"/>
    <hyperlink xmlns:r="http://schemas.openxmlformats.org/officeDocument/2006/relationships" ref="E1570" display="https://areeka.net/" r:id="rId4753"/>
    <hyperlink xmlns:r="http://schemas.openxmlformats.org/officeDocument/2006/relationships" ref="Y1570" display="https://drive.google.com/uc?export=view&amp;id=1e3FvGcHIv9khtbOKZDb4kOBpw4AcO_lr" r:id="rId4754"/>
    <hyperlink xmlns:r="http://schemas.openxmlformats.org/officeDocument/2006/relationships" ref="E1571" display="https://areneducation.com/en/" r:id="rId4755"/>
    <hyperlink xmlns:r="http://schemas.openxmlformats.org/officeDocument/2006/relationships" ref="T1571" display="https://www.linkedin.com/company/36144549/admin/feed/posts/" r:id="rId4756"/>
    <hyperlink xmlns:r="http://schemas.openxmlformats.org/officeDocument/2006/relationships" ref="Y1571" display="https://drive.google.com/uc?export=view&amp;id=1FNV-tXlhxHr375OgON_e9NsZmHSzXf7T" r:id="rId4757"/>
    <hyperlink xmlns:r="http://schemas.openxmlformats.org/officeDocument/2006/relationships" ref="E1572" display="http://www.asbpublishing.com/" r:id="rId4758"/>
    <hyperlink xmlns:r="http://schemas.openxmlformats.org/officeDocument/2006/relationships" ref="Y1572" display="https://drive.google.com/uc?export=view&amp;id=1WeC4JVjBzZs-QTbEVlTn5bEQat-WEFQH" r:id="rId4759"/>
    <hyperlink xmlns:r="http://schemas.openxmlformats.org/officeDocument/2006/relationships" ref="E1573" display="https://balio.app/" r:id="rId4760"/>
    <hyperlink xmlns:r="http://schemas.openxmlformats.org/officeDocument/2006/relationships" ref="R1573" display="https://www.instagram.com/balioapp/" r:id="rId4761"/>
    <hyperlink xmlns:r="http://schemas.openxmlformats.org/officeDocument/2006/relationships" ref="S1573" display="https://twitter.com/Balio" r:id="rId4762"/>
    <hyperlink xmlns:r="http://schemas.openxmlformats.org/officeDocument/2006/relationships" ref="T1573" display="https://www.linkedin.com/company/balio" r:id="rId4763"/>
    <hyperlink xmlns:r="http://schemas.openxmlformats.org/officeDocument/2006/relationships" ref="Y1573" display="https://drive.google.com/uc?export=view&amp;id=1OsQikp6yK5hKG8chxyaL2blyiMqfyU_e" r:id="rId4764"/>
    <hyperlink xmlns:r="http://schemas.openxmlformats.org/officeDocument/2006/relationships" ref="E1574" display="https://bitmark-association.org/" r:id="rId4765"/>
    <hyperlink xmlns:r="http://schemas.openxmlformats.org/officeDocument/2006/relationships" ref="S1574" display="https://twitter.com/bitmarkstandard" r:id="rId4766"/>
    <hyperlink xmlns:r="http://schemas.openxmlformats.org/officeDocument/2006/relationships" ref="T1574" display="https://www.linkedin.com/company/bitmark-association" r:id="rId4767"/>
    <hyperlink xmlns:r="http://schemas.openxmlformats.org/officeDocument/2006/relationships" ref="Y1574" display="https://drive.google.com/uc?export=view&amp;id=1UPRJH_FA9-7pmBTmX5ZqzGNhjvnB4PwC" r:id="rId4768"/>
    <hyperlink xmlns:r="http://schemas.openxmlformats.org/officeDocument/2006/relationships" ref="E1575" display="http://www.bluefrogrobotics.com/" r:id="rId4769"/>
    <hyperlink xmlns:r="http://schemas.openxmlformats.org/officeDocument/2006/relationships" ref="T1575" display="https://www.linkedin.com/company/bluefrogrobotics" r:id="rId4770"/>
    <hyperlink xmlns:r="http://schemas.openxmlformats.org/officeDocument/2006/relationships" ref="Y1575" display="https://drive.google.com/uc?export=view&amp;id=1Xx2VlMDxUvQFP6UnoWkOwU94zFq29uQF" r:id="rId4771"/>
    <hyperlink xmlns:r="http://schemas.openxmlformats.org/officeDocument/2006/relationships" ref="E1576" display="https://www.catnclever.com/" r:id="rId4772"/>
    <hyperlink xmlns:r="http://schemas.openxmlformats.org/officeDocument/2006/relationships" ref="Y1576" display="https://drive.google.com/uc?export=view&amp;id=1c4JCwPFoK0AHTcC_qoTR4hC9pH9JuSe4" r:id="rId4773"/>
    <hyperlink xmlns:r="http://schemas.openxmlformats.org/officeDocument/2006/relationships" ref="E1577" display="https://www.classninjas.com/" r:id="rId4774"/>
    <hyperlink xmlns:r="http://schemas.openxmlformats.org/officeDocument/2006/relationships" ref="T1577" display="https://www.linkedin.com/company/classninjas/" r:id="rId4775"/>
    <hyperlink xmlns:r="http://schemas.openxmlformats.org/officeDocument/2006/relationships" ref="Y1577" display="https://drive.google.com/uc?export=view&amp;id=1qColL1Ml0T535yc1xwANJoJnsUXZ_RKF" r:id="rId4776"/>
    <hyperlink xmlns:r="http://schemas.openxmlformats.org/officeDocument/2006/relationships" ref="E1578" display="http://www.crocosgodigital.com/" r:id="rId4777"/>
    <hyperlink xmlns:r="http://schemas.openxmlformats.org/officeDocument/2006/relationships" ref="Y1578" display="https://drive.google.com/uc?export=view&amp;id=1U9D7pPksCKxNCt4rVcObuAHPr1FwhqgV" r:id="rId4778"/>
    <hyperlink xmlns:r="http://schemas.openxmlformats.org/officeDocument/2006/relationships" ref="E1579" display="http://www.materdoppiodiploma.it/" r:id="rId4779"/>
    <hyperlink xmlns:r="http://schemas.openxmlformats.org/officeDocument/2006/relationships" ref="Y1579" display="https://drive.google.com/uc?export=view&amp;id=1LlR2LOyAudD4-PexIkGLcnfH3sqGaZvA" r:id="rId4780"/>
    <hyperlink xmlns:r="http://schemas.openxmlformats.org/officeDocument/2006/relationships" ref="E1580" display="http://www.docendum.it/" r:id="rId4781"/>
    <hyperlink xmlns:r="http://schemas.openxmlformats.org/officeDocument/2006/relationships" ref="R1580" display="https://www.instagram.com/docendum/" r:id="rId4782"/>
    <hyperlink xmlns:r="http://schemas.openxmlformats.org/officeDocument/2006/relationships" ref="T1580" display="https://www.linkedin.com/company/10153088/" r:id="rId4783"/>
    <hyperlink xmlns:r="http://schemas.openxmlformats.org/officeDocument/2006/relationships" ref="Y1580" display="https://drive.google.com/uc?export=view&amp;id=1ebK1zFh7dTJzTbCVy3VhL6rj5HU7Vo5r" r:id="rId4784"/>
    <hyperlink xmlns:r="http://schemas.openxmlformats.org/officeDocument/2006/relationships" ref="E1581" display="http://www.escuelab.es/" r:id="rId4785"/>
    <hyperlink xmlns:r="http://schemas.openxmlformats.org/officeDocument/2006/relationships" ref="R1581" display="https://instagram.com/escuelab.innov.educ" r:id="rId4786"/>
    <hyperlink xmlns:r="http://schemas.openxmlformats.org/officeDocument/2006/relationships" ref="S1581" display="https://twitter.com/EscuelabMadrid" r:id="rId4787"/>
    <hyperlink xmlns:r="http://schemas.openxmlformats.org/officeDocument/2006/relationships" ref="T1581" display="https://www.linkedin.com/company/escuelab" r:id="rId4788"/>
    <hyperlink xmlns:r="http://schemas.openxmlformats.org/officeDocument/2006/relationships" ref="Y1581" display="https://drive.google.com/uc?export=view&amp;id=18WlyZcBQJkaprvVmBc9z-tIkxQT5m6QK" r:id="rId4789"/>
    <hyperlink xmlns:r="http://schemas.openxmlformats.org/officeDocument/2006/relationships" ref="E1582" display="http://www.fabula-games.de/" r:id="rId4790"/>
    <hyperlink xmlns:r="http://schemas.openxmlformats.org/officeDocument/2006/relationships" ref="Y1582" display="https://drive.google.com/uc?export=view&amp;id=1cFXdTTOM9S5GxHNs3gjwJhZEFtFCXz7A" r:id="rId4791"/>
    <hyperlink xmlns:r="http://schemas.openxmlformats.org/officeDocument/2006/relationships" ref="E1583" display="https://www.feamzy.com/" r:id="rId4792"/>
    <hyperlink xmlns:r="http://schemas.openxmlformats.org/officeDocument/2006/relationships" ref="R1583" display="https://www.instagram.com/feamzy_application/" r:id="rId4793"/>
    <hyperlink xmlns:r="http://schemas.openxmlformats.org/officeDocument/2006/relationships" ref="S1583" display="https://twitter.com/MarieLewin_18" r:id="rId4794"/>
    <hyperlink xmlns:r="http://schemas.openxmlformats.org/officeDocument/2006/relationships" ref="T1583" display="https://www.linkedin.com/company/34700226" r:id="rId4795"/>
    <hyperlink xmlns:r="http://schemas.openxmlformats.org/officeDocument/2006/relationships" ref="Y1583" display="https://drive.google.com/uc?export=view&amp;id=1-VbH4MZSNFHc5B_dXwRZ8HexdC-Kvo0X" r:id="rId4796"/>
    <hyperlink xmlns:r="http://schemas.openxmlformats.org/officeDocument/2006/relationships" ref="E1584" display="https://flowchase.app/" r:id="rId4797"/>
    <hyperlink xmlns:r="http://schemas.openxmlformats.org/officeDocument/2006/relationships" ref="R1584" display="https://www.instagram.com/flowchase.app/" r:id="rId4798"/>
    <hyperlink xmlns:r="http://schemas.openxmlformats.org/officeDocument/2006/relationships" ref="T1584" display="https://www.linkedin.com/company/flowchase/" r:id="rId4799"/>
    <hyperlink xmlns:r="http://schemas.openxmlformats.org/officeDocument/2006/relationships" ref="Y1584" display="https://drive.google.com/uc?export=view&amp;id=1soQN9VQYUkJcmbEJUpE08ojeIlslJ1rL" r:id="rId4800"/>
    <hyperlink xmlns:r="http://schemas.openxmlformats.org/officeDocument/2006/relationships" ref="E1585" display="https://www.getmorebrain.com/" r:id="rId4801"/>
    <hyperlink xmlns:r="http://schemas.openxmlformats.org/officeDocument/2006/relationships" ref="R1585" display="https://www.instagram.com/getmorebraindevs" r:id="rId4802"/>
    <hyperlink xmlns:r="http://schemas.openxmlformats.org/officeDocument/2006/relationships" ref="T1585" display="https://www.linkedin.com/company/getmorebrain" r:id="rId4803"/>
    <hyperlink xmlns:r="http://schemas.openxmlformats.org/officeDocument/2006/relationships" ref="Y1585" display="https://drive.google.com/uc?export=view&amp;id=1kn21N-Bw4ty4pT6Ke9ZK4TNYVtVxdbqp" r:id="rId4804"/>
    <hyperlink xmlns:r="http://schemas.openxmlformats.org/officeDocument/2006/relationships" ref="E1586" display="http://www.gostudent.org/" r:id="rId4805"/>
    <hyperlink xmlns:r="http://schemas.openxmlformats.org/officeDocument/2006/relationships" ref="R1586" display="https://www.instagram.com/gostudent_life" r:id="rId4806"/>
    <hyperlink xmlns:r="http://schemas.openxmlformats.org/officeDocument/2006/relationships" ref="S1586" display="https://twitter.com/gostudent1" r:id="rId4807"/>
    <hyperlink xmlns:r="http://schemas.openxmlformats.org/officeDocument/2006/relationships" ref="T1586" display="https://www.linkedin.com/company/gostudent-gmbh" r:id="rId4808"/>
    <hyperlink xmlns:r="http://schemas.openxmlformats.org/officeDocument/2006/relationships" ref="Y1586" display="https://drive.google.com/uc?export=view&amp;id=1ZcMYf4OPYAAb7Su3QzoA3S63ejEFsWjw" r:id="rId4809"/>
    <hyperlink xmlns:r="http://schemas.openxmlformats.org/officeDocument/2006/relationships" ref="E1587" display="https://habilitatem.com/" r:id="rId4810"/>
    <hyperlink xmlns:r="http://schemas.openxmlformats.org/officeDocument/2006/relationships" ref="Y1587" display="https://drive.google.com/uc?export=view&amp;id=1AoAHbMKLdRaz2anYunxKy93W8ULZN3_x" r:id="rId4811"/>
    <hyperlink xmlns:r="http://schemas.openxmlformats.org/officeDocument/2006/relationships" ref="E1588" display="http://www.isdicrm.com/fr" r:id="rId4812"/>
    <hyperlink xmlns:r="http://schemas.openxmlformats.org/officeDocument/2006/relationships" ref="T1588" display="https://www.linkedin.com/company/19200104" r:id="rId4813"/>
    <hyperlink xmlns:r="http://schemas.openxmlformats.org/officeDocument/2006/relationships" ref="Y1588" display="https://drive.google.com/uc?export=view&amp;id=15-1OvEuONOoqHE3fI56KXsvUB0R5503v" r:id="rId4814"/>
    <hyperlink xmlns:r="http://schemas.openxmlformats.org/officeDocument/2006/relationships" ref="E1589" display="https://www.jeuxandco.com/" r:id="rId4815"/>
    <hyperlink xmlns:r="http://schemas.openxmlformats.org/officeDocument/2006/relationships" ref="Y1589" display="https://drive.google.com/uc?export=view&amp;id=1VKsJ4X0o00-xlzLv84e1LgZxCKkWe_U3" r:id="rId4816"/>
    <hyperlink xmlns:r="http://schemas.openxmlformats.org/officeDocument/2006/relationships" ref="E1590" display="https://www.kalea-formation.com/" r:id="rId4817"/>
    <hyperlink xmlns:r="http://schemas.openxmlformats.org/officeDocument/2006/relationships" ref="T1590" display="https://www.linkedin.com/company/877277" r:id="rId4818"/>
    <hyperlink xmlns:r="http://schemas.openxmlformats.org/officeDocument/2006/relationships" ref="Y1590" display="https://drive.google.com/uc?export=view&amp;id=1ptLDTYiraAtR98N3agT-Y4-IaVehKEjI" r:id="rId4819"/>
    <hyperlink xmlns:r="http://schemas.openxmlformats.org/officeDocument/2006/relationships" ref="E1591" display="http://www.lawebox.com/" r:id="rId4820"/>
    <hyperlink xmlns:r="http://schemas.openxmlformats.org/officeDocument/2006/relationships" ref="R1591" display="https://www.instagram.com/lawebox/?hl=fr" r:id="rId4821"/>
    <hyperlink xmlns:r="http://schemas.openxmlformats.org/officeDocument/2006/relationships" ref="S1591" display="https://mobile.twitter.com/adebernardy" r:id="rId4822"/>
    <hyperlink xmlns:r="http://schemas.openxmlformats.org/officeDocument/2006/relationships" ref="T1591" display="https://www.linkedin.com/company/18363081/admin/" r:id="rId4823"/>
    <hyperlink xmlns:r="http://schemas.openxmlformats.org/officeDocument/2006/relationships" ref="Y1591" display="https://drive.google.com/uc?export=view&amp;id=1btGQlVTjZ3akbFF6Z9bJGeFP_VLP3ili" r:id="rId4824"/>
    <hyperlink xmlns:r="http://schemas.openxmlformats.org/officeDocument/2006/relationships" ref="E1592" display="http://www.lawstar.at/" r:id="rId4825"/>
    <hyperlink xmlns:r="http://schemas.openxmlformats.org/officeDocument/2006/relationships" ref="Y1592" display="https://drive.google.com/uc?export=view&amp;id=1P2GVMc3kitRyEuwnimfored0CbyyPwF8" r:id="rId4826"/>
    <hyperlink xmlns:r="http://schemas.openxmlformats.org/officeDocument/2006/relationships" ref="E1593" display="https://le-bahut.com/" r:id="rId4827"/>
    <hyperlink xmlns:r="http://schemas.openxmlformats.org/officeDocument/2006/relationships" ref="S1593" display="https://twitter.com/sydopedago" r:id="rId4828"/>
    <hyperlink xmlns:r="http://schemas.openxmlformats.org/officeDocument/2006/relationships" ref="T1593" display="https://www.linkedin.com/school/le-bahut-lyon/" r:id="rId4829"/>
    <hyperlink xmlns:r="http://schemas.openxmlformats.org/officeDocument/2006/relationships" ref="Y1593" display="https://drive.google.com/uc?export=view&amp;id=18yCtVW8hwBti0HkRjnCog_NtZV5K4aCT" r:id="rId4830"/>
    <hyperlink xmlns:r="http://schemas.openxmlformats.org/officeDocument/2006/relationships" ref="E1594" display="http://www.lecoinduprof.fr/" r:id="rId4831"/>
    <hyperlink xmlns:r="http://schemas.openxmlformats.org/officeDocument/2006/relationships" ref="T1594" display="https://www.linkedin.com/company/le-coin-du-prof/" r:id="rId4832"/>
    <hyperlink xmlns:r="http://schemas.openxmlformats.org/officeDocument/2006/relationships" ref="Y1594" display="https://drive.google.com/uc?export=view&amp;id=13nG-7BeWGwwRxgF81WIn8SqgPkE8WPcL" r:id="rId4833"/>
    <hyperlink xmlns:r="http://schemas.openxmlformats.org/officeDocument/2006/relationships" ref="E1595" display="https://www.lereacteur.io/" r:id="rId4834"/>
    <hyperlink xmlns:r="http://schemas.openxmlformats.org/officeDocument/2006/relationships" ref="R1595" display="https://www.instagram.com/lereacteur.io" r:id="rId4835"/>
    <hyperlink xmlns:r="http://schemas.openxmlformats.org/officeDocument/2006/relationships" ref="S1595" display="https://twitter.com/LeReacteurIO" r:id="rId4836"/>
    <hyperlink xmlns:r="http://schemas.openxmlformats.org/officeDocument/2006/relationships" ref="T1595" display="https://www.linkedin.com/school/13211127/admin/" r:id="rId4837"/>
    <hyperlink xmlns:r="http://schemas.openxmlformats.org/officeDocument/2006/relationships" ref="Y1595" display="https://drive.google.com/uc?export=view&amp;id=1JJs9LwYrFPgU0cS00mS_G0Ovw5G2HgkW" r:id="rId4838"/>
    <hyperlink xmlns:r="http://schemas.openxmlformats.org/officeDocument/2006/relationships" ref="E1596" display="https://www.mariaschools.com/" r:id="rId4839"/>
    <hyperlink xmlns:r="http://schemas.openxmlformats.org/officeDocument/2006/relationships" ref="Y1596" display="https://drive.google.com/uc?export=view&amp;id=19lPxeoZ7D003S5ClcJ2bcpKIEZOj_nIo" r:id="rId4840"/>
    <hyperlink xmlns:r="http://schemas.openxmlformats.org/officeDocument/2006/relationships" ref="E1597" display="https://mathlive.fr/" r:id="rId4841"/>
    <hyperlink xmlns:r="http://schemas.openxmlformats.org/officeDocument/2006/relationships" ref="S1597" display="https://twitter.com/MathliveFR" r:id="rId4842"/>
    <hyperlink xmlns:r="http://schemas.openxmlformats.org/officeDocument/2006/relationships" ref="T1597" display="https://www.linkedin.com/company/75763624" r:id="rId4843"/>
    <hyperlink xmlns:r="http://schemas.openxmlformats.org/officeDocument/2006/relationships" ref="Y1597" display="https://drive.google.com/uc?export=view&amp;id=1HXR6Sz5qrmYrebZcVo7i07Uq6L3nhhYJ" r:id="rId4844"/>
    <hyperlink xmlns:r="http://schemas.openxmlformats.org/officeDocument/2006/relationships" ref="E1598" display="http://pro.meetyourschool.com/" r:id="rId4845"/>
    <hyperlink xmlns:r="http://schemas.openxmlformats.org/officeDocument/2006/relationships" ref="Y1598" display="https://drive.google.com/uc?export=view&amp;id=1LbvM2sfuK6q7TjO7DYYiabYdR47a9OPj" r:id="rId4846"/>
    <hyperlink xmlns:r="http://schemas.openxmlformats.org/officeDocument/2006/relationships" ref="E1599" display="https://merci-ecommerce.fr/" r:id="rId4847"/>
    <hyperlink xmlns:r="http://schemas.openxmlformats.org/officeDocument/2006/relationships" ref="R1599" display="https://www.instagram.com/merciecommerce/?hl=fr" r:id="rId4848"/>
    <hyperlink xmlns:r="http://schemas.openxmlformats.org/officeDocument/2006/relationships" ref="T1599" display="https://www.linkedin.com/company/merci-e-commerce" r:id="rId4849"/>
    <hyperlink xmlns:r="http://schemas.openxmlformats.org/officeDocument/2006/relationships" ref="Y1599" display="https://drive.google.com/uc?export=view&amp;id=1G0mfPbvyDjqDX8SSUVosRRaDO5-JPV4C" r:id="rId4850"/>
    <hyperlink xmlns:r="http://schemas.openxmlformats.org/officeDocument/2006/relationships" ref="D1600" display="http://mescahiersnumeriques.com/" r:id="rId4851"/>
    <hyperlink xmlns:r="http://schemas.openxmlformats.org/officeDocument/2006/relationships" ref="E1600" display="http://www.mescahiersnumeriques.com/" r:id="rId4852"/>
    <hyperlink xmlns:r="http://schemas.openxmlformats.org/officeDocument/2006/relationships" ref="R1600" display="https://www.instagram.com/mescahiersnumeriques/" r:id="rId4853"/>
    <hyperlink xmlns:r="http://schemas.openxmlformats.org/officeDocument/2006/relationships" ref="T1600" display="https://www.linkedin.com/company/mes-cahiers-num%C3%A9riques/?viewAsMember=true" r:id="rId4854"/>
    <hyperlink xmlns:r="http://schemas.openxmlformats.org/officeDocument/2006/relationships" ref="U1600" display="http://mescahiersdevacances.com/" r:id="rId4855"/>
    <hyperlink xmlns:r="http://schemas.openxmlformats.org/officeDocument/2006/relationships" ref="W1600" display="http://mescahiersderevisions.com/" r:id="rId4856"/>
    <hyperlink xmlns:r="http://schemas.openxmlformats.org/officeDocument/2006/relationships" ref="Y1600" display="https://drive.google.com/uc?export=view&amp;id=1IhJxNiTdw-yDp_nRpPYkXq7EYdzLtOeG" r:id="rId4857"/>
    <hyperlink xmlns:r="http://schemas.openxmlformats.org/officeDocument/2006/relationships" ref="E1601" display="https://ofcourse.me/" r:id="rId4858"/>
    <hyperlink xmlns:r="http://schemas.openxmlformats.org/officeDocument/2006/relationships" ref="S1601" display="https://twitter.com/Of_Course_Me" r:id="rId4859"/>
    <hyperlink xmlns:r="http://schemas.openxmlformats.org/officeDocument/2006/relationships" ref="T1601" display="https://www.linkedin.com/company/ofcourseme-official/mycompany/?viewAsMember=true" r:id="rId4860"/>
    <hyperlink xmlns:r="http://schemas.openxmlformats.org/officeDocument/2006/relationships" ref="Y1601" display="https://drive.google.com/uc?export=view&amp;id=15iM05Bj7uP4drIB-p5gzQJdRZYnZFIgz" r:id="rId4861"/>
    <hyperlink xmlns:r="http://schemas.openxmlformats.org/officeDocument/2006/relationships" ref="E1602" display="https://www.pipplet.com/" r:id="rId4862"/>
    <hyperlink xmlns:r="http://schemas.openxmlformats.org/officeDocument/2006/relationships" ref="S1602" display="https://twitter.com/pipplet" r:id="rId4863"/>
    <hyperlink xmlns:r="http://schemas.openxmlformats.org/officeDocument/2006/relationships" ref="T1602" display="https://fr.linkedin.com/company/pipplet" r:id="rId4864"/>
    <hyperlink xmlns:r="http://schemas.openxmlformats.org/officeDocument/2006/relationships" ref="Y1602" display="https://drive.google.com/uc?export=view&amp;id=1dVY7kcaZ3aEfEgJZzkOw12IO-5BAfVuj" r:id="rId4865"/>
    <hyperlink xmlns:r="http://schemas.openxmlformats.org/officeDocument/2006/relationships" ref="E1603" display="http://www.reality-academy.fr/" r:id="rId4866"/>
    <hyperlink xmlns:r="http://schemas.openxmlformats.org/officeDocument/2006/relationships" ref="S1603" display="https://twitter.com/realityacademyf" r:id="rId4867"/>
    <hyperlink xmlns:r="http://schemas.openxmlformats.org/officeDocument/2006/relationships" ref="T1603" display="https://www.linkedin.com/company/reality-academy" r:id="rId4868"/>
    <hyperlink xmlns:r="http://schemas.openxmlformats.org/officeDocument/2006/relationships" ref="Y1603" display="https://drive.google.com/uc?export=view&amp;id=1TVBy94oBak8NOpKYf99jIy20Mbb6l-Hi" r:id="rId4869"/>
    <hyperlink xmlns:r="http://schemas.openxmlformats.org/officeDocument/2006/relationships" ref="E1604" display="http://www.robotikosakademija.lt/" r:id="rId4870"/>
    <hyperlink xmlns:r="http://schemas.openxmlformats.org/officeDocument/2006/relationships" ref="R1604" display="https://www.instagram.com/robotikosakademija/?hl=en" r:id="rId4871"/>
    <hyperlink xmlns:r="http://schemas.openxmlformats.org/officeDocument/2006/relationships" ref="T1604" display="https://www.linkedin.com/company/robotikosakademija" r:id="rId4872"/>
    <hyperlink xmlns:r="http://schemas.openxmlformats.org/officeDocument/2006/relationships" ref="Y1604" display="https://drive.google.com/uc?export=view&amp;id=1dZlGDvBJ_hyyophdqlQbsbDRaE6SWRYS" r:id="rId4873"/>
    <hyperlink xmlns:r="http://schemas.openxmlformats.org/officeDocument/2006/relationships" ref="E1605" display="https://sharingacademy.com/" r:id="rId4874"/>
    <hyperlink xmlns:r="http://schemas.openxmlformats.org/officeDocument/2006/relationships" ref="R1605" display="https://www.instagram.com/sharingacademy/" r:id="rId4875"/>
    <hyperlink xmlns:r="http://schemas.openxmlformats.org/officeDocument/2006/relationships" ref="S1605" display="https://twitter.com/SharingAcademy" r:id="rId4876"/>
    <hyperlink xmlns:r="http://schemas.openxmlformats.org/officeDocument/2006/relationships" ref="T1605" display="https://www.linkedin.com/company/5217616/admin/" r:id="rId4877"/>
    <hyperlink xmlns:r="http://schemas.openxmlformats.org/officeDocument/2006/relationships" ref="Y1605" display="https://drive.google.com/uc?export=view&amp;id=1QOI7WEQov6DsbAG_qIVpJ7ZZBClCoZ_J" r:id="rId4878"/>
    <hyperlink xmlns:r="http://schemas.openxmlformats.org/officeDocument/2006/relationships" ref="E1606" display="https://www.sight-o.io/" r:id="rId4879"/>
    <hyperlink xmlns:r="http://schemas.openxmlformats.org/officeDocument/2006/relationships" ref="R1606" display="https://www.instagram.com/sighto.io/" r:id="rId4880"/>
    <hyperlink xmlns:r="http://schemas.openxmlformats.org/officeDocument/2006/relationships" ref="S1606" display="https://twitter.com/sighto_io" r:id="rId4881"/>
    <hyperlink xmlns:r="http://schemas.openxmlformats.org/officeDocument/2006/relationships" ref="T1606" display="https://fr.linkedin.com/company/sight-o" r:id="rId4882"/>
    <hyperlink xmlns:r="http://schemas.openxmlformats.org/officeDocument/2006/relationships" ref="Y1606" display="https://drive.google.com/uc?export=view&amp;id=1RVw34vAkgVRdFhXUNtikn3V2lfUG0bC_" r:id="rId4883"/>
    <hyperlink xmlns:r="http://schemas.openxmlformats.org/officeDocument/2006/relationships" ref="E1607" display="https://www.globalknowledge.com/fr-fr/" r:id="rId4884"/>
    <hyperlink xmlns:r="http://schemas.openxmlformats.org/officeDocument/2006/relationships" ref="T1607" display="https://www.linkedin.com/company/global-knowledge-training/" r:id="rId4885"/>
    <hyperlink xmlns:r="http://schemas.openxmlformats.org/officeDocument/2006/relationships" ref="E1608" display="http://www.smartch.fr/" r:id="rId4886"/>
    <hyperlink xmlns:r="http://schemas.openxmlformats.org/officeDocument/2006/relationships" ref="T1608" display="https://www.linkedin.com/company/smartch/" r:id="rId4887"/>
    <hyperlink xmlns:r="http://schemas.openxmlformats.org/officeDocument/2006/relationships" ref="Y1608" display="https://drive.google.com/uc?export=view&amp;id=1dGNT6OLhI8APNt83gu61_YvR09aTKfgC" r:id="rId4888"/>
    <hyperlink xmlns:r="http://schemas.openxmlformats.org/officeDocument/2006/relationships" ref="E1609" display="https://www.softkids.net/en/home/" r:id="rId4889"/>
    <hyperlink xmlns:r="http://schemas.openxmlformats.org/officeDocument/2006/relationships" ref="R1609" display="https://www.instagram.com/soft_kids_apps/?hl=fr" r:id="rId4890"/>
    <hyperlink xmlns:r="http://schemas.openxmlformats.org/officeDocument/2006/relationships" ref="S1609" display="https://twitter.com/kids_soft" r:id="rId4891"/>
    <hyperlink xmlns:r="http://schemas.openxmlformats.org/officeDocument/2006/relationships" ref="T1609" display="https://www.linkedin.com/company/soft-kids/?viewAsMember=true" r:id="rId4892"/>
    <hyperlink xmlns:r="http://schemas.openxmlformats.org/officeDocument/2006/relationships" ref="Y1609" display="https://drive.google.com/uc?export=view&amp;id=1DKOaVlm6LkveEnlDJqMknO58jsVr95NQ" r:id="rId4893"/>
    <hyperlink xmlns:r="http://schemas.openxmlformats.org/officeDocument/2006/relationships" ref="E1610" display="https://sowesign.com/" r:id="rId4894"/>
    <hyperlink xmlns:r="http://schemas.openxmlformats.org/officeDocument/2006/relationships" ref="R1610" display="https://www.instagram.com/sws_sowesign/" r:id="rId4895"/>
    <hyperlink xmlns:r="http://schemas.openxmlformats.org/officeDocument/2006/relationships" ref="S1610" display="https://twitter.com/SoWeSign" r:id="rId4896"/>
    <hyperlink xmlns:r="http://schemas.openxmlformats.org/officeDocument/2006/relationships" ref="T1610" display="https://www.linkedin.com/company/sowesign-1" r:id="rId4897"/>
    <hyperlink xmlns:r="http://schemas.openxmlformats.org/officeDocument/2006/relationships" ref="E1611" display="https://theexperienceaccelerator.com/" r:id="rId4898"/>
    <hyperlink xmlns:r="http://schemas.openxmlformats.org/officeDocument/2006/relationships" ref="R1611" display="https://www.instagram.com/theexperienceaccelerator/" r:id="rId4899"/>
    <hyperlink xmlns:r="http://schemas.openxmlformats.org/officeDocument/2006/relationships" ref="S1611" display="https://twitter.com/ExpAccelerator" r:id="rId4900"/>
    <hyperlink xmlns:r="http://schemas.openxmlformats.org/officeDocument/2006/relationships" ref="T1611" display="https://www.linkedin.com/company/theexperienceaccelerator/" r:id="rId4901"/>
    <hyperlink xmlns:r="http://schemas.openxmlformats.org/officeDocument/2006/relationships" ref="Y1611" display="https://drive.google.com/uc?export=view&amp;id=1xlUbPMvPt_BewbYbx-cOd4HtPkAln8KI" r:id="rId4902"/>
    <hyperlink xmlns:r="http://schemas.openxmlformats.org/officeDocument/2006/relationships" ref="E1612" display="http://www.theinventors.io/" r:id="rId4903"/>
    <hyperlink xmlns:r="http://schemas.openxmlformats.org/officeDocument/2006/relationships" ref="Y1612" display="https://drive.google.com/uc?export=view&amp;id=1Cs8HfXzEoKFvcvQQQ4-u2IngO50Cy820" r:id="rId4904"/>
    <hyperlink xmlns:r="http://schemas.openxmlformats.org/officeDocument/2006/relationships" ref="E1613" display="http://thelongfingercompany.com/" r:id="rId4905"/>
    <hyperlink xmlns:r="http://schemas.openxmlformats.org/officeDocument/2006/relationships" ref="Y1613" display="https://drive.google.com/uc?export=view&amp;id=12X4t1M7K82mJQM9LgkeX4GezMu-zN5D6" r:id="rId4906"/>
    <hyperlink xmlns:r="http://schemas.openxmlformats.org/officeDocument/2006/relationships" ref="E1614" display="https://vocacoach.fr/" r:id="rId4907"/>
    <hyperlink xmlns:r="http://schemas.openxmlformats.org/officeDocument/2006/relationships" ref="R1614" display="https://www.instagram.com/vocacoach/" r:id="rId4908"/>
    <hyperlink xmlns:r="http://schemas.openxmlformats.org/officeDocument/2006/relationships" ref="S1614" display="https://twitter.com/VocaCoach" r:id="rId4909"/>
    <hyperlink xmlns:r="http://schemas.openxmlformats.org/officeDocument/2006/relationships" ref="T1614" display="https://www.linkedin.com/company/30675854/" r:id="rId4910"/>
    <hyperlink xmlns:r="http://schemas.openxmlformats.org/officeDocument/2006/relationships" ref="Y1614" display="https://drive.google.com/uc?export=view&amp;id=1_Mmk7mWmDwzqwjH3g6jMT5yAQ3KxAxpM" r:id="rId4911"/>
    <hyperlink xmlns:r="http://schemas.openxmlformats.org/officeDocument/2006/relationships" ref="E1615" display="http://www.vyturys.lt/" r:id="rId4912"/>
    <hyperlink xmlns:r="http://schemas.openxmlformats.org/officeDocument/2006/relationships" ref="Y1615" display="https://drive.google.com/uc?export=view&amp;id=1-DFqfCDhLkHCxoNsYaQJ4dYF8IqfHH8G" r:id="rId4913"/>
    <hyperlink xmlns:r="http://schemas.openxmlformats.org/officeDocument/2006/relationships" ref="E1616" display="https://kinescope.io/" r:id="rId4914"/>
    <hyperlink xmlns:r="http://schemas.openxmlformats.org/officeDocument/2006/relationships" ref="T1616" display="https://www.linkedin.com/company/kinescopeio/" r:id="rId4915"/>
    <hyperlink xmlns:r="http://schemas.openxmlformats.org/officeDocument/2006/relationships" ref="Y1616" display="https://drive.google.com/uc?export=view&amp;id=1WyulEauxUCtISAhVhbxFjxDKtB9zXX-A" r:id="rId4916"/>
    <hyperlink xmlns:r="http://schemas.openxmlformats.org/officeDocument/2006/relationships" ref="E1617" display="https://www.accento.app/" r:id="rId4917"/>
    <hyperlink xmlns:r="http://schemas.openxmlformats.org/officeDocument/2006/relationships" ref="S1617" display="https://twitter.com/AccentoApp" r:id="rId4918"/>
    <hyperlink xmlns:r="http://schemas.openxmlformats.org/officeDocument/2006/relationships" ref="T1617" display="https://www.linkedin.com/company/bacco-software-systems" r:id="rId4919"/>
    <hyperlink xmlns:r="http://schemas.openxmlformats.org/officeDocument/2006/relationships" ref="Y1617" display="https://drive.google.com/uc?export=view&amp;id=19XZ0KipXO_51Tb6ojZ13DTogUG6eJecc" r:id="rId4920"/>
    <hyperlink xmlns:r="http://schemas.openxmlformats.org/officeDocument/2006/relationships" ref="E1618" display="https://mystudyweb.com/corporate/" r:id="rId4921"/>
    <hyperlink xmlns:r="http://schemas.openxmlformats.org/officeDocument/2006/relationships" ref="R1618" display="https://www.instagram.com/mystudyweb" r:id="rId4922"/>
    <hyperlink xmlns:r="http://schemas.openxmlformats.org/officeDocument/2006/relationships" ref="T1618" display="https://www.linkedin.com/company/mystudyweb-sweden-ab" r:id="rId4923"/>
    <hyperlink xmlns:r="http://schemas.openxmlformats.org/officeDocument/2006/relationships" ref="Y1618" display="https://drive.google.com/uc?export=view&amp;id=16BQz96vGyusEltAkDCnaSrGGqflZJcBJ" r:id="rId4924"/>
    <hyperlink xmlns:r="http://schemas.openxmlformats.org/officeDocument/2006/relationships" ref="E1619" display="https://edutech.recrout.com/" r:id="rId4925"/>
    <hyperlink xmlns:r="http://schemas.openxmlformats.org/officeDocument/2006/relationships" ref="R1619" display="https://twitter.com/recrout" r:id="rId4926"/>
    <hyperlink xmlns:r="http://schemas.openxmlformats.org/officeDocument/2006/relationships" ref="S1619" display="https://twitter.com/recrout" r:id="rId4927"/>
    <hyperlink xmlns:r="http://schemas.openxmlformats.org/officeDocument/2006/relationships" ref="T1619" display="https://www.linkedin.com/company/recrout/" r:id="rId4928"/>
    <hyperlink xmlns:r="http://schemas.openxmlformats.org/officeDocument/2006/relationships" ref="Y1619" display="https://drive.google.com/uc?export=view&amp;id=1nMDHfWuE6BgutaO69ojv2JarV_z27m8f" r:id="rId4929"/>
    <hyperlink xmlns:r="http://schemas.openxmlformats.org/officeDocument/2006/relationships" ref="E1620" display="https://www.warpvr.com/" r:id="rId4930"/>
    <hyperlink xmlns:r="http://schemas.openxmlformats.org/officeDocument/2006/relationships" ref="R1620" display="https://www.instagram.com/warp_vr/" r:id="rId4931"/>
    <hyperlink xmlns:r="http://schemas.openxmlformats.org/officeDocument/2006/relationships" ref="S1620" display="https://twitter.com/WarpVR" r:id="rId4932"/>
    <hyperlink xmlns:r="http://schemas.openxmlformats.org/officeDocument/2006/relationships" ref="T1620" display="https://www.linkedin.com/company/warpvr/" r:id="rId4933"/>
    <hyperlink xmlns:r="http://schemas.openxmlformats.org/officeDocument/2006/relationships" ref="Y1620" display="https://drive.google.com/uc?export=view&amp;id=1iHLsHQmvi6CMrUAS4EjrNtw8-wa943zh" r:id="rId4934"/>
    <hyperlink xmlns:r="http://schemas.openxmlformats.org/officeDocument/2006/relationships" ref="E1621" display="https://annieadvisor.com/" r:id="rId4935"/>
    <hyperlink xmlns:r="http://schemas.openxmlformats.org/officeDocument/2006/relationships" ref="R1621" display="https://www.instagram.com/annieadvisor/" r:id="rId4936"/>
    <hyperlink xmlns:r="http://schemas.openxmlformats.org/officeDocument/2006/relationships" ref="S1621" display="https://twitter.com/advisor_annie" r:id="rId4937"/>
    <hyperlink xmlns:r="http://schemas.openxmlformats.org/officeDocument/2006/relationships" ref="T1621" display="https://www.linkedin.com/company/annie-advisor" r:id="rId4938"/>
    <hyperlink xmlns:r="http://schemas.openxmlformats.org/officeDocument/2006/relationships" ref="Y1621" display="https://drive.google.com/uc?export=view&amp;id=1uaf-f_GtQBvh7Jv8nqewNe1iwd2LmEbr" r:id="rId4939"/>
    <hyperlink xmlns:r="http://schemas.openxmlformats.org/officeDocument/2006/relationships" ref="E1622" display="https://sdui.de/" r:id="rId4940"/>
    <hyperlink xmlns:r="http://schemas.openxmlformats.org/officeDocument/2006/relationships" ref="Y1622" display="https://drive.google.com/uc?export=view&amp;id=1jAklF2tlq7qW761LQaC6EW9dsp_noXHl" r:id="rId4941"/>
    <hyperlink xmlns:r="http://schemas.openxmlformats.org/officeDocument/2006/relationships" ref="E1623" display="https://www.conurse.net/" r:id="rId4942"/>
    <hyperlink xmlns:r="http://schemas.openxmlformats.org/officeDocument/2006/relationships" ref="R1623" display="https://www.instagram.com/conurse_app/" r:id="rId4943"/>
    <hyperlink xmlns:r="http://schemas.openxmlformats.org/officeDocument/2006/relationships" ref="T1623" display="https://www.linkedin.com/company/conurseapp/" r:id="rId4944"/>
    <hyperlink xmlns:r="http://schemas.openxmlformats.org/officeDocument/2006/relationships" ref="Y1623" display="https://drive.google.com/uc?export=view&amp;id=1XITi5nGcUd-p8dgV_AtMufVnZlrEk2Zq" r:id="rId4945"/>
    <hyperlink xmlns:r="http://schemas.openxmlformats.org/officeDocument/2006/relationships" ref="E1624" display="https://jeeni.ai/" r:id="rId4946"/>
    <hyperlink xmlns:r="http://schemas.openxmlformats.org/officeDocument/2006/relationships" ref="Y1624" display="https://drive.google.com/uc?export=view&amp;id=1ZzILKXiBNvuFCsdU4HTO5kMNWjEV5Du7" r:id="rId4947"/>
    <hyperlink xmlns:r="http://schemas.openxmlformats.org/officeDocument/2006/relationships" ref="E1625" display="https://recruither.co.uk/" r:id="rId4948"/>
    <hyperlink xmlns:r="http://schemas.openxmlformats.org/officeDocument/2006/relationships" ref="R1625" display="https://www.instagram.com/recruit_her_uk/" r:id="rId4949"/>
    <hyperlink xmlns:r="http://schemas.openxmlformats.org/officeDocument/2006/relationships" ref="T1625" display="https://www.linkedin.com/company/recruither-consulting/" r:id="rId4950"/>
    <hyperlink xmlns:r="http://schemas.openxmlformats.org/officeDocument/2006/relationships" ref="Y1625" display="https://drive.google.com/uc?export=view&amp;id=15qpCI4JeZVZ8Qa_mXesuP2dfzELmkyh3" r:id="rId4951"/>
    <hyperlink xmlns:r="http://schemas.openxmlformats.org/officeDocument/2006/relationships" ref="D1626" display="http://eduzone.ai/" r:id="rId4952"/>
    <hyperlink xmlns:r="http://schemas.openxmlformats.org/officeDocument/2006/relationships" ref="E1626" display="https://www.eduzone.ai/" r:id="rId4953"/>
    <hyperlink xmlns:r="http://schemas.openxmlformats.org/officeDocument/2006/relationships" ref="T1626" display="https://www.linkedin.com/company/eduzone-ai" r:id="rId4954"/>
    <hyperlink xmlns:r="http://schemas.openxmlformats.org/officeDocument/2006/relationships" ref="U1626" display="http://eduzone.ai/" r:id="rId4955"/>
    <hyperlink xmlns:r="http://schemas.openxmlformats.org/officeDocument/2006/relationships" ref="Y1626" display="https://drive.google.com/uc?export=view&amp;id=1ty4U9VEFG-Z0TQ35sMHG2E2MeCOWcfwE" r:id="rId4956"/>
    <hyperlink xmlns:r="http://schemas.openxmlformats.org/officeDocument/2006/relationships" ref="E1627" display="https://zihinlerfora.com/" r:id="rId4957"/>
    <hyperlink xmlns:r="http://schemas.openxmlformats.org/officeDocument/2006/relationships" ref="Y1627" display="https://drive.google.com/uc?export=view&amp;id=1POOxX5IiZFezvU0KVvfqt4nh-LqTqYUX" r:id="rId4958"/>
    <hyperlink xmlns:r="http://schemas.openxmlformats.org/officeDocument/2006/relationships" ref="E1628" display="http://www.swissmentor.com/" r:id="rId4959"/>
    <hyperlink xmlns:r="http://schemas.openxmlformats.org/officeDocument/2006/relationships" ref="T1628" display="https://www.linkedin.com/company/swissmentor" r:id="rId4960"/>
    <hyperlink xmlns:r="http://schemas.openxmlformats.org/officeDocument/2006/relationships" ref="Y1628" display="https://drive.google.com/uc?export=view&amp;id=1ay57RweT3yd5eZp6rwr2uLO4bkB0OrN3" r:id="rId4961"/>
    <hyperlink xmlns:r="http://schemas.openxmlformats.org/officeDocument/2006/relationships" ref="E1629" display="http://miltoneducation.com/" r:id="rId4962"/>
    <hyperlink xmlns:r="http://schemas.openxmlformats.org/officeDocument/2006/relationships" ref="R1629" display="https://www.instagram.com/miltonenglishteachers" r:id="rId4963"/>
    <hyperlink xmlns:r="http://schemas.openxmlformats.org/officeDocument/2006/relationships" ref="S1629" display="https://x.com/MiltonEducation" r:id="rId4964"/>
    <hyperlink xmlns:r="http://schemas.openxmlformats.org/officeDocument/2006/relationships" ref="T1629" display="https://www.linkedin.com/company" r:id="rId4965"/>
    <hyperlink xmlns:r="http://schemas.openxmlformats.org/officeDocument/2006/relationships" ref="Y1629" display="https://drive.google.com/uc?export=view&amp;id=1E9ZhRuyPTk2j9YDta1rH6Aln-0ruSYk-" r:id="rId4966"/>
    <hyperlink xmlns:r="http://schemas.openxmlformats.org/officeDocument/2006/relationships" ref="AE1629" display="https://www.facebook.com/educationmilton" r:id="rId4967"/>
    <hyperlink xmlns:r="http://schemas.openxmlformats.org/officeDocument/2006/relationships" ref="E1630" display="https://academysmart.com/" r:id="rId4968"/>
    <hyperlink xmlns:r="http://schemas.openxmlformats.org/officeDocument/2006/relationships" ref="R1630" display="https://www.instagram.com/academysmart.team/" r:id="rId4969"/>
    <hyperlink xmlns:r="http://schemas.openxmlformats.org/officeDocument/2006/relationships" ref="T1630" display="https://www.linkedin.com/company/academy-smart-ltd-/" r:id="rId4970"/>
    <hyperlink xmlns:r="http://schemas.openxmlformats.org/officeDocument/2006/relationships" ref="Y1630" display="https://drive.google.com/uc?export=view&amp;id=138gwu4ntlUssSwNjaCqfiENP4pcAVqIT" r:id="rId4971"/>
    <hyperlink xmlns:r="http://schemas.openxmlformats.org/officeDocument/2006/relationships" ref="AE1630" display="https://www.facebook.com/academysmart.com.ua" r:id="rId4972"/>
    <hyperlink xmlns:r="http://schemas.openxmlformats.org/officeDocument/2006/relationships" ref="E1631" display="https://www.lessonup.com/" r:id="rId4973"/>
    <hyperlink xmlns:r="http://schemas.openxmlformats.org/officeDocument/2006/relationships" ref="R1631" display="https://www.instagram.com/_lessonup" r:id="rId4974"/>
    <hyperlink xmlns:r="http://schemas.openxmlformats.org/officeDocument/2006/relationships" ref="S1631" display="https://x.com/lessonup" r:id="rId4975"/>
    <hyperlink xmlns:r="http://schemas.openxmlformats.org/officeDocument/2006/relationships" ref="T1631" display="https://www.linkedin.com/company/lessonupnl" r:id="rId4976"/>
    <hyperlink xmlns:r="http://schemas.openxmlformats.org/officeDocument/2006/relationships" ref="Y1631" display="https://drive.google.com/uc?export=view&amp;id=1KsUAway5y5G1kJk-nypzbf3ee1F939s5" r:id="rId4977"/>
    <hyperlink xmlns:r="http://schemas.openxmlformats.org/officeDocument/2006/relationships" ref="AE1631" display="https://www.facebook.com/lessonup" r:id="rId4978"/>
    <hyperlink xmlns:r="http://schemas.openxmlformats.org/officeDocument/2006/relationships" ref="E1632" display="https://www.simoneetlesrobots.com/" r:id="rId4979"/>
    <hyperlink xmlns:r="http://schemas.openxmlformats.org/officeDocument/2006/relationships" ref="R1632" display="https://www.instagram.com/simoneetlesrobots/?hl=fr" r:id="rId4980"/>
    <hyperlink xmlns:r="http://schemas.openxmlformats.org/officeDocument/2006/relationships" ref="T1632" display="https://fr.linkedin.com/company/simone-et-les-robots" r:id="rId4981"/>
    <hyperlink xmlns:r="http://schemas.openxmlformats.org/officeDocument/2006/relationships" ref="Y1632" display="https://drive.google.com/uc?export=view&amp;id=13wXCRW7cvNc_PsJXd5i_y4QfKA5kKOx4" r:id="rId4982"/>
    <hyperlink xmlns:r="http://schemas.openxmlformats.org/officeDocument/2006/relationships" ref="E1633" display="http://www.abdn.ac.uk/education" r:id="rId4983"/>
    <hyperlink xmlns:r="http://schemas.openxmlformats.org/officeDocument/2006/relationships" ref="T1633" display="http://linkedin.com/school/university-of-aberdeen" r:id="rId4984"/>
    <hyperlink xmlns:r="http://schemas.openxmlformats.org/officeDocument/2006/relationships" ref="Y1633" display="https://drive.google.com/uc?export=view&amp;id=1IIqU782MVMSjBi7mLgI3ySNtgh4kXnNV" r:id="rId4985"/>
    <hyperlink xmlns:r="http://schemas.openxmlformats.org/officeDocument/2006/relationships" ref="E1634" display="http://www.classigogo.com/" r:id="rId4986"/>
    <hyperlink xmlns:r="http://schemas.openxmlformats.org/officeDocument/2006/relationships" ref="R1634" display="https://www.instagram.com/classigogo" r:id="rId4987"/>
    <hyperlink xmlns:r="http://schemas.openxmlformats.org/officeDocument/2006/relationships" ref="T1634" display="https://www.linkedin.com/company/classigogo/" r:id="rId4988"/>
    <hyperlink xmlns:r="http://schemas.openxmlformats.org/officeDocument/2006/relationships" ref="Y1634" display="https://drive.google.com/uc?export=view&amp;id=1ie3LH2eboxquj8zmqCFmFFA0Nt3mL-ao" r:id="rId4989"/>
    <hyperlink xmlns:r="http://schemas.openxmlformats.org/officeDocument/2006/relationships" ref="E1635" display="http://www.copernia.eu/" r:id="rId4990"/>
    <hyperlink xmlns:r="http://schemas.openxmlformats.org/officeDocument/2006/relationships" ref="T1635" display="https://www.linkedin.com/school/coperniaedu/" r:id="rId4991"/>
    <hyperlink xmlns:r="http://schemas.openxmlformats.org/officeDocument/2006/relationships" ref="Y1635" display="https://drive.google.com/uc?export=view&amp;id=1TJXbzJ0VQVnxHUY_tWGmuuJjLYvlHMRF" r:id="rId4992"/>
    <hyperlink xmlns:r="http://schemas.openxmlformats.org/officeDocument/2006/relationships" ref="E1636" display="https://abstract-technology.de/" r:id="rId4993"/>
    <hyperlink xmlns:r="http://schemas.openxmlformats.org/officeDocument/2006/relationships" ref="T1636" display="https://www.linkedin.com/company/abstract-technology-gmbh/" r:id="rId4994"/>
    <hyperlink xmlns:r="http://schemas.openxmlformats.org/officeDocument/2006/relationships" ref="Y1636" display="https://drive.google.com/uc?export=view&amp;id=17rDOWvX1OJ62DWNtyUuTEDXqX3L03NNm" r:id="rId4995"/>
    <hyperlink xmlns:r="http://schemas.openxmlformats.org/officeDocument/2006/relationships" ref="E1637" display="http://www.edgetutor.co/" r:id="rId4996"/>
    <hyperlink xmlns:r="http://schemas.openxmlformats.org/officeDocument/2006/relationships" ref="T1637" display="https://www.linkedin.com/company/edge-tutor-international/" r:id="rId4997"/>
    <hyperlink xmlns:r="http://schemas.openxmlformats.org/officeDocument/2006/relationships" ref="Y1637" display="https://drive.google.com/uc?export=view&amp;id=1QWlTsipFr7qK0CSHrzNrpalSg64Cl-ow" r:id="rId4998"/>
    <hyperlink xmlns:r="http://schemas.openxmlformats.org/officeDocument/2006/relationships" ref="E1638" display="https://www.thinglink.com/" r:id="rId4999"/>
    <hyperlink xmlns:r="http://schemas.openxmlformats.org/officeDocument/2006/relationships" ref="R1638" display="https://www.instagram.com/thinglink/" r:id="rId5000"/>
    <hyperlink xmlns:r="http://schemas.openxmlformats.org/officeDocument/2006/relationships" ref="S1638" display="https://x.com/ThingLink" r:id="rId5001"/>
    <hyperlink xmlns:r="http://schemas.openxmlformats.org/officeDocument/2006/relationships" ref="T1638" display="https://www.linkedin.com/groups/9054683/" r:id="rId5002"/>
    <hyperlink xmlns:r="http://schemas.openxmlformats.org/officeDocument/2006/relationships" ref="Y1638" display="https://drive.google.com/uc?export=view&amp;id=1TWfLk2INUjFBxwFJofeM53FKFWmxh79W" r:id="rId5003"/>
    <hyperlink xmlns:r="http://schemas.openxmlformats.org/officeDocument/2006/relationships" ref="AE1638" display="https://www.facebook.com/ThingLink/" r:id="rId5004"/>
    <hyperlink xmlns:r="http://schemas.openxmlformats.org/officeDocument/2006/relationships" ref="E1639" display="http://www.open-cpd.com/" r:id="rId5005"/>
    <hyperlink xmlns:r="http://schemas.openxmlformats.org/officeDocument/2006/relationships" ref="R1639" display="https://www.instagram.com/@open_cpd" r:id="rId5006"/>
    <hyperlink xmlns:r="http://schemas.openxmlformats.org/officeDocument/2006/relationships" ref="T1639" display="https://www.linkedin.com/company/open-cpd/" r:id="rId5007"/>
    <hyperlink xmlns:r="http://schemas.openxmlformats.org/officeDocument/2006/relationships" ref="Y1639" display="https://drive.google.com/uc?export=view&amp;id=1ZZrzP4b8B0qrqFZT_6l4UqmJutPHiP3x" r:id="rId5008"/>
    <hyperlink xmlns:r="http://schemas.openxmlformats.org/officeDocument/2006/relationships" ref="AE1639" display="https://www.facebook.com/open.cpd.w3/" r:id="rId5009"/>
    <hyperlink xmlns:r="http://schemas.openxmlformats.org/officeDocument/2006/relationships" ref="E1640" display="https://www.zexsoft.eu/" r:id="rId5010"/>
    <hyperlink xmlns:r="http://schemas.openxmlformats.org/officeDocument/2006/relationships" ref="R1640" display="https://www.instagram.com/zexsoft/" r:id="rId5011"/>
    <hyperlink xmlns:r="http://schemas.openxmlformats.org/officeDocument/2006/relationships" ref="S1640" display="https://twitter.com/zexsoft" r:id="rId5012"/>
    <hyperlink xmlns:r="http://schemas.openxmlformats.org/officeDocument/2006/relationships" ref="T1640" display="https://www.linkedin.com/company/zexsoft" r:id="rId5013"/>
    <hyperlink xmlns:r="http://schemas.openxmlformats.org/officeDocument/2006/relationships" ref="Y1640" display="https://drive.google.com/uc?export=view&amp;id=1M6u6pMjBfsk_wHyST6m3PbNKkGa31dpm" r:id="rId5014"/>
    <hyperlink xmlns:r="http://schemas.openxmlformats.org/officeDocument/2006/relationships" ref="AE1640" display="https://www.facebook.com/zexsoft/" r:id="rId5015"/>
    <hyperlink xmlns:r="http://schemas.openxmlformats.org/officeDocument/2006/relationships" ref="S1641" display="https://x.com/stacshq" r:id="rId5016"/>
    <hyperlink xmlns:r="http://schemas.openxmlformats.org/officeDocument/2006/relationships" ref="T1641" display="https://www.linkedin.com/company/stacshq" r:id="rId5017"/>
    <hyperlink xmlns:r="http://schemas.openxmlformats.org/officeDocument/2006/relationships" ref="Y1641" display="https://drive.google.com/uc?export=view&amp;id=1M0uLV-YTG_060pOCln1umBvR3uJy2FVo" r:id="rId5018"/>
    <hyperlink xmlns:r="http://schemas.openxmlformats.org/officeDocument/2006/relationships" ref="S1642" display="https://x.com/dresscodehq" r:id="rId5019"/>
    <hyperlink xmlns:r="http://schemas.openxmlformats.org/officeDocument/2006/relationships" ref="T1642" display="https://www.linkedin.com/company/dresscodehq" r:id="rId5020"/>
    <hyperlink xmlns:r="http://schemas.openxmlformats.org/officeDocument/2006/relationships" ref="Y1642" display="https://drive.google.com/uc?export=view&amp;id=1ktD5oIYyX3DVhJfD_lcGd24MeeNY8tpx" r:id="rId5021"/>
    <hyperlink xmlns:r="http://schemas.openxmlformats.org/officeDocument/2006/relationships" ref="E1643" display="http://www.klapp.pro/" r:id="rId5022"/>
    <hyperlink xmlns:r="http://schemas.openxmlformats.org/officeDocument/2006/relationships" ref="R1643" display="https://www.instagram.com/klappgmbh/" r:id="rId5023"/>
    <hyperlink xmlns:r="http://schemas.openxmlformats.org/officeDocument/2006/relationships" ref="S1643" display="https://x.com/KlappInfo" r:id="rId5024"/>
    <hyperlink xmlns:r="http://schemas.openxmlformats.org/officeDocument/2006/relationships" ref="T1643" display="https://ch.linkedin.com/company/klapp-eg" r:id="rId5025"/>
    <hyperlink xmlns:r="http://schemas.openxmlformats.org/officeDocument/2006/relationships" ref="Y1643" display="https://drive.google.com/uc?export=view&amp;id=1FxQfooMPIR8ExYyRHKfjR1sf7PV1pakC" r:id="rId5026"/>
    <hyperlink xmlns:r="http://schemas.openxmlformats.org/officeDocument/2006/relationships" ref="AE1643" display="https://www.facebook.com/klapp.pro" r:id="rId5027"/>
    <hyperlink xmlns:r="http://schemas.openxmlformats.org/officeDocument/2006/relationships" ref="E1644" display="http://www.learntechunleashed.com/" r:id="rId5028"/>
    <hyperlink xmlns:r="http://schemas.openxmlformats.org/officeDocument/2006/relationships" ref="Y1644" display="https://drive.google.com/uc?export=view&amp;id=1O6MpxCiaRtdVRhSIYd0Q-WgcuQnncorD" r:id="rId5029"/>
    <hyperlink xmlns:r="http://schemas.openxmlformats.org/officeDocument/2006/relationships" ref="E1645" display="https://technologyreadiness.org/" r:id="rId5030"/>
    <hyperlink xmlns:r="http://schemas.openxmlformats.org/officeDocument/2006/relationships" ref="T1645" display="https://www.linkedin.com/company/thetrc" r:id="rId5031"/>
    <hyperlink xmlns:r="http://schemas.openxmlformats.org/officeDocument/2006/relationships" ref="Y1645" display="https://drive.google.com/uc?export=view&amp;id=178NZuuh_CXxDwT6V72miO4W9EmMttOGu" r:id="rId5032"/>
    <hyperlink xmlns:r="http://schemas.openxmlformats.org/officeDocument/2006/relationships" ref="E1646" display="http://www.my-serious-game.com/" r:id="rId5033"/>
    <hyperlink xmlns:r="http://schemas.openxmlformats.org/officeDocument/2006/relationships" ref="T1646" display="https://www.linkedin.com/company/my-serious-game" r:id="rId5034"/>
    <hyperlink xmlns:r="http://schemas.openxmlformats.org/officeDocument/2006/relationships" ref="Y1646" display="https://drive.google.com/uc?export=view&amp;id=18UlZVFAkLBFx_AfzI1tZJIp_lTP-1TNp" r:id="rId5035"/>
    <hyperlink xmlns:r="http://schemas.openxmlformats.org/officeDocument/2006/relationships" ref="E1647" display="https://www.tutornow.it/" r:id="rId5036"/>
    <hyperlink xmlns:r="http://schemas.openxmlformats.org/officeDocument/2006/relationships" ref="Y1647" display="https://drive.google.com/uc?export=view&amp;id=1A4__9BviFXTlk46iZrXWdrRwXWY1TblH" r:id="rId5037"/>
    <hyperlink xmlns:r="http://schemas.openxmlformats.org/officeDocument/2006/relationships" ref="E1648" display="http://zamizen.fr/" r:id="rId5038"/>
    <hyperlink xmlns:r="http://schemas.openxmlformats.org/officeDocument/2006/relationships" ref="R1648" display="https://www.instagram.com/leszamizen/?hl=fr" r:id="rId5039"/>
    <hyperlink xmlns:r="http://schemas.openxmlformats.org/officeDocument/2006/relationships" ref="T1648" display="https://www.linkedin.com/company" r:id="rId5040"/>
    <hyperlink xmlns:r="http://schemas.openxmlformats.org/officeDocument/2006/relationships" ref="Y1648" display="https://drive.google.com/uc?export=view&amp;id=1oTFX4Ef-8TyosUaL3Tsf04l0xXK03nxG" r:id="rId5041"/>
    <hyperlink xmlns:r="http://schemas.openxmlformats.org/officeDocument/2006/relationships" ref="AE1648" display="https://www.facebook.com/leszamizen" r:id="rId5042"/>
    <hyperlink xmlns:r="http://schemas.openxmlformats.org/officeDocument/2006/relationships" ref="E1649" display="http://www.mygreentraningbox.com/" r:id="rId5043"/>
    <hyperlink xmlns:r="http://schemas.openxmlformats.org/officeDocument/2006/relationships" ref="T1649" display="https://www.linkedin.com/showcase/mygreentrainingbox/?viewAsMember=true" r:id="rId5044"/>
    <hyperlink xmlns:r="http://schemas.openxmlformats.org/officeDocument/2006/relationships" ref="Y1649" display="https://drive.google.com/uc?export=view&amp;id=1bhvlXqXjUTrt2Yx0yta5gD_izlVlRYay" r:id="rId5045"/>
    <hyperlink xmlns:r="http://schemas.openxmlformats.org/officeDocument/2006/relationships" ref="E1650" display="http://www.develhope.co/" r:id="rId5046"/>
    <hyperlink xmlns:r="http://schemas.openxmlformats.org/officeDocument/2006/relationships" ref="R1650" display="https://www.instagram.com/devel.hope/" r:id="rId5047"/>
    <hyperlink xmlns:r="http://schemas.openxmlformats.org/officeDocument/2006/relationships" ref="T1650" display="https://www.linkedin.com/school/develhope/" r:id="rId5048"/>
    <hyperlink xmlns:r="http://schemas.openxmlformats.org/officeDocument/2006/relationships" ref="Y1650" display="https://drive.google.com/uc?export=view&amp;id=1c8XkAHEU7gpWuRNLkTkUqhmdtPX59FBR" r:id="rId5049"/>
    <hyperlink xmlns:r="http://schemas.openxmlformats.org/officeDocument/2006/relationships" ref="AE1650" display="https://www.facebook.com/go.develhope" r:id="rId5050"/>
    <hyperlink xmlns:r="http://schemas.openxmlformats.org/officeDocument/2006/relationships" ref="E1651" display="https://abilous.com/" r:id="rId5051"/>
    <hyperlink xmlns:r="http://schemas.openxmlformats.org/officeDocument/2006/relationships" ref="R1651" display="https://www.instagram.com/abilousapp/" r:id="rId5052"/>
    <hyperlink xmlns:r="http://schemas.openxmlformats.org/officeDocument/2006/relationships" ref="T1651" display="https://www.linkedin.com/company/abilous" r:id="rId5053"/>
    <hyperlink xmlns:r="http://schemas.openxmlformats.org/officeDocument/2006/relationships" ref="Y1651" display="https://drive.google.com/uc?export=view&amp;id=1Xk-k5BbAib1-M5-O7j8Us4aggKUZArmU" r:id="rId5054"/>
    <hyperlink xmlns:r="http://schemas.openxmlformats.org/officeDocument/2006/relationships" ref="AE1651" display="https://www.facebook.com/abilousfb" r:id="rId5055"/>
    <hyperlink xmlns:r="http://schemas.openxmlformats.org/officeDocument/2006/relationships" ref="E1652" display="http://www.godeal.ai/" r:id="rId5056"/>
    <hyperlink xmlns:r="http://schemas.openxmlformats.org/officeDocument/2006/relationships" ref="T1652" display="https://www.linkedin.com/company/godeal-ai" r:id="rId5057"/>
    <hyperlink xmlns:r="http://schemas.openxmlformats.org/officeDocument/2006/relationships" ref="Y1652" display="https://drive.google.com/uc?export=view&amp;id=1EzZogNy1ydfk279hF6B-04Wpj2hnrZpN" r:id="rId5058"/>
    <hyperlink xmlns:r="http://schemas.openxmlformats.org/officeDocument/2006/relationships" ref="E1653" display="http://exeko.ai/" r:id="rId5059"/>
    <hyperlink xmlns:r="http://schemas.openxmlformats.org/officeDocument/2006/relationships" ref="T1653" display="https://www.linkedin.com/company/exeko-ai" r:id="rId5060"/>
    <hyperlink xmlns:r="http://schemas.openxmlformats.org/officeDocument/2006/relationships" ref="Y1653" display="https://drive.google.com/uc?export=view&amp;id=1xS1W0egYTDkosl0LN0CymOEMd3gwevaw" r:id="rId5061"/>
    <hyperlink xmlns:r="http://schemas.openxmlformats.org/officeDocument/2006/relationships" ref="E1654" display="https://uipathfoundation.com/" r:id="rId5062"/>
    <hyperlink xmlns:r="http://schemas.openxmlformats.org/officeDocument/2006/relationships" ref="T1654" display="https://www.linkedin.com/company/uipathfoundation/posts/?feedView=all" r:id="rId5063"/>
    <hyperlink xmlns:r="http://schemas.openxmlformats.org/officeDocument/2006/relationships" ref="Y1654" display="https://drive.google.com/uc?export=view&amp;id=1yIURW1NGa1yRiayEZEVVBa9kK-QwmDUx" r:id="rId5064"/>
    <hyperlink xmlns:r="http://schemas.openxmlformats.org/officeDocument/2006/relationships" ref="E1655" display="https://www.revas.online/" r:id="rId5065"/>
    <hyperlink xmlns:r="http://schemas.openxmlformats.org/officeDocument/2006/relationships" ref="T1655" display="https://www.linkedin.com/company/revas-business-simulation-gamesfac" r:id="rId5066"/>
    <hyperlink xmlns:r="http://schemas.openxmlformats.org/officeDocument/2006/relationships" ref="Y1655" display="https://drive.google.com/uc?export=view&amp;id=1CjSkXMNgfUvIo3ZtmAPIrtbMhy5lju2T" r:id="rId5067"/>
    <hyperlink xmlns:r="http://schemas.openxmlformats.org/officeDocument/2006/relationships" ref="AE1655" display="https://www.facebook.com/revaspl" r:id="rId5068"/>
    <hyperlink xmlns:r="http://schemas.openxmlformats.org/officeDocument/2006/relationships" ref="E1656" display="https://dutchedtech.com/" r:id="rId5069"/>
    <hyperlink xmlns:r="http://schemas.openxmlformats.org/officeDocument/2006/relationships" ref="T1656" display="https://www.linkedin.com/company/dutchedtech/" r:id="rId5070"/>
    <hyperlink xmlns:r="http://schemas.openxmlformats.org/officeDocument/2006/relationships" ref="Y1656" display="https://drive.google.com/uc?export=view&amp;id=1rNeXmXLJRbfM1B_wu40EDoQLVmnYpKsO" r:id="rId5071"/>
    <hyperlink xmlns:r="http://schemas.openxmlformats.org/officeDocument/2006/relationships" ref="E1657" display="https://haldoredu.com/" r:id="rId5072"/>
    <hyperlink xmlns:r="http://schemas.openxmlformats.org/officeDocument/2006/relationships" ref="R1657" display="https://www.instagram.com/haldoredu/" r:id="rId5073"/>
    <hyperlink xmlns:r="http://schemas.openxmlformats.org/officeDocument/2006/relationships" ref="S1657" display="https://x.com/HaldorEdu" r:id="rId5074"/>
    <hyperlink xmlns:r="http://schemas.openxmlformats.org/officeDocument/2006/relationships" ref="T1657" display="https://www.linkedin.com/company/17880084/" r:id="rId5075"/>
    <hyperlink xmlns:r="http://schemas.openxmlformats.org/officeDocument/2006/relationships" ref="Y1657" display="https://drive.google.com/uc?export=view&amp;id=1llqrht6eDgXQlStVT1Kui7MPeT0Q52Fd" r:id="rId5076"/>
    <hyperlink xmlns:r="http://schemas.openxmlformats.org/officeDocument/2006/relationships" ref="AE1657" display="https://www.facebook.com/HaldorEducation/" r:id="rId5077"/>
    <hyperlink xmlns:r="http://schemas.openxmlformats.org/officeDocument/2006/relationships" ref="E1658" display="https://mysoly.nl/learning/" r:id="rId5078"/>
    <hyperlink xmlns:r="http://schemas.openxmlformats.org/officeDocument/2006/relationships" ref="R1658" display="https://www.instagram.com/mysoly_nl/?hl=en" r:id="rId5079"/>
    <hyperlink xmlns:r="http://schemas.openxmlformats.org/officeDocument/2006/relationships" ref="T1658" display="https://www.linkedin.com/company/82955558/" r:id="rId5080"/>
    <hyperlink xmlns:r="http://schemas.openxmlformats.org/officeDocument/2006/relationships" ref="U1658" display="http://nt2campus.nl/" r:id="rId5081"/>
    <hyperlink xmlns:r="http://schemas.openxmlformats.org/officeDocument/2006/relationships" ref="W1658" display="http://testgerman.de/" r:id="rId5082"/>
    <hyperlink xmlns:r="http://schemas.openxmlformats.org/officeDocument/2006/relationships" ref="Y1658" display="https://drive.google.com/uc?export=view&amp;id=1AqQiAOb1-xQdvWNhiTk2zDSzKC4LZxGT" r:id="rId5083"/>
    <hyperlink xmlns:r="http://schemas.openxmlformats.org/officeDocument/2006/relationships" ref="AE1658" display="https://www.facebook.com/mysoly.nl/" r:id="rId5084"/>
    <hyperlink xmlns:r="http://schemas.openxmlformats.org/officeDocument/2006/relationships" ref="E1659" display="http://enablr-ai.com/" r:id="rId5085"/>
    <hyperlink xmlns:r="http://schemas.openxmlformats.org/officeDocument/2006/relationships" ref="T1659" display="https://www.linkedin.com/company/enablrai/" r:id="rId5086"/>
    <hyperlink xmlns:r="http://schemas.openxmlformats.org/officeDocument/2006/relationships" ref="Y1659" display="https://drive.google.com/uc?export=view&amp;id=1st1LLgi8wCygQbFdxIhSKrewOTohE2V5" r:id="rId5087"/>
    <hyperlink xmlns:r="http://schemas.openxmlformats.org/officeDocument/2006/relationships" ref="E1660" display="http://www.lalilo.com/" r:id="rId5088"/>
    <hyperlink xmlns:r="http://schemas.openxmlformats.org/officeDocument/2006/relationships" ref="Y1660" display="https://drive.google.com/uc?export=view&amp;id=1FO6cnJ2yNeLsw9OY0ouPnXQq2S4Q9EU7" r:id="rId5089"/>
    <hyperlink xmlns:r="http://schemas.openxmlformats.org/officeDocument/2006/relationships" ref="E1661" display="https://formulearn.org/" r:id="rId5090"/>
    <hyperlink xmlns:r="http://schemas.openxmlformats.org/officeDocument/2006/relationships" ref="T1661" display="https://www.linkedin.com/company/formulearn" r:id="rId5091"/>
    <hyperlink xmlns:r="http://schemas.openxmlformats.org/officeDocument/2006/relationships" ref="Y1661" display="https://drive.google.com/uc?export=view&amp;id=1iJIIceIO_n57DrpRgRR96i4yhbWcfj4a" r:id="rId5092"/>
    <hyperlink xmlns:r="http://schemas.openxmlformats.org/officeDocument/2006/relationships" ref="E1662" display="http://www.lessonslearnt.eu/" r:id="rId5093"/>
    <hyperlink xmlns:r="http://schemas.openxmlformats.org/officeDocument/2006/relationships" ref="T1662" display="https://www.linkedin.com/company/lessonslearnt-eu/" r:id="rId5094"/>
    <hyperlink xmlns:r="http://schemas.openxmlformats.org/officeDocument/2006/relationships" ref="Y1662" display="https://drive.google.com/uc?export=view&amp;id=1Ec-EBrHrC7Tiql8taqzYIbynL7uPKQkT" r:id="rId5095"/>
    <hyperlink xmlns:r="http://schemas.openxmlformats.org/officeDocument/2006/relationships" ref="E1663" display="http://www.edulai.com/" r:id="rId5096"/>
    <hyperlink xmlns:r="http://schemas.openxmlformats.org/officeDocument/2006/relationships" ref="T1663" display="https://www.linkedin.com/company/edulai/?viewAsMember=true" r:id="rId5097"/>
    <hyperlink xmlns:r="http://schemas.openxmlformats.org/officeDocument/2006/relationships" ref="Y1663" display="https://drive.google.com/uc?export=view&amp;id=1lcsxF1OaNHii4HBLSErw-rW_SfY1441c" r:id="rId5098"/>
    <hyperlink xmlns:r="http://schemas.openxmlformats.org/officeDocument/2006/relationships" ref="AE1663" display="https://www.facebook.com/edulaismarthink" r:id="rId5099"/>
    <hyperlink xmlns:r="http://schemas.openxmlformats.org/officeDocument/2006/relationships" ref="E1664" display="https://www.scolnet.com/" r:id="rId5100"/>
    <hyperlink xmlns:r="http://schemas.openxmlformats.org/officeDocument/2006/relationships" ref="R1664" display="https://www.instagram.com/scolnetapp/" r:id="rId5101"/>
    <hyperlink xmlns:r="http://schemas.openxmlformats.org/officeDocument/2006/relationships" ref="S1664" display="https://x.com/scolnetapp" r:id="rId5102"/>
    <hyperlink xmlns:r="http://schemas.openxmlformats.org/officeDocument/2006/relationships" ref="T1664" display="https://linkedin.com/company/scolnet" r:id="rId5103"/>
    <hyperlink xmlns:r="http://schemas.openxmlformats.org/officeDocument/2006/relationships" ref="Y1664" display="https://drive.google.com/uc?export=view&amp;id=1svyXQGScFnYMsdC-dV_T-NlvJmZ-AX5l" r:id="rId5104"/>
    <hyperlink xmlns:r="http://schemas.openxmlformats.org/officeDocument/2006/relationships" ref="AE1664" display="https://www.facebook.com/ScolnetApp" r:id="rId5105"/>
    <hyperlink xmlns:r="http://schemas.openxmlformats.org/officeDocument/2006/relationships" ref="E1665" display="https://skillbeam.fr/" r:id="rId5106"/>
    <hyperlink xmlns:r="http://schemas.openxmlformats.org/officeDocument/2006/relationships" ref="T1665" display="https://www.linkedin.com/company/skilbeam/" r:id="rId5107"/>
    <hyperlink xmlns:r="http://schemas.openxmlformats.org/officeDocument/2006/relationships" ref="Y1665" display="https://drive.google.com/uc?export=view&amp;id=18SmANAyEvXEcsVuY7azfW0WXzGT5MwBY" r:id="rId5108"/>
    <hyperlink xmlns:r="http://schemas.openxmlformats.org/officeDocument/2006/relationships" ref="E1666" display="http://www.steamminds.org/" r:id="rId5109"/>
    <hyperlink xmlns:r="http://schemas.openxmlformats.org/officeDocument/2006/relationships" ref="Y1666" display="https://drive.google.com/uc?export=view&amp;id=15T_daYE9ONj31IbgNxuiVd1RQAxdph7e" r:id="rId5110"/>
    <hyperlink xmlns:r="http://schemas.openxmlformats.org/officeDocument/2006/relationships" ref="E1667" display="https://fernstudium.study/" r:id="rId5111"/>
    <hyperlink xmlns:r="http://schemas.openxmlformats.org/officeDocument/2006/relationships" ref="R1667" display="https://www.instagram.com/e_learning_group/" r:id="rId5112"/>
    <hyperlink xmlns:r="http://schemas.openxmlformats.org/officeDocument/2006/relationships" ref="T1667" display="https://www.linkedin.com/school/elc-e-learning-consulting-gmbh/" r:id="rId5113"/>
    <hyperlink xmlns:r="http://schemas.openxmlformats.org/officeDocument/2006/relationships" ref="Y1667" display="https://drive.google.com/uc?export=view&amp;id=11TQRxIXZm-w1pj9UFkXenR12AIX_HPZH" r:id="rId5114"/>
    <hyperlink xmlns:r="http://schemas.openxmlformats.org/officeDocument/2006/relationships" ref="E1668" display="http://socialshuffle.com/" r:id="rId5115"/>
    <hyperlink xmlns:r="http://schemas.openxmlformats.org/officeDocument/2006/relationships" ref="R1668" display="https://www.instagram.com/_socialshuffle/" r:id="rId5116"/>
    <hyperlink xmlns:r="http://schemas.openxmlformats.org/officeDocument/2006/relationships" ref="T1668" display="https://www.linkedin.com/company/socialshuffle" r:id="rId5117"/>
    <hyperlink xmlns:r="http://schemas.openxmlformats.org/officeDocument/2006/relationships" ref="Y1668" display="https://drive.google.com/uc?export=view&amp;id=16ik9xvsSLuzkGrK95J5TRPkD-LLcWGZ_" r:id="rId5118"/>
    <hyperlink xmlns:r="http://schemas.openxmlformats.org/officeDocument/2006/relationships" ref="E1669" display="https://datamasters.it/" r:id="rId5119"/>
    <hyperlink xmlns:r="http://schemas.openxmlformats.org/officeDocument/2006/relationships" ref="R1669" display="https://www.instagram.com/datamasters.it/" r:id="rId5120"/>
    <hyperlink xmlns:r="http://schemas.openxmlformats.org/officeDocument/2006/relationships" ref="T1669" display="https://www.linkedin.com/school/datamasters-it/" r:id="rId5121"/>
    <hyperlink xmlns:r="http://schemas.openxmlformats.org/officeDocument/2006/relationships" ref="Y1669" display="https://drive.google.com/uc?export=view&amp;id=1BittYd8GqOk7O8QXOmKKxE9sVS-PD0Id" r:id="rId5122"/>
    <hyperlink xmlns:r="http://schemas.openxmlformats.org/officeDocument/2006/relationships" ref="AE1669" display="https://www.facebook.com/datamasters" r:id="rId5123"/>
    <hyperlink xmlns:r="http://schemas.openxmlformats.org/officeDocument/2006/relationships" ref="E1670" display="http://www.studystash.com/" r:id="rId5124"/>
    <hyperlink xmlns:r="http://schemas.openxmlformats.org/officeDocument/2006/relationships" ref="T1670" display="https://www.linkedin.com/company/studystash" r:id="rId5125"/>
    <hyperlink xmlns:r="http://schemas.openxmlformats.org/officeDocument/2006/relationships" ref="Y1670" display="https://drive.google.com/uc?export=view&amp;id=1M_lk7hkqSITsyM-EMNGPYFY7EXbA0Ae9" r:id="rId5126"/>
    <hyperlink xmlns:r="http://schemas.openxmlformats.org/officeDocument/2006/relationships" ref="E1671" display="https://macenta.com.tr/" r:id="rId5127"/>
    <hyperlink xmlns:r="http://schemas.openxmlformats.org/officeDocument/2006/relationships" ref="T1671" display="https://www.linkedin.com/company/macenta-publishing-digital-solutions/posts/?feedView=all" r:id="rId5128"/>
    <hyperlink xmlns:r="http://schemas.openxmlformats.org/officeDocument/2006/relationships" ref="Y1671" display="https://drive.google.com/uc?export=view&amp;id=1_LHqebcoy3RkEZKN41slkVw6jom7v06_" r:id="rId5129"/>
    <hyperlink xmlns:r="http://schemas.openxmlformats.org/officeDocument/2006/relationships" ref="E1672" display="https://global.kingsolympiad.com/" r:id="rId5130"/>
    <hyperlink xmlns:r="http://schemas.openxmlformats.org/officeDocument/2006/relationships" ref="T1672" display="https://www.linkedin.com/company/kingseducation/" r:id="rId5131"/>
    <hyperlink xmlns:r="http://schemas.openxmlformats.org/officeDocument/2006/relationships" ref="Y1672" display="https://drive.google.com/uc?export=view&amp;id=14WzQutFrXWr6fyLHmQB56BW6UYvfLn-7" r:id="rId5132"/>
    <hyperlink xmlns:r="http://schemas.openxmlformats.org/officeDocument/2006/relationships" ref="E1673" display="http://www.sapered.com/" r:id="rId5133"/>
    <hyperlink xmlns:r="http://schemas.openxmlformats.org/officeDocument/2006/relationships" ref="R1673" display="https://www.instagram.com/sapered_gmbh/?hl=de" r:id="rId5134"/>
    <hyperlink xmlns:r="http://schemas.openxmlformats.org/officeDocument/2006/relationships" ref="T1673" display="https://de.linkedin.com/company/sapered" r:id="rId5135"/>
    <hyperlink xmlns:r="http://schemas.openxmlformats.org/officeDocument/2006/relationships" ref="Y1673" display="https://drive.google.com/uc?export=view&amp;id=1EDdkSefV1M5nedW6ZI_ZZAlxTQDaWx3a" r:id="rId5136"/>
    <hyperlink xmlns:r="http://schemas.openxmlformats.org/officeDocument/2006/relationships" ref="E1674" display="https://web2learn.eu/" r:id="rId5137"/>
    <hyperlink xmlns:r="http://schemas.openxmlformats.org/officeDocument/2006/relationships" ref="R1674" display="https://www.instagram.com/web2learn_eu/" r:id="rId5138"/>
    <hyperlink xmlns:r="http://schemas.openxmlformats.org/officeDocument/2006/relationships" ref="T1674" display="https://www.linkedin.com/company/web2learn/" r:id="rId5139"/>
    <hyperlink xmlns:r="http://schemas.openxmlformats.org/officeDocument/2006/relationships" ref="Y1674" display="https://drive.google.com/uc?export=view&amp;id=1KunglAI4FAjeBvJxINUt1NX4vmTih-d9" r:id="rId5140"/>
    <hyperlink xmlns:r="http://schemas.openxmlformats.org/officeDocument/2006/relationships" ref="E1675" display="https://www.buzzgage.org/" r:id="rId5141"/>
    <hyperlink xmlns:r="http://schemas.openxmlformats.org/officeDocument/2006/relationships" ref="T1675" display="https://www.linkedin.com/company/buzzgage" r:id="rId5142"/>
    <hyperlink xmlns:r="http://schemas.openxmlformats.org/officeDocument/2006/relationships" ref="Y1675" display="https://drive.google.com/uc?export=view&amp;id=1o25hnd1mj80lZdigDLYPCG71gZ1lYOsW" r:id="rId5143"/>
    <hyperlink xmlns:r="http://schemas.openxmlformats.org/officeDocument/2006/relationships" ref="E1676" display="http://nolej.io/" r:id="rId5144"/>
    <hyperlink xmlns:r="http://schemas.openxmlformats.org/officeDocument/2006/relationships" ref="Y1676" display="https://drive.google.com/uc?export=view&amp;id=1qMr7ygDY_E7SDE66NsKuGIo0Fovg9H4n" r:id="rId5145"/>
    <hyperlink xmlns:r="http://schemas.openxmlformats.org/officeDocument/2006/relationships" ref="E1677" display="http://www.websitex5.com/" r:id="rId5146"/>
    <hyperlink xmlns:r="http://schemas.openxmlformats.org/officeDocument/2006/relationships" ref="S1677" display="https://x.com/Incomedia" r:id="rId5147"/>
    <hyperlink xmlns:r="http://schemas.openxmlformats.org/officeDocument/2006/relationships" ref="T1677" display="https://it.linkedin.com/company/incomedia" r:id="rId5148"/>
    <hyperlink xmlns:r="http://schemas.openxmlformats.org/officeDocument/2006/relationships" ref="Y1677" display="https://drive.google.com/uc?export=view&amp;id=1mbKSMizlAEMemGand1s4Y6IWUEPcUvNG" r:id="rId5149"/>
    <hyperlink xmlns:r="http://schemas.openxmlformats.org/officeDocument/2006/relationships" ref="AE1677" display="https://www.facebook.com/Incomedia/" r:id="rId5150"/>
    <hyperlink xmlns:r="http://schemas.openxmlformats.org/officeDocument/2006/relationships" ref="E1678" display="https://www.brainlane.nl/" r:id="rId5151"/>
    <hyperlink xmlns:r="http://schemas.openxmlformats.org/officeDocument/2006/relationships" ref="R1678" display="https://www.instagram.com/brainlanehq/" r:id="rId5152"/>
    <hyperlink xmlns:r="http://schemas.openxmlformats.org/officeDocument/2006/relationships" ref="T1678" display="https://www.linkedin.com/company/brainlanehq/" r:id="rId5153"/>
    <hyperlink xmlns:r="http://schemas.openxmlformats.org/officeDocument/2006/relationships" ref="Y1678" display="https://drive.google.com/uc?export=view&amp;id=1Hzz1yEpCOVVhwdnKN5a5MPd6MrRmYwG6" r:id="rId5154"/>
    <hyperlink xmlns:r="http://schemas.openxmlformats.org/officeDocument/2006/relationships" ref="AE1678" display="https://www.facebook.com/BrainlaneHQ/" r:id="rId5155"/>
    <hyperlink xmlns:r="http://schemas.openxmlformats.org/officeDocument/2006/relationships" ref="E1679" display="https://www.gamindo.com/" r:id="rId5156"/>
    <hyperlink xmlns:r="http://schemas.openxmlformats.org/officeDocument/2006/relationships" ref="T1679" display="https://www.linkedin.com/company/gamindo/" r:id="rId5157"/>
    <hyperlink xmlns:r="http://schemas.openxmlformats.org/officeDocument/2006/relationships" ref="Y1679" display="https://drive.google.com/uc?export=view&amp;id=19FEF2Yk180DCdJz-Ny-8kGTc9r69px-r" r:id="rId5158"/>
    <hyperlink xmlns:r="http://schemas.openxmlformats.org/officeDocument/2006/relationships" ref="E1680" display="https://www.beeapro.academy/" r:id="rId5159"/>
    <hyperlink xmlns:r="http://schemas.openxmlformats.org/officeDocument/2006/relationships" ref="T1680" display="https://www.linkedin.com/company/beeapro/" r:id="rId5160"/>
    <hyperlink xmlns:r="http://schemas.openxmlformats.org/officeDocument/2006/relationships" ref="Y1680" display="https://drive.google.com/uc?export=view&amp;id=1hNAY0CtMriEQatjx1Aaf_xMnP-YSJhuK" r:id="rId5161"/>
    <hyperlink xmlns:r="http://schemas.openxmlformats.org/officeDocument/2006/relationships" ref="E1681" display="https://www.univerbal.app/" r:id="rId5162"/>
    <hyperlink xmlns:r="http://schemas.openxmlformats.org/officeDocument/2006/relationships" ref="R1681" display="https://www.instagram.com/univerbalapp/" r:id="rId5163"/>
    <hyperlink xmlns:r="http://schemas.openxmlformats.org/officeDocument/2006/relationships" ref="T1681" display="https://www.linkedin.com/company/univerbalapp/" r:id="rId5164"/>
    <hyperlink xmlns:r="http://schemas.openxmlformats.org/officeDocument/2006/relationships" ref="Y1681" display="https://drive.google.com/uc?export=view&amp;id=1CKOwL2hXw4kjLZqd3aWxUJW_NEsQoRi7" r:id="rId5165"/>
    <hyperlink xmlns:r="http://schemas.openxmlformats.org/officeDocument/2006/relationships" ref="E1682" display="https://techtitans.cloud/" r:id="rId5166"/>
    <hyperlink xmlns:r="http://schemas.openxmlformats.org/officeDocument/2006/relationships" ref="R1682" display="https://www.instagram.com/techtitans_creativetechnology" r:id="rId5167"/>
    <hyperlink xmlns:r="http://schemas.openxmlformats.org/officeDocument/2006/relationships" ref="S1682" display="https://x.com/TechTitanshub" r:id="rId5168"/>
    <hyperlink xmlns:r="http://schemas.openxmlformats.org/officeDocument/2006/relationships" ref="T1682" display="https://www.linkedin.com/company/techtitanscreativetechnologyhub" r:id="rId5169"/>
    <hyperlink xmlns:r="http://schemas.openxmlformats.org/officeDocument/2006/relationships" ref="Y1682" display="https://drive.google.com/uc?export=view&amp;id=1NeqWDoMCfouaLjLOj_fFYaUzsVfjprhC" r:id="rId5170"/>
    <hyperlink xmlns:r="http://schemas.openxmlformats.org/officeDocument/2006/relationships" ref="AE1682" display="https://www.facebook.com/techtitans.creativetechnology" r:id="rId5171"/>
    <hyperlink xmlns:r="http://schemas.openxmlformats.org/officeDocument/2006/relationships" ref="E1683" display="https://www.ampullarium.app/" r:id="rId5172"/>
    <hyperlink xmlns:r="http://schemas.openxmlformats.org/officeDocument/2006/relationships" ref="R1683" display="https://www.instagram.com/team_ampullarium/?hl=de" r:id="rId5173"/>
    <hyperlink xmlns:r="http://schemas.openxmlformats.org/officeDocument/2006/relationships" ref="Y1683" display="https://drive.google.com/uc?export=view&amp;id=1Mg44z7Gip-e32zguojj6cEyKdd9x87m0" r:id="rId5174"/>
    <hyperlink xmlns:r="http://schemas.openxmlformats.org/officeDocument/2006/relationships" ref="E1684" display="https://www.blify.co/" r:id="rId5175"/>
    <hyperlink xmlns:r="http://schemas.openxmlformats.org/officeDocument/2006/relationships" ref="S1684" display="https://x.com/blifyapp" r:id="rId5176"/>
    <hyperlink xmlns:r="http://schemas.openxmlformats.org/officeDocument/2006/relationships" ref="T1684" display="https://www.linkedin.com/company/blify/" r:id="rId5177"/>
    <hyperlink xmlns:r="http://schemas.openxmlformats.org/officeDocument/2006/relationships" ref="Y1684" display="https://drive.google.com/uc?export=view&amp;id=1_JH2F4Bw6DXFNcIkkd_7Vw_MW7vpzLw9" r:id="rId5178"/>
    <hyperlink xmlns:r="http://schemas.openxmlformats.org/officeDocument/2006/relationships" ref="E1685" display="http://coachello.ai/" r:id="rId5179"/>
    <hyperlink xmlns:r="http://schemas.openxmlformats.org/officeDocument/2006/relationships" ref="T1685" display="http://fr.linkedin.com/company/coachello-ai-coaching-platform" r:id="rId5180"/>
    <hyperlink xmlns:r="http://schemas.openxmlformats.org/officeDocument/2006/relationships" ref="Y1685" display="https://drive.google.com/uc?export=view&amp;id=1O89FJBuxVxn8mkOo4QzBgoxcD1dR2fWY" r:id="rId5181"/>
    <hyperlink xmlns:r="http://schemas.openxmlformats.org/officeDocument/2006/relationships" ref="E1686" display="http://expliq.fr/" r:id="rId5182"/>
    <hyperlink xmlns:r="http://schemas.openxmlformats.org/officeDocument/2006/relationships" ref="R1686" display="https://www.instagram.com/mathena_education/" r:id="rId5183"/>
    <hyperlink xmlns:r="http://schemas.openxmlformats.org/officeDocument/2006/relationships" ref="T1686" display="https://www.linkedin.com/company/108908457" r:id="rId5184"/>
    <hyperlink xmlns:r="http://schemas.openxmlformats.org/officeDocument/2006/relationships" ref="Y1686" display="https://drive.google.com/uc?export=view&amp;id=10px5gYRAai8tk2xzzB1sPT2EFpif2v7e" r:id="rId5185"/>
    <hyperlink xmlns:r="http://schemas.openxmlformats.org/officeDocument/2006/relationships" ref="E1687" display="http://primeprofs.fr/" r:id="rId5186"/>
    <hyperlink xmlns:r="http://schemas.openxmlformats.org/officeDocument/2006/relationships" ref="T1687" display="https://www.linkedin.com/company/prime-profs/?viewAsMember=true" r:id="rId5187"/>
    <hyperlink xmlns:r="http://schemas.openxmlformats.org/officeDocument/2006/relationships" ref="Y1687" display="https://drive.google.com/uc?export=view&amp;id=1S7-nZ4zFlFWDGpIcElqRMyNxm_H1uvk7" r:id="rId5188"/>
    <hyperlink xmlns:r="http://schemas.openxmlformats.org/officeDocument/2006/relationships" ref="E1688" display="https://www.mybookinou.com/" r:id="rId5189"/>
    <hyperlink xmlns:r="http://schemas.openxmlformats.org/officeDocument/2006/relationships" ref="R1688" display="https://www.instagram.com/bookinou/?hl=fr" r:id="rId5190"/>
    <hyperlink xmlns:r="http://schemas.openxmlformats.org/officeDocument/2006/relationships" ref="S1688" display="https://x.com/mybookinou" r:id="rId5191"/>
    <hyperlink xmlns:r="http://schemas.openxmlformats.org/officeDocument/2006/relationships" ref="T1688" display="https://www.linkedin.com/company/bookinou" r:id="rId5192"/>
    <hyperlink xmlns:r="http://schemas.openxmlformats.org/officeDocument/2006/relationships" ref="Y1688" display="https://drive.google.com/uc?export=view&amp;id=1or7a4dwWWjQ2Looq7WMMDyC06BmU4bpg" r:id="rId5193"/>
    <hyperlink xmlns:r="http://schemas.openxmlformats.org/officeDocument/2006/relationships" ref="E1689" display="https://www.aptilink.com/" r:id="rId5194"/>
    <hyperlink xmlns:r="http://schemas.openxmlformats.org/officeDocument/2006/relationships" ref="T1689" display="https://www.linkedin.com/company/aptilink/" r:id="rId5195"/>
    <hyperlink xmlns:r="http://schemas.openxmlformats.org/officeDocument/2006/relationships" ref="Y1689" display="https://drive.google.com/uc?export=view&amp;id=1Z6h2ofQORfeT-rCL5_Jo1DxR1FuvAw9-" r:id="rId5196"/>
    <hyperlink xmlns:r="http://schemas.openxmlformats.org/officeDocument/2006/relationships" ref="E1690" display="https://www.beedeez.com/fr/" r:id="rId5197"/>
    <hyperlink xmlns:r="http://schemas.openxmlformats.org/officeDocument/2006/relationships" ref="T1690" display="https://www.linkedin.com/company/beedeez/posts/?feedView=all" r:id="rId5198"/>
    <hyperlink xmlns:r="http://schemas.openxmlformats.org/officeDocument/2006/relationships" ref="Y1690" display="https://drive.google.com/uc?export=view&amp;id=15dYoEAn7Jf0GiVopuIHGhqCBBuobiA4H" r:id="rId5199"/>
    <hyperlink xmlns:r="http://schemas.openxmlformats.org/officeDocument/2006/relationships" ref="E1691" display="http://www.hopteo.com/" r:id="rId5200"/>
    <hyperlink xmlns:r="http://schemas.openxmlformats.org/officeDocument/2006/relationships" ref="R1691" display="https://www.instagram.com/hopteo_app/" r:id="rId5201"/>
    <hyperlink xmlns:r="http://schemas.openxmlformats.org/officeDocument/2006/relationships" ref="T1691" display="https://www.linkedin.com/company/hopteo" r:id="rId5202"/>
    <hyperlink xmlns:r="http://schemas.openxmlformats.org/officeDocument/2006/relationships" ref="Y1691" display="https://drive.google.com/uc?export=view&amp;id=1PG0epXFvC-fNUDOafNtApPcJ2kcNQY97" r:id="rId5203"/>
    <hyperlink xmlns:r="http://schemas.openxmlformats.org/officeDocument/2006/relationships" ref="AE1691" display="https://www.facebook.com/p/Hopteo-100092716956707/" r:id="rId5204"/>
    <hyperlink xmlns:r="http://schemas.openxmlformats.org/officeDocument/2006/relationships" ref="E1692" display="https://www.facil-iti.fr/" r:id="rId5205"/>
    <hyperlink xmlns:r="http://schemas.openxmlformats.org/officeDocument/2006/relationships" ref="R1692" display="https://www.instagram.com/facil_iti/" r:id="rId5206"/>
    <hyperlink xmlns:r="http://schemas.openxmlformats.org/officeDocument/2006/relationships" ref="S1692" display="https://twitter.com/facil_iti" r:id="rId5207"/>
    <hyperlink xmlns:r="http://schemas.openxmlformats.org/officeDocument/2006/relationships" ref="T1692" display="https://www.linkedin.com/company/facil-iti-france/" r:id="rId5208"/>
    <hyperlink xmlns:r="http://schemas.openxmlformats.org/officeDocument/2006/relationships" ref="Y1692" display="https://drive.google.com/uc?export=view&amp;id=1S7LL3RxuHou84CrNHPGMAtFAIdZLkbyD" r:id="rId5209"/>
    <hyperlink xmlns:r="http://schemas.openxmlformats.org/officeDocument/2006/relationships" ref="AE1692" display="https://fr-fr.facebook.com/solutionfaciliti/" r:id="rId5210"/>
    <hyperlink xmlns:r="http://schemas.openxmlformats.org/officeDocument/2006/relationships" ref="E1693" display="https://www.youscribe.com/" r:id="rId5211"/>
    <hyperlink xmlns:r="http://schemas.openxmlformats.org/officeDocument/2006/relationships" ref="T1693" display="https://www.linkedin.com/company/youscribe/?originalSubdomain=fr" r:id="rId5212"/>
    <hyperlink xmlns:r="http://schemas.openxmlformats.org/officeDocument/2006/relationships" ref="Y1693" display="https://drive.google.com/uc?export=view&amp;id=1dB8TqyBB-DSd4IIF0GfMH9knkRXsBbJ4" r:id="rId5213"/>
    <hyperlink xmlns:r="http://schemas.openxmlformats.org/officeDocument/2006/relationships" ref="E1694" display="https://sankliche.org/" r:id="rId5214"/>
    <hyperlink xmlns:r="http://schemas.openxmlformats.org/officeDocument/2006/relationships" ref="Y1694" display="https://drive.google.com/uc?export=view&amp;id=1zH8AQ3ZNmeioci_BTBJkJVwi2d4UEnub" r:id="rId5215"/>
    <hyperlink xmlns:r="http://schemas.openxmlformats.org/officeDocument/2006/relationships" ref="E1695" display="https://acadeclic.fr/" r:id="rId5216"/>
    <hyperlink xmlns:r="http://schemas.openxmlformats.org/officeDocument/2006/relationships" ref="R1695" display="https://www.instagram.com/acadeclic_france/" r:id="rId5217"/>
    <hyperlink xmlns:r="http://schemas.openxmlformats.org/officeDocument/2006/relationships" ref="S1695" display="https://twitter.com/acadeclic" r:id="rId5218"/>
    <hyperlink xmlns:r="http://schemas.openxmlformats.org/officeDocument/2006/relationships" ref="T1695" display="https://www.linkedin.com/company/acadeclic" r:id="rId5219"/>
    <hyperlink xmlns:r="http://schemas.openxmlformats.org/officeDocument/2006/relationships" ref="Y1695" display="https://drive.google.com/uc?export=view&amp;id=1CQJU4TNVQySNVaS_8qJdMDDci_5w99bq" r:id="rId5220"/>
    <hyperlink xmlns:r="http://schemas.openxmlformats.org/officeDocument/2006/relationships" ref="AE1695" display="https://www.facebook.com/Acadeclic/" r:id="rId5221"/>
    <hyperlink xmlns:r="http://schemas.openxmlformats.org/officeDocument/2006/relationships" ref="E1696" display="https://www.adesoft.com/" r:id="rId5222"/>
    <hyperlink xmlns:r="http://schemas.openxmlformats.org/officeDocument/2006/relationships" ref="T1696" display="https://www.linkedin.com/company/adesoft/" r:id="rId5223"/>
    <hyperlink xmlns:r="http://schemas.openxmlformats.org/officeDocument/2006/relationships" ref="Y1696" display="https://drive.google.com/uc?export=view&amp;id=1C4e1_s_bva05yGJP3Woah_jAdssB7FlU" r:id="rId5224"/>
    <hyperlink xmlns:r="http://schemas.openxmlformats.org/officeDocument/2006/relationships" ref="E1697" display="http://edviatec.com/" r:id="rId5225"/>
    <hyperlink xmlns:r="http://schemas.openxmlformats.org/officeDocument/2006/relationships" ref="T1697" display="https://www.linkedin.com/company/edviatec/" r:id="rId5226"/>
    <hyperlink xmlns:r="http://schemas.openxmlformats.org/officeDocument/2006/relationships" ref="Y1697" display="https://drive.google.com/uc?export=view&amp;id=1b35qc_viPcam870c1JqkVQDJuG9pNlQj" r:id="rId5227"/>
    <hyperlink xmlns:r="http://schemas.openxmlformats.org/officeDocument/2006/relationships" ref="E1698" display="http://www.snapplify.com/" r:id="rId5228"/>
    <hyperlink xmlns:r="http://schemas.openxmlformats.org/officeDocument/2006/relationships" ref="T1698" display="https://www.linkedin.com/company/snapplify/about/?viewAsMember=true" r:id="rId5229"/>
    <hyperlink xmlns:r="http://schemas.openxmlformats.org/officeDocument/2006/relationships" ref="Y1698" display="https://drive.google.com/uc?export=view&amp;id=13nxBF61BEdYrB-vAwStF95eyTlJ5QmdG" r:id="rId5230"/>
    <hyperlink xmlns:r="http://schemas.openxmlformats.org/officeDocument/2006/relationships" ref="E1699" display="https://anotherbrick.it/" r:id="rId5231"/>
    <hyperlink xmlns:r="http://schemas.openxmlformats.org/officeDocument/2006/relationships" ref="T1699" display="https://www.linkedin.com/company/another-brick/" r:id="rId5232"/>
    <hyperlink xmlns:r="http://schemas.openxmlformats.org/officeDocument/2006/relationships" ref="Y1699" display="https://drive.google.com/uc?export=view&amp;id=1n9DI21cdA4_DKaTNP85uLwd-Jp4QHV9S" r:id="rId5233"/>
    <hyperlink xmlns:r="http://schemas.openxmlformats.org/officeDocument/2006/relationships" ref="E1700" display="http://leazy.net/" r:id="rId5234"/>
    <hyperlink xmlns:r="http://schemas.openxmlformats.org/officeDocument/2006/relationships" ref="T1700" display="https://www.linkedin.com/company/leazy-edu/" r:id="rId5235"/>
    <hyperlink xmlns:r="http://schemas.openxmlformats.org/officeDocument/2006/relationships" ref="Y1700" display="https://drive.google.com/uc?export=view&amp;id=1lo1enbPy3wY58mXH9dh9YAEwRxNWzd4s" r:id="rId5236"/>
    <hyperlink xmlns:r="http://schemas.openxmlformats.org/officeDocument/2006/relationships" ref="E1701" display="https://marschallenge.space/" r:id="rId5237"/>
    <hyperlink xmlns:r="http://schemas.openxmlformats.org/officeDocument/2006/relationships" ref="T1701" display="https://www.linkedin.com/company/marschallenge" r:id="rId5238"/>
    <hyperlink xmlns:r="http://schemas.openxmlformats.org/officeDocument/2006/relationships" ref="Y1701" display="https://drive.google.com/uc?export=view&amp;id=1Hp39nL5D9218k9J0Cgew9ho67v2OPCal" r:id="rId5239"/>
    <hyperlink xmlns:r="http://schemas.openxmlformats.org/officeDocument/2006/relationships" ref="E1702" display="http://www.chess-junior.com/" r:id="rId5240"/>
    <hyperlink xmlns:r="http://schemas.openxmlformats.org/officeDocument/2006/relationships" ref="T1702" display="https://www.linkedin.com/company/cubes-art-chess-innovations" r:id="rId5241"/>
    <hyperlink xmlns:r="http://schemas.openxmlformats.org/officeDocument/2006/relationships" ref="Y1702" display="https://drive.google.com/uc?export=view&amp;id=1mt9zvcekHbUvbwz88R42mbcAsR26aQGt" r:id="rId5242"/>
    <hyperlink xmlns:r="http://schemas.openxmlformats.org/officeDocument/2006/relationships" ref="E1703" display="https://www.egitimgpt.com/" r:id="rId5243"/>
    <hyperlink xmlns:r="http://schemas.openxmlformats.org/officeDocument/2006/relationships" ref="Y1703" display="https://drive.google.com/uc?export=view&amp;id=1vDumgN3Lhn0yjYyc2kTqcn3_GlIlzZac" r:id="rId5244"/>
    <hyperlink xmlns:r="http://schemas.openxmlformats.org/officeDocument/2006/relationships" ref="E1704" display="https://askowlo.com/?ref=edtech-map" r:id="rId5245"/>
    <hyperlink xmlns:r="http://schemas.openxmlformats.org/officeDocument/2006/relationships" ref="R1704" display="https://www.instagram.com/ask.owlo" r:id="rId5246"/>
    <hyperlink xmlns:r="http://schemas.openxmlformats.org/officeDocument/2006/relationships" ref="S1704" display="https://x.com/askowlo" r:id="rId5247"/>
    <hyperlink xmlns:r="http://schemas.openxmlformats.org/officeDocument/2006/relationships" ref="T1704" display="https://www.linkedin.com/company/askowlo/" r:id="rId5248"/>
    <hyperlink xmlns:r="http://schemas.openxmlformats.org/officeDocument/2006/relationships" ref="Y1704" display="https://drive.google.com/uc?export=view&amp;id=1PRZm-cwATShgTOKyeaESlzJTlWFSBB6w" r:id="rId5249"/>
    <hyperlink xmlns:r="http://schemas.openxmlformats.org/officeDocument/2006/relationships" ref="AE1704" display="https://www.facebook.com/profile.php?id=61576192206238" r:id="rId5250"/>
    <hyperlink xmlns:r="http://schemas.openxmlformats.org/officeDocument/2006/relationships" ref="E1705" display="http://www.kindiedays.com/" r:id="rId5251"/>
    <hyperlink xmlns:r="http://schemas.openxmlformats.org/officeDocument/2006/relationships" ref="R1705" display="https://www.instagram.com/kindiedays" r:id="rId5252"/>
    <hyperlink xmlns:r="http://schemas.openxmlformats.org/officeDocument/2006/relationships" ref="S1705" display="https://www.facebook.com/kindiedays" r:id="rId5253"/>
    <hyperlink xmlns:r="http://schemas.openxmlformats.org/officeDocument/2006/relationships" ref="T1705" display="https://www.linkedin.com/company/kindiedays" r:id="rId5254"/>
    <hyperlink xmlns:r="http://schemas.openxmlformats.org/officeDocument/2006/relationships" ref="Y1705" display="https://drive.google.com/uc?export=view&amp;id=1nXe9zRSj79SfUXbuaLZiDhM7AwG57ToT" r:id="rId5255"/>
    <hyperlink xmlns:r="http://schemas.openxmlformats.org/officeDocument/2006/relationships" ref="E1706" display="https://www.chemmedia.de/" r:id="rId5256"/>
    <hyperlink xmlns:r="http://schemas.openxmlformats.org/officeDocument/2006/relationships" ref="R1706" display="https://www.instagram.com/chemmedia_ag/" r:id="rId5257"/>
    <hyperlink xmlns:r="http://schemas.openxmlformats.org/officeDocument/2006/relationships" ref="T1706" display="https://www.linkedin.com/company/chemmedia-ag/" r:id="rId5258"/>
    <hyperlink xmlns:r="http://schemas.openxmlformats.org/officeDocument/2006/relationships" ref="Y1706" display="https://drive.google.com/uc?export=view&amp;id=1DvEkGqSUlMuVZotESevBbRUbgkog7fAU" r:id="rId5259"/>
    <hyperlink xmlns:r="http://schemas.openxmlformats.org/officeDocument/2006/relationships" ref="E1707" display="https://jojoschool.nl/" r:id="rId5260"/>
    <hyperlink xmlns:r="http://schemas.openxmlformats.org/officeDocument/2006/relationships" ref="R1707" display="https://www.instagram.com/jojoschoolnl/" r:id="rId5261"/>
    <hyperlink xmlns:r="http://schemas.openxmlformats.org/officeDocument/2006/relationships" ref="T1707" display="https://nl.linkedin.com/company/jojoschool" r:id="rId5262"/>
    <hyperlink xmlns:r="http://schemas.openxmlformats.org/officeDocument/2006/relationships" ref="Y1707" display="https://drive.google.com/uc?export=view&amp;id=1MMvR2KiX9FCqI16OwwTFSh_7rZuC_F3a" r:id="rId5263"/>
    <hyperlink xmlns:r="http://schemas.openxmlformats.org/officeDocument/2006/relationships" ref="E1708" display="https://arlicious.com/" r:id="rId5264"/>
    <hyperlink xmlns:r="http://schemas.openxmlformats.org/officeDocument/2006/relationships" ref="Y1708" display="https://drive.google.com/uc?export=view&amp;id=1oB4tdTA37tIggrE0Cks81kD5gWDw0WqY" r:id="rId5265"/>
    <hyperlink xmlns:r="http://schemas.openxmlformats.org/officeDocument/2006/relationships" ref="E1709" display="https://www.checkademia.de/" r:id="rId5266"/>
    <hyperlink xmlns:r="http://schemas.openxmlformats.org/officeDocument/2006/relationships" ref="R1709" display="https://www.instagram.com/checkademia/" r:id="rId5267"/>
    <hyperlink xmlns:r="http://schemas.openxmlformats.org/officeDocument/2006/relationships" ref="T1709" display="https://www.linkedin.com/company/checkademia/" r:id="rId5268"/>
    <hyperlink xmlns:r="http://schemas.openxmlformats.org/officeDocument/2006/relationships" ref="Y1709" display="https://drive.google.com/uc?export=view&amp;id=1VUEQZUczy5DRHD3u-2hODdqrqKcpPp3B" r:id="rId5269"/>
    <hyperlink xmlns:r="http://schemas.openxmlformats.org/officeDocument/2006/relationships" ref="E1710" display="https://www.aidevsolutions.dk/" r:id="rId5270"/>
    <hyperlink xmlns:r="http://schemas.openxmlformats.org/officeDocument/2006/relationships" ref="Y1710" display="https://drive.google.com/uc?export=view&amp;id=1vb2wKuf8UFE9C71lFC2-3rtCKrkwJH0Q" r:id="rId5271"/>
    <hyperlink xmlns:r="http://schemas.openxmlformats.org/officeDocument/2006/relationships" ref="E1711" display="http://www.tokichat.fr/" r:id="rId5272"/>
    <hyperlink xmlns:r="http://schemas.openxmlformats.org/officeDocument/2006/relationships" ref="T1711" display="https://www.linkedin.com/showcase/tokichat" r:id="rId5273"/>
    <hyperlink xmlns:r="http://schemas.openxmlformats.org/officeDocument/2006/relationships" ref="Y1711" display="https://drive.google.com/uc?export=view&amp;id=1-nJ1im3j1M_lknK-HXEGSJN_UqAYIAV5" r:id="rId5274"/>
    <hyperlink xmlns:r="http://schemas.openxmlformats.org/officeDocument/2006/relationships" ref="E1712" display="http://www.arlls.com/" r:id="rId5275"/>
    <hyperlink xmlns:r="http://schemas.openxmlformats.org/officeDocument/2006/relationships" ref="R1712" display="https://www.instagram.com/arlls_official/" r:id="rId5276"/>
    <hyperlink xmlns:r="http://schemas.openxmlformats.org/officeDocument/2006/relationships" ref="T1712" display="https://www.linkedin.com/company/arlls" r:id="rId5277"/>
    <hyperlink xmlns:r="http://schemas.openxmlformats.org/officeDocument/2006/relationships" ref="Y1712" display="https://drive.google.com/uc?export=view&amp;id=14H_JHeRiCc0KNc2GkwYkzSXAEip427lq" r:id="rId5278"/>
    <hyperlink xmlns:r="http://schemas.openxmlformats.org/officeDocument/2006/relationships" ref="E1713" display="http://www.fullfabric.com/" r:id="rId5279"/>
    <hyperlink xmlns:r="http://schemas.openxmlformats.org/officeDocument/2006/relationships" ref="R1713" display="https://www.instagram.com/full_fabric/" r:id="rId5280"/>
    <hyperlink xmlns:r="http://schemas.openxmlformats.org/officeDocument/2006/relationships" ref="T1713" display="https://www.linkedin.com/company/fullfabric/" r:id="rId5281"/>
    <hyperlink xmlns:r="http://schemas.openxmlformats.org/officeDocument/2006/relationships" ref="Y1713" display="https://drive.google.com/uc?export=view&amp;id=1yQnfX_rCO-uKJR4DNku53U7-xKJAKxyI" r:id="rId5282"/>
    <hyperlink xmlns:r="http://schemas.openxmlformats.org/officeDocument/2006/relationships" ref="AE1713" display="https://www.facebook.com/fullfabriccrm" r:id="rId5283"/>
    <hyperlink xmlns:r="http://schemas.openxmlformats.org/officeDocument/2006/relationships" ref="E1714" display="http://www.zmudri.sk/" r:id="rId5284"/>
    <hyperlink xmlns:r="http://schemas.openxmlformats.org/officeDocument/2006/relationships" ref="R1714" display="http://www.instagram.com/zmudri_g" r:id="rId5285"/>
    <hyperlink xmlns:r="http://schemas.openxmlformats.org/officeDocument/2006/relationships" ref="T1714" display="https://www.linkedin.com/company/zmudri/" r:id="rId5286"/>
    <hyperlink xmlns:r="http://schemas.openxmlformats.org/officeDocument/2006/relationships" ref="Y1714" display="https://drive.google.com/uc?export=view&amp;id=1QtRVNxaB-XiljYVBffV1CS5_gP1lISQo" r:id="rId5287"/>
    <hyperlink xmlns:r="http://schemas.openxmlformats.org/officeDocument/2006/relationships" ref="AE1714" display="https://www.facebook.com/zmudri.sk" r:id="rId5288"/>
    <hyperlink xmlns:r="http://schemas.openxmlformats.org/officeDocument/2006/relationships" ref="E1715" display="https://procraft.dk/" r:id="rId5289"/>
    <hyperlink xmlns:r="http://schemas.openxmlformats.org/officeDocument/2006/relationships" ref="R1715" display="https://www.instagram.com/procraft.dk/" r:id="rId5290"/>
    <hyperlink xmlns:r="http://schemas.openxmlformats.org/officeDocument/2006/relationships" ref="T1715" display="https://www.linkedin.com/company/procraft/" r:id="rId5291"/>
    <hyperlink xmlns:r="http://schemas.openxmlformats.org/officeDocument/2006/relationships" ref="Y1715" display="https://drive.google.com/uc?export=view&amp;id=1mqqE8kLNgeOoi8sGAEnfG_cv3pCttH4k" r:id="rId5292"/>
    <hyperlink xmlns:r="http://schemas.openxmlformats.org/officeDocument/2006/relationships" ref="AE1715" display="https://www.facebook.com/ProcraftAps" r:id="rId5293"/>
    <hyperlink xmlns:r="http://schemas.openxmlformats.org/officeDocument/2006/relationships" ref="E1716" display="https://eu-track.eu/" r:id="rId5294"/>
    <hyperlink xmlns:r="http://schemas.openxmlformats.org/officeDocument/2006/relationships" ref="R1716" display="https://www.instagram.com/eutrack/?hl=en" r:id="rId5295"/>
    <hyperlink xmlns:r="http://schemas.openxmlformats.org/officeDocument/2006/relationships" ref="T1716" display="https://it.linkedin.com/company/eu-track" r:id="rId5296"/>
    <hyperlink xmlns:r="http://schemas.openxmlformats.org/officeDocument/2006/relationships" ref="Y1716" display="https://drive.google.com/uc?export=view&amp;id=1ixEvsHRd8ZC-gb3PEyuG1DL_w0gEgsU_" r:id="rId5297"/>
    <hyperlink xmlns:r="http://schemas.openxmlformats.org/officeDocument/2006/relationships" ref="AE1716" display="https://www.facebook.com/eu.track/" r:id="rId5298"/>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2026-09-23T09:23:33Z</dcterms:created>
  <dcterms:modified xsi:type="dcterms:W3CDTF">2026-09-25T09:29:49Z</dcterms:modified>
  <cp:lastModifiedBy>Kata Kovács</cp:lastModifiedBy>
</cp:coreProperties>
</file>